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megan/Downloads/"/>
    </mc:Choice>
  </mc:AlternateContent>
  <xr:revisionPtr revIDLastSave="0" documentId="13_ncr:1_{1352C340-75C6-0248-A737-75AE042F5841}" xr6:coauthVersionLast="47" xr6:coauthVersionMax="47" xr10:uidLastSave="{00000000-0000-0000-0000-000000000000}"/>
  <bookViews>
    <workbookView xWindow="0" yWindow="600" windowWidth="28800" windowHeight="15980" xr2:uid="{00000000-000D-0000-FFFF-FFFF00000000}"/>
  </bookViews>
  <sheets>
    <sheet name="Raw_Data" sheetId="1" r:id="rId1"/>
    <sheet name="Data_Cleaning" sheetId="2" r:id="rId2"/>
    <sheet name="Summary_Stats" sheetId="3" r:id="rId3"/>
    <sheet name="Unique_Dashers" sheetId="4" r:id="rId4"/>
    <sheet name="Sheet12" sheetId="5" r:id="rId5"/>
    <sheet name="Rankings_Final" sheetId="6" r:id="rId6"/>
    <sheet name="Rankings" sheetId="7" r:id="rId7"/>
    <sheet name="Correlation_Analysis" sheetId="8" r:id="rId8"/>
    <sheet name="city_comparison" sheetId="9" r:id="rId9"/>
    <sheet name="correlation_matrix" sheetId="10" r:id="rId10"/>
    <sheet name="descriptive_statistics" sheetId="11" r:id="rId11"/>
    <sheet name="ontime_by_city" sheetId="12" r:id="rId12"/>
    <sheet name="performance_tier_distribution" sheetId="13" r:id="rId13"/>
    <sheet name="top10_widget_dashers" sheetId="14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02" i="8" l="1"/>
  <c r="B1202" i="8" s="1"/>
  <c r="C1201" i="8"/>
  <c r="B1201" i="8"/>
  <c r="B1200" i="8"/>
  <c r="C1200" i="8" s="1"/>
  <c r="B1199" i="8"/>
  <c r="C1199" i="8" s="1"/>
  <c r="B1198" i="8"/>
  <c r="C1198" i="8" s="1"/>
  <c r="C1197" i="8"/>
  <c r="B1197" i="8"/>
  <c r="B1196" i="8"/>
  <c r="C1196" i="8" s="1"/>
  <c r="B1195" i="8"/>
  <c r="C1195" i="8" s="1"/>
  <c r="B1194" i="8"/>
  <c r="C1194" i="8" s="1"/>
  <c r="C1193" i="8"/>
  <c r="B1193" i="8"/>
  <c r="B1192" i="8"/>
  <c r="C1192" i="8" s="1"/>
  <c r="B1191" i="8"/>
  <c r="C1191" i="8" s="1"/>
  <c r="B1190" i="8"/>
  <c r="C1190" i="8" s="1"/>
  <c r="B1189" i="8"/>
  <c r="C1189" i="8" s="1"/>
  <c r="C1188" i="8"/>
  <c r="B1188" i="8"/>
  <c r="B1187" i="8"/>
  <c r="C1187" i="8" s="1"/>
  <c r="B1186" i="8"/>
  <c r="C1186" i="8" s="1"/>
  <c r="B1185" i="8"/>
  <c r="C1185" i="8" s="1"/>
  <c r="B1184" i="8"/>
  <c r="C1184" i="8" s="1"/>
  <c r="B1183" i="8"/>
  <c r="C1183" i="8" s="1"/>
  <c r="B1182" i="8"/>
  <c r="C1182" i="8" s="1"/>
  <c r="B1181" i="8"/>
  <c r="C1181" i="8" s="1"/>
  <c r="B1180" i="8"/>
  <c r="C1180" i="8" s="1"/>
  <c r="C1179" i="8"/>
  <c r="B1179" i="8"/>
  <c r="B1178" i="8"/>
  <c r="C1178" i="8" s="1"/>
  <c r="B1177" i="8"/>
  <c r="C1177" i="8" s="1"/>
  <c r="B1176" i="8"/>
  <c r="C1176" i="8" s="1"/>
  <c r="B1175" i="8"/>
  <c r="C1175" i="8" s="1"/>
  <c r="B1174" i="8"/>
  <c r="C1174" i="8" s="1"/>
  <c r="B1173" i="8"/>
  <c r="C1173" i="8" s="1"/>
  <c r="B1172" i="8"/>
  <c r="C1172" i="8" s="1"/>
  <c r="B1171" i="8"/>
  <c r="C1171" i="8" s="1"/>
  <c r="B1170" i="8"/>
  <c r="C1170" i="8" s="1"/>
  <c r="B1169" i="8"/>
  <c r="C1169" i="8" s="1"/>
  <c r="B1168" i="8"/>
  <c r="C1168" i="8" s="1"/>
  <c r="B1167" i="8"/>
  <c r="C1167" i="8" s="1"/>
  <c r="B1166" i="8"/>
  <c r="C1166" i="8" s="1"/>
  <c r="C1165" i="8"/>
  <c r="B1165" i="8"/>
  <c r="B1164" i="8"/>
  <c r="C1164" i="8" s="1"/>
  <c r="B1163" i="8"/>
  <c r="C1163" i="8" s="1"/>
  <c r="B1162" i="8"/>
  <c r="C1162" i="8" s="1"/>
  <c r="B1161" i="8"/>
  <c r="C1161" i="8" s="1"/>
  <c r="B1160" i="8"/>
  <c r="C1160" i="8" s="1"/>
  <c r="C1159" i="8"/>
  <c r="B1159" i="8"/>
  <c r="B1158" i="8"/>
  <c r="C1158" i="8" s="1"/>
  <c r="B1157" i="8"/>
  <c r="C1157" i="8" s="1"/>
  <c r="C1156" i="8"/>
  <c r="B1156" i="8"/>
  <c r="B1155" i="8"/>
  <c r="C1155" i="8" s="1"/>
  <c r="B1154" i="8"/>
  <c r="C1154" i="8" s="1"/>
  <c r="B1153" i="8"/>
  <c r="C1153" i="8" s="1"/>
  <c r="B1152" i="8"/>
  <c r="C1152" i="8" s="1"/>
  <c r="B1151" i="8"/>
  <c r="C1151" i="8" s="1"/>
  <c r="B1150" i="8"/>
  <c r="C1150" i="8" s="1"/>
  <c r="B1149" i="8"/>
  <c r="C1149" i="8" s="1"/>
  <c r="B1148" i="8"/>
  <c r="C1148" i="8" s="1"/>
  <c r="C1147" i="8"/>
  <c r="B1147" i="8"/>
  <c r="B1146" i="8"/>
  <c r="C1146" i="8" s="1"/>
  <c r="C1145" i="8"/>
  <c r="B1145" i="8"/>
  <c r="C1144" i="8"/>
  <c r="B1144" i="8"/>
  <c r="B1143" i="8"/>
  <c r="C1143" i="8" s="1"/>
  <c r="B1142" i="8"/>
  <c r="C1142" i="8" s="1"/>
  <c r="B1141" i="8"/>
  <c r="C1141" i="8" s="1"/>
  <c r="C1140" i="8"/>
  <c r="B1140" i="8"/>
  <c r="C1139" i="8"/>
  <c r="B1139" i="8"/>
  <c r="B1138" i="8"/>
  <c r="C1138" i="8" s="1"/>
  <c r="B1137" i="8"/>
  <c r="C1137" i="8" s="1"/>
  <c r="B1136" i="8"/>
  <c r="C1136" i="8" s="1"/>
  <c r="C1135" i="8"/>
  <c r="B1135" i="8"/>
  <c r="B1134" i="8"/>
  <c r="C1134" i="8" s="1"/>
  <c r="C1133" i="8"/>
  <c r="B1133" i="8"/>
  <c r="B1132" i="8"/>
  <c r="C1132" i="8" s="1"/>
  <c r="B1131" i="8"/>
  <c r="C1131" i="8" s="1"/>
  <c r="B1130" i="8"/>
  <c r="C1130" i="8" s="1"/>
  <c r="B1129" i="8"/>
  <c r="C1129" i="8" s="1"/>
  <c r="B1128" i="8"/>
  <c r="C1128" i="8" s="1"/>
  <c r="B1127" i="8"/>
  <c r="C1127" i="8" s="1"/>
  <c r="B1126" i="8"/>
  <c r="C1126" i="8" s="1"/>
  <c r="B1125" i="8"/>
  <c r="C1125" i="8" s="1"/>
  <c r="C1124" i="8"/>
  <c r="B1124" i="8"/>
  <c r="B1123" i="8"/>
  <c r="C1123" i="8" s="1"/>
  <c r="B1122" i="8"/>
  <c r="C1122" i="8" s="1"/>
  <c r="B1121" i="8"/>
  <c r="C1121" i="8" s="1"/>
  <c r="B1120" i="8"/>
  <c r="C1120" i="8" s="1"/>
  <c r="B1119" i="8"/>
  <c r="C1119" i="8" s="1"/>
  <c r="B1118" i="8"/>
  <c r="C1118" i="8" s="1"/>
  <c r="B1117" i="8"/>
  <c r="C1117" i="8" s="1"/>
  <c r="B1116" i="8"/>
  <c r="C1116" i="8" s="1"/>
  <c r="C1115" i="8"/>
  <c r="B1115" i="8"/>
  <c r="B1114" i="8"/>
  <c r="C1114" i="8" s="1"/>
  <c r="C1113" i="8"/>
  <c r="B1113" i="8"/>
  <c r="B1112" i="8"/>
  <c r="C1112" i="8" s="1"/>
  <c r="B1111" i="8"/>
  <c r="C1111" i="8" s="1"/>
  <c r="B1110" i="8"/>
  <c r="C1110" i="8" s="1"/>
  <c r="B1109" i="8"/>
  <c r="C1109" i="8" s="1"/>
  <c r="C1108" i="8"/>
  <c r="B1108" i="8"/>
  <c r="B1107" i="8"/>
  <c r="C1107" i="8" s="1"/>
  <c r="B1106" i="8"/>
  <c r="C1106" i="8" s="1"/>
  <c r="B1105" i="8"/>
  <c r="C1105" i="8" s="1"/>
  <c r="C1104" i="8"/>
  <c r="B1104" i="8"/>
  <c r="C1103" i="8"/>
  <c r="B1103" i="8"/>
  <c r="B1102" i="8"/>
  <c r="C1102" i="8" s="1"/>
  <c r="C1101" i="8"/>
  <c r="B1101" i="8"/>
  <c r="B1100" i="8"/>
  <c r="C1100" i="8" s="1"/>
  <c r="C1099" i="8"/>
  <c r="B1099" i="8"/>
  <c r="B1098" i="8"/>
  <c r="C1098" i="8" s="1"/>
  <c r="B1097" i="8"/>
  <c r="C1097" i="8" s="1"/>
  <c r="B1096" i="8"/>
  <c r="C1096" i="8" s="1"/>
  <c r="B1095" i="8"/>
  <c r="C1095" i="8" s="1"/>
  <c r="B1094" i="8"/>
  <c r="C1094" i="8" s="1"/>
  <c r="B1093" i="8"/>
  <c r="C1093" i="8" s="1"/>
  <c r="C1092" i="8"/>
  <c r="B1092" i="8"/>
  <c r="B1091" i="8"/>
  <c r="C1091" i="8" s="1"/>
  <c r="B1090" i="8"/>
  <c r="C1090" i="8" s="1"/>
  <c r="B1089" i="8"/>
  <c r="C1089" i="8" s="1"/>
  <c r="B1088" i="8"/>
  <c r="C1088" i="8" s="1"/>
  <c r="B1087" i="8"/>
  <c r="C1087" i="8" s="1"/>
  <c r="B1086" i="8"/>
  <c r="C1086" i="8" s="1"/>
  <c r="B1085" i="8"/>
  <c r="C1085" i="8" s="1"/>
  <c r="B1084" i="8"/>
  <c r="C1084" i="8" s="1"/>
  <c r="C1083" i="8"/>
  <c r="B1083" i="8"/>
  <c r="B1082" i="8"/>
  <c r="C1082" i="8" s="1"/>
  <c r="B1081" i="8"/>
  <c r="C1081" i="8" s="1"/>
  <c r="C1080" i="8"/>
  <c r="B1080" i="8"/>
  <c r="C1079" i="8"/>
  <c r="B1079" i="8"/>
  <c r="B1078" i="8"/>
  <c r="C1078" i="8" s="1"/>
  <c r="B1077" i="8"/>
  <c r="C1077" i="8" s="1"/>
  <c r="B1076" i="8"/>
  <c r="C1076" i="8" s="1"/>
  <c r="C1075" i="8"/>
  <c r="B1075" i="8"/>
  <c r="B1074" i="8"/>
  <c r="C1074" i="8" s="1"/>
  <c r="B1073" i="8"/>
  <c r="C1073" i="8" s="1"/>
  <c r="C1072" i="8"/>
  <c r="B1072" i="8"/>
  <c r="B1071" i="8"/>
  <c r="C1071" i="8" s="1"/>
  <c r="B1070" i="8"/>
  <c r="C1070" i="8" s="1"/>
  <c r="C1069" i="8"/>
  <c r="B1069" i="8"/>
  <c r="B1068" i="8"/>
  <c r="C1068" i="8" s="1"/>
  <c r="C1067" i="8"/>
  <c r="B1067" i="8"/>
  <c r="B1066" i="8"/>
  <c r="C1066" i="8" s="1"/>
  <c r="B1065" i="8"/>
  <c r="C1065" i="8" s="1"/>
  <c r="B1064" i="8"/>
  <c r="C1064" i="8" s="1"/>
  <c r="C1063" i="8"/>
  <c r="B1063" i="8"/>
  <c r="B1062" i="8"/>
  <c r="C1062" i="8" s="1"/>
  <c r="B1061" i="8"/>
  <c r="C1061" i="8" s="1"/>
  <c r="C1060" i="8"/>
  <c r="B1060" i="8"/>
  <c r="B1059" i="8"/>
  <c r="C1059" i="8" s="1"/>
  <c r="B1058" i="8"/>
  <c r="C1058" i="8" s="1"/>
  <c r="B1057" i="8"/>
  <c r="C1057" i="8" s="1"/>
  <c r="B1056" i="8"/>
  <c r="C1056" i="8" s="1"/>
  <c r="B1055" i="8"/>
  <c r="C1055" i="8" s="1"/>
  <c r="B1054" i="8"/>
  <c r="C1054" i="8" s="1"/>
  <c r="B1053" i="8"/>
  <c r="C1053" i="8" s="1"/>
  <c r="B1052" i="8"/>
  <c r="C1052" i="8" s="1"/>
  <c r="C1051" i="8"/>
  <c r="B1051" i="8"/>
  <c r="B1050" i="8"/>
  <c r="C1050" i="8" s="1"/>
  <c r="C1049" i="8"/>
  <c r="B1049" i="8"/>
  <c r="C1048" i="8"/>
  <c r="B1048" i="8"/>
  <c r="C1047" i="8"/>
  <c r="B1047" i="8"/>
  <c r="B1046" i="8"/>
  <c r="C1046" i="8" s="1"/>
  <c r="B1045" i="8"/>
  <c r="C1045" i="8" s="1"/>
  <c r="C1044" i="8"/>
  <c r="B1044" i="8"/>
  <c r="C1043" i="8"/>
  <c r="B1043" i="8"/>
  <c r="B1042" i="8"/>
  <c r="C1042" i="8" s="1"/>
  <c r="B1041" i="8"/>
  <c r="C1041" i="8" s="1"/>
  <c r="B1040" i="8"/>
  <c r="C1040" i="8" s="1"/>
  <c r="C1039" i="8"/>
  <c r="B1039" i="8"/>
  <c r="B1038" i="8"/>
  <c r="C1038" i="8" s="1"/>
  <c r="C1037" i="8"/>
  <c r="B1037" i="8"/>
  <c r="B1036" i="8"/>
  <c r="C1036" i="8" s="1"/>
  <c r="B1035" i="8"/>
  <c r="C1035" i="8" s="1"/>
  <c r="B1034" i="8"/>
  <c r="C1034" i="8" s="1"/>
  <c r="B1033" i="8"/>
  <c r="C1033" i="8" s="1"/>
  <c r="B1032" i="8"/>
  <c r="C1032" i="8" s="1"/>
  <c r="C1031" i="8"/>
  <c r="B1031" i="8"/>
  <c r="B1030" i="8"/>
  <c r="C1030" i="8" s="1"/>
  <c r="B1029" i="8"/>
  <c r="C1029" i="8" s="1"/>
  <c r="C1028" i="8"/>
  <c r="B1028" i="8"/>
  <c r="B1027" i="8"/>
  <c r="C1027" i="8" s="1"/>
  <c r="B1026" i="8"/>
  <c r="C1026" i="8" s="1"/>
  <c r="B1025" i="8"/>
  <c r="C1025" i="8" s="1"/>
  <c r="B1024" i="8"/>
  <c r="C1024" i="8" s="1"/>
  <c r="B1023" i="8"/>
  <c r="C1023" i="8" s="1"/>
  <c r="B1022" i="8"/>
  <c r="C1022" i="8" s="1"/>
  <c r="B1021" i="8"/>
  <c r="C1021" i="8" s="1"/>
  <c r="B1020" i="8"/>
  <c r="C1020" i="8" s="1"/>
  <c r="C1019" i="8"/>
  <c r="B1019" i="8"/>
  <c r="B1018" i="8"/>
  <c r="C1018" i="8" s="1"/>
  <c r="C1017" i="8"/>
  <c r="B1017" i="8"/>
  <c r="C1016" i="8"/>
  <c r="B1016" i="8"/>
  <c r="B1015" i="8"/>
  <c r="C1015" i="8" s="1"/>
  <c r="B1014" i="8"/>
  <c r="C1014" i="8" s="1"/>
  <c r="B1013" i="8"/>
  <c r="C1013" i="8" s="1"/>
  <c r="C1012" i="8"/>
  <c r="B1012" i="8"/>
  <c r="C1011" i="8"/>
  <c r="B1011" i="8"/>
  <c r="B1010" i="8"/>
  <c r="C1010" i="8" s="1"/>
  <c r="B1009" i="8"/>
  <c r="C1009" i="8" s="1"/>
  <c r="B1008" i="8"/>
  <c r="C1008" i="8" s="1"/>
  <c r="C1007" i="8"/>
  <c r="B1007" i="8"/>
  <c r="B1006" i="8"/>
  <c r="C1006" i="8" s="1"/>
  <c r="C1005" i="8"/>
  <c r="B1005" i="8"/>
  <c r="B1004" i="8"/>
  <c r="C1004" i="8" s="1"/>
  <c r="B1003" i="8"/>
  <c r="C1003" i="8" s="1"/>
  <c r="B1002" i="8"/>
  <c r="C1002" i="8" s="1"/>
  <c r="B1001" i="8"/>
  <c r="C1001" i="8" s="1"/>
  <c r="B1000" i="8"/>
  <c r="C1000" i="8" s="1"/>
  <c r="B999" i="8"/>
  <c r="C999" i="8" s="1"/>
  <c r="B998" i="8"/>
  <c r="C998" i="8" s="1"/>
  <c r="B997" i="8"/>
  <c r="C997" i="8" s="1"/>
  <c r="C996" i="8"/>
  <c r="B996" i="8"/>
  <c r="B995" i="8"/>
  <c r="C995" i="8" s="1"/>
  <c r="B994" i="8"/>
  <c r="C994" i="8" s="1"/>
  <c r="B993" i="8"/>
  <c r="C993" i="8" s="1"/>
  <c r="C992" i="8"/>
  <c r="B992" i="8"/>
  <c r="B991" i="8"/>
  <c r="C991" i="8" s="1"/>
  <c r="B990" i="8"/>
  <c r="C990" i="8" s="1"/>
  <c r="B989" i="8"/>
  <c r="C989" i="8" s="1"/>
  <c r="B988" i="8"/>
  <c r="C988" i="8" s="1"/>
  <c r="C987" i="8"/>
  <c r="B987" i="8"/>
  <c r="B986" i="8"/>
  <c r="C986" i="8" s="1"/>
  <c r="C985" i="8"/>
  <c r="B985" i="8"/>
  <c r="B984" i="8"/>
  <c r="C984" i="8" s="1"/>
  <c r="B983" i="8"/>
  <c r="C983" i="8" s="1"/>
  <c r="B982" i="8"/>
  <c r="C982" i="8" s="1"/>
  <c r="B981" i="8"/>
  <c r="C981" i="8" s="1"/>
  <c r="C980" i="8"/>
  <c r="B980" i="8"/>
  <c r="B979" i="8"/>
  <c r="C979" i="8" s="1"/>
  <c r="B978" i="8"/>
  <c r="C978" i="8" s="1"/>
  <c r="B977" i="8"/>
  <c r="C977" i="8" s="1"/>
  <c r="C976" i="8"/>
  <c r="B976" i="8"/>
  <c r="C975" i="8"/>
  <c r="B975" i="8"/>
  <c r="B974" i="8"/>
  <c r="C974" i="8" s="1"/>
  <c r="C973" i="8"/>
  <c r="B973" i="8"/>
  <c r="B972" i="8"/>
  <c r="C972" i="8" s="1"/>
  <c r="C971" i="8"/>
  <c r="B971" i="8"/>
  <c r="B970" i="8"/>
  <c r="C970" i="8" s="1"/>
  <c r="B969" i="8"/>
  <c r="C969" i="8" s="1"/>
  <c r="B968" i="8"/>
  <c r="C968" i="8" s="1"/>
  <c r="B967" i="8"/>
  <c r="C967" i="8" s="1"/>
  <c r="B966" i="8"/>
  <c r="C966" i="8" s="1"/>
  <c r="B965" i="8"/>
  <c r="C965" i="8" s="1"/>
  <c r="C964" i="8"/>
  <c r="B964" i="8"/>
  <c r="B963" i="8"/>
  <c r="C963" i="8" s="1"/>
  <c r="B962" i="8"/>
  <c r="C962" i="8" s="1"/>
  <c r="B961" i="8"/>
  <c r="C961" i="8" s="1"/>
  <c r="B960" i="8"/>
  <c r="C960" i="8" s="1"/>
  <c r="B959" i="8"/>
  <c r="C959" i="8" s="1"/>
  <c r="B958" i="8"/>
  <c r="C958" i="8" s="1"/>
  <c r="B957" i="8"/>
  <c r="C957" i="8" s="1"/>
  <c r="C956" i="8"/>
  <c r="B956" i="8"/>
  <c r="C955" i="8"/>
  <c r="B955" i="8"/>
  <c r="B954" i="8"/>
  <c r="C954" i="8" s="1"/>
  <c r="B953" i="8"/>
  <c r="C953" i="8" s="1"/>
  <c r="B952" i="8"/>
  <c r="C952" i="8" s="1"/>
  <c r="C951" i="8"/>
  <c r="B951" i="8"/>
  <c r="B950" i="8"/>
  <c r="C950" i="8" s="1"/>
  <c r="B949" i="8"/>
  <c r="C949" i="8" s="1"/>
  <c r="B948" i="8"/>
  <c r="C948" i="8" s="1"/>
  <c r="C947" i="8"/>
  <c r="B947" i="8"/>
  <c r="B946" i="8"/>
  <c r="C946" i="8" s="1"/>
  <c r="B945" i="8"/>
  <c r="C945" i="8" s="1"/>
  <c r="C944" i="8"/>
  <c r="B944" i="8"/>
  <c r="B943" i="8"/>
  <c r="C943" i="8" s="1"/>
  <c r="B942" i="8"/>
  <c r="C942" i="8" s="1"/>
  <c r="C941" i="8"/>
  <c r="B941" i="8"/>
  <c r="B940" i="8"/>
  <c r="C940" i="8" s="1"/>
  <c r="C939" i="8"/>
  <c r="B939" i="8"/>
  <c r="B938" i="8"/>
  <c r="C938" i="8" s="1"/>
  <c r="B937" i="8"/>
  <c r="C937" i="8" s="1"/>
  <c r="B936" i="8"/>
  <c r="C936" i="8" s="1"/>
  <c r="C935" i="8"/>
  <c r="B935" i="8"/>
  <c r="B934" i="8"/>
  <c r="C934" i="8" s="1"/>
  <c r="B933" i="8"/>
  <c r="C933" i="8" s="1"/>
  <c r="C932" i="8"/>
  <c r="B932" i="8"/>
  <c r="B931" i="8"/>
  <c r="C931" i="8" s="1"/>
  <c r="B930" i="8"/>
  <c r="C930" i="8" s="1"/>
  <c r="B929" i="8"/>
  <c r="C929" i="8" s="1"/>
  <c r="B928" i="8"/>
  <c r="C928" i="8" s="1"/>
  <c r="B927" i="8"/>
  <c r="C927" i="8" s="1"/>
  <c r="B926" i="8"/>
  <c r="C926" i="8" s="1"/>
  <c r="B925" i="8"/>
  <c r="C925" i="8" s="1"/>
  <c r="B924" i="8"/>
  <c r="C924" i="8" s="1"/>
  <c r="C923" i="8"/>
  <c r="B923" i="8"/>
  <c r="B922" i="8"/>
  <c r="C922" i="8" s="1"/>
  <c r="C921" i="8"/>
  <c r="B921" i="8"/>
  <c r="C920" i="8"/>
  <c r="B920" i="8"/>
  <c r="C919" i="8"/>
  <c r="B919" i="8"/>
  <c r="B918" i="8"/>
  <c r="C918" i="8" s="1"/>
  <c r="B917" i="8"/>
  <c r="C917" i="8" s="1"/>
  <c r="C916" i="8"/>
  <c r="B916" i="8"/>
  <c r="C915" i="8"/>
  <c r="B915" i="8"/>
  <c r="B914" i="8"/>
  <c r="C914" i="8" s="1"/>
  <c r="B913" i="8"/>
  <c r="C913" i="8" s="1"/>
  <c r="B912" i="8"/>
  <c r="C912" i="8" s="1"/>
  <c r="B911" i="8"/>
  <c r="C911" i="8" s="1"/>
  <c r="B910" i="8"/>
  <c r="C910" i="8" s="1"/>
  <c r="C909" i="8"/>
  <c r="B909" i="8"/>
  <c r="B908" i="8"/>
  <c r="C908" i="8" s="1"/>
  <c r="B907" i="8"/>
  <c r="C907" i="8" s="1"/>
  <c r="B906" i="8"/>
  <c r="C906" i="8" s="1"/>
  <c r="B905" i="8"/>
  <c r="C905" i="8" s="1"/>
  <c r="B904" i="8"/>
  <c r="C904" i="8" s="1"/>
  <c r="C903" i="8"/>
  <c r="B903" i="8"/>
  <c r="B902" i="8"/>
  <c r="C902" i="8" s="1"/>
  <c r="B901" i="8"/>
  <c r="C901" i="8" s="1"/>
  <c r="C900" i="8"/>
  <c r="B900" i="8"/>
  <c r="B899" i="8"/>
  <c r="C899" i="8" s="1"/>
  <c r="B898" i="8"/>
  <c r="C898" i="8" s="1"/>
  <c r="B897" i="8"/>
  <c r="C897" i="8" s="1"/>
  <c r="B896" i="8"/>
  <c r="C896" i="8" s="1"/>
  <c r="B895" i="8"/>
  <c r="C895" i="8" s="1"/>
  <c r="B894" i="8"/>
  <c r="C894" i="8" s="1"/>
  <c r="B893" i="8"/>
  <c r="C893" i="8" s="1"/>
  <c r="B892" i="8"/>
  <c r="C892" i="8" s="1"/>
  <c r="C891" i="8"/>
  <c r="B891" i="8"/>
  <c r="B890" i="8"/>
  <c r="C890" i="8" s="1"/>
  <c r="C889" i="8"/>
  <c r="B889" i="8"/>
  <c r="C888" i="8"/>
  <c r="B888" i="8"/>
  <c r="B887" i="8"/>
  <c r="C887" i="8" s="1"/>
  <c r="B886" i="8"/>
  <c r="C886" i="8" s="1"/>
  <c r="B885" i="8"/>
  <c r="C885" i="8" s="1"/>
  <c r="C884" i="8"/>
  <c r="B884" i="8"/>
  <c r="C883" i="8"/>
  <c r="B883" i="8"/>
  <c r="B882" i="8"/>
  <c r="C882" i="8" s="1"/>
  <c r="B881" i="8"/>
  <c r="C881" i="8" s="1"/>
  <c r="C880" i="8"/>
  <c r="B880" i="8"/>
  <c r="C879" i="8"/>
  <c r="B879" i="8"/>
  <c r="B878" i="8"/>
  <c r="C878" i="8" s="1"/>
  <c r="C877" i="8"/>
  <c r="B877" i="8"/>
  <c r="B876" i="8"/>
  <c r="C876" i="8" s="1"/>
  <c r="C875" i="8"/>
  <c r="B875" i="8"/>
  <c r="B874" i="8"/>
  <c r="C874" i="8" s="1"/>
  <c r="B873" i="8"/>
  <c r="C873" i="8" s="1"/>
  <c r="B872" i="8"/>
  <c r="C872" i="8" s="1"/>
  <c r="B871" i="8"/>
  <c r="C871" i="8" s="1"/>
  <c r="B870" i="8"/>
  <c r="C870" i="8" s="1"/>
  <c r="B869" i="8"/>
  <c r="C869" i="8" s="1"/>
  <c r="C868" i="8"/>
  <c r="B868" i="8"/>
  <c r="B867" i="8"/>
  <c r="C867" i="8" s="1"/>
  <c r="B866" i="8"/>
  <c r="C866" i="8" s="1"/>
  <c r="B865" i="8"/>
  <c r="C865" i="8" s="1"/>
  <c r="C864" i="8"/>
  <c r="B864" i="8"/>
  <c r="B863" i="8"/>
  <c r="C863" i="8" s="1"/>
  <c r="C862" i="8"/>
  <c r="B862" i="8"/>
  <c r="B861" i="8"/>
  <c r="C861" i="8" s="1"/>
  <c r="B860" i="8"/>
  <c r="C860" i="8" s="1"/>
  <c r="B859" i="8"/>
  <c r="C859" i="8" s="1"/>
  <c r="B858" i="8"/>
  <c r="C858" i="8" s="1"/>
  <c r="B857" i="8"/>
  <c r="C857" i="8" s="1"/>
  <c r="B856" i="8"/>
  <c r="C856" i="8" s="1"/>
  <c r="B855" i="8"/>
  <c r="C855" i="8" s="1"/>
  <c r="C854" i="8"/>
  <c r="B854" i="8"/>
  <c r="C853" i="8"/>
  <c r="B853" i="8"/>
  <c r="B852" i="8"/>
  <c r="C852" i="8" s="1"/>
  <c r="B851" i="8"/>
  <c r="C851" i="8" s="1"/>
  <c r="C850" i="8"/>
  <c r="B850" i="8"/>
  <c r="B849" i="8"/>
  <c r="C849" i="8" s="1"/>
  <c r="B848" i="8"/>
  <c r="C848" i="8" s="1"/>
  <c r="B847" i="8"/>
  <c r="C847" i="8" s="1"/>
  <c r="C846" i="8"/>
  <c r="B846" i="8"/>
  <c r="C845" i="8"/>
  <c r="B845" i="8"/>
  <c r="C844" i="8"/>
  <c r="B844" i="8"/>
  <c r="B843" i="8"/>
  <c r="C843" i="8" s="1"/>
  <c r="B842" i="8"/>
  <c r="C842" i="8" s="1"/>
  <c r="C841" i="8"/>
  <c r="B841" i="8"/>
  <c r="B840" i="8"/>
  <c r="C840" i="8" s="1"/>
  <c r="B839" i="8"/>
  <c r="C839" i="8" s="1"/>
  <c r="B838" i="8"/>
  <c r="C838" i="8" s="1"/>
  <c r="B837" i="8"/>
  <c r="C837" i="8" s="1"/>
  <c r="C836" i="8"/>
  <c r="B836" i="8"/>
  <c r="B835" i="8"/>
  <c r="C835" i="8" s="1"/>
  <c r="B834" i="8"/>
  <c r="C834" i="8" s="1"/>
  <c r="B833" i="8"/>
  <c r="C833" i="8" s="1"/>
  <c r="B832" i="8"/>
  <c r="C832" i="8" s="1"/>
  <c r="B831" i="8"/>
  <c r="C831" i="8" s="1"/>
  <c r="C830" i="8"/>
  <c r="B830" i="8"/>
  <c r="B829" i="8"/>
  <c r="C829" i="8" s="1"/>
  <c r="C828" i="8"/>
  <c r="B828" i="8"/>
  <c r="B827" i="8"/>
  <c r="C827" i="8" s="1"/>
  <c r="B826" i="8"/>
  <c r="C826" i="8" s="1"/>
  <c r="B825" i="8"/>
  <c r="C825" i="8" s="1"/>
  <c r="B824" i="8"/>
  <c r="C824" i="8" s="1"/>
  <c r="B823" i="8"/>
  <c r="C823" i="8" s="1"/>
  <c r="C822" i="8"/>
  <c r="B822" i="8"/>
  <c r="C821" i="8"/>
  <c r="B821" i="8"/>
  <c r="B820" i="8"/>
  <c r="C820" i="8" s="1"/>
  <c r="B819" i="8"/>
  <c r="C819" i="8" s="1"/>
  <c r="B818" i="8"/>
  <c r="C818" i="8" s="1"/>
  <c r="B817" i="8"/>
  <c r="C817" i="8" s="1"/>
  <c r="B816" i="8"/>
  <c r="C816" i="8" s="1"/>
  <c r="B815" i="8"/>
  <c r="C815" i="8" s="1"/>
  <c r="B814" i="8"/>
  <c r="C814" i="8" s="1"/>
  <c r="C813" i="8"/>
  <c r="B813" i="8"/>
  <c r="C812" i="8"/>
  <c r="B812" i="8"/>
  <c r="B811" i="8"/>
  <c r="C811" i="8" s="1"/>
  <c r="B810" i="8"/>
  <c r="C810" i="8" s="1"/>
  <c r="B809" i="8"/>
  <c r="C809" i="8" s="1"/>
  <c r="B808" i="8"/>
  <c r="C808" i="8" s="1"/>
  <c r="B807" i="8"/>
  <c r="C807" i="8" s="1"/>
  <c r="B806" i="8"/>
  <c r="C806" i="8" s="1"/>
  <c r="B805" i="8"/>
  <c r="C805" i="8" s="1"/>
  <c r="C804" i="8"/>
  <c r="B804" i="8"/>
  <c r="B803" i="8"/>
  <c r="C803" i="8" s="1"/>
  <c r="B802" i="8"/>
  <c r="C802" i="8" s="1"/>
  <c r="B801" i="8"/>
  <c r="C801" i="8" s="1"/>
  <c r="C800" i="8"/>
  <c r="B800" i="8"/>
  <c r="B799" i="8"/>
  <c r="C799" i="8" s="1"/>
  <c r="C798" i="8"/>
  <c r="B798" i="8"/>
  <c r="B797" i="8"/>
  <c r="C797" i="8" s="1"/>
  <c r="B796" i="8"/>
  <c r="C796" i="8" s="1"/>
  <c r="B795" i="8"/>
  <c r="C795" i="8" s="1"/>
  <c r="B794" i="8"/>
  <c r="C794" i="8" s="1"/>
  <c r="B793" i="8"/>
  <c r="C793" i="8" s="1"/>
  <c r="B792" i="8"/>
  <c r="C792" i="8" s="1"/>
  <c r="B791" i="8"/>
  <c r="C791" i="8" s="1"/>
  <c r="C790" i="8"/>
  <c r="B790" i="8"/>
  <c r="C789" i="8"/>
  <c r="B789" i="8"/>
  <c r="B788" i="8"/>
  <c r="C788" i="8" s="1"/>
  <c r="B787" i="8"/>
  <c r="C787" i="8" s="1"/>
  <c r="C786" i="8"/>
  <c r="B786" i="8"/>
  <c r="B785" i="8"/>
  <c r="C785" i="8" s="1"/>
  <c r="B784" i="8"/>
  <c r="C784" i="8" s="1"/>
  <c r="B783" i="8"/>
  <c r="C783" i="8" s="1"/>
  <c r="C782" i="8"/>
  <c r="B782" i="8"/>
  <c r="C781" i="8"/>
  <c r="B781" i="8"/>
  <c r="C780" i="8"/>
  <c r="B780" i="8"/>
  <c r="B779" i="8"/>
  <c r="C779" i="8" s="1"/>
  <c r="B778" i="8"/>
  <c r="C778" i="8" s="1"/>
  <c r="C777" i="8"/>
  <c r="B777" i="8"/>
  <c r="B776" i="8"/>
  <c r="C776" i="8" s="1"/>
  <c r="B775" i="8"/>
  <c r="C775" i="8" s="1"/>
  <c r="B774" i="8"/>
  <c r="C774" i="8" s="1"/>
  <c r="B773" i="8"/>
  <c r="C773" i="8" s="1"/>
  <c r="C772" i="8"/>
  <c r="B772" i="8"/>
  <c r="B771" i="8"/>
  <c r="C771" i="8" s="1"/>
  <c r="B770" i="8"/>
  <c r="C770" i="8" s="1"/>
  <c r="B769" i="8"/>
  <c r="C769" i="8" s="1"/>
  <c r="B768" i="8"/>
  <c r="C768" i="8" s="1"/>
  <c r="B767" i="8"/>
  <c r="C767" i="8" s="1"/>
  <c r="C766" i="8"/>
  <c r="B766" i="8"/>
  <c r="B765" i="8"/>
  <c r="C765" i="8" s="1"/>
  <c r="C764" i="8"/>
  <c r="B764" i="8"/>
  <c r="B763" i="8"/>
  <c r="C763" i="8" s="1"/>
  <c r="B762" i="8"/>
  <c r="C762" i="8" s="1"/>
  <c r="B761" i="8"/>
  <c r="C761" i="8" s="1"/>
  <c r="B760" i="8"/>
  <c r="C760" i="8" s="1"/>
  <c r="B759" i="8"/>
  <c r="C759" i="8" s="1"/>
  <c r="C758" i="8"/>
  <c r="B758" i="8"/>
  <c r="C757" i="8"/>
  <c r="B757" i="8"/>
  <c r="B756" i="8"/>
  <c r="C756" i="8" s="1"/>
  <c r="B755" i="8"/>
  <c r="C755" i="8" s="1"/>
  <c r="B754" i="8"/>
  <c r="C754" i="8" s="1"/>
  <c r="B753" i="8"/>
  <c r="C753" i="8" s="1"/>
  <c r="B752" i="8"/>
  <c r="C752" i="8" s="1"/>
  <c r="B751" i="8"/>
  <c r="C751" i="8" s="1"/>
  <c r="B750" i="8"/>
  <c r="C750" i="8" s="1"/>
  <c r="C749" i="8"/>
  <c r="B749" i="8"/>
  <c r="C748" i="8"/>
  <c r="B748" i="8"/>
  <c r="B747" i="8"/>
  <c r="C747" i="8" s="1"/>
  <c r="B746" i="8"/>
  <c r="C746" i="8" s="1"/>
  <c r="B745" i="8"/>
  <c r="C745" i="8" s="1"/>
  <c r="B744" i="8"/>
  <c r="C744" i="8" s="1"/>
  <c r="B743" i="8"/>
  <c r="C743" i="8" s="1"/>
  <c r="B742" i="8"/>
  <c r="C742" i="8" s="1"/>
  <c r="B741" i="8"/>
  <c r="C741" i="8" s="1"/>
  <c r="C740" i="8"/>
  <c r="B740" i="8"/>
  <c r="B739" i="8"/>
  <c r="C739" i="8" s="1"/>
  <c r="B738" i="8"/>
  <c r="C738" i="8" s="1"/>
  <c r="B737" i="8"/>
  <c r="C737" i="8" s="1"/>
  <c r="C736" i="8"/>
  <c r="B736" i="8"/>
  <c r="B735" i="8"/>
  <c r="C735" i="8" s="1"/>
  <c r="C734" i="8"/>
  <c r="B734" i="8"/>
  <c r="B733" i="8"/>
  <c r="C733" i="8" s="1"/>
  <c r="C732" i="8"/>
  <c r="B732" i="8"/>
  <c r="B731" i="8"/>
  <c r="C731" i="8" s="1"/>
  <c r="B730" i="8"/>
  <c r="C730" i="8" s="1"/>
  <c r="B729" i="8"/>
  <c r="C729" i="8" s="1"/>
  <c r="B728" i="8"/>
  <c r="C728" i="8" s="1"/>
  <c r="B727" i="8"/>
  <c r="C727" i="8" s="1"/>
  <c r="C726" i="8"/>
  <c r="B726" i="8"/>
  <c r="C725" i="8"/>
  <c r="B725" i="8"/>
  <c r="B724" i="8"/>
  <c r="C724" i="8" s="1"/>
  <c r="B723" i="8"/>
  <c r="C723" i="8" s="1"/>
  <c r="C722" i="8"/>
  <c r="B722" i="8"/>
  <c r="B721" i="8"/>
  <c r="C721" i="8" s="1"/>
  <c r="B720" i="8"/>
  <c r="C720" i="8" s="1"/>
  <c r="B719" i="8"/>
  <c r="C719" i="8" s="1"/>
  <c r="C718" i="8"/>
  <c r="B718" i="8"/>
  <c r="C717" i="8"/>
  <c r="B717" i="8"/>
  <c r="C716" i="8"/>
  <c r="B716" i="8"/>
  <c r="B715" i="8"/>
  <c r="C715" i="8" s="1"/>
  <c r="B714" i="8"/>
  <c r="C714" i="8" s="1"/>
  <c r="C713" i="8"/>
  <c r="B713" i="8"/>
  <c r="B712" i="8"/>
  <c r="C712" i="8" s="1"/>
  <c r="B711" i="8"/>
  <c r="C711" i="8" s="1"/>
  <c r="B710" i="8"/>
  <c r="C710" i="8" s="1"/>
  <c r="B709" i="8"/>
  <c r="C709" i="8" s="1"/>
  <c r="C708" i="8"/>
  <c r="B708" i="8"/>
  <c r="B707" i="8"/>
  <c r="C707" i="8" s="1"/>
  <c r="B706" i="8"/>
  <c r="C706" i="8" s="1"/>
  <c r="B705" i="8"/>
  <c r="C705" i="8" s="1"/>
  <c r="B704" i="8"/>
  <c r="C704" i="8" s="1"/>
  <c r="B703" i="8"/>
  <c r="C703" i="8" s="1"/>
  <c r="C702" i="8"/>
  <c r="B702" i="8"/>
  <c r="B701" i="8"/>
  <c r="C701" i="8" s="1"/>
  <c r="C700" i="8"/>
  <c r="B700" i="8"/>
  <c r="B699" i="8"/>
  <c r="C699" i="8" s="1"/>
  <c r="B698" i="8"/>
  <c r="C698" i="8" s="1"/>
  <c r="B697" i="8"/>
  <c r="C697" i="8" s="1"/>
  <c r="B696" i="8"/>
  <c r="C696" i="8" s="1"/>
  <c r="B695" i="8"/>
  <c r="C695" i="8" s="1"/>
  <c r="C694" i="8"/>
  <c r="B694" i="8"/>
  <c r="C693" i="8"/>
  <c r="B693" i="8"/>
  <c r="B692" i="8"/>
  <c r="C692" i="8" s="1"/>
  <c r="B691" i="8"/>
  <c r="C691" i="8" s="1"/>
  <c r="B690" i="8"/>
  <c r="C690" i="8" s="1"/>
  <c r="B689" i="8"/>
  <c r="C689" i="8" s="1"/>
  <c r="B688" i="8"/>
  <c r="C688" i="8" s="1"/>
  <c r="B687" i="8"/>
  <c r="C687" i="8" s="1"/>
  <c r="B686" i="8"/>
  <c r="C686" i="8" s="1"/>
  <c r="C685" i="8"/>
  <c r="B685" i="8"/>
  <c r="C684" i="8"/>
  <c r="B684" i="8"/>
  <c r="B683" i="8"/>
  <c r="C683" i="8" s="1"/>
  <c r="B682" i="8"/>
  <c r="C682" i="8" s="1"/>
  <c r="B681" i="8"/>
  <c r="C681" i="8" s="1"/>
  <c r="B680" i="8"/>
  <c r="C680" i="8" s="1"/>
  <c r="B679" i="8"/>
  <c r="C679" i="8" s="1"/>
  <c r="B678" i="8"/>
  <c r="C678" i="8" s="1"/>
  <c r="B677" i="8"/>
  <c r="C677" i="8" s="1"/>
  <c r="C676" i="8"/>
  <c r="B676" i="8"/>
  <c r="B675" i="8"/>
  <c r="C675" i="8" s="1"/>
  <c r="B674" i="8"/>
  <c r="C674" i="8" s="1"/>
  <c r="B673" i="8"/>
  <c r="C673" i="8" s="1"/>
  <c r="C672" i="8"/>
  <c r="B672" i="8"/>
  <c r="B671" i="8"/>
  <c r="C671" i="8" s="1"/>
  <c r="C670" i="8"/>
  <c r="B670" i="8"/>
  <c r="B669" i="8"/>
  <c r="C669" i="8" s="1"/>
  <c r="B668" i="8"/>
  <c r="C668" i="8" s="1"/>
  <c r="B667" i="8"/>
  <c r="C667" i="8" s="1"/>
  <c r="B666" i="8"/>
  <c r="C666" i="8" s="1"/>
  <c r="B665" i="8"/>
  <c r="C665" i="8" s="1"/>
  <c r="B664" i="8"/>
  <c r="C664" i="8" s="1"/>
  <c r="B663" i="8"/>
  <c r="C663" i="8" s="1"/>
  <c r="C662" i="8"/>
  <c r="B662" i="8"/>
  <c r="C661" i="8"/>
  <c r="B661" i="8"/>
  <c r="B660" i="8"/>
  <c r="C660" i="8" s="1"/>
  <c r="B659" i="8"/>
  <c r="C659" i="8" s="1"/>
  <c r="C658" i="8"/>
  <c r="B658" i="8"/>
  <c r="B657" i="8"/>
  <c r="C657" i="8" s="1"/>
  <c r="B656" i="8"/>
  <c r="C656" i="8" s="1"/>
  <c r="B655" i="8"/>
  <c r="C655" i="8" s="1"/>
  <c r="C654" i="8"/>
  <c r="B654" i="8"/>
  <c r="C653" i="8"/>
  <c r="B653" i="8"/>
  <c r="C652" i="8"/>
  <c r="B652" i="8"/>
  <c r="B651" i="8"/>
  <c r="C651" i="8" s="1"/>
  <c r="B650" i="8"/>
  <c r="C650" i="8" s="1"/>
  <c r="C649" i="8"/>
  <c r="B649" i="8"/>
  <c r="B648" i="8"/>
  <c r="C648" i="8" s="1"/>
  <c r="B647" i="8"/>
  <c r="C647" i="8" s="1"/>
  <c r="B646" i="8"/>
  <c r="C646" i="8" s="1"/>
  <c r="B645" i="8"/>
  <c r="C645" i="8" s="1"/>
  <c r="C644" i="8"/>
  <c r="B644" i="8"/>
  <c r="B643" i="8"/>
  <c r="C643" i="8" s="1"/>
  <c r="B642" i="8"/>
  <c r="C642" i="8" s="1"/>
  <c r="B641" i="8"/>
  <c r="C641" i="8" s="1"/>
  <c r="B640" i="8"/>
  <c r="C640" i="8" s="1"/>
  <c r="B639" i="8"/>
  <c r="C639" i="8" s="1"/>
  <c r="C638" i="8"/>
  <c r="B638" i="8"/>
  <c r="B637" i="8"/>
  <c r="C637" i="8" s="1"/>
  <c r="C636" i="8"/>
  <c r="B636" i="8"/>
  <c r="B635" i="8"/>
  <c r="C635" i="8" s="1"/>
  <c r="B634" i="8"/>
  <c r="C634" i="8" s="1"/>
  <c r="B633" i="8"/>
  <c r="C633" i="8" s="1"/>
  <c r="C632" i="8"/>
  <c r="B632" i="8"/>
  <c r="B631" i="8"/>
  <c r="C631" i="8" s="1"/>
  <c r="C630" i="8"/>
  <c r="B630" i="8"/>
  <c r="C629" i="8"/>
  <c r="B629" i="8"/>
  <c r="B628" i="8"/>
  <c r="C628" i="8" s="1"/>
  <c r="B627" i="8"/>
  <c r="C627" i="8" s="1"/>
  <c r="B626" i="8"/>
  <c r="C626" i="8" s="1"/>
  <c r="C625" i="8"/>
  <c r="B625" i="8"/>
  <c r="B624" i="8"/>
  <c r="C624" i="8" s="1"/>
  <c r="B623" i="8"/>
  <c r="C623" i="8" s="1"/>
  <c r="C622" i="8"/>
  <c r="B622" i="8"/>
  <c r="B621" i="8"/>
  <c r="C621" i="8" s="1"/>
  <c r="C620" i="8"/>
  <c r="B620" i="8"/>
  <c r="B619" i="8"/>
  <c r="C619" i="8" s="1"/>
  <c r="C618" i="8"/>
  <c r="B618" i="8"/>
  <c r="C617" i="8"/>
  <c r="B617" i="8"/>
  <c r="C616" i="8"/>
  <c r="B616" i="8"/>
  <c r="B615" i="8"/>
  <c r="C615" i="8" s="1"/>
  <c r="B614" i="8"/>
  <c r="C614" i="8" s="1"/>
  <c r="C613" i="8"/>
  <c r="B613" i="8"/>
  <c r="C612" i="8"/>
  <c r="B612" i="8"/>
  <c r="B611" i="8"/>
  <c r="C611" i="8" s="1"/>
  <c r="B610" i="8"/>
  <c r="C610" i="8" s="1"/>
  <c r="B609" i="8"/>
  <c r="C609" i="8" s="1"/>
  <c r="B608" i="8"/>
  <c r="C608" i="8" s="1"/>
  <c r="B607" i="8"/>
  <c r="C607" i="8" s="1"/>
  <c r="C606" i="8"/>
  <c r="B606" i="8"/>
  <c r="B605" i="8"/>
  <c r="C605" i="8" s="1"/>
  <c r="B604" i="8"/>
  <c r="C604" i="8" s="1"/>
  <c r="B603" i="8"/>
  <c r="C603" i="8" s="1"/>
  <c r="B602" i="8"/>
  <c r="C602" i="8" s="1"/>
  <c r="B601" i="8"/>
  <c r="C601" i="8" s="1"/>
  <c r="C600" i="8"/>
  <c r="B600" i="8"/>
  <c r="B599" i="8"/>
  <c r="C599" i="8" s="1"/>
  <c r="B598" i="8"/>
  <c r="C598" i="8" s="1"/>
  <c r="C597" i="8"/>
  <c r="B597" i="8"/>
  <c r="B596" i="8"/>
  <c r="C596" i="8" s="1"/>
  <c r="B595" i="8"/>
  <c r="C595" i="8" s="1"/>
  <c r="C594" i="8"/>
  <c r="B594" i="8"/>
  <c r="B593" i="8"/>
  <c r="C593" i="8" s="1"/>
  <c r="B592" i="8"/>
  <c r="C592" i="8" s="1"/>
  <c r="B591" i="8"/>
  <c r="C591" i="8" s="1"/>
  <c r="B590" i="8"/>
  <c r="C590" i="8" s="1"/>
  <c r="C589" i="8"/>
  <c r="B589" i="8"/>
  <c r="C588" i="8"/>
  <c r="B588" i="8"/>
  <c r="B587" i="8"/>
  <c r="C587" i="8" s="1"/>
  <c r="C586" i="8"/>
  <c r="B586" i="8"/>
  <c r="C585" i="8"/>
  <c r="B585" i="8"/>
  <c r="B584" i="8"/>
  <c r="C584" i="8" s="1"/>
  <c r="B583" i="8"/>
  <c r="C583" i="8" s="1"/>
  <c r="B582" i="8"/>
  <c r="C582" i="8" s="1"/>
  <c r="C581" i="8"/>
  <c r="B581" i="8"/>
  <c r="C580" i="8"/>
  <c r="B580" i="8"/>
  <c r="B579" i="8"/>
  <c r="C579" i="8" s="1"/>
  <c r="B578" i="8"/>
  <c r="C578" i="8" s="1"/>
  <c r="C577" i="8"/>
  <c r="B577" i="8"/>
  <c r="C576" i="8"/>
  <c r="B576" i="8"/>
  <c r="B575" i="8"/>
  <c r="C575" i="8" s="1"/>
  <c r="C574" i="8"/>
  <c r="B574" i="8"/>
  <c r="B573" i="8"/>
  <c r="C573" i="8" s="1"/>
  <c r="C572" i="8"/>
  <c r="B572" i="8"/>
  <c r="B571" i="8"/>
  <c r="C571" i="8" s="1"/>
  <c r="B570" i="8"/>
  <c r="C570" i="8" s="1"/>
  <c r="B569" i="8"/>
  <c r="C569" i="8" s="1"/>
  <c r="B568" i="8"/>
  <c r="C568" i="8" s="1"/>
  <c r="B567" i="8"/>
  <c r="C567" i="8" s="1"/>
  <c r="B566" i="8"/>
  <c r="C566" i="8" s="1"/>
  <c r="C565" i="8"/>
  <c r="B565" i="8"/>
  <c r="B564" i="8"/>
  <c r="C564" i="8" s="1"/>
  <c r="B563" i="8"/>
  <c r="C563" i="8" s="1"/>
  <c r="B562" i="8"/>
  <c r="C562" i="8" s="1"/>
  <c r="C561" i="8"/>
  <c r="B561" i="8"/>
  <c r="B560" i="8"/>
  <c r="C560" i="8" s="1"/>
  <c r="B559" i="8"/>
  <c r="C559" i="8" s="1"/>
  <c r="C558" i="8"/>
  <c r="B558" i="8"/>
  <c r="B557" i="8"/>
  <c r="C557" i="8" s="1"/>
  <c r="C556" i="8"/>
  <c r="B556" i="8"/>
  <c r="B555" i="8"/>
  <c r="C555" i="8" s="1"/>
  <c r="C554" i="8"/>
  <c r="B554" i="8"/>
  <c r="B553" i="8"/>
  <c r="C553" i="8" s="1"/>
  <c r="B552" i="8"/>
  <c r="C552" i="8" s="1"/>
  <c r="B551" i="8"/>
  <c r="C551" i="8" s="1"/>
  <c r="B550" i="8"/>
  <c r="C550" i="8" s="1"/>
  <c r="C549" i="8"/>
  <c r="B549" i="8"/>
  <c r="B548" i="8"/>
  <c r="C548" i="8" s="1"/>
  <c r="B547" i="8"/>
  <c r="C547" i="8" s="1"/>
  <c r="B546" i="8"/>
  <c r="C546" i="8" s="1"/>
  <c r="C545" i="8"/>
  <c r="B545" i="8"/>
  <c r="C544" i="8"/>
  <c r="B544" i="8"/>
  <c r="B543" i="8"/>
  <c r="C543" i="8" s="1"/>
  <c r="C542" i="8"/>
  <c r="B542" i="8"/>
  <c r="B541" i="8"/>
  <c r="C541" i="8" s="1"/>
  <c r="C540" i="8"/>
  <c r="B540" i="8"/>
  <c r="B539" i="8"/>
  <c r="C539" i="8" s="1"/>
  <c r="C538" i="8"/>
  <c r="B538" i="8"/>
  <c r="B537" i="8"/>
  <c r="C537" i="8" s="1"/>
  <c r="B536" i="8"/>
  <c r="C536" i="8" s="1"/>
  <c r="B535" i="8"/>
  <c r="C535" i="8" s="1"/>
  <c r="B534" i="8"/>
  <c r="C534" i="8" s="1"/>
  <c r="C533" i="8"/>
  <c r="B533" i="8"/>
  <c r="B532" i="8"/>
  <c r="C532" i="8" s="1"/>
  <c r="B531" i="8"/>
  <c r="C531" i="8" s="1"/>
  <c r="B530" i="8"/>
  <c r="C530" i="8" s="1"/>
  <c r="B529" i="8"/>
  <c r="C529" i="8" s="1"/>
  <c r="B528" i="8"/>
  <c r="C528" i="8" s="1"/>
  <c r="B527" i="8"/>
  <c r="C527" i="8" s="1"/>
  <c r="B526" i="8"/>
  <c r="C526" i="8" s="1"/>
  <c r="C525" i="8"/>
  <c r="B525" i="8"/>
  <c r="C524" i="8"/>
  <c r="B524" i="8"/>
  <c r="B523" i="8"/>
  <c r="C523" i="8" s="1"/>
  <c r="B522" i="8"/>
  <c r="C522" i="8" s="1"/>
  <c r="C521" i="8"/>
  <c r="B521" i="8"/>
  <c r="C520" i="8"/>
  <c r="B520" i="8"/>
  <c r="B519" i="8"/>
  <c r="C519" i="8" s="1"/>
  <c r="B518" i="8"/>
  <c r="C518" i="8" s="1"/>
  <c r="B517" i="8"/>
  <c r="C517" i="8" s="1"/>
  <c r="C516" i="8"/>
  <c r="B516" i="8"/>
  <c r="B515" i="8"/>
  <c r="C515" i="8" s="1"/>
  <c r="B514" i="8"/>
  <c r="C514" i="8" s="1"/>
  <c r="C513" i="8"/>
  <c r="B513" i="8"/>
  <c r="B512" i="8"/>
  <c r="C512" i="8" s="1"/>
  <c r="B511" i="8"/>
  <c r="C511" i="8" s="1"/>
  <c r="C510" i="8"/>
  <c r="B510" i="8"/>
  <c r="B509" i="8"/>
  <c r="C509" i="8" s="1"/>
  <c r="C508" i="8"/>
  <c r="B508" i="8"/>
  <c r="B507" i="8"/>
  <c r="C507" i="8" s="1"/>
  <c r="B506" i="8"/>
  <c r="C506" i="8" s="1"/>
  <c r="B505" i="8"/>
  <c r="C505" i="8" s="1"/>
  <c r="C504" i="8"/>
  <c r="B504" i="8"/>
  <c r="B503" i="8"/>
  <c r="C503" i="8" s="1"/>
  <c r="C502" i="8"/>
  <c r="B502" i="8"/>
  <c r="C501" i="8"/>
  <c r="B501" i="8"/>
  <c r="B500" i="8"/>
  <c r="C500" i="8" s="1"/>
  <c r="B499" i="8"/>
  <c r="C499" i="8" s="1"/>
  <c r="B498" i="8"/>
  <c r="C498" i="8" s="1"/>
  <c r="C497" i="8"/>
  <c r="B497" i="8"/>
  <c r="B496" i="8"/>
  <c r="C496" i="8" s="1"/>
  <c r="B495" i="8"/>
  <c r="C495" i="8" s="1"/>
  <c r="B494" i="8"/>
  <c r="C494" i="8" s="1"/>
  <c r="B493" i="8"/>
  <c r="C493" i="8" s="1"/>
  <c r="C492" i="8"/>
  <c r="B492" i="8"/>
  <c r="B491" i="8"/>
  <c r="C491" i="8" s="1"/>
  <c r="B490" i="8"/>
  <c r="C490" i="8" s="1"/>
  <c r="C489" i="8"/>
  <c r="B489" i="8"/>
  <c r="C488" i="8"/>
  <c r="B488" i="8"/>
  <c r="B487" i="8"/>
  <c r="C487" i="8" s="1"/>
  <c r="B486" i="8"/>
  <c r="C486" i="8" s="1"/>
  <c r="B485" i="8"/>
  <c r="C485" i="8" s="1"/>
  <c r="C484" i="8"/>
  <c r="B484" i="8"/>
  <c r="B483" i="8"/>
  <c r="C483" i="8" s="1"/>
  <c r="B482" i="8"/>
  <c r="C482" i="8" s="1"/>
  <c r="B481" i="8"/>
  <c r="C481" i="8" s="1"/>
  <c r="C480" i="8"/>
  <c r="B480" i="8"/>
  <c r="B479" i="8"/>
  <c r="C479" i="8" s="1"/>
  <c r="C478" i="8"/>
  <c r="B478" i="8"/>
  <c r="B477" i="8"/>
  <c r="C477" i="8" s="1"/>
  <c r="B476" i="8"/>
  <c r="C476" i="8" s="1"/>
  <c r="B475" i="8"/>
  <c r="C475" i="8" s="1"/>
  <c r="C474" i="8"/>
  <c r="B474" i="8"/>
  <c r="B473" i="8"/>
  <c r="C473" i="8" s="1"/>
  <c r="C472" i="8"/>
  <c r="B472" i="8"/>
  <c r="B471" i="8"/>
  <c r="C471" i="8" s="1"/>
  <c r="B470" i="8"/>
  <c r="C470" i="8" s="1"/>
  <c r="C469" i="8"/>
  <c r="B469" i="8"/>
  <c r="B468" i="8"/>
  <c r="C468" i="8" s="1"/>
  <c r="B467" i="8"/>
  <c r="C467" i="8" s="1"/>
  <c r="C466" i="8"/>
  <c r="B466" i="8"/>
  <c r="B465" i="8"/>
  <c r="C465" i="8" s="1"/>
  <c r="B464" i="8"/>
  <c r="C464" i="8" s="1"/>
  <c r="B463" i="8"/>
  <c r="C463" i="8" s="1"/>
  <c r="B462" i="8"/>
  <c r="C462" i="8" s="1"/>
  <c r="C461" i="8"/>
  <c r="B461" i="8"/>
  <c r="C460" i="8"/>
  <c r="B460" i="8"/>
  <c r="B459" i="8"/>
  <c r="C459" i="8" s="1"/>
  <c r="C458" i="8"/>
  <c r="B458" i="8"/>
  <c r="C457" i="8"/>
  <c r="B457" i="8"/>
  <c r="B456" i="8"/>
  <c r="C456" i="8" s="1"/>
  <c r="B455" i="8"/>
  <c r="C455" i="8" s="1"/>
  <c r="B454" i="8"/>
  <c r="C454" i="8" s="1"/>
  <c r="C453" i="8"/>
  <c r="B453" i="8"/>
  <c r="C452" i="8"/>
  <c r="B452" i="8"/>
  <c r="B451" i="8"/>
  <c r="C451" i="8" s="1"/>
  <c r="B450" i="8"/>
  <c r="C450" i="8" s="1"/>
  <c r="B449" i="8"/>
  <c r="C449" i="8" s="1"/>
  <c r="C448" i="8"/>
  <c r="B448" i="8"/>
  <c r="B447" i="8"/>
  <c r="C447" i="8" s="1"/>
  <c r="C446" i="8"/>
  <c r="B446" i="8"/>
  <c r="B445" i="8"/>
  <c r="C445" i="8" s="1"/>
  <c r="B444" i="8"/>
  <c r="C444" i="8" s="1"/>
  <c r="B443" i="8"/>
  <c r="C443" i="8" s="1"/>
  <c r="B442" i="8"/>
  <c r="C442" i="8" s="1"/>
  <c r="B441" i="8"/>
  <c r="C441" i="8" s="1"/>
  <c r="B440" i="8"/>
  <c r="C440" i="8" s="1"/>
  <c r="B439" i="8"/>
  <c r="C439" i="8" s="1"/>
  <c r="B438" i="8"/>
  <c r="C438" i="8" s="1"/>
  <c r="C437" i="8"/>
  <c r="B437" i="8"/>
  <c r="B436" i="8"/>
  <c r="C436" i="8" s="1"/>
  <c r="B435" i="8"/>
  <c r="C435" i="8" s="1"/>
  <c r="B434" i="8"/>
  <c r="C434" i="8" s="1"/>
  <c r="B433" i="8"/>
  <c r="C433" i="8" s="1"/>
  <c r="B432" i="8"/>
  <c r="C432" i="8" s="1"/>
  <c r="B431" i="8"/>
  <c r="C431" i="8" s="1"/>
  <c r="C430" i="8"/>
  <c r="B430" i="8"/>
  <c r="B429" i="8"/>
  <c r="C429" i="8" s="1"/>
  <c r="C428" i="8"/>
  <c r="B428" i="8"/>
  <c r="B427" i="8"/>
  <c r="C427" i="8" s="1"/>
  <c r="C426" i="8"/>
  <c r="B426" i="8"/>
  <c r="B425" i="8"/>
  <c r="C425" i="8" s="1"/>
  <c r="C424" i="8"/>
  <c r="B424" i="8"/>
  <c r="B423" i="8"/>
  <c r="C423" i="8" s="1"/>
  <c r="B422" i="8"/>
  <c r="C422" i="8" s="1"/>
  <c r="C421" i="8"/>
  <c r="B421" i="8"/>
  <c r="B420" i="8"/>
  <c r="C420" i="8" s="1"/>
  <c r="B419" i="8"/>
  <c r="C419" i="8" s="1"/>
  <c r="B418" i="8"/>
  <c r="C418" i="8" s="1"/>
  <c r="C417" i="8"/>
  <c r="B417" i="8"/>
  <c r="C416" i="8"/>
  <c r="B416" i="8"/>
  <c r="B415" i="8"/>
  <c r="C415" i="8" s="1"/>
  <c r="C414" i="8"/>
  <c r="B414" i="8"/>
  <c r="B413" i="8"/>
  <c r="C413" i="8" s="1"/>
  <c r="C412" i="8"/>
  <c r="B412" i="8"/>
  <c r="B411" i="8"/>
  <c r="C411" i="8" s="1"/>
  <c r="C410" i="8"/>
  <c r="B410" i="8"/>
  <c r="B409" i="8"/>
  <c r="C409" i="8" s="1"/>
  <c r="C408" i="8"/>
  <c r="B408" i="8"/>
  <c r="B407" i="8"/>
  <c r="C407" i="8" s="1"/>
  <c r="B406" i="8"/>
  <c r="C406" i="8" s="1"/>
  <c r="C405" i="8"/>
  <c r="B405" i="8"/>
  <c r="B404" i="8"/>
  <c r="C404" i="8" s="1"/>
  <c r="B403" i="8"/>
  <c r="C403" i="8" s="1"/>
  <c r="C402" i="8"/>
  <c r="B402" i="8"/>
  <c r="B401" i="8"/>
  <c r="C401" i="8" s="1"/>
  <c r="B400" i="8"/>
  <c r="C400" i="8" s="1"/>
  <c r="B399" i="8"/>
  <c r="C399" i="8" s="1"/>
  <c r="B398" i="8"/>
  <c r="C398" i="8" s="1"/>
  <c r="B397" i="8"/>
  <c r="C397" i="8" s="1"/>
  <c r="C396" i="8"/>
  <c r="B396" i="8"/>
  <c r="B395" i="8"/>
  <c r="C395" i="8" s="1"/>
  <c r="B394" i="8"/>
  <c r="C394" i="8" s="1"/>
  <c r="B393" i="8"/>
  <c r="C393" i="8" s="1"/>
  <c r="C392" i="8"/>
  <c r="B392" i="8"/>
  <c r="B391" i="8"/>
  <c r="C391" i="8" s="1"/>
  <c r="B390" i="8"/>
  <c r="C390" i="8" s="1"/>
  <c r="B389" i="8"/>
  <c r="C389" i="8" s="1"/>
  <c r="C388" i="8"/>
  <c r="B388" i="8"/>
  <c r="B387" i="8"/>
  <c r="C387" i="8" s="1"/>
  <c r="B386" i="8"/>
  <c r="C386" i="8" s="1"/>
  <c r="C385" i="8"/>
  <c r="B385" i="8"/>
  <c r="B384" i="8"/>
  <c r="C384" i="8" s="1"/>
  <c r="B383" i="8"/>
  <c r="C383" i="8" s="1"/>
  <c r="C382" i="8"/>
  <c r="B382" i="8"/>
  <c r="B381" i="8"/>
  <c r="C381" i="8" s="1"/>
  <c r="C380" i="8"/>
  <c r="B380" i="8"/>
  <c r="B379" i="8"/>
  <c r="C379" i="8" s="1"/>
  <c r="B378" i="8"/>
  <c r="C378" i="8" s="1"/>
  <c r="B377" i="8"/>
  <c r="C377" i="8" s="1"/>
  <c r="C376" i="8"/>
  <c r="B376" i="8"/>
  <c r="B375" i="8"/>
  <c r="C375" i="8" s="1"/>
  <c r="C374" i="8"/>
  <c r="B374" i="8"/>
  <c r="C373" i="8"/>
  <c r="B373" i="8"/>
  <c r="B372" i="8"/>
  <c r="C372" i="8" s="1"/>
  <c r="B371" i="8"/>
  <c r="C371" i="8" s="1"/>
  <c r="B370" i="8"/>
  <c r="C370" i="8" s="1"/>
  <c r="C369" i="8"/>
  <c r="B369" i="8"/>
  <c r="B368" i="8"/>
  <c r="C368" i="8" s="1"/>
  <c r="B367" i="8"/>
  <c r="C367" i="8" s="1"/>
  <c r="C366" i="8"/>
  <c r="B366" i="8"/>
  <c r="B365" i="8"/>
  <c r="C365" i="8" s="1"/>
  <c r="C364" i="8"/>
  <c r="B364" i="8"/>
  <c r="B363" i="8"/>
  <c r="C363" i="8" s="1"/>
  <c r="C362" i="8"/>
  <c r="B362" i="8"/>
  <c r="C361" i="8"/>
  <c r="B361" i="8"/>
  <c r="C360" i="8"/>
  <c r="B360" i="8"/>
  <c r="B359" i="8"/>
  <c r="C359" i="8" s="1"/>
  <c r="B358" i="8"/>
  <c r="C358" i="8" s="1"/>
  <c r="C357" i="8"/>
  <c r="B357" i="8"/>
  <c r="C356" i="8"/>
  <c r="B356" i="8"/>
  <c r="B355" i="8"/>
  <c r="C355" i="8" s="1"/>
  <c r="B354" i="8"/>
  <c r="C354" i="8" s="1"/>
  <c r="B353" i="8"/>
  <c r="C353" i="8" s="1"/>
  <c r="B352" i="8"/>
  <c r="C352" i="8" s="1"/>
  <c r="B351" i="8"/>
  <c r="C351" i="8" s="1"/>
  <c r="C350" i="8"/>
  <c r="B350" i="8"/>
  <c r="B349" i="8"/>
  <c r="C349" i="8" s="1"/>
  <c r="B348" i="8"/>
  <c r="C348" i="8" s="1"/>
  <c r="B347" i="8"/>
  <c r="C347" i="8" s="1"/>
  <c r="B346" i="8"/>
  <c r="C346" i="8" s="1"/>
  <c r="B345" i="8"/>
  <c r="C345" i="8" s="1"/>
  <c r="C344" i="8"/>
  <c r="B344" i="8"/>
  <c r="B343" i="8"/>
  <c r="C343" i="8" s="1"/>
  <c r="B342" i="8"/>
  <c r="C342" i="8" s="1"/>
  <c r="C341" i="8"/>
  <c r="B341" i="8"/>
  <c r="B340" i="8"/>
  <c r="C340" i="8" s="1"/>
  <c r="B339" i="8"/>
  <c r="C339" i="8" s="1"/>
  <c r="C338" i="8"/>
  <c r="B338" i="8"/>
  <c r="B337" i="8"/>
  <c r="C337" i="8" s="1"/>
  <c r="B336" i="8"/>
  <c r="C336" i="8" s="1"/>
  <c r="B335" i="8"/>
  <c r="C335" i="8" s="1"/>
  <c r="B334" i="8"/>
  <c r="C334" i="8" s="1"/>
  <c r="C333" i="8"/>
  <c r="B333" i="8"/>
  <c r="C332" i="8"/>
  <c r="B332" i="8"/>
  <c r="B331" i="8"/>
  <c r="C331" i="8" s="1"/>
  <c r="C330" i="8"/>
  <c r="B330" i="8"/>
  <c r="C329" i="8"/>
  <c r="B329" i="8"/>
  <c r="B328" i="8"/>
  <c r="C328" i="8" s="1"/>
  <c r="B327" i="8"/>
  <c r="C327" i="8" s="1"/>
  <c r="B326" i="8"/>
  <c r="C326" i="8" s="1"/>
  <c r="C325" i="8"/>
  <c r="B325" i="8"/>
  <c r="C324" i="8"/>
  <c r="B324" i="8"/>
  <c r="B323" i="8"/>
  <c r="C323" i="8" s="1"/>
  <c r="B322" i="8"/>
  <c r="C322" i="8" s="1"/>
  <c r="C321" i="8"/>
  <c r="B321" i="8"/>
  <c r="C320" i="8"/>
  <c r="B320" i="8"/>
  <c r="B319" i="8"/>
  <c r="C319" i="8" s="1"/>
  <c r="C318" i="8"/>
  <c r="B318" i="8"/>
  <c r="B317" i="8"/>
  <c r="C317" i="8" s="1"/>
  <c r="C316" i="8"/>
  <c r="B316" i="8"/>
  <c r="B315" i="8"/>
  <c r="C315" i="8" s="1"/>
  <c r="B314" i="8"/>
  <c r="C314" i="8" s="1"/>
  <c r="B313" i="8"/>
  <c r="C313" i="8" s="1"/>
  <c r="B312" i="8"/>
  <c r="C312" i="8" s="1"/>
  <c r="B311" i="8"/>
  <c r="C311" i="8" s="1"/>
  <c r="B310" i="8"/>
  <c r="C310" i="8" s="1"/>
  <c r="C309" i="8"/>
  <c r="B309" i="8"/>
  <c r="B308" i="8"/>
  <c r="C308" i="8" s="1"/>
  <c r="B307" i="8"/>
  <c r="C307" i="8" s="1"/>
  <c r="B306" i="8"/>
  <c r="C306" i="8" s="1"/>
  <c r="C305" i="8"/>
  <c r="B305" i="8"/>
  <c r="B304" i="8"/>
  <c r="C304" i="8" s="1"/>
  <c r="C303" i="8"/>
  <c r="B303" i="8"/>
  <c r="B302" i="8"/>
  <c r="C302" i="8" s="1"/>
  <c r="C301" i="8"/>
  <c r="B301" i="8"/>
  <c r="B300" i="8"/>
  <c r="C300" i="8" s="1"/>
  <c r="C299" i="8"/>
  <c r="B299" i="8"/>
  <c r="B298" i="8"/>
  <c r="C298" i="8" s="1"/>
  <c r="C297" i="8"/>
  <c r="B297" i="8"/>
  <c r="B296" i="8"/>
  <c r="C296" i="8" s="1"/>
  <c r="B295" i="8"/>
  <c r="C295" i="8" s="1"/>
  <c r="C294" i="8"/>
  <c r="B294" i="8"/>
  <c r="C293" i="8"/>
  <c r="B293" i="8"/>
  <c r="B292" i="8"/>
  <c r="C292" i="8" s="1"/>
  <c r="C291" i="8"/>
  <c r="B291" i="8"/>
  <c r="C290" i="8"/>
  <c r="B290" i="8"/>
  <c r="C289" i="8"/>
  <c r="B289" i="8"/>
  <c r="B288" i="8"/>
  <c r="C288" i="8" s="1"/>
  <c r="B287" i="8"/>
  <c r="C287" i="8" s="1"/>
  <c r="B286" i="8"/>
  <c r="C286" i="8" s="1"/>
  <c r="C285" i="8"/>
  <c r="B285" i="8"/>
  <c r="B284" i="8"/>
  <c r="C284" i="8" s="1"/>
  <c r="B283" i="8"/>
  <c r="C283" i="8" s="1"/>
  <c r="C282" i="8"/>
  <c r="B282" i="8"/>
  <c r="C281" i="8"/>
  <c r="B281" i="8"/>
  <c r="B280" i="8"/>
  <c r="C280" i="8" s="1"/>
  <c r="B279" i="8"/>
  <c r="C279" i="8" s="1"/>
  <c r="B278" i="8"/>
  <c r="C278" i="8" s="1"/>
  <c r="C277" i="8"/>
  <c r="B277" i="8"/>
  <c r="B276" i="8"/>
  <c r="C276" i="8" s="1"/>
  <c r="B275" i="8"/>
  <c r="C275" i="8" s="1"/>
  <c r="B274" i="8"/>
  <c r="C274" i="8" s="1"/>
  <c r="C273" i="8"/>
  <c r="B273" i="8"/>
  <c r="B272" i="8"/>
  <c r="C272" i="8" s="1"/>
  <c r="C271" i="8"/>
  <c r="B271" i="8"/>
  <c r="B270" i="8"/>
  <c r="C270" i="8" s="1"/>
  <c r="C269" i="8"/>
  <c r="B269" i="8"/>
  <c r="B268" i="8"/>
  <c r="C268" i="8" s="1"/>
  <c r="C267" i="8"/>
  <c r="B267" i="8"/>
  <c r="B266" i="8"/>
  <c r="C266" i="8" s="1"/>
  <c r="C265" i="8"/>
  <c r="B265" i="8"/>
  <c r="B264" i="8"/>
  <c r="C264" i="8" s="1"/>
  <c r="B263" i="8"/>
  <c r="C263" i="8" s="1"/>
  <c r="C262" i="8"/>
  <c r="B262" i="8"/>
  <c r="C261" i="8"/>
  <c r="B261" i="8"/>
  <c r="B260" i="8"/>
  <c r="C260" i="8" s="1"/>
  <c r="B259" i="8"/>
  <c r="C259" i="8" s="1"/>
  <c r="C258" i="8"/>
  <c r="B258" i="8"/>
  <c r="C257" i="8"/>
  <c r="B257" i="8"/>
  <c r="B256" i="8"/>
  <c r="C256" i="8" s="1"/>
  <c r="B255" i="8"/>
  <c r="C255" i="8" s="1"/>
  <c r="C254" i="8"/>
  <c r="B254" i="8"/>
  <c r="C253" i="8"/>
  <c r="B253" i="8"/>
  <c r="B252" i="8"/>
  <c r="C252" i="8" s="1"/>
  <c r="B251" i="8"/>
  <c r="C251" i="8" s="1"/>
  <c r="C250" i="8"/>
  <c r="B250" i="8"/>
  <c r="C249" i="8"/>
  <c r="B249" i="8"/>
  <c r="C248" i="8"/>
  <c r="B248" i="8"/>
  <c r="B247" i="8"/>
  <c r="C247" i="8" s="1"/>
  <c r="C246" i="8"/>
  <c r="B246" i="8"/>
  <c r="C245" i="8"/>
  <c r="B245" i="8"/>
  <c r="B244" i="8"/>
  <c r="C244" i="8" s="1"/>
  <c r="B243" i="8"/>
  <c r="C243" i="8" s="1"/>
  <c r="C242" i="8"/>
  <c r="B242" i="8"/>
  <c r="C241" i="8"/>
  <c r="B241" i="8"/>
  <c r="C240" i="8"/>
  <c r="B240" i="8"/>
  <c r="B239" i="8"/>
  <c r="C239" i="8" s="1"/>
  <c r="C238" i="8"/>
  <c r="B238" i="8"/>
  <c r="C237" i="8"/>
  <c r="B237" i="8"/>
  <c r="B236" i="8"/>
  <c r="C236" i="8" s="1"/>
  <c r="B235" i="8"/>
  <c r="C235" i="8" s="1"/>
  <c r="C234" i="8"/>
  <c r="B234" i="8"/>
  <c r="C233" i="8"/>
  <c r="B233" i="8"/>
  <c r="B232" i="8"/>
  <c r="C232" i="8" s="1"/>
  <c r="B231" i="8"/>
  <c r="C231" i="8" s="1"/>
  <c r="C230" i="8"/>
  <c r="B230" i="8"/>
  <c r="C229" i="8"/>
  <c r="B229" i="8"/>
  <c r="B228" i="8"/>
  <c r="C228" i="8" s="1"/>
  <c r="B227" i="8"/>
  <c r="C227" i="8" s="1"/>
  <c r="C226" i="8"/>
  <c r="B226" i="8"/>
  <c r="C225" i="8"/>
  <c r="B225" i="8"/>
  <c r="B224" i="8"/>
  <c r="C224" i="8" s="1"/>
  <c r="B223" i="8"/>
  <c r="C223" i="8" s="1"/>
  <c r="C222" i="8"/>
  <c r="B222" i="8"/>
  <c r="C221" i="8"/>
  <c r="B221" i="8"/>
  <c r="B220" i="8"/>
  <c r="C220" i="8" s="1"/>
  <c r="B219" i="8"/>
  <c r="C219" i="8" s="1"/>
  <c r="C218" i="8"/>
  <c r="B218" i="8"/>
  <c r="C217" i="8"/>
  <c r="B217" i="8"/>
  <c r="C216" i="8"/>
  <c r="B216" i="8"/>
  <c r="B215" i="8"/>
  <c r="C215" i="8" s="1"/>
  <c r="C214" i="8"/>
  <c r="B214" i="8"/>
  <c r="C213" i="8"/>
  <c r="B213" i="8"/>
  <c r="B212" i="8"/>
  <c r="C212" i="8" s="1"/>
  <c r="B211" i="8"/>
  <c r="C211" i="8" s="1"/>
  <c r="C210" i="8"/>
  <c r="B210" i="8"/>
  <c r="C209" i="8"/>
  <c r="B209" i="8"/>
  <c r="C208" i="8"/>
  <c r="B208" i="8"/>
  <c r="B207" i="8"/>
  <c r="C207" i="8" s="1"/>
  <c r="C206" i="8"/>
  <c r="B206" i="8"/>
  <c r="C205" i="8"/>
  <c r="B205" i="8"/>
  <c r="B204" i="8"/>
  <c r="C204" i="8" s="1"/>
  <c r="B203" i="8"/>
  <c r="C203" i="8" s="1"/>
  <c r="C202" i="8"/>
  <c r="B202" i="8"/>
  <c r="C201" i="8"/>
  <c r="B201" i="8"/>
  <c r="C200" i="8"/>
  <c r="B200" i="8"/>
  <c r="B199" i="8"/>
  <c r="C199" i="8" s="1"/>
  <c r="C198" i="8"/>
  <c r="B198" i="8"/>
  <c r="C197" i="8"/>
  <c r="B197" i="8"/>
  <c r="B196" i="8"/>
  <c r="C196" i="8" s="1"/>
  <c r="B195" i="8"/>
  <c r="C195" i="8" s="1"/>
  <c r="C194" i="8"/>
  <c r="B194" i="8"/>
  <c r="C193" i="8"/>
  <c r="B193" i="8"/>
  <c r="B192" i="8"/>
  <c r="C192" i="8" s="1"/>
  <c r="B191" i="8"/>
  <c r="C191" i="8" s="1"/>
  <c r="C190" i="8"/>
  <c r="B190" i="8"/>
  <c r="C189" i="8"/>
  <c r="B189" i="8"/>
  <c r="B188" i="8"/>
  <c r="C188" i="8" s="1"/>
  <c r="B187" i="8"/>
  <c r="C187" i="8" s="1"/>
  <c r="C186" i="8"/>
  <c r="B186" i="8"/>
  <c r="C185" i="8"/>
  <c r="B185" i="8"/>
  <c r="C184" i="8"/>
  <c r="B184" i="8"/>
  <c r="B183" i="8"/>
  <c r="C183" i="8" s="1"/>
  <c r="C182" i="8"/>
  <c r="B182" i="8"/>
  <c r="C181" i="8"/>
  <c r="B181" i="8"/>
  <c r="B180" i="8"/>
  <c r="C180" i="8" s="1"/>
  <c r="B179" i="8"/>
  <c r="C179" i="8" s="1"/>
  <c r="C178" i="8"/>
  <c r="B178" i="8"/>
  <c r="C177" i="8"/>
  <c r="B177" i="8"/>
  <c r="C176" i="8"/>
  <c r="B176" i="8"/>
  <c r="B175" i="8"/>
  <c r="C175" i="8" s="1"/>
  <c r="C174" i="8"/>
  <c r="B174" i="8"/>
  <c r="C173" i="8"/>
  <c r="B173" i="8"/>
  <c r="B172" i="8"/>
  <c r="C172" i="8" s="1"/>
  <c r="B171" i="8"/>
  <c r="C171" i="8" s="1"/>
  <c r="C170" i="8"/>
  <c r="B170" i="8"/>
  <c r="C169" i="8"/>
  <c r="B169" i="8"/>
  <c r="B168" i="8"/>
  <c r="C168" i="8" s="1"/>
  <c r="B167" i="8"/>
  <c r="C167" i="8" s="1"/>
  <c r="C166" i="8"/>
  <c r="B166" i="8"/>
  <c r="C165" i="8"/>
  <c r="B165" i="8"/>
  <c r="B164" i="8"/>
  <c r="C164" i="8" s="1"/>
  <c r="B163" i="8"/>
  <c r="C163" i="8" s="1"/>
  <c r="C162" i="8"/>
  <c r="B162" i="8"/>
  <c r="C161" i="8"/>
  <c r="B161" i="8"/>
  <c r="B160" i="8"/>
  <c r="C160" i="8" s="1"/>
  <c r="B159" i="8"/>
  <c r="C159" i="8" s="1"/>
  <c r="C158" i="8"/>
  <c r="B158" i="8"/>
  <c r="C157" i="8"/>
  <c r="B157" i="8"/>
  <c r="B156" i="8"/>
  <c r="C156" i="8" s="1"/>
  <c r="B155" i="8"/>
  <c r="C155" i="8" s="1"/>
  <c r="C154" i="8"/>
  <c r="B154" i="8"/>
  <c r="C153" i="8"/>
  <c r="B153" i="8"/>
  <c r="C152" i="8"/>
  <c r="B152" i="8"/>
  <c r="B151" i="8"/>
  <c r="C151" i="8" s="1"/>
  <c r="C150" i="8"/>
  <c r="B150" i="8"/>
  <c r="C149" i="8"/>
  <c r="B149" i="8"/>
  <c r="B148" i="8"/>
  <c r="C148" i="8" s="1"/>
  <c r="B147" i="8"/>
  <c r="C147" i="8" s="1"/>
  <c r="C146" i="8"/>
  <c r="B146" i="8"/>
  <c r="C145" i="8"/>
  <c r="B145" i="8"/>
  <c r="C144" i="8"/>
  <c r="B144" i="8"/>
  <c r="B143" i="8"/>
  <c r="C143" i="8" s="1"/>
  <c r="C142" i="8"/>
  <c r="B142" i="8"/>
  <c r="C141" i="8"/>
  <c r="B141" i="8"/>
  <c r="B140" i="8"/>
  <c r="C140" i="8" s="1"/>
  <c r="B139" i="8"/>
  <c r="C139" i="8" s="1"/>
  <c r="C138" i="8"/>
  <c r="B138" i="8"/>
  <c r="C137" i="8"/>
  <c r="B137" i="8"/>
  <c r="C136" i="8"/>
  <c r="B136" i="8"/>
  <c r="B135" i="8"/>
  <c r="C135" i="8" s="1"/>
  <c r="C134" i="8"/>
  <c r="B134" i="8"/>
  <c r="C133" i="8"/>
  <c r="B133" i="8"/>
  <c r="B132" i="8"/>
  <c r="C132" i="8" s="1"/>
  <c r="B131" i="8"/>
  <c r="C131" i="8" s="1"/>
  <c r="C130" i="8"/>
  <c r="B130" i="8"/>
  <c r="C129" i="8"/>
  <c r="B129" i="8"/>
  <c r="B128" i="8"/>
  <c r="C128" i="8" s="1"/>
  <c r="B127" i="8"/>
  <c r="C127" i="8" s="1"/>
  <c r="C126" i="8"/>
  <c r="B126" i="8"/>
  <c r="C125" i="8"/>
  <c r="B125" i="8"/>
  <c r="B124" i="8"/>
  <c r="C124" i="8" s="1"/>
  <c r="B123" i="8"/>
  <c r="C123" i="8" s="1"/>
  <c r="C122" i="8"/>
  <c r="B122" i="8"/>
  <c r="C121" i="8"/>
  <c r="B121" i="8"/>
  <c r="C120" i="8"/>
  <c r="B120" i="8"/>
  <c r="B119" i="8"/>
  <c r="C119" i="8" s="1"/>
  <c r="C118" i="8"/>
  <c r="B118" i="8"/>
  <c r="C117" i="8"/>
  <c r="B117" i="8"/>
  <c r="B116" i="8"/>
  <c r="C116" i="8" s="1"/>
  <c r="B115" i="8"/>
  <c r="C115" i="8" s="1"/>
  <c r="C114" i="8"/>
  <c r="B114" i="8"/>
  <c r="C113" i="8"/>
  <c r="B113" i="8"/>
  <c r="C112" i="8"/>
  <c r="B112" i="8"/>
  <c r="B111" i="8"/>
  <c r="C111" i="8" s="1"/>
  <c r="C110" i="8"/>
  <c r="B110" i="8"/>
  <c r="C109" i="8"/>
  <c r="B109" i="8"/>
  <c r="B108" i="8"/>
  <c r="C108" i="8" s="1"/>
  <c r="B107" i="8"/>
  <c r="C107" i="8" s="1"/>
  <c r="C106" i="8"/>
  <c r="B106" i="8"/>
  <c r="C105" i="8"/>
  <c r="B105" i="8"/>
  <c r="B104" i="8"/>
  <c r="C104" i="8" s="1"/>
  <c r="B103" i="8"/>
  <c r="C103" i="8" s="1"/>
  <c r="C102" i="8"/>
  <c r="B102" i="8"/>
  <c r="C101" i="8"/>
  <c r="B101" i="8"/>
  <c r="B100" i="8"/>
  <c r="C100" i="8" s="1"/>
  <c r="B99" i="8"/>
  <c r="C99" i="8" s="1"/>
  <c r="C98" i="8"/>
  <c r="B98" i="8"/>
  <c r="C97" i="8"/>
  <c r="B97" i="8"/>
  <c r="B96" i="8"/>
  <c r="C96" i="8" s="1"/>
  <c r="B95" i="8"/>
  <c r="C95" i="8" s="1"/>
  <c r="C94" i="8"/>
  <c r="B94" i="8"/>
  <c r="C93" i="8"/>
  <c r="B93" i="8"/>
  <c r="B92" i="8"/>
  <c r="C92" i="8" s="1"/>
  <c r="B91" i="8"/>
  <c r="C91" i="8" s="1"/>
  <c r="C90" i="8"/>
  <c r="B90" i="8"/>
  <c r="C89" i="8"/>
  <c r="B89" i="8"/>
  <c r="C88" i="8"/>
  <c r="B88" i="8"/>
  <c r="B87" i="8"/>
  <c r="C87" i="8" s="1"/>
  <c r="C86" i="8"/>
  <c r="B86" i="8"/>
  <c r="C85" i="8"/>
  <c r="B85" i="8"/>
  <c r="B84" i="8"/>
  <c r="C84" i="8" s="1"/>
  <c r="B83" i="8"/>
  <c r="C83" i="8" s="1"/>
  <c r="C82" i="8"/>
  <c r="B82" i="8"/>
  <c r="C81" i="8"/>
  <c r="B81" i="8"/>
  <c r="C80" i="8"/>
  <c r="B80" i="8"/>
  <c r="B79" i="8"/>
  <c r="C79" i="8" s="1"/>
  <c r="C78" i="8"/>
  <c r="B78" i="8"/>
  <c r="C77" i="8"/>
  <c r="B77" i="8"/>
  <c r="B76" i="8"/>
  <c r="C76" i="8" s="1"/>
  <c r="B75" i="8"/>
  <c r="C75" i="8" s="1"/>
  <c r="C74" i="8"/>
  <c r="B74" i="8"/>
  <c r="C73" i="8"/>
  <c r="B73" i="8"/>
  <c r="C72" i="8"/>
  <c r="B72" i="8"/>
  <c r="B71" i="8"/>
  <c r="C71" i="8" s="1"/>
  <c r="C70" i="8"/>
  <c r="B70" i="8"/>
  <c r="C69" i="8"/>
  <c r="B69" i="8"/>
  <c r="B68" i="8"/>
  <c r="C68" i="8" s="1"/>
  <c r="B67" i="8"/>
  <c r="C67" i="8" s="1"/>
  <c r="C66" i="8"/>
  <c r="B66" i="8"/>
  <c r="C65" i="8"/>
  <c r="B65" i="8"/>
  <c r="B64" i="8"/>
  <c r="C64" i="8" s="1"/>
  <c r="B63" i="8"/>
  <c r="C63" i="8" s="1"/>
  <c r="C62" i="8"/>
  <c r="B62" i="8"/>
  <c r="C61" i="8"/>
  <c r="B61" i="8"/>
  <c r="B60" i="8"/>
  <c r="C60" i="8" s="1"/>
  <c r="B59" i="8"/>
  <c r="C59" i="8" s="1"/>
  <c r="C58" i="8"/>
  <c r="B58" i="8"/>
  <c r="C57" i="8"/>
  <c r="B57" i="8"/>
  <c r="C56" i="8"/>
  <c r="B56" i="8"/>
  <c r="B55" i="8"/>
  <c r="C55" i="8" s="1"/>
  <c r="C54" i="8"/>
  <c r="B54" i="8"/>
  <c r="C53" i="8"/>
  <c r="B53" i="8"/>
  <c r="B52" i="8"/>
  <c r="C52" i="8" s="1"/>
  <c r="B51" i="8"/>
  <c r="C51" i="8" s="1"/>
  <c r="C50" i="8"/>
  <c r="B50" i="8"/>
  <c r="C49" i="8"/>
  <c r="B49" i="8"/>
  <c r="C48" i="8"/>
  <c r="B48" i="8"/>
  <c r="B47" i="8"/>
  <c r="C47" i="8" s="1"/>
  <c r="C46" i="8"/>
  <c r="B46" i="8"/>
  <c r="C45" i="8"/>
  <c r="B45" i="8"/>
  <c r="B44" i="8"/>
  <c r="C44" i="8" s="1"/>
  <c r="B43" i="8"/>
  <c r="C43" i="8" s="1"/>
  <c r="C42" i="8"/>
  <c r="B42" i="8"/>
  <c r="C41" i="8"/>
  <c r="B41" i="8"/>
  <c r="C40" i="8"/>
  <c r="B40" i="8"/>
  <c r="B39" i="8"/>
  <c r="C39" i="8" s="1"/>
  <c r="C38" i="8"/>
  <c r="B38" i="8"/>
  <c r="C37" i="8"/>
  <c r="B37" i="8"/>
  <c r="B36" i="8"/>
  <c r="C36" i="8" s="1"/>
  <c r="B35" i="8"/>
  <c r="C35" i="8" s="1"/>
  <c r="C34" i="8"/>
  <c r="B34" i="8"/>
  <c r="C33" i="8"/>
  <c r="B33" i="8"/>
  <c r="B32" i="8"/>
  <c r="C32" i="8" s="1"/>
  <c r="B31" i="8"/>
  <c r="C31" i="8" s="1"/>
  <c r="C30" i="8"/>
  <c r="B30" i="8"/>
  <c r="C29" i="8"/>
  <c r="B29" i="8"/>
  <c r="B28" i="8"/>
  <c r="C28" i="8" s="1"/>
  <c r="B27" i="8"/>
  <c r="C27" i="8" s="1"/>
  <c r="C26" i="8"/>
  <c r="B26" i="8"/>
  <c r="C25" i="8"/>
  <c r="B25" i="8"/>
  <c r="C24" i="8"/>
  <c r="B24" i="8"/>
  <c r="B23" i="8"/>
  <c r="C23" i="8" s="1"/>
  <c r="C22" i="8"/>
  <c r="B22" i="8"/>
  <c r="C21" i="8"/>
  <c r="B21" i="8"/>
  <c r="C20" i="8"/>
  <c r="B20" i="8"/>
  <c r="B19" i="8"/>
  <c r="C19" i="8" s="1"/>
  <c r="C18" i="8"/>
  <c r="B18" i="8"/>
  <c r="C17" i="8"/>
  <c r="B17" i="8"/>
  <c r="C16" i="8"/>
  <c r="B16" i="8"/>
  <c r="B15" i="8"/>
  <c r="C15" i="8" s="1"/>
  <c r="C14" i="8"/>
  <c r="B14" i="8"/>
  <c r="C13" i="8"/>
  <c r="B13" i="8"/>
  <c r="C12" i="8"/>
  <c r="B12" i="8"/>
  <c r="B11" i="8"/>
  <c r="C11" i="8" s="1"/>
  <c r="C10" i="8"/>
  <c r="B10" i="8"/>
  <c r="C9" i="8"/>
  <c r="B9" i="8"/>
  <c r="C8" i="8"/>
  <c r="B8" i="8"/>
  <c r="B7" i="8"/>
  <c r="C7" i="8" s="1"/>
  <c r="C6" i="8"/>
  <c r="B6" i="8"/>
  <c r="C5" i="8"/>
  <c r="B5" i="8"/>
  <c r="C4" i="8"/>
  <c r="B4" i="8"/>
  <c r="B3" i="8"/>
  <c r="C3" i="8" s="1"/>
  <c r="C2" i="8"/>
  <c r="B4" i="7"/>
  <c r="B3" i="7"/>
  <c r="A56" i="6"/>
  <c r="O22" i="6"/>
  <c r="N22" i="6"/>
  <c r="M22" i="6"/>
  <c r="L22" i="6"/>
  <c r="O21" i="6"/>
  <c r="N21" i="6"/>
  <c r="M21" i="6"/>
  <c r="L21" i="6"/>
  <c r="O20" i="6"/>
  <c r="N20" i="6"/>
  <c r="M20" i="6"/>
  <c r="L20" i="6"/>
  <c r="O19" i="6"/>
  <c r="N19" i="6"/>
  <c r="M19" i="6"/>
  <c r="L19" i="6"/>
  <c r="O18" i="6"/>
  <c r="N18" i="6"/>
  <c r="M18" i="6"/>
  <c r="L18" i="6"/>
  <c r="O17" i="6"/>
  <c r="N17" i="6"/>
  <c r="M17" i="6"/>
  <c r="L17" i="6"/>
  <c r="O16" i="6"/>
  <c r="N16" i="6"/>
  <c r="M16" i="6"/>
  <c r="L16" i="6"/>
  <c r="O15" i="6"/>
  <c r="N15" i="6"/>
  <c r="M15" i="6"/>
  <c r="L15" i="6"/>
  <c r="O14" i="6"/>
  <c r="N14" i="6"/>
  <c r="M14" i="6"/>
  <c r="L14" i="6"/>
  <c r="O13" i="6"/>
  <c r="N13" i="6"/>
  <c r="M13" i="6"/>
  <c r="L13" i="6"/>
  <c r="AF2" i="6"/>
  <c r="K2" i="5" a="1"/>
  <c r="H2" i="5" a="1"/>
  <c r="D2" i="5" a="1"/>
  <c r="D3" i="5" s="1"/>
  <c r="E3" i="5" s="1"/>
  <c r="A2" i="5" a="1"/>
  <c r="A2" i="5" s="1"/>
  <c r="L2" i="5" s="1"/>
  <c r="X55" i="4"/>
  <c r="W55" i="4"/>
  <c r="V55" i="4"/>
  <c r="U55" i="4"/>
  <c r="T55" i="4"/>
  <c r="A55" i="4"/>
  <c r="W54" i="4"/>
  <c r="V54" i="4"/>
  <c r="U54" i="4"/>
  <c r="T54" i="4"/>
  <c r="X54" i="4" s="1"/>
  <c r="A54" i="4"/>
  <c r="W53" i="4"/>
  <c r="V53" i="4"/>
  <c r="U53" i="4"/>
  <c r="T53" i="4"/>
  <c r="X53" i="4" s="1"/>
  <c r="A53" i="4"/>
  <c r="X52" i="4"/>
  <c r="W52" i="4"/>
  <c r="V52" i="4"/>
  <c r="U52" i="4"/>
  <c r="T52" i="4"/>
  <c r="A52" i="4"/>
  <c r="W51" i="4"/>
  <c r="V51" i="4"/>
  <c r="U51" i="4"/>
  <c r="T51" i="4"/>
  <c r="X51" i="4" s="1"/>
  <c r="A51" i="4"/>
  <c r="W50" i="4"/>
  <c r="V50" i="4"/>
  <c r="U50" i="4"/>
  <c r="T50" i="4"/>
  <c r="A50" i="4"/>
  <c r="X49" i="4"/>
  <c r="W49" i="4"/>
  <c r="V49" i="4"/>
  <c r="U49" i="4"/>
  <c r="T49" i="4"/>
  <c r="A49" i="4"/>
  <c r="W48" i="4"/>
  <c r="V48" i="4"/>
  <c r="X48" i="4" s="1"/>
  <c r="U48" i="4"/>
  <c r="T48" i="4"/>
  <c r="A48" i="4"/>
  <c r="X47" i="4"/>
  <c r="W47" i="4"/>
  <c r="V47" i="4"/>
  <c r="U47" i="4"/>
  <c r="T47" i="4"/>
  <c r="A47" i="4"/>
  <c r="W46" i="4"/>
  <c r="V46" i="4"/>
  <c r="U46" i="4"/>
  <c r="T46" i="4"/>
  <c r="X46" i="4" s="1"/>
  <c r="A46" i="4"/>
  <c r="W45" i="4"/>
  <c r="V45" i="4"/>
  <c r="U45" i="4"/>
  <c r="T45" i="4"/>
  <c r="X45" i="4" s="1"/>
  <c r="A45" i="4"/>
  <c r="X44" i="4"/>
  <c r="W44" i="4"/>
  <c r="V44" i="4"/>
  <c r="U44" i="4"/>
  <c r="T44" i="4"/>
  <c r="A44" i="4"/>
  <c r="X43" i="4"/>
  <c r="W43" i="4"/>
  <c r="V43" i="4"/>
  <c r="U43" i="4"/>
  <c r="T43" i="4"/>
  <c r="A43" i="4"/>
  <c r="W42" i="4"/>
  <c r="V42" i="4"/>
  <c r="U42" i="4"/>
  <c r="T42" i="4"/>
  <c r="A42" i="4"/>
  <c r="W41" i="4"/>
  <c r="V41" i="4"/>
  <c r="U41" i="4"/>
  <c r="T41" i="4"/>
  <c r="A41" i="4"/>
  <c r="X40" i="4"/>
  <c r="W40" i="4"/>
  <c r="V40" i="4"/>
  <c r="U40" i="4"/>
  <c r="T40" i="4"/>
  <c r="A40" i="4"/>
  <c r="W39" i="4"/>
  <c r="V39" i="4"/>
  <c r="U39" i="4"/>
  <c r="T39" i="4"/>
  <c r="X39" i="4" s="1"/>
  <c r="A39" i="4"/>
  <c r="W38" i="4"/>
  <c r="V38" i="4"/>
  <c r="U38" i="4"/>
  <c r="T38" i="4"/>
  <c r="X38" i="4" s="1"/>
  <c r="A38" i="4"/>
  <c r="X37" i="4"/>
  <c r="W37" i="4"/>
  <c r="V37" i="4"/>
  <c r="U37" i="4"/>
  <c r="T37" i="4"/>
  <c r="A37" i="4"/>
  <c r="W36" i="4"/>
  <c r="X36" i="4" s="1"/>
  <c r="V36" i="4"/>
  <c r="U36" i="4"/>
  <c r="T36" i="4"/>
  <c r="A36" i="4"/>
  <c r="W35" i="4"/>
  <c r="V35" i="4"/>
  <c r="U35" i="4"/>
  <c r="X35" i="4" s="1"/>
  <c r="T35" i="4"/>
  <c r="A35" i="4"/>
  <c r="W34" i="4"/>
  <c r="V34" i="4"/>
  <c r="U34" i="4"/>
  <c r="T34" i="4"/>
  <c r="A34" i="4"/>
  <c r="W33" i="4"/>
  <c r="V33" i="4"/>
  <c r="U33" i="4"/>
  <c r="T33" i="4"/>
  <c r="A33" i="4"/>
  <c r="W32" i="4"/>
  <c r="X32" i="4" s="1"/>
  <c r="V32" i="4"/>
  <c r="U32" i="4"/>
  <c r="T32" i="4"/>
  <c r="A32" i="4"/>
  <c r="W31" i="4"/>
  <c r="V31" i="4"/>
  <c r="U31" i="4"/>
  <c r="T31" i="4"/>
  <c r="X31" i="4" s="1"/>
  <c r="A31" i="4"/>
  <c r="W30" i="4"/>
  <c r="V30" i="4"/>
  <c r="U30" i="4"/>
  <c r="T30" i="4"/>
  <c r="A30" i="4"/>
  <c r="W29" i="4"/>
  <c r="V29" i="4"/>
  <c r="U29" i="4"/>
  <c r="T29" i="4"/>
  <c r="A29" i="4"/>
  <c r="W28" i="4"/>
  <c r="V28" i="4"/>
  <c r="X28" i="4" s="1"/>
  <c r="U28" i="4"/>
  <c r="T28" i="4"/>
  <c r="A28" i="4"/>
  <c r="W27" i="4"/>
  <c r="V27" i="4"/>
  <c r="U27" i="4"/>
  <c r="T27" i="4"/>
  <c r="A27" i="4"/>
  <c r="W26" i="4"/>
  <c r="V26" i="4"/>
  <c r="U26" i="4"/>
  <c r="T26" i="4"/>
  <c r="A26" i="4"/>
  <c r="W25" i="4"/>
  <c r="X25" i="4" s="1"/>
  <c r="V25" i="4"/>
  <c r="U25" i="4"/>
  <c r="T25" i="4"/>
  <c r="A25" i="4"/>
  <c r="W24" i="4"/>
  <c r="V24" i="4"/>
  <c r="U24" i="4"/>
  <c r="T24" i="4"/>
  <c r="A24" i="4"/>
  <c r="X23" i="4"/>
  <c r="W23" i="4"/>
  <c r="V23" i="4"/>
  <c r="U23" i="4"/>
  <c r="T23" i="4"/>
  <c r="A23" i="4"/>
  <c r="W22" i="4"/>
  <c r="V22" i="4"/>
  <c r="U22" i="4"/>
  <c r="T22" i="4"/>
  <c r="X22" i="4" s="1"/>
  <c r="A22" i="4"/>
  <c r="W21" i="4"/>
  <c r="V21" i="4"/>
  <c r="U21" i="4"/>
  <c r="T21" i="4"/>
  <c r="A21" i="4"/>
  <c r="W20" i="4"/>
  <c r="X20" i="4" s="1"/>
  <c r="V20" i="4"/>
  <c r="U20" i="4"/>
  <c r="T20" i="4"/>
  <c r="A20" i="4"/>
  <c r="W19" i="4"/>
  <c r="V19" i="4"/>
  <c r="U19" i="4"/>
  <c r="T19" i="4"/>
  <c r="X19" i="4" s="1"/>
  <c r="A19" i="4"/>
  <c r="W18" i="4"/>
  <c r="V18" i="4"/>
  <c r="U18" i="4"/>
  <c r="T18" i="4"/>
  <c r="A18" i="4"/>
  <c r="X17" i="4"/>
  <c r="W17" i="4"/>
  <c r="V17" i="4"/>
  <c r="U17" i="4"/>
  <c r="T17" i="4"/>
  <c r="A17" i="4"/>
  <c r="W16" i="4"/>
  <c r="V16" i="4"/>
  <c r="X16" i="4" s="1"/>
  <c r="U16" i="4"/>
  <c r="T16" i="4"/>
  <c r="A16" i="4"/>
  <c r="W15" i="4"/>
  <c r="V15" i="4"/>
  <c r="U15" i="4"/>
  <c r="T15" i="4"/>
  <c r="X15" i="4" s="1"/>
  <c r="A15" i="4"/>
  <c r="W14" i="4"/>
  <c r="V14" i="4"/>
  <c r="U14" i="4"/>
  <c r="T14" i="4"/>
  <c r="A14" i="4"/>
  <c r="W13" i="4"/>
  <c r="V13" i="4"/>
  <c r="U13" i="4"/>
  <c r="T13" i="4"/>
  <c r="X13" i="4" s="1"/>
  <c r="A13" i="4"/>
  <c r="W12" i="4"/>
  <c r="V12" i="4"/>
  <c r="U12" i="4"/>
  <c r="X12" i="4" s="1"/>
  <c r="T12" i="4"/>
  <c r="A12" i="4"/>
  <c r="W11" i="4"/>
  <c r="V11" i="4"/>
  <c r="U11" i="4"/>
  <c r="T11" i="4"/>
  <c r="X11" i="4" s="1"/>
  <c r="A11" i="4"/>
  <c r="W10" i="4"/>
  <c r="V10" i="4"/>
  <c r="U10" i="4"/>
  <c r="T10" i="4"/>
  <c r="X10" i="4" s="1"/>
  <c r="A10" i="4"/>
  <c r="W9" i="4"/>
  <c r="V9" i="4"/>
  <c r="U9" i="4"/>
  <c r="T9" i="4"/>
  <c r="X9" i="4" s="1"/>
  <c r="A9" i="4"/>
  <c r="W8" i="4"/>
  <c r="V8" i="4"/>
  <c r="X8" i="4" s="1"/>
  <c r="U8" i="4"/>
  <c r="T8" i="4"/>
  <c r="A8" i="4"/>
  <c r="W7" i="4"/>
  <c r="V7" i="4"/>
  <c r="U7" i="4"/>
  <c r="X7" i="4" s="1"/>
  <c r="T7" i="4"/>
  <c r="A7" i="4"/>
  <c r="W6" i="4"/>
  <c r="V6" i="4"/>
  <c r="U6" i="4"/>
  <c r="T6" i="4"/>
  <c r="A6" i="4"/>
  <c r="W5" i="4"/>
  <c r="V5" i="4"/>
  <c r="X5" i="4" s="1"/>
  <c r="U5" i="4"/>
  <c r="T5" i="4"/>
  <c r="A5" i="4"/>
  <c r="W4" i="4"/>
  <c r="V4" i="4"/>
  <c r="U4" i="4"/>
  <c r="X4" i="4" s="1"/>
  <c r="T4" i="4"/>
  <c r="A4" i="4"/>
  <c r="X3" i="4"/>
  <c r="W3" i="4"/>
  <c r="V3" i="4"/>
  <c r="U3" i="4"/>
  <c r="T3" i="4"/>
  <c r="A3" i="4"/>
  <c r="W2" i="4"/>
  <c r="V2" i="4"/>
  <c r="U2" i="4"/>
  <c r="T2" i="4"/>
  <c r="A2" i="4"/>
  <c r="B21" i="3"/>
  <c r="B20" i="3"/>
  <c r="B19" i="3"/>
  <c r="B17" i="3"/>
  <c r="B16" i="3"/>
  <c r="B15" i="3"/>
  <c r="B14" i="3"/>
  <c r="B13" i="3"/>
  <c r="B8" i="3"/>
  <c r="B7" i="3"/>
  <c r="B6" i="3"/>
  <c r="B5" i="3"/>
  <c r="AO1201" i="2"/>
  <c r="AN1201" i="2"/>
  <c r="AM1201" i="2"/>
  <c r="AL1201" i="2"/>
  <c r="AK1201" i="2"/>
  <c r="AJ1201" i="2"/>
  <c r="AI1201" i="2"/>
  <c r="AH1201" i="2"/>
  <c r="AG1201" i="2"/>
  <c r="AF1201" i="2"/>
  <c r="AE1201" i="2"/>
  <c r="AD1201" i="2"/>
  <c r="AC1201" i="2"/>
  <c r="AB1201" i="2"/>
  <c r="AA1201" i="2"/>
  <c r="Z1201" i="2"/>
  <c r="Y1201" i="2"/>
  <c r="X1201" i="2"/>
  <c r="W1201" i="2"/>
  <c r="V1201" i="2"/>
  <c r="U1201" i="2"/>
  <c r="S1201" i="2"/>
  <c r="R1201" i="2"/>
  <c r="Q1201" i="2"/>
  <c r="P1201" i="2"/>
  <c r="O1201" i="2"/>
  <c r="N1201" i="2"/>
  <c r="M1201" i="2"/>
  <c r="L1201" i="2"/>
  <c r="K1201" i="2"/>
  <c r="J1201" i="2"/>
  <c r="I1201" i="2"/>
  <c r="H1201" i="2"/>
  <c r="G1201" i="2"/>
  <c r="F1201" i="2"/>
  <c r="E1201" i="2"/>
  <c r="D1201" i="2"/>
  <c r="C1201" i="2"/>
  <c r="A1201" i="2"/>
  <c r="AO1200" i="2"/>
  <c r="AN1200" i="2"/>
  <c r="AM1200" i="2"/>
  <c r="AK1200" i="2"/>
  <c r="AJ1200" i="2"/>
  <c r="AI1200" i="2"/>
  <c r="AH1200" i="2"/>
  <c r="AG1200" i="2"/>
  <c r="AF1200" i="2"/>
  <c r="AE1200" i="2"/>
  <c r="AC1200" i="2"/>
  <c r="AB1200" i="2"/>
  <c r="AA1200" i="2"/>
  <c r="Z1200" i="2"/>
  <c r="Y1200" i="2"/>
  <c r="X1200" i="2"/>
  <c r="W1200" i="2"/>
  <c r="V1200" i="2"/>
  <c r="U1200" i="2"/>
  <c r="S1200" i="2"/>
  <c r="R1200" i="2"/>
  <c r="Q1200" i="2"/>
  <c r="P1200" i="2"/>
  <c r="O1200" i="2"/>
  <c r="N1200" i="2"/>
  <c r="M1200" i="2"/>
  <c r="L1200" i="2"/>
  <c r="K1200" i="2"/>
  <c r="J1200" i="2"/>
  <c r="I1200" i="2"/>
  <c r="H1200" i="2"/>
  <c r="G1200" i="2"/>
  <c r="F1200" i="2"/>
  <c r="E1200" i="2"/>
  <c r="D1200" i="2"/>
  <c r="C1200" i="2"/>
  <c r="A1200" i="2"/>
  <c r="AO1199" i="2"/>
  <c r="AN1199" i="2"/>
  <c r="AM1199" i="2"/>
  <c r="AK1199" i="2"/>
  <c r="AJ1199" i="2"/>
  <c r="AI1199" i="2"/>
  <c r="AH1199" i="2"/>
  <c r="AG1199" i="2"/>
  <c r="AF1199" i="2"/>
  <c r="AE1199" i="2"/>
  <c r="AC1199" i="2"/>
  <c r="AB1199" i="2"/>
  <c r="AA1199" i="2"/>
  <c r="Z1199" i="2"/>
  <c r="Y1199" i="2"/>
  <c r="X1199" i="2"/>
  <c r="W1199" i="2"/>
  <c r="V1199" i="2"/>
  <c r="U1199" i="2"/>
  <c r="S1199" i="2"/>
  <c r="R1199" i="2"/>
  <c r="Q1199" i="2"/>
  <c r="P1199" i="2"/>
  <c r="O1199" i="2"/>
  <c r="N1199" i="2"/>
  <c r="M1199" i="2"/>
  <c r="L1199" i="2"/>
  <c r="K1199" i="2"/>
  <c r="J1199" i="2"/>
  <c r="I1199" i="2"/>
  <c r="H1199" i="2"/>
  <c r="G1199" i="2"/>
  <c r="F1199" i="2"/>
  <c r="E1199" i="2"/>
  <c r="D1199" i="2"/>
  <c r="C1199" i="2"/>
  <c r="A1199" i="2"/>
  <c r="AO1198" i="2"/>
  <c r="AN1198" i="2"/>
  <c r="AM1198" i="2"/>
  <c r="AL1198" i="2"/>
  <c r="AK1198" i="2"/>
  <c r="AJ1198" i="2"/>
  <c r="AI1198" i="2"/>
  <c r="AH1198" i="2"/>
  <c r="AG1198" i="2"/>
  <c r="AF1198" i="2"/>
  <c r="AE1198" i="2"/>
  <c r="AD1198" i="2"/>
  <c r="AC1198" i="2"/>
  <c r="AB1198" i="2"/>
  <c r="AA1198" i="2"/>
  <c r="Z1198" i="2"/>
  <c r="Y1198" i="2"/>
  <c r="X1198" i="2"/>
  <c r="W1198" i="2"/>
  <c r="V1198" i="2"/>
  <c r="U1198" i="2"/>
  <c r="S1198" i="2"/>
  <c r="R1198" i="2"/>
  <c r="Q1198" i="2"/>
  <c r="P1198" i="2"/>
  <c r="O1198" i="2"/>
  <c r="N1198" i="2"/>
  <c r="M1198" i="2"/>
  <c r="L1198" i="2"/>
  <c r="K1198" i="2"/>
  <c r="J1198" i="2"/>
  <c r="I1198" i="2"/>
  <c r="H1198" i="2"/>
  <c r="G1198" i="2"/>
  <c r="F1198" i="2"/>
  <c r="E1198" i="2"/>
  <c r="D1198" i="2"/>
  <c r="C1198" i="2"/>
  <c r="A1198" i="2"/>
  <c r="AO1197" i="2"/>
  <c r="AN1197" i="2"/>
  <c r="AM1197" i="2"/>
  <c r="AL1197" i="2"/>
  <c r="AK1197" i="2"/>
  <c r="AJ1197" i="2"/>
  <c r="AI1197" i="2"/>
  <c r="AG1197" i="2"/>
  <c r="AF1197" i="2"/>
  <c r="AE1197" i="2"/>
  <c r="AC1197" i="2"/>
  <c r="AB1197" i="2"/>
  <c r="AA1197" i="2"/>
  <c r="X1197" i="2"/>
  <c r="W1197" i="2"/>
  <c r="V1197" i="2"/>
  <c r="U1197" i="2"/>
  <c r="R1197" i="2"/>
  <c r="Q1197" i="2"/>
  <c r="P1197" i="2"/>
  <c r="O1197" i="2"/>
  <c r="N1197" i="2"/>
  <c r="M1197" i="2"/>
  <c r="L1197" i="2"/>
  <c r="K1197" i="2"/>
  <c r="J1197" i="2"/>
  <c r="I1197" i="2"/>
  <c r="H1197" i="2"/>
  <c r="G1197" i="2"/>
  <c r="F1197" i="2"/>
  <c r="E1197" i="2"/>
  <c r="D1197" i="2"/>
  <c r="C1197" i="2"/>
  <c r="B1197" i="2"/>
  <c r="A1197" i="2"/>
  <c r="AO1196" i="2"/>
  <c r="AN1196" i="2"/>
  <c r="AM1196" i="2"/>
  <c r="AL1196" i="2"/>
  <c r="AK1196" i="2"/>
  <c r="AJ1196" i="2"/>
  <c r="AI1196" i="2"/>
  <c r="AH1196" i="2"/>
  <c r="AG1196" i="2"/>
  <c r="AF1196" i="2"/>
  <c r="AE1196" i="2"/>
  <c r="AD1196" i="2"/>
  <c r="AC1196" i="2"/>
  <c r="AB1196" i="2"/>
  <c r="AA1196" i="2"/>
  <c r="Y1196" i="2"/>
  <c r="X1196" i="2"/>
  <c r="W1196" i="2"/>
  <c r="V1196" i="2"/>
  <c r="U1196" i="2"/>
  <c r="S1196" i="2"/>
  <c r="R1196" i="2"/>
  <c r="Q1196" i="2"/>
  <c r="P1196" i="2"/>
  <c r="O1196" i="2"/>
  <c r="N1196" i="2"/>
  <c r="M1196" i="2"/>
  <c r="L1196" i="2"/>
  <c r="K1196" i="2"/>
  <c r="J1196" i="2"/>
  <c r="I1196" i="2"/>
  <c r="H1196" i="2"/>
  <c r="G1196" i="2"/>
  <c r="F1196" i="2"/>
  <c r="E1196" i="2"/>
  <c r="D1196" i="2"/>
  <c r="C1196" i="2"/>
  <c r="A1196" i="2"/>
  <c r="AO1195" i="2"/>
  <c r="AN1195" i="2"/>
  <c r="AM1195" i="2"/>
  <c r="AK1195" i="2"/>
  <c r="AJ1195" i="2"/>
  <c r="AI1195" i="2"/>
  <c r="AH1195" i="2"/>
  <c r="AG1195" i="2"/>
  <c r="AF1195" i="2"/>
  <c r="AE1195" i="2"/>
  <c r="AC1195" i="2"/>
  <c r="AB1195" i="2"/>
  <c r="AA1195" i="2"/>
  <c r="Z1195" i="2"/>
  <c r="Y1195" i="2"/>
  <c r="X1195" i="2"/>
  <c r="W1195" i="2"/>
  <c r="V1195" i="2"/>
  <c r="U1195" i="2"/>
  <c r="S1195" i="2"/>
  <c r="R1195" i="2"/>
  <c r="Q1195" i="2"/>
  <c r="P1195" i="2"/>
  <c r="O1195" i="2"/>
  <c r="N1195" i="2"/>
  <c r="M1195" i="2"/>
  <c r="L1195" i="2"/>
  <c r="K1195" i="2"/>
  <c r="J1195" i="2"/>
  <c r="I1195" i="2"/>
  <c r="H1195" i="2"/>
  <c r="G1195" i="2"/>
  <c r="F1195" i="2"/>
  <c r="E1195" i="2"/>
  <c r="D1195" i="2"/>
  <c r="C1195" i="2"/>
  <c r="B1195" i="2"/>
  <c r="A1195" i="2"/>
  <c r="AO1194" i="2"/>
  <c r="AN1194" i="2"/>
  <c r="AM1194" i="2"/>
  <c r="AL1194" i="2"/>
  <c r="AK1194" i="2"/>
  <c r="AJ1194" i="2"/>
  <c r="AI1194" i="2"/>
  <c r="AH1194" i="2"/>
  <c r="AG1194" i="2"/>
  <c r="AF1194" i="2"/>
  <c r="AE1194" i="2"/>
  <c r="AD1194" i="2"/>
  <c r="AC1194" i="2"/>
  <c r="AB1194" i="2"/>
  <c r="AA1194" i="2"/>
  <c r="Z1194" i="2"/>
  <c r="Y1194" i="2"/>
  <c r="X1194" i="2"/>
  <c r="W1194" i="2"/>
  <c r="V1194" i="2"/>
  <c r="U1194" i="2"/>
  <c r="S1194" i="2"/>
  <c r="R1194" i="2"/>
  <c r="Q1194" i="2"/>
  <c r="P1194" i="2"/>
  <c r="O1194" i="2"/>
  <c r="N1194" i="2"/>
  <c r="M1194" i="2"/>
  <c r="L1194" i="2"/>
  <c r="K1194" i="2"/>
  <c r="J1194" i="2"/>
  <c r="I1194" i="2"/>
  <c r="H1194" i="2"/>
  <c r="G1194" i="2"/>
  <c r="F1194" i="2"/>
  <c r="E1194" i="2"/>
  <c r="D1194" i="2"/>
  <c r="C1194" i="2"/>
  <c r="B1194" i="2"/>
  <c r="A1194" i="2"/>
  <c r="AO1193" i="2"/>
  <c r="AN1193" i="2"/>
  <c r="AM1193" i="2"/>
  <c r="AL1193" i="2"/>
  <c r="AK1193" i="2"/>
  <c r="AJ1193" i="2"/>
  <c r="AI1193" i="2"/>
  <c r="AH1193" i="2"/>
  <c r="AG1193" i="2"/>
  <c r="AF1193" i="2"/>
  <c r="AE1193" i="2"/>
  <c r="AD1193" i="2"/>
  <c r="AC1193" i="2"/>
  <c r="AB1193" i="2"/>
  <c r="AA1193" i="2"/>
  <c r="Z1193" i="2"/>
  <c r="Y1193" i="2"/>
  <c r="X1193" i="2"/>
  <c r="W1193" i="2"/>
  <c r="V1193" i="2"/>
  <c r="U1193" i="2"/>
  <c r="S1193" i="2"/>
  <c r="R1193" i="2"/>
  <c r="Q1193" i="2"/>
  <c r="P1193" i="2"/>
  <c r="O1193" i="2"/>
  <c r="N1193" i="2"/>
  <c r="M1193" i="2"/>
  <c r="L1193" i="2"/>
  <c r="K1193" i="2"/>
  <c r="J1193" i="2"/>
  <c r="I1193" i="2"/>
  <c r="H1193" i="2"/>
  <c r="G1193" i="2"/>
  <c r="F1193" i="2"/>
  <c r="E1193" i="2"/>
  <c r="D1193" i="2"/>
  <c r="C1193" i="2"/>
  <c r="A1193" i="2"/>
  <c r="AO1192" i="2"/>
  <c r="AN1192" i="2"/>
  <c r="AM1192" i="2"/>
  <c r="AL1192" i="2"/>
  <c r="AK1192" i="2"/>
  <c r="AJ1192" i="2"/>
  <c r="AI1192" i="2"/>
  <c r="AH1192" i="2"/>
  <c r="AG1192" i="2"/>
  <c r="AF1192" i="2"/>
  <c r="AE1192" i="2"/>
  <c r="AD1192" i="2"/>
  <c r="AC1192" i="2"/>
  <c r="AB1192" i="2"/>
  <c r="AA1192" i="2"/>
  <c r="Z1192" i="2"/>
  <c r="Y1192" i="2"/>
  <c r="X1192" i="2"/>
  <c r="W1192" i="2"/>
  <c r="V1192" i="2"/>
  <c r="U1192" i="2"/>
  <c r="S1192" i="2"/>
  <c r="R1192" i="2"/>
  <c r="Q1192" i="2"/>
  <c r="P1192" i="2"/>
  <c r="O1192" i="2"/>
  <c r="N1192" i="2"/>
  <c r="M1192" i="2"/>
  <c r="L1192" i="2"/>
  <c r="K1192" i="2"/>
  <c r="J1192" i="2"/>
  <c r="I1192" i="2"/>
  <c r="H1192" i="2"/>
  <c r="G1192" i="2"/>
  <c r="F1192" i="2"/>
  <c r="E1192" i="2"/>
  <c r="D1192" i="2"/>
  <c r="C1192" i="2"/>
  <c r="B1192" i="2"/>
  <c r="A1192" i="2"/>
  <c r="AO1191" i="2"/>
  <c r="AN1191" i="2"/>
  <c r="AM1191" i="2"/>
  <c r="AK1191" i="2"/>
  <c r="AJ1191" i="2"/>
  <c r="AI1191" i="2"/>
  <c r="AH1191" i="2"/>
  <c r="AG1191" i="2"/>
  <c r="AF1191" i="2"/>
  <c r="AE1191" i="2"/>
  <c r="AD1191" i="2"/>
  <c r="AC1191" i="2"/>
  <c r="AB1191" i="2"/>
  <c r="AA1191" i="2"/>
  <c r="Y1191" i="2"/>
  <c r="X1191" i="2"/>
  <c r="W1191" i="2"/>
  <c r="V1191" i="2"/>
  <c r="U1191" i="2"/>
  <c r="S1191" i="2"/>
  <c r="R1191" i="2"/>
  <c r="Q1191" i="2"/>
  <c r="P1191" i="2"/>
  <c r="O1191" i="2"/>
  <c r="N1191" i="2"/>
  <c r="M1191" i="2"/>
  <c r="L1191" i="2"/>
  <c r="K1191" i="2"/>
  <c r="J1191" i="2"/>
  <c r="I1191" i="2"/>
  <c r="H1191" i="2"/>
  <c r="G1191" i="2"/>
  <c r="F1191" i="2"/>
  <c r="E1191" i="2"/>
  <c r="D1191" i="2"/>
  <c r="C1191" i="2"/>
  <c r="A1191" i="2"/>
  <c r="AO1190" i="2"/>
  <c r="AN1190" i="2"/>
  <c r="AM1190" i="2"/>
  <c r="AK1190" i="2"/>
  <c r="AJ1190" i="2"/>
  <c r="AI1190" i="2"/>
  <c r="AH1190" i="2"/>
  <c r="AG1190" i="2"/>
  <c r="AF1190" i="2"/>
  <c r="AE1190" i="2"/>
  <c r="AC1190" i="2"/>
  <c r="AB1190" i="2"/>
  <c r="AA1190" i="2"/>
  <c r="Z1190" i="2"/>
  <c r="Y1190" i="2"/>
  <c r="X1190" i="2"/>
  <c r="W1190" i="2"/>
  <c r="V1190" i="2"/>
  <c r="U1190" i="2"/>
  <c r="S1190" i="2"/>
  <c r="R1190" i="2"/>
  <c r="Q1190" i="2"/>
  <c r="P1190" i="2"/>
  <c r="O1190" i="2"/>
  <c r="N1190" i="2"/>
  <c r="M1190" i="2"/>
  <c r="L1190" i="2"/>
  <c r="K1190" i="2"/>
  <c r="J1190" i="2"/>
  <c r="I1190" i="2"/>
  <c r="H1190" i="2"/>
  <c r="G1190" i="2"/>
  <c r="F1190" i="2"/>
  <c r="E1190" i="2"/>
  <c r="D1190" i="2"/>
  <c r="C1190" i="2"/>
  <c r="A1190" i="2"/>
  <c r="AO1189" i="2"/>
  <c r="AN1189" i="2"/>
  <c r="AM1189" i="2"/>
  <c r="AK1189" i="2"/>
  <c r="AJ1189" i="2"/>
  <c r="AI1189" i="2"/>
  <c r="AH1189" i="2"/>
  <c r="AG1189" i="2"/>
  <c r="AF1189" i="2"/>
  <c r="AE1189" i="2"/>
  <c r="AC1189" i="2"/>
  <c r="AB1189" i="2"/>
  <c r="AA1189" i="2"/>
  <c r="Z1189" i="2"/>
  <c r="Y1189" i="2"/>
  <c r="X1189" i="2"/>
  <c r="W1189" i="2"/>
  <c r="V1189" i="2"/>
  <c r="U1189" i="2"/>
  <c r="S1189" i="2"/>
  <c r="R1189" i="2"/>
  <c r="Q1189" i="2"/>
  <c r="P1189" i="2"/>
  <c r="O1189" i="2"/>
  <c r="N1189" i="2"/>
  <c r="M1189" i="2"/>
  <c r="L1189" i="2"/>
  <c r="K1189" i="2"/>
  <c r="J1189" i="2"/>
  <c r="I1189" i="2"/>
  <c r="H1189" i="2"/>
  <c r="G1189" i="2"/>
  <c r="F1189" i="2"/>
  <c r="E1189" i="2"/>
  <c r="D1189" i="2"/>
  <c r="C1189" i="2"/>
  <c r="A1189" i="2"/>
  <c r="AO1188" i="2"/>
  <c r="AN1188" i="2"/>
  <c r="AM1188" i="2"/>
  <c r="AL1188" i="2"/>
  <c r="AK1188" i="2"/>
  <c r="AJ1188" i="2"/>
  <c r="AI1188" i="2"/>
  <c r="AH1188" i="2"/>
  <c r="AG1188" i="2"/>
  <c r="AF1188" i="2"/>
  <c r="AE1188" i="2"/>
  <c r="AD1188" i="2"/>
  <c r="AC1188" i="2"/>
  <c r="AB1188" i="2"/>
  <c r="AA1188" i="2"/>
  <c r="Z1188" i="2"/>
  <c r="Y1188" i="2"/>
  <c r="X1188" i="2"/>
  <c r="W1188" i="2"/>
  <c r="V1188" i="2"/>
  <c r="U1188" i="2"/>
  <c r="S1188" i="2"/>
  <c r="R1188" i="2"/>
  <c r="Q1188" i="2"/>
  <c r="P1188" i="2"/>
  <c r="O1188" i="2"/>
  <c r="N1188" i="2"/>
  <c r="M1188" i="2"/>
  <c r="L1188" i="2"/>
  <c r="K1188" i="2"/>
  <c r="J1188" i="2"/>
  <c r="I1188" i="2"/>
  <c r="H1188" i="2"/>
  <c r="G1188" i="2"/>
  <c r="F1188" i="2"/>
  <c r="E1188" i="2"/>
  <c r="D1188" i="2"/>
  <c r="C1188" i="2"/>
  <c r="B1188" i="2"/>
  <c r="A1188" i="2"/>
  <c r="AO1187" i="2"/>
  <c r="AN1187" i="2"/>
  <c r="AM1187" i="2"/>
  <c r="AL1187" i="2"/>
  <c r="AK1187" i="2"/>
  <c r="AJ1187" i="2"/>
  <c r="AI1187" i="2"/>
  <c r="AH1187" i="2"/>
  <c r="AG1187" i="2"/>
  <c r="AF1187" i="2"/>
  <c r="AE1187" i="2"/>
  <c r="AD1187" i="2"/>
  <c r="AC1187" i="2"/>
  <c r="AB1187" i="2"/>
  <c r="AA1187" i="2"/>
  <c r="Z1187" i="2"/>
  <c r="Y1187" i="2"/>
  <c r="X1187" i="2"/>
  <c r="W1187" i="2"/>
  <c r="V1187" i="2"/>
  <c r="U1187" i="2"/>
  <c r="S1187" i="2"/>
  <c r="R1187" i="2"/>
  <c r="Q1187" i="2"/>
  <c r="P1187" i="2"/>
  <c r="O1187" i="2"/>
  <c r="N1187" i="2"/>
  <c r="M1187" i="2"/>
  <c r="L1187" i="2"/>
  <c r="K1187" i="2"/>
  <c r="J1187" i="2"/>
  <c r="I1187" i="2"/>
  <c r="H1187" i="2"/>
  <c r="G1187" i="2"/>
  <c r="F1187" i="2"/>
  <c r="E1187" i="2"/>
  <c r="D1187" i="2"/>
  <c r="C1187" i="2"/>
  <c r="B1187" i="2"/>
  <c r="A1187" i="2"/>
  <c r="AO1186" i="2"/>
  <c r="AN1186" i="2"/>
  <c r="AM1186" i="2"/>
  <c r="AL1186" i="2"/>
  <c r="AK1186" i="2"/>
  <c r="AJ1186" i="2"/>
  <c r="AI1186" i="2"/>
  <c r="AH1186" i="2"/>
  <c r="AG1186" i="2"/>
  <c r="AF1186" i="2"/>
  <c r="AE1186" i="2"/>
  <c r="AC1186" i="2"/>
  <c r="AB1186" i="2"/>
  <c r="AA1186" i="2"/>
  <c r="Z1186" i="2"/>
  <c r="Y1186" i="2"/>
  <c r="X1186" i="2"/>
  <c r="W1186" i="2"/>
  <c r="V1186" i="2"/>
  <c r="U1186" i="2"/>
  <c r="S1186" i="2"/>
  <c r="R1186" i="2"/>
  <c r="Q1186" i="2"/>
  <c r="P1186" i="2"/>
  <c r="O1186" i="2"/>
  <c r="N1186" i="2"/>
  <c r="M1186" i="2"/>
  <c r="L1186" i="2"/>
  <c r="K1186" i="2"/>
  <c r="J1186" i="2"/>
  <c r="I1186" i="2"/>
  <c r="H1186" i="2"/>
  <c r="G1186" i="2"/>
  <c r="F1186" i="2"/>
  <c r="E1186" i="2"/>
  <c r="D1186" i="2"/>
  <c r="C1186" i="2"/>
  <c r="B1186" i="2"/>
  <c r="A1186" i="2"/>
  <c r="AO1185" i="2"/>
  <c r="AN1185" i="2"/>
  <c r="AM1185" i="2"/>
  <c r="AL1185" i="2"/>
  <c r="AK1185" i="2"/>
  <c r="AJ1185" i="2"/>
  <c r="AI1185" i="2"/>
  <c r="AH1185" i="2"/>
  <c r="AG1185" i="2"/>
  <c r="AF1185" i="2"/>
  <c r="AE1185" i="2"/>
  <c r="AD1185" i="2"/>
  <c r="AC1185" i="2"/>
  <c r="AB1185" i="2"/>
  <c r="AA1185" i="2"/>
  <c r="Z1185" i="2"/>
  <c r="Y1185" i="2"/>
  <c r="X1185" i="2"/>
  <c r="W1185" i="2"/>
  <c r="V1185" i="2"/>
  <c r="U1185" i="2"/>
  <c r="S1185" i="2"/>
  <c r="R1185" i="2"/>
  <c r="Q1185" i="2"/>
  <c r="P1185" i="2"/>
  <c r="O1185" i="2"/>
  <c r="N1185" i="2"/>
  <c r="M1185" i="2"/>
  <c r="L1185" i="2"/>
  <c r="K1185" i="2"/>
  <c r="J1185" i="2"/>
  <c r="I1185" i="2"/>
  <c r="H1185" i="2"/>
  <c r="G1185" i="2"/>
  <c r="F1185" i="2"/>
  <c r="E1185" i="2"/>
  <c r="D1185" i="2"/>
  <c r="C1185" i="2"/>
  <c r="B1185" i="2"/>
  <c r="A1185" i="2"/>
  <c r="AO1184" i="2"/>
  <c r="AN1184" i="2"/>
  <c r="AM1184" i="2"/>
  <c r="AL1184" i="2"/>
  <c r="AK1184" i="2"/>
  <c r="AJ1184" i="2"/>
  <c r="AI1184" i="2"/>
  <c r="AH1184" i="2"/>
  <c r="AG1184" i="2"/>
  <c r="AF1184" i="2"/>
  <c r="AE1184" i="2"/>
  <c r="AD1184" i="2"/>
  <c r="AC1184" i="2"/>
  <c r="AB1184" i="2"/>
  <c r="AA1184" i="2"/>
  <c r="Z1184" i="2"/>
  <c r="Y1184" i="2"/>
  <c r="X1184" i="2"/>
  <c r="W1184" i="2"/>
  <c r="V1184" i="2"/>
  <c r="U1184" i="2"/>
  <c r="S1184" i="2"/>
  <c r="R1184" i="2"/>
  <c r="Q1184" i="2"/>
  <c r="P1184" i="2"/>
  <c r="O1184" i="2"/>
  <c r="N1184" i="2"/>
  <c r="M1184" i="2"/>
  <c r="L1184" i="2"/>
  <c r="K1184" i="2"/>
  <c r="J1184" i="2"/>
  <c r="I1184" i="2"/>
  <c r="H1184" i="2"/>
  <c r="G1184" i="2"/>
  <c r="F1184" i="2"/>
  <c r="E1184" i="2"/>
  <c r="D1184" i="2"/>
  <c r="C1184" i="2"/>
  <c r="A1184" i="2"/>
  <c r="AO1183" i="2"/>
  <c r="AN1183" i="2"/>
  <c r="AM1183" i="2"/>
  <c r="AK1183" i="2"/>
  <c r="AJ1183" i="2"/>
  <c r="AI1183" i="2"/>
  <c r="AH1183" i="2"/>
  <c r="AG1183" i="2"/>
  <c r="AF1183" i="2"/>
  <c r="AE1183" i="2"/>
  <c r="AD1183" i="2"/>
  <c r="AC1183" i="2"/>
  <c r="AB1183" i="2"/>
  <c r="AA1183" i="2"/>
  <c r="Z1183" i="2"/>
  <c r="Y1183" i="2"/>
  <c r="X1183" i="2"/>
  <c r="W1183" i="2"/>
  <c r="V1183" i="2"/>
  <c r="U1183" i="2"/>
  <c r="S1183" i="2"/>
  <c r="R1183" i="2"/>
  <c r="Q1183" i="2"/>
  <c r="P1183" i="2"/>
  <c r="O1183" i="2"/>
  <c r="N1183" i="2"/>
  <c r="M1183" i="2"/>
  <c r="L1183" i="2"/>
  <c r="K1183" i="2"/>
  <c r="J1183" i="2"/>
  <c r="I1183" i="2"/>
  <c r="H1183" i="2"/>
  <c r="G1183" i="2"/>
  <c r="F1183" i="2"/>
  <c r="E1183" i="2"/>
  <c r="D1183" i="2"/>
  <c r="C1183" i="2"/>
  <c r="B1183" i="2"/>
  <c r="A1183" i="2"/>
  <c r="AO1182" i="2"/>
  <c r="AN1182" i="2"/>
  <c r="AM1182" i="2"/>
  <c r="AK1182" i="2"/>
  <c r="AJ1182" i="2"/>
  <c r="AI1182" i="2"/>
  <c r="AH1182" i="2"/>
  <c r="AG1182" i="2"/>
  <c r="AF1182" i="2"/>
  <c r="AE1182" i="2"/>
  <c r="AC1182" i="2"/>
  <c r="AB1182" i="2"/>
  <c r="AA1182" i="2"/>
  <c r="Z1182" i="2"/>
  <c r="Y1182" i="2"/>
  <c r="X1182" i="2"/>
  <c r="W1182" i="2"/>
  <c r="V1182" i="2"/>
  <c r="U1182" i="2"/>
  <c r="S1182" i="2"/>
  <c r="R1182" i="2"/>
  <c r="Q1182" i="2"/>
  <c r="P1182" i="2"/>
  <c r="O1182" i="2"/>
  <c r="N1182" i="2"/>
  <c r="M1182" i="2"/>
  <c r="L1182" i="2"/>
  <c r="K1182" i="2"/>
  <c r="J1182" i="2"/>
  <c r="I1182" i="2"/>
  <c r="H1182" i="2"/>
  <c r="G1182" i="2"/>
  <c r="F1182" i="2"/>
  <c r="E1182" i="2"/>
  <c r="D1182" i="2"/>
  <c r="C1182" i="2"/>
  <c r="B1182" i="2"/>
  <c r="A1182" i="2"/>
  <c r="AO1181" i="2"/>
  <c r="AN1181" i="2"/>
  <c r="AM1181" i="2"/>
  <c r="AK1181" i="2"/>
  <c r="AJ1181" i="2"/>
  <c r="AI1181" i="2"/>
  <c r="AH1181" i="2"/>
  <c r="AG1181" i="2"/>
  <c r="AF1181" i="2"/>
  <c r="AE1181" i="2"/>
  <c r="AD1181" i="2"/>
  <c r="AC1181" i="2"/>
  <c r="AB1181" i="2"/>
  <c r="AA1181" i="2"/>
  <c r="Z1181" i="2"/>
  <c r="Y1181" i="2"/>
  <c r="X1181" i="2"/>
  <c r="W1181" i="2"/>
  <c r="V1181" i="2"/>
  <c r="U1181" i="2"/>
  <c r="S1181" i="2"/>
  <c r="R1181" i="2"/>
  <c r="Q1181" i="2"/>
  <c r="P1181" i="2"/>
  <c r="O1181" i="2"/>
  <c r="N1181" i="2"/>
  <c r="M1181" i="2"/>
  <c r="L1181" i="2"/>
  <c r="K1181" i="2"/>
  <c r="J1181" i="2"/>
  <c r="I1181" i="2"/>
  <c r="H1181" i="2"/>
  <c r="G1181" i="2"/>
  <c r="F1181" i="2"/>
  <c r="E1181" i="2"/>
  <c r="D1181" i="2"/>
  <c r="C1181" i="2"/>
  <c r="A1181" i="2"/>
  <c r="AO1180" i="2"/>
  <c r="AN1180" i="2"/>
  <c r="AM1180" i="2"/>
  <c r="AK1180" i="2"/>
  <c r="AJ1180" i="2"/>
  <c r="AI1180" i="2"/>
  <c r="AH1180" i="2"/>
  <c r="AG1180" i="2"/>
  <c r="AF1180" i="2"/>
  <c r="AE1180" i="2"/>
  <c r="AC1180" i="2"/>
  <c r="AB1180" i="2"/>
  <c r="AA1180" i="2"/>
  <c r="Z1180" i="2"/>
  <c r="Y1180" i="2"/>
  <c r="X1180" i="2"/>
  <c r="W1180" i="2"/>
  <c r="V1180" i="2"/>
  <c r="U1180" i="2"/>
  <c r="S1180" i="2"/>
  <c r="R1180" i="2"/>
  <c r="Q1180" i="2"/>
  <c r="P1180" i="2"/>
  <c r="O1180" i="2"/>
  <c r="N1180" i="2"/>
  <c r="M1180" i="2"/>
  <c r="L1180" i="2"/>
  <c r="K1180" i="2"/>
  <c r="J1180" i="2"/>
  <c r="I1180" i="2"/>
  <c r="H1180" i="2"/>
  <c r="G1180" i="2"/>
  <c r="F1180" i="2"/>
  <c r="E1180" i="2"/>
  <c r="D1180" i="2"/>
  <c r="C1180" i="2"/>
  <c r="B1180" i="2"/>
  <c r="A1180" i="2"/>
  <c r="AO1179" i="2"/>
  <c r="AN1179" i="2"/>
  <c r="AM1179" i="2"/>
  <c r="AL1179" i="2"/>
  <c r="AK1179" i="2"/>
  <c r="AJ1179" i="2"/>
  <c r="AI1179" i="2"/>
  <c r="AH1179" i="2"/>
  <c r="AG1179" i="2"/>
  <c r="AF1179" i="2"/>
  <c r="AE1179" i="2"/>
  <c r="AD1179" i="2"/>
  <c r="AC1179" i="2"/>
  <c r="AB1179" i="2"/>
  <c r="AA1179" i="2"/>
  <c r="Z1179" i="2"/>
  <c r="Y1179" i="2"/>
  <c r="X1179" i="2"/>
  <c r="W1179" i="2"/>
  <c r="V1179" i="2"/>
  <c r="U1179" i="2"/>
  <c r="S1179" i="2"/>
  <c r="R1179" i="2"/>
  <c r="Q1179" i="2"/>
  <c r="P1179" i="2"/>
  <c r="O1179" i="2"/>
  <c r="N1179" i="2"/>
  <c r="M1179" i="2"/>
  <c r="L1179" i="2"/>
  <c r="K1179" i="2"/>
  <c r="J1179" i="2"/>
  <c r="I1179" i="2"/>
  <c r="H1179" i="2"/>
  <c r="G1179" i="2"/>
  <c r="F1179" i="2"/>
  <c r="E1179" i="2"/>
  <c r="D1179" i="2"/>
  <c r="C1179" i="2"/>
  <c r="A1179" i="2"/>
  <c r="AO1178" i="2"/>
  <c r="AN1178" i="2"/>
  <c r="AM1178" i="2"/>
  <c r="AL1178" i="2"/>
  <c r="AK1178" i="2"/>
  <c r="AJ1178" i="2"/>
  <c r="AI1178" i="2"/>
  <c r="AH1178" i="2"/>
  <c r="AG1178" i="2"/>
  <c r="AF1178" i="2"/>
  <c r="AE1178" i="2"/>
  <c r="AD1178" i="2"/>
  <c r="AC1178" i="2"/>
  <c r="AB1178" i="2"/>
  <c r="AA1178" i="2"/>
  <c r="Z1178" i="2"/>
  <c r="Y1178" i="2"/>
  <c r="X1178" i="2"/>
  <c r="W1178" i="2"/>
  <c r="V1178" i="2"/>
  <c r="U1178" i="2"/>
  <c r="S1178" i="2"/>
  <c r="R1178" i="2"/>
  <c r="Q1178" i="2"/>
  <c r="P1178" i="2"/>
  <c r="O1178" i="2"/>
  <c r="N1178" i="2"/>
  <c r="M1178" i="2"/>
  <c r="L1178" i="2"/>
  <c r="K1178" i="2"/>
  <c r="J1178" i="2"/>
  <c r="I1178" i="2"/>
  <c r="H1178" i="2"/>
  <c r="G1178" i="2"/>
  <c r="F1178" i="2"/>
  <c r="E1178" i="2"/>
  <c r="D1178" i="2"/>
  <c r="C1178" i="2"/>
  <c r="A1178" i="2"/>
  <c r="AO1177" i="2"/>
  <c r="AN1177" i="2"/>
  <c r="AM1177" i="2"/>
  <c r="AL1177" i="2"/>
  <c r="AK1177" i="2"/>
  <c r="AJ1177" i="2"/>
  <c r="AI1177" i="2"/>
  <c r="AH1177" i="2"/>
  <c r="AG1177" i="2"/>
  <c r="AF1177" i="2"/>
  <c r="AE1177" i="2"/>
  <c r="AD1177" i="2"/>
  <c r="AC1177" i="2"/>
  <c r="AB1177" i="2"/>
  <c r="AA1177" i="2"/>
  <c r="Z1177" i="2"/>
  <c r="Y1177" i="2"/>
  <c r="X1177" i="2"/>
  <c r="W1177" i="2"/>
  <c r="V1177" i="2"/>
  <c r="U1177" i="2"/>
  <c r="S1177" i="2"/>
  <c r="R1177" i="2"/>
  <c r="Q1177" i="2"/>
  <c r="P1177" i="2"/>
  <c r="O1177" i="2"/>
  <c r="N1177" i="2"/>
  <c r="M1177" i="2"/>
  <c r="L1177" i="2"/>
  <c r="K1177" i="2"/>
  <c r="J1177" i="2"/>
  <c r="I1177" i="2"/>
  <c r="H1177" i="2"/>
  <c r="G1177" i="2"/>
  <c r="F1177" i="2"/>
  <c r="E1177" i="2"/>
  <c r="D1177" i="2"/>
  <c r="C1177" i="2"/>
  <c r="B1177" i="2"/>
  <c r="A1177" i="2"/>
  <c r="AO1176" i="2"/>
  <c r="AN1176" i="2"/>
  <c r="AM1176" i="2"/>
  <c r="AK1176" i="2"/>
  <c r="AJ1176" i="2"/>
  <c r="AI1176" i="2"/>
  <c r="AH1176" i="2"/>
  <c r="AG1176" i="2"/>
  <c r="AF1176" i="2"/>
  <c r="AE1176" i="2"/>
  <c r="AD1176" i="2"/>
  <c r="AC1176" i="2"/>
  <c r="AB1176" i="2"/>
  <c r="AA1176" i="2"/>
  <c r="Z1176" i="2"/>
  <c r="Y1176" i="2"/>
  <c r="X1176" i="2"/>
  <c r="W1176" i="2"/>
  <c r="V1176" i="2"/>
  <c r="U1176" i="2"/>
  <c r="S1176" i="2"/>
  <c r="R1176" i="2"/>
  <c r="Q1176" i="2"/>
  <c r="P1176" i="2"/>
  <c r="O1176" i="2"/>
  <c r="N1176" i="2"/>
  <c r="M1176" i="2"/>
  <c r="L1176" i="2"/>
  <c r="K1176" i="2"/>
  <c r="J1176" i="2"/>
  <c r="I1176" i="2"/>
  <c r="H1176" i="2"/>
  <c r="G1176" i="2"/>
  <c r="F1176" i="2"/>
  <c r="E1176" i="2"/>
  <c r="D1176" i="2"/>
  <c r="C1176" i="2"/>
  <c r="A1176" i="2"/>
  <c r="AO1175" i="2"/>
  <c r="AN1175" i="2"/>
  <c r="AM1175" i="2"/>
  <c r="AL1175" i="2"/>
  <c r="AK1175" i="2"/>
  <c r="AJ1175" i="2"/>
  <c r="AI1175" i="2"/>
  <c r="AH1175" i="2"/>
  <c r="AG1175" i="2"/>
  <c r="AF1175" i="2"/>
  <c r="AE1175" i="2"/>
  <c r="AD1175" i="2"/>
  <c r="AC1175" i="2"/>
  <c r="AB1175" i="2"/>
  <c r="AA1175" i="2"/>
  <c r="Z1175" i="2"/>
  <c r="Y1175" i="2"/>
  <c r="X1175" i="2"/>
  <c r="W1175" i="2"/>
  <c r="V1175" i="2"/>
  <c r="U1175" i="2"/>
  <c r="S1175" i="2"/>
  <c r="R1175" i="2"/>
  <c r="Q1175" i="2"/>
  <c r="P1175" i="2"/>
  <c r="O1175" i="2"/>
  <c r="N1175" i="2"/>
  <c r="M1175" i="2"/>
  <c r="L1175" i="2"/>
  <c r="K1175" i="2"/>
  <c r="J1175" i="2"/>
  <c r="I1175" i="2"/>
  <c r="H1175" i="2"/>
  <c r="G1175" i="2"/>
  <c r="F1175" i="2"/>
  <c r="E1175" i="2"/>
  <c r="D1175" i="2"/>
  <c r="C1175" i="2"/>
  <c r="B1175" i="2"/>
  <c r="A1175" i="2"/>
  <c r="AO1174" i="2"/>
  <c r="AN1174" i="2"/>
  <c r="AM1174" i="2"/>
  <c r="AL1174" i="2"/>
  <c r="AK1174" i="2"/>
  <c r="AJ1174" i="2"/>
  <c r="AI1174" i="2"/>
  <c r="AH1174" i="2"/>
  <c r="AG1174" i="2"/>
  <c r="AF1174" i="2"/>
  <c r="AE1174" i="2"/>
  <c r="AD1174" i="2"/>
  <c r="AC1174" i="2"/>
  <c r="AB1174" i="2"/>
  <c r="AA1174" i="2"/>
  <c r="Z1174" i="2"/>
  <c r="Y1174" i="2"/>
  <c r="X1174" i="2"/>
  <c r="W1174" i="2"/>
  <c r="V1174" i="2"/>
  <c r="U1174" i="2"/>
  <c r="S1174" i="2"/>
  <c r="R1174" i="2"/>
  <c r="Q1174" i="2"/>
  <c r="P1174" i="2"/>
  <c r="O1174" i="2"/>
  <c r="N1174" i="2"/>
  <c r="M1174" i="2"/>
  <c r="L1174" i="2"/>
  <c r="K1174" i="2"/>
  <c r="J1174" i="2"/>
  <c r="I1174" i="2"/>
  <c r="H1174" i="2"/>
  <c r="G1174" i="2"/>
  <c r="F1174" i="2"/>
  <c r="E1174" i="2"/>
  <c r="D1174" i="2"/>
  <c r="C1174" i="2"/>
  <c r="A1174" i="2"/>
  <c r="AO1173" i="2"/>
  <c r="AN1173" i="2"/>
  <c r="AM1173" i="2"/>
  <c r="AL1173" i="2"/>
  <c r="AK1173" i="2"/>
  <c r="AJ1173" i="2"/>
  <c r="AI1173" i="2"/>
  <c r="AG1173" i="2"/>
  <c r="AF1173" i="2"/>
  <c r="AE1173" i="2"/>
  <c r="AC1173" i="2"/>
  <c r="AB1173" i="2"/>
  <c r="AA1173" i="2"/>
  <c r="X1173" i="2"/>
  <c r="W1173" i="2"/>
  <c r="V1173" i="2"/>
  <c r="U1173" i="2"/>
  <c r="R1173" i="2"/>
  <c r="Q1173" i="2"/>
  <c r="P1173" i="2"/>
  <c r="O1173" i="2"/>
  <c r="N1173" i="2"/>
  <c r="M1173" i="2"/>
  <c r="L1173" i="2"/>
  <c r="K1173" i="2"/>
  <c r="J1173" i="2"/>
  <c r="I1173" i="2"/>
  <c r="H1173" i="2"/>
  <c r="G1173" i="2"/>
  <c r="F1173" i="2"/>
  <c r="E1173" i="2"/>
  <c r="D1173" i="2"/>
  <c r="C1173" i="2"/>
  <c r="B1173" i="2"/>
  <c r="A1173" i="2"/>
  <c r="AO1172" i="2"/>
  <c r="AN1172" i="2"/>
  <c r="AM1172" i="2"/>
  <c r="AL1172" i="2"/>
  <c r="AK1172" i="2"/>
  <c r="AJ1172" i="2"/>
  <c r="AI1172" i="2"/>
  <c r="AH1172" i="2"/>
  <c r="AG1172" i="2"/>
  <c r="AF1172" i="2"/>
  <c r="AE1172" i="2"/>
  <c r="AD1172" i="2"/>
  <c r="AC1172" i="2"/>
  <c r="AB1172" i="2"/>
  <c r="AA1172" i="2"/>
  <c r="Z1172" i="2"/>
  <c r="Y1172" i="2"/>
  <c r="X1172" i="2"/>
  <c r="W1172" i="2"/>
  <c r="V1172" i="2"/>
  <c r="U1172" i="2"/>
  <c r="S1172" i="2"/>
  <c r="R1172" i="2"/>
  <c r="Q1172" i="2"/>
  <c r="P1172" i="2"/>
  <c r="O1172" i="2"/>
  <c r="N1172" i="2"/>
  <c r="M1172" i="2"/>
  <c r="L1172" i="2"/>
  <c r="K1172" i="2"/>
  <c r="J1172" i="2"/>
  <c r="I1172" i="2"/>
  <c r="H1172" i="2"/>
  <c r="G1172" i="2"/>
  <c r="F1172" i="2"/>
  <c r="E1172" i="2"/>
  <c r="D1172" i="2"/>
  <c r="C1172" i="2"/>
  <c r="B1172" i="2"/>
  <c r="A1172" i="2"/>
  <c r="AO1171" i="2"/>
  <c r="AN1171" i="2"/>
  <c r="AM1171" i="2"/>
  <c r="AK1171" i="2"/>
  <c r="AJ1171" i="2"/>
  <c r="AI1171" i="2"/>
  <c r="AH1171" i="2"/>
  <c r="AG1171" i="2"/>
  <c r="AF1171" i="2"/>
  <c r="AE1171" i="2"/>
  <c r="AD1171" i="2"/>
  <c r="AC1171" i="2"/>
  <c r="AB1171" i="2"/>
  <c r="AA1171" i="2"/>
  <c r="Z1171" i="2"/>
  <c r="Y1171" i="2"/>
  <c r="X1171" i="2"/>
  <c r="W1171" i="2"/>
  <c r="V1171" i="2"/>
  <c r="U1171" i="2"/>
  <c r="S1171" i="2"/>
  <c r="R1171" i="2"/>
  <c r="Q1171" i="2"/>
  <c r="P1171" i="2"/>
  <c r="O1171" i="2"/>
  <c r="N1171" i="2"/>
  <c r="M1171" i="2"/>
  <c r="L1171" i="2"/>
  <c r="K1171" i="2"/>
  <c r="J1171" i="2"/>
  <c r="I1171" i="2"/>
  <c r="H1171" i="2"/>
  <c r="G1171" i="2"/>
  <c r="F1171" i="2"/>
  <c r="E1171" i="2"/>
  <c r="D1171" i="2"/>
  <c r="C1171" i="2"/>
  <c r="A1171" i="2"/>
  <c r="AO1170" i="2"/>
  <c r="AN1170" i="2"/>
  <c r="AM1170" i="2"/>
  <c r="AK1170" i="2"/>
  <c r="AJ1170" i="2"/>
  <c r="AI1170" i="2"/>
  <c r="AH1170" i="2"/>
  <c r="AG1170" i="2"/>
  <c r="AF1170" i="2"/>
  <c r="AE1170" i="2"/>
  <c r="AD1170" i="2"/>
  <c r="AC1170" i="2"/>
  <c r="AB1170" i="2"/>
  <c r="AA1170" i="2"/>
  <c r="Z1170" i="2"/>
  <c r="Y1170" i="2"/>
  <c r="X1170" i="2"/>
  <c r="W1170" i="2"/>
  <c r="V1170" i="2"/>
  <c r="U1170" i="2"/>
  <c r="S1170" i="2"/>
  <c r="R1170" i="2"/>
  <c r="Q1170" i="2"/>
  <c r="P1170" i="2"/>
  <c r="O1170" i="2"/>
  <c r="N1170" i="2"/>
  <c r="M1170" i="2"/>
  <c r="L1170" i="2"/>
  <c r="K1170" i="2"/>
  <c r="J1170" i="2"/>
  <c r="I1170" i="2"/>
  <c r="H1170" i="2"/>
  <c r="G1170" i="2"/>
  <c r="F1170" i="2"/>
  <c r="E1170" i="2"/>
  <c r="D1170" i="2"/>
  <c r="C1170" i="2"/>
  <c r="B1170" i="2"/>
  <c r="A1170" i="2"/>
  <c r="AO1169" i="2"/>
  <c r="AN1169" i="2"/>
  <c r="AM1169" i="2"/>
  <c r="AL1169" i="2"/>
  <c r="AK1169" i="2"/>
  <c r="AJ1169" i="2"/>
  <c r="AI1169" i="2"/>
  <c r="AH1169" i="2"/>
  <c r="AG1169" i="2"/>
  <c r="AF1169" i="2"/>
  <c r="AE1169" i="2"/>
  <c r="AD1169" i="2"/>
  <c r="AC1169" i="2"/>
  <c r="AB1169" i="2"/>
  <c r="AA1169" i="2"/>
  <c r="Z1169" i="2"/>
  <c r="Y1169" i="2"/>
  <c r="X1169" i="2"/>
  <c r="W1169" i="2"/>
  <c r="V1169" i="2"/>
  <c r="U1169" i="2"/>
  <c r="S1169" i="2"/>
  <c r="R1169" i="2"/>
  <c r="Q1169" i="2"/>
  <c r="P1169" i="2"/>
  <c r="O1169" i="2"/>
  <c r="N1169" i="2"/>
  <c r="M1169" i="2"/>
  <c r="L1169" i="2"/>
  <c r="K1169" i="2"/>
  <c r="J1169" i="2"/>
  <c r="I1169" i="2"/>
  <c r="H1169" i="2"/>
  <c r="G1169" i="2"/>
  <c r="F1169" i="2"/>
  <c r="E1169" i="2"/>
  <c r="D1169" i="2"/>
  <c r="C1169" i="2"/>
  <c r="B1169" i="2"/>
  <c r="A1169" i="2"/>
  <c r="AO1168" i="2"/>
  <c r="AN1168" i="2"/>
  <c r="AM1168" i="2"/>
  <c r="AL1168" i="2"/>
  <c r="AK1168" i="2"/>
  <c r="AJ1168" i="2"/>
  <c r="AI1168" i="2"/>
  <c r="AG1168" i="2"/>
  <c r="AF1168" i="2"/>
  <c r="AE1168" i="2"/>
  <c r="AC1168" i="2"/>
  <c r="AB1168" i="2"/>
  <c r="AA1168" i="2"/>
  <c r="X1168" i="2"/>
  <c r="W1168" i="2"/>
  <c r="V1168" i="2"/>
  <c r="U1168" i="2"/>
  <c r="R1168" i="2"/>
  <c r="Q1168" i="2"/>
  <c r="P1168" i="2"/>
  <c r="O1168" i="2"/>
  <c r="N1168" i="2"/>
  <c r="M1168" i="2"/>
  <c r="L1168" i="2"/>
  <c r="K1168" i="2"/>
  <c r="J1168" i="2"/>
  <c r="I1168" i="2"/>
  <c r="H1168" i="2"/>
  <c r="G1168" i="2"/>
  <c r="F1168" i="2"/>
  <c r="E1168" i="2"/>
  <c r="D1168" i="2"/>
  <c r="C1168" i="2"/>
  <c r="A1168" i="2"/>
  <c r="AO1167" i="2"/>
  <c r="AN1167" i="2"/>
  <c r="AM1167" i="2"/>
  <c r="AL1167" i="2"/>
  <c r="AK1167" i="2"/>
  <c r="AJ1167" i="2"/>
  <c r="AI1167" i="2"/>
  <c r="AH1167" i="2"/>
  <c r="AG1167" i="2"/>
  <c r="AF1167" i="2"/>
  <c r="AE1167" i="2"/>
  <c r="AD1167" i="2"/>
  <c r="AC1167" i="2"/>
  <c r="AB1167" i="2"/>
  <c r="AA1167" i="2"/>
  <c r="Z1167" i="2"/>
  <c r="Y1167" i="2"/>
  <c r="X1167" i="2"/>
  <c r="W1167" i="2"/>
  <c r="V1167" i="2"/>
  <c r="U1167" i="2"/>
  <c r="S1167" i="2"/>
  <c r="R1167" i="2"/>
  <c r="Q1167" i="2"/>
  <c r="P1167" i="2"/>
  <c r="O1167" i="2"/>
  <c r="N1167" i="2"/>
  <c r="M1167" i="2"/>
  <c r="L1167" i="2"/>
  <c r="K1167" i="2"/>
  <c r="J1167" i="2"/>
  <c r="I1167" i="2"/>
  <c r="H1167" i="2"/>
  <c r="G1167" i="2"/>
  <c r="F1167" i="2"/>
  <c r="E1167" i="2"/>
  <c r="D1167" i="2"/>
  <c r="C1167" i="2"/>
  <c r="B1167" i="2"/>
  <c r="A1167" i="2"/>
  <c r="AO1166" i="2"/>
  <c r="AN1166" i="2"/>
  <c r="AM1166" i="2"/>
  <c r="AK1166" i="2"/>
  <c r="AJ1166" i="2"/>
  <c r="AI1166" i="2"/>
  <c r="AG1166" i="2"/>
  <c r="AF1166" i="2"/>
  <c r="AE1166" i="2"/>
  <c r="AC1166" i="2"/>
  <c r="AB1166" i="2"/>
  <c r="AA1166" i="2"/>
  <c r="X1166" i="2"/>
  <c r="W1166" i="2"/>
  <c r="V1166" i="2"/>
  <c r="U1166" i="2"/>
  <c r="R1166" i="2"/>
  <c r="Q1166" i="2"/>
  <c r="P1166" i="2"/>
  <c r="O1166" i="2"/>
  <c r="N1166" i="2"/>
  <c r="M1166" i="2"/>
  <c r="L1166" i="2"/>
  <c r="K1166" i="2"/>
  <c r="J1166" i="2"/>
  <c r="I1166" i="2"/>
  <c r="H1166" i="2"/>
  <c r="G1166" i="2"/>
  <c r="F1166" i="2"/>
  <c r="E1166" i="2"/>
  <c r="D1166" i="2"/>
  <c r="C1166" i="2"/>
  <c r="B1166" i="2"/>
  <c r="A1166" i="2"/>
  <c r="AO1165" i="2"/>
  <c r="AN1165" i="2"/>
  <c r="AM1165" i="2"/>
  <c r="AK1165" i="2"/>
  <c r="AJ1165" i="2"/>
  <c r="AI1165" i="2"/>
  <c r="AH1165" i="2"/>
  <c r="AG1165" i="2"/>
  <c r="AF1165" i="2"/>
  <c r="AE1165" i="2"/>
  <c r="AD1165" i="2"/>
  <c r="AC1165" i="2"/>
  <c r="AB1165" i="2"/>
  <c r="AA1165" i="2"/>
  <c r="Z1165" i="2"/>
  <c r="Y1165" i="2"/>
  <c r="X1165" i="2"/>
  <c r="W1165" i="2"/>
  <c r="V1165" i="2"/>
  <c r="U1165" i="2"/>
  <c r="S1165" i="2"/>
  <c r="R1165" i="2"/>
  <c r="Q1165" i="2"/>
  <c r="P1165" i="2"/>
  <c r="O1165" i="2"/>
  <c r="N1165" i="2"/>
  <c r="M1165" i="2"/>
  <c r="L1165" i="2"/>
  <c r="K1165" i="2"/>
  <c r="J1165" i="2"/>
  <c r="I1165" i="2"/>
  <c r="H1165" i="2"/>
  <c r="G1165" i="2"/>
  <c r="F1165" i="2"/>
  <c r="E1165" i="2"/>
  <c r="D1165" i="2"/>
  <c r="C1165" i="2"/>
  <c r="A1165" i="2"/>
  <c r="AO1164" i="2"/>
  <c r="AN1164" i="2"/>
  <c r="AM1164" i="2"/>
  <c r="AK1164" i="2"/>
  <c r="AJ1164" i="2"/>
  <c r="AI1164" i="2"/>
  <c r="AH1164" i="2"/>
  <c r="AG1164" i="2"/>
  <c r="AF1164" i="2"/>
  <c r="AE1164" i="2"/>
  <c r="AC1164" i="2"/>
  <c r="AB1164" i="2"/>
  <c r="AA1164" i="2"/>
  <c r="Z1164" i="2"/>
  <c r="Y1164" i="2"/>
  <c r="X1164" i="2"/>
  <c r="W1164" i="2"/>
  <c r="V1164" i="2"/>
  <c r="U1164" i="2"/>
  <c r="S1164" i="2"/>
  <c r="R1164" i="2"/>
  <c r="Q1164" i="2"/>
  <c r="P1164" i="2"/>
  <c r="O1164" i="2"/>
  <c r="N1164" i="2"/>
  <c r="M1164" i="2"/>
  <c r="L1164" i="2"/>
  <c r="K1164" i="2"/>
  <c r="J1164" i="2"/>
  <c r="I1164" i="2"/>
  <c r="H1164" i="2"/>
  <c r="G1164" i="2"/>
  <c r="F1164" i="2"/>
  <c r="E1164" i="2"/>
  <c r="D1164" i="2"/>
  <c r="C1164" i="2"/>
  <c r="A1164" i="2"/>
  <c r="AO1163" i="2"/>
  <c r="AN1163" i="2"/>
  <c r="AM1163" i="2"/>
  <c r="AL1163" i="2"/>
  <c r="AK1163" i="2"/>
  <c r="AJ1163" i="2"/>
  <c r="AI1163" i="2"/>
  <c r="AH1163" i="2"/>
  <c r="AG1163" i="2"/>
  <c r="AF1163" i="2"/>
  <c r="AE1163" i="2"/>
  <c r="AD1163" i="2"/>
  <c r="AC1163" i="2"/>
  <c r="AB1163" i="2"/>
  <c r="AA1163" i="2"/>
  <c r="Z1163" i="2"/>
  <c r="Y1163" i="2"/>
  <c r="X1163" i="2"/>
  <c r="W1163" i="2"/>
  <c r="V1163" i="2"/>
  <c r="U1163" i="2"/>
  <c r="S1163" i="2"/>
  <c r="R1163" i="2"/>
  <c r="Q1163" i="2"/>
  <c r="P1163" i="2"/>
  <c r="O1163" i="2"/>
  <c r="N1163" i="2"/>
  <c r="M1163" i="2"/>
  <c r="L1163" i="2"/>
  <c r="K1163" i="2"/>
  <c r="J1163" i="2"/>
  <c r="I1163" i="2"/>
  <c r="H1163" i="2"/>
  <c r="G1163" i="2"/>
  <c r="F1163" i="2"/>
  <c r="E1163" i="2"/>
  <c r="D1163" i="2"/>
  <c r="C1163" i="2"/>
  <c r="A1163" i="2"/>
  <c r="AO1162" i="2"/>
  <c r="AN1162" i="2"/>
  <c r="AM1162" i="2"/>
  <c r="AK1162" i="2"/>
  <c r="AJ1162" i="2"/>
  <c r="AI1162" i="2"/>
  <c r="AG1162" i="2"/>
  <c r="AF1162" i="2"/>
  <c r="AE1162" i="2"/>
  <c r="AC1162" i="2"/>
  <c r="AB1162" i="2"/>
  <c r="AA1162" i="2"/>
  <c r="X1162" i="2"/>
  <c r="W1162" i="2"/>
  <c r="V1162" i="2"/>
  <c r="U1162" i="2"/>
  <c r="R1162" i="2"/>
  <c r="Q1162" i="2"/>
  <c r="P1162" i="2"/>
  <c r="O1162" i="2"/>
  <c r="N1162" i="2"/>
  <c r="M1162" i="2"/>
  <c r="L1162" i="2"/>
  <c r="K1162" i="2"/>
  <c r="J1162" i="2"/>
  <c r="I1162" i="2"/>
  <c r="H1162" i="2"/>
  <c r="G1162" i="2"/>
  <c r="F1162" i="2"/>
  <c r="E1162" i="2"/>
  <c r="D1162" i="2"/>
  <c r="C1162" i="2"/>
  <c r="B1162" i="2"/>
  <c r="A1162" i="2"/>
  <c r="AO1161" i="2"/>
  <c r="AN1161" i="2"/>
  <c r="AM1161" i="2"/>
  <c r="AL1161" i="2"/>
  <c r="AK1161" i="2"/>
  <c r="AJ1161" i="2"/>
  <c r="AI1161" i="2"/>
  <c r="AH1161" i="2"/>
  <c r="AG1161" i="2"/>
  <c r="AF1161" i="2"/>
  <c r="AE1161" i="2"/>
  <c r="AD1161" i="2"/>
  <c r="AC1161" i="2"/>
  <c r="AB1161" i="2"/>
  <c r="AA1161" i="2"/>
  <c r="Z1161" i="2"/>
  <c r="Y1161" i="2"/>
  <c r="X1161" i="2"/>
  <c r="W1161" i="2"/>
  <c r="V1161" i="2"/>
  <c r="U1161" i="2"/>
  <c r="S1161" i="2"/>
  <c r="R1161" i="2"/>
  <c r="Q1161" i="2"/>
  <c r="P1161" i="2"/>
  <c r="O1161" i="2"/>
  <c r="N1161" i="2"/>
  <c r="M1161" i="2"/>
  <c r="L1161" i="2"/>
  <c r="K1161" i="2"/>
  <c r="J1161" i="2"/>
  <c r="I1161" i="2"/>
  <c r="H1161" i="2"/>
  <c r="G1161" i="2"/>
  <c r="F1161" i="2"/>
  <c r="E1161" i="2"/>
  <c r="D1161" i="2"/>
  <c r="C1161" i="2"/>
  <c r="B1161" i="2"/>
  <c r="A1161" i="2"/>
  <c r="AO1160" i="2"/>
  <c r="AN1160" i="2"/>
  <c r="AM1160" i="2"/>
  <c r="AK1160" i="2"/>
  <c r="AJ1160" i="2"/>
  <c r="AI1160" i="2"/>
  <c r="AH1160" i="2"/>
  <c r="AG1160" i="2"/>
  <c r="AF1160" i="2"/>
  <c r="AE1160" i="2"/>
  <c r="AD1160" i="2"/>
  <c r="AC1160" i="2"/>
  <c r="AB1160" i="2"/>
  <c r="AA1160" i="2"/>
  <c r="Z1160" i="2"/>
  <c r="Y1160" i="2"/>
  <c r="X1160" i="2"/>
  <c r="W1160" i="2"/>
  <c r="V1160" i="2"/>
  <c r="U1160" i="2"/>
  <c r="S1160" i="2"/>
  <c r="R1160" i="2"/>
  <c r="Q1160" i="2"/>
  <c r="P1160" i="2"/>
  <c r="O1160" i="2"/>
  <c r="N1160" i="2"/>
  <c r="M1160" i="2"/>
  <c r="L1160" i="2"/>
  <c r="K1160" i="2"/>
  <c r="J1160" i="2"/>
  <c r="I1160" i="2"/>
  <c r="H1160" i="2"/>
  <c r="G1160" i="2"/>
  <c r="F1160" i="2"/>
  <c r="E1160" i="2"/>
  <c r="D1160" i="2"/>
  <c r="C1160" i="2"/>
  <c r="B1160" i="2"/>
  <c r="A1160" i="2"/>
  <c r="AO1159" i="2"/>
  <c r="AN1159" i="2"/>
  <c r="AM1159" i="2"/>
  <c r="AL1159" i="2"/>
  <c r="AK1159" i="2"/>
  <c r="AJ1159" i="2"/>
  <c r="AI1159" i="2"/>
  <c r="AH1159" i="2"/>
  <c r="AG1159" i="2"/>
  <c r="AF1159" i="2"/>
  <c r="AE1159" i="2"/>
  <c r="AD1159" i="2"/>
  <c r="AC1159" i="2"/>
  <c r="AB1159" i="2"/>
  <c r="AA1159" i="2"/>
  <c r="Z1159" i="2"/>
  <c r="Y1159" i="2"/>
  <c r="X1159" i="2"/>
  <c r="W1159" i="2"/>
  <c r="V1159" i="2"/>
  <c r="U1159" i="2"/>
  <c r="S1159" i="2"/>
  <c r="R1159" i="2"/>
  <c r="Q1159" i="2"/>
  <c r="P1159" i="2"/>
  <c r="O1159" i="2"/>
  <c r="N1159" i="2"/>
  <c r="M1159" i="2"/>
  <c r="L1159" i="2"/>
  <c r="K1159" i="2"/>
  <c r="J1159" i="2"/>
  <c r="I1159" i="2"/>
  <c r="H1159" i="2"/>
  <c r="G1159" i="2"/>
  <c r="F1159" i="2"/>
  <c r="E1159" i="2"/>
  <c r="D1159" i="2"/>
  <c r="C1159" i="2"/>
  <c r="A1159" i="2"/>
  <c r="AO1158" i="2"/>
  <c r="AN1158" i="2"/>
  <c r="AM1158" i="2"/>
  <c r="AL1158" i="2"/>
  <c r="AK1158" i="2"/>
  <c r="AJ1158" i="2"/>
  <c r="AI1158" i="2"/>
  <c r="AG1158" i="2"/>
  <c r="AF1158" i="2"/>
  <c r="AE1158" i="2"/>
  <c r="AC1158" i="2"/>
  <c r="AB1158" i="2"/>
  <c r="AA1158" i="2"/>
  <c r="X1158" i="2"/>
  <c r="W1158" i="2"/>
  <c r="V1158" i="2"/>
  <c r="U1158" i="2"/>
  <c r="R1158" i="2"/>
  <c r="Q1158" i="2"/>
  <c r="P1158" i="2"/>
  <c r="O1158" i="2"/>
  <c r="N1158" i="2"/>
  <c r="M1158" i="2"/>
  <c r="L1158" i="2"/>
  <c r="K1158" i="2"/>
  <c r="J1158" i="2"/>
  <c r="I1158" i="2"/>
  <c r="H1158" i="2"/>
  <c r="G1158" i="2"/>
  <c r="F1158" i="2"/>
  <c r="E1158" i="2"/>
  <c r="D1158" i="2"/>
  <c r="C1158" i="2"/>
  <c r="A1158" i="2"/>
  <c r="AO1157" i="2"/>
  <c r="AN1157" i="2"/>
  <c r="AM1157" i="2"/>
  <c r="AK1157" i="2"/>
  <c r="AJ1157" i="2"/>
  <c r="AI1157" i="2"/>
  <c r="AH1157" i="2"/>
  <c r="AG1157" i="2"/>
  <c r="AF1157" i="2"/>
  <c r="AE1157" i="2"/>
  <c r="AD1157" i="2"/>
  <c r="AC1157" i="2"/>
  <c r="AB1157" i="2"/>
  <c r="AA1157" i="2"/>
  <c r="Z1157" i="2"/>
  <c r="Y1157" i="2"/>
  <c r="X1157" i="2"/>
  <c r="W1157" i="2"/>
  <c r="V1157" i="2"/>
  <c r="U1157" i="2"/>
  <c r="S1157" i="2"/>
  <c r="R1157" i="2"/>
  <c r="Q1157" i="2"/>
  <c r="P1157" i="2"/>
  <c r="O1157" i="2"/>
  <c r="N1157" i="2"/>
  <c r="M1157" i="2"/>
  <c r="L1157" i="2"/>
  <c r="K1157" i="2"/>
  <c r="J1157" i="2"/>
  <c r="I1157" i="2"/>
  <c r="H1157" i="2"/>
  <c r="G1157" i="2"/>
  <c r="F1157" i="2"/>
  <c r="E1157" i="2"/>
  <c r="D1157" i="2"/>
  <c r="C1157" i="2"/>
  <c r="B1157" i="2"/>
  <c r="A1157" i="2"/>
  <c r="AO1156" i="2"/>
  <c r="AN1156" i="2"/>
  <c r="AM1156" i="2"/>
  <c r="AL1156" i="2"/>
  <c r="AK1156" i="2"/>
  <c r="AJ1156" i="2"/>
  <c r="AI1156" i="2"/>
  <c r="AH1156" i="2"/>
  <c r="AG1156" i="2"/>
  <c r="AF1156" i="2"/>
  <c r="AE1156" i="2"/>
  <c r="AD1156" i="2"/>
  <c r="AC1156" i="2"/>
  <c r="AB1156" i="2"/>
  <c r="AA1156" i="2"/>
  <c r="Z1156" i="2"/>
  <c r="Y1156" i="2"/>
  <c r="X1156" i="2"/>
  <c r="W1156" i="2"/>
  <c r="V1156" i="2"/>
  <c r="U1156" i="2"/>
  <c r="S1156" i="2"/>
  <c r="R1156" i="2"/>
  <c r="Q1156" i="2"/>
  <c r="P1156" i="2"/>
  <c r="O1156" i="2"/>
  <c r="N1156" i="2"/>
  <c r="M1156" i="2"/>
  <c r="L1156" i="2"/>
  <c r="K1156" i="2"/>
  <c r="J1156" i="2"/>
  <c r="I1156" i="2"/>
  <c r="H1156" i="2"/>
  <c r="G1156" i="2"/>
  <c r="F1156" i="2"/>
  <c r="E1156" i="2"/>
  <c r="D1156" i="2"/>
  <c r="C1156" i="2"/>
  <c r="B1156" i="2"/>
  <c r="A1156" i="2"/>
  <c r="AO1155" i="2"/>
  <c r="AN1155" i="2"/>
  <c r="AM1155" i="2"/>
  <c r="AK1155" i="2"/>
  <c r="AJ1155" i="2"/>
  <c r="AI1155" i="2"/>
  <c r="AH1155" i="2"/>
  <c r="AG1155" i="2"/>
  <c r="AF1155" i="2"/>
  <c r="AE1155" i="2"/>
  <c r="AD1155" i="2"/>
  <c r="AC1155" i="2"/>
  <c r="AB1155" i="2"/>
  <c r="AA1155" i="2"/>
  <c r="Z1155" i="2"/>
  <c r="Y1155" i="2"/>
  <c r="X1155" i="2"/>
  <c r="W1155" i="2"/>
  <c r="V1155" i="2"/>
  <c r="U1155" i="2"/>
  <c r="S1155" i="2"/>
  <c r="R1155" i="2"/>
  <c r="Q1155" i="2"/>
  <c r="P1155" i="2"/>
  <c r="O1155" i="2"/>
  <c r="N1155" i="2"/>
  <c r="M1155" i="2"/>
  <c r="L1155" i="2"/>
  <c r="K1155" i="2"/>
  <c r="J1155" i="2"/>
  <c r="I1155" i="2"/>
  <c r="H1155" i="2"/>
  <c r="G1155" i="2"/>
  <c r="F1155" i="2"/>
  <c r="E1155" i="2"/>
  <c r="D1155" i="2"/>
  <c r="C1155" i="2"/>
  <c r="B1155" i="2"/>
  <c r="A1155" i="2"/>
  <c r="AO1154" i="2"/>
  <c r="AN1154" i="2"/>
  <c r="AM1154" i="2"/>
  <c r="AL1154" i="2"/>
  <c r="AK1154" i="2"/>
  <c r="AJ1154" i="2"/>
  <c r="AI1154" i="2"/>
  <c r="AH1154" i="2"/>
  <c r="AG1154" i="2"/>
  <c r="AF1154" i="2"/>
  <c r="AE1154" i="2"/>
  <c r="AD1154" i="2"/>
  <c r="AC1154" i="2"/>
  <c r="AB1154" i="2"/>
  <c r="AA1154" i="2"/>
  <c r="Y1154" i="2"/>
  <c r="X1154" i="2"/>
  <c r="W1154" i="2"/>
  <c r="V1154" i="2"/>
  <c r="U1154" i="2"/>
  <c r="S1154" i="2"/>
  <c r="R1154" i="2"/>
  <c r="Q1154" i="2"/>
  <c r="P1154" i="2"/>
  <c r="O1154" i="2"/>
  <c r="N1154" i="2"/>
  <c r="M1154" i="2"/>
  <c r="L1154" i="2"/>
  <c r="K1154" i="2"/>
  <c r="J1154" i="2"/>
  <c r="I1154" i="2"/>
  <c r="H1154" i="2"/>
  <c r="G1154" i="2"/>
  <c r="F1154" i="2"/>
  <c r="E1154" i="2"/>
  <c r="D1154" i="2"/>
  <c r="C1154" i="2"/>
  <c r="B1154" i="2"/>
  <c r="A1154" i="2"/>
  <c r="AO1153" i="2"/>
  <c r="AN1153" i="2"/>
  <c r="AM1153" i="2"/>
  <c r="AK1153" i="2"/>
  <c r="AJ1153" i="2"/>
  <c r="AI1153" i="2"/>
  <c r="AH1153" i="2"/>
  <c r="AG1153" i="2"/>
  <c r="AF1153" i="2"/>
  <c r="AE1153" i="2"/>
  <c r="AD1153" i="2"/>
  <c r="AC1153" i="2"/>
  <c r="AB1153" i="2"/>
  <c r="AA1153" i="2"/>
  <c r="Z1153" i="2"/>
  <c r="Y1153" i="2"/>
  <c r="X1153" i="2"/>
  <c r="W1153" i="2"/>
  <c r="V1153" i="2"/>
  <c r="U1153" i="2"/>
  <c r="S1153" i="2"/>
  <c r="R1153" i="2"/>
  <c r="Q1153" i="2"/>
  <c r="P1153" i="2"/>
  <c r="O1153" i="2"/>
  <c r="N1153" i="2"/>
  <c r="M1153" i="2"/>
  <c r="L1153" i="2"/>
  <c r="K1153" i="2"/>
  <c r="J1153" i="2"/>
  <c r="I1153" i="2"/>
  <c r="H1153" i="2"/>
  <c r="G1153" i="2"/>
  <c r="F1153" i="2"/>
  <c r="E1153" i="2"/>
  <c r="D1153" i="2"/>
  <c r="C1153" i="2"/>
  <c r="A1153" i="2"/>
  <c r="AO1152" i="2"/>
  <c r="AN1152" i="2"/>
  <c r="AM1152" i="2"/>
  <c r="AL1152" i="2"/>
  <c r="AK1152" i="2"/>
  <c r="AJ1152" i="2"/>
  <c r="AI1152" i="2"/>
  <c r="AH1152" i="2"/>
  <c r="AG1152" i="2"/>
  <c r="AF1152" i="2"/>
  <c r="AE1152" i="2"/>
  <c r="AD1152" i="2"/>
  <c r="AC1152" i="2"/>
  <c r="AB1152" i="2"/>
  <c r="AA1152" i="2"/>
  <c r="Z1152" i="2"/>
  <c r="Y1152" i="2"/>
  <c r="X1152" i="2"/>
  <c r="W1152" i="2"/>
  <c r="V1152" i="2"/>
  <c r="U1152" i="2"/>
  <c r="S1152" i="2"/>
  <c r="R1152" i="2"/>
  <c r="Q1152" i="2"/>
  <c r="P1152" i="2"/>
  <c r="O1152" i="2"/>
  <c r="N1152" i="2"/>
  <c r="M1152" i="2"/>
  <c r="L1152" i="2"/>
  <c r="K1152" i="2"/>
  <c r="J1152" i="2"/>
  <c r="I1152" i="2"/>
  <c r="H1152" i="2"/>
  <c r="G1152" i="2"/>
  <c r="F1152" i="2"/>
  <c r="E1152" i="2"/>
  <c r="D1152" i="2"/>
  <c r="C1152" i="2"/>
  <c r="B1152" i="2"/>
  <c r="A1152" i="2"/>
  <c r="AO1151" i="2"/>
  <c r="AN1151" i="2"/>
  <c r="AM1151" i="2"/>
  <c r="AL1151" i="2"/>
  <c r="AK1151" i="2"/>
  <c r="AJ1151" i="2"/>
  <c r="AI1151" i="2"/>
  <c r="AH1151" i="2"/>
  <c r="AG1151" i="2"/>
  <c r="AF1151" i="2"/>
  <c r="AE1151" i="2"/>
  <c r="AD1151" i="2"/>
  <c r="AC1151" i="2"/>
  <c r="AB1151" i="2"/>
  <c r="AA1151" i="2"/>
  <c r="Z1151" i="2"/>
  <c r="Y1151" i="2"/>
  <c r="X1151" i="2"/>
  <c r="W1151" i="2"/>
  <c r="V1151" i="2"/>
  <c r="U1151" i="2"/>
  <c r="S1151" i="2"/>
  <c r="R1151" i="2"/>
  <c r="Q1151" i="2"/>
  <c r="P1151" i="2"/>
  <c r="O1151" i="2"/>
  <c r="N1151" i="2"/>
  <c r="M1151" i="2"/>
  <c r="L1151" i="2"/>
  <c r="K1151" i="2"/>
  <c r="J1151" i="2"/>
  <c r="I1151" i="2"/>
  <c r="H1151" i="2"/>
  <c r="G1151" i="2"/>
  <c r="F1151" i="2"/>
  <c r="E1151" i="2"/>
  <c r="D1151" i="2"/>
  <c r="C1151" i="2"/>
  <c r="B1151" i="2"/>
  <c r="A1151" i="2"/>
  <c r="AO1150" i="2"/>
  <c r="AN1150" i="2"/>
  <c r="AM1150" i="2"/>
  <c r="AL1150" i="2"/>
  <c r="AK1150" i="2"/>
  <c r="AJ1150" i="2"/>
  <c r="AI1150" i="2"/>
  <c r="AG1150" i="2"/>
  <c r="AF1150" i="2"/>
  <c r="AE1150" i="2"/>
  <c r="AC1150" i="2"/>
  <c r="AB1150" i="2"/>
  <c r="AA1150" i="2"/>
  <c r="X1150" i="2"/>
  <c r="W1150" i="2"/>
  <c r="V1150" i="2"/>
  <c r="U1150" i="2"/>
  <c r="R1150" i="2"/>
  <c r="Q1150" i="2"/>
  <c r="P1150" i="2"/>
  <c r="O1150" i="2"/>
  <c r="N1150" i="2"/>
  <c r="M1150" i="2"/>
  <c r="L1150" i="2"/>
  <c r="K1150" i="2"/>
  <c r="J1150" i="2"/>
  <c r="I1150" i="2"/>
  <c r="H1150" i="2"/>
  <c r="G1150" i="2"/>
  <c r="F1150" i="2"/>
  <c r="E1150" i="2"/>
  <c r="D1150" i="2"/>
  <c r="C1150" i="2"/>
  <c r="B1150" i="2"/>
  <c r="A1150" i="2"/>
  <c r="AO1149" i="2"/>
  <c r="AN1149" i="2"/>
  <c r="AM1149" i="2"/>
  <c r="AK1149" i="2"/>
  <c r="AJ1149" i="2"/>
  <c r="AI1149" i="2"/>
  <c r="AG1149" i="2"/>
  <c r="AF1149" i="2"/>
  <c r="AE1149" i="2"/>
  <c r="AC1149" i="2"/>
  <c r="AB1149" i="2"/>
  <c r="AA1149" i="2"/>
  <c r="X1149" i="2"/>
  <c r="W1149" i="2"/>
  <c r="V1149" i="2"/>
  <c r="U1149" i="2"/>
  <c r="R1149" i="2"/>
  <c r="Q1149" i="2"/>
  <c r="P1149" i="2"/>
  <c r="O1149" i="2"/>
  <c r="N1149" i="2"/>
  <c r="M1149" i="2"/>
  <c r="L1149" i="2"/>
  <c r="K1149" i="2"/>
  <c r="J1149" i="2"/>
  <c r="I1149" i="2"/>
  <c r="H1149" i="2"/>
  <c r="G1149" i="2"/>
  <c r="F1149" i="2"/>
  <c r="E1149" i="2"/>
  <c r="D1149" i="2"/>
  <c r="C1149" i="2"/>
  <c r="B1149" i="2"/>
  <c r="A1149" i="2"/>
  <c r="AO1148" i="2"/>
  <c r="AN1148" i="2"/>
  <c r="AM1148" i="2"/>
  <c r="AK1148" i="2"/>
  <c r="AJ1148" i="2"/>
  <c r="AI1148" i="2"/>
  <c r="AG1148" i="2"/>
  <c r="AF1148" i="2"/>
  <c r="AE1148" i="2"/>
  <c r="AC1148" i="2"/>
  <c r="AB1148" i="2"/>
  <c r="AA1148" i="2"/>
  <c r="X1148" i="2"/>
  <c r="W1148" i="2"/>
  <c r="V1148" i="2"/>
  <c r="U1148" i="2"/>
  <c r="R1148" i="2"/>
  <c r="Q1148" i="2"/>
  <c r="P1148" i="2"/>
  <c r="O1148" i="2"/>
  <c r="N1148" i="2"/>
  <c r="M1148" i="2"/>
  <c r="L1148" i="2"/>
  <c r="K1148" i="2"/>
  <c r="J1148" i="2"/>
  <c r="I1148" i="2"/>
  <c r="H1148" i="2"/>
  <c r="G1148" i="2"/>
  <c r="F1148" i="2"/>
  <c r="E1148" i="2"/>
  <c r="D1148" i="2"/>
  <c r="C1148" i="2"/>
  <c r="A1148" i="2"/>
  <c r="AO1147" i="2"/>
  <c r="AN1147" i="2"/>
  <c r="AM1147" i="2"/>
  <c r="AK1147" i="2"/>
  <c r="AJ1147" i="2"/>
  <c r="AI1147" i="2"/>
  <c r="AH1147" i="2"/>
  <c r="AG1147" i="2"/>
  <c r="AF1147" i="2"/>
  <c r="AE1147" i="2"/>
  <c r="AD1147" i="2"/>
  <c r="AC1147" i="2"/>
  <c r="AB1147" i="2"/>
  <c r="AA1147" i="2"/>
  <c r="Z1147" i="2"/>
  <c r="Y1147" i="2"/>
  <c r="X1147" i="2"/>
  <c r="W1147" i="2"/>
  <c r="V1147" i="2"/>
  <c r="U1147" i="2"/>
  <c r="S1147" i="2"/>
  <c r="R1147" i="2"/>
  <c r="Q1147" i="2"/>
  <c r="P1147" i="2"/>
  <c r="O1147" i="2"/>
  <c r="N1147" i="2"/>
  <c r="M1147" i="2"/>
  <c r="L1147" i="2"/>
  <c r="K1147" i="2"/>
  <c r="J1147" i="2"/>
  <c r="I1147" i="2"/>
  <c r="H1147" i="2"/>
  <c r="G1147" i="2"/>
  <c r="F1147" i="2"/>
  <c r="E1147" i="2"/>
  <c r="D1147" i="2"/>
  <c r="C1147" i="2"/>
  <c r="A1147" i="2"/>
  <c r="AO1146" i="2"/>
  <c r="AN1146" i="2"/>
  <c r="AM1146" i="2"/>
  <c r="AK1146" i="2"/>
  <c r="AJ1146" i="2"/>
  <c r="AI1146" i="2"/>
  <c r="AH1146" i="2"/>
  <c r="AG1146" i="2"/>
  <c r="AF1146" i="2"/>
  <c r="AE1146" i="2"/>
  <c r="AD1146" i="2"/>
  <c r="AC1146" i="2"/>
  <c r="AB1146" i="2"/>
  <c r="AA1146" i="2"/>
  <c r="Z1146" i="2"/>
  <c r="Y1146" i="2"/>
  <c r="X1146" i="2"/>
  <c r="W1146" i="2"/>
  <c r="V1146" i="2"/>
  <c r="U1146" i="2"/>
  <c r="S1146" i="2"/>
  <c r="R1146" i="2"/>
  <c r="Q1146" i="2"/>
  <c r="P1146" i="2"/>
  <c r="O1146" i="2"/>
  <c r="N1146" i="2"/>
  <c r="M1146" i="2"/>
  <c r="L1146" i="2"/>
  <c r="K1146" i="2"/>
  <c r="J1146" i="2"/>
  <c r="I1146" i="2"/>
  <c r="H1146" i="2"/>
  <c r="G1146" i="2"/>
  <c r="F1146" i="2"/>
  <c r="E1146" i="2"/>
  <c r="D1146" i="2"/>
  <c r="C1146" i="2"/>
  <c r="B1146" i="2"/>
  <c r="A1146" i="2"/>
  <c r="AO1145" i="2"/>
  <c r="AN1145" i="2"/>
  <c r="AM1145" i="2"/>
  <c r="AK1145" i="2"/>
  <c r="AJ1145" i="2"/>
  <c r="AI1145" i="2"/>
  <c r="AH1145" i="2"/>
  <c r="AG1145" i="2"/>
  <c r="AF1145" i="2"/>
  <c r="AE1145" i="2"/>
  <c r="AD1145" i="2"/>
  <c r="AC1145" i="2"/>
  <c r="AB1145" i="2"/>
  <c r="AA1145" i="2"/>
  <c r="Z1145" i="2"/>
  <c r="Y1145" i="2"/>
  <c r="X1145" i="2"/>
  <c r="W1145" i="2"/>
  <c r="V1145" i="2"/>
  <c r="U1145" i="2"/>
  <c r="S1145" i="2"/>
  <c r="R1145" i="2"/>
  <c r="Q1145" i="2"/>
  <c r="P1145" i="2"/>
  <c r="O1145" i="2"/>
  <c r="N1145" i="2"/>
  <c r="M1145" i="2"/>
  <c r="L1145" i="2"/>
  <c r="K1145" i="2"/>
  <c r="J1145" i="2"/>
  <c r="I1145" i="2"/>
  <c r="H1145" i="2"/>
  <c r="G1145" i="2"/>
  <c r="F1145" i="2"/>
  <c r="E1145" i="2"/>
  <c r="D1145" i="2"/>
  <c r="C1145" i="2"/>
  <c r="A1145" i="2"/>
  <c r="AO1144" i="2"/>
  <c r="AN1144" i="2"/>
  <c r="AM1144" i="2"/>
  <c r="AL1144" i="2"/>
  <c r="AK1144" i="2"/>
  <c r="AJ1144" i="2"/>
  <c r="AI1144" i="2"/>
  <c r="AH1144" i="2"/>
  <c r="AG1144" i="2"/>
  <c r="AF1144" i="2"/>
  <c r="AE1144" i="2"/>
  <c r="AD1144" i="2"/>
  <c r="AC1144" i="2"/>
  <c r="AB1144" i="2"/>
  <c r="AA1144" i="2"/>
  <c r="Z1144" i="2"/>
  <c r="Y1144" i="2"/>
  <c r="X1144" i="2"/>
  <c r="W1144" i="2"/>
  <c r="V1144" i="2"/>
  <c r="U1144" i="2"/>
  <c r="S1144" i="2"/>
  <c r="R1144" i="2"/>
  <c r="Q1144" i="2"/>
  <c r="P1144" i="2"/>
  <c r="O1144" i="2"/>
  <c r="N1144" i="2"/>
  <c r="M1144" i="2"/>
  <c r="L1144" i="2"/>
  <c r="K1144" i="2"/>
  <c r="J1144" i="2"/>
  <c r="I1144" i="2"/>
  <c r="H1144" i="2"/>
  <c r="G1144" i="2"/>
  <c r="F1144" i="2"/>
  <c r="E1144" i="2"/>
  <c r="D1144" i="2"/>
  <c r="C1144" i="2"/>
  <c r="A1144" i="2"/>
  <c r="AO1143" i="2"/>
  <c r="AN1143" i="2"/>
  <c r="AM1143" i="2"/>
  <c r="AK1143" i="2"/>
  <c r="AJ1143" i="2"/>
  <c r="AI1143" i="2"/>
  <c r="AH1143" i="2"/>
  <c r="AG1143" i="2"/>
  <c r="AF1143" i="2"/>
  <c r="AE1143" i="2"/>
  <c r="AD1143" i="2"/>
  <c r="AC1143" i="2"/>
  <c r="AB1143" i="2"/>
  <c r="AA1143" i="2"/>
  <c r="Y1143" i="2"/>
  <c r="X1143" i="2"/>
  <c r="W1143" i="2"/>
  <c r="V1143" i="2"/>
  <c r="U1143" i="2"/>
  <c r="S1143" i="2"/>
  <c r="R1143" i="2"/>
  <c r="Q1143" i="2"/>
  <c r="P1143" i="2"/>
  <c r="O1143" i="2"/>
  <c r="N1143" i="2"/>
  <c r="M1143" i="2"/>
  <c r="L1143" i="2"/>
  <c r="K1143" i="2"/>
  <c r="J1143" i="2"/>
  <c r="I1143" i="2"/>
  <c r="H1143" i="2"/>
  <c r="G1143" i="2"/>
  <c r="F1143" i="2"/>
  <c r="E1143" i="2"/>
  <c r="D1143" i="2"/>
  <c r="C1143" i="2"/>
  <c r="B1143" i="2"/>
  <c r="A1143" i="2"/>
  <c r="AO1142" i="2"/>
  <c r="AN1142" i="2"/>
  <c r="AM1142" i="2"/>
  <c r="AL1142" i="2"/>
  <c r="AK1142" i="2"/>
  <c r="AJ1142" i="2"/>
  <c r="AI1142" i="2"/>
  <c r="AH1142" i="2"/>
  <c r="AG1142" i="2"/>
  <c r="AF1142" i="2"/>
  <c r="AE1142" i="2"/>
  <c r="AC1142" i="2"/>
  <c r="AB1142" i="2"/>
  <c r="AA1142" i="2"/>
  <c r="Z1142" i="2"/>
  <c r="Y1142" i="2"/>
  <c r="X1142" i="2"/>
  <c r="W1142" i="2"/>
  <c r="V1142" i="2"/>
  <c r="U1142" i="2"/>
  <c r="S1142" i="2"/>
  <c r="R1142" i="2"/>
  <c r="Q1142" i="2"/>
  <c r="P1142" i="2"/>
  <c r="O1142" i="2"/>
  <c r="N1142" i="2"/>
  <c r="M1142" i="2"/>
  <c r="L1142" i="2"/>
  <c r="K1142" i="2"/>
  <c r="J1142" i="2"/>
  <c r="I1142" i="2"/>
  <c r="H1142" i="2"/>
  <c r="G1142" i="2"/>
  <c r="F1142" i="2"/>
  <c r="E1142" i="2"/>
  <c r="D1142" i="2"/>
  <c r="C1142" i="2"/>
  <c r="B1142" i="2"/>
  <c r="A1142" i="2"/>
  <c r="AO1141" i="2"/>
  <c r="AN1141" i="2"/>
  <c r="AM1141" i="2"/>
  <c r="AL1141" i="2"/>
  <c r="AK1141" i="2"/>
  <c r="AJ1141" i="2"/>
  <c r="AI1141" i="2"/>
  <c r="AH1141" i="2"/>
  <c r="AG1141" i="2"/>
  <c r="AF1141" i="2"/>
  <c r="AE1141" i="2"/>
  <c r="AC1141" i="2"/>
  <c r="AB1141" i="2"/>
  <c r="AA1141" i="2"/>
  <c r="Z1141" i="2"/>
  <c r="Y1141" i="2"/>
  <c r="X1141" i="2"/>
  <c r="W1141" i="2"/>
  <c r="V1141" i="2"/>
  <c r="U1141" i="2"/>
  <c r="S1141" i="2"/>
  <c r="R1141" i="2"/>
  <c r="Q1141" i="2"/>
  <c r="P1141" i="2"/>
  <c r="O1141" i="2"/>
  <c r="N1141" i="2"/>
  <c r="M1141" i="2"/>
  <c r="L1141" i="2"/>
  <c r="K1141" i="2"/>
  <c r="J1141" i="2"/>
  <c r="I1141" i="2"/>
  <c r="H1141" i="2"/>
  <c r="G1141" i="2"/>
  <c r="F1141" i="2"/>
  <c r="E1141" i="2"/>
  <c r="D1141" i="2"/>
  <c r="C1141" i="2"/>
  <c r="A1141" i="2"/>
  <c r="AO1140" i="2"/>
  <c r="AN1140" i="2"/>
  <c r="AM1140" i="2"/>
  <c r="AL1140" i="2"/>
  <c r="AK1140" i="2"/>
  <c r="AJ1140" i="2"/>
  <c r="AI1140" i="2"/>
  <c r="AH1140" i="2"/>
  <c r="AG1140" i="2"/>
  <c r="AF1140" i="2"/>
  <c r="AE1140" i="2"/>
  <c r="AD1140" i="2"/>
  <c r="AC1140" i="2"/>
  <c r="AB1140" i="2"/>
  <c r="AA1140" i="2"/>
  <c r="Z1140" i="2"/>
  <c r="Y1140" i="2"/>
  <c r="X1140" i="2"/>
  <c r="W1140" i="2"/>
  <c r="V1140" i="2"/>
  <c r="U1140" i="2"/>
  <c r="S1140" i="2"/>
  <c r="R1140" i="2"/>
  <c r="Q1140" i="2"/>
  <c r="P1140" i="2"/>
  <c r="O1140" i="2"/>
  <c r="N1140" i="2"/>
  <c r="M1140" i="2"/>
  <c r="L1140" i="2"/>
  <c r="K1140" i="2"/>
  <c r="J1140" i="2"/>
  <c r="I1140" i="2"/>
  <c r="H1140" i="2"/>
  <c r="G1140" i="2"/>
  <c r="F1140" i="2"/>
  <c r="E1140" i="2"/>
  <c r="D1140" i="2"/>
  <c r="C1140" i="2"/>
  <c r="A1140" i="2"/>
  <c r="AO1139" i="2"/>
  <c r="AN1139" i="2"/>
  <c r="AM1139" i="2"/>
  <c r="AL1139" i="2"/>
  <c r="AK1139" i="2"/>
  <c r="AJ1139" i="2"/>
  <c r="AI1139" i="2"/>
  <c r="AH1139" i="2"/>
  <c r="AG1139" i="2"/>
  <c r="AF1139" i="2"/>
  <c r="AE1139" i="2"/>
  <c r="AD1139" i="2"/>
  <c r="AC1139" i="2"/>
  <c r="AB1139" i="2"/>
  <c r="AA1139" i="2"/>
  <c r="Z1139" i="2"/>
  <c r="Y1139" i="2"/>
  <c r="X1139" i="2"/>
  <c r="W1139" i="2"/>
  <c r="V1139" i="2"/>
  <c r="U1139" i="2"/>
  <c r="S1139" i="2"/>
  <c r="R1139" i="2"/>
  <c r="Q1139" i="2"/>
  <c r="P1139" i="2"/>
  <c r="O1139" i="2"/>
  <c r="N1139" i="2"/>
  <c r="M1139" i="2"/>
  <c r="L1139" i="2"/>
  <c r="K1139" i="2"/>
  <c r="J1139" i="2"/>
  <c r="I1139" i="2"/>
  <c r="H1139" i="2"/>
  <c r="G1139" i="2"/>
  <c r="F1139" i="2"/>
  <c r="E1139" i="2"/>
  <c r="D1139" i="2"/>
  <c r="C1139" i="2"/>
  <c r="A1139" i="2"/>
  <c r="AO1138" i="2"/>
  <c r="AN1138" i="2"/>
  <c r="AM1138" i="2"/>
  <c r="AL1138" i="2"/>
  <c r="AK1138" i="2"/>
  <c r="AJ1138" i="2"/>
  <c r="AI1138" i="2"/>
  <c r="AH1138" i="2"/>
  <c r="AG1138" i="2"/>
  <c r="AF1138" i="2"/>
  <c r="AE1138" i="2"/>
  <c r="AD1138" i="2"/>
  <c r="AC1138" i="2"/>
  <c r="AB1138" i="2"/>
  <c r="AA1138" i="2"/>
  <c r="Z1138" i="2"/>
  <c r="Y1138" i="2"/>
  <c r="X1138" i="2"/>
  <c r="W1138" i="2"/>
  <c r="V1138" i="2"/>
  <c r="U1138" i="2"/>
  <c r="S1138" i="2"/>
  <c r="R1138" i="2"/>
  <c r="Q1138" i="2"/>
  <c r="P1138" i="2"/>
  <c r="O1138" i="2"/>
  <c r="N1138" i="2"/>
  <c r="M1138" i="2"/>
  <c r="L1138" i="2"/>
  <c r="K1138" i="2"/>
  <c r="J1138" i="2"/>
  <c r="I1138" i="2"/>
  <c r="H1138" i="2"/>
  <c r="G1138" i="2"/>
  <c r="F1138" i="2"/>
  <c r="E1138" i="2"/>
  <c r="D1138" i="2"/>
  <c r="C1138" i="2"/>
  <c r="B1138" i="2"/>
  <c r="A1138" i="2"/>
  <c r="AO1137" i="2"/>
  <c r="AN1137" i="2"/>
  <c r="AM1137" i="2"/>
  <c r="AK1137" i="2"/>
  <c r="AJ1137" i="2"/>
  <c r="AI1137" i="2"/>
  <c r="AH1137" i="2"/>
  <c r="AG1137" i="2"/>
  <c r="AF1137" i="2"/>
  <c r="AE1137" i="2"/>
  <c r="AD1137" i="2"/>
  <c r="AC1137" i="2"/>
  <c r="AB1137" i="2"/>
  <c r="AA1137" i="2"/>
  <c r="Z1137" i="2"/>
  <c r="Y1137" i="2"/>
  <c r="X1137" i="2"/>
  <c r="W1137" i="2"/>
  <c r="V1137" i="2"/>
  <c r="U1137" i="2"/>
  <c r="S1137" i="2"/>
  <c r="R1137" i="2"/>
  <c r="Q1137" i="2"/>
  <c r="P1137" i="2"/>
  <c r="O1137" i="2"/>
  <c r="N1137" i="2"/>
  <c r="M1137" i="2"/>
  <c r="L1137" i="2"/>
  <c r="K1137" i="2"/>
  <c r="J1137" i="2"/>
  <c r="I1137" i="2"/>
  <c r="H1137" i="2"/>
  <c r="G1137" i="2"/>
  <c r="F1137" i="2"/>
  <c r="E1137" i="2"/>
  <c r="D1137" i="2"/>
  <c r="C1137" i="2"/>
  <c r="B1137" i="2"/>
  <c r="A1137" i="2"/>
  <c r="AO1136" i="2"/>
  <c r="AN1136" i="2"/>
  <c r="AM1136" i="2"/>
  <c r="AL1136" i="2"/>
  <c r="AK1136" i="2"/>
  <c r="AJ1136" i="2"/>
  <c r="AI1136" i="2"/>
  <c r="AH1136" i="2"/>
  <c r="AG1136" i="2"/>
  <c r="AF1136" i="2"/>
  <c r="AE1136" i="2"/>
  <c r="AD1136" i="2"/>
  <c r="AC1136" i="2"/>
  <c r="AB1136" i="2"/>
  <c r="AA1136" i="2"/>
  <c r="Z1136" i="2"/>
  <c r="Y1136" i="2"/>
  <c r="X1136" i="2"/>
  <c r="W1136" i="2"/>
  <c r="V1136" i="2"/>
  <c r="U1136" i="2"/>
  <c r="S1136" i="2"/>
  <c r="R1136" i="2"/>
  <c r="Q1136" i="2"/>
  <c r="P1136" i="2"/>
  <c r="O1136" i="2"/>
  <c r="N1136" i="2"/>
  <c r="M1136" i="2"/>
  <c r="L1136" i="2"/>
  <c r="K1136" i="2"/>
  <c r="J1136" i="2"/>
  <c r="I1136" i="2"/>
  <c r="H1136" i="2"/>
  <c r="G1136" i="2"/>
  <c r="F1136" i="2"/>
  <c r="E1136" i="2"/>
  <c r="D1136" i="2"/>
  <c r="C1136" i="2"/>
  <c r="B1136" i="2"/>
  <c r="A1136" i="2"/>
  <c r="AO1135" i="2"/>
  <c r="AN1135" i="2"/>
  <c r="AM1135" i="2"/>
  <c r="AL1135" i="2"/>
  <c r="AK1135" i="2"/>
  <c r="AJ1135" i="2"/>
  <c r="AI1135" i="2"/>
  <c r="AH1135" i="2"/>
  <c r="AG1135" i="2"/>
  <c r="AF1135" i="2"/>
  <c r="AE1135" i="2"/>
  <c r="AD1135" i="2"/>
  <c r="AC1135" i="2"/>
  <c r="AB1135" i="2"/>
  <c r="AA1135" i="2"/>
  <c r="Z1135" i="2"/>
  <c r="Y1135" i="2"/>
  <c r="X1135" i="2"/>
  <c r="W1135" i="2"/>
  <c r="V1135" i="2"/>
  <c r="U1135" i="2"/>
  <c r="S1135" i="2"/>
  <c r="R1135" i="2"/>
  <c r="Q1135" i="2"/>
  <c r="P1135" i="2"/>
  <c r="O1135" i="2"/>
  <c r="N1135" i="2"/>
  <c r="M1135" i="2"/>
  <c r="L1135" i="2"/>
  <c r="K1135" i="2"/>
  <c r="J1135" i="2"/>
  <c r="I1135" i="2"/>
  <c r="H1135" i="2"/>
  <c r="G1135" i="2"/>
  <c r="F1135" i="2"/>
  <c r="E1135" i="2"/>
  <c r="D1135" i="2"/>
  <c r="C1135" i="2"/>
  <c r="A1135" i="2"/>
  <c r="AO1134" i="2"/>
  <c r="AN1134" i="2"/>
  <c r="AM1134" i="2"/>
  <c r="AK1134" i="2"/>
  <c r="AJ1134" i="2"/>
  <c r="AI1134" i="2"/>
  <c r="AG1134" i="2"/>
  <c r="AF1134" i="2"/>
  <c r="AE1134" i="2"/>
  <c r="AC1134" i="2"/>
  <c r="AB1134" i="2"/>
  <c r="AA1134" i="2"/>
  <c r="X1134" i="2"/>
  <c r="W1134" i="2"/>
  <c r="V1134" i="2"/>
  <c r="U1134" i="2"/>
  <c r="R1134" i="2"/>
  <c r="Q1134" i="2"/>
  <c r="P1134" i="2"/>
  <c r="O1134" i="2"/>
  <c r="N1134" i="2"/>
  <c r="M1134" i="2"/>
  <c r="L1134" i="2"/>
  <c r="K1134" i="2"/>
  <c r="J1134" i="2"/>
  <c r="I1134" i="2"/>
  <c r="H1134" i="2"/>
  <c r="G1134" i="2"/>
  <c r="F1134" i="2"/>
  <c r="E1134" i="2"/>
  <c r="D1134" i="2"/>
  <c r="C1134" i="2"/>
  <c r="A1134" i="2"/>
  <c r="AO1133" i="2"/>
  <c r="AN1133" i="2"/>
  <c r="AM1133" i="2"/>
  <c r="AK1133" i="2"/>
  <c r="AJ1133" i="2"/>
  <c r="AI1133" i="2"/>
  <c r="AH1133" i="2"/>
  <c r="AG1133" i="2"/>
  <c r="AF1133" i="2"/>
  <c r="AE1133" i="2"/>
  <c r="AC1133" i="2"/>
  <c r="AB1133" i="2"/>
  <c r="AA1133" i="2"/>
  <c r="Z1133" i="2"/>
  <c r="Y1133" i="2"/>
  <c r="X1133" i="2"/>
  <c r="W1133" i="2"/>
  <c r="V1133" i="2"/>
  <c r="U1133" i="2"/>
  <c r="S1133" i="2"/>
  <c r="R1133" i="2"/>
  <c r="Q1133" i="2"/>
  <c r="P1133" i="2"/>
  <c r="O1133" i="2"/>
  <c r="N1133" i="2"/>
  <c r="M1133" i="2"/>
  <c r="L1133" i="2"/>
  <c r="K1133" i="2"/>
  <c r="J1133" i="2"/>
  <c r="I1133" i="2"/>
  <c r="H1133" i="2"/>
  <c r="G1133" i="2"/>
  <c r="F1133" i="2"/>
  <c r="E1133" i="2"/>
  <c r="D1133" i="2"/>
  <c r="C1133" i="2"/>
  <c r="B1133" i="2"/>
  <c r="A1133" i="2"/>
  <c r="AO1132" i="2"/>
  <c r="AN1132" i="2"/>
  <c r="AM1132" i="2"/>
  <c r="AK1132" i="2"/>
  <c r="AJ1132" i="2"/>
  <c r="AI1132" i="2"/>
  <c r="AH1132" i="2"/>
  <c r="AG1132" i="2"/>
  <c r="AF1132" i="2"/>
  <c r="AE1132" i="2"/>
  <c r="AD1132" i="2"/>
  <c r="AC1132" i="2"/>
  <c r="AB1132" i="2"/>
  <c r="AA1132" i="2"/>
  <c r="Z1132" i="2"/>
  <c r="Y1132" i="2"/>
  <c r="X1132" i="2"/>
  <c r="W1132" i="2"/>
  <c r="V1132" i="2"/>
  <c r="U1132" i="2"/>
  <c r="S1132" i="2"/>
  <c r="R1132" i="2"/>
  <c r="Q1132" i="2"/>
  <c r="P1132" i="2"/>
  <c r="O1132" i="2"/>
  <c r="N1132" i="2"/>
  <c r="M1132" i="2"/>
  <c r="L1132" i="2"/>
  <c r="K1132" i="2"/>
  <c r="J1132" i="2"/>
  <c r="I1132" i="2"/>
  <c r="H1132" i="2"/>
  <c r="G1132" i="2"/>
  <c r="F1132" i="2"/>
  <c r="E1132" i="2"/>
  <c r="D1132" i="2"/>
  <c r="C1132" i="2"/>
  <c r="A1132" i="2"/>
  <c r="AO1131" i="2"/>
  <c r="AN1131" i="2"/>
  <c r="AM1131" i="2"/>
  <c r="AK1131" i="2"/>
  <c r="AJ1131" i="2"/>
  <c r="AI1131" i="2"/>
  <c r="AH1131" i="2"/>
  <c r="AG1131" i="2"/>
  <c r="AF1131" i="2"/>
  <c r="AE1131" i="2"/>
  <c r="AC1131" i="2"/>
  <c r="AB1131" i="2"/>
  <c r="AA1131" i="2"/>
  <c r="Z1131" i="2"/>
  <c r="Y1131" i="2"/>
  <c r="X1131" i="2"/>
  <c r="W1131" i="2"/>
  <c r="V1131" i="2"/>
  <c r="U1131" i="2"/>
  <c r="S1131" i="2"/>
  <c r="R1131" i="2"/>
  <c r="Q1131" i="2"/>
  <c r="P1131" i="2"/>
  <c r="O1131" i="2"/>
  <c r="N1131" i="2"/>
  <c r="M1131" i="2"/>
  <c r="L1131" i="2"/>
  <c r="K1131" i="2"/>
  <c r="J1131" i="2"/>
  <c r="I1131" i="2"/>
  <c r="H1131" i="2"/>
  <c r="G1131" i="2"/>
  <c r="F1131" i="2"/>
  <c r="E1131" i="2"/>
  <c r="D1131" i="2"/>
  <c r="C1131" i="2"/>
  <c r="B1131" i="2"/>
  <c r="A1131" i="2"/>
  <c r="AO1130" i="2"/>
  <c r="AN1130" i="2"/>
  <c r="AM1130" i="2"/>
  <c r="AL1130" i="2"/>
  <c r="AK1130" i="2"/>
  <c r="AJ1130" i="2"/>
  <c r="AI1130" i="2"/>
  <c r="AG1130" i="2"/>
  <c r="AF1130" i="2"/>
  <c r="AE1130" i="2"/>
  <c r="AC1130" i="2"/>
  <c r="AB1130" i="2"/>
  <c r="AA1130" i="2"/>
  <c r="X1130" i="2"/>
  <c r="W1130" i="2"/>
  <c r="V1130" i="2"/>
  <c r="U1130" i="2"/>
  <c r="R1130" i="2"/>
  <c r="Q1130" i="2"/>
  <c r="P1130" i="2"/>
  <c r="O1130" i="2"/>
  <c r="N1130" i="2"/>
  <c r="M1130" i="2"/>
  <c r="L1130" i="2"/>
  <c r="K1130" i="2"/>
  <c r="J1130" i="2"/>
  <c r="I1130" i="2"/>
  <c r="H1130" i="2"/>
  <c r="G1130" i="2"/>
  <c r="F1130" i="2"/>
  <c r="E1130" i="2"/>
  <c r="D1130" i="2"/>
  <c r="C1130" i="2"/>
  <c r="B1130" i="2"/>
  <c r="A1130" i="2"/>
  <c r="AO1129" i="2"/>
  <c r="AN1129" i="2"/>
  <c r="AM1129" i="2"/>
  <c r="AL1129" i="2"/>
  <c r="AK1129" i="2"/>
  <c r="AJ1129" i="2"/>
  <c r="AI1129" i="2"/>
  <c r="AH1129" i="2"/>
  <c r="AG1129" i="2"/>
  <c r="AF1129" i="2"/>
  <c r="AE1129" i="2"/>
  <c r="AD1129" i="2"/>
  <c r="AC1129" i="2"/>
  <c r="AB1129" i="2"/>
  <c r="AA1129" i="2"/>
  <c r="Z1129" i="2"/>
  <c r="X1129" i="2"/>
  <c r="W1129" i="2"/>
  <c r="V1129" i="2"/>
  <c r="U1129" i="2"/>
  <c r="S1129" i="2"/>
  <c r="R1129" i="2"/>
  <c r="Q1129" i="2"/>
  <c r="P1129" i="2"/>
  <c r="O1129" i="2"/>
  <c r="N1129" i="2"/>
  <c r="M1129" i="2"/>
  <c r="L1129" i="2"/>
  <c r="K1129" i="2"/>
  <c r="J1129" i="2"/>
  <c r="I1129" i="2"/>
  <c r="H1129" i="2"/>
  <c r="G1129" i="2"/>
  <c r="F1129" i="2"/>
  <c r="E1129" i="2"/>
  <c r="D1129" i="2"/>
  <c r="C1129" i="2"/>
  <c r="B1129" i="2"/>
  <c r="A1129" i="2"/>
  <c r="AO1128" i="2"/>
  <c r="AN1128" i="2"/>
  <c r="AM1128" i="2"/>
  <c r="AK1128" i="2"/>
  <c r="AJ1128" i="2"/>
  <c r="AI1128" i="2"/>
  <c r="AH1128" i="2"/>
  <c r="AG1128" i="2"/>
  <c r="AF1128" i="2"/>
  <c r="AE1128" i="2"/>
  <c r="AD1128" i="2"/>
  <c r="AC1128" i="2"/>
  <c r="AB1128" i="2"/>
  <c r="AA1128" i="2"/>
  <c r="Z1128" i="2"/>
  <c r="Y1128" i="2"/>
  <c r="X1128" i="2"/>
  <c r="W1128" i="2"/>
  <c r="V1128" i="2"/>
  <c r="U1128" i="2"/>
  <c r="S1128" i="2"/>
  <c r="R1128" i="2"/>
  <c r="Q1128" i="2"/>
  <c r="P1128" i="2"/>
  <c r="O1128" i="2"/>
  <c r="N1128" i="2"/>
  <c r="M1128" i="2"/>
  <c r="L1128" i="2"/>
  <c r="K1128" i="2"/>
  <c r="J1128" i="2"/>
  <c r="I1128" i="2"/>
  <c r="H1128" i="2"/>
  <c r="G1128" i="2"/>
  <c r="F1128" i="2"/>
  <c r="E1128" i="2"/>
  <c r="D1128" i="2"/>
  <c r="C1128" i="2"/>
  <c r="B1128" i="2"/>
  <c r="A1128" i="2"/>
  <c r="AO1127" i="2"/>
  <c r="AN1127" i="2"/>
  <c r="AM1127" i="2"/>
  <c r="AL1127" i="2"/>
  <c r="AK1127" i="2"/>
  <c r="AJ1127" i="2"/>
  <c r="AI1127" i="2"/>
  <c r="AH1127" i="2"/>
  <c r="AG1127" i="2"/>
  <c r="AF1127" i="2"/>
  <c r="AE1127" i="2"/>
  <c r="AD1127" i="2"/>
  <c r="AC1127" i="2"/>
  <c r="AB1127" i="2"/>
  <c r="AA1127" i="2"/>
  <c r="Z1127" i="2"/>
  <c r="Y1127" i="2"/>
  <c r="X1127" i="2"/>
  <c r="W1127" i="2"/>
  <c r="V1127" i="2"/>
  <c r="U1127" i="2"/>
  <c r="S1127" i="2"/>
  <c r="R1127" i="2"/>
  <c r="Q1127" i="2"/>
  <c r="P1127" i="2"/>
  <c r="O1127" i="2"/>
  <c r="N1127" i="2"/>
  <c r="M1127" i="2"/>
  <c r="L1127" i="2"/>
  <c r="K1127" i="2"/>
  <c r="J1127" i="2"/>
  <c r="I1127" i="2"/>
  <c r="H1127" i="2"/>
  <c r="G1127" i="2"/>
  <c r="F1127" i="2"/>
  <c r="E1127" i="2"/>
  <c r="D1127" i="2"/>
  <c r="C1127" i="2"/>
  <c r="B1127" i="2"/>
  <c r="A1127" i="2"/>
  <c r="AO1126" i="2"/>
  <c r="AN1126" i="2"/>
  <c r="AM1126" i="2"/>
  <c r="AK1126" i="2"/>
  <c r="AJ1126" i="2"/>
  <c r="AI1126" i="2"/>
  <c r="AH1126" i="2"/>
  <c r="AG1126" i="2"/>
  <c r="AF1126" i="2"/>
  <c r="AE1126" i="2"/>
  <c r="AD1126" i="2"/>
  <c r="AC1126" i="2"/>
  <c r="AB1126" i="2"/>
  <c r="AA1126" i="2"/>
  <c r="Z1126" i="2"/>
  <c r="Y1126" i="2"/>
  <c r="X1126" i="2"/>
  <c r="W1126" i="2"/>
  <c r="V1126" i="2"/>
  <c r="U1126" i="2"/>
  <c r="S1126" i="2"/>
  <c r="R1126" i="2"/>
  <c r="Q1126" i="2"/>
  <c r="P1126" i="2"/>
  <c r="O1126" i="2"/>
  <c r="N1126" i="2"/>
  <c r="M1126" i="2"/>
  <c r="L1126" i="2"/>
  <c r="K1126" i="2"/>
  <c r="J1126" i="2"/>
  <c r="I1126" i="2"/>
  <c r="H1126" i="2"/>
  <c r="G1126" i="2"/>
  <c r="F1126" i="2"/>
  <c r="E1126" i="2"/>
  <c r="D1126" i="2"/>
  <c r="C1126" i="2"/>
  <c r="B1126" i="2"/>
  <c r="A1126" i="2"/>
  <c r="AO1125" i="2"/>
  <c r="AN1125" i="2"/>
  <c r="AM1125" i="2"/>
  <c r="AK1125" i="2"/>
  <c r="AJ1125" i="2"/>
  <c r="AI1125" i="2"/>
  <c r="AH1125" i="2"/>
  <c r="AG1125" i="2"/>
  <c r="AF1125" i="2"/>
  <c r="AE1125" i="2"/>
  <c r="AD1125" i="2"/>
  <c r="AC1125" i="2"/>
  <c r="AB1125" i="2"/>
  <c r="AA1125" i="2"/>
  <c r="Z1125" i="2"/>
  <c r="Y1125" i="2"/>
  <c r="X1125" i="2"/>
  <c r="W1125" i="2"/>
  <c r="V1125" i="2"/>
  <c r="U1125" i="2"/>
  <c r="S1125" i="2"/>
  <c r="R1125" i="2"/>
  <c r="Q1125" i="2"/>
  <c r="P1125" i="2"/>
  <c r="O1125" i="2"/>
  <c r="N1125" i="2"/>
  <c r="M1125" i="2"/>
  <c r="L1125" i="2"/>
  <c r="K1125" i="2"/>
  <c r="J1125" i="2"/>
  <c r="I1125" i="2"/>
  <c r="H1125" i="2"/>
  <c r="G1125" i="2"/>
  <c r="F1125" i="2"/>
  <c r="E1125" i="2"/>
  <c r="D1125" i="2"/>
  <c r="C1125" i="2"/>
  <c r="A1125" i="2"/>
  <c r="AO1124" i="2"/>
  <c r="AN1124" i="2"/>
  <c r="AM1124" i="2"/>
  <c r="AK1124" i="2"/>
  <c r="AJ1124" i="2"/>
  <c r="AI1124" i="2"/>
  <c r="AH1124" i="2"/>
  <c r="AG1124" i="2"/>
  <c r="AF1124" i="2"/>
  <c r="AE1124" i="2"/>
  <c r="AD1124" i="2"/>
  <c r="AC1124" i="2"/>
  <c r="AB1124" i="2"/>
  <c r="AA1124" i="2"/>
  <c r="Z1124" i="2"/>
  <c r="Y1124" i="2"/>
  <c r="X1124" i="2"/>
  <c r="W1124" i="2"/>
  <c r="V1124" i="2"/>
  <c r="U1124" i="2"/>
  <c r="S1124" i="2"/>
  <c r="R1124" i="2"/>
  <c r="Q1124" i="2"/>
  <c r="P1124" i="2"/>
  <c r="O1124" i="2"/>
  <c r="N1124" i="2"/>
  <c r="M1124" i="2"/>
  <c r="L1124" i="2"/>
  <c r="K1124" i="2"/>
  <c r="J1124" i="2"/>
  <c r="I1124" i="2"/>
  <c r="H1124" i="2"/>
  <c r="G1124" i="2"/>
  <c r="F1124" i="2"/>
  <c r="E1124" i="2"/>
  <c r="D1124" i="2"/>
  <c r="C1124" i="2"/>
  <c r="A1124" i="2"/>
  <c r="AO1123" i="2"/>
  <c r="AN1123" i="2"/>
  <c r="AM1123" i="2"/>
  <c r="AL1123" i="2"/>
  <c r="AK1123" i="2"/>
  <c r="AJ1123" i="2"/>
  <c r="AI1123" i="2"/>
  <c r="AH1123" i="2"/>
  <c r="AG1123" i="2"/>
  <c r="AF1123" i="2"/>
  <c r="AE1123" i="2"/>
  <c r="AD1123" i="2"/>
  <c r="AC1123" i="2"/>
  <c r="AB1123" i="2"/>
  <c r="AA1123" i="2"/>
  <c r="Z1123" i="2"/>
  <c r="Y1123" i="2"/>
  <c r="X1123" i="2"/>
  <c r="W1123" i="2"/>
  <c r="V1123" i="2"/>
  <c r="U1123" i="2"/>
  <c r="S1123" i="2"/>
  <c r="R1123" i="2"/>
  <c r="Q1123" i="2"/>
  <c r="P1123" i="2"/>
  <c r="O1123" i="2"/>
  <c r="N1123" i="2"/>
  <c r="M1123" i="2"/>
  <c r="L1123" i="2"/>
  <c r="K1123" i="2"/>
  <c r="J1123" i="2"/>
  <c r="I1123" i="2"/>
  <c r="H1123" i="2"/>
  <c r="G1123" i="2"/>
  <c r="F1123" i="2"/>
  <c r="E1123" i="2"/>
  <c r="D1123" i="2"/>
  <c r="C1123" i="2"/>
  <c r="A1123" i="2"/>
  <c r="AO1122" i="2"/>
  <c r="AN1122" i="2"/>
  <c r="AM1122" i="2"/>
  <c r="AL1122" i="2"/>
  <c r="AK1122" i="2"/>
  <c r="AJ1122" i="2"/>
  <c r="AI1122" i="2"/>
  <c r="AH1122" i="2"/>
  <c r="AG1122" i="2"/>
  <c r="AF1122" i="2"/>
  <c r="AE1122" i="2"/>
  <c r="AD1122" i="2"/>
  <c r="AC1122" i="2"/>
  <c r="AB1122" i="2"/>
  <c r="AA1122" i="2"/>
  <c r="Z1122" i="2"/>
  <c r="Y1122" i="2"/>
  <c r="X1122" i="2"/>
  <c r="W1122" i="2"/>
  <c r="V1122" i="2"/>
  <c r="U1122" i="2"/>
  <c r="S1122" i="2"/>
  <c r="R1122" i="2"/>
  <c r="Q1122" i="2"/>
  <c r="P1122" i="2"/>
  <c r="O1122" i="2"/>
  <c r="N1122" i="2"/>
  <c r="M1122" i="2"/>
  <c r="L1122" i="2"/>
  <c r="K1122" i="2"/>
  <c r="J1122" i="2"/>
  <c r="I1122" i="2"/>
  <c r="H1122" i="2"/>
  <c r="G1122" i="2"/>
  <c r="F1122" i="2"/>
  <c r="E1122" i="2"/>
  <c r="D1122" i="2"/>
  <c r="C1122" i="2"/>
  <c r="B1122" i="2"/>
  <c r="A1122" i="2"/>
  <c r="AO1121" i="2"/>
  <c r="AN1121" i="2"/>
  <c r="AM1121" i="2"/>
  <c r="AK1121" i="2"/>
  <c r="AJ1121" i="2"/>
  <c r="AI1121" i="2"/>
  <c r="AH1121" i="2"/>
  <c r="AG1121" i="2"/>
  <c r="AF1121" i="2"/>
  <c r="AE1121" i="2"/>
  <c r="AC1121" i="2"/>
  <c r="AB1121" i="2"/>
  <c r="AA1121" i="2"/>
  <c r="Z1121" i="2"/>
  <c r="Y1121" i="2"/>
  <c r="X1121" i="2"/>
  <c r="W1121" i="2"/>
  <c r="V1121" i="2"/>
  <c r="U1121" i="2"/>
  <c r="S1121" i="2"/>
  <c r="R1121" i="2"/>
  <c r="Q1121" i="2"/>
  <c r="P1121" i="2"/>
  <c r="O1121" i="2"/>
  <c r="N1121" i="2"/>
  <c r="M1121" i="2"/>
  <c r="L1121" i="2"/>
  <c r="K1121" i="2"/>
  <c r="J1121" i="2"/>
  <c r="I1121" i="2"/>
  <c r="H1121" i="2"/>
  <c r="G1121" i="2"/>
  <c r="F1121" i="2"/>
  <c r="E1121" i="2"/>
  <c r="D1121" i="2"/>
  <c r="C1121" i="2"/>
  <c r="A1121" i="2"/>
  <c r="AO1120" i="2"/>
  <c r="AN1120" i="2"/>
  <c r="AM1120" i="2"/>
  <c r="AL1120" i="2"/>
  <c r="AK1120" i="2"/>
  <c r="AJ1120" i="2"/>
  <c r="AI1120" i="2"/>
  <c r="AH1120" i="2"/>
  <c r="AG1120" i="2"/>
  <c r="AF1120" i="2"/>
  <c r="AE1120" i="2"/>
  <c r="AD1120" i="2"/>
  <c r="AC1120" i="2"/>
  <c r="AB1120" i="2"/>
  <c r="AA1120" i="2"/>
  <c r="Z1120" i="2"/>
  <c r="Y1120" i="2"/>
  <c r="X1120" i="2"/>
  <c r="W1120" i="2"/>
  <c r="V1120" i="2"/>
  <c r="U1120" i="2"/>
  <c r="S1120" i="2"/>
  <c r="R1120" i="2"/>
  <c r="Q1120" i="2"/>
  <c r="P1120" i="2"/>
  <c r="O1120" i="2"/>
  <c r="N1120" i="2"/>
  <c r="M1120" i="2"/>
  <c r="L1120" i="2"/>
  <c r="K1120" i="2"/>
  <c r="J1120" i="2"/>
  <c r="I1120" i="2"/>
  <c r="H1120" i="2"/>
  <c r="G1120" i="2"/>
  <c r="F1120" i="2"/>
  <c r="E1120" i="2"/>
  <c r="D1120" i="2"/>
  <c r="C1120" i="2"/>
  <c r="A1120" i="2"/>
  <c r="AO1119" i="2"/>
  <c r="AN1119" i="2"/>
  <c r="AM1119" i="2"/>
  <c r="AL1119" i="2"/>
  <c r="AK1119" i="2"/>
  <c r="AJ1119" i="2"/>
  <c r="AI1119" i="2"/>
  <c r="AG1119" i="2"/>
  <c r="AF1119" i="2"/>
  <c r="AE1119" i="2"/>
  <c r="AC1119" i="2"/>
  <c r="AB1119" i="2"/>
  <c r="AA1119" i="2"/>
  <c r="X1119" i="2"/>
  <c r="W1119" i="2"/>
  <c r="V1119" i="2"/>
  <c r="U1119" i="2"/>
  <c r="R1119" i="2"/>
  <c r="Q1119" i="2"/>
  <c r="P1119" i="2"/>
  <c r="O1119" i="2"/>
  <c r="N1119" i="2"/>
  <c r="M1119" i="2"/>
  <c r="L1119" i="2"/>
  <c r="K1119" i="2"/>
  <c r="J1119" i="2"/>
  <c r="I1119" i="2"/>
  <c r="H1119" i="2"/>
  <c r="G1119" i="2"/>
  <c r="F1119" i="2"/>
  <c r="E1119" i="2"/>
  <c r="D1119" i="2"/>
  <c r="C1119" i="2"/>
  <c r="B1119" i="2"/>
  <c r="A1119" i="2"/>
  <c r="AO1118" i="2"/>
  <c r="AN1118" i="2"/>
  <c r="AM1118" i="2"/>
  <c r="AK1118" i="2"/>
  <c r="AJ1118" i="2"/>
  <c r="AI1118" i="2"/>
  <c r="AH1118" i="2"/>
  <c r="AG1118" i="2"/>
  <c r="AF1118" i="2"/>
  <c r="AE1118" i="2"/>
  <c r="AD1118" i="2"/>
  <c r="AC1118" i="2"/>
  <c r="AB1118" i="2"/>
  <c r="AA1118" i="2"/>
  <c r="Z1118" i="2"/>
  <c r="Y1118" i="2"/>
  <c r="X1118" i="2"/>
  <c r="W1118" i="2"/>
  <c r="V1118" i="2"/>
  <c r="U1118" i="2"/>
  <c r="S1118" i="2"/>
  <c r="R1118" i="2"/>
  <c r="Q1118" i="2"/>
  <c r="P1118" i="2"/>
  <c r="O1118" i="2"/>
  <c r="N1118" i="2"/>
  <c r="M1118" i="2"/>
  <c r="L1118" i="2"/>
  <c r="K1118" i="2"/>
  <c r="J1118" i="2"/>
  <c r="I1118" i="2"/>
  <c r="H1118" i="2"/>
  <c r="G1118" i="2"/>
  <c r="F1118" i="2"/>
  <c r="E1118" i="2"/>
  <c r="D1118" i="2"/>
  <c r="C1118" i="2"/>
  <c r="B1118" i="2"/>
  <c r="A1118" i="2"/>
  <c r="AO1117" i="2"/>
  <c r="AN1117" i="2"/>
  <c r="AM1117" i="2"/>
  <c r="AK1117" i="2"/>
  <c r="AJ1117" i="2"/>
  <c r="AI1117" i="2"/>
  <c r="AH1117" i="2"/>
  <c r="AG1117" i="2"/>
  <c r="AF1117" i="2"/>
  <c r="AE1117" i="2"/>
  <c r="AD1117" i="2"/>
  <c r="AC1117" i="2"/>
  <c r="AB1117" i="2"/>
  <c r="AA1117" i="2"/>
  <c r="Z1117" i="2"/>
  <c r="Y1117" i="2"/>
  <c r="X1117" i="2"/>
  <c r="W1117" i="2"/>
  <c r="V1117" i="2"/>
  <c r="U1117" i="2"/>
  <c r="S1117" i="2"/>
  <c r="R1117" i="2"/>
  <c r="Q1117" i="2"/>
  <c r="P1117" i="2"/>
  <c r="O1117" i="2"/>
  <c r="N1117" i="2"/>
  <c r="M1117" i="2"/>
  <c r="L1117" i="2"/>
  <c r="K1117" i="2"/>
  <c r="J1117" i="2"/>
  <c r="I1117" i="2"/>
  <c r="H1117" i="2"/>
  <c r="G1117" i="2"/>
  <c r="F1117" i="2"/>
  <c r="E1117" i="2"/>
  <c r="D1117" i="2"/>
  <c r="C1117" i="2"/>
  <c r="A1117" i="2"/>
  <c r="AO1116" i="2"/>
  <c r="AN1116" i="2"/>
  <c r="AM1116" i="2"/>
  <c r="AK1116" i="2"/>
  <c r="AJ1116" i="2"/>
  <c r="AI1116" i="2"/>
  <c r="AH1116" i="2"/>
  <c r="AG1116" i="2"/>
  <c r="AF1116" i="2"/>
  <c r="AE1116" i="2"/>
  <c r="AC1116" i="2"/>
  <c r="AB1116" i="2"/>
  <c r="AA1116" i="2"/>
  <c r="Z1116" i="2"/>
  <c r="Y1116" i="2"/>
  <c r="X1116" i="2"/>
  <c r="W1116" i="2"/>
  <c r="V1116" i="2"/>
  <c r="U1116" i="2"/>
  <c r="S1116" i="2"/>
  <c r="R1116" i="2"/>
  <c r="Q1116" i="2"/>
  <c r="P1116" i="2"/>
  <c r="O1116" i="2"/>
  <c r="N1116" i="2"/>
  <c r="M1116" i="2"/>
  <c r="L1116" i="2"/>
  <c r="K1116" i="2"/>
  <c r="J1116" i="2"/>
  <c r="I1116" i="2"/>
  <c r="H1116" i="2"/>
  <c r="G1116" i="2"/>
  <c r="F1116" i="2"/>
  <c r="E1116" i="2"/>
  <c r="D1116" i="2"/>
  <c r="C1116" i="2"/>
  <c r="B1116" i="2"/>
  <c r="A1116" i="2"/>
  <c r="AO1115" i="2"/>
  <c r="AN1115" i="2"/>
  <c r="AM1115" i="2"/>
  <c r="AK1115" i="2"/>
  <c r="AJ1115" i="2"/>
  <c r="AI1115" i="2"/>
  <c r="AH1115" i="2"/>
  <c r="AG1115" i="2"/>
  <c r="AF1115" i="2"/>
  <c r="AE1115" i="2"/>
  <c r="AC1115" i="2"/>
  <c r="AB1115" i="2"/>
  <c r="AA1115" i="2"/>
  <c r="Z1115" i="2"/>
  <c r="Y1115" i="2"/>
  <c r="X1115" i="2"/>
  <c r="W1115" i="2"/>
  <c r="V1115" i="2"/>
  <c r="U1115" i="2"/>
  <c r="S1115" i="2"/>
  <c r="R1115" i="2"/>
  <c r="Q1115" i="2"/>
  <c r="P1115" i="2"/>
  <c r="O1115" i="2"/>
  <c r="N1115" i="2"/>
  <c r="M1115" i="2"/>
  <c r="L1115" i="2"/>
  <c r="K1115" i="2"/>
  <c r="J1115" i="2"/>
  <c r="I1115" i="2"/>
  <c r="H1115" i="2"/>
  <c r="G1115" i="2"/>
  <c r="F1115" i="2"/>
  <c r="E1115" i="2"/>
  <c r="D1115" i="2"/>
  <c r="C1115" i="2"/>
  <c r="B1115" i="2"/>
  <c r="A1115" i="2"/>
  <c r="AO1114" i="2"/>
  <c r="AN1114" i="2"/>
  <c r="AM1114" i="2"/>
  <c r="AK1114" i="2"/>
  <c r="AJ1114" i="2"/>
  <c r="AI1114" i="2"/>
  <c r="AH1114" i="2"/>
  <c r="AG1114" i="2"/>
  <c r="AF1114" i="2"/>
  <c r="AE1114" i="2"/>
  <c r="AD1114" i="2"/>
  <c r="AC1114" i="2"/>
  <c r="AB1114" i="2"/>
  <c r="AA1114" i="2"/>
  <c r="Z1114" i="2"/>
  <c r="Y1114" i="2"/>
  <c r="X1114" i="2"/>
  <c r="W1114" i="2"/>
  <c r="V1114" i="2"/>
  <c r="U1114" i="2"/>
  <c r="S1114" i="2"/>
  <c r="R1114" i="2"/>
  <c r="Q1114" i="2"/>
  <c r="P1114" i="2"/>
  <c r="O1114" i="2"/>
  <c r="N1114" i="2"/>
  <c r="M1114" i="2"/>
  <c r="L1114" i="2"/>
  <c r="K1114" i="2"/>
  <c r="J1114" i="2"/>
  <c r="I1114" i="2"/>
  <c r="H1114" i="2"/>
  <c r="G1114" i="2"/>
  <c r="F1114" i="2"/>
  <c r="E1114" i="2"/>
  <c r="D1114" i="2"/>
  <c r="C1114" i="2"/>
  <c r="B1114" i="2"/>
  <c r="A1114" i="2"/>
  <c r="AO1113" i="2"/>
  <c r="AN1113" i="2"/>
  <c r="AM1113" i="2"/>
  <c r="AL1113" i="2"/>
  <c r="AK1113" i="2"/>
  <c r="AJ1113" i="2"/>
  <c r="AI1113" i="2"/>
  <c r="AG1113" i="2"/>
  <c r="AF1113" i="2"/>
  <c r="AE1113" i="2"/>
  <c r="AC1113" i="2"/>
  <c r="AB1113" i="2"/>
  <c r="AA1113" i="2"/>
  <c r="X1113" i="2"/>
  <c r="W1113" i="2"/>
  <c r="V1113" i="2"/>
  <c r="U1113" i="2"/>
  <c r="R1113" i="2"/>
  <c r="Q1113" i="2"/>
  <c r="P1113" i="2"/>
  <c r="O1113" i="2"/>
  <c r="N1113" i="2"/>
  <c r="M1113" i="2"/>
  <c r="L1113" i="2"/>
  <c r="K1113" i="2"/>
  <c r="J1113" i="2"/>
  <c r="I1113" i="2"/>
  <c r="H1113" i="2"/>
  <c r="G1113" i="2"/>
  <c r="F1113" i="2"/>
  <c r="E1113" i="2"/>
  <c r="D1113" i="2"/>
  <c r="C1113" i="2"/>
  <c r="B1113" i="2"/>
  <c r="A1113" i="2"/>
  <c r="AO1112" i="2"/>
  <c r="AN1112" i="2"/>
  <c r="AM1112" i="2"/>
  <c r="AK1112" i="2"/>
  <c r="AJ1112" i="2"/>
  <c r="AI1112" i="2"/>
  <c r="AH1112" i="2"/>
  <c r="AG1112" i="2"/>
  <c r="AF1112" i="2"/>
  <c r="AE1112" i="2"/>
  <c r="AC1112" i="2"/>
  <c r="AB1112" i="2"/>
  <c r="AA1112" i="2"/>
  <c r="Z1112" i="2"/>
  <c r="Y1112" i="2"/>
  <c r="X1112" i="2"/>
  <c r="W1112" i="2"/>
  <c r="V1112" i="2"/>
  <c r="U1112" i="2"/>
  <c r="S1112" i="2"/>
  <c r="R1112" i="2"/>
  <c r="Q1112" i="2"/>
  <c r="P1112" i="2"/>
  <c r="O1112" i="2"/>
  <c r="N1112" i="2"/>
  <c r="M1112" i="2"/>
  <c r="L1112" i="2"/>
  <c r="K1112" i="2"/>
  <c r="J1112" i="2"/>
  <c r="I1112" i="2"/>
  <c r="H1112" i="2"/>
  <c r="G1112" i="2"/>
  <c r="F1112" i="2"/>
  <c r="E1112" i="2"/>
  <c r="D1112" i="2"/>
  <c r="C1112" i="2"/>
  <c r="B1112" i="2"/>
  <c r="A1112" i="2"/>
  <c r="AO1111" i="2"/>
  <c r="AN1111" i="2"/>
  <c r="AM1111" i="2"/>
  <c r="AK1111" i="2"/>
  <c r="AJ1111" i="2"/>
  <c r="AI1111" i="2"/>
  <c r="AH1111" i="2"/>
  <c r="AG1111" i="2"/>
  <c r="AF1111" i="2"/>
  <c r="AE1111" i="2"/>
  <c r="AD1111" i="2"/>
  <c r="AC1111" i="2"/>
  <c r="AB1111" i="2"/>
  <c r="AA1111" i="2"/>
  <c r="Z1111" i="2"/>
  <c r="Y1111" i="2"/>
  <c r="X1111" i="2"/>
  <c r="W1111" i="2"/>
  <c r="V1111" i="2"/>
  <c r="U1111" i="2"/>
  <c r="S1111" i="2"/>
  <c r="R1111" i="2"/>
  <c r="Q1111" i="2"/>
  <c r="P1111" i="2"/>
  <c r="O1111" i="2"/>
  <c r="N1111" i="2"/>
  <c r="M1111" i="2"/>
  <c r="L1111" i="2"/>
  <c r="K1111" i="2"/>
  <c r="J1111" i="2"/>
  <c r="I1111" i="2"/>
  <c r="H1111" i="2"/>
  <c r="G1111" i="2"/>
  <c r="F1111" i="2"/>
  <c r="E1111" i="2"/>
  <c r="D1111" i="2"/>
  <c r="C1111" i="2"/>
  <c r="A1111" i="2"/>
  <c r="AO1110" i="2"/>
  <c r="AN1110" i="2"/>
  <c r="AM1110" i="2"/>
  <c r="AK1110" i="2"/>
  <c r="AJ1110" i="2"/>
  <c r="AI1110" i="2"/>
  <c r="AH1110" i="2"/>
  <c r="AG1110" i="2"/>
  <c r="AF1110" i="2"/>
  <c r="AE1110" i="2"/>
  <c r="AD1110" i="2"/>
  <c r="AC1110" i="2"/>
  <c r="AB1110" i="2"/>
  <c r="AA1110" i="2"/>
  <c r="Z1110" i="2"/>
  <c r="Y1110" i="2"/>
  <c r="X1110" i="2"/>
  <c r="W1110" i="2"/>
  <c r="V1110" i="2"/>
  <c r="U1110" i="2"/>
  <c r="S1110" i="2"/>
  <c r="R1110" i="2"/>
  <c r="Q1110" i="2"/>
  <c r="P1110" i="2"/>
  <c r="O1110" i="2"/>
  <c r="N1110" i="2"/>
  <c r="M1110" i="2"/>
  <c r="L1110" i="2"/>
  <c r="K1110" i="2"/>
  <c r="J1110" i="2"/>
  <c r="I1110" i="2"/>
  <c r="H1110" i="2"/>
  <c r="G1110" i="2"/>
  <c r="F1110" i="2"/>
  <c r="E1110" i="2"/>
  <c r="D1110" i="2"/>
  <c r="C1110" i="2"/>
  <c r="B1110" i="2"/>
  <c r="A1110" i="2"/>
  <c r="AO1109" i="2"/>
  <c r="AN1109" i="2"/>
  <c r="AM1109" i="2"/>
  <c r="AK1109" i="2"/>
  <c r="AJ1109" i="2"/>
  <c r="AI1109" i="2"/>
  <c r="AH1109" i="2"/>
  <c r="AG1109" i="2"/>
  <c r="AF1109" i="2"/>
  <c r="AE1109" i="2"/>
  <c r="AD1109" i="2"/>
  <c r="AC1109" i="2"/>
  <c r="AB1109" i="2"/>
  <c r="AA1109" i="2"/>
  <c r="Z1109" i="2"/>
  <c r="Y1109" i="2"/>
  <c r="X1109" i="2"/>
  <c r="W1109" i="2"/>
  <c r="V1109" i="2"/>
  <c r="U1109" i="2"/>
  <c r="S1109" i="2"/>
  <c r="R1109" i="2"/>
  <c r="Q1109" i="2"/>
  <c r="P1109" i="2"/>
  <c r="O1109" i="2"/>
  <c r="N1109" i="2"/>
  <c r="M1109" i="2"/>
  <c r="L1109" i="2"/>
  <c r="K1109" i="2"/>
  <c r="J1109" i="2"/>
  <c r="I1109" i="2"/>
  <c r="H1109" i="2"/>
  <c r="G1109" i="2"/>
  <c r="F1109" i="2"/>
  <c r="E1109" i="2"/>
  <c r="D1109" i="2"/>
  <c r="C1109" i="2"/>
  <c r="B1109" i="2"/>
  <c r="A1109" i="2"/>
  <c r="AO1108" i="2"/>
  <c r="AN1108" i="2"/>
  <c r="AM1108" i="2"/>
  <c r="AK1108" i="2"/>
  <c r="AJ1108" i="2"/>
  <c r="AI1108" i="2"/>
  <c r="AH1108" i="2"/>
  <c r="AG1108" i="2"/>
  <c r="AF1108" i="2"/>
  <c r="AE1108" i="2"/>
  <c r="AD1108" i="2"/>
  <c r="AC1108" i="2"/>
  <c r="AB1108" i="2"/>
  <c r="AA1108" i="2"/>
  <c r="Z1108" i="2"/>
  <c r="Y1108" i="2"/>
  <c r="X1108" i="2"/>
  <c r="W1108" i="2"/>
  <c r="V1108" i="2"/>
  <c r="U1108" i="2"/>
  <c r="S1108" i="2"/>
  <c r="R1108" i="2"/>
  <c r="Q1108" i="2"/>
  <c r="P1108" i="2"/>
  <c r="O1108" i="2"/>
  <c r="N1108" i="2"/>
  <c r="M1108" i="2"/>
  <c r="L1108" i="2"/>
  <c r="K1108" i="2"/>
  <c r="J1108" i="2"/>
  <c r="I1108" i="2"/>
  <c r="H1108" i="2"/>
  <c r="G1108" i="2"/>
  <c r="F1108" i="2"/>
  <c r="E1108" i="2"/>
  <c r="D1108" i="2"/>
  <c r="C1108" i="2"/>
  <c r="A1108" i="2"/>
  <c r="AO1107" i="2"/>
  <c r="AN1107" i="2"/>
  <c r="AM1107" i="2"/>
  <c r="AL1107" i="2"/>
  <c r="AK1107" i="2"/>
  <c r="AJ1107" i="2"/>
  <c r="AI1107" i="2"/>
  <c r="AH1107" i="2"/>
  <c r="AG1107" i="2"/>
  <c r="AF1107" i="2"/>
  <c r="AE1107" i="2"/>
  <c r="AD1107" i="2"/>
  <c r="AC1107" i="2"/>
  <c r="AB1107" i="2"/>
  <c r="AA1107" i="2"/>
  <c r="Z1107" i="2"/>
  <c r="Y1107" i="2"/>
  <c r="X1107" i="2"/>
  <c r="W1107" i="2"/>
  <c r="V1107" i="2"/>
  <c r="U1107" i="2"/>
  <c r="S1107" i="2"/>
  <c r="R1107" i="2"/>
  <c r="Q1107" i="2"/>
  <c r="P1107" i="2"/>
  <c r="O1107" i="2"/>
  <c r="N1107" i="2"/>
  <c r="M1107" i="2"/>
  <c r="L1107" i="2"/>
  <c r="K1107" i="2"/>
  <c r="J1107" i="2"/>
  <c r="I1107" i="2"/>
  <c r="H1107" i="2"/>
  <c r="G1107" i="2"/>
  <c r="F1107" i="2"/>
  <c r="E1107" i="2"/>
  <c r="D1107" i="2"/>
  <c r="C1107" i="2"/>
  <c r="B1107" i="2"/>
  <c r="A1107" i="2"/>
  <c r="AO1106" i="2"/>
  <c r="AN1106" i="2"/>
  <c r="AM1106" i="2"/>
  <c r="AK1106" i="2"/>
  <c r="AJ1106" i="2"/>
  <c r="AI1106" i="2"/>
  <c r="AH1106" i="2"/>
  <c r="AG1106" i="2"/>
  <c r="AF1106" i="2"/>
  <c r="AE1106" i="2"/>
  <c r="AD1106" i="2"/>
  <c r="AC1106" i="2"/>
  <c r="AB1106" i="2"/>
  <c r="AA1106" i="2"/>
  <c r="Z1106" i="2"/>
  <c r="Y1106" i="2"/>
  <c r="X1106" i="2"/>
  <c r="W1106" i="2"/>
  <c r="V1106" i="2"/>
  <c r="U1106" i="2"/>
  <c r="S1106" i="2"/>
  <c r="R1106" i="2"/>
  <c r="Q1106" i="2"/>
  <c r="P1106" i="2"/>
  <c r="O1106" i="2"/>
  <c r="N1106" i="2"/>
  <c r="M1106" i="2"/>
  <c r="L1106" i="2"/>
  <c r="K1106" i="2"/>
  <c r="J1106" i="2"/>
  <c r="I1106" i="2"/>
  <c r="H1106" i="2"/>
  <c r="G1106" i="2"/>
  <c r="F1106" i="2"/>
  <c r="E1106" i="2"/>
  <c r="D1106" i="2"/>
  <c r="C1106" i="2"/>
  <c r="A1106" i="2"/>
  <c r="AO1105" i="2"/>
  <c r="AN1105" i="2"/>
  <c r="AM1105" i="2"/>
  <c r="AK1105" i="2"/>
  <c r="AJ1105" i="2"/>
  <c r="AI1105" i="2"/>
  <c r="AH1105" i="2"/>
  <c r="AG1105" i="2"/>
  <c r="AF1105" i="2"/>
  <c r="AE1105" i="2"/>
  <c r="AD1105" i="2"/>
  <c r="AC1105" i="2"/>
  <c r="AB1105" i="2"/>
  <c r="AA1105" i="2"/>
  <c r="Y1105" i="2"/>
  <c r="X1105" i="2"/>
  <c r="W1105" i="2"/>
  <c r="V1105" i="2"/>
  <c r="U1105" i="2"/>
  <c r="S1105" i="2"/>
  <c r="R1105" i="2"/>
  <c r="Q1105" i="2"/>
  <c r="P1105" i="2"/>
  <c r="O1105" i="2"/>
  <c r="N1105" i="2"/>
  <c r="M1105" i="2"/>
  <c r="L1105" i="2"/>
  <c r="K1105" i="2"/>
  <c r="J1105" i="2"/>
  <c r="I1105" i="2"/>
  <c r="H1105" i="2"/>
  <c r="G1105" i="2"/>
  <c r="F1105" i="2"/>
  <c r="E1105" i="2"/>
  <c r="D1105" i="2"/>
  <c r="C1105" i="2"/>
  <c r="A1105" i="2"/>
  <c r="AO1104" i="2"/>
  <c r="AN1104" i="2"/>
  <c r="AM1104" i="2"/>
  <c r="AK1104" i="2"/>
  <c r="AJ1104" i="2"/>
  <c r="AI1104" i="2"/>
  <c r="AH1104" i="2"/>
  <c r="AG1104" i="2"/>
  <c r="AF1104" i="2"/>
  <c r="AE1104" i="2"/>
  <c r="AD1104" i="2"/>
  <c r="AC1104" i="2"/>
  <c r="AB1104" i="2"/>
  <c r="AA1104" i="2"/>
  <c r="Z1104" i="2"/>
  <c r="Y1104" i="2"/>
  <c r="X1104" i="2"/>
  <c r="W1104" i="2"/>
  <c r="V1104" i="2"/>
  <c r="U1104" i="2"/>
  <c r="S1104" i="2"/>
  <c r="R1104" i="2"/>
  <c r="Q1104" i="2"/>
  <c r="P1104" i="2"/>
  <c r="O1104" i="2"/>
  <c r="N1104" i="2"/>
  <c r="M1104" i="2"/>
  <c r="L1104" i="2"/>
  <c r="K1104" i="2"/>
  <c r="J1104" i="2"/>
  <c r="I1104" i="2"/>
  <c r="H1104" i="2"/>
  <c r="G1104" i="2"/>
  <c r="F1104" i="2"/>
  <c r="E1104" i="2"/>
  <c r="D1104" i="2"/>
  <c r="C1104" i="2"/>
  <c r="A1104" i="2"/>
  <c r="AO1103" i="2"/>
  <c r="AN1103" i="2"/>
  <c r="AM1103" i="2"/>
  <c r="AK1103" i="2"/>
  <c r="AJ1103" i="2"/>
  <c r="AI1103" i="2"/>
  <c r="AH1103" i="2"/>
  <c r="AG1103" i="2"/>
  <c r="AF1103" i="2"/>
  <c r="AE1103" i="2"/>
  <c r="AD1103" i="2"/>
  <c r="AC1103" i="2"/>
  <c r="AB1103" i="2"/>
  <c r="AA1103" i="2"/>
  <c r="Z1103" i="2"/>
  <c r="Y1103" i="2"/>
  <c r="X1103" i="2"/>
  <c r="W1103" i="2"/>
  <c r="V1103" i="2"/>
  <c r="U1103" i="2"/>
  <c r="S1103" i="2"/>
  <c r="R1103" i="2"/>
  <c r="Q1103" i="2"/>
  <c r="P1103" i="2"/>
  <c r="O1103" i="2"/>
  <c r="N1103" i="2"/>
  <c r="M1103" i="2"/>
  <c r="L1103" i="2"/>
  <c r="K1103" i="2"/>
  <c r="J1103" i="2"/>
  <c r="I1103" i="2"/>
  <c r="H1103" i="2"/>
  <c r="G1103" i="2"/>
  <c r="F1103" i="2"/>
  <c r="E1103" i="2"/>
  <c r="D1103" i="2"/>
  <c r="C1103" i="2"/>
  <c r="B1103" i="2"/>
  <c r="A1103" i="2"/>
  <c r="AO1102" i="2"/>
  <c r="AN1102" i="2"/>
  <c r="AM1102" i="2"/>
  <c r="AL1102" i="2"/>
  <c r="AK1102" i="2"/>
  <c r="AJ1102" i="2"/>
  <c r="AI1102" i="2"/>
  <c r="AH1102" i="2"/>
  <c r="AG1102" i="2"/>
  <c r="AF1102" i="2"/>
  <c r="AE1102" i="2"/>
  <c r="AD1102" i="2"/>
  <c r="AC1102" i="2"/>
  <c r="AB1102" i="2"/>
  <c r="AA1102" i="2"/>
  <c r="Z1102" i="2"/>
  <c r="X1102" i="2"/>
  <c r="W1102" i="2"/>
  <c r="V1102" i="2"/>
  <c r="U1102" i="2"/>
  <c r="S1102" i="2"/>
  <c r="R1102" i="2"/>
  <c r="Q1102" i="2"/>
  <c r="P1102" i="2"/>
  <c r="O1102" i="2"/>
  <c r="N1102" i="2"/>
  <c r="M1102" i="2"/>
  <c r="L1102" i="2"/>
  <c r="K1102" i="2"/>
  <c r="J1102" i="2"/>
  <c r="I1102" i="2"/>
  <c r="H1102" i="2"/>
  <c r="G1102" i="2"/>
  <c r="F1102" i="2"/>
  <c r="E1102" i="2"/>
  <c r="D1102" i="2"/>
  <c r="C1102" i="2"/>
  <c r="B1102" i="2"/>
  <c r="A1102" i="2"/>
  <c r="AO1101" i="2"/>
  <c r="AN1101" i="2"/>
  <c r="AM1101" i="2"/>
  <c r="AL1101" i="2"/>
  <c r="AK1101" i="2"/>
  <c r="AJ1101" i="2"/>
  <c r="AI1101" i="2"/>
  <c r="AH1101" i="2"/>
  <c r="AG1101" i="2"/>
  <c r="AF1101" i="2"/>
  <c r="AE1101" i="2"/>
  <c r="AD1101" i="2"/>
  <c r="AC1101" i="2"/>
  <c r="AB1101" i="2"/>
  <c r="AA1101" i="2"/>
  <c r="Z1101" i="2"/>
  <c r="Y1101" i="2"/>
  <c r="X1101" i="2"/>
  <c r="W1101" i="2"/>
  <c r="V1101" i="2"/>
  <c r="U1101" i="2"/>
  <c r="S1101" i="2"/>
  <c r="R1101" i="2"/>
  <c r="Q1101" i="2"/>
  <c r="P1101" i="2"/>
  <c r="O1101" i="2"/>
  <c r="N1101" i="2"/>
  <c r="M1101" i="2"/>
  <c r="L1101" i="2"/>
  <c r="K1101" i="2"/>
  <c r="J1101" i="2"/>
  <c r="I1101" i="2"/>
  <c r="H1101" i="2"/>
  <c r="G1101" i="2"/>
  <c r="F1101" i="2"/>
  <c r="E1101" i="2"/>
  <c r="D1101" i="2"/>
  <c r="C1101" i="2"/>
  <c r="A1101" i="2"/>
  <c r="AO1100" i="2"/>
  <c r="AN1100" i="2"/>
  <c r="AM1100" i="2"/>
  <c r="AL1100" i="2"/>
  <c r="AK1100" i="2"/>
  <c r="AJ1100" i="2"/>
  <c r="AI1100" i="2"/>
  <c r="AH1100" i="2"/>
  <c r="AG1100" i="2"/>
  <c r="AF1100" i="2"/>
  <c r="AE1100" i="2"/>
  <c r="AD1100" i="2"/>
  <c r="AC1100" i="2"/>
  <c r="AB1100" i="2"/>
  <c r="AA1100" i="2"/>
  <c r="Z1100" i="2"/>
  <c r="Y1100" i="2"/>
  <c r="X1100" i="2"/>
  <c r="W1100" i="2"/>
  <c r="V1100" i="2"/>
  <c r="U1100" i="2"/>
  <c r="S1100" i="2"/>
  <c r="R1100" i="2"/>
  <c r="Q1100" i="2"/>
  <c r="P1100" i="2"/>
  <c r="O1100" i="2"/>
  <c r="N1100" i="2"/>
  <c r="M1100" i="2"/>
  <c r="L1100" i="2"/>
  <c r="K1100" i="2"/>
  <c r="J1100" i="2"/>
  <c r="I1100" i="2"/>
  <c r="H1100" i="2"/>
  <c r="G1100" i="2"/>
  <c r="F1100" i="2"/>
  <c r="E1100" i="2"/>
  <c r="D1100" i="2"/>
  <c r="C1100" i="2"/>
  <c r="B1100" i="2"/>
  <c r="A1100" i="2"/>
  <c r="AO1099" i="2"/>
  <c r="AN1099" i="2"/>
  <c r="AM1099" i="2"/>
  <c r="AL1099" i="2"/>
  <c r="AK1099" i="2"/>
  <c r="AJ1099" i="2"/>
  <c r="AI1099" i="2"/>
  <c r="AH1099" i="2"/>
  <c r="AG1099" i="2"/>
  <c r="AF1099" i="2"/>
  <c r="AE1099" i="2"/>
  <c r="AD1099" i="2"/>
  <c r="AC1099" i="2"/>
  <c r="AB1099" i="2"/>
  <c r="AA1099" i="2"/>
  <c r="Z1099" i="2"/>
  <c r="Y1099" i="2"/>
  <c r="X1099" i="2"/>
  <c r="W1099" i="2"/>
  <c r="V1099" i="2"/>
  <c r="U1099" i="2"/>
  <c r="S1099" i="2"/>
  <c r="R1099" i="2"/>
  <c r="Q1099" i="2"/>
  <c r="P1099" i="2"/>
  <c r="O1099" i="2"/>
  <c r="N1099" i="2"/>
  <c r="M1099" i="2"/>
  <c r="L1099" i="2"/>
  <c r="K1099" i="2"/>
  <c r="J1099" i="2"/>
  <c r="I1099" i="2"/>
  <c r="H1099" i="2"/>
  <c r="G1099" i="2"/>
  <c r="F1099" i="2"/>
  <c r="E1099" i="2"/>
  <c r="D1099" i="2"/>
  <c r="C1099" i="2"/>
  <c r="B1099" i="2"/>
  <c r="A1099" i="2"/>
  <c r="AO1098" i="2"/>
  <c r="AN1098" i="2"/>
  <c r="AM1098" i="2"/>
  <c r="AL1098" i="2"/>
  <c r="AK1098" i="2"/>
  <c r="AJ1098" i="2"/>
  <c r="AI1098" i="2"/>
  <c r="AH1098" i="2"/>
  <c r="AG1098" i="2"/>
  <c r="AF1098" i="2"/>
  <c r="AE1098" i="2"/>
  <c r="AD1098" i="2"/>
  <c r="AC1098" i="2"/>
  <c r="AB1098" i="2"/>
  <c r="AA1098" i="2"/>
  <c r="Z1098" i="2"/>
  <c r="Y1098" i="2"/>
  <c r="X1098" i="2"/>
  <c r="W1098" i="2"/>
  <c r="V1098" i="2"/>
  <c r="U1098" i="2"/>
  <c r="S1098" i="2"/>
  <c r="R1098" i="2"/>
  <c r="Q1098" i="2"/>
  <c r="P1098" i="2"/>
  <c r="O1098" i="2"/>
  <c r="N1098" i="2"/>
  <c r="M1098" i="2"/>
  <c r="L1098" i="2"/>
  <c r="K1098" i="2"/>
  <c r="J1098" i="2"/>
  <c r="I1098" i="2"/>
  <c r="H1098" i="2"/>
  <c r="G1098" i="2"/>
  <c r="F1098" i="2"/>
  <c r="E1098" i="2"/>
  <c r="D1098" i="2"/>
  <c r="C1098" i="2"/>
  <c r="A1098" i="2"/>
  <c r="AO1097" i="2"/>
  <c r="AN1097" i="2"/>
  <c r="AM1097" i="2"/>
  <c r="AL1097" i="2"/>
  <c r="AK1097" i="2"/>
  <c r="AJ1097" i="2"/>
  <c r="AI1097" i="2"/>
  <c r="AH1097" i="2"/>
  <c r="AG1097" i="2"/>
  <c r="AF1097" i="2"/>
  <c r="AE1097" i="2"/>
  <c r="AD1097" i="2"/>
  <c r="AC1097" i="2"/>
  <c r="AB1097" i="2"/>
  <c r="AA1097" i="2"/>
  <c r="Y1097" i="2"/>
  <c r="X1097" i="2"/>
  <c r="W1097" i="2"/>
  <c r="V1097" i="2"/>
  <c r="U1097" i="2"/>
  <c r="S1097" i="2"/>
  <c r="R1097" i="2"/>
  <c r="Q1097" i="2"/>
  <c r="P1097" i="2"/>
  <c r="O1097" i="2"/>
  <c r="N1097" i="2"/>
  <c r="M1097" i="2"/>
  <c r="L1097" i="2"/>
  <c r="K1097" i="2"/>
  <c r="J1097" i="2"/>
  <c r="I1097" i="2"/>
  <c r="H1097" i="2"/>
  <c r="G1097" i="2"/>
  <c r="F1097" i="2"/>
  <c r="E1097" i="2"/>
  <c r="D1097" i="2"/>
  <c r="C1097" i="2"/>
  <c r="B1097" i="2"/>
  <c r="A1097" i="2"/>
  <c r="AO1096" i="2"/>
  <c r="AN1096" i="2"/>
  <c r="AM1096" i="2"/>
  <c r="AL1096" i="2"/>
  <c r="AK1096" i="2"/>
  <c r="AJ1096" i="2"/>
  <c r="AI1096" i="2"/>
  <c r="AH1096" i="2"/>
  <c r="AG1096" i="2"/>
  <c r="AF1096" i="2"/>
  <c r="AE1096" i="2"/>
  <c r="AD1096" i="2"/>
  <c r="AC1096" i="2"/>
  <c r="AB1096" i="2"/>
  <c r="AA1096" i="2"/>
  <c r="Z1096" i="2"/>
  <c r="Y1096" i="2"/>
  <c r="X1096" i="2"/>
  <c r="W1096" i="2"/>
  <c r="V1096" i="2"/>
  <c r="U1096" i="2"/>
  <c r="S1096" i="2"/>
  <c r="R1096" i="2"/>
  <c r="Q1096" i="2"/>
  <c r="P1096" i="2"/>
  <c r="O1096" i="2"/>
  <c r="N1096" i="2"/>
  <c r="M1096" i="2"/>
  <c r="L1096" i="2"/>
  <c r="K1096" i="2"/>
  <c r="J1096" i="2"/>
  <c r="I1096" i="2"/>
  <c r="H1096" i="2"/>
  <c r="G1096" i="2"/>
  <c r="F1096" i="2"/>
  <c r="E1096" i="2"/>
  <c r="D1096" i="2"/>
  <c r="C1096" i="2"/>
  <c r="A1096" i="2"/>
  <c r="AO1095" i="2"/>
  <c r="AN1095" i="2"/>
  <c r="AM1095" i="2"/>
  <c r="AK1095" i="2"/>
  <c r="AJ1095" i="2"/>
  <c r="AI1095" i="2"/>
  <c r="AH1095" i="2"/>
  <c r="AG1095" i="2"/>
  <c r="AF1095" i="2"/>
  <c r="AE1095" i="2"/>
  <c r="AC1095" i="2"/>
  <c r="AB1095" i="2"/>
  <c r="AA1095" i="2"/>
  <c r="Z1095" i="2"/>
  <c r="Y1095" i="2"/>
  <c r="X1095" i="2"/>
  <c r="W1095" i="2"/>
  <c r="V1095" i="2"/>
  <c r="U1095" i="2"/>
  <c r="S1095" i="2"/>
  <c r="R1095" i="2"/>
  <c r="Q1095" i="2"/>
  <c r="P1095" i="2"/>
  <c r="O1095" i="2"/>
  <c r="N1095" i="2"/>
  <c r="M1095" i="2"/>
  <c r="L1095" i="2"/>
  <c r="K1095" i="2"/>
  <c r="J1095" i="2"/>
  <c r="I1095" i="2"/>
  <c r="H1095" i="2"/>
  <c r="G1095" i="2"/>
  <c r="F1095" i="2"/>
  <c r="E1095" i="2"/>
  <c r="D1095" i="2"/>
  <c r="C1095" i="2"/>
  <c r="A1095" i="2"/>
  <c r="AO1094" i="2"/>
  <c r="AN1094" i="2"/>
  <c r="AM1094" i="2"/>
  <c r="AK1094" i="2"/>
  <c r="AJ1094" i="2"/>
  <c r="AI1094" i="2"/>
  <c r="AH1094" i="2"/>
  <c r="AG1094" i="2"/>
  <c r="AF1094" i="2"/>
  <c r="AE1094" i="2"/>
  <c r="AD1094" i="2"/>
  <c r="AC1094" i="2"/>
  <c r="AB1094" i="2"/>
  <c r="AA1094" i="2"/>
  <c r="Z1094" i="2"/>
  <c r="Y1094" i="2"/>
  <c r="X1094" i="2"/>
  <c r="W1094" i="2"/>
  <c r="V1094" i="2"/>
  <c r="U1094" i="2"/>
  <c r="S1094" i="2"/>
  <c r="R1094" i="2"/>
  <c r="Q1094" i="2"/>
  <c r="P1094" i="2"/>
  <c r="O1094" i="2"/>
  <c r="N1094" i="2"/>
  <c r="M1094" i="2"/>
  <c r="L1094" i="2"/>
  <c r="K1094" i="2"/>
  <c r="J1094" i="2"/>
  <c r="I1094" i="2"/>
  <c r="H1094" i="2"/>
  <c r="G1094" i="2"/>
  <c r="F1094" i="2"/>
  <c r="E1094" i="2"/>
  <c r="D1094" i="2"/>
  <c r="C1094" i="2"/>
  <c r="A1094" i="2"/>
  <c r="AO1093" i="2"/>
  <c r="AN1093" i="2"/>
  <c r="AM1093" i="2"/>
  <c r="AL1093" i="2"/>
  <c r="AK1093" i="2"/>
  <c r="AJ1093" i="2"/>
  <c r="AI1093" i="2"/>
  <c r="AG1093" i="2"/>
  <c r="AF1093" i="2"/>
  <c r="AE1093" i="2"/>
  <c r="AC1093" i="2"/>
  <c r="AB1093" i="2"/>
  <c r="AA1093" i="2"/>
  <c r="X1093" i="2"/>
  <c r="W1093" i="2"/>
  <c r="V1093" i="2"/>
  <c r="U1093" i="2"/>
  <c r="R1093" i="2"/>
  <c r="Q1093" i="2"/>
  <c r="P1093" i="2"/>
  <c r="O1093" i="2"/>
  <c r="N1093" i="2"/>
  <c r="M1093" i="2"/>
  <c r="L1093" i="2"/>
  <c r="K1093" i="2"/>
  <c r="J1093" i="2"/>
  <c r="I1093" i="2"/>
  <c r="H1093" i="2"/>
  <c r="G1093" i="2"/>
  <c r="F1093" i="2"/>
  <c r="E1093" i="2"/>
  <c r="D1093" i="2"/>
  <c r="C1093" i="2"/>
  <c r="A1093" i="2"/>
  <c r="AO1092" i="2"/>
  <c r="AN1092" i="2"/>
  <c r="AM1092" i="2"/>
  <c r="AL1092" i="2"/>
  <c r="AK1092" i="2"/>
  <c r="AJ1092" i="2"/>
  <c r="AI1092" i="2"/>
  <c r="AH1092" i="2"/>
  <c r="AG1092" i="2"/>
  <c r="AF1092" i="2"/>
  <c r="AE1092" i="2"/>
  <c r="AD1092" i="2"/>
  <c r="AC1092" i="2"/>
  <c r="AB1092" i="2"/>
  <c r="AA1092" i="2"/>
  <c r="Z1092" i="2"/>
  <c r="Y1092" i="2"/>
  <c r="X1092" i="2"/>
  <c r="W1092" i="2"/>
  <c r="V1092" i="2"/>
  <c r="U1092" i="2"/>
  <c r="S1092" i="2"/>
  <c r="R1092" i="2"/>
  <c r="Q1092" i="2"/>
  <c r="P1092" i="2"/>
  <c r="O1092" i="2"/>
  <c r="N1092" i="2"/>
  <c r="M1092" i="2"/>
  <c r="L1092" i="2"/>
  <c r="K1092" i="2"/>
  <c r="J1092" i="2"/>
  <c r="I1092" i="2"/>
  <c r="H1092" i="2"/>
  <c r="G1092" i="2"/>
  <c r="F1092" i="2"/>
  <c r="E1092" i="2"/>
  <c r="D1092" i="2"/>
  <c r="C1092" i="2"/>
  <c r="B1092" i="2"/>
  <c r="A1092" i="2"/>
  <c r="AO1091" i="2"/>
  <c r="AN1091" i="2"/>
  <c r="AM1091" i="2"/>
  <c r="AK1091" i="2"/>
  <c r="AJ1091" i="2"/>
  <c r="AI1091" i="2"/>
  <c r="AH1091" i="2"/>
  <c r="AG1091" i="2"/>
  <c r="AF1091" i="2"/>
  <c r="AE1091" i="2"/>
  <c r="AC1091" i="2"/>
  <c r="AB1091" i="2"/>
  <c r="AA1091" i="2"/>
  <c r="Z1091" i="2"/>
  <c r="Y1091" i="2"/>
  <c r="X1091" i="2"/>
  <c r="W1091" i="2"/>
  <c r="V1091" i="2"/>
  <c r="U1091" i="2"/>
  <c r="S1091" i="2"/>
  <c r="R1091" i="2"/>
  <c r="Q1091" i="2"/>
  <c r="P1091" i="2"/>
  <c r="O1091" i="2"/>
  <c r="N1091" i="2"/>
  <c r="M1091" i="2"/>
  <c r="L1091" i="2"/>
  <c r="K1091" i="2"/>
  <c r="J1091" i="2"/>
  <c r="I1091" i="2"/>
  <c r="H1091" i="2"/>
  <c r="G1091" i="2"/>
  <c r="F1091" i="2"/>
  <c r="E1091" i="2"/>
  <c r="D1091" i="2"/>
  <c r="C1091" i="2"/>
  <c r="A1091" i="2"/>
  <c r="AO1090" i="2"/>
  <c r="AN1090" i="2"/>
  <c r="AM1090" i="2"/>
  <c r="AL1090" i="2"/>
  <c r="AK1090" i="2"/>
  <c r="AJ1090" i="2"/>
  <c r="AI1090" i="2"/>
  <c r="AH1090" i="2"/>
  <c r="AG1090" i="2"/>
  <c r="AF1090" i="2"/>
  <c r="AE1090" i="2"/>
  <c r="AD1090" i="2"/>
  <c r="AC1090" i="2"/>
  <c r="AB1090" i="2"/>
  <c r="AA1090" i="2"/>
  <c r="Z1090" i="2"/>
  <c r="Y1090" i="2"/>
  <c r="X1090" i="2"/>
  <c r="W1090" i="2"/>
  <c r="V1090" i="2"/>
  <c r="U1090" i="2"/>
  <c r="S1090" i="2"/>
  <c r="R1090" i="2"/>
  <c r="Q1090" i="2"/>
  <c r="P1090" i="2"/>
  <c r="O1090" i="2"/>
  <c r="N1090" i="2"/>
  <c r="M1090" i="2"/>
  <c r="L1090" i="2"/>
  <c r="K1090" i="2"/>
  <c r="J1090" i="2"/>
  <c r="I1090" i="2"/>
  <c r="H1090" i="2"/>
  <c r="G1090" i="2"/>
  <c r="F1090" i="2"/>
  <c r="E1090" i="2"/>
  <c r="D1090" i="2"/>
  <c r="C1090" i="2"/>
  <c r="B1090" i="2"/>
  <c r="A1090" i="2"/>
  <c r="AO1089" i="2"/>
  <c r="AN1089" i="2"/>
  <c r="AM1089" i="2"/>
  <c r="AK1089" i="2"/>
  <c r="AJ1089" i="2"/>
  <c r="AI1089" i="2"/>
  <c r="AH1089" i="2"/>
  <c r="AG1089" i="2"/>
  <c r="AF1089" i="2"/>
  <c r="AE1089" i="2"/>
  <c r="AD1089" i="2"/>
  <c r="AC1089" i="2"/>
  <c r="AB1089" i="2"/>
  <c r="AA1089" i="2"/>
  <c r="Y1089" i="2"/>
  <c r="X1089" i="2"/>
  <c r="W1089" i="2"/>
  <c r="V1089" i="2"/>
  <c r="U1089" i="2"/>
  <c r="S1089" i="2"/>
  <c r="R1089" i="2"/>
  <c r="Q1089" i="2"/>
  <c r="P1089" i="2"/>
  <c r="O1089" i="2"/>
  <c r="N1089" i="2"/>
  <c r="M1089" i="2"/>
  <c r="L1089" i="2"/>
  <c r="K1089" i="2"/>
  <c r="J1089" i="2"/>
  <c r="I1089" i="2"/>
  <c r="H1089" i="2"/>
  <c r="G1089" i="2"/>
  <c r="F1089" i="2"/>
  <c r="E1089" i="2"/>
  <c r="D1089" i="2"/>
  <c r="C1089" i="2"/>
  <c r="B1089" i="2"/>
  <c r="A1089" i="2"/>
  <c r="AO1088" i="2"/>
  <c r="AN1088" i="2"/>
  <c r="AM1088" i="2"/>
  <c r="AK1088" i="2"/>
  <c r="AJ1088" i="2"/>
  <c r="AI1088" i="2"/>
  <c r="AH1088" i="2"/>
  <c r="AG1088" i="2"/>
  <c r="AF1088" i="2"/>
  <c r="AE1088" i="2"/>
  <c r="AD1088" i="2"/>
  <c r="AC1088" i="2"/>
  <c r="AB1088" i="2"/>
  <c r="AA1088" i="2"/>
  <c r="Z1088" i="2"/>
  <c r="Y1088" i="2"/>
  <c r="X1088" i="2"/>
  <c r="W1088" i="2"/>
  <c r="V1088" i="2"/>
  <c r="U1088" i="2"/>
  <c r="S1088" i="2"/>
  <c r="R1088" i="2"/>
  <c r="Q1088" i="2"/>
  <c r="P1088" i="2"/>
  <c r="O1088" i="2"/>
  <c r="N1088" i="2"/>
  <c r="M1088" i="2"/>
  <c r="L1088" i="2"/>
  <c r="K1088" i="2"/>
  <c r="J1088" i="2"/>
  <c r="I1088" i="2"/>
  <c r="H1088" i="2"/>
  <c r="G1088" i="2"/>
  <c r="F1088" i="2"/>
  <c r="E1088" i="2"/>
  <c r="D1088" i="2"/>
  <c r="C1088" i="2"/>
  <c r="A1088" i="2"/>
  <c r="AO1087" i="2"/>
  <c r="AN1087" i="2"/>
  <c r="AM1087" i="2"/>
  <c r="AL1087" i="2"/>
  <c r="AK1087" i="2"/>
  <c r="AJ1087" i="2"/>
  <c r="AI1087" i="2"/>
  <c r="AH1087" i="2"/>
  <c r="AG1087" i="2"/>
  <c r="AF1087" i="2"/>
  <c r="AE1087" i="2"/>
  <c r="AD1087" i="2"/>
  <c r="AC1087" i="2"/>
  <c r="AB1087" i="2"/>
  <c r="AA1087" i="2"/>
  <c r="Z1087" i="2"/>
  <c r="Y1087" i="2"/>
  <c r="X1087" i="2"/>
  <c r="W1087" i="2"/>
  <c r="V1087" i="2"/>
  <c r="U1087" i="2"/>
  <c r="S1087" i="2"/>
  <c r="R1087" i="2"/>
  <c r="Q1087" i="2"/>
  <c r="P1087" i="2"/>
  <c r="O1087" i="2"/>
  <c r="N1087" i="2"/>
  <c r="M1087" i="2"/>
  <c r="L1087" i="2"/>
  <c r="K1087" i="2"/>
  <c r="J1087" i="2"/>
  <c r="I1087" i="2"/>
  <c r="H1087" i="2"/>
  <c r="G1087" i="2"/>
  <c r="F1087" i="2"/>
  <c r="E1087" i="2"/>
  <c r="D1087" i="2"/>
  <c r="C1087" i="2"/>
  <c r="A1087" i="2"/>
  <c r="AO1086" i="2"/>
  <c r="AN1086" i="2"/>
  <c r="AM1086" i="2"/>
  <c r="AL1086" i="2"/>
  <c r="AK1086" i="2"/>
  <c r="AJ1086" i="2"/>
  <c r="AI1086" i="2"/>
  <c r="AH1086" i="2"/>
  <c r="AG1086" i="2"/>
  <c r="AF1086" i="2"/>
  <c r="AE1086" i="2"/>
  <c r="AD1086" i="2"/>
  <c r="AC1086" i="2"/>
  <c r="AB1086" i="2"/>
  <c r="AA1086" i="2"/>
  <c r="Z1086" i="2"/>
  <c r="Y1086" i="2"/>
  <c r="X1086" i="2"/>
  <c r="W1086" i="2"/>
  <c r="V1086" i="2"/>
  <c r="U1086" i="2"/>
  <c r="S1086" i="2"/>
  <c r="R1086" i="2"/>
  <c r="Q1086" i="2"/>
  <c r="P1086" i="2"/>
  <c r="O1086" i="2"/>
  <c r="N1086" i="2"/>
  <c r="M1086" i="2"/>
  <c r="L1086" i="2"/>
  <c r="K1086" i="2"/>
  <c r="J1086" i="2"/>
  <c r="I1086" i="2"/>
  <c r="H1086" i="2"/>
  <c r="G1086" i="2"/>
  <c r="F1086" i="2"/>
  <c r="E1086" i="2"/>
  <c r="D1086" i="2"/>
  <c r="C1086" i="2"/>
  <c r="B1086" i="2"/>
  <c r="A1086" i="2"/>
  <c r="AO1085" i="2"/>
  <c r="AN1085" i="2"/>
  <c r="AM1085" i="2"/>
  <c r="AL1085" i="2"/>
  <c r="AK1085" i="2"/>
  <c r="AJ1085" i="2"/>
  <c r="AI1085" i="2"/>
  <c r="AH1085" i="2"/>
  <c r="AG1085" i="2"/>
  <c r="AF1085" i="2"/>
  <c r="AE1085" i="2"/>
  <c r="AD1085" i="2"/>
  <c r="AC1085" i="2"/>
  <c r="AB1085" i="2"/>
  <c r="AA1085" i="2"/>
  <c r="Z1085" i="2"/>
  <c r="Y1085" i="2"/>
  <c r="X1085" i="2"/>
  <c r="W1085" i="2"/>
  <c r="V1085" i="2"/>
  <c r="U1085" i="2"/>
  <c r="S1085" i="2"/>
  <c r="R1085" i="2"/>
  <c r="Q1085" i="2"/>
  <c r="P1085" i="2"/>
  <c r="O1085" i="2"/>
  <c r="N1085" i="2"/>
  <c r="M1085" i="2"/>
  <c r="L1085" i="2"/>
  <c r="K1085" i="2"/>
  <c r="J1085" i="2"/>
  <c r="I1085" i="2"/>
  <c r="H1085" i="2"/>
  <c r="G1085" i="2"/>
  <c r="F1085" i="2"/>
  <c r="E1085" i="2"/>
  <c r="D1085" i="2"/>
  <c r="C1085" i="2"/>
  <c r="A1085" i="2"/>
  <c r="AO1084" i="2"/>
  <c r="AN1084" i="2"/>
  <c r="AM1084" i="2"/>
  <c r="AK1084" i="2"/>
  <c r="AJ1084" i="2"/>
  <c r="AI1084" i="2"/>
  <c r="AH1084" i="2"/>
  <c r="AG1084" i="2"/>
  <c r="AF1084" i="2"/>
  <c r="AE1084" i="2"/>
  <c r="AD1084" i="2"/>
  <c r="AC1084" i="2"/>
  <c r="AB1084" i="2"/>
  <c r="AA1084" i="2"/>
  <c r="Z1084" i="2"/>
  <c r="Y1084" i="2"/>
  <c r="X1084" i="2"/>
  <c r="W1084" i="2"/>
  <c r="V1084" i="2"/>
  <c r="U1084" i="2"/>
  <c r="S1084" i="2"/>
  <c r="R1084" i="2"/>
  <c r="Q1084" i="2"/>
  <c r="P1084" i="2"/>
  <c r="O1084" i="2"/>
  <c r="N1084" i="2"/>
  <c r="M1084" i="2"/>
  <c r="L1084" i="2"/>
  <c r="K1084" i="2"/>
  <c r="J1084" i="2"/>
  <c r="I1084" i="2"/>
  <c r="H1084" i="2"/>
  <c r="G1084" i="2"/>
  <c r="F1084" i="2"/>
  <c r="E1084" i="2"/>
  <c r="D1084" i="2"/>
  <c r="C1084" i="2"/>
  <c r="A1084" i="2"/>
  <c r="AO1083" i="2"/>
  <c r="AN1083" i="2"/>
  <c r="AM1083" i="2"/>
  <c r="AL1083" i="2"/>
  <c r="AK1083" i="2"/>
  <c r="AJ1083" i="2"/>
  <c r="AI1083" i="2"/>
  <c r="AH1083" i="2"/>
  <c r="AG1083" i="2"/>
  <c r="AF1083" i="2"/>
  <c r="AE1083" i="2"/>
  <c r="AD1083" i="2"/>
  <c r="AC1083" i="2"/>
  <c r="AB1083" i="2"/>
  <c r="AA1083" i="2"/>
  <c r="Z1083" i="2"/>
  <c r="Y1083" i="2"/>
  <c r="X1083" i="2"/>
  <c r="W1083" i="2"/>
  <c r="V1083" i="2"/>
  <c r="U1083" i="2"/>
  <c r="S1083" i="2"/>
  <c r="R1083" i="2"/>
  <c r="Q1083" i="2"/>
  <c r="P1083" i="2"/>
  <c r="O1083" i="2"/>
  <c r="N1083" i="2"/>
  <c r="M1083" i="2"/>
  <c r="L1083" i="2"/>
  <c r="K1083" i="2"/>
  <c r="J1083" i="2"/>
  <c r="I1083" i="2"/>
  <c r="H1083" i="2"/>
  <c r="G1083" i="2"/>
  <c r="F1083" i="2"/>
  <c r="E1083" i="2"/>
  <c r="D1083" i="2"/>
  <c r="C1083" i="2"/>
  <c r="A1083" i="2"/>
  <c r="AO1082" i="2"/>
  <c r="AN1082" i="2"/>
  <c r="AM1082" i="2"/>
  <c r="AL1082" i="2"/>
  <c r="AK1082" i="2"/>
  <c r="AJ1082" i="2"/>
  <c r="AI1082" i="2"/>
  <c r="AH1082" i="2"/>
  <c r="AG1082" i="2"/>
  <c r="AF1082" i="2"/>
  <c r="AE1082" i="2"/>
  <c r="AD1082" i="2"/>
  <c r="AC1082" i="2"/>
  <c r="AB1082" i="2"/>
  <c r="AA1082" i="2"/>
  <c r="Z1082" i="2"/>
  <c r="Y1082" i="2"/>
  <c r="X1082" i="2"/>
  <c r="W1082" i="2"/>
  <c r="V1082" i="2"/>
  <c r="U1082" i="2"/>
  <c r="S1082" i="2"/>
  <c r="R1082" i="2"/>
  <c r="Q1082" i="2"/>
  <c r="P1082" i="2"/>
  <c r="O1082" i="2"/>
  <c r="N1082" i="2"/>
  <c r="M1082" i="2"/>
  <c r="L1082" i="2"/>
  <c r="K1082" i="2"/>
  <c r="J1082" i="2"/>
  <c r="I1082" i="2"/>
  <c r="H1082" i="2"/>
  <c r="G1082" i="2"/>
  <c r="F1082" i="2"/>
  <c r="E1082" i="2"/>
  <c r="D1082" i="2"/>
  <c r="C1082" i="2"/>
  <c r="B1082" i="2"/>
  <c r="A1082" i="2"/>
  <c r="AO1081" i="2"/>
  <c r="AN1081" i="2"/>
  <c r="AM1081" i="2"/>
  <c r="AK1081" i="2"/>
  <c r="AJ1081" i="2"/>
  <c r="AI1081" i="2"/>
  <c r="AH1081" i="2"/>
  <c r="AG1081" i="2"/>
  <c r="AF1081" i="2"/>
  <c r="AE1081" i="2"/>
  <c r="AC1081" i="2"/>
  <c r="AB1081" i="2"/>
  <c r="AA1081" i="2"/>
  <c r="Z1081" i="2"/>
  <c r="Y1081" i="2"/>
  <c r="X1081" i="2"/>
  <c r="W1081" i="2"/>
  <c r="V1081" i="2"/>
  <c r="U1081" i="2"/>
  <c r="S1081" i="2"/>
  <c r="R1081" i="2"/>
  <c r="Q1081" i="2"/>
  <c r="P1081" i="2"/>
  <c r="O1081" i="2"/>
  <c r="N1081" i="2"/>
  <c r="M1081" i="2"/>
  <c r="L1081" i="2"/>
  <c r="K1081" i="2"/>
  <c r="J1081" i="2"/>
  <c r="I1081" i="2"/>
  <c r="H1081" i="2"/>
  <c r="G1081" i="2"/>
  <c r="F1081" i="2"/>
  <c r="E1081" i="2"/>
  <c r="D1081" i="2"/>
  <c r="C1081" i="2"/>
  <c r="B1081" i="2"/>
  <c r="A1081" i="2"/>
  <c r="AO1080" i="2"/>
  <c r="AN1080" i="2"/>
  <c r="AM1080" i="2"/>
  <c r="AL1080" i="2"/>
  <c r="AK1080" i="2"/>
  <c r="AJ1080" i="2"/>
  <c r="AI1080" i="2"/>
  <c r="AH1080" i="2"/>
  <c r="AG1080" i="2"/>
  <c r="AF1080" i="2"/>
  <c r="AE1080" i="2"/>
  <c r="AD1080" i="2"/>
  <c r="AC1080" i="2"/>
  <c r="AB1080" i="2"/>
  <c r="AA1080" i="2"/>
  <c r="Z1080" i="2"/>
  <c r="Y1080" i="2"/>
  <c r="X1080" i="2"/>
  <c r="W1080" i="2"/>
  <c r="V1080" i="2"/>
  <c r="U1080" i="2"/>
  <c r="S1080" i="2"/>
  <c r="R1080" i="2"/>
  <c r="Q1080" i="2"/>
  <c r="P1080" i="2"/>
  <c r="O1080" i="2"/>
  <c r="N1080" i="2"/>
  <c r="M1080" i="2"/>
  <c r="L1080" i="2"/>
  <c r="K1080" i="2"/>
  <c r="J1080" i="2"/>
  <c r="I1080" i="2"/>
  <c r="H1080" i="2"/>
  <c r="G1080" i="2"/>
  <c r="F1080" i="2"/>
  <c r="E1080" i="2"/>
  <c r="D1080" i="2"/>
  <c r="C1080" i="2"/>
  <c r="B1080" i="2"/>
  <c r="A1080" i="2"/>
  <c r="AO1079" i="2"/>
  <c r="AN1079" i="2"/>
  <c r="AM1079" i="2"/>
  <c r="AK1079" i="2"/>
  <c r="AJ1079" i="2"/>
  <c r="AI1079" i="2"/>
  <c r="AH1079" i="2"/>
  <c r="AG1079" i="2"/>
  <c r="AF1079" i="2"/>
  <c r="AE1079" i="2"/>
  <c r="AD1079" i="2"/>
  <c r="AC1079" i="2"/>
  <c r="AB1079" i="2"/>
  <c r="AA1079" i="2"/>
  <c r="Z1079" i="2"/>
  <c r="Y1079" i="2"/>
  <c r="X1079" i="2"/>
  <c r="W1079" i="2"/>
  <c r="V1079" i="2"/>
  <c r="U1079" i="2"/>
  <c r="S1079" i="2"/>
  <c r="R1079" i="2"/>
  <c r="Q1079" i="2"/>
  <c r="P1079" i="2"/>
  <c r="O1079" i="2"/>
  <c r="N1079" i="2"/>
  <c r="M1079" i="2"/>
  <c r="L1079" i="2"/>
  <c r="K1079" i="2"/>
  <c r="J1079" i="2"/>
  <c r="I1079" i="2"/>
  <c r="H1079" i="2"/>
  <c r="G1079" i="2"/>
  <c r="F1079" i="2"/>
  <c r="E1079" i="2"/>
  <c r="D1079" i="2"/>
  <c r="C1079" i="2"/>
  <c r="B1079" i="2"/>
  <c r="A1079" i="2"/>
  <c r="AO1078" i="2"/>
  <c r="AN1078" i="2"/>
  <c r="AM1078" i="2"/>
  <c r="AK1078" i="2"/>
  <c r="AJ1078" i="2"/>
  <c r="AI1078" i="2"/>
  <c r="AH1078" i="2"/>
  <c r="AG1078" i="2"/>
  <c r="AF1078" i="2"/>
  <c r="AE1078" i="2"/>
  <c r="AD1078" i="2"/>
  <c r="AC1078" i="2"/>
  <c r="AB1078" i="2"/>
  <c r="AA1078" i="2"/>
  <c r="Y1078" i="2"/>
  <c r="X1078" i="2"/>
  <c r="W1078" i="2"/>
  <c r="V1078" i="2"/>
  <c r="U1078" i="2"/>
  <c r="S1078" i="2"/>
  <c r="R1078" i="2"/>
  <c r="Q1078" i="2"/>
  <c r="P1078" i="2"/>
  <c r="O1078" i="2"/>
  <c r="N1078" i="2"/>
  <c r="M1078" i="2"/>
  <c r="L1078" i="2"/>
  <c r="K1078" i="2"/>
  <c r="J1078" i="2"/>
  <c r="I1078" i="2"/>
  <c r="H1078" i="2"/>
  <c r="G1078" i="2"/>
  <c r="F1078" i="2"/>
  <c r="E1078" i="2"/>
  <c r="D1078" i="2"/>
  <c r="C1078" i="2"/>
  <c r="A1078" i="2"/>
  <c r="AO1077" i="2"/>
  <c r="AN1077" i="2"/>
  <c r="AM1077" i="2"/>
  <c r="AK1077" i="2"/>
  <c r="AJ1077" i="2"/>
  <c r="AI1077" i="2"/>
  <c r="AH1077" i="2"/>
  <c r="AG1077" i="2"/>
  <c r="AF1077" i="2"/>
  <c r="AE1077" i="2"/>
  <c r="AD1077" i="2"/>
  <c r="AC1077" i="2"/>
  <c r="AB1077" i="2"/>
  <c r="AA1077" i="2"/>
  <c r="Z1077" i="2"/>
  <c r="Y1077" i="2"/>
  <c r="X1077" i="2"/>
  <c r="W1077" i="2"/>
  <c r="V1077" i="2"/>
  <c r="U1077" i="2"/>
  <c r="S1077" i="2"/>
  <c r="R1077" i="2"/>
  <c r="Q1077" i="2"/>
  <c r="P1077" i="2"/>
  <c r="O1077" i="2"/>
  <c r="N1077" i="2"/>
  <c r="M1077" i="2"/>
  <c r="L1077" i="2"/>
  <c r="K1077" i="2"/>
  <c r="J1077" i="2"/>
  <c r="I1077" i="2"/>
  <c r="H1077" i="2"/>
  <c r="G1077" i="2"/>
  <c r="F1077" i="2"/>
  <c r="E1077" i="2"/>
  <c r="D1077" i="2"/>
  <c r="C1077" i="2"/>
  <c r="B1077" i="2"/>
  <c r="A1077" i="2"/>
  <c r="AO1076" i="2"/>
  <c r="AN1076" i="2"/>
  <c r="AM1076" i="2"/>
  <c r="AL1076" i="2"/>
  <c r="AK1076" i="2"/>
  <c r="AJ1076" i="2"/>
  <c r="AI1076" i="2"/>
  <c r="AH1076" i="2"/>
  <c r="AG1076" i="2"/>
  <c r="AF1076" i="2"/>
  <c r="AE1076" i="2"/>
  <c r="AD1076" i="2"/>
  <c r="AC1076" i="2"/>
  <c r="AB1076" i="2"/>
  <c r="AA1076" i="2"/>
  <c r="Z1076" i="2"/>
  <c r="Y1076" i="2"/>
  <c r="X1076" i="2"/>
  <c r="W1076" i="2"/>
  <c r="V1076" i="2"/>
  <c r="U1076" i="2"/>
  <c r="S1076" i="2"/>
  <c r="R1076" i="2"/>
  <c r="Q1076" i="2"/>
  <c r="P1076" i="2"/>
  <c r="O1076" i="2"/>
  <c r="N1076" i="2"/>
  <c r="M1076" i="2"/>
  <c r="L1076" i="2"/>
  <c r="K1076" i="2"/>
  <c r="J1076" i="2"/>
  <c r="I1076" i="2"/>
  <c r="H1076" i="2"/>
  <c r="G1076" i="2"/>
  <c r="F1076" i="2"/>
  <c r="E1076" i="2"/>
  <c r="D1076" i="2"/>
  <c r="C1076" i="2"/>
  <c r="A1076" i="2"/>
  <c r="AO1075" i="2"/>
  <c r="AN1075" i="2"/>
  <c r="AM1075" i="2"/>
  <c r="AL1075" i="2"/>
  <c r="AK1075" i="2"/>
  <c r="AJ1075" i="2"/>
  <c r="AI1075" i="2"/>
  <c r="AH1075" i="2"/>
  <c r="AG1075" i="2"/>
  <c r="AF1075" i="2"/>
  <c r="AE1075" i="2"/>
  <c r="AC1075" i="2"/>
  <c r="AB1075" i="2"/>
  <c r="AA1075" i="2"/>
  <c r="Z1075" i="2"/>
  <c r="Y1075" i="2"/>
  <c r="X1075" i="2"/>
  <c r="W1075" i="2"/>
  <c r="V1075" i="2"/>
  <c r="U1075" i="2"/>
  <c r="S1075" i="2"/>
  <c r="R1075" i="2"/>
  <c r="Q1075" i="2"/>
  <c r="P1075" i="2"/>
  <c r="O1075" i="2"/>
  <c r="N1075" i="2"/>
  <c r="M1075" i="2"/>
  <c r="L1075" i="2"/>
  <c r="K1075" i="2"/>
  <c r="J1075" i="2"/>
  <c r="I1075" i="2"/>
  <c r="H1075" i="2"/>
  <c r="G1075" i="2"/>
  <c r="F1075" i="2"/>
  <c r="E1075" i="2"/>
  <c r="D1075" i="2"/>
  <c r="C1075" i="2"/>
  <c r="A1075" i="2"/>
  <c r="AO1074" i="2"/>
  <c r="AN1074" i="2"/>
  <c r="AM1074" i="2"/>
  <c r="AL1074" i="2"/>
  <c r="AK1074" i="2"/>
  <c r="AJ1074" i="2"/>
  <c r="AI1074" i="2"/>
  <c r="AH1074" i="2"/>
  <c r="AG1074" i="2"/>
  <c r="AF1074" i="2"/>
  <c r="AE1074" i="2"/>
  <c r="AD1074" i="2"/>
  <c r="AC1074" i="2"/>
  <c r="AB1074" i="2"/>
  <c r="AA1074" i="2"/>
  <c r="Z1074" i="2"/>
  <c r="Y1074" i="2"/>
  <c r="X1074" i="2"/>
  <c r="W1074" i="2"/>
  <c r="V1074" i="2"/>
  <c r="U1074" i="2"/>
  <c r="S1074" i="2"/>
  <c r="R1074" i="2"/>
  <c r="Q1074" i="2"/>
  <c r="P1074" i="2"/>
  <c r="O1074" i="2"/>
  <c r="N1074" i="2"/>
  <c r="M1074" i="2"/>
  <c r="L1074" i="2"/>
  <c r="K1074" i="2"/>
  <c r="J1074" i="2"/>
  <c r="I1074" i="2"/>
  <c r="H1074" i="2"/>
  <c r="G1074" i="2"/>
  <c r="F1074" i="2"/>
  <c r="E1074" i="2"/>
  <c r="D1074" i="2"/>
  <c r="C1074" i="2"/>
  <c r="B1074" i="2"/>
  <c r="A1074" i="2"/>
  <c r="AO1073" i="2"/>
  <c r="AN1073" i="2"/>
  <c r="AM1073" i="2"/>
  <c r="AL1073" i="2"/>
  <c r="AK1073" i="2"/>
  <c r="AJ1073" i="2"/>
  <c r="AI1073" i="2"/>
  <c r="AG1073" i="2"/>
  <c r="AF1073" i="2"/>
  <c r="AE1073" i="2"/>
  <c r="AC1073" i="2"/>
  <c r="AB1073" i="2"/>
  <c r="AA1073" i="2"/>
  <c r="X1073" i="2"/>
  <c r="W1073" i="2"/>
  <c r="V1073" i="2"/>
  <c r="U1073" i="2"/>
  <c r="R1073" i="2"/>
  <c r="Q1073" i="2"/>
  <c r="P1073" i="2"/>
  <c r="O1073" i="2"/>
  <c r="N1073" i="2"/>
  <c r="M1073" i="2"/>
  <c r="L1073" i="2"/>
  <c r="K1073" i="2"/>
  <c r="J1073" i="2"/>
  <c r="I1073" i="2"/>
  <c r="H1073" i="2"/>
  <c r="G1073" i="2"/>
  <c r="F1073" i="2"/>
  <c r="E1073" i="2"/>
  <c r="D1073" i="2"/>
  <c r="C1073" i="2"/>
  <c r="B1073" i="2"/>
  <c r="A1073" i="2"/>
  <c r="AO1072" i="2"/>
  <c r="AN1072" i="2"/>
  <c r="AM1072" i="2"/>
  <c r="AK1072" i="2"/>
  <c r="AJ1072" i="2"/>
  <c r="AI1072" i="2"/>
  <c r="AH1072" i="2"/>
  <c r="AG1072" i="2"/>
  <c r="AF1072" i="2"/>
  <c r="AE1072" i="2"/>
  <c r="AC1072" i="2"/>
  <c r="AB1072" i="2"/>
  <c r="AA1072" i="2"/>
  <c r="Z1072" i="2"/>
  <c r="Y1072" i="2"/>
  <c r="X1072" i="2"/>
  <c r="W1072" i="2"/>
  <c r="V1072" i="2"/>
  <c r="U1072" i="2"/>
  <c r="S1072" i="2"/>
  <c r="R1072" i="2"/>
  <c r="Q1072" i="2"/>
  <c r="P1072" i="2"/>
  <c r="O1072" i="2"/>
  <c r="N1072" i="2"/>
  <c r="M1072" i="2"/>
  <c r="L1072" i="2"/>
  <c r="K1072" i="2"/>
  <c r="J1072" i="2"/>
  <c r="I1072" i="2"/>
  <c r="H1072" i="2"/>
  <c r="G1072" i="2"/>
  <c r="F1072" i="2"/>
  <c r="E1072" i="2"/>
  <c r="D1072" i="2"/>
  <c r="C1072" i="2"/>
  <c r="B1072" i="2"/>
  <c r="A1072" i="2"/>
  <c r="AO1071" i="2"/>
  <c r="AN1071" i="2"/>
  <c r="AM1071" i="2"/>
  <c r="AK1071" i="2"/>
  <c r="AJ1071" i="2"/>
  <c r="AI1071" i="2"/>
  <c r="AG1071" i="2"/>
  <c r="AF1071" i="2"/>
  <c r="AE1071" i="2"/>
  <c r="AD1071" i="2"/>
  <c r="AC1071" i="2"/>
  <c r="AB1071" i="2"/>
  <c r="AA1071" i="2"/>
  <c r="X1071" i="2"/>
  <c r="W1071" i="2"/>
  <c r="V1071" i="2"/>
  <c r="U1071" i="2"/>
  <c r="R1071" i="2"/>
  <c r="Q1071" i="2"/>
  <c r="P1071" i="2"/>
  <c r="O1071" i="2"/>
  <c r="N1071" i="2"/>
  <c r="M1071" i="2"/>
  <c r="L1071" i="2"/>
  <c r="K1071" i="2"/>
  <c r="J1071" i="2"/>
  <c r="I1071" i="2"/>
  <c r="H1071" i="2"/>
  <c r="G1071" i="2"/>
  <c r="F1071" i="2"/>
  <c r="E1071" i="2"/>
  <c r="D1071" i="2"/>
  <c r="C1071" i="2"/>
  <c r="A1071" i="2"/>
  <c r="AO1070" i="2"/>
  <c r="AN1070" i="2"/>
  <c r="AM1070" i="2"/>
  <c r="AL1070" i="2"/>
  <c r="AK1070" i="2"/>
  <c r="AJ1070" i="2"/>
  <c r="AI1070" i="2"/>
  <c r="AH1070" i="2"/>
  <c r="AG1070" i="2"/>
  <c r="AF1070" i="2"/>
  <c r="AE1070" i="2"/>
  <c r="AC1070" i="2"/>
  <c r="AB1070" i="2"/>
  <c r="AA1070" i="2"/>
  <c r="Z1070" i="2"/>
  <c r="Y1070" i="2"/>
  <c r="X1070" i="2"/>
  <c r="W1070" i="2"/>
  <c r="V1070" i="2"/>
  <c r="U1070" i="2"/>
  <c r="S1070" i="2"/>
  <c r="R1070" i="2"/>
  <c r="Q1070" i="2"/>
  <c r="P1070" i="2"/>
  <c r="O1070" i="2"/>
  <c r="N1070" i="2"/>
  <c r="M1070" i="2"/>
  <c r="L1070" i="2"/>
  <c r="K1070" i="2"/>
  <c r="J1070" i="2"/>
  <c r="I1070" i="2"/>
  <c r="H1070" i="2"/>
  <c r="G1070" i="2"/>
  <c r="F1070" i="2"/>
  <c r="E1070" i="2"/>
  <c r="D1070" i="2"/>
  <c r="C1070" i="2"/>
  <c r="B1070" i="2"/>
  <c r="A1070" i="2"/>
  <c r="AO1069" i="2"/>
  <c r="AN1069" i="2"/>
  <c r="AM1069" i="2"/>
  <c r="AL1069" i="2"/>
  <c r="AK1069" i="2"/>
  <c r="AJ1069" i="2"/>
  <c r="AI1069" i="2"/>
  <c r="AG1069" i="2"/>
  <c r="AF1069" i="2"/>
  <c r="AE1069" i="2"/>
  <c r="AC1069" i="2"/>
  <c r="AB1069" i="2"/>
  <c r="AA1069" i="2"/>
  <c r="X1069" i="2"/>
  <c r="W1069" i="2"/>
  <c r="V1069" i="2"/>
  <c r="U1069" i="2"/>
  <c r="R1069" i="2"/>
  <c r="Q1069" i="2"/>
  <c r="P1069" i="2"/>
  <c r="O1069" i="2"/>
  <c r="N1069" i="2"/>
  <c r="M1069" i="2"/>
  <c r="L1069" i="2"/>
  <c r="K1069" i="2"/>
  <c r="J1069" i="2"/>
  <c r="I1069" i="2"/>
  <c r="H1069" i="2"/>
  <c r="G1069" i="2"/>
  <c r="F1069" i="2"/>
  <c r="E1069" i="2"/>
  <c r="D1069" i="2"/>
  <c r="C1069" i="2"/>
  <c r="B1069" i="2"/>
  <c r="A1069" i="2"/>
  <c r="AO1068" i="2"/>
  <c r="AN1068" i="2"/>
  <c r="AM1068" i="2"/>
  <c r="AL1068" i="2"/>
  <c r="AK1068" i="2"/>
  <c r="AJ1068" i="2"/>
  <c r="AI1068" i="2"/>
  <c r="AH1068" i="2"/>
  <c r="AG1068" i="2"/>
  <c r="AF1068" i="2"/>
  <c r="AE1068" i="2"/>
  <c r="AD1068" i="2"/>
  <c r="AC1068" i="2"/>
  <c r="AB1068" i="2"/>
  <c r="AA1068" i="2"/>
  <c r="Z1068" i="2"/>
  <c r="Y1068" i="2"/>
  <c r="X1068" i="2"/>
  <c r="W1068" i="2"/>
  <c r="V1068" i="2"/>
  <c r="U1068" i="2"/>
  <c r="S1068" i="2"/>
  <c r="R1068" i="2"/>
  <c r="Q1068" i="2"/>
  <c r="P1068" i="2"/>
  <c r="O1068" i="2"/>
  <c r="N1068" i="2"/>
  <c r="M1068" i="2"/>
  <c r="L1068" i="2"/>
  <c r="K1068" i="2"/>
  <c r="J1068" i="2"/>
  <c r="I1068" i="2"/>
  <c r="H1068" i="2"/>
  <c r="G1068" i="2"/>
  <c r="F1068" i="2"/>
  <c r="E1068" i="2"/>
  <c r="D1068" i="2"/>
  <c r="C1068" i="2"/>
  <c r="A1068" i="2"/>
  <c r="AO1067" i="2"/>
  <c r="AN1067" i="2"/>
  <c r="AM1067" i="2"/>
  <c r="AK1067" i="2"/>
  <c r="AJ1067" i="2"/>
  <c r="AI1067" i="2"/>
  <c r="AH1067" i="2"/>
  <c r="AG1067" i="2"/>
  <c r="AF1067" i="2"/>
  <c r="AE1067" i="2"/>
  <c r="AC1067" i="2"/>
  <c r="AB1067" i="2"/>
  <c r="AA1067" i="2"/>
  <c r="Z1067" i="2"/>
  <c r="Y1067" i="2"/>
  <c r="X1067" i="2"/>
  <c r="W1067" i="2"/>
  <c r="V1067" i="2"/>
  <c r="U1067" i="2"/>
  <c r="S1067" i="2"/>
  <c r="R1067" i="2"/>
  <c r="Q1067" i="2"/>
  <c r="P1067" i="2"/>
  <c r="O1067" i="2"/>
  <c r="N1067" i="2"/>
  <c r="M1067" i="2"/>
  <c r="L1067" i="2"/>
  <c r="K1067" i="2"/>
  <c r="J1067" i="2"/>
  <c r="I1067" i="2"/>
  <c r="H1067" i="2"/>
  <c r="G1067" i="2"/>
  <c r="F1067" i="2"/>
  <c r="E1067" i="2"/>
  <c r="D1067" i="2"/>
  <c r="C1067" i="2"/>
  <c r="B1067" i="2"/>
  <c r="A1067" i="2"/>
  <c r="AO1066" i="2"/>
  <c r="AN1066" i="2"/>
  <c r="AM1066" i="2"/>
  <c r="AL1066" i="2"/>
  <c r="AK1066" i="2"/>
  <c r="AJ1066" i="2"/>
  <c r="AI1066" i="2"/>
  <c r="AG1066" i="2"/>
  <c r="AF1066" i="2"/>
  <c r="AE1066" i="2"/>
  <c r="AC1066" i="2"/>
  <c r="AB1066" i="2"/>
  <c r="AA1066" i="2"/>
  <c r="X1066" i="2"/>
  <c r="W1066" i="2"/>
  <c r="V1066" i="2"/>
  <c r="U1066" i="2"/>
  <c r="R1066" i="2"/>
  <c r="Q1066" i="2"/>
  <c r="P1066" i="2"/>
  <c r="O1066" i="2"/>
  <c r="N1066" i="2"/>
  <c r="M1066" i="2"/>
  <c r="L1066" i="2"/>
  <c r="K1066" i="2"/>
  <c r="J1066" i="2"/>
  <c r="I1066" i="2"/>
  <c r="H1066" i="2"/>
  <c r="G1066" i="2"/>
  <c r="F1066" i="2"/>
  <c r="E1066" i="2"/>
  <c r="D1066" i="2"/>
  <c r="C1066" i="2"/>
  <c r="B1066" i="2"/>
  <c r="A1066" i="2"/>
  <c r="AO1065" i="2"/>
  <c r="AN1065" i="2"/>
  <c r="AM1065" i="2"/>
  <c r="AL1065" i="2"/>
  <c r="AK1065" i="2"/>
  <c r="AJ1065" i="2"/>
  <c r="AI1065" i="2"/>
  <c r="AH1065" i="2"/>
  <c r="AG1065" i="2"/>
  <c r="AF1065" i="2"/>
  <c r="AE1065" i="2"/>
  <c r="AD1065" i="2"/>
  <c r="AC1065" i="2"/>
  <c r="AB1065" i="2"/>
  <c r="AA1065" i="2"/>
  <c r="Z1065" i="2"/>
  <c r="Y1065" i="2"/>
  <c r="X1065" i="2"/>
  <c r="W1065" i="2"/>
  <c r="V1065" i="2"/>
  <c r="U1065" i="2"/>
  <c r="S1065" i="2"/>
  <c r="R1065" i="2"/>
  <c r="Q1065" i="2"/>
  <c r="P1065" i="2"/>
  <c r="O1065" i="2"/>
  <c r="N1065" i="2"/>
  <c r="M1065" i="2"/>
  <c r="L1065" i="2"/>
  <c r="K1065" i="2"/>
  <c r="J1065" i="2"/>
  <c r="I1065" i="2"/>
  <c r="H1065" i="2"/>
  <c r="G1065" i="2"/>
  <c r="F1065" i="2"/>
  <c r="E1065" i="2"/>
  <c r="D1065" i="2"/>
  <c r="C1065" i="2"/>
  <c r="A1065" i="2"/>
  <c r="AO1064" i="2"/>
  <c r="AN1064" i="2"/>
  <c r="AM1064" i="2"/>
  <c r="AL1064" i="2"/>
  <c r="AK1064" i="2"/>
  <c r="AJ1064" i="2"/>
  <c r="AI1064" i="2"/>
  <c r="AH1064" i="2"/>
  <c r="AG1064" i="2"/>
  <c r="AF1064" i="2"/>
  <c r="AE1064" i="2"/>
  <c r="AD1064" i="2"/>
  <c r="AC1064" i="2"/>
  <c r="AB1064" i="2"/>
  <c r="AA1064" i="2"/>
  <c r="Z1064" i="2"/>
  <c r="Y1064" i="2"/>
  <c r="X1064" i="2"/>
  <c r="W1064" i="2"/>
  <c r="V1064" i="2"/>
  <c r="U1064" i="2"/>
  <c r="S1064" i="2"/>
  <c r="R1064" i="2"/>
  <c r="Q1064" i="2"/>
  <c r="P1064" i="2"/>
  <c r="O1064" i="2"/>
  <c r="N1064" i="2"/>
  <c r="M1064" i="2"/>
  <c r="L1064" i="2"/>
  <c r="K1064" i="2"/>
  <c r="J1064" i="2"/>
  <c r="I1064" i="2"/>
  <c r="H1064" i="2"/>
  <c r="G1064" i="2"/>
  <c r="F1064" i="2"/>
  <c r="E1064" i="2"/>
  <c r="D1064" i="2"/>
  <c r="C1064" i="2"/>
  <c r="B1064" i="2"/>
  <c r="A1064" i="2"/>
  <c r="AO1063" i="2"/>
  <c r="AN1063" i="2"/>
  <c r="AM1063" i="2"/>
  <c r="AK1063" i="2"/>
  <c r="AJ1063" i="2"/>
  <c r="AI1063" i="2"/>
  <c r="AH1063" i="2"/>
  <c r="AG1063" i="2"/>
  <c r="AF1063" i="2"/>
  <c r="AE1063" i="2"/>
  <c r="AD1063" i="2"/>
  <c r="AC1063" i="2"/>
  <c r="AB1063" i="2"/>
  <c r="AA1063" i="2"/>
  <c r="Z1063" i="2"/>
  <c r="Y1063" i="2"/>
  <c r="X1063" i="2"/>
  <c r="W1063" i="2"/>
  <c r="V1063" i="2"/>
  <c r="U1063" i="2"/>
  <c r="S1063" i="2"/>
  <c r="R1063" i="2"/>
  <c r="Q1063" i="2"/>
  <c r="P1063" i="2"/>
  <c r="O1063" i="2"/>
  <c r="N1063" i="2"/>
  <c r="M1063" i="2"/>
  <c r="L1063" i="2"/>
  <c r="K1063" i="2"/>
  <c r="J1063" i="2"/>
  <c r="I1063" i="2"/>
  <c r="H1063" i="2"/>
  <c r="G1063" i="2"/>
  <c r="F1063" i="2"/>
  <c r="E1063" i="2"/>
  <c r="D1063" i="2"/>
  <c r="C1063" i="2"/>
  <c r="A1063" i="2"/>
  <c r="AO1062" i="2"/>
  <c r="AN1062" i="2"/>
  <c r="AM1062" i="2"/>
  <c r="AL1062" i="2"/>
  <c r="AK1062" i="2"/>
  <c r="AJ1062" i="2"/>
  <c r="AI1062" i="2"/>
  <c r="AH1062" i="2"/>
  <c r="AG1062" i="2"/>
  <c r="AF1062" i="2"/>
  <c r="AE1062" i="2"/>
  <c r="AD1062" i="2"/>
  <c r="AC1062" i="2"/>
  <c r="AB1062" i="2"/>
  <c r="AA1062" i="2"/>
  <c r="Z1062" i="2"/>
  <c r="Y1062" i="2"/>
  <c r="X1062" i="2"/>
  <c r="W1062" i="2"/>
  <c r="V1062" i="2"/>
  <c r="U1062" i="2"/>
  <c r="S1062" i="2"/>
  <c r="R1062" i="2"/>
  <c r="Q1062" i="2"/>
  <c r="P1062" i="2"/>
  <c r="O1062" i="2"/>
  <c r="N1062" i="2"/>
  <c r="M1062" i="2"/>
  <c r="L1062" i="2"/>
  <c r="K1062" i="2"/>
  <c r="J1062" i="2"/>
  <c r="I1062" i="2"/>
  <c r="H1062" i="2"/>
  <c r="G1062" i="2"/>
  <c r="F1062" i="2"/>
  <c r="E1062" i="2"/>
  <c r="D1062" i="2"/>
  <c r="C1062" i="2"/>
  <c r="B1062" i="2"/>
  <c r="A1062" i="2"/>
  <c r="AO1061" i="2"/>
  <c r="AN1061" i="2"/>
  <c r="AM1061" i="2"/>
  <c r="AL1061" i="2"/>
  <c r="AK1061" i="2"/>
  <c r="AJ1061" i="2"/>
  <c r="AI1061" i="2"/>
  <c r="AH1061" i="2"/>
  <c r="AG1061" i="2"/>
  <c r="AF1061" i="2"/>
  <c r="AE1061" i="2"/>
  <c r="AD1061" i="2"/>
  <c r="AC1061" i="2"/>
  <c r="AB1061" i="2"/>
  <c r="AA1061" i="2"/>
  <c r="Z1061" i="2"/>
  <c r="Y1061" i="2"/>
  <c r="X1061" i="2"/>
  <c r="W1061" i="2"/>
  <c r="V1061" i="2"/>
  <c r="U1061" i="2"/>
  <c r="S1061" i="2"/>
  <c r="R1061" i="2"/>
  <c r="Q1061" i="2"/>
  <c r="P1061" i="2"/>
  <c r="O1061" i="2"/>
  <c r="N1061" i="2"/>
  <c r="M1061" i="2"/>
  <c r="L1061" i="2"/>
  <c r="K1061" i="2"/>
  <c r="J1061" i="2"/>
  <c r="I1061" i="2"/>
  <c r="H1061" i="2"/>
  <c r="G1061" i="2"/>
  <c r="F1061" i="2"/>
  <c r="E1061" i="2"/>
  <c r="D1061" i="2"/>
  <c r="C1061" i="2"/>
  <c r="A1061" i="2"/>
  <c r="AO1060" i="2"/>
  <c r="AN1060" i="2"/>
  <c r="AM1060" i="2"/>
  <c r="AK1060" i="2"/>
  <c r="AJ1060" i="2"/>
  <c r="AI1060" i="2"/>
  <c r="AH1060" i="2"/>
  <c r="AG1060" i="2"/>
  <c r="AF1060" i="2"/>
  <c r="AE1060" i="2"/>
  <c r="AD1060" i="2"/>
  <c r="AC1060" i="2"/>
  <c r="AB1060" i="2"/>
  <c r="AA1060" i="2"/>
  <c r="Z1060" i="2"/>
  <c r="Y1060" i="2"/>
  <c r="X1060" i="2"/>
  <c r="W1060" i="2"/>
  <c r="V1060" i="2"/>
  <c r="U1060" i="2"/>
  <c r="S1060" i="2"/>
  <c r="R1060" i="2"/>
  <c r="Q1060" i="2"/>
  <c r="P1060" i="2"/>
  <c r="O1060" i="2"/>
  <c r="N1060" i="2"/>
  <c r="M1060" i="2"/>
  <c r="L1060" i="2"/>
  <c r="K1060" i="2"/>
  <c r="J1060" i="2"/>
  <c r="I1060" i="2"/>
  <c r="H1060" i="2"/>
  <c r="G1060" i="2"/>
  <c r="F1060" i="2"/>
  <c r="E1060" i="2"/>
  <c r="D1060" i="2"/>
  <c r="C1060" i="2"/>
  <c r="A1060" i="2"/>
  <c r="AO1059" i="2"/>
  <c r="AN1059" i="2"/>
  <c r="AM1059" i="2"/>
  <c r="AL1059" i="2"/>
  <c r="AK1059" i="2"/>
  <c r="AJ1059" i="2"/>
  <c r="AI1059" i="2"/>
  <c r="AG1059" i="2"/>
  <c r="AF1059" i="2"/>
  <c r="AE1059" i="2"/>
  <c r="AC1059" i="2"/>
  <c r="AB1059" i="2"/>
  <c r="AA1059" i="2"/>
  <c r="X1059" i="2"/>
  <c r="W1059" i="2"/>
  <c r="V1059" i="2"/>
  <c r="U1059" i="2"/>
  <c r="R1059" i="2"/>
  <c r="Q1059" i="2"/>
  <c r="P1059" i="2"/>
  <c r="O1059" i="2"/>
  <c r="N1059" i="2"/>
  <c r="M1059" i="2"/>
  <c r="L1059" i="2"/>
  <c r="K1059" i="2"/>
  <c r="J1059" i="2"/>
  <c r="I1059" i="2"/>
  <c r="H1059" i="2"/>
  <c r="G1059" i="2"/>
  <c r="F1059" i="2"/>
  <c r="E1059" i="2"/>
  <c r="D1059" i="2"/>
  <c r="C1059" i="2"/>
  <c r="B1059" i="2"/>
  <c r="A1059" i="2"/>
  <c r="AO1058" i="2"/>
  <c r="AN1058" i="2"/>
  <c r="AM1058" i="2"/>
  <c r="AK1058" i="2"/>
  <c r="AJ1058" i="2"/>
  <c r="AI1058" i="2"/>
  <c r="AH1058" i="2"/>
  <c r="AG1058" i="2"/>
  <c r="AF1058" i="2"/>
  <c r="AE1058" i="2"/>
  <c r="AC1058" i="2"/>
  <c r="AB1058" i="2"/>
  <c r="AA1058" i="2"/>
  <c r="Z1058" i="2"/>
  <c r="Y1058" i="2"/>
  <c r="X1058" i="2"/>
  <c r="W1058" i="2"/>
  <c r="V1058" i="2"/>
  <c r="U1058" i="2"/>
  <c r="S1058" i="2"/>
  <c r="R1058" i="2"/>
  <c r="Q1058" i="2"/>
  <c r="P1058" i="2"/>
  <c r="O1058" i="2"/>
  <c r="N1058" i="2"/>
  <c r="M1058" i="2"/>
  <c r="L1058" i="2"/>
  <c r="K1058" i="2"/>
  <c r="J1058" i="2"/>
  <c r="I1058" i="2"/>
  <c r="H1058" i="2"/>
  <c r="G1058" i="2"/>
  <c r="F1058" i="2"/>
  <c r="E1058" i="2"/>
  <c r="D1058" i="2"/>
  <c r="C1058" i="2"/>
  <c r="B1058" i="2"/>
  <c r="A1058" i="2"/>
  <c r="AO1057" i="2"/>
  <c r="AN1057" i="2"/>
  <c r="AM1057" i="2"/>
  <c r="AK1057" i="2"/>
  <c r="AJ1057" i="2"/>
  <c r="AI1057" i="2"/>
  <c r="AH1057" i="2"/>
  <c r="AG1057" i="2"/>
  <c r="AF1057" i="2"/>
  <c r="AE1057" i="2"/>
  <c r="AD1057" i="2"/>
  <c r="AC1057" i="2"/>
  <c r="AB1057" i="2"/>
  <c r="AA1057" i="2"/>
  <c r="Z1057" i="2"/>
  <c r="Y1057" i="2"/>
  <c r="X1057" i="2"/>
  <c r="W1057" i="2"/>
  <c r="V1057" i="2"/>
  <c r="U1057" i="2"/>
  <c r="S1057" i="2"/>
  <c r="R1057" i="2"/>
  <c r="Q1057" i="2"/>
  <c r="P1057" i="2"/>
  <c r="O1057" i="2"/>
  <c r="N1057" i="2"/>
  <c r="M1057" i="2"/>
  <c r="L1057" i="2"/>
  <c r="K1057" i="2"/>
  <c r="J1057" i="2"/>
  <c r="I1057" i="2"/>
  <c r="H1057" i="2"/>
  <c r="G1057" i="2"/>
  <c r="F1057" i="2"/>
  <c r="E1057" i="2"/>
  <c r="D1057" i="2"/>
  <c r="C1057" i="2"/>
  <c r="B1057" i="2"/>
  <c r="A1057" i="2"/>
  <c r="AO1056" i="2"/>
  <c r="AN1056" i="2"/>
  <c r="AM1056" i="2"/>
  <c r="AK1056" i="2"/>
  <c r="AJ1056" i="2"/>
  <c r="AI1056" i="2"/>
  <c r="AH1056" i="2"/>
  <c r="AG1056" i="2"/>
  <c r="AF1056" i="2"/>
  <c r="AE1056" i="2"/>
  <c r="AD1056" i="2"/>
  <c r="AC1056" i="2"/>
  <c r="AB1056" i="2"/>
  <c r="AA1056" i="2"/>
  <c r="Z1056" i="2"/>
  <c r="Y1056" i="2"/>
  <c r="X1056" i="2"/>
  <c r="W1056" i="2"/>
  <c r="V1056" i="2"/>
  <c r="U1056" i="2"/>
  <c r="S1056" i="2"/>
  <c r="R1056" i="2"/>
  <c r="Q1056" i="2"/>
  <c r="P1056" i="2"/>
  <c r="O1056" i="2"/>
  <c r="N1056" i="2"/>
  <c r="M1056" i="2"/>
  <c r="L1056" i="2"/>
  <c r="K1056" i="2"/>
  <c r="J1056" i="2"/>
  <c r="I1056" i="2"/>
  <c r="H1056" i="2"/>
  <c r="G1056" i="2"/>
  <c r="F1056" i="2"/>
  <c r="E1056" i="2"/>
  <c r="D1056" i="2"/>
  <c r="C1056" i="2"/>
  <c r="A1056" i="2"/>
  <c r="AO1055" i="2"/>
  <c r="AN1055" i="2"/>
  <c r="AM1055" i="2"/>
  <c r="AL1055" i="2"/>
  <c r="AK1055" i="2"/>
  <c r="AJ1055" i="2"/>
  <c r="AI1055" i="2"/>
  <c r="AH1055" i="2"/>
  <c r="AG1055" i="2"/>
  <c r="AF1055" i="2"/>
  <c r="AE1055" i="2"/>
  <c r="AD1055" i="2"/>
  <c r="AC1055" i="2"/>
  <c r="AB1055" i="2"/>
  <c r="AA1055" i="2"/>
  <c r="Z1055" i="2"/>
  <c r="Y1055" i="2"/>
  <c r="X1055" i="2"/>
  <c r="W1055" i="2"/>
  <c r="V1055" i="2"/>
  <c r="U1055" i="2"/>
  <c r="S1055" i="2"/>
  <c r="R1055" i="2"/>
  <c r="Q1055" i="2"/>
  <c r="P1055" i="2"/>
  <c r="O1055" i="2"/>
  <c r="N1055" i="2"/>
  <c r="M1055" i="2"/>
  <c r="L1055" i="2"/>
  <c r="K1055" i="2"/>
  <c r="J1055" i="2"/>
  <c r="I1055" i="2"/>
  <c r="H1055" i="2"/>
  <c r="G1055" i="2"/>
  <c r="F1055" i="2"/>
  <c r="E1055" i="2"/>
  <c r="D1055" i="2"/>
  <c r="C1055" i="2"/>
  <c r="B1055" i="2"/>
  <c r="A1055" i="2"/>
  <c r="AO1054" i="2"/>
  <c r="AN1054" i="2"/>
  <c r="AM1054" i="2"/>
  <c r="AK1054" i="2"/>
  <c r="AJ1054" i="2"/>
  <c r="AI1054" i="2"/>
  <c r="AH1054" i="2"/>
  <c r="AG1054" i="2"/>
  <c r="AF1054" i="2"/>
  <c r="AE1054" i="2"/>
  <c r="AD1054" i="2"/>
  <c r="AC1054" i="2"/>
  <c r="AB1054" i="2"/>
  <c r="AA1054" i="2"/>
  <c r="Z1054" i="2"/>
  <c r="Y1054" i="2"/>
  <c r="X1054" i="2"/>
  <c r="W1054" i="2"/>
  <c r="V1054" i="2"/>
  <c r="U1054" i="2"/>
  <c r="S1054" i="2"/>
  <c r="R1054" i="2"/>
  <c r="Q1054" i="2"/>
  <c r="P1054" i="2"/>
  <c r="O1054" i="2"/>
  <c r="N1054" i="2"/>
  <c r="M1054" i="2"/>
  <c r="L1054" i="2"/>
  <c r="K1054" i="2"/>
  <c r="J1054" i="2"/>
  <c r="I1054" i="2"/>
  <c r="H1054" i="2"/>
  <c r="G1054" i="2"/>
  <c r="F1054" i="2"/>
  <c r="E1054" i="2"/>
  <c r="D1054" i="2"/>
  <c r="C1054" i="2"/>
  <c r="B1054" i="2"/>
  <c r="A1054" i="2"/>
  <c r="AO1053" i="2"/>
  <c r="AN1053" i="2"/>
  <c r="AM1053" i="2"/>
  <c r="AK1053" i="2"/>
  <c r="AJ1053" i="2"/>
  <c r="AI1053" i="2"/>
  <c r="AG1053" i="2"/>
  <c r="AF1053" i="2"/>
  <c r="AE1053" i="2"/>
  <c r="AC1053" i="2"/>
  <c r="AB1053" i="2"/>
  <c r="AA1053" i="2"/>
  <c r="X1053" i="2"/>
  <c r="W1053" i="2"/>
  <c r="V1053" i="2"/>
  <c r="U1053" i="2"/>
  <c r="R1053" i="2"/>
  <c r="Q1053" i="2"/>
  <c r="P1053" i="2"/>
  <c r="O1053" i="2"/>
  <c r="N1053" i="2"/>
  <c r="M1053" i="2"/>
  <c r="L1053" i="2"/>
  <c r="K1053" i="2"/>
  <c r="J1053" i="2"/>
  <c r="I1053" i="2"/>
  <c r="H1053" i="2"/>
  <c r="G1053" i="2"/>
  <c r="F1053" i="2"/>
  <c r="E1053" i="2"/>
  <c r="D1053" i="2"/>
  <c r="C1053" i="2"/>
  <c r="A1053" i="2"/>
  <c r="AO1052" i="2"/>
  <c r="AN1052" i="2"/>
  <c r="AM1052" i="2"/>
  <c r="AL1052" i="2"/>
  <c r="AK1052" i="2"/>
  <c r="AJ1052" i="2"/>
  <c r="AI1052" i="2"/>
  <c r="AG1052" i="2"/>
  <c r="AF1052" i="2"/>
  <c r="AE1052" i="2"/>
  <c r="AC1052" i="2"/>
  <c r="AB1052" i="2"/>
  <c r="AA1052" i="2"/>
  <c r="X1052" i="2"/>
  <c r="W1052" i="2"/>
  <c r="V1052" i="2"/>
  <c r="U1052" i="2"/>
  <c r="R1052" i="2"/>
  <c r="Q1052" i="2"/>
  <c r="P1052" i="2"/>
  <c r="O1052" i="2"/>
  <c r="N1052" i="2"/>
  <c r="M1052" i="2"/>
  <c r="L1052" i="2"/>
  <c r="K1052" i="2"/>
  <c r="J1052" i="2"/>
  <c r="I1052" i="2"/>
  <c r="H1052" i="2"/>
  <c r="G1052" i="2"/>
  <c r="F1052" i="2"/>
  <c r="E1052" i="2"/>
  <c r="D1052" i="2"/>
  <c r="C1052" i="2"/>
  <c r="A1052" i="2"/>
  <c r="AO1051" i="2"/>
  <c r="AN1051" i="2"/>
  <c r="AM1051" i="2"/>
  <c r="AL1051" i="2"/>
  <c r="AK1051" i="2"/>
  <c r="AJ1051" i="2"/>
  <c r="AI1051" i="2"/>
  <c r="AH1051" i="2"/>
  <c r="AG1051" i="2"/>
  <c r="AF1051" i="2"/>
  <c r="AE1051" i="2"/>
  <c r="AD1051" i="2"/>
  <c r="AC1051" i="2"/>
  <c r="AB1051" i="2"/>
  <c r="AA1051" i="2"/>
  <c r="Z1051" i="2"/>
  <c r="Y1051" i="2"/>
  <c r="X1051" i="2"/>
  <c r="W1051" i="2"/>
  <c r="V1051" i="2"/>
  <c r="U1051" i="2"/>
  <c r="S1051" i="2"/>
  <c r="R1051" i="2"/>
  <c r="Q1051" i="2"/>
  <c r="P1051" i="2"/>
  <c r="O1051" i="2"/>
  <c r="N1051" i="2"/>
  <c r="M1051" i="2"/>
  <c r="L1051" i="2"/>
  <c r="K1051" i="2"/>
  <c r="J1051" i="2"/>
  <c r="I1051" i="2"/>
  <c r="H1051" i="2"/>
  <c r="G1051" i="2"/>
  <c r="F1051" i="2"/>
  <c r="E1051" i="2"/>
  <c r="D1051" i="2"/>
  <c r="C1051" i="2"/>
  <c r="B1051" i="2"/>
  <c r="A1051" i="2"/>
  <c r="AO1050" i="2"/>
  <c r="AN1050" i="2"/>
  <c r="AM1050" i="2"/>
  <c r="AL1050" i="2"/>
  <c r="AK1050" i="2"/>
  <c r="AJ1050" i="2"/>
  <c r="AI1050" i="2"/>
  <c r="AH1050" i="2"/>
  <c r="AG1050" i="2"/>
  <c r="AF1050" i="2"/>
  <c r="AE1050" i="2"/>
  <c r="AC1050" i="2"/>
  <c r="AB1050" i="2"/>
  <c r="AA1050" i="2"/>
  <c r="Y1050" i="2"/>
  <c r="X1050" i="2"/>
  <c r="W1050" i="2"/>
  <c r="V1050" i="2"/>
  <c r="U1050" i="2"/>
  <c r="S1050" i="2"/>
  <c r="R1050" i="2"/>
  <c r="Q1050" i="2"/>
  <c r="P1050" i="2"/>
  <c r="O1050" i="2"/>
  <c r="N1050" i="2"/>
  <c r="M1050" i="2"/>
  <c r="L1050" i="2"/>
  <c r="K1050" i="2"/>
  <c r="J1050" i="2"/>
  <c r="I1050" i="2"/>
  <c r="H1050" i="2"/>
  <c r="G1050" i="2"/>
  <c r="F1050" i="2"/>
  <c r="E1050" i="2"/>
  <c r="D1050" i="2"/>
  <c r="C1050" i="2"/>
  <c r="A1050" i="2"/>
  <c r="AO1049" i="2"/>
  <c r="AN1049" i="2"/>
  <c r="AM1049" i="2"/>
  <c r="AL1049" i="2"/>
  <c r="AK1049" i="2"/>
  <c r="AJ1049" i="2"/>
  <c r="AI1049" i="2"/>
  <c r="AH1049" i="2"/>
  <c r="AG1049" i="2"/>
  <c r="AF1049" i="2"/>
  <c r="AE1049" i="2"/>
  <c r="AD1049" i="2"/>
  <c r="AC1049" i="2"/>
  <c r="AB1049" i="2"/>
  <c r="AA1049" i="2"/>
  <c r="Z1049" i="2"/>
  <c r="Y1049" i="2"/>
  <c r="X1049" i="2"/>
  <c r="W1049" i="2"/>
  <c r="V1049" i="2"/>
  <c r="U1049" i="2"/>
  <c r="S1049" i="2"/>
  <c r="R1049" i="2"/>
  <c r="Q1049" i="2"/>
  <c r="P1049" i="2"/>
  <c r="O1049" i="2"/>
  <c r="N1049" i="2"/>
  <c r="M1049" i="2"/>
  <c r="L1049" i="2"/>
  <c r="K1049" i="2"/>
  <c r="J1049" i="2"/>
  <c r="I1049" i="2"/>
  <c r="H1049" i="2"/>
  <c r="G1049" i="2"/>
  <c r="F1049" i="2"/>
  <c r="E1049" i="2"/>
  <c r="D1049" i="2"/>
  <c r="C1049" i="2"/>
  <c r="B1049" i="2"/>
  <c r="A1049" i="2"/>
  <c r="AO1048" i="2"/>
  <c r="AN1048" i="2"/>
  <c r="AM1048" i="2"/>
  <c r="AK1048" i="2"/>
  <c r="AJ1048" i="2"/>
  <c r="AI1048" i="2"/>
  <c r="AH1048" i="2"/>
  <c r="AG1048" i="2"/>
  <c r="AF1048" i="2"/>
  <c r="AE1048" i="2"/>
  <c r="AD1048" i="2"/>
  <c r="AC1048" i="2"/>
  <c r="AB1048" i="2"/>
  <c r="AA1048" i="2"/>
  <c r="Z1048" i="2"/>
  <c r="Y1048" i="2"/>
  <c r="X1048" i="2"/>
  <c r="W1048" i="2"/>
  <c r="V1048" i="2"/>
  <c r="U1048" i="2"/>
  <c r="S1048" i="2"/>
  <c r="R1048" i="2"/>
  <c r="Q1048" i="2"/>
  <c r="P1048" i="2"/>
  <c r="O1048" i="2"/>
  <c r="N1048" i="2"/>
  <c r="M1048" i="2"/>
  <c r="L1048" i="2"/>
  <c r="K1048" i="2"/>
  <c r="J1048" i="2"/>
  <c r="I1048" i="2"/>
  <c r="H1048" i="2"/>
  <c r="G1048" i="2"/>
  <c r="F1048" i="2"/>
  <c r="E1048" i="2"/>
  <c r="D1048" i="2"/>
  <c r="C1048" i="2"/>
  <c r="A1048" i="2"/>
  <c r="AO1047" i="2"/>
  <c r="AN1047" i="2"/>
  <c r="AM1047" i="2"/>
  <c r="AK1047" i="2"/>
  <c r="AJ1047" i="2"/>
  <c r="AI1047" i="2"/>
  <c r="AH1047" i="2"/>
  <c r="AG1047" i="2"/>
  <c r="AF1047" i="2"/>
  <c r="AE1047" i="2"/>
  <c r="AD1047" i="2"/>
  <c r="AC1047" i="2"/>
  <c r="AB1047" i="2"/>
  <c r="AA1047" i="2"/>
  <c r="Z1047" i="2"/>
  <c r="Y1047" i="2"/>
  <c r="X1047" i="2"/>
  <c r="W1047" i="2"/>
  <c r="V1047" i="2"/>
  <c r="U1047" i="2"/>
  <c r="S1047" i="2"/>
  <c r="R1047" i="2"/>
  <c r="Q1047" i="2"/>
  <c r="P1047" i="2"/>
  <c r="O1047" i="2"/>
  <c r="N1047" i="2"/>
  <c r="M1047" i="2"/>
  <c r="L1047" i="2"/>
  <c r="K1047" i="2"/>
  <c r="J1047" i="2"/>
  <c r="I1047" i="2"/>
  <c r="H1047" i="2"/>
  <c r="G1047" i="2"/>
  <c r="F1047" i="2"/>
  <c r="E1047" i="2"/>
  <c r="D1047" i="2"/>
  <c r="C1047" i="2"/>
  <c r="A1047" i="2"/>
  <c r="AO1046" i="2"/>
  <c r="AN1046" i="2"/>
  <c r="AM1046" i="2"/>
  <c r="AL1046" i="2"/>
  <c r="AK1046" i="2"/>
  <c r="AJ1046" i="2"/>
  <c r="AI1046" i="2"/>
  <c r="AH1046" i="2"/>
  <c r="AG1046" i="2"/>
  <c r="AF1046" i="2"/>
  <c r="AE1046" i="2"/>
  <c r="AD1046" i="2"/>
  <c r="AC1046" i="2"/>
  <c r="AB1046" i="2"/>
  <c r="AA1046" i="2"/>
  <c r="Z1046" i="2"/>
  <c r="Y1046" i="2"/>
  <c r="X1046" i="2"/>
  <c r="W1046" i="2"/>
  <c r="V1046" i="2"/>
  <c r="U1046" i="2"/>
  <c r="S1046" i="2"/>
  <c r="R1046" i="2"/>
  <c r="Q1046" i="2"/>
  <c r="P1046" i="2"/>
  <c r="O1046" i="2"/>
  <c r="N1046" i="2"/>
  <c r="M1046" i="2"/>
  <c r="L1046" i="2"/>
  <c r="K1046" i="2"/>
  <c r="J1046" i="2"/>
  <c r="I1046" i="2"/>
  <c r="H1046" i="2"/>
  <c r="G1046" i="2"/>
  <c r="F1046" i="2"/>
  <c r="E1046" i="2"/>
  <c r="D1046" i="2"/>
  <c r="C1046" i="2"/>
  <c r="A1046" i="2"/>
  <c r="AO1045" i="2"/>
  <c r="AN1045" i="2"/>
  <c r="AM1045" i="2"/>
  <c r="AL1045" i="2"/>
  <c r="AK1045" i="2"/>
  <c r="AJ1045" i="2"/>
  <c r="AI1045" i="2"/>
  <c r="AH1045" i="2"/>
  <c r="AG1045" i="2"/>
  <c r="AF1045" i="2"/>
  <c r="AE1045" i="2"/>
  <c r="AD1045" i="2"/>
  <c r="AC1045" i="2"/>
  <c r="AB1045" i="2"/>
  <c r="AA1045" i="2"/>
  <c r="Z1045" i="2"/>
  <c r="Y1045" i="2"/>
  <c r="X1045" i="2"/>
  <c r="W1045" i="2"/>
  <c r="V1045" i="2"/>
  <c r="U1045" i="2"/>
  <c r="S1045" i="2"/>
  <c r="R1045" i="2"/>
  <c r="Q1045" i="2"/>
  <c r="P1045" i="2"/>
  <c r="O1045" i="2"/>
  <c r="N1045" i="2"/>
  <c r="M1045" i="2"/>
  <c r="L1045" i="2"/>
  <c r="K1045" i="2"/>
  <c r="J1045" i="2"/>
  <c r="I1045" i="2"/>
  <c r="H1045" i="2"/>
  <c r="G1045" i="2"/>
  <c r="F1045" i="2"/>
  <c r="E1045" i="2"/>
  <c r="D1045" i="2"/>
  <c r="C1045" i="2"/>
  <c r="B1045" i="2"/>
  <c r="A1045" i="2"/>
  <c r="AO1044" i="2"/>
  <c r="AN1044" i="2"/>
  <c r="AM1044" i="2"/>
  <c r="AL1044" i="2"/>
  <c r="AK1044" i="2"/>
  <c r="AJ1044" i="2"/>
  <c r="AI1044" i="2"/>
  <c r="AH1044" i="2"/>
  <c r="AG1044" i="2"/>
  <c r="AF1044" i="2"/>
  <c r="AE1044" i="2"/>
  <c r="AC1044" i="2"/>
  <c r="AB1044" i="2"/>
  <c r="AA1044" i="2"/>
  <c r="Z1044" i="2"/>
  <c r="Y1044" i="2"/>
  <c r="X1044" i="2"/>
  <c r="W1044" i="2"/>
  <c r="V1044" i="2"/>
  <c r="U1044" i="2"/>
  <c r="S1044" i="2"/>
  <c r="R1044" i="2"/>
  <c r="Q1044" i="2"/>
  <c r="P1044" i="2"/>
  <c r="O1044" i="2"/>
  <c r="N1044" i="2"/>
  <c r="M1044" i="2"/>
  <c r="L1044" i="2"/>
  <c r="K1044" i="2"/>
  <c r="J1044" i="2"/>
  <c r="I1044" i="2"/>
  <c r="H1044" i="2"/>
  <c r="G1044" i="2"/>
  <c r="F1044" i="2"/>
  <c r="E1044" i="2"/>
  <c r="D1044" i="2"/>
  <c r="C1044" i="2"/>
  <c r="B1044" i="2"/>
  <c r="A1044" i="2"/>
  <c r="AO1043" i="2"/>
  <c r="AN1043" i="2"/>
  <c r="AM1043" i="2"/>
  <c r="AL1043" i="2"/>
  <c r="AK1043" i="2"/>
  <c r="AJ1043" i="2"/>
  <c r="AI1043" i="2"/>
  <c r="AG1043" i="2"/>
  <c r="AF1043" i="2"/>
  <c r="AE1043" i="2"/>
  <c r="AC1043" i="2"/>
  <c r="AB1043" i="2"/>
  <c r="AA1043" i="2"/>
  <c r="X1043" i="2"/>
  <c r="W1043" i="2"/>
  <c r="V1043" i="2"/>
  <c r="U1043" i="2"/>
  <c r="R1043" i="2"/>
  <c r="Q1043" i="2"/>
  <c r="P1043" i="2"/>
  <c r="O1043" i="2"/>
  <c r="N1043" i="2"/>
  <c r="M1043" i="2"/>
  <c r="L1043" i="2"/>
  <c r="K1043" i="2"/>
  <c r="J1043" i="2"/>
  <c r="I1043" i="2"/>
  <c r="H1043" i="2"/>
  <c r="G1043" i="2"/>
  <c r="F1043" i="2"/>
  <c r="E1043" i="2"/>
  <c r="D1043" i="2"/>
  <c r="C1043" i="2"/>
  <c r="A1043" i="2"/>
  <c r="AO1042" i="2"/>
  <c r="AN1042" i="2"/>
  <c r="AM1042" i="2"/>
  <c r="AK1042" i="2"/>
  <c r="AJ1042" i="2"/>
  <c r="AI1042" i="2"/>
  <c r="AH1042" i="2"/>
  <c r="AG1042" i="2"/>
  <c r="AF1042" i="2"/>
  <c r="AE1042" i="2"/>
  <c r="AD1042" i="2"/>
  <c r="AC1042" i="2"/>
  <c r="AB1042" i="2"/>
  <c r="AA1042" i="2"/>
  <c r="Z1042" i="2"/>
  <c r="Y1042" i="2"/>
  <c r="X1042" i="2"/>
  <c r="W1042" i="2"/>
  <c r="V1042" i="2"/>
  <c r="U1042" i="2"/>
  <c r="S1042" i="2"/>
  <c r="R1042" i="2"/>
  <c r="Q1042" i="2"/>
  <c r="P1042" i="2"/>
  <c r="O1042" i="2"/>
  <c r="N1042" i="2"/>
  <c r="M1042" i="2"/>
  <c r="L1042" i="2"/>
  <c r="K1042" i="2"/>
  <c r="J1042" i="2"/>
  <c r="I1042" i="2"/>
  <c r="H1042" i="2"/>
  <c r="G1042" i="2"/>
  <c r="F1042" i="2"/>
  <c r="E1042" i="2"/>
  <c r="D1042" i="2"/>
  <c r="C1042" i="2"/>
  <c r="A1042" i="2"/>
  <c r="AO1041" i="2"/>
  <c r="AN1041" i="2"/>
  <c r="AM1041" i="2"/>
  <c r="AK1041" i="2"/>
  <c r="AJ1041" i="2"/>
  <c r="AI1041" i="2"/>
  <c r="AH1041" i="2"/>
  <c r="AG1041" i="2"/>
  <c r="AF1041" i="2"/>
  <c r="AE1041" i="2"/>
  <c r="AC1041" i="2"/>
  <c r="AB1041" i="2"/>
  <c r="AA1041" i="2"/>
  <c r="Y1041" i="2"/>
  <c r="X1041" i="2"/>
  <c r="W1041" i="2"/>
  <c r="V1041" i="2"/>
  <c r="U1041" i="2"/>
  <c r="S1041" i="2"/>
  <c r="R1041" i="2"/>
  <c r="Q1041" i="2"/>
  <c r="P1041" i="2"/>
  <c r="O1041" i="2"/>
  <c r="N1041" i="2"/>
  <c r="M1041" i="2"/>
  <c r="L1041" i="2"/>
  <c r="K1041" i="2"/>
  <c r="J1041" i="2"/>
  <c r="I1041" i="2"/>
  <c r="H1041" i="2"/>
  <c r="G1041" i="2"/>
  <c r="F1041" i="2"/>
  <c r="E1041" i="2"/>
  <c r="D1041" i="2"/>
  <c r="C1041" i="2"/>
  <c r="A1041" i="2"/>
  <c r="AO1040" i="2"/>
  <c r="AN1040" i="2"/>
  <c r="AM1040" i="2"/>
  <c r="AL1040" i="2"/>
  <c r="AK1040" i="2"/>
  <c r="AJ1040" i="2"/>
  <c r="AI1040" i="2"/>
  <c r="AH1040" i="2"/>
  <c r="AG1040" i="2"/>
  <c r="AF1040" i="2"/>
  <c r="AE1040" i="2"/>
  <c r="AC1040" i="2"/>
  <c r="AB1040" i="2"/>
  <c r="AA1040" i="2"/>
  <c r="Z1040" i="2"/>
  <c r="Y1040" i="2"/>
  <c r="X1040" i="2"/>
  <c r="W1040" i="2"/>
  <c r="V1040" i="2"/>
  <c r="U1040" i="2"/>
  <c r="S1040" i="2"/>
  <c r="R1040" i="2"/>
  <c r="Q1040" i="2"/>
  <c r="P1040" i="2"/>
  <c r="O1040" i="2"/>
  <c r="N1040" i="2"/>
  <c r="M1040" i="2"/>
  <c r="L1040" i="2"/>
  <c r="K1040" i="2"/>
  <c r="J1040" i="2"/>
  <c r="I1040" i="2"/>
  <c r="H1040" i="2"/>
  <c r="G1040" i="2"/>
  <c r="F1040" i="2"/>
  <c r="E1040" i="2"/>
  <c r="D1040" i="2"/>
  <c r="C1040" i="2"/>
  <c r="B1040" i="2"/>
  <c r="A1040" i="2"/>
  <c r="AO1039" i="2"/>
  <c r="AN1039" i="2"/>
  <c r="AM1039" i="2"/>
  <c r="AK1039" i="2"/>
  <c r="AJ1039" i="2"/>
  <c r="AI1039" i="2"/>
  <c r="AH1039" i="2"/>
  <c r="AG1039" i="2"/>
  <c r="AF1039" i="2"/>
  <c r="AE1039" i="2"/>
  <c r="AD1039" i="2"/>
  <c r="AC1039" i="2"/>
  <c r="AB1039" i="2"/>
  <c r="AA1039" i="2"/>
  <c r="Z1039" i="2"/>
  <c r="Y1039" i="2"/>
  <c r="X1039" i="2"/>
  <c r="W1039" i="2"/>
  <c r="V1039" i="2"/>
  <c r="U1039" i="2"/>
  <c r="S1039" i="2"/>
  <c r="R1039" i="2"/>
  <c r="Q1039" i="2"/>
  <c r="P1039" i="2"/>
  <c r="O1039" i="2"/>
  <c r="N1039" i="2"/>
  <c r="M1039" i="2"/>
  <c r="L1039" i="2"/>
  <c r="K1039" i="2"/>
  <c r="J1039" i="2"/>
  <c r="I1039" i="2"/>
  <c r="H1039" i="2"/>
  <c r="G1039" i="2"/>
  <c r="F1039" i="2"/>
  <c r="E1039" i="2"/>
  <c r="D1039" i="2"/>
  <c r="C1039" i="2"/>
  <c r="B1039" i="2"/>
  <c r="A1039" i="2"/>
  <c r="AO1038" i="2"/>
  <c r="AN1038" i="2"/>
  <c r="AM1038" i="2"/>
  <c r="AK1038" i="2"/>
  <c r="AJ1038" i="2"/>
  <c r="AI1038" i="2"/>
  <c r="AH1038" i="2"/>
  <c r="AG1038" i="2"/>
  <c r="AF1038" i="2"/>
  <c r="AE1038" i="2"/>
  <c r="AD1038" i="2"/>
  <c r="AC1038" i="2"/>
  <c r="AB1038" i="2"/>
  <c r="AA1038" i="2"/>
  <c r="Z1038" i="2"/>
  <c r="Y1038" i="2"/>
  <c r="X1038" i="2"/>
  <c r="W1038" i="2"/>
  <c r="V1038" i="2"/>
  <c r="U1038" i="2"/>
  <c r="S1038" i="2"/>
  <c r="R1038" i="2"/>
  <c r="Q1038" i="2"/>
  <c r="P1038" i="2"/>
  <c r="O1038" i="2"/>
  <c r="N1038" i="2"/>
  <c r="M1038" i="2"/>
  <c r="L1038" i="2"/>
  <c r="K1038" i="2"/>
  <c r="J1038" i="2"/>
  <c r="I1038" i="2"/>
  <c r="H1038" i="2"/>
  <c r="G1038" i="2"/>
  <c r="F1038" i="2"/>
  <c r="E1038" i="2"/>
  <c r="D1038" i="2"/>
  <c r="C1038" i="2"/>
  <c r="A1038" i="2"/>
  <c r="AO1037" i="2"/>
  <c r="AN1037" i="2"/>
  <c r="AM1037" i="2"/>
  <c r="AL1037" i="2"/>
  <c r="AK1037" i="2"/>
  <c r="AJ1037" i="2"/>
  <c r="AI1037" i="2"/>
  <c r="AH1037" i="2"/>
  <c r="AG1037" i="2"/>
  <c r="AF1037" i="2"/>
  <c r="AE1037" i="2"/>
  <c r="AD1037" i="2"/>
  <c r="AC1037" i="2"/>
  <c r="AB1037" i="2"/>
  <c r="AA1037" i="2"/>
  <c r="Z1037" i="2"/>
  <c r="Y1037" i="2"/>
  <c r="X1037" i="2"/>
  <c r="W1037" i="2"/>
  <c r="V1037" i="2"/>
  <c r="U1037" i="2"/>
  <c r="S1037" i="2"/>
  <c r="R1037" i="2"/>
  <c r="Q1037" i="2"/>
  <c r="P1037" i="2"/>
  <c r="O1037" i="2"/>
  <c r="N1037" i="2"/>
  <c r="M1037" i="2"/>
  <c r="L1037" i="2"/>
  <c r="K1037" i="2"/>
  <c r="J1037" i="2"/>
  <c r="I1037" i="2"/>
  <c r="H1037" i="2"/>
  <c r="G1037" i="2"/>
  <c r="F1037" i="2"/>
  <c r="E1037" i="2"/>
  <c r="D1037" i="2"/>
  <c r="C1037" i="2"/>
  <c r="B1037" i="2"/>
  <c r="A1037" i="2"/>
  <c r="AO1036" i="2"/>
  <c r="AN1036" i="2"/>
  <c r="AM1036" i="2"/>
  <c r="AL1036" i="2"/>
  <c r="AK1036" i="2"/>
  <c r="AJ1036" i="2"/>
  <c r="AI1036" i="2"/>
  <c r="AH1036" i="2"/>
  <c r="AG1036" i="2"/>
  <c r="AF1036" i="2"/>
  <c r="AE1036" i="2"/>
  <c r="AD1036" i="2"/>
  <c r="AC1036" i="2"/>
  <c r="AB1036" i="2"/>
  <c r="AA1036" i="2"/>
  <c r="Z1036" i="2"/>
  <c r="Y1036" i="2"/>
  <c r="X1036" i="2"/>
  <c r="W1036" i="2"/>
  <c r="V1036" i="2"/>
  <c r="U1036" i="2"/>
  <c r="S1036" i="2"/>
  <c r="R1036" i="2"/>
  <c r="Q1036" i="2"/>
  <c r="P1036" i="2"/>
  <c r="O1036" i="2"/>
  <c r="N1036" i="2"/>
  <c r="M1036" i="2"/>
  <c r="L1036" i="2"/>
  <c r="K1036" i="2"/>
  <c r="J1036" i="2"/>
  <c r="I1036" i="2"/>
  <c r="H1036" i="2"/>
  <c r="G1036" i="2"/>
  <c r="F1036" i="2"/>
  <c r="E1036" i="2"/>
  <c r="D1036" i="2"/>
  <c r="C1036" i="2"/>
  <c r="B1036" i="2"/>
  <c r="A1036" i="2"/>
  <c r="AO1035" i="2"/>
  <c r="AN1035" i="2"/>
  <c r="AM1035" i="2"/>
  <c r="AK1035" i="2"/>
  <c r="AJ1035" i="2"/>
  <c r="AI1035" i="2"/>
  <c r="AH1035" i="2"/>
  <c r="AG1035" i="2"/>
  <c r="AF1035" i="2"/>
  <c r="AE1035" i="2"/>
  <c r="AD1035" i="2"/>
  <c r="AC1035" i="2"/>
  <c r="AB1035" i="2"/>
  <c r="AA1035" i="2"/>
  <c r="Z1035" i="2"/>
  <c r="Y1035" i="2"/>
  <c r="X1035" i="2"/>
  <c r="W1035" i="2"/>
  <c r="V1035" i="2"/>
  <c r="U1035" i="2"/>
  <c r="S1035" i="2"/>
  <c r="R1035" i="2"/>
  <c r="Q1035" i="2"/>
  <c r="P1035" i="2"/>
  <c r="O1035" i="2"/>
  <c r="N1035" i="2"/>
  <c r="M1035" i="2"/>
  <c r="L1035" i="2"/>
  <c r="K1035" i="2"/>
  <c r="J1035" i="2"/>
  <c r="I1035" i="2"/>
  <c r="H1035" i="2"/>
  <c r="G1035" i="2"/>
  <c r="F1035" i="2"/>
  <c r="E1035" i="2"/>
  <c r="D1035" i="2"/>
  <c r="C1035" i="2"/>
  <c r="B1035" i="2"/>
  <c r="A1035" i="2"/>
  <c r="AO1034" i="2"/>
  <c r="AN1034" i="2"/>
  <c r="AM1034" i="2"/>
  <c r="AK1034" i="2"/>
  <c r="AJ1034" i="2"/>
  <c r="AI1034" i="2"/>
  <c r="AH1034" i="2"/>
  <c r="AG1034" i="2"/>
  <c r="AF1034" i="2"/>
  <c r="AE1034" i="2"/>
  <c r="AD1034" i="2"/>
  <c r="AC1034" i="2"/>
  <c r="AB1034" i="2"/>
  <c r="AA1034" i="2"/>
  <c r="Z1034" i="2"/>
  <c r="Y1034" i="2"/>
  <c r="X1034" i="2"/>
  <c r="W1034" i="2"/>
  <c r="V1034" i="2"/>
  <c r="U1034" i="2"/>
  <c r="S1034" i="2"/>
  <c r="R1034" i="2"/>
  <c r="Q1034" i="2"/>
  <c r="P1034" i="2"/>
  <c r="O1034" i="2"/>
  <c r="N1034" i="2"/>
  <c r="M1034" i="2"/>
  <c r="L1034" i="2"/>
  <c r="K1034" i="2"/>
  <c r="J1034" i="2"/>
  <c r="I1034" i="2"/>
  <c r="H1034" i="2"/>
  <c r="G1034" i="2"/>
  <c r="F1034" i="2"/>
  <c r="E1034" i="2"/>
  <c r="D1034" i="2"/>
  <c r="C1034" i="2"/>
  <c r="A1034" i="2"/>
  <c r="AO1033" i="2"/>
  <c r="AN1033" i="2"/>
  <c r="AM1033" i="2"/>
  <c r="AL1033" i="2"/>
  <c r="AK1033" i="2"/>
  <c r="AJ1033" i="2"/>
  <c r="AI1033" i="2"/>
  <c r="AH1033" i="2"/>
  <c r="AG1033" i="2"/>
  <c r="AF1033" i="2"/>
  <c r="AE1033" i="2"/>
  <c r="AD1033" i="2"/>
  <c r="AC1033" i="2"/>
  <c r="AB1033" i="2"/>
  <c r="AA1033" i="2"/>
  <c r="Z1033" i="2"/>
  <c r="Y1033" i="2"/>
  <c r="X1033" i="2"/>
  <c r="W1033" i="2"/>
  <c r="V1033" i="2"/>
  <c r="U1033" i="2"/>
  <c r="S1033" i="2"/>
  <c r="R1033" i="2"/>
  <c r="Q1033" i="2"/>
  <c r="P1033" i="2"/>
  <c r="O1033" i="2"/>
  <c r="N1033" i="2"/>
  <c r="M1033" i="2"/>
  <c r="L1033" i="2"/>
  <c r="K1033" i="2"/>
  <c r="J1033" i="2"/>
  <c r="I1033" i="2"/>
  <c r="H1033" i="2"/>
  <c r="G1033" i="2"/>
  <c r="F1033" i="2"/>
  <c r="E1033" i="2"/>
  <c r="D1033" i="2"/>
  <c r="C1033" i="2"/>
  <c r="B1033" i="2"/>
  <c r="A1033" i="2"/>
  <c r="AO1032" i="2"/>
  <c r="AN1032" i="2"/>
  <c r="AM1032" i="2"/>
  <c r="AL1032" i="2"/>
  <c r="AK1032" i="2"/>
  <c r="AJ1032" i="2"/>
  <c r="AI1032" i="2"/>
  <c r="AH1032" i="2"/>
  <c r="AG1032" i="2"/>
  <c r="AF1032" i="2"/>
  <c r="AE1032" i="2"/>
  <c r="AD1032" i="2"/>
  <c r="AC1032" i="2"/>
  <c r="AB1032" i="2"/>
  <c r="AA1032" i="2"/>
  <c r="Z1032" i="2"/>
  <c r="Y1032" i="2"/>
  <c r="X1032" i="2"/>
  <c r="W1032" i="2"/>
  <c r="V1032" i="2"/>
  <c r="U1032" i="2"/>
  <c r="S1032" i="2"/>
  <c r="R1032" i="2"/>
  <c r="Q1032" i="2"/>
  <c r="P1032" i="2"/>
  <c r="O1032" i="2"/>
  <c r="N1032" i="2"/>
  <c r="M1032" i="2"/>
  <c r="L1032" i="2"/>
  <c r="K1032" i="2"/>
  <c r="J1032" i="2"/>
  <c r="I1032" i="2"/>
  <c r="H1032" i="2"/>
  <c r="G1032" i="2"/>
  <c r="F1032" i="2"/>
  <c r="E1032" i="2"/>
  <c r="D1032" i="2"/>
  <c r="C1032" i="2"/>
  <c r="A1032" i="2"/>
  <c r="AO1031" i="2"/>
  <c r="AN1031" i="2"/>
  <c r="AM1031" i="2"/>
  <c r="AL1031" i="2"/>
  <c r="AK1031" i="2"/>
  <c r="AJ1031" i="2"/>
  <c r="AI1031" i="2"/>
  <c r="AH1031" i="2"/>
  <c r="AG1031" i="2"/>
  <c r="AF1031" i="2"/>
  <c r="AE1031" i="2"/>
  <c r="AD1031" i="2"/>
  <c r="AC1031" i="2"/>
  <c r="AB1031" i="2"/>
  <c r="AA1031" i="2"/>
  <c r="Z1031" i="2"/>
  <c r="Y1031" i="2"/>
  <c r="X1031" i="2"/>
  <c r="W1031" i="2"/>
  <c r="V1031" i="2"/>
  <c r="U1031" i="2"/>
  <c r="S1031" i="2"/>
  <c r="R1031" i="2"/>
  <c r="Q1031" i="2"/>
  <c r="P1031" i="2"/>
  <c r="O1031" i="2"/>
  <c r="N1031" i="2"/>
  <c r="M1031" i="2"/>
  <c r="L1031" i="2"/>
  <c r="K1031" i="2"/>
  <c r="J1031" i="2"/>
  <c r="I1031" i="2"/>
  <c r="H1031" i="2"/>
  <c r="G1031" i="2"/>
  <c r="F1031" i="2"/>
  <c r="E1031" i="2"/>
  <c r="D1031" i="2"/>
  <c r="C1031" i="2"/>
  <c r="A1031" i="2"/>
  <c r="AO1030" i="2"/>
  <c r="AN1030" i="2"/>
  <c r="AM1030" i="2"/>
  <c r="AK1030" i="2"/>
  <c r="AJ1030" i="2"/>
  <c r="AI1030" i="2"/>
  <c r="AH1030" i="2"/>
  <c r="AG1030" i="2"/>
  <c r="AF1030" i="2"/>
  <c r="AE1030" i="2"/>
  <c r="AC1030" i="2"/>
  <c r="AB1030" i="2"/>
  <c r="AA1030" i="2"/>
  <c r="Y1030" i="2"/>
  <c r="X1030" i="2"/>
  <c r="W1030" i="2"/>
  <c r="V1030" i="2"/>
  <c r="U1030" i="2"/>
  <c r="S1030" i="2"/>
  <c r="R1030" i="2"/>
  <c r="Q1030" i="2"/>
  <c r="P1030" i="2"/>
  <c r="O1030" i="2"/>
  <c r="N1030" i="2"/>
  <c r="M1030" i="2"/>
  <c r="L1030" i="2"/>
  <c r="K1030" i="2"/>
  <c r="J1030" i="2"/>
  <c r="I1030" i="2"/>
  <c r="H1030" i="2"/>
  <c r="G1030" i="2"/>
  <c r="F1030" i="2"/>
  <c r="E1030" i="2"/>
  <c r="D1030" i="2"/>
  <c r="C1030" i="2"/>
  <c r="B1030" i="2"/>
  <c r="A1030" i="2"/>
  <c r="AO1029" i="2"/>
  <c r="AN1029" i="2"/>
  <c r="AM1029" i="2"/>
  <c r="AK1029" i="2"/>
  <c r="AJ1029" i="2"/>
  <c r="AI1029" i="2"/>
  <c r="AH1029" i="2"/>
  <c r="AG1029" i="2"/>
  <c r="AF1029" i="2"/>
  <c r="AE1029" i="2"/>
  <c r="AD1029" i="2"/>
  <c r="AC1029" i="2"/>
  <c r="AB1029" i="2"/>
  <c r="AA1029" i="2"/>
  <c r="Z1029" i="2"/>
  <c r="Y1029" i="2"/>
  <c r="X1029" i="2"/>
  <c r="W1029" i="2"/>
  <c r="V1029" i="2"/>
  <c r="U1029" i="2"/>
  <c r="S1029" i="2"/>
  <c r="R1029" i="2"/>
  <c r="Q1029" i="2"/>
  <c r="P1029" i="2"/>
  <c r="O1029" i="2"/>
  <c r="N1029" i="2"/>
  <c r="M1029" i="2"/>
  <c r="L1029" i="2"/>
  <c r="K1029" i="2"/>
  <c r="J1029" i="2"/>
  <c r="I1029" i="2"/>
  <c r="H1029" i="2"/>
  <c r="G1029" i="2"/>
  <c r="F1029" i="2"/>
  <c r="E1029" i="2"/>
  <c r="D1029" i="2"/>
  <c r="C1029" i="2"/>
  <c r="A1029" i="2"/>
  <c r="AO1028" i="2"/>
  <c r="AN1028" i="2"/>
  <c r="AM1028" i="2"/>
  <c r="AK1028" i="2"/>
  <c r="AJ1028" i="2"/>
  <c r="AI1028" i="2"/>
  <c r="AH1028" i="2"/>
  <c r="AG1028" i="2"/>
  <c r="AF1028" i="2"/>
  <c r="AE1028" i="2"/>
  <c r="AD1028" i="2"/>
  <c r="AC1028" i="2"/>
  <c r="AB1028" i="2"/>
  <c r="AA1028" i="2"/>
  <c r="Y1028" i="2"/>
  <c r="X1028" i="2"/>
  <c r="W1028" i="2"/>
  <c r="V1028" i="2"/>
  <c r="U1028" i="2"/>
  <c r="S1028" i="2"/>
  <c r="R1028" i="2"/>
  <c r="Q1028" i="2"/>
  <c r="P1028" i="2"/>
  <c r="O1028" i="2"/>
  <c r="N1028" i="2"/>
  <c r="M1028" i="2"/>
  <c r="L1028" i="2"/>
  <c r="K1028" i="2"/>
  <c r="J1028" i="2"/>
  <c r="I1028" i="2"/>
  <c r="H1028" i="2"/>
  <c r="G1028" i="2"/>
  <c r="F1028" i="2"/>
  <c r="E1028" i="2"/>
  <c r="D1028" i="2"/>
  <c r="C1028" i="2"/>
  <c r="A1028" i="2"/>
  <c r="AO1027" i="2"/>
  <c r="AN1027" i="2"/>
  <c r="AM1027" i="2"/>
  <c r="AK1027" i="2"/>
  <c r="AJ1027" i="2"/>
  <c r="AI1027" i="2"/>
  <c r="AH1027" i="2"/>
  <c r="AG1027" i="2"/>
  <c r="AF1027" i="2"/>
  <c r="AE1027" i="2"/>
  <c r="AD1027" i="2"/>
  <c r="AC1027" i="2"/>
  <c r="AB1027" i="2"/>
  <c r="AA1027" i="2"/>
  <c r="Z1027" i="2"/>
  <c r="Y1027" i="2"/>
  <c r="X1027" i="2"/>
  <c r="W1027" i="2"/>
  <c r="V1027" i="2"/>
  <c r="U1027" i="2"/>
  <c r="S1027" i="2"/>
  <c r="R1027" i="2"/>
  <c r="Q1027" i="2"/>
  <c r="P1027" i="2"/>
  <c r="O1027" i="2"/>
  <c r="N1027" i="2"/>
  <c r="M1027" i="2"/>
  <c r="L1027" i="2"/>
  <c r="K1027" i="2"/>
  <c r="J1027" i="2"/>
  <c r="I1027" i="2"/>
  <c r="H1027" i="2"/>
  <c r="G1027" i="2"/>
  <c r="F1027" i="2"/>
  <c r="E1027" i="2"/>
  <c r="D1027" i="2"/>
  <c r="C1027" i="2"/>
  <c r="B1027" i="2"/>
  <c r="A1027" i="2"/>
  <c r="AO1026" i="2"/>
  <c r="AN1026" i="2"/>
  <c r="AM1026" i="2"/>
  <c r="AL1026" i="2"/>
  <c r="AK1026" i="2"/>
  <c r="AJ1026" i="2"/>
  <c r="AI1026" i="2"/>
  <c r="AH1026" i="2"/>
  <c r="AG1026" i="2"/>
  <c r="AF1026" i="2"/>
  <c r="AE1026" i="2"/>
  <c r="AD1026" i="2"/>
  <c r="AC1026" i="2"/>
  <c r="AB1026" i="2"/>
  <c r="AA1026" i="2"/>
  <c r="Z1026" i="2"/>
  <c r="Y1026" i="2"/>
  <c r="X1026" i="2"/>
  <c r="W1026" i="2"/>
  <c r="V1026" i="2"/>
  <c r="U1026" i="2"/>
  <c r="S1026" i="2"/>
  <c r="R1026" i="2"/>
  <c r="Q1026" i="2"/>
  <c r="P1026" i="2"/>
  <c r="O1026" i="2"/>
  <c r="N1026" i="2"/>
  <c r="M1026" i="2"/>
  <c r="L1026" i="2"/>
  <c r="K1026" i="2"/>
  <c r="J1026" i="2"/>
  <c r="I1026" i="2"/>
  <c r="H1026" i="2"/>
  <c r="G1026" i="2"/>
  <c r="F1026" i="2"/>
  <c r="E1026" i="2"/>
  <c r="D1026" i="2"/>
  <c r="C1026" i="2"/>
  <c r="A1026" i="2"/>
  <c r="AO1025" i="2"/>
  <c r="AN1025" i="2"/>
  <c r="AM1025" i="2"/>
  <c r="AK1025" i="2"/>
  <c r="AJ1025" i="2"/>
  <c r="AI1025" i="2"/>
  <c r="AH1025" i="2"/>
  <c r="AG1025" i="2"/>
  <c r="AF1025" i="2"/>
  <c r="AE1025" i="2"/>
  <c r="AD1025" i="2"/>
  <c r="AC1025" i="2"/>
  <c r="AB1025" i="2"/>
  <c r="AA1025" i="2"/>
  <c r="Z1025" i="2"/>
  <c r="Y1025" i="2"/>
  <c r="X1025" i="2"/>
  <c r="W1025" i="2"/>
  <c r="V1025" i="2"/>
  <c r="U1025" i="2"/>
  <c r="S1025" i="2"/>
  <c r="R1025" i="2"/>
  <c r="Q1025" i="2"/>
  <c r="P1025" i="2"/>
  <c r="O1025" i="2"/>
  <c r="N1025" i="2"/>
  <c r="M1025" i="2"/>
  <c r="L1025" i="2"/>
  <c r="K1025" i="2"/>
  <c r="J1025" i="2"/>
  <c r="I1025" i="2"/>
  <c r="H1025" i="2"/>
  <c r="G1025" i="2"/>
  <c r="F1025" i="2"/>
  <c r="E1025" i="2"/>
  <c r="D1025" i="2"/>
  <c r="C1025" i="2"/>
  <c r="A1025" i="2"/>
  <c r="AO1024" i="2"/>
  <c r="AN1024" i="2"/>
  <c r="AM1024" i="2"/>
  <c r="AL1024" i="2"/>
  <c r="AK1024" i="2"/>
  <c r="AJ1024" i="2"/>
  <c r="AI1024" i="2"/>
  <c r="AG1024" i="2"/>
  <c r="AF1024" i="2"/>
  <c r="AE1024" i="2"/>
  <c r="AC1024" i="2"/>
  <c r="AB1024" i="2"/>
  <c r="AA1024" i="2"/>
  <c r="X1024" i="2"/>
  <c r="W1024" i="2"/>
  <c r="V1024" i="2"/>
  <c r="U1024" i="2"/>
  <c r="R1024" i="2"/>
  <c r="Q1024" i="2"/>
  <c r="P1024" i="2"/>
  <c r="O1024" i="2"/>
  <c r="N1024" i="2"/>
  <c r="M1024" i="2"/>
  <c r="L1024" i="2"/>
  <c r="K1024" i="2"/>
  <c r="J1024" i="2"/>
  <c r="I1024" i="2"/>
  <c r="H1024" i="2"/>
  <c r="G1024" i="2"/>
  <c r="F1024" i="2"/>
  <c r="E1024" i="2"/>
  <c r="D1024" i="2"/>
  <c r="C1024" i="2"/>
  <c r="B1024" i="2"/>
  <c r="A1024" i="2"/>
  <c r="AO1023" i="2"/>
  <c r="AN1023" i="2"/>
  <c r="AM1023" i="2"/>
  <c r="AL1023" i="2"/>
  <c r="AK1023" i="2"/>
  <c r="AJ1023" i="2"/>
  <c r="AI1023" i="2"/>
  <c r="AG1023" i="2"/>
  <c r="AF1023" i="2"/>
  <c r="AE1023" i="2"/>
  <c r="AC1023" i="2"/>
  <c r="AB1023" i="2"/>
  <c r="AA1023" i="2"/>
  <c r="X1023" i="2"/>
  <c r="W1023" i="2"/>
  <c r="V1023" i="2"/>
  <c r="U1023" i="2"/>
  <c r="R1023" i="2"/>
  <c r="Q1023" i="2"/>
  <c r="P1023" i="2"/>
  <c r="O1023" i="2"/>
  <c r="N1023" i="2"/>
  <c r="M1023" i="2"/>
  <c r="L1023" i="2"/>
  <c r="K1023" i="2"/>
  <c r="J1023" i="2"/>
  <c r="I1023" i="2"/>
  <c r="H1023" i="2"/>
  <c r="G1023" i="2"/>
  <c r="F1023" i="2"/>
  <c r="E1023" i="2"/>
  <c r="D1023" i="2"/>
  <c r="C1023" i="2"/>
  <c r="B1023" i="2"/>
  <c r="A1023" i="2"/>
  <c r="AO1022" i="2"/>
  <c r="AN1022" i="2"/>
  <c r="AM1022" i="2"/>
  <c r="AK1022" i="2"/>
  <c r="AJ1022" i="2"/>
  <c r="AI1022" i="2"/>
  <c r="AH1022" i="2"/>
  <c r="AG1022" i="2"/>
  <c r="AF1022" i="2"/>
  <c r="AE1022" i="2"/>
  <c r="AD1022" i="2"/>
  <c r="AC1022" i="2"/>
  <c r="AB1022" i="2"/>
  <c r="AA1022" i="2"/>
  <c r="Z1022" i="2"/>
  <c r="Y1022" i="2"/>
  <c r="X1022" i="2"/>
  <c r="W1022" i="2"/>
  <c r="V1022" i="2"/>
  <c r="U1022" i="2"/>
  <c r="S1022" i="2"/>
  <c r="R1022" i="2"/>
  <c r="Q1022" i="2"/>
  <c r="P1022" i="2"/>
  <c r="O1022" i="2"/>
  <c r="N1022" i="2"/>
  <c r="M1022" i="2"/>
  <c r="L1022" i="2"/>
  <c r="K1022" i="2"/>
  <c r="J1022" i="2"/>
  <c r="I1022" i="2"/>
  <c r="H1022" i="2"/>
  <c r="G1022" i="2"/>
  <c r="F1022" i="2"/>
  <c r="E1022" i="2"/>
  <c r="D1022" i="2"/>
  <c r="C1022" i="2"/>
  <c r="A1022" i="2"/>
  <c r="AO1021" i="2"/>
  <c r="AN1021" i="2"/>
  <c r="AM1021" i="2"/>
  <c r="AK1021" i="2"/>
  <c r="AJ1021" i="2"/>
  <c r="AI1021" i="2"/>
  <c r="AH1021" i="2"/>
  <c r="AG1021" i="2"/>
  <c r="AF1021" i="2"/>
  <c r="AE1021" i="2"/>
  <c r="AD1021" i="2"/>
  <c r="AC1021" i="2"/>
  <c r="AB1021" i="2"/>
  <c r="AA1021" i="2"/>
  <c r="Z1021" i="2"/>
  <c r="Y1021" i="2"/>
  <c r="X1021" i="2"/>
  <c r="W1021" i="2"/>
  <c r="V1021" i="2"/>
  <c r="U1021" i="2"/>
  <c r="S1021" i="2"/>
  <c r="R1021" i="2"/>
  <c r="Q1021" i="2"/>
  <c r="P1021" i="2"/>
  <c r="O1021" i="2"/>
  <c r="N1021" i="2"/>
  <c r="M1021" i="2"/>
  <c r="L1021" i="2"/>
  <c r="K1021" i="2"/>
  <c r="J1021" i="2"/>
  <c r="I1021" i="2"/>
  <c r="H1021" i="2"/>
  <c r="G1021" i="2"/>
  <c r="F1021" i="2"/>
  <c r="E1021" i="2"/>
  <c r="D1021" i="2"/>
  <c r="C1021" i="2"/>
  <c r="A1021" i="2"/>
  <c r="AO1020" i="2"/>
  <c r="AN1020" i="2"/>
  <c r="AM1020" i="2"/>
  <c r="AK1020" i="2"/>
  <c r="AJ1020" i="2"/>
  <c r="AI1020" i="2"/>
  <c r="AH1020" i="2"/>
  <c r="AG1020" i="2"/>
  <c r="AF1020" i="2"/>
  <c r="AE1020" i="2"/>
  <c r="AD1020" i="2"/>
  <c r="AC1020" i="2"/>
  <c r="AB1020" i="2"/>
  <c r="AA1020" i="2"/>
  <c r="Z1020" i="2"/>
  <c r="Y1020" i="2"/>
  <c r="X1020" i="2"/>
  <c r="W1020" i="2"/>
  <c r="V1020" i="2"/>
  <c r="U1020" i="2"/>
  <c r="S1020" i="2"/>
  <c r="R1020" i="2"/>
  <c r="Q1020" i="2"/>
  <c r="P1020" i="2"/>
  <c r="O1020" i="2"/>
  <c r="N1020" i="2"/>
  <c r="M1020" i="2"/>
  <c r="L1020" i="2"/>
  <c r="K1020" i="2"/>
  <c r="J1020" i="2"/>
  <c r="I1020" i="2"/>
  <c r="H1020" i="2"/>
  <c r="G1020" i="2"/>
  <c r="F1020" i="2"/>
  <c r="E1020" i="2"/>
  <c r="D1020" i="2"/>
  <c r="C1020" i="2"/>
  <c r="A1020" i="2"/>
  <c r="AO1019" i="2"/>
  <c r="AN1019" i="2"/>
  <c r="AM1019" i="2"/>
  <c r="AK1019" i="2"/>
  <c r="AJ1019" i="2"/>
  <c r="AI1019" i="2"/>
  <c r="AH1019" i="2"/>
  <c r="AG1019" i="2"/>
  <c r="AF1019" i="2"/>
  <c r="AE1019" i="2"/>
  <c r="AC1019" i="2"/>
  <c r="AB1019" i="2"/>
  <c r="AA1019" i="2"/>
  <c r="Z1019" i="2"/>
  <c r="Y1019" i="2"/>
  <c r="X1019" i="2"/>
  <c r="W1019" i="2"/>
  <c r="V1019" i="2"/>
  <c r="U1019" i="2"/>
  <c r="S1019" i="2"/>
  <c r="R1019" i="2"/>
  <c r="Q1019" i="2"/>
  <c r="P1019" i="2"/>
  <c r="O1019" i="2"/>
  <c r="N1019" i="2"/>
  <c r="M1019" i="2"/>
  <c r="L1019" i="2"/>
  <c r="K1019" i="2"/>
  <c r="J1019" i="2"/>
  <c r="I1019" i="2"/>
  <c r="H1019" i="2"/>
  <c r="G1019" i="2"/>
  <c r="F1019" i="2"/>
  <c r="E1019" i="2"/>
  <c r="D1019" i="2"/>
  <c r="C1019" i="2"/>
  <c r="A1019" i="2"/>
  <c r="AO1018" i="2"/>
  <c r="AN1018" i="2"/>
  <c r="AM1018" i="2"/>
  <c r="AL1018" i="2"/>
  <c r="AK1018" i="2"/>
  <c r="AJ1018" i="2"/>
  <c r="AI1018" i="2"/>
  <c r="AH1018" i="2"/>
  <c r="AG1018" i="2"/>
  <c r="AF1018" i="2"/>
  <c r="AE1018" i="2"/>
  <c r="AD1018" i="2"/>
  <c r="AC1018" i="2"/>
  <c r="AB1018" i="2"/>
  <c r="AA1018" i="2"/>
  <c r="Z1018" i="2"/>
  <c r="Y1018" i="2"/>
  <c r="X1018" i="2"/>
  <c r="W1018" i="2"/>
  <c r="V1018" i="2"/>
  <c r="U1018" i="2"/>
  <c r="S1018" i="2"/>
  <c r="R1018" i="2"/>
  <c r="Q1018" i="2"/>
  <c r="P1018" i="2"/>
  <c r="O1018" i="2"/>
  <c r="N1018" i="2"/>
  <c r="M1018" i="2"/>
  <c r="L1018" i="2"/>
  <c r="K1018" i="2"/>
  <c r="J1018" i="2"/>
  <c r="I1018" i="2"/>
  <c r="H1018" i="2"/>
  <c r="G1018" i="2"/>
  <c r="F1018" i="2"/>
  <c r="E1018" i="2"/>
  <c r="D1018" i="2"/>
  <c r="C1018" i="2"/>
  <c r="A1018" i="2"/>
  <c r="AO1017" i="2"/>
  <c r="AN1017" i="2"/>
  <c r="AM1017" i="2"/>
  <c r="AL1017" i="2"/>
  <c r="AK1017" i="2"/>
  <c r="AJ1017" i="2"/>
  <c r="AI1017" i="2"/>
  <c r="AH1017" i="2"/>
  <c r="AG1017" i="2"/>
  <c r="AF1017" i="2"/>
  <c r="AE1017" i="2"/>
  <c r="AD1017" i="2"/>
  <c r="AC1017" i="2"/>
  <c r="AB1017" i="2"/>
  <c r="AA1017" i="2"/>
  <c r="Z1017" i="2"/>
  <c r="Y1017" i="2"/>
  <c r="X1017" i="2"/>
  <c r="W1017" i="2"/>
  <c r="V1017" i="2"/>
  <c r="U1017" i="2"/>
  <c r="S1017" i="2"/>
  <c r="R1017" i="2"/>
  <c r="Q1017" i="2"/>
  <c r="P1017" i="2"/>
  <c r="O1017" i="2"/>
  <c r="N1017" i="2"/>
  <c r="M1017" i="2"/>
  <c r="L1017" i="2"/>
  <c r="K1017" i="2"/>
  <c r="J1017" i="2"/>
  <c r="I1017" i="2"/>
  <c r="H1017" i="2"/>
  <c r="G1017" i="2"/>
  <c r="F1017" i="2"/>
  <c r="E1017" i="2"/>
  <c r="D1017" i="2"/>
  <c r="C1017" i="2"/>
  <c r="A1017" i="2"/>
  <c r="AO1016" i="2"/>
  <c r="AN1016" i="2"/>
  <c r="AM1016" i="2"/>
  <c r="AK1016" i="2"/>
  <c r="AJ1016" i="2"/>
  <c r="AI1016" i="2"/>
  <c r="AH1016" i="2"/>
  <c r="AG1016" i="2"/>
  <c r="AF1016" i="2"/>
  <c r="AE1016" i="2"/>
  <c r="AD1016" i="2"/>
  <c r="AC1016" i="2"/>
  <c r="AB1016" i="2"/>
  <c r="AA1016" i="2"/>
  <c r="Z1016" i="2"/>
  <c r="Y1016" i="2"/>
  <c r="X1016" i="2"/>
  <c r="W1016" i="2"/>
  <c r="V1016" i="2"/>
  <c r="U1016" i="2"/>
  <c r="S1016" i="2"/>
  <c r="R1016" i="2"/>
  <c r="Q1016" i="2"/>
  <c r="P1016" i="2"/>
  <c r="O1016" i="2"/>
  <c r="N1016" i="2"/>
  <c r="M1016" i="2"/>
  <c r="L1016" i="2"/>
  <c r="K1016" i="2"/>
  <c r="J1016" i="2"/>
  <c r="I1016" i="2"/>
  <c r="H1016" i="2"/>
  <c r="G1016" i="2"/>
  <c r="F1016" i="2"/>
  <c r="E1016" i="2"/>
  <c r="D1016" i="2"/>
  <c r="C1016" i="2"/>
  <c r="B1016" i="2"/>
  <c r="A1016" i="2"/>
  <c r="AO1015" i="2"/>
  <c r="AN1015" i="2"/>
  <c r="AM1015" i="2"/>
  <c r="AL1015" i="2"/>
  <c r="AK1015" i="2"/>
  <c r="AJ1015" i="2"/>
  <c r="AI1015" i="2"/>
  <c r="AH1015" i="2"/>
  <c r="AG1015" i="2"/>
  <c r="AF1015" i="2"/>
  <c r="AE1015" i="2"/>
  <c r="AD1015" i="2"/>
  <c r="AC1015" i="2"/>
  <c r="AB1015" i="2"/>
  <c r="AA1015" i="2"/>
  <c r="Z1015" i="2"/>
  <c r="Y1015" i="2"/>
  <c r="X1015" i="2"/>
  <c r="W1015" i="2"/>
  <c r="V1015" i="2"/>
  <c r="U1015" i="2"/>
  <c r="S1015" i="2"/>
  <c r="R1015" i="2"/>
  <c r="Q1015" i="2"/>
  <c r="P1015" i="2"/>
  <c r="O1015" i="2"/>
  <c r="N1015" i="2"/>
  <c r="M1015" i="2"/>
  <c r="L1015" i="2"/>
  <c r="K1015" i="2"/>
  <c r="J1015" i="2"/>
  <c r="I1015" i="2"/>
  <c r="H1015" i="2"/>
  <c r="G1015" i="2"/>
  <c r="F1015" i="2"/>
  <c r="E1015" i="2"/>
  <c r="D1015" i="2"/>
  <c r="C1015" i="2"/>
  <c r="B1015" i="2"/>
  <c r="A1015" i="2"/>
  <c r="AO1014" i="2"/>
  <c r="AN1014" i="2"/>
  <c r="AM1014" i="2"/>
  <c r="AL1014" i="2"/>
  <c r="AK1014" i="2"/>
  <c r="AJ1014" i="2"/>
  <c r="AI1014" i="2"/>
  <c r="AG1014" i="2"/>
  <c r="AF1014" i="2"/>
  <c r="AE1014" i="2"/>
  <c r="AC1014" i="2"/>
  <c r="AB1014" i="2"/>
  <c r="AA1014" i="2"/>
  <c r="X1014" i="2"/>
  <c r="W1014" i="2"/>
  <c r="V1014" i="2"/>
  <c r="U1014" i="2"/>
  <c r="R1014" i="2"/>
  <c r="Q1014" i="2"/>
  <c r="P1014" i="2"/>
  <c r="O1014" i="2"/>
  <c r="N1014" i="2"/>
  <c r="M1014" i="2"/>
  <c r="L1014" i="2"/>
  <c r="K1014" i="2"/>
  <c r="J1014" i="2"/>
  <c r="I1014" i="2"/>
  <c r="H1014" i="2"/>
  <c r="G1014" i="2"/>
  <c r="F1014" i="2"/>
  <c r="E1014" i="2"/>
  <c r="D1014" i="2"/>
  <c r="C1014" i="2"/>
  <c r="B1014" i="2"/>
  <c r="A1014" i="2"/>
  <c r="AO1013" i="2"/>
  <c r="AN1013" i="2"/>
  <c r="AM1013" i="2"/>
  <c r="AL1013" i="2"/>
  <c r="AK1013" i="2"/>
  <c r="AJ1013" i="2"/>
  <c r="AI1013" i="2"/>
  <c r="AH1013" i="2"/>
  <c r="AG1013" i="2"/>
  <c r="AF1013" i="2"/>
  <c r="AE1013" i="2"/>
  <c r="AC1013" i="2"/>
  <c r="AB1013" i="2"/>
  <c r="AA1013" i="2"/>
  <c r="Z1013" i="2"/>
  <c r="Y1013" i="2"/>
  <c r="X1013" i="2"/>
  <c r="W1013" i="2"/>
  <c r="V1013" i="2"/>
  <c r="U1013" i="2"/>
  <c r="S1013" i="2"/>
  <c r="R1013" i="2"/>
  <c r="Q1013" i="2"/>
  <c r="P1013" i="2"/>
  <c r="O1013" i="2"/>
  <c r="N1013" i="2"/>
  <c r="M1013" i="2"/>
  <c r="L1013" i="2"/>
  <c r="K1013" i="2"/>
  <c r="J1013" i="2"/>
  <c r="I1013" i="2"/>
  <c r="H1013" i="2"/>
  <c r="G1013" i="2"/>
  <c r="F1013" i="2"/>
  <c r="E1013" i="2"/>
  <c r="D1013" i="2"/>
  <c r="C1013" i="2"/>
  <c r="B1013" i="2"/>
  <c r="A1013" i="2"/>
  <c r="AO1012" i="2"/>
  <c r="AN1012" i="2"/>
  <c r="AM1012" i="2"/>
  <c r="AL1012" i="2"/>
  <c r="AK1012" i="2"/>
  <c r="AJ1012" i="2"/>
  <c r="AI1012" i="2"/>
  <c r="AH1012" i="2"/>
  <c r="AG1012" i="2"/>
  <c r="AF1012" i="2"/>
  <c r="AE1012" i="2"/>
  <c r="AD1012" i="2"/>
  <c r="AC1012" i="2"/>
  <c r="AB1012" i="2"/>
  <c r="AA1012" i="2"/>
  <c r="Z1012" i="2"/>
  <c r="Y1012" i="2"/>
  <c r="X1012" i="2"/>
  <c r="W1012" i="2"/>
  <c r="V1012" i="2"/>
  <c r="U1012" i="2"/>
  <c r="S1012" i="2"/>
  <c r="R1012" i="2"/>
  <c r="Q1012" i="2"/>
  <c r="P1012" i="2"/>
  <c r="O1012" i="2"/>
  <c r="N1012" i="2"/>
  <c r="M1012" i="2"/>
  <c r="L1012" i="2"/>
  <c r="K1012" i="2"/>
  <c r="J1012" i="2"/>
  <c r="I1012" i="2"/>
  <c r="H1012" i="2"/>
  <c r="G1012" i="2"/>
  <c r="F1012" i="2"/>
  <c r="E1012" i="2"/>
  <c r="D1012" i="2"/>
  <c r="C1012" i="2"/>
  <c r="A1012" i="2"/>
  <c r="AO1011" i="2"/>
  <c r="AN1011" i="2"/>
  <c r="AM1011" i="2"/>
  <c r="AL1011" i="2"/>
  <c r="AK1011" i="2"/>
  <c r="AJ1011" i="2"/>
  <c r="AI1011" i="2"/>
  <c r="AH1011" i="2"/>
  <c r="AG1011" i="2"/>
  <c r="AF1011" i="2"/>
  <c r="AE1011" i="2"/>
  <c r="AD1011" i="2"/>
  <c r="AC1011" i="2"/>
  <c r="AB1011" i="2"/>
  <c r="AA1011" i="2"/>
  <c r="Z1011" i="2"/>
  <c r="Y1011" i="2"/>
  <c r="X1011" i="2"/>
  <c r="W1011" i="2"/>
  <c r="V1011" i="2"/>
  <c r="U1011" i="2"/>
  <c r="S1011" i="2"/>
  <c r="R1011" i="2"/>
  <c r="Q1011" i="2"/>
  <c r="P1011" i="2"/>
  <c r="O1011" i="2"/>
  <c r="N1011" i="2"/>
  <c r="M1011" i="2"/>
  <c r="L1011" i="2"/>
  <c r="K1011" i="2"/>
  <c r="J1011" i="2"/>
  <c r="I1011" i="2"/>
  <c r="H1011" i="2"/>
  <c r="G1011" i="2"/>
  <c r="F1011" i="2"/>
  <c r="E1011" i="2"/>
  <c r="D1011" i="2"/>
  <c r="C1011" i="2"/>
  <c r="A1011" i="2"/>
  <c r="AO1010" i="2"/>
  <c r="AN1010" i="2"/>
  <c r="AM1010" i="2"/>
  <c r="AL1010" i="2"/>
  <c r="AK1010" i="2"/>
  <c r="AJ1010" i="2"/>
  <c r="AI1010" i="2"/>
  <c r="AH1010" i="2"/>
  <c r="AG1010" i="2"/>
  <c r="AF1010" i="2"/>
  <c r="AE1010" i="2"/>
  <c r="AD1010" i="2"/>
  <c r="AC1010" i="2"/>
  <c r="AB1010" i="2"/>
  <c r="AA1010" i="2"/>
  <c r="Z1010" i="2"/>
  <c r="Y1010" i="2"/>
  <c r="X1010" i="2"/>
  <c r="W1010" i="2"/>
  <c r="V1010" i="2"/>
  <c r="U1010" i="2"/>
  <c r="S1010" i="2"/>
  <c r="R1010" i="2"/>
  <c r="Q1010" i="2"/>
  <c r="P1010" i="2"/>
  <c r="O1010" i="2"/>
  <c r="N1010" i="2"/>
  <c r="M1010" i="2"/>
  <c r="L1010" i="2"/>
  <c r="K1010" i="2"/>
  <c r="J1010" i="2"/>
  <c r="I1010" i="2"/>
  <c r="H1010" i="2"/>
  <c r="G1010" i="2"/>
  <c r="F1010" i="2"/>
  <c r="E1010" i="2"/>
  <c r="D1010" i="2"/>
  <c r="C1010" i="2"/>
  <c r="B1010" i="2"/>
  <c r="A1010" i="2"/>
  <c r="AO1009" i="2"/>
  <c r="AN1009" i="2"/>
  <c r="AM1009" i="2"/>
  <c r="AL1009" i="2"/>
  <c r="AK1009" i="2"/>
  <c r="AJ1009" i="2"/>
  <c r="AI1009" i="2"/>
  <c r="AH1009" i="2"/>
  <c r="AG1009" i="2"/>
  <c r="AF1009" i="2"/>
  <c r="AE1009" i="2"/>
  <c r="AD1009" i="2"/>
  <c r="AC1009" i="2"/>
  <c r="AB1009" i="2"/>
  <c r="AA1009" i="2"/>
  <c r="Z1009" i="2"/>
  <c r="Y1009" i="2"/>
  <c r="X1009" i="2"/>
  <c r="W1009" i="2"/>
  <c r="V1009" i="2"/>
  <c r="U1009" i="2"/>
  <c r="S1009" i="2"/>
  <c r="R1009" i="2"/>
  <c r="Q1009" i="2"/>
  <c r="P1009" i="2"/>
  <c r="O1009" i="2"/>
  <c r="N1009" i="2"/>
  <c r="M1009" i="2"/>
  <c r="L1009" i="2"/>
  <c r="K1009" i="2"/>
  <c r="J1009" i="2"/>
  <c r="I1009" i="2"/>
  <c r="H1009" i="2"/>
  <c r="G1009" i="2"/>
  <c r="F1009" i="2"/>
  <c r="E1009" i="2"/>
  <c r="D1009" i="2"/>
  <c r="C1009" i="2"/>
  <c r="A1009" i="2"/>
  <c r="AO1008" i="2"/>
  <c r="AN1008" i="2"/>
  <c r="AM1008" i="2"/>
  <c r="AK1008" i="2"/>
  <c r="AJ1008" i="2"/>
  <c r="AI1008" i="2"/>
  <c r="AH1008" i="2"/>
  <c r="AG1008" i="2"/>
  <c r="AF1008" i="2"/>
  <c r="AE1008" i="2"/>
  <c r="AD1008" i="2"/>
  <c r="AC1008" i="2"/>
  <c r="AB1008" i="2"/>
  <c r="AA1008" i="2"/>
  <c r="Z1008" i="2"/>
  <c r="Y1008" i="2"/>
  <c r="X1008" i="2"/>
  <c r="W1008" i="2"/>
  <c r="V1008" i="2"/>
  <c r="U1008" i="2"/>
  <c r="S1008" i="2"/>
  <c r="R1008" i="2"/>
  <c r="Q1008" i="2"/>
  <c r="P1008" i="2"/>
  <c r="O1008" i="2"/>
  <c r="N1008" i="2"/>
  <c r="M1008" i="2"/>
  <c r="L1008" i="2"/>
  <c r="K1008" i="2"/>
  <c r="J1008" i="2"/>
  <c r="I1008" i="2"/>
  <c r="H1008" i="2"/>
  <c r="G1008" i="2"/>
  <c r="F1008" i="2"/>
  <c r="E1008" i="2"/>
  <c r="D1008" i="2"/>
  <c r="C1008" i="2"/>
  <c r="A1008" i="2"/>
  <c r="AO1007" i="2"/>
  <c r="AN1007" i="2"/>
  <c r="AM1007" i="2"/>
  <c r="AL1007" i="2"/>
  <c r="AK1007" i="2"/>
  <c r="AJ1007" i="2"/>
  <c r="AI1007" i="2"/>
  <c r="AH1007" i="2"/>
  <c r="AG1007" i="2"/>
  <c r="AF1007" i="2"/>
  <c r="AE1007" i="2"/>
  <c r="AD1007" i="2"/>
  <c r="AC1007" i="2"/>
  <c r="AB1007" i="2"/>
  <c r="AA1007" i="2"/>
  <c r="Z1007" i="2"/>
  <c r="Y1007" i="2"/>
  <c r="X1007" i="2"/>
  <c r="W1007" i="2"/>
  <c r="V1007" i="2"/>
  <c r="U1007" i="2"/>
  <c r="S1007" i="2"/>
  <c r="R1007" i="2"/>
  <c r="Q1007" i="2"/>
  <c r="P1007" i="2"/>
  <c r="O1007" i="2"/>
  <c r="N1007" i="2"/>
  <c r="M1007" i="2"/>
  <c r="L1007" i="2"/>
  <c r="K1007" i="2"/>
  <c r="J1007" i="2"/>
  <c r="I1007" i="2"/>
  <c r="H1007" i="2"/>
  <c r="G1007" i="2"/>
  <c r="F1007" i="2"/>
  <c r="E1007" i="2"/>
  <c r="D1007" i="2"/>
  <c r="C1007" i="2"/>
  <c r="A1007" i="2"/>
  <c r="AO1006" i="2"/>
  <c r="AN1006" i="2"/>
  <c r="AM1006" i="2"/>
  <c r="AK1006" i="2"/>
  <c r="AJ1006" i="2"/>
  <c r="AI1006" i="2"/>
  <c r="AH1006" i="2"/>
  <c r="AG1006" i="2"/>
  <c r="AF1006" i="2"/>
  <c r="AE1006" i="2"/>
  <c r="AC1006" i="2"/>
  <c r="AB1006" i="2"/>
  <c r="AA1006" i="2"/>
  <c r="Z1006" i="2"/>
  <c r="Y1006" i="2"/>
  <c r="X1006" i="2"/>
  <c r="W1006" i="2"/>
  <c r="V1006" i="2"/>
  <c r="U1006" i="2"/>
  <c r="S1006" i="2"/>
  <c r="R1006" i="2"/>
  <c r="Q1006" i="2"/>
  <c r="P1006" i="2"/>
  <c r="O1006" i="2"/>
  <c r="N1006" i="2"/>
  <c r="M1006" i="2"/>
  <c r="L1006" i="2"/>
  <c r="K1006" i="2"/>
  <c r="J1006" i="2"/>
  <c r="I1006" i="2"/>
  <c r="H1006" i="2"/>
  <c r="G1006" i="2"/>
  <c r="F1006" i="2"/>
  <c r="E1006" i="2"/>
  <c r="D1006" i="2"/>
  <c r="C1006" i="2"/>
  <c r="A1006" i="2"/>
  <c r="AO1005" i="2"/>
  <c r="AN1005" i="2"/>
  <c r="AM1005" i="2"/>
  <c r="AL1005" i="2"/>
  <c r="AK1005" i="2"/>
  <c r="AJ1005" i="2"/>
  <c r="AI1005" i="2"/>
  <c r="AH1005" i="2"/>
  <c r="AG1005" i="2"/>
  <c r="AF1005" i="2"/>
  <c r="AE1005" i="2"/>
  <c r="AD1005" i="2"/>
  <c r="AC1005" i="2"/>
  <c r="AB1005" i="2"/>
  <c r="AA1005" i="2"/>
  <c r="Z1005" i="2"/>
  <c r="Y1005" i="2"/>
  <c r="X1005" i="2"/>
  <c r="W1005" i="2"/>
  <c r="V1005" i="2"/>
  <c r="U1005" i="2"/>
  <c r="S1005" i="2"/>
  <c r="R1005" i="2"/>
  <c r="Q1005" i="2"/>
  <c r="P1005" i="2"/>
  <c r="O1005" i="2"/>
  <c r="N1005" i="2"/>
  <c r="M1005" i="2"/>
  <c r="L1005" i="2"/>
  <c r="K1005" i="2"/>
  <c r="J1005" i="2"/>
  <c r="I1005" i="2"/>
  <c r="H1005" i="2"/>
  <c r="G1005" i="2"/>
  <c r="F1005" i="2"/>
  <c r="E1005" i="2"/>
  <c r="D1005" i="2"/>
  <c r="C1005" i="2"/>
  <c r="A1005" i="2"/>
  <c r="AO1004" i="2"/>
  <c r="AN1004" i="2"/>
  <c r="AM1004" i="2"/>
  <c r="AK1004" i="2"/>
  <c r="AJ1004" i="2"/>
  <c r="AI1004" i="2"/>
  <c r="AH1004" i="2"/>
  <c r="AG1004" i="2"/>
  <c r="AF1004" i="2"/>
  <c r="AE1004" i="2"/>
  <c r="AD1004" i="2"/>
  <c r="AC1004" i="2"/>
  <c r="AB1004" i="2"/>
  <c r="AA1004" i="2"/>
  <c r="Z1004" i="2"/>
  <c r="Y1004" i="2"/>
  <c r="X1004" i="2"/>
  <c r="W1004" i="2"/>
  <c r="V1004" i="2"/>
  <c r="U1004" i="2"/>
  <c r="S1004" i="2"/>
  <c r="R1004" i="2"/>
  <c r="Q1004" i="2"/>
  <c r="P1004" i="2"/>
  <c r="O1004" i="2"/>
  <c r="N1004" i="2"/>
  <c r="M1004" i="2"/>
  <c r="L1004" i="2"/>
  <c r="K1004" i="2"/>
  <c r="J1004" i="2"/>
  <c r="I1004" i="2"/>
  <c r="H1004" i="2"/>
  <c r="G1004" i="2"/>
  <c r="F1004" i="2"/>
  <c r="E1004" i="2"/>
  <c r="D1004" i="2"/>
  <c r="C1004" i="2"/>
  <c r="B1004" i="2"/>
  <c r="A1004" i="2"/>
  <c r="AO1003" i="2"/>
  <c r="AN1003" i="2"/>
  <c r="AM1003" i="2"/>
  <c r="AK1003" i="2"/>
  <c r="AJ1003" i="2"/>
  <c r="AI1003" i="2"/>
  <c r="AH1003" i="2"/>
  <c r="AG1003" i="2"/>
  <c r="AF1003" i="2"/>
  <c r="AE1003" i="2"/>
  <c r="AD1003" i="2"/>
  <c r="AC1003" i="2"/>
  <c r="AB1003" i="2"/>
  <c r="AA1003" i="2"/>
  <c r="Z1003" i="2"/>
  <c r="Y1003" i="2"/>
  <c r="X1003" i="2"/>
  <c r="W1003" i="2"/>
  <c r="V1003" i="2"/>
  <c r="U1003" i="2"/>
  <c r="S1003" i="2"/>
  <c r="R1003" i="2"/>
  <c r="Q1003" i="2"/>
  <c r="P1003" i="2"/>
  <c r="O1003" i="2"/>
  <c r="N1003" i="2"/>
  <c r="M1003" i="2"/>
  <c r="L1003" i="2"/>
  <c r="K1003" i="2"/>
  <c r="J1003" i="2"/>
  <c r="I1003" i="2"/>
  <c r="H1003" i="2"/>
  <c r="G1003" i="2"/>
  <c r="F1003" i="2"/>
  <c r="E1003" i="2"/>
  <c r="D1003" i="2"/>
  <c r="C1003" i="2"/>
  <c r="B1003" i="2"/>
  <c r="A1003" i="2"/>
  <c r="AO1002" i="2"/>
  <c r="AN1002" i="2"/>
  <c r="AM1002" i="2"/>
  <c r="AK1002" i="2"/>
  <c r="AJ1002" i="2"/>
  <c r="AI1002" i="2"/>
  <c r="AH1002" i="2"/>
  <c r="AG1002" i="2"/>
  <c r="AF1002" i="2"/>
  <c r="AE1002" i="2"/>
  <c r="AD1002" i="2"/>
  <c r="AC1002" i="2"/>
  <c r="AB1002" i="2"/>
  <c r="AA1002" i="2"/>
  <c r="Z1002" i="2"/>
  <c r="Y1002" i="2"/>
  <c r="X1002" i="2"/>
  <c r="W1002" i="2"/>
  <c r="V1002" i="2"/>
  <c r="U1002" i="2"/>
  <c r="S1002" i="2"/>
  <c r="R1002" i="2"/>
  <c r="Q1002" i="2"/>
  <c r="P1002" i="2"/>
  <c r="O1002" i="2"/>
  <c r="N1002" i="2"/>
  <c r="M1002" i="2"/>
  <c r="L1002" i="2"/>
  <c r="K1002" i="2"/>
  <c r="J1002" i="2"/>
  <c r="I1002" i="2"/>
  <c r="H1002" i="2"/>
  <c r="G1002" i="2"/>
  <c r="F1002" i="2"/>
  <c r="E1002" i="2"/>
  <c r="D1002" i="2"/>
  <c r="C1002" i="2"/>
  <c r="B1002" i="2"/>
  <c r="A1002" i="2"/>
  <c r="AO1001" i="2"/>
  <c r="AN1001" i="2"/>
  <c r="AM1001" i="2"/>
  <c r="AL1001" i="2"/>
  <c r="AK1001" i="2"/>
  <c r="AJ1001" i="2"/>
  <c r="AI1001" i="2"/>
  <c r="AH1001" i="2"/>
  <c r="AG1001" i="2"/>
  <c r="AF1001" i="2"/>
  <c r="AE1001" i="2"/>
  <c r="AD1001" i="2"/>
  <c r="AC1001" i="2"/>
  <c r="AB1001" i="2"/>
  <c r="AA1001" i="2"/>
  <c r="Z1001" i="2"/>
  <c r="Y1001" i="2"/>
  <c r="X1001" i="2"/>
  <c r="W1001" i="2"/>
  <c r="V1001" i="2"/>
  <c r="U1001" i="2"/>
  <c r="S1001" i="2"/>
  <c r="R1001" i="2"/>
  <c r="Q1001" i="2"/>
  <c r="P1001" i="2"/>
  <c r="O1001" i="2"/>
  <c r="N1001" i="2"/>
  <c r="M1001" i="2"/>
  <c r="L1001" i="2"/>
  <c r="K1001" i="2"/>
  <c r="J1001" i="2"/>
  <c r="I1001" i="2"/>
  <c r="H1001" i="2"/>
  <c r="G1001" i="2"/>
  <c r="F1001" i="2"/>
  <c r="E1001" i="2"/>
  <c r="D1001" i="2"/>
  <c r="C1001" i="2"/>
  <c r="B1001" i="2"/>
  <c r="A1001" i="2"/>
  <c r="AO1000" i="2"/>
  <c r="AN1000" i="2"/>
  <c r="AM1000" i="2"/>
  <c r="AK1000" i="2"/>
  <c r="AJ1000" i="2"/>
  <c r="AI1000" i="2"/>
  <c r="AH1000" i="2"/>
  <c r="AG1000" i="2"/>
  <c r="AF1000" i="2"/>
  <c r="AE1000" i="2"/>
  <c r="AD1000" i="2"/>
  <c r="AC1000" i="2"/>
  <c r="AB1000" i="2"/>
  <c r="AA1000" i="2"/>
  <c r="Z1000" i="2"/>
  <c r="Y1000" i="2"/>
  <c r="X1000" i="2"/>
  <c r="W1000" i="2"/>
  <c r="V1000" i="2"/>
  <c r="U1000" i="2"/>
  <c r="S1000" i="2"/>
  <c r="R1000" i="2"/>
  <c r="Q1000" i="2"/>
  <c r="P1000" i="2"/>
  <c r="O1000" i="2"/>
  <c r="N1000" i="2"/>
  <c r="M1000" i="2"/>
  <c r="L1000" i="2"/>
  <c r="K1000" i="2"/>
  <c r="J1000" i="2"/>
  <c r="I1000" i="2"/>
  <c r="H1000" i="2"/>
  <c r="G1000" i="2"/>
  <c r="F1000" i="2"/>
  <c r="E1000" i="2"/>
  <c r="D1000" i="2"/>
  <c r="C1000" i="2"/>
  <c r="A1000" i="2"/>
  <c r="AO999" i="2"/>
  <c r="AN999" i="2"/>
  <c r="AM999" i="2"/>
  <c r="AK999" i="2"/>
  <c r="AJ999" i="2"/>
  <c r="AI999" i="2"/>
  <c r="AH999" i="2"/>
  <c r="AG999" i="2"/>
  <c r="AF999" i="2"/>
  <c r="AE999" i="2"/>
  <c r="AD999" i="2"/>
  <c r="AC999" i="2"/>
  <c r="AB999" i="2"/>
  <c r="AA999" i="2"/>
  <c r="Z999" i="2"/>
  <c r="Y999" i="2"/>
  <c r="X999" i="2"/>
  <c r="W999" i="2"/>
  <c r="V999" i="2"/>
  <c r="U999" i="2"/>
  <c r="S999" i="2"/>
  <c r="R999" i="2"/>
  <c r="Q999" i="2"/>
  <c r="P999" i="2"/>
  <c r="O999" i="2"/>
  <c r="N999" i="2"/>
  <c r="M999" i="2"/>
  <c r="L999" i="2"/>
  <c r="K999" i="2"/>
  <c r="J999" i="2"/>
  <c r="I999" i="2"/>
  <c r="H999" i="2"/>
  <c r="G999" i="2"/>
  <c r="F999" i="2"/>
  <c r="E999" i="2"/>
  <c r="D999" i="2"/>
  <c r="C999" i="2"/>
  <c r="B999" i="2"/>
  <c r="A999" i="2"/>
  <c r="AO998" i="2"/>
  <c r="AN998" i="2"/>
  <c r="AM998" i="2"/>
  <c r="AL998" i="2"/>
  <c r="AK998" i="2"/>
  <c r="AJ998" i="2"/>
  <c r="AI998" i="2"/>
  <c r="AH998" i="2"/>
  <c r="AG998" i="2"/>
  <c r="AF998" i="2"/>
  <c r="AE998" i="2"/>
  <c r="AC998" i="2"/>
  <c r="AB998" i="2"/>
  <c r="AA998" i="2"/>
  <c r="Z998" i="2"/>
  <c r="Y998" i="2"/>
  <c r="X998" i="2"/>
  <c r="W998" i="2"/>
  <c r="V998" i="2"/>
  <c r="U998" i="2"/>
  <c r="S998" i="2"/>
  <c r="R998" i="2"/>
  <c r="Q998" i="2"/>
  <c r="P998" i="2"/>
  <c r="O998" i="2"/>
  <c r="N998" i="2"/>
  <c r="M998" i="2"/>
  <c r="L998" i="2"/>
  <c r="K998" i="2"/>
  <c r="J998" i="2"/>
  <c r="I998" i="2"/>
  <c r="H998" i="2"/>
  <c r="G998" i="2"/>
  <c r="F998" i="2"/>
  <c r="E998" i="2"/>
  <c r="D998" i="2"/>
  <c r="C998" i="2"/>
  <c r="B998" i="2"/>
  <c r="A998" i="2"/>
  <c r="AO997" i="2"/>
  <c r="AN997" i="2"/>
  <c r="AM997" i="2"/>
  <c r="AK997" i="2"/>
  <c r="AJ997" i="2"/>
  <c r="AI997" i="2"/>
  <c r="AH997" i="2"/>
  <c r="AG997" i="2"/>
  <c r="AF997" i="2"/>
  <c r="AE997" i="2"/>
  <c r="AC997" i="2"/>
  <c r="AB997" i="2"/>
  <c r="AA997" i="2"/>
  <c r="Z997" i="2"/>
  <c r="Y997" i="2"/>
  <c r="X997" i="2"/>
  <c r="W997" i="2"/>
  <c r="V997" i="2"/>
  <c r="U997" i="2"/>
  <c r="S997" i="2"/>
  <c r="R997" i="2"/>
  <c r="Q997" i="2"/>
  <c r="P997" i="2"/>
  <c r="O997" i="2"/>
  <c r="N997" i="2"/>
  <c r="M997" i="2"/>
  <c r="L997" i="2"/>
  <c r="K997" i="2"/>
  <c r="J997" i="2"/>
  <c r="I997" i="2"/>
  <c r="H997" i="2"/>
  <c r="G997" i="2"/>
  <c r="F997" i="2"/>
  <c r="E997" i="2"/>
  <c r="D997" i="2"/>
  <c r="C997" i="2"/>
  <c r="B997" i="2"/>
  <c r="A997" i="2"/>
  <c r="AO996" i="2"/>
  <c r="AN996" i="2"/>
  <c r="AM996" i="2"/>
  <c r="AK996" i="2"/>
  <c r="AJ996" i="2"/>
  <c r="AI996" i="2"/>
  <c r="AH996" i="2"/>
  <c r="AG996" i="2"/>
  <c r="AF996" i="2"/>
  <c r="AE996" i="2"/>
  <c r="AC996" i="2"/>
  <c r="AB996" i="2"/>
  <c r="AA996" i="2"/>
  <c r="Z996" i="2"/>
  <c r="X996" i="2"/>
  <c r="W996" i="2"/>
  <c r="V996" i="2"/>
  <c r="U996" i="2"/>
  <c r="S996" i="2"/>
  <c r="R996" i="2"/>
  <c r="Q996" i="2"/>
  <c r="P996" i="2"/>
  <c r="O996" i="2"/>
  <c r="N996" i="2"/>
  <c r="M996" i="2"/>
  <c r="L996" i="2"/>
  <c r="K996" i="2"/>
  <c r="J996" i="2"/>
  <c r="I996" i="2"/>
  <c r="H996" i="2"/>
  <c r="G996" i="2"/>
  <c r="F996" i="2"/>
  <c r="E996" i="2"/>
  <c r="D996" i="2"/>
  <c r="C996" i="2"/>
  <c r="B996" i="2"/>
  <c r="A996" i="2"/>
  <c r="AO995" i="2"/>
  <c r="AN995" i="2"/>
  <c r="AM995" i="2"/>
  <c r="AK995" i="2"/>
  <c r="AJ995" i="2"/>
  <c r="AI995" i="2"/>
  <c r="AH995" i="2"/>
  <c r="AG995" i="2"/>
  <c r="AF995" i="2"/>
  <c r="AE995" i="2"/>
  <c r="AD995" i="2"/>
  <c r="AC995" i="2"/>
  <c r="AB995" i="2"/>
  <c r="AA995" i="2"/>
  <c r="Z995" i="2"/>
  <c r="Y995" i="2"/>
  <c r="X995" i="2"/>
  <c r="W995" i="2"/>
  <c r="V995" i="2"/>
  <c r="U995" i="2"/>
  <c r="S995" i="2"/>
  <c r="R995" i="2"/>
  <c r="Q995" i="2"/>
  <c r="P995" i="2"/>
  <c r="O995" i="2"/>
  <c r="N995" i="2"/>
  <c r="M995" i="2"/>
  <c r="L995" i="2"/>
  <c r="K995" i="2"/>
  <c r="J995" i="2"/>
  <c r="I995" i="2"/>
  <c r="H995" i="2"/>
  <c r="G995" i="2"/>
  <c r="F995" i="2"/>
  <c r="E995" i="2"/>
  <c r="D995" i="2"/>
  <c r="C995" i="2"/>
  <c r="B995" i="2"/>
  <c r="A995" i="2"/>
  <c r="AO994" i="2"/>
  <c r="AN994" i="2"/>
  <c r="AM994" i="2"/>
  <c r="AL994" i="2"/>
  <c r="AK994" i="2"/>
  <c r="AJ994" i="2"/>
  <c r="AI994" i="2"/>
  <c r="AH994" i="2"/>
  <c r="AG994" i="2"/>
  <c r="AF994" i="2"/>
  <c r="AE994" i="2"/>
  <c r="AD994" i="2"/>
  <c r="AC994" i="2"/>
  <c r="AB994" i="2"/>
  <c r="AA994" i="2"/>
  <c r="Z994" i="2"/>
  <c r="Y994" i="2"/>
  <c r="X994" i="2"/>
  <c r="W994" i="2"/>
  <c r="V994" i="2"/>
  <c r="U994" i="2"/>
  <c r="S994" i="2"/>
  <c r="R994" i="2"/>
  <c r="Q994" i="2"/>
  <c r="P994" i="2"/>
  <c r="O994" i="2"/>
  <c r="N994" i="2"/>
  <c r="M994" i="2"/>
  <c r="L994" i="2"/>
  <c r="K994" i="2"/>
  <c r="J994" i="2"/>
  <c r="I994" i="2"/>
  <c r="H994" i="2"/>
  <c r="G994" i="2"/>
  <c r="F994" i="2"/>
  <c r="E994" i="2"/>
  <c r="D994" i="2"/>
  <c r="C994" i="2"/>
  <c r="B994" i="2"/>
  <c r="A994" i="2"/>
  <c r="AO993" i="2"/>
  <c r="AN993" i="2"/>
  <c r="AM993" i="2"/>
  <c r="AL993" i="2"/>
  <c r="AK993" i="2"/>
  <c r="AJ993" i="2"/>
  <c r="AI993" i="2"/>
  <c r="AH993" i="2"/>
  <c r="AG993" i="2"/>
  <c r="AF993" i="2"/>
  <c r="AE993" i="2"/>
  <c r="AD993" i="2"/>
  <c r="AC993" i="2"/>
  <c r="AB993" i="2"/>
  <c r="AA993" i="2"/>
  <c r="Z993" i="2"/>
  <c r="Y993" i="2"/>
  <c r="X993" i="2"/>
  <c r="W993" i="2"/>
  <c r="V993" i="2"/>
  <c r="U993" i="2"/>
  <c r="S993" i="2"/>
  <c r="R993" i="2"/>
  <c r="Q993" i="2"/>
  <c r="P993" i="2"/>
  <c r="O993" i="2"/>
  <c r="N993" i="2"/>
  <c r="M993" i="2"/>
  <c r="L993" i="2"/>
  <c r="K993" i="2"/>
  <c r="J993" i="2"/>
  <c r="I993" i="2"/>
  <c r="H993" i="2"/>
  <c r="G993" i="2"/>
  <c r="F993" i="2"/>
  <c r="E993" i="2"/>
  <c r="D993" i="2"/>
  <c r="C993" i="2"/>
  <c r="B993" i="2"/>
  <c r="A993" i="2"/>
  <c r="AO992" i="2"/>
  <c r="AN992" i="2"/>
  <c r="AM992" i="2"/>
  <c r="AL992" i="2"/>
  <c r="AK992" i="2"/>
  <c r="AJ992" i="2"/>
  <c r="AI992" i="2"/>
  <c r="AH992" i="2"/>
  <c r="AG992" i="2"/>
  <c r="AF992" i="2"/>
  <c r="AE992" i="2"/>
  <c r="AD992" i="2"/>
  <c r="AC992" i="2"/>
  <c r="AB992" i="2"/>
  <c r="AA992" i="2"/>
  <c r="Y992" i="2"/>
  <c r="X992" i="2"/>
  <c r="W992" i="2"/>
  <c r="V992" i="2"/>
  <c r="U992" i="2"/>
  <c r="S992" i="2"/>
  <c r="R992" i="2"/>
  <c r="Q992" i="2"/>
  <c r="P992" i="2"/>
  <c r="O992" i="2"/>
  <c r="N992" i="2"/>
  <c r="M992" i="2"/>
  <c r="L992" i="2"/>
  <c r="K992" i="2"/>
  <c r="J992" i="2"/>
  <c r="I992" i="2"/>
  <c r="H992" i="2"/>
  <c r="G992" i="2"/>
  <c r="F992" i="2"/>
  <c r="E992" i="2"/>
  <c r="D992" i="2"/>
  <c r="C992" i="2"/>
  <c r="A992" i="2"/>
  <c r="AO991" i="2"/>
  <c r="AN991" i="2"/>
  <c r="AM991" i="2"/>
  <c r="AK991" i="2"/>
  <c r="AJ991" i="2"/>
  <c r="AI991" i="2"/>
  <c r="AH991" i="2"/>
  <c r="AG991" i="2"/>
  <c r="AF991" i="2"/>
  <c r="AE991" i="2"/>
  <c r="AC991" i="2"/>
  <c r="AB991" i="2"/>
  <c r="AA991" i="2"/>
  <c r="Z991" i="2"/>
  <c r="Y991" i="2"/>
  <c r="X991" i="2"/>
  <c r="W991" i="2"/>
  <c r="V991" i="2"/>
  <c r="U991" i="2"/>
  <c r="S991" i="2"/>
  <c r="R991" i="2"/>
  <c r="Q991" i="2"/>
  <c r="P991" i="2"/>
  <c r="O991" i="2"/>
  <c r="N991" i="2"/>
  <c r="M991" i="2"/>
  <c r="L991" i="2"/>
  <c r="K991" i="2"/>
  <c r="J991" i="2"/>
  <c r="I991" i="2"/>
  <c r="H991" i="2"/>
  <c r="G991" i="2"/>
  <c r="F991" i="2"/>
  <c r="E991" i="2"/>
  <c r="D991" i="2"/>
  <c r="C991" i="2"/>
  <c r="A991" i="2"/>
  <c r="AO990" i="2"/>
  <c r="AN990" i="2"/>
  <c r="AM990" i="2"/>
  <c r="AK990" i="2"/>
  <c r="AJ990" i="2"/>
  <c r="AI990" i="2"/>
  <c r="AH990" i="2"/>
  <c r="AG990" i="2"/>
  <c r="AF990" i="2"/>
  <c r="AE990" i="2"/>
  <c r="AC990" i="2"/>
  <c r="AB990" i="2"/>
  <c r="AA990" i="2"/>
  <c r="Z990" i="2"/>
  <c r="Y990" i="2"/>
  <c r="X990" i="2"/>
  <c r="W990" i="2"/>
  <c r="V990" i="2"/>
  <c r="U990" i="2"/>
  <c r="S990" i="2"/>
  <c r="R990" i="2"/>
  <c r="Q990" i="2"/>
  <c r="P990" i="2"/>
  <c r="O990" i="2"/>
  <c r="N990" i="2"/>
  <c r="M990" i="2"/>
  <c r="L990" i="2"/>
  <c r="K990" i="2"/>
  <c r="J990" i="2"/>
  <c r="I990" i="2"/>
  <c r="H990" i="2"/>
  <c r="G990" i="2"/>
  <c r="F990" i="2"/>
  <c r="E990" i="2"/>
  <c r="D990" i="2"/>
  <c r="C990" i="2"/>
  <c r="A990" i="2"/>
  <c r="AO989" i="2"/>
  <c r="AN989" i="2"/>
  <c r="AM989" i="2"/>
  <c r="AK989" i="2"/>
  <c r="AJ989" i="2"/>
  <c r="AI989" i="2"/>
  <c r="AH989" i="2"/>
  <c r="AG989" i="2"/>
  <c r="AF989" i="2"/>
  <c r="AE989" i="2"/>
  <c r="AC989" i="2"/>
  <c r="AB989" i="2"/>
  <c r="AA989" i="2"/>
  <c r="Z989" i="2"/>
  <c r="Y989" i="2"/>
  <c r="X989" i="2"/>
  <c r="W989" i="2"/>
  <c r="V989" i="2"/>
  <c r="U989" i="2"/>
  <c r="S989" i="2"/>
  <c r="R989" i="2"/>
  <c r="Q989" i="2"/>
  <c r="P989" i="2"/>
  <c r="O989" i="2"/>
  <c r="N989" i="2"/>
  <c r="M989" i="2"/>
  <c r="L989" i="2"/>
  <c r="K989" i="2"/>
  <c r="J989" i="2"/>
  <c r="I989" i="2"/>
  <c r="H989" i="2"/>
  <c r="G989" i="2"/>
  <c r="F989" i="2"/>
  <c r="E989" i="2"/>
  <c r="D989" i="2"/>
  <c r="C989" i="2"/>
  <c r="B989" i="2"/>
  <c r="A989" i="2"/>
  <c r="AO988" i="2"/>
  <c r="AN988" i="2"/>
  <c r="AM988" i="2"/>
  <c r="AL988" i="2"/>
  <c r="AK988" i="2"/>
  <c r="AJ988" i="2"/>
  <c r="AI988" i="2"/>
  <c r="AH988" i="2"/>
  <c r="AG988" i="2"/>
  <c r="AF988" i="2"/>
  <c r="AE988" i="2"/>
  <c r="AD988" i="2"/>
  <c r="AC988" i="2"/>
  <c r="AB988" i="2"/>
  <c r="AA988" i="2"/>
  <c r="Z988" i="2"/>
  <c r="Y988" i="2"/>
  <c r="X988" i="2"/>
  <c r="W988" i="2"/>
  <c r="V988" i="2"/>
  <c r="U988" i="2"/>
  <c r="S988" i="2"/>
  <c r="R988" i="2"/>
  <c r="Q988" i="2"/>
  <c r="P988" i="2"/>
  <c r="O988" i="2"/>
  <c r="N988" i="2"/>
  <c r="M988" i="2"/>
  <c r="L988" i="2"/>
  <c r="K988" i="2"/>
  <c r="J988" i="2"/>
  <c r="I988" i="2"/>
  <c r="H988" i="2"/>
  <c r="G988" i="2"/>
  <c r="F988" i="2"/>
  <c r="E988" i="2"/>
  <c r="D988" i="2"/>
  <c r="C988" i="2"/>
  <c r="A988" i="2"/>
  <c r="AO987" i="2"/>
  <c r="AN987" i="2"/>
  <c r="AM987" i="2"/>
  <c r="AK987" i="2"/>
  <c r="AJ987" i="2"/>
  <c r="AI987" i="2"/>
  <c r="AH987" i="2"/>
  <c r="AG987" i="2"/>
  <c r="AF987" i="2"/>
  <c r="AE987" i="2"/>
  <c r="AD987" i="2"/>
  <c r="AC987" i="2"/>
  <c r="AB987" i="2"/>
  <c r="AA987" i="2"/>
  <c r="Z987" i="2"/>
  <c r="Y987" i="2"/>
  <c r="X987" i="2"/>
  <c r="W987" i="2"/>
  <c r="V987" i="2"/>
  <c r="U987" i="2"/>
  <c r="S987" i="2"/>
  <c r="R987" i="2"/>
  <c r="Q987" i="2"/>
  <c r="P987" i="2"/>
  <c r="O987" i="2"/>
  <c r="N987" i="2"/>
  <c r="M987" i="2"/>
  <c r="L987" i="2"/>
  <c r="K987" i="2"/>
  <c r="J987" i="2"/>
  <c r="I987" i="2"/>
  <c r="H987" i="2"/>
  <c r="G987" i="2"/>
  <c r="F987" i="2"/>
  <c r="E987" i="2"/>
  <c r="D987" i="2"/>
  <c r="C987" i="2"/>
  <c r="A987" i="2"/>
  <c r="AO986" i="2"/>
  <c r="AN986" i="2"/>
  <c r="AM986" i="2"/>
  <c r="AK986" i="2"/>
  <c r="AJ986" i="2"/>
  <c r="AI986" i="2"/>
  <c r="AH986" i="2"/>
  <c r="AG986" i="2"/>
  <c r="AF986" i="2"/>
  <c r="AE986" i="2"/>
  <c r="AD986" i="2"/>
  <c r="AC986" i="2"/>
  <c r="AB986" i="2"/>
  <c r="AA986" i="2"/>
  <c r="Z986" i="2"/>
  <c r="Y986" i="2"/>
  <c r="X986" i="2"/>
  <c r="W986" i="2"/>
  <c r="V986" i="2"/>
  <c r="U986" i="2"/>
  <c r="S986" i="2"/>
  <c r="R986" i="2"/>
  <c r="Q986" i="2"/>
  <c r="P986" i="2"/>
  <c r="O986" i="2"/>
  <c r="N986" i="2"/>
  <c r="M986" i="2"/>
  <c r="L986" i="2"/>
  <c r="K986" i="2"/>
  <c r="J986" i="2"/>
  <c r="I986" i="2"/>
  <c r="H986" i="2"/>
  <c r="G986" i="2"/>
  <c r="F986" i="2"/>
  <c r="E986" i="2"/>
  <c r="D986" i="2"/>
  <c r="C986" i="2"/>
  <c r="B986" i="2"/>
  <c r="A986" i="2"/>
  <c r="AO985" i="2"/>
  <c r="AN985" i="2"/>
  <c r="AM985" i="2"/>
  <c r="AL985" i="2"/>
  <c r="AK985" i="2"/>
  <c r="AJ985" i="2"/>
  <c r="AI985" i="2"/>
  <c r="AG985" i="2"/>
  <c r="AF985" i="2"/>
  <c r="AE985" i="2"/>
  <c r="AC985" i="2"/>
  <c r="AB985" i="2"/>
  <c r="AA985" i="2"/>
  <c r="X985" i="2"/>
  <c r="W985" i="2"/>
  <c r="V985" i="2"/>
  <c r="U985" i="2"/>
  <c r="R985" i="2"/>
  <c r="Q985" i="2"/>
  <c r="P985" i="2"/>
  <c r="O985" i="2"/>
  <c r="N985" i="2"/>
  <c r="M985" i="2"/>
  <c r="L985" i="2"/>
  <c r="K985" i="2"/>
  <c r="J985" i="2"/>
  <c r="I985" i="2"/>
  <c r="H985" i="2"/>
  <c r="G985" i="2"/>
  <c r="F985" i="2"/>
  <c r="E985" i="2"/>
  <c r="D985" i="2"/>
  <c r="C985" i="2"/>
  <c r="B985" i="2"/>
  <c r="A985" i="2"/>
  <c r="AO984" i="2"/>
  <c r="AN984" i="2"/>
  <c r="AM984" i="2"/>
  <c r="AK984" i="2"/>
  <c r="AJ984" i="2"/>
  <c r="AI984" i="2"/>
  <c r="AH984" i="2"/>
  <c r="AG984" i="2"/>
  <c r="AF984" i="2"/>
  <c r="AE984" i="2"/>
  <c r="AD984" i="2"/>
  <c r="AC984" i="2"/>
  <c r="AB984" i="2"/>
  <c r="AA984" i="2"/>
  <c r="Z984" i="2"/>
  <c r="Y984" i="2"/>
  <c r="X984" i="2"/>
  <c r="W984" i="2"/>
  <c r="V984" i="2"/>
  <c r="U984" i="2"/>
  <c r="S984" i="2"/>
  <c r="R984" i="2"/>
  <c r="Q984" i="2"/>
  <c r="P984" i="2"/>
  <c r="O984" i="2"/>
  <c r="N984" i="2"/>
  <c r="M984" i="2"/>
  <c r="L984" i="2"/>
  <c r="K984" i="2"/>
  <c r="J984" i="2"/>
  <c r="I984" i="2"/>
  <c r="H984" i="2"/>
  <c r="G984" i="2"/>
  <c r="F984" i="2"/>
  <c r="E984" i="2"/>
  <c r="D984" i="2"/>
  <c r="C984" i="2"/>
  <c r="B984" i="2"/>
  <c r="A984" i="2"/>
  <c r="AO983" i="2"/>
  <c r="AN983" i="2"/>
  <c r="AM983" i="2"/>
  <c r="AL983" i="2"/>
  <c r="AK983" i="2"/>
  <c r="AJ983" i="2"/>
  <c r="AI983" i="2"/>
  <c r="AH983" i="2"/>
  <c r="AG983" i="2"/>
  <c r="AF983" i="2"/>
  <c r="AE983" i="2"/>
  <c r="AD983" i="2"/>
  <c r="AC983" i="2"/>
  <c r="AB983" i="2"/>
  <c r="AA983" i="2"/>
  <c r="Z983" i="2"/>
  <c r="Y983" i="2"/>
  <c r="X983" i="2"/>
  <c r="W983" i="2"/>
  <c r="V983" i="2"/>
  <c r="U983" i="2"/>
  <c r="S983" i="2"/>
  <c r="R983" i="2"/>
  <c r="Q983" i="2"/>
  <c r="P983" i="2"/>
  <c r="O983" i="2"/>
  <c r="N983" i="2"/>
  <c r="M983" i="2"/>
  <c r="L983" i="2"/>
  <c r="K983" i="2"/>
  <c r="J983" i="2"/>
  <c r="I983" i="2"/>
  <c r="H983" i="2"/>
  <c r="G983" i="2"/>
  <c r="F983" i="2"/>
  <c r="E983" i="2"/>
  <c r="D983" i="2"/>
  <c r="C983" i="2"/>
  <c r="A983" i="2"/>
  <c r="AO982" i="2"/>
  <c r="AN982" i="2"/>
  <c r="AM982" i="2"/>
  <c r="AK982" i="2"/>
  <c r="AJ982" i="2"/>
  <c r="AI982" i="2"/>
  <c r="AH982" i="2"/>
  <c r="AG982" i="2"/>
  <c r="AF982" i="2"/>
  <c r="AE982" i="2"/>
  <c r="AC982" i="2"/>
  <c r="AB982" i="2"/>
  <c r="AA982" i="2"/>
  <c r="Z982" i="2"/>
  <c r="Y982" i="2"/>
  <c r="X982" i="2"/>
  <c r="W982" i="2"/>
  <c r="V982" i="2"/>
  <c r="U982" i="2"/>
  <c r="S982" i="2"/>
  <c r="R982" i="2"/>
  <c r="Q982" i="2"/>
  <c r="P982" i="2"/>
  <c r="O982" i="2"/>
  <c r="N982" i="2"/>
  <c r="M982" i="2"/>
  <c r="L982" i="2"/>
  <c r="K982" i="2"/>
  <c r="J982" i="2"/>
  <c r="I982" i="2"/>
  <c r="H982" i="2"/>
  <c r="G982" i="2"/>
  <c r="F982" i="2"/>
  <c r="E982" i="2"/>
  <c r="D982" i="2"/>
  <c r="C982" i="2"/>
  <c r="B982" i="2"/>
  <c r="A982" i="2"/>
  <c r="AO981" i="2"/>
  <c r="AN981" i="2"/>
  <c r="AM981" i="2"/>
  <c r="AL981" i="2"/>
  <c r="AK981" i="2"/>
  <c r="AJ981" i="2"/>
  <c r="AI981" i="2"/>
  <c r="AH981" i="2"/>
  <c r="AG981" i="2"/>
  <c r="AF981" i="2"/>
  <c r="AE981" i="2"/>
  <c r="AD981" i="2"/>
  <c r="AC981" i="2"/>
  <c r="AB981" i="2"/>
  <c r="AA981" i="2"/>
  <c r="Z981" i="2"/>
  <c r="Y981" i="2"/>
  <c r="X981" i="2"/>
  <c r="W981" i="2"/>
  <c r="V981" i="2"/>
  <c r="U981" i="2"/>
  <c r="S981" i="2"/>
  <c r="R981" i="2"/>
  <c r="Q981" i="2"/>
  <c r="P981" i="2"/>
  <c r="O981" i="2"/>
  <c r="N981" i="2"/>
  <c r="M981" i="2"/>
  <c r="L981" i="2"/>
  <c r="K981" i="2"/>
  <c r="J981" i="2"/>
  <c r="I981" i="2"/>
  <c r="H981" i="2"/>
  <c r="G981" i="2"/>
  <c r="F981" i="2"/>
  <c r="E981" i="2"/>
  <c r="D981" i="2"/>
  <c r="C981" i="2"/>
  <c r="A981" i="2"/>
  <c r="AO980" i="2"/>
  <c r="AN980" i="2"/>
  <c r="AM980" i="2"/>
  <c r="AL980" i="2"/>
  <c r="AK980" i="2"/>
  <c r="AJ980" i="2"/>
  <c r="AI980" i="2"/>
  <c r="AH980" i="2"/>
  <c r="AG980" i="2"/>
  <c r="AF980" i="2"/>
  <c r="AE980" i="2"/>
  <c r="AD980" i="2"/>
  <c r="AC980" i="2"/>
  <c r="AB980" i="2"/>
  <c r="AA980" i="2"/>
  <c r="Z980" i="2"/>
  <c r="Y980" i="2"/>
  <c r="X980" i="2"/>
  <c r="W980" i="2"/>
  <c r="V980" i="2"/>
  <c r="U980" i="2"/>
  <c r="S980" i="2"/>
  <c r="R980" i="2"/>
  <c r="Q980" i="2"/>
  <c r="P980" i="2"/>
  <c r="O980" i="2"/>
  <c r="N980" i="2"/>
  <c r="M980" i="2"/>
  <c r="L980" i="2"/>
  <c r="K980" i="2"/>
  <c r="J980" i="2"/>
  <c r="I980" i="2"/>
  <c r="H980" i="2"/>
  <c r="G980" i="2"/>
  <c r="F980" i="2"/>
  <c r="E980" i="2"/>
  <c r="D980" i="2"/>
  <c r="C980" i="2"/>
  <c r="A980" i="2"/>
  <c r="AO979" i="2"/>
  <c r="AN979" i="2"/>
  <c r="AM979" i="2"/>
  <c r="AL979" i="2"/>
  <c r="AK979" i="2"/>
  <c r="AJ979" i="2"/>
  <c r="AI979" i="2"/>
  <c r="AH979" i="2"/>
  <c r="AG979" i="2"/>
  <c r="AF979" i="2"/>
  <c r="AE979" i="2"/>
  <c r="AD979" i="2"/>
  <c r="AC979" i="2"/>
  <c r="AB979" i="2"/>
  <c r="AA979" i="2"/>
  <c r="Z979" i="2"/>
  <c r="Y979" i="2"/>
  <c r="X979" i="2"/>
  <c r="W979" i="2"/>
  <c r="V979" i="2"/>
  <c r="U979" i="2"/>
  <c r="S979" i="2"/>
  <c r="R979" i="2"/>
  <c r="Q979" i="2"/>
  <c r="P979" i="2"/>
  <c r="O979" i="2"/>
  <c r="N979" i="2"/>
  <c r="M979" i="2"/>
  <c r="L979" i="2"/>
  <c r="K979" i="2"/>
  <c r="J979" i="2"/>
  <c r="I979" i="2"/>
  <c r="H979" i="2"/>
  <c r="G979" i="2"/>
  <c r="F979" i="2"/>
  <c r="E979" i="2"/>
  <c r="D979" i="2"/>
  <c r="C979" i="2"/>
  <c r="B979" i="2"/>
  <c r="A979" i="2"/>
  <c r="AO978" i="2"/>
  <c r="AN978" i="2"/>
  <c r="AM978" i="2"/>
  <c r="AK978" i="2"/>
  <c r="AJ978" i="2"/>
  <c r="AI978" i="2"/>
  <c r="AH978" i="2"/>
  <c r="AG978" i="2"/>
  <c r="AF978" i="2"/>
  <c r="AE978" i="2"/>
  <c r="AD978" i="2"/>
  <c r="AC978" i="2"/>
  <c r="AB978" i="2"/>
  <c r="AA978" i="2"/>
  <c r="Z978" i="2"/>
  <c r="Y978" i="2"/>
  <c r="X978" i="2"/>
  <c r="W978" i="2"/>
  <c r="V978" i="2"/>
  <c r="U978" i="2"/>
  <c r="S978" i="2"/>
  <c r="R978" i="2"/>
  <c r="Q978" i="2"/>
  <c r="P978" i="2"/>
  <c r="O978" i="2"/>
  <c r="N978" i="2"/>
  <c r="M978" i="2"/>
  <c r="L978" i="2"/>
  <c r="K978" i="2"/>
  <c r="J978" i="2"/>
  <c r="I978" i="2"/>
  <c r="H978" i="2"/>
  <c r="G978" i="2"/>
  <c r="F978" i="2"/>
  <c r="E978" i="2"/>
  <c r="D978" i="2"/>
  <c r="C978" i="2"/>
  <c r="B978" i="2"/>
  <c r="A978" i="2"/>
  <c r="AO977" i="2"/>
  <c r="AN977" i="2"/>
  <c r="AM977" i="2"/>
  <c r="AL977" i="2"/>
  <c r="AK977" i="2"/>
  <c r="AJ977" i="2"/>
  <c r="AI977" i="2"/>
  <c r="AH977" i="2"/>
  <c r="AG977" i="2"/>
  <c r="AF977" i="2"/>
  <c r="AE977" i="2"/>
  <c r="AD977" i="2"/>
  <c r="AC977" i="2"/>
  <c r="AB977" i="2"/>
  <c r="AA977" i="2"/>
  <c r="Z977" i="2"/>
  <c r="Y977" i="2"/>
  <c r="X977" i="2"/>
  <c r="W977" i="2"/>
  <c r="V977" i="2"/>
  <c r="U977" i="2"/>
  <c r="S977" i="2"/>
  <c r="R977" i="2"/>
  <c r="Q977" i="2"/>
  <c r="P977" i="2"/>
  <c r="O977" i="2"/>
  <c r="N977" i="2"/>
  <c r="M977" i="2"/>
  <c r="L977" i="2"/>
  <c r="K977" i="2"/>
  <c r="J977" i="2"/>
  <c r="I977" i="2"/>
  <c r="H977" i="2"/>
  <c r="G977" i="2"/>
  <c r="F977" i="2"/>
  <c r="E977" i="2"/>
  <c r="D977" i="2"/>
  <c r="C977" i="2"/>
  <c r="B977" i="2"/>
  <c r="A977" i="2"/>
  <c r="AO976" i="2"/>
  <c r="AN976" i="2"/>
  <c r="AM976" i="2"/>
  <c r="AL976" i="2"/>
  <c r="AK976" i="2"/>
  <c r="AJ976" i="2"/>
  <c r="AI976" i="2"/>
  <c r="AH976" i="2"/>
  <c r="AG976" i="2"/>
  <c r="AF976" i="2"/>
  <c r="AE976" i="2"/>
  <c r="AD976" i="2"/>
  <c r="AC976" i="2"/>
  <c r="AB976" i="2"/>
  <c r="AA976" i="2"/>
  <c r="Z976" i="2"/>
  <c r="Y976" i="2"/>
  <c r="X976" i="2"/>
  <c r="W976" i="2"/>
  <c r="V976" i="2"/>
  <c r="U976" i="2"/>
  <c r="S976" i="2"/>
  <c r="R976" i="2"/>
  <c r="Q976" i="2"/>
  <c r="P976" i="2"/>
  <c r="O976" i="2"/>
  <c r="N976" i="2"/>
  <c r="M976" i="2"/>
  <c r="L976" i="2"/>
  <c r="K976" i="2"/>
  <c r="J976" i="2"/>
  <c r="I976" i="2"/>
  <c r="H976" i="2"/>
  <c r="G976" i="2"/>
  <c r="F976" i="2"/>
  <c r="E976" i="2"/>
  <c r="D976" i="2"/>
  <c r="C976" i="2"/>
  <c r="B976" i="2"/>
  <c r="A976" i="2"/>
  <c r="AO975" i="2"/>
  <c r="AN975" i="2"/>
  <c r="AM975" i="2"/>
  <c r="AL975" i="2"/>
  <c r="AK975" i="2"/>
  <c r="AJ975" i="2"/>
  <c r="AI975" i="2"/>
  <c r="AH975" i="2"/>
  <c r="AG975" i="2"/>
  <c r="AF975" i="2"/>
  <c r="AE975" i="2"/>
  <c r="AD975" i="2"/>
  <c r="AC975" i="2"/>
  <c r="AB975" i="2"/>
  <c r="AA975" i="2"/>
  <c r="Z975" i="2"/>
  <c r="Y975" i="2"/>
  <c r="X975" i="2"/>
  <c r="W975" i="2"/>
  <c r="V975" i="2"/>
  <c r="U975" i="2"/>
  <c r="S975" i="2"/>
  <c r="R975" i="2"/>
  <c r="Q975" i="2"/>
  <c r="P975" i="2"/>
  <c r="O975" i="2"/>
  <c r="N975" i="2"/>
  <c r="M975" i="2"/>
  <c r="L975" i="2"/>
  <c r="K975" i="2"/>
  <c r="J975" i="2"/>
  <c r="I975" i="2"/>
  <c r="H975" i="2"/>
  <c r="G975" i="2"/>
  <c r="F975" i="2"/>
  <c r="E975" i="2"/>
  <c r="D975" i="2"/>
  <c r="C975" i="2"/>
  <c r="B975" i="2"/>
  <c r="A975" i="2"/>
  <c r="AO974" i="2"/>
  <c r="AN974" i="2"/>
  <c r="AM974" i="2"/>
  <c r="AL974" i="2"/>
  <c r="AK974" i="2"/>
  <c r="AJ974" i="2"/>
  <c r="AI974" i="2"/>
  <c r="AH974" i="2"/>
  <c r="AG974" i="2"/>
  <c r="AF974" i="2"/>
  <c r="AE974" i="2"/>
  <c r="AD974" i="2"/>
  <c r="AC974" i="2"/>
  <c r="AB974" i="2"/>
  <c r="AA974" i="2"/>
  <c r="Z974" i="2"/>
  <c r="Y974" i="2"/>
  <c r="X974" i="2"/>
  <c r="W974" i="2"/>
  <c r="V974" i="2"/>
  <c r="U974" i="2"/>
  <c r="S974" i="2"/>
  <c r="R974" i="2"/>
  <c r="Q974" i="2"/>
  <c r="P974" i="2"/>
  <c r="O974" i="2"/>
  <c r="N974" i="2"/>
  <c r="M974" i="2"/>
  <c r="L974" i="2"/>
  <c r="K974" i="2"/>
  <c r="J974" i="2"/>
  <c r="I974" i="2"/>
  <c r="H974" i="2"/>
  <c r="G974" i="2"/>
  <c r="F974" i="2"/>
  <c r="E974" i="2"/>
  <c r="D974" i="2"/>
  <c r="C974" i="2"/>
  <c r="A974" i="2"/>
  <c r="AO973" i="2"/>
  <c r="AN973" i="2"/>
  <c r="AM973" i="2"/>
  <c r="AK973" i="2"/>
  <c r="AJ973" i="2"/>
  <c r="AI973" i="2"/>
  <c r="AG973" i="2"/>
  <c r="AF973" i="2"/>
  <c r="AE973" i="2"/>
  <c r="AC973" i="2"/>
  <c r="AB973" i="2"/>
  <c r="AA973" i="2"/>
  <c r="X973" i="2"/>
  <c r="W973" i="2"/>
  <c r="V973" i="2"/>
  <c r="U973" i="2"/>
  <c r="R973" i="2"/>
  <c r="Q973" i="2"/>
  <c r="P973" i="2"/>
  <c r="O973" i="2"/>
  <c r="N973" i="2"/>
  <c r="M973" i="2"/>
  <c r="L973" i="2"/>
  <c r="K973" i="2"/>
  <c r="J973" i="2"/>
  <c r="I973" i="2"/>
  <c r="H973" i="2"/>
  <c r="G973" i="2"/>
  <c r="F973" i="2"/>
  <c r="E973" i="2"/>
  <c r="D973" i="2"/>
  <c r="C973" i="2"/>
  <c r="A973" i="2"/>
  <c r="AO972" i="2"/>
  <c r="AN972" i="2"/>
  <c r="AM972" i="2"/>
  <c r="AK972" i="2"/>
  <c r="AJ972" i="2"/>
  <c r="AI972" i="2"/>
  <c r="AH972" i="2"/>
  <c r="AG972" i="2"/>
  <c r="AF972" i="2"/>
  <c r="AE972" i="2"/>
  <c r="AD972" i="2"/>
  <c r="AC972" i="2"/>
  <c r="AB972" i="2"/>
  <c r="AA972" i="2"/>
  <c r="Z972" i="2"/>
  <c r="Y972" i="2"/>
  <c r="X972" i="2"/>
  <c r="W972" i="2"/>
  <c r="V972" i="2"/>
  <c r="U972" i="2"/>
  <c r="S972" i="2"/>
  <c r="R972" i="2"/>
  <c r="Q972" i="2"/>
  <c r="P972" i="2"/>
  <c r="O972" i="2"/>
  <c r="N972" i="2"/>
  <c r="M972" i="2"/>
  <c r="L972" i="2"/>
  <c r="K972" i="2"/>
  <c r="J972" i="2"/>
  <c r="I972" i="2"/>
  <c r="H972" i="2"/>
  <c r="G972" i="2"/>
  <c r="F972" i="2"/>
  <c r="E972" i="2"/>
  <c r="D972" i="2"/>
  <c r="C972" i="2"/>
  <c r="A972" i="2"/>
  <c r="AO971" i="2"/>
  <c r="AN971" i="2"/>
  <c r="AM971" i="2"/>
  <c r="AK971" i="2"/>
  <c r="AJ971" i="2"/>
  <c r="AI971" i="2"/>
  <c r="AH971" i="2"/>
  <c r="AG971" i="2"/>
  <c r="AF971" i="2"/>
  <c r="AE971" i="2"/>
  <c r="AD971" i="2"/>
  <c r="AC971" i="2"/>
  <c r="AB971" i="2"/>
  <c r="AA971" i="2"/>
  <c r="Z971" i="2"/>
  <c r="Y971" i="2"/>
  <c r="X971" i="2"/>
  <c r="W971" i="2"/>
  <c r="V971" i="2"/>
  <c r="U971" i="2"/>
  <c r="S971" i="2"/>
  <c r="R971" i="2"/>
  <c r="Q971" i="2"/>
  <c r="P971" i="2"/>
  <c r="O971" i="2"/>
  <c r="N971" i="2"/>
  <c r="M971" i="2"/>
  <c r="L971" i="2"/>
  <c r="K971" i="2"/>
  <c r="J971" i="2"/>
  <c r="I971" i="2"/>
  <c r="H971" i="2"/>
  <c r="G971" i="2"/>
  <c r="F971" i="2"/>
  <c r="E971" i="2"/>
  <c r="D971" i="2"/>
  <c r="C971" i="2"/>
  <c r="A971" i="2"/>
  <c r="AO970" i="2"/>
  <c r="AN970" i="2"/>
  <c r="AM970" i="2"/>
  <c r="AL970" i="2"/>
  <c r="AK970" i="2"/>
  <c r="AJ970" i="2"/>
  <c r="AI970" i="2"/>
  <c r="AH970" i="2"/>
  <c r="AG970" i="2"/>
  <c r="AF970" i="2"/>
  <c r="AE970" i="2"/>
  <c r="AC970" i="2"/>
  <c r="AB970" i="2"/>
  <c r="AA970" i="2"/>
  <c r="Z970" i="2"/>
  <c r="Y970" i="2"/>
  <c r="X970" i="2"/>
  <c r="W970" i="2"/>
  <c r="V970" i="2"/>
  <c r="U970" i="2"/>
  <c r="S970" i="2"/>
  <c r="R970" i="2"/>
  <c r="Q970" i="2"/>
  <c r="P970" i="2"/>
  <c r="O970" i="2"/>
  <c r="N970" i="2"/>
  <c r="M970" i="2"/>
  <c r="L970" i="2"/>
  <c r="K970" i="2"/>
  <c r="J970" i="2"/>
  <c r="I970" i="2"/>
  <c r="H970" i="2"/>
  <c r="G970" i="2"/>
  <c r="F970" i="2"/>
  <c r="E970" i="2"/>
  <c r="D970" i="2"/>
  <c r="C970" i="2"/>
  <c r="B970" i="2"/>
  <c r="A970" i="2"/>
  <c r="AO969" i="2"/>
  <c r="AN969" i="2"/>
  <c r="AM969" i="2"/>
  <c r="AL969" i="2"/>
  <c r="AK969" i="2"/>
  <c r="AJ969" i="2"/>
  <c r="AI969" i="2"/>
  <c r="AH969" i="2"/>
  <c r="AG969" i="2"/>
  <c r="AF969" i="2"/>
  <c r="AE969" i="2"/>
  <c r="AD969" i="2"/>
  <c r="AC969" i="2"/>
  <c r="AB969" i="2"/>
  <c r="AA969" i="2"/>
  <c r="Z969" i="2"/>
  <c r="Y969" i="2"/>
  <c r="X969" i="2"/>
  <c r="W969" i="2"/>
  <c r="V969" i="2"/>
  <c r="U969" i="2"/>
  <c r="S969" i="2"/>
  <c r="R969" i="2"/>
  <c r="Q969" i="2"/>
  <c r="P969" i="2"/>
  <c r="O969" i="2"/>
  <c r="N969" i="2"/>
  <c r="M969" i="2"/>
  <c r="L969" i="2"/>
  <c r="K969" i="2"/>
  <c r="J969" i="2"/>
  <c r="I969" i="2"/>
  <c r="H969" i="2"/>
  <c r="G969" i="2"/>
  <c r="F969" i="2"/>
  <c r="E969" i="2"/>
  <c r="D969" i="2"/>
  <c r="C969" i="2"/>
  <c r="A969" i="2"/>
  <c r="AO968" i="2"/>
  <c r="AN968" i="2"/>
  <c r="AM968" i="2"/>
  <c r="AK968" i="2"/>
  <c r="AJ968" i="2"/>
  <c r="AI968" i="2"/>
  <c r="AH968" i="2"/>
  <c r="AG968" i="2"/>
  <c r="AF968" i="2"/>
  <c r="AE968" i="2"/>
  <c r="AC968" i="2"/>
  <c r="AB968" i="2"/>
  <c r="AA968" i="2"/>
  <c r="Z968" i="2"/>
  <c r="Y968" i="2"/>
  <c r="X968" i="2"/>
  <c r="W968" i="2"/>
  <c r="V968" i="2"/>
  <c r="U968" i="2"/>
  <c r="S968" i="2"/>
  <c r="R968" i="2"/>
  <c r="Q968" i="2"/>
  <c r="P968" i="2"/>
  <c r="O968" i="2"/>
  <c r="N968" i="2"/>
  <c r="M968" i="2"/>
  <c r="L968" i="2"/>
  <c r="K968" i="2"/>
  <c r="J968" i="2"/>
  <c r="I968" i="2"/>
  <c r="H968" i="2"/>
  <c r="G968" i="2"/>
  <c r="F968" i="2"/>
  <c r="E968" i="2"/>
  <c r="D968" i="2"/>
  <c r="C968" i="2"/>
  <c r="A968" i="2"/>
  <c r="AO967" i="2"/>
  <c r="AN967" i="2"/>
  <c r="AM967" i="2"/>
  <c r="AL967" i="2"/>
  <c r="AK967" i="2"/>
  <c r="AJ967" i="2"/>
  <c r="AI967" i="2"/>
  <c r="AH967" i="2"/>
  <c r="AG967" i="2"/>
  <c r="AF967" i="2"/>
  <c r="AE967" i="2"/>
  <c r="AD967" i="2"/>
  <c r="AC967" i="2"/>
  <c r="AB967" i="2"/>
  <c r="AA967" i="2"/>
  <c r="Z967" i="2"/>
  <c r="Y967" i="2"/>
  <c r="X967" i="2"/>
  <c r="W967" i="2"/>
  <c r="V967" i="2"/>
  <c r="U967" i="2"/>
  <c r="S967" i="2"/>
  <c r="R967" i="2"/>
  <c r="Q967" i="2"/>
  <c r="P967" i="2"/>
  <c r="O967" i="2"/>
  <c r="N967" i="2"/>
  <c r="M967" i="2"/>
  <c r="L967" i="2"/>
  <c r="K967" i="2"/>
  <c r="J967" i="2"/>
  <c r="I967" i="2"/>
  <c r="H967" i="2"/>
  <c r="G967" i="2"/>
  <c r="F967" i="2"/>
  <c r="E967" i="2"/>
  <c r="D967" i="2"/>
  <c r="C967" i="2"/>
  <c r="B967" i="2"/>
  <c r="A967" i="2"/>
  <c r="AO966" i="2"/>
  <c r="AN966" i="2"/>
  <c r="AM966" i="2"/>
  <c r="AL966" i="2"/>
  <c r="AK966" i="2"/>
  <c r="AJ966" i="2"/>
  <c r="AI966" i="2"/>
  <c r="AH966" i="2"/>
  <c r="AG966" i="2"/>
  <c r="AF966" i="2"/>
  <c r="AE966" i="2"/>
  <c r="AD966" i="2"/>
  <c r="AC966" i="2"/>
  <c r="AB966" i="2"/>
  <c r="AA966" i="2"/>
  <c r="Z966" i="2"/>
  <c r="Y966" i="2"/>
  <c r="X966" i="2"/>
  <c r="W966" i="2"/>
  <c r="V966" i="2"/>
  <c r="U966" i="2"/>
  <c r="S966" i="2"/>
  <c r="R966" i="2"/>
  <c r="Q966" i="2"/>
  <c r="P966" i="2"/>
  <c r="O966" i="2"/>
  <c r="N966" i="2"/>
  <c r="M966" i="2"/>
  <c r="L966" i="2"/>
  <c r="K966" i="2"/>
  <c r="J966" i="2"/>
  <c r="I966" i="2"/>
  <c r="H966" i="2"/>
  <c r="G966" i="2"/>
  <c r="F966" i="2"/>
  <c r="E966" i="2"/>
  <c r="D966" i="2"/>
  <c r="C966" i="2"/>
  <c r="B966" i="2"/>
  <c r="A966" i="2"/>
  <c r="AO965" i="2"/>
  <c r="AN965" i="2"/>
  <c r="AM965" i="2"/>
  <c r="AK965" i="2"/>
  <c r="AJ965" i="2"/>
  <c r="AI965" i="2"/>
  <c r="AH965" i="2"/>
  <c r="AG965" i="2"/>
  <c r="AF965" i="2"/>
  <c r="AE965" i="2"/>
  <c r="AC965" i="2"/>
  <c r="AB965" i="2"/>
  <c r="AA965" i="2"/>
  <c r="Y965" i="2"/>
  <c r="X965" i="2"/>
  <c r="W965" i="2"/>
  <c r="V965" i="2"/>
  <c r="U965" i="2"/>
  <c r="S965" i="2"/>
  <c r="R965" i="2"/>
  <c r="Q965" i="2"/>
  <c r="P965" i="2"/>
  <c r="O965" i="2"/>
  <c r="N965" i="2"/>
  <c r="M965" i="2"/>
  <c r="L965" i="2"/>
  <c r="K965" i="2"/>
  <c r="J965" i="2"/>
  <c r="I965" i="2"/>
  <c r="H965" i="2"/>
  <c r="G965" i="2"/>
  <c r="F965" i="2"/>
  <c r="E965" i="2"/>
  <c r="D965" i="2"/>
  <c r="C965" i="2"/>
  <c r="B965" i="2"/>
  <c r="A965" i="2"/>
  <c r="AO964" i="2"/>
  <c r="AN964" i="2"/>
  <c r="AM964" i="2"/>
  <c r="AK964" i="2"/>
  <c r="AJ964" i="2"/>
  <c r="AI964" i="2"/>
  <c r="AH964" i="2"/>
  <c r="AG964" i="2"/>
  <c r="AF964" i="2"/>
  <c r="AE964" i="2"/>
  <c r="AD964" i="2"/>
  <c r="AC964" i="2"/>
  <c r="AB964" i="2"/>
  <c r="AA964" i="2"/>
  <c r="Z964" i="2"/>
  <c r="Y964" i="2"/>
  <c r="X964" i="2"/>
  <c r="W964" i="2"/>
  <c r="V964" i="2"/>
  <c r="U964" i="2"/>
  <c r="S964" i="2"/>
  <c r="R964" i="2"/>
  <c r="Q964" i="2"/>
  <c r="P964" i="2"/>
  <c r="O964" i="2"/>
  <c r="N964" i="2"/>
  <c r="M964" i="2"/>
  <c r="L964" i="2"/>
  <c r="K964" i="2"/>
  <c r="J964" i="2"/>
  <c r="I964" i="2"/>
  <c r="H964" i="2"/>
  <c r="G964" i="2"/>
  <c r="F964" i="2"/>
  <c r="E964" i="2"/>
  <c r="D964" i="2"/>
  <c r="C964" i="2"/>
  <c r="B964" i="2"/>
  <c r="A964" i="2"/>
  <c r="AO963" i="2"/>
  <c r="AN963" i="2"/>
  <c r="AM963" i="2"/>
  <c r="AL963" i="2"/>
  <c r="AK963" i="2"/>
  <c r="AJ963" i="2"/>
  <c r="AI963" i="2"/>
  <c r="AH963" i="2"/>
  <c r="AG963" i="2"/>
  <c r="AF963" i="2"/>
  <c r="AE963" i="2"/>
  <c r="AD963" i="2"/>
  <c r="AC963" i="2"/>
  <c r="AB963" i="2"/>
  <c r="AA963" i="2"/>
  <c r="Z963" i="2"/>
  <c r="Y963" i="2"/>
  <c r="X963" i="2"/>
  <c r="W963" i="2"/>
  <c r="V963" i="2"/>
  <c r="U963" i="2"/>
  <c r="S963" i="2"/>
  <c r="R963" i="2"/>
  <c r="Q963" i="2"/>
  <c r="P963" i="2"/>
  <c r="O963" i="2"/>
  <c r="N963" i="2"/>
  <c r="M963" i="2"/>
  <c r="L963" i="2"/>
  <c r="K963" i="2"/>
  <c r="J963" i="2"/>
  <c r="I963" i="2"/>
  <c r="H963" i="2"/>
  <c r="G963" i="2"/>
  <c r="F963" i="2"/>
  <c r="E963" i="2"/>
  <c r="D963" i="2"/>
  <c r="C963" i="2"/>
  <c r="B963" i="2"/>
  <c r="A963" i="2"/>
  <c r="AO962" i="2"/>
  <c r="AN962" i="2"/>
  <c r="AM962" i="2"/>
  <c r="AL962" i="2"/>
  <c r="AK962" i="2"/>
  <c r="AJ962" i="2"/>
  <c r="AI962" i="2"/>
  <c r="AH962" i="2"/>
  <c r="AG962" i="2"/>
  <c r="AF962" i="2"/>
  <c r="AE962" i="2"/>
  <c r="AD962" i="2"/>
  <c r="AC962" i="2"/>
  <c r="AB962" i="2"/>
  <c r="AA962" i="2"/>
  <c r="Z962" i="2"/>
  <c r="Y962" i="2"/>
  <c r="X962" i="2"/>
  <c r="W962" i="2"/>
  <c r="V962" i="2"/>
  <c r="U962" i="2"/>
  <c r="S962" i="2"/>
  <c r="R962" i="2"/>
  <c r="Q962" i="2"/>
  <c r="P962" i="2"/>
  <c r="O962" i="2"/>
  <c r="N962" i="2"/>
  <c r="M962" i="2"/>
  <c r="L962" i="2"/>
  <c r="K962" i="2"/>
  <c r="J962" i="2"/>
  <c r="I962" i="2"/>
  <c r="H962" i="2"/>
  <c r="G962" i="2"/>
  <c r="F962" i="2"/>
  <c r="E962" i="2"/>
  <c r="D962" i="2"/>
  <c r="C962" i="2"/>
  <c r="A962" i="2"/>
  <c r="AO961" i="2"/>
  <c r="AN961" i="2"/>
  <c r="AM961" i="2"/>
  <c r="AL961" i="2"/>
  <c r="AK961" i="2"/>
  <c r="AJ961" i="2"/>
  <c r="AI961" i="2"/>
  <c r="AH961" i="2"/>
  <c r="AG961" i="2"/>
  <c r="AF961" i="2"/>
  <c r="AE961" i="2"/>
  <c r="AD961" i="2"/>
  <c r="AC961" i="2"/>
  <c r="AB961" i="2"/>
  <c r="AA961" i="2"/>
  <c r="Z961" i="2"/>
  <c r="Y961" i="2"/>
  <c r="X961" i="2"/>
  <c r="W961" i="2"/>
  <c r="V961" i="2"/>
  <c r="U961" i="2"/>
  <c r="S961" i="2"/>
  <c r="R961" i="2"/>
  <c r="Q961" i="2"/>
  <c r="P961" i="2"/>
  <c r="O961" i="2"/>
  <c r="N961" i="2"/>
  <c r="M961" i="2"/>
  <c r="L961" i="2"/>
  <c r="K961" i="2"/>
  <c r="J961" i="2"/>
  <c r="I961" i="2"/>
  <c r="H961" i="2"/>
  <c r="G961" i="2"/>
  <c r="F961" i="2"/>
  <c r="E961" i="2"/>
  <c r="D961" i="2"/>
  <c r="C961" i="2"/>
  <c r="A961" i="2"/>
  <c r="AO960" i="2"/>
  <c r="AN960" i="2"/>
  <c r="AM960" i="2"/>
  <c r="AK960" i="2"/>
  <c r="AJ960" i="2"/>
  <c r="AI960" i="2"/>
  <c r="AH960" i="2"/>
  <c r="AG960" i="2"/>
  <c r="AF960" i="2"/>
  <c r="AE960" i="2"/>
  <c r="AC960" i="2"/>
  <c r="AB960" i="2"/>
  <c r="AA960" i="2"/>
  <c r="Z960" i="2"/>
  <c r="Y960" i="2"/>
  <c r="X960" i="2"/>
  <c r="W960" i="2"/>
  <c r="V960" i="2"/>
  <c r="U960" i="2"/>
  <c r="S960" i="2"/>
  <c r="R960" i="2"/>
  <c r="Q960" i="2"/>
  <c r="P960" i="2"/>
  <c r="O960" i="2"/>
  <c r="N960" i="2"/>
  <c r="M960" i="2"/>
  <c r="L960" i="2"/>
  <c r="K960" i="2"/>
  <c r="J960" i="2"/>
  <c r="I960" i="2"/>
  <c r="H960" i="2"/>
  <c r="G960" i="2"/>
  <c r="F960" i="2"/>
  <c r="E960" i="2"/>
  <c r="D960" i="2"/>
  <c r="C960" i="2"/>
  <c r="B960" i="2"/>
  <c r="A960" i="2"/>
  <c r="AO959" i="2"/>
  <c r="AN959" i="2"/>
  <c r="AM959" i="2"/>
  <c r="AL959" i="2"/>
  <c r="AK959" i="2"/>
  <c r="AJ959" i="2"/>
  <c r="AI959" i="2"/>
  <c r="AH959" i="2"/>
  <c r="AG959" i="2"/>
  <c r="AF959" i="2"/>
  <c r="AE959" i="2"/>
  <c r="AD959" i="2"/>
  <c r="AC959" i="2"/>
  <c r="AB959" i="2"/>
  <c r="AA959" i="2"/>
  <c r="Z959" i="2"/>
  <c r="Y959" i="2"/>
  <c r="X959" i="2"/>
  <c r="W959" i="2"/>
  <c r="V959" i="2"/>
  <c r="U959" i="2"/>
  <c r="S959" i="2"/>
  <c r="R959" i="2"/>
  <c r="Q959" i="2"/>
  <c r="P959" i="2"/>
  <c r="O959" i="2"/>
  <c r="N959" i="2"/>
  <c r="M959" i="2"/>
  <c r="L959" i="2"/>
  <c r="K959" i="2"/>
  <c r="J959" i="2"/>
  <c r="I959" i="2"/>
  <c r="H959" i="2"/>
  <c r="G959" i="2"/>
  <c r="F959" i="2"/>
  <c r="E959" i="2"/>
  <c r="D959" i="2"/>
  <c r="C959" i="2"/>
  <c r="A959" i="2"/>
  <c r="AO958" i="2"/>
  <c r="AN958" i="2"/>
  <c r="AM958" i="2"/>
  <c r="AL958" i="2"/>
  <c r="AK958" i="2"/>
  <c r="AJ958" i="2"/>
  <c r="AI958" i="2"/>
  <c r="AH958" i="2"/>
  <c r="AG958" i="2"/>
  <c r="AF958" i="2"/>
  <c r="AE958" i="2"/>
  <c r="AD958" i="2"/>
  <c r="AC958" i="2"/>
  <c r="AB958" i="2"/>
  <c r="AA958" i="2"/>
  <c r="Z958" i="2"/>
  <c r="Y958" i="2"/>
  <c r="X958" i="2"/>
  <c r="W958" i="2"/>
  <c r="V958" i="2"/>
  <c r="U958" i="2"/>
  <c r="S958" i="2"/>
  <c r="R958" i="2"/>
  <c r="Q958" i="2"/>
  <c r="P958" i="2"/>
  <c r="O958" i="2"/>
  <c r="N958" i="2"/>
  <c r="M958" i="2"/>
  <c r="L958" i="2"/>
  <c r="K958" i="2"/>
  <c r="J958" i="2"/>
  <c r="I958" i="2"/>
  <c r="H958" i="2"/>
  <c r="G958" i="2"/>
  <c r="F958" i="2"/>
  <c r="E958" i="2"/>
  <c r="D958" i="2"/>
  <c r="C958" i="2"/>
  <c r="A958" i="2"/>
  <c r="AO957" i="2"/>
  <c r="AN957" i="2"/>
  <c r="AM957" i="2"/>
  <c r="AL957" i="2"/>
  <c r="AK957" i="2"/>
  <c r="AJ957" i="2"/>
  <c r="AI957" i="2"/>
  <c r="AH957" i="2"/>
  <c r="AG957" i="2"/>
  <c r="AF957" i="2"/>
  <c r="AE957" i="2"/>
  <c r="AD957" i="2"/>
  <c r="AC957" i="2"/>
  <c r="AB957" i="2"/>
  <c r="AA957" i="2"/>
  <c r="Z957" i="2"/>
  <c r="Y957" i="2"/>
  <c r="X957" i="2"/>
  <c r="W957" i="2"/>
  <c r="V957" i="2"/>
  <c r="U957" i="2"/>
  <c r="S957" i="2"/>
  <c r="R957" i="2"/>
  <c r="Q957" i="2"/>
  <c r="P957" i="2"/>
  <c r="O957" i="2"/>
  <c r="N957" i="2"/>
  <c r="M957" i="2"/>
  <c r="L957" i="2"/>
  <c r="K957" i="2"/>
  <c r="J957" i="2"/>
  <c r="I957" i="2"/>
  <c r="H957" i="2"/>
  <c r="G957" i="2"/>
  <c r="F957" i="2"/>
  <c r="E957" i="2"/>
  <c r="D957" i="2"/>
  <c r="C957" i="2"/>
  <c r="B957" i="2"/>
  <c r="A957" i="2"/>
  <c r="AO956" i="2"/>
  <c r="AN956" i="2"/>
  <c r="AM956" i="2"/>
  <c r="AL956" i="2"/>
  <c r="AK956" i="2"/>
  <c r="AJ956" i="2"/>
  <c r="AI956" i="2"/>
  <c r="AH956" i="2"/>
  <c r="AG956" i="2"/>
  <c r="AF956" i="2"/>
  <c r="AE956" i="2"/>
  <c r="AD956" i="2"/>
  <c r="AC956" i="2"/>
  <c r="AB956" i="2"/>
  <c r="AA956" i="2"/>
  <c r="Z956" i="2"/>
  <c r="Y956" i="2"/>
  <c r="X956" i="2"/>
  <c r="W956" i="2"/>
  <c r="V956" i="2"/>
  <c r="U956" i="2"/>
  <c r="S956" i="2"/>
  <c r="R956" i="2"/>
  <c r="Q956" i="2"/>
  <c r="P956" i="2"/>
  <c r="O956" i="2"/>
  <c r="N956" i="2"/>
  <c r="M956" i="2"/>
  <c r="L956" i="2"/>
  <c r="K956" i="2"/>
  <c r="J956" i="2"/>
  <c r="I956" i="2"/>
  <c r="H956" i="2"/>
  <c r="G956" i="2"/>
  <c r="F956" i="2"/>
  <c r="E956" i="2"/>
  <c r="D956" i="2"/>
  <c r="C956" i="2"/>
  <c r="A956" i="2"/>
  <c r="AO955" i="2"/>
  <c r="AN955" i="2"/>
  <c r="AM955" i="2"/>
  <c r="AL955" i="2"/>
  <c r="AK955" i="2"/>
  <c r="AJ955" i="2"/>
  <c r="AI955" i="2"/>
  <c r="AG955" i="2"/>
  <c r="AF955" i="2"/>
  <c r="AE955" i="2"/>
  <c r="AC955" i="2"/>
  <c r="AB955" i="2"/>
  <c r="AA955" i="2"/>
  <c r="X955" i="2"/>
  <c r="W955" i="2"/>
  <c r="V955" i="2"/>
  <c r="U955" i="2"/>
  <c r="R955" i="2"/>
  <c r="Q955" i="2"/>
  <c r="P955" i="2"/>
  <c r="O955" i="2"/>
  <c r="N955" i="2"/>
  <c r="M955" i="2"/>
  <c r="L955" i="2"/>
  <c r="K955" i="2"/>
  <c r="J955" i="2"/>
  <c r="I955" i="2"/>
  <c r="H955" i="2"/>
  <c r="G955" i="2"/>
  <c r="F955" i="2"/>
  <c r="E955" i="2"/>
  <c r="D955" i="2"/>
  <c r="C955" i="2"/>
  <c r="B955" i="2"/>
  <c r="A955" i="2"/>
  <c r="AO954" i="2"/>
  <c r="AN954" i="2"/>
  <c r="AM954" i="2"/>
  <c r="AL954" i="2"/>
  <c r="AK954" i="2"/>
  <c r="AJ954" i="2"/>
  <c r="AI954" i="2"/>
  <c r="AH954" i="2"/>
  <c r="AG954" i="2"/>
  <c r="AF954" i="2"/>
  <c r="AE954" i="2"/>
  <c r="AD954" i="2"/>
  <c r="AC954" i="2"/>
  <c r="AB954" i="2"/>
  <c r="AA954" i="2"/>
  <c r="Z954" i="2"/>
  <c r="Y954" i="2"/>
  <c r="X954" i="2"/>
  <c r="W954" i="2"/>
  <c r="V954" i="2"/>
  <c r="U954" i="2"/>
  <c r="S954" i="2"/>
  <c r="R954" i="2"/>
  <c r="Q954" i="2"/>
  <c r="P954" i="2"/>
  <c r="O954" i="2"/>
  <c r="N954" i="2"/>
  <c r="M954" i="2"/>
  <c r="L954" i="2"/>
  <c r="K954" i="2"/>
  <c r="J954" i="2"/>
  <c r="I954" i="2"/>
  <c r="H954" i="2"/>
  <c r="G954" i="2"/>
  <c r="F954" i="2"/>
  <c r="E954" i="2"/>
  <c r="D954" i="2"/>
  <c r="C954" i="2"/>
  <c r="B954" i="2"/>
  <c r="A954" i="2"/>
  <c r="AO953" i="2"/>
  <c r="AN953" i="2"/>
  <c r="AM953" i="2"/>
  <c r="AL953" i="2"/>
  <c r="AK953" i="2"/>
  <c r="AJ953" i="2"/>
  <c r="AI953" i="2"/>
  <c r="AH953" i="2"/>
  <c r="AG953" i="2"/>
  <c r="AF953" i="2"/>
  <c r="AE953" i="2"/>
  <c r="AD953" i="2"/>
  <c r="AC953" i="2"/>
  <c r="AB953" i="2"/>
  <c r="AA953" i="2"/>
  <c r="Z953" i="2"/>
  <c r="Y953" i="2"/>
  <c r="X953" i="2"/>
  <c r="W953" i="2"/>
  <c r="V953" i="2"/>
  <c r="U953" i="2"/>
  <c r="S953" i="2"/>
  <c r="R953" i="2"/>
  <c r="Q953" i="2"/>
  <c r="P953" i="2"/>
  <c r="O953" i="2"/>
  <c r="N953" i="2"/>
  <c r="M953" i="2"/>
  <c r="L953" i="2"/>
  <c r="K953" i="2"/>
  <c r="J953" i="2"/>
  <c r="I953" i="2"/>
  <c r="H953" i="2"/>
  <c r="G953" i="2"/>
  <c r="F953" i="2"/>
  <c r="E953" i="2"/>
  <c r="D953" i="2"/>
  <c r="C953" i="2"/>
  <c r="B953" i="2"/>
  <c r="A953" i="2"/>
  <c r="AO952" i="2"/>
  <c r="AN952" i="2"/>
  <c r="AM952" i="2"/>
  <c r="AK952" i="2"/>
  <c r="AJ952" i="2"/>
  <c r="AI952" i="2"/>
  <c r="AH952" i="2"/>
  <c r="AG952" i="2"/>
  <c r="AF952" i="2"/>
  <c r="AE952" i="2"/>
  <c r="AC952" i="2"/>
  <c r="AB952" i="2"/>
  <c r="AA952" i="2"/>
  <c r="Z952" i="2"/>
  <c r="Y952" i="2"/>
  <c r="X952" i="2"/>
  <c r="W952" i="2"/>
  <c r="V952" i="2"/>
  <c r="U952" i="2"/>
  <c r="S952" i="2"/>
  <c r="R952" i="2"/>
  <c r="Q952" i="2"/>
  <c r="P952" i="2"/>
  <c r="O952" i="2"/>
  <c r="N952" i="2"/>
  <c r="M952" i="2"/>
  <c r="L952" i="2"/>
  <c r="K952" i="2"/>
  <c r="J952" i="2"/>
  <c r="I952" i="2"/>
  <c r="H952" i="2"/>
  <c r="G952" i="2"/>
  <c r="F952" i="2"/>
  <c r="E952" i="2"/>
  <c r="D952" i="2"/>
  <c r="C952" i="2"/>
  <c r="B952" i="2"/>
  <c r="A952" i="2"/>
  <c r="AO951" i="2"/>
  <c r="AN951" i="2"/>
  <c r="AM951" i="2"/>
  <c r="AL951" i="2"/>
  <c r="AK951" i="2"/>
  <c r="AJ951" i="2"/>
  <c r="AI951" i="2"/>
  <c r="AH951" i="2"/>
  <c r="AG951" i="2"/>
  <c r="AF951" i="2"/>
  <c r="AE951" i="2"/>
  <c r="AD951" i="2"/>
  <c r="AC951" i="2"/>
  <c r="AB951" i="2"/>
  <c r="Z951" i="2"/>
  <c r="Y951" i="2"/>
  <c r="X951" i="2"/>
  <c r="W951" i="2"/>
  <c r="V951" i="2"/>
  <c r="U951" i="2"/>
  <c r="S951" i="2"/>
  <c r="R951" i="2"/>
  <c r="Q951" i="2"/>
  <c r="P951" i="2"/>
  <c r="O951" i="2"/>
  <c r="N951" i="2"/>
  <c r="M951" i="2"/>
  <c r="L951" i="2"/>
  <c r="K951" i="2"/>
  <c r="J951" i="2"/>
  <c r="I951" i="2"/>
  <c r="H951" i="2"/>
  <c r="G951" i="2"/>
  <c r="F951" i="2"/>
  <c r="E951" i="2"/>
  <c r="D951" i="2"/>
  <c r="C951" i="2"/>
  <c r="B951" i="2"/>
  <c r="A951" i="2"/>
  <c r="AO950" i="2"/>
  <c r="AN950" i="2"/>
  <c r="AM950" i="2"/>
  <c r="AL950" i="2"/>
  <c r="AK950" i="2"/>
  <c r="AJ950" i="2"/>
  <c r="AI950" i="2"/>
  <c r="AH950" i="2"/>
  <c r="AG950" i="2"/>
  <c r="AF950" i="2"/>
  <c r="AE950" i="2"/>
  <c r="AD950" i="2"/>
  <c r="AC950" i="2"/>
  <c r="AB950" i="2"/>
  <c r="AA950" i="2"/>
  <c r="Z950" i="2"/>
  <c r="Y950" i="2"/>
  <c r="X950" i="2"/>
  <c r="W950" i="2"/>
  <c r="V950" i="2"/>
  <c r="U950" i="2"/>
  <c r="S950" i="2"/>
  <c r="R950" i="2"/>
  <c r="Q950" i="2"/>
  <c r="P950" i="2"/>
  <c r="O950" i="2"/>
  <c r="N950" i="2"/>
  <c r="M950" i="2"/>
  <c r="L950" i="2"/>
  <c r="K950" i="2"/>
  <c r="J950" i="2"/>
  <c r="I950" i="2"/>
  <c r="H950" i="2"/>
  <c r="G950" i="2"/>
  <c r="F950" i="2"/>
  <c r="E950" i="2"/>
  <c r="D950" i="2"/>
  <c r="C950" i="2"/>
  <c r="A950" i="2"/>
  <c r="AO949" i="2"/>
  <c r="AN949" i="2"/>
  <c r="AM949" i="2"/>
  <c r="AK949" i="2"/>
  <c r="AJ949" i="2"/>
  <c r="AI949" i="2"/>
  <c r="AG949" i="2"/>
  <c r="AF949" i="2"/>
  <c r="AE949" i="2"/>
  <c r="AC949" i="2"/>
  <c r="AB949" i="2"/>
  <c r="AA949" i="2"/>
  <c r="X949" i="2"/>
  <c r="W949" i="2"/>
  <c r="V949" i="2"/>
  <c r="U949" i="2"/>
  <c r="R949" i="2"/>
  <c r="Q949" i="2"/>
  <c r="P949" i="2"/>
  <c r="O949" i="2"/>
  <c r="N949" i="2"/>
  <c r="M949" i="2"/>
  <c r="L949" i="2"/>
  <c r="K949" i="2"/>
  <c r="J949" i="2"/>
  <c r="I949" i="2"/>
  <c r="H949" i="2"/>
  <c r="G949" i="2"/>
  <c r="F949" i="2"/>
  <c r="E949" i="2"/>
  <c r="D949" i="2"/>
  <c r="C949" i="2"/>
  <c r="B949" i="2"/>
  <c r="A949" i="2"/>
  <c r="AO948" i="2"/>
  <c r="AN948" i="2"/>
  <c r="AM948" i="2"/>
  <c r="AL948" i="2"/>
  <c r="AK948" i="2"/>
  <c r="AJ948" i="2"/>
  <c r="AI948" i="2"/>
  <c r="AG948" i="2"/>
  <c r="AF948" i="2"/>
  <c r="AE948" i="2"/>
  <c r="AC948" i="2"/>
  <c r="AB948" i="2"/>
  <c r="AA948" i="2"/>
  <c r="X948" i="2"/>
  <c r="W948" i="2"/>
  <c r="V948" i="2"/>
  <c r="U948" i="2"/>
  <c r="R948" i="2"/>
  <c r="Q948" i="2"/>
  <c r="P948" i="2"/>
  <c r="O948" i="2"/>
  <c r="N948" i="2"/>
  <c r="M948" i="2"/>
  <c r="L948" i="2"/>
  <c r="K948" i="2"/>
  <c r="J948" i="2"/>
  <c r="I948" i="2"/>
  <c r="H948" i="2"/>
  <c r="G948" i="2"/>
  <c r="F948" i="2"/>
  <c r="E948" i="2"/>
  <c r="D948" i="2"/>
  <c r="C948" i="2"/>
  <c r="A948" i="2"/>
  <c r="AO947" i="2"/>
  <c r="AN947" i="2"/>
  <c r="AM947" i="2"/>
  <c r="AL947" i="2"/>
  <c r="AK947" i="2"/>
  <c r="AJ947" i="2"/>
  <c r="AI947" i="2"/>
  <c r="AH947" i="2"/>
  <c r="AG947" i="2"/>
  <c r="AF947" i="2"/>
  <c r="AE947" i="2"/>
  <c r="AD947" i="2"/>
  <c r="AC947" i="2"/>
  <c r="AB947" i="2"/>
  <c r="AA947" i="2"/>
  <c r="Z947" i="2"/>
  <c r="Y947" i="2"/>
  <c r="X947" i="2"/>
  <c r="W947" i="2"/>
  <c r="V947" i="2"/>
  <c r="U947" i="2"/>
  <c r="S947" i="2"/>
  <c r="R947" i="2"/>
  <c r="Q947" i="2"/>
  <c r="P947" i="2"/>
  <c r="O947" i="2"/>
  <c r="N947" i="2"/>
  <c r="M947" i="2"/>
  <c r="L947" i="2"/>
  <c r="K947" i="2"/>
  <c r="J947" i="2"/>
  <c r="I947" i="2"/>
  <c r="H947" i="2"/>
  <c r="G947" i="2"/>
  <c r="F947" i="2"/>
  <c r="E947" i="2"/>
  <c r="D947" i="2"/>
  <c r="C947" i="2"/>
  <c r="B947" i="2"/>
  <c r="A947" i="2"/>
  <c r="AO946" i="2"/>
  <c r="AN946" i="2"/>
  <c r="AM946" i="2"/>
  <c r="AL946" i="2"/>
  <c r="AK946" i="2"/>
  <c r="AJ946" i="2"/>
  <c r="AI946" i="2"/>
  <c r="AH946" i="2"/>
  <c r="AG946" i="2"/>
  <c r="AF946" i="2"/>
  <c r="AE946" i="2"/>
  <c r="AD946" i="2"/>
  <c r="AC946" i="2"/>
  <c r="AB946" i="2"/>
  <c r="AA946" i="2"/>
  <c r="Z946" i="2"/>
  <c r="Y946" i="2"/>
  <c r="X946" i="2"/>
  <c r="W946" i="2"/>
  <c r="V946" i="2"/>
  <c r="U946" i="2"/>
  <c r="S946" i="2"/>
  <c r="R946" i="2"/>
  <c r="Q946" i="2"/>
  <c r="P946" i="2"/>
  <c r="O946" i="2"/>
  <c r="N946" i="2"/>
  <c r="M946" i="2"/>
  <c r="L946" i="2"/>
  <c r="K946" i="2"/>
  <c r="J946" i="2"/>
  <c r="I946" i="2"/>
  <c r="H946" i="2"/>
  <c r="G946" i="2"/>
  <c r="F946" i="2"/>
  <c r="E946" i="2"/>
  <c r="D946" i="2"/>
  <c r="C946" i="2"/>
  <c r="A946" i="2"/>
  <c r="AO945" i="2"/>
  <c r="AN945" i="2"/>
  <c r="AM945" i="2"/>
  <c r="AK945" i="2"/>
  <c r="AJ945" i="2"/>
  <c r="AI945" i="2"/>
  <c r="AH945" i="2"/>
  <c r="AG945" i="2"/>
  <c r="AF945" i="2"/>
  <c r="AE945" i="2"/>
  <c r="AD945" i="2"/>
  <c r="AC945" i="2"/>
  <c r="AB945" i="2"/>
  <c r="AA945" i="2"/>
  <c r="Z945" i="2"/>
  <c r="Y945" i="2"/>
  <c r="X945" i="2"/>
  <c r="W945" i="2"/>
  <c r="V945" i="2"/>
  <c r="U945" i="2"/>
  <c r="S945" i="2"/>
  <c r="R945" i="2"/>
  <c r="Q945" i="2"/>
  <c r="P945" i="2"/>
  <c r="O945" i="2"/>
  <c r="N945" i="2"/>
  <c r="M945" i="2"/>
  <c r="L945" i="2"/>
  <c r="K945" i="2"/>
  <c r="J945" i="2"/>
  <c r="I945" i="2"/>
  <c r="H945" i="2"/>
  <c r="G945" i="2"/>
  <c r="F945" i="2"/>
  <c r="E945" i="2"/>
  <c r="D945" i="2"/>
  <c r="C945" i="2"/>
  <c r="A945" i="2"/>
  <c r="AO944" i="2"/>
  <c r="AN944" i="2"/>
  <c r="AM944" i="2"/>
  <c r="AK944" i="2"/>
  <c r="AJ944" i="2"/>
  <c r="AI944" i="2"/>
  <c r="AH944" i="2"/>
  <c r="AG944" i="2"/>
  <c r="AF944" i="2"/>
  <c r="AE944" i="2"/>
  <c r="AC944" i="2"/>
  <c r="AB944" i="2"/>
  <c r="AA944" i="2"/>
  <c r="Z944" i="2"/>
  <c r="Y944" i="2"/>
  <c r="X944" i="2"/>
  <c r="W944" i="2"/>
  <c r="V944" i="2"/>
  <c r="U944" i="2"/>
  <c r="S944" i="2"/>
  <c r="R944" i="2"/>
  <c r="Q944" i="2"/>
  <c r="P944" i="2"/>
  <c r="O944" i="2"/>
  <c r="N944" i="2"/>
  <c r="M944" i="2"/>
  <c r="L944" i="2"/>
  <c r="K944" i="2"/>
  <c r="J944" i="2"/>
  <c r="I944" i="2"/>
  <c r="H944" i="2"/>
  <c r="G944" i="2"/>
  <c r="F944" i="2"/>
  <c r="E944" i="2"/>
  <c r="D944" i="2"/>
  <c r="C944" i="2"/>
  <c r="A944" i="2"/>
  <c r="AO943" i="2"/>
  <c r="AN943" i="2"/>
  <c r="AM943" i="2"/>
  <c r="AK943" i="2"/>
  <c r="AJ943" i="2"/>
  <c r="AI943" i="2"/>
  <c r="AH943" i="2"/>
  <c r="AG943" i="2"/>
  <c r="AF943" i="2"/>
  <c r="AE943" i="2"/>
  <c r="AD943" i="2"/>
  <c r="AC943" i="2"/>
  <c r="AB943" i="2"/>
  <c r="AA943" i="2"/>
  <c r="Z943" i="2"/>
  <c r="Y943" i="2"/>
  <c r="X943" i="2"/>
  <c r="W943" i="2"/>
  <c r="V943" i="2"/>
  <c r="U943" i="2"/>
  <c r="S943" i="2"/>
  <c r="R943" i="2"/>
  <c r="Q943" i="2"/>
  <c r="P943" i="2"/>
  <c r="O943" i="2"/>
  <c r="N943" i="2"/>
  <c r="M943" i="2"/>
  <c r="L943" i="2"/>
  <c r="K943" i="2"/>
  <c r="J943" i="2"/>
  <c r="I943" i="2"/>
  <c r="H943" i="2"/>
  <c r="G943" i="2"/>
  <c r="F943" i="2"/>
  <c r="E943" i="2"/>
  <c r="D943" i="2"/>
  <c r="C943" i="2"/>
  <c r="A943" i="2"/>
  <c r="AO942" i="2"/>
  <c r="AN942" i="2"/>
  <c r="AM942" i="2"/>
  <c r="AL942" i="2"/>
  <c r="AK942" i="2"/>
  <c r="AJ942" i="2"/>
  <c r="AI942" i="2"/>
  <c r="AH942" i="2"/>
  <c r="AG942" i="2"/>
  <c r="AF942" i="2"/>
  <c r="AE942" i="2"/>
  <c r="AD942" i="2"/>
  <c r="AC942" i="2"/>
  <c r="AB942" i="2"/>
  <c r="AA942" i="2"/>
  <c r="Z942" i="2"/>
  <c r="Y942" i="2"/>
  <c r="X942" i="2"/>
  <c r="W942" i="2"/>
  <c r="V942" i="2"/>
  <c r="U942" i="2"/>
  <c r="S942" i="2"/>
  <c r="R942" i="2"/>
  <c r="Q942" i="2"/>
  <c r="P942" i="2"/>
  <c r="O942" i="2"/>
  <c r="N942" i="2"/>
  <c r="M942" i="2"/>
  <c r="L942" i="2"/>
  <c r="K942" i="2"/>
  <c r="J942" i="2"/>
  <c r="I942" i="2"/>
  <c r="H942" i="2"/>
  <c r="G942" i="2"/>
  <c r="F942" i="2"/>
  <c r="E942" i="2"/>
  <c r="D942" i="2"/>
  <c r="C942" i="2"/>
  <c r="A942" i="2"/>
  <c r="AO941" i="2"/>
  <c r="AN941" i="2"/>
  <c r="AM941" i="2"/>
  <c r="AL941" i="2"/>
  <c r="AK941" i="2"/>
  <c r="AJ941" i="2"/>
  <c r="AI941" i="2"/>
  <c r="AH941" i="2"/>
  <c r="AG941" i="2"/>
  <c r="AF941" i="2"/>
  <c r="AE941" i="2"/>
  <c r="AD941" i="2"/>
  <c r="AC941" i="2"/>
  <c r="AB941" i="2"/>
  <c r="AA941" i="2"/>
  <c r="Z941" i="2"/>
  <c r="Y941" i="2"/>
  <c r="X941" i="2"/>
  <c r="W941" i="2"/>
  <c r="V941" i="2"/>
  <c r="U941" i="2"/>
  <c r="S941" i="2"/>
  <c r="R941" i="2"/>
  <c r="Q941" i="2"/>
  <c r="P941" i="2"/>
  <c r="O941" i="2"/>
  <c r="N941" i="2"/>
  <c r="M941" i="2"/>
  <c r="L941" i="2"/>
  <c r="K941" i="2"/>
  <c r="J941" i="2"/>
  <c r="I941" i="2"/>
  <c r="H941" i="2"/>
  <c r="G941" i="2"/>
  <c r="F941" i="2"/>
  <c r="E941" i="2"/>
  <c r="D941" i="2"/>
  <c r="C941" i="2"/>
  <c r="A941" i="2"/>
  <c r="AO940" i="2"/>
  <c r="AN940" i="2"/>
  <c r="AM940" i="2"/>
  <c r="AK940" i="2"/>
  <c r="AJ940" i="2"/>
  <c r="AI940" i="2"/>
  <c r="AH940" i="2"/>
  <c r="AG940" i="2"/>
  <c r="AF940" i="2"/>
  <c r="AE940" i="2"/>
  <c r="AD940" i="2"/>
  <c r="AC940" i="2"/>
  <c r="AB940" i="2"/>
  <c r="AA940" i="2"/>
  <c r="Z940" i="2"/>
  <c r="Y940" i="2"/>
  <c r="X940" i="2"/>
  <c r="W940" i="2"/>
  <c r="V940" i="2"/>
  <c r="U940" i="2"/>
  <c r="S940" i="2"/>
  <c r="R940" i="2"/>
  <c r="Q940" i="2"/>
  <c r="P940" i="2"/>
  <c r="O940" i="2"/>
  <c r="N940" i="2"/>
  <c r="M940" i="2"/>
  <c r="L940" i="2"/>
  <c r="K940" i="2"/>
  <c r="J940" i="2"/>
  <c r="I940" i="2"/>
  <c r="H940" i="2"/>
  <c r="G940" i="2"/>
  <c r="F940" i="2"/>
  <c r="E940" i="2"/>
  <c r="D940" i="2"/>
  <c r="C940" i="2"/>
  <c r="B940" i="2"/>
  <c r="A940" i="2"/>
  <c r="AO939" i="2"/>
  <c r="AN939" i="2"/>
  <c r="AM939" i="2"/>
  <c r="AL939" i="2"/>
  <c r="AK939" i="2"/>
  <c r="AJ939" i="2"/>
  <c r="AI939" i="2"/>
  <c r="AH939" i="2"/>
  <c r="AG939" i="2"/>
  <c r="AF939" i="2"/>
  <c r="AE939" i="2"/>
  <c r="AC939" i="2"/>
  <c r="AB939" i="2"/>
  <c r="AA939" i="2"/>
  <c r="Z939" i="2"/>
  <c r="Y939" i="2"/>
  <c r="X939" i="2"/>
  <c r="W939" i="2"/>
  <c r="V939" i="2"/>
  <c r="U939" i="2"/>
  <c r="S939" i="2"/>
  <c r="R939" i="2"/>
  <c r="Q939" i="2"/>
  <c r="P939" i="2"/>
  <c r="O939" i="2"/>
  <c r="N939" i="2"/>
  <c r="M939" i="2"/>
  <c r="L939" i="2"/>
  <c r="K939" i="2"/>
  <c r="J939" i="2"/>
  <c r="I939" i="2"/>
  <c r="H939" i="2"/>
  <c r="G939" i="2"/>
  <c r="F939" i="2"/>
  <c r="E939" i="2"/>
  <c r="D939" i="2"/>
  <c r="C939" i="2"/>
  <c r="A939" i="2"/>
  <c r="AO938" i="2"/>
  <c r="AN938" i="2"/>
  <c r="AM938" i="2"/>
  <c r="AL938" i="2"/>
  <c r="AK938" i="2"/>
  <c r="AJ938" i="2"/>
  <c r="AI938" i="2"/>
  <c r="AH938" i="2"/>
  <c r="AG938" i="2"/>
  <c r="AF938" i="2"/>
  <c r="AE938" i="2"/>
  <c r="AD938" i="2"/>
  <c r="AC938" i="2"/>
  <c r="AB938" i="2"/>
  <c r="AA938" i="2"/>
  <c r="Z938" i="2"/>
  <c r="Y938" i="2"/>
  <c r="X938" i="2"/>
  <c r="W938" i="2"/>
  <c r="V938" i="2"/>
  <c r="U938" i="2"/>
  <c r="S938" i="2"/>
  <c r="R938" i="2"/>
  <c r="Q938" i="2"/>
  <c r="P938" i="2"/>
  <c r="O938" i="2"/>
  <c r="N938" i="2"/>
  <c r="M938" i="2"/>
  <c r="L938" i="2"/>
  <c r="K938" i="2"/>
  <c r="J938" i="2"/>
  <c r="I938" i="2"/>
  <c r="H938" i="2"/>
  <c r="G938" i="2"/>
  <c r="F938" i="2"/>
  <c r="E938" i="2"/>
  <c r="D938" i="2"/>
  <c r="C938" i="2"/>
  <c r="B938" i="2"/>
  <c r="A938" i="2"/>
  <c r="AO937" i="2"/>
  <c r="AN937" i="2"/>
  <c r="AM937" i="2"/>
  <c r="AL937" i="2"/>
  <c r="AK937" i="2"/>
  <c r="AJ937" i="2"/>
  <c r="AI937" i="2"/>
  <c r="AH937" i="2"/>
  <c r="AG937" i="2"/>
  <c r="AF937" i="2"/>
  <c r="AE937" i="2"/>
  <c r="AD937" i="2"/>
  <c r="AC937" i="2"/>
  <c r="AB937" i="2"/>
  <c r="AA937" i="2"/>
  <c r="Z937" i="2"/>
  <c r="Y937" i="2"/>
  <c r="X937" i="2"/>
  <c r="W937" i="2"/>
  <c r="V937" i="2"/>
  <c r="U937" i="2"/>
  <c r="S937" i="2"/>
  <c r="R937" i="2"/>
  <c r="Q937" i="2"/>
  <c r="P937" i="2"/>
  <c r="O937" i="2"/>
  <c r="N937" i="2"/>
  <c r="M937" i="2"/>
  <c r="L937" i="2"/>
  <c r="K937" i="2"/>
  <c r="J937" i="2"/>
  <c r="I937" i="2"/>
  <c r="H937" i="2"/>
  <c r="G937" i="2"/>
  <c r="F937" i="2"/>
  <c r="E937" i="2"/>
  <c r="D937" i="2"/>
  <c r="C937" i="2"/>
  <c r="B937" i="2"/>
  <c r="A937" i="2"/>
  <c r="AO936" i="2"/>
  <c r="AN936" i="2"/>
  <c r="AM936" i="2"/>
  <c r="AL936" i="2"/>
  <c r="AK936" i="2"/>
  <c r="AJ936" i="2"/>
  <c r="AI936" i="2"/>
  <c r="AG936" i="2"/>
  <c r="AF936" i="2"/>
  <c r="AE936" i="2"/>
  <c r="AC936" i="2"/>
  <c r="AB936" i="2"/>
  <c r="AA936" i="2"/>
  <c r="X936" i="2"/>
  <c r="W936" i="2"/>
  <c r="V936" i="2"/>
  <c r="U936" i="2"/>
  <c r="R936" i="2"/>
  <c r="Q936" i="2"/>
  <c r="P936" i="2"/>
  <c r="O936" i="2"/>
  <c r="N936" i="2"/>
  <c r="M936" i="2"/>
  <c r="L936" i="2"/>
  <c r="K936" i="2"/>
  <c r="J936" i="2"/>
  <c r="I936" i="2"/>
  <c r="H936" i="2"/>
  <c r="G936" i="2"/>
  <c r="F936" i="2"/>
  <c r="E936" i="2"/>
  <c r="D936" i="2"/>
  <c r="C936" i="2"/>
  <c r="B936" i="2"/>
  <c r="A936" i="2"/>
  <c r="AO935" i="2"/>
  <c r="AN935" i="2"/>
  <c r="AM935" i="2"/>
  <c r="AL935" i="2"/>
  <c r="AK935" i="2"/>
  <c r="AJ935" i="2"/>
  <c r="AI935" i="2"/>
  <c r="AH935" i="2"/>
  <c r="AG935" i="2"/>
  <c r="AF935" i="2"/>
  <c r="AE935" i="2"/>
  <c r="AD935" i="2"/>
  <c r="AC935" i="2"/>
  <c r="AB935" i="2"/>
  <c r="AA935" i="2"/>
  <c r="Z935" i="2"/>
  <c r="Y935" i="2"/>
  <c r="X935" i="2"/>
  <c r="W935" i="2"/>
  <c r="V935" i="2"/>
  <c r="U935" i="2"/>
  <c r="S935" i="2"/>
  <c r="R935" i="2"/>
  <c r="Q935" i="2"/>
  <c r="P935" i="2"/>
  <c r="O935" i="2"/>
  <c r="N935" i="2"/>
  <c r="M935" i="2"/>
  <c r="L935" i="2"/>
  <c r="K935" i="2"/>
  <c r="J935" i="2"/>
  <c r="I935" i="2"/>
  <c r="H935" i="2"/>
  <c r="G935" i="2"/>
  <c r="F935" i="2"/>
  <c r="E935" i="2"/>
  <c r="D935" i="2"/>
  <c r="C935" i="2"/>
  <c r="B935" i="2"/>
  <c r="A935" i="2"/>
  <c r="AO934" i="2"/>
  <c r="AN934" i="2"/>
  <c r="AM934" i="2"/>
  <c r="AL934" i="2"/>
  <c r="AK934" i="2"/>
  <c r="AJ934" i="2"/>
  <c r="AI934" i="2"/>
  <c r="AH934" i="2"/>
  <c r="AG934" i="2"/>
  <c r="AF934" i="2"/>
  <c r="AE934" i="2"/>
  <c r="AD934" i="2"/>
  <c r="AC934" i="2"/>
  <c r="AB934" i="2"/>
  <c r="AA934" i="2"/>
  <c r="Z934" i="2"/>
  <c r="Y934" i="2"/>
  <c r="X934" i="2"/>
  <c r="W934" i="2"/>
  <c r="V934" i="2"/>
  <c r="U934" i="2"/>
  <c r="S934" i="2"/>
  <c r="R934" i="2"/>
  <c r="Q934" i="2"/>
  <c r="P934" i="2"/>
  <c r="O934" i="2"/>
  <c r="N934" i="2"/>
  <c r="M934" i="2"/>
  <c r="L934" i="2"/>
  <c r="K934" i="2"/>
  <c r="J934" i="2"/>
  <c r="I934" i="2"/>
  <c r="H934" i="2"/>
  <c r="G934" i="2"/>
  <c r="F934" i="2"/>
  <c r="E934" i="2"/>
  <c r="D934" i="2"/>
  <c r="C934" i="2"/>
  <c r="A934" i="2"/>
  <c r="AO933" i="2"/>
  <c r="AN933" i="2"/>
  <c r="AM933" i="2"/>
  <c r="AL933" i="2"/>
  <c r="AK933" i="2"/>
  <c r="AJ933" i="2"/>
  <c r="AI933" i="2"/>
  <c r="AH933" i="2"/>
  <c r="AG933" i="2"/>
  <c r="AF933" i="2"/>
  <c r="AE933" i="2"/>
  <c r="AD933" i="2"/>
  <c r="AC933" i="2"/>
  <c r="AB933" i="2"/>
  <c r="AA933" i="2"/>
  <c r="Z933" i="2"/>
  <c r="Y933" i="2"/>
  <c r="X933" i="2"/>
  <c r="W933" i="2"/>
  <c r="V933" i="2"/>
  <c r="U933" i="2"/>
  <c r="S933" i="2"/>
  <c r="R933" i="2"/>
  <c r="Q933" i="2"/>
  <c r="P933" i="2"/>
  <c r="O933" i="2"/>
  <c r="N933" i="2"/>
  <c r="M933" i="2"/>
  <c r="L933" i="2"/>
  <c r="K933" i="2"/>
  <c r="J933" i="2"/>
  <c r="I933" i="2"/>
  <c r="H933" i="2"/>
  <c r="G933" i="2"/>
  <c r="F933" i="2"/>
  <c r="E933" i="2"/>
  <c r="D933" i="2"/>
  <c r="C933" i="2"/>
  <c r="A933" i="2"/>
  <c r="AO932" i="2"/>
  <c r="AN932" i="2"/>
  <c r="AM932" i="2"/>
  <c r="AL932" i="2"/>
  <c r="AK932" i="2"/>
  <c r="AJ932" i="2"/>
  <c r="AI932" i="2"/>
  <c r="AG932" i="2"/>
  <c r="AF932" i="2"/>
  <c r="AE932" i="2"/>
  <c r="AC932" i="2"/>
  <c r="AB932" i="2"/>
  <c r="AA932" i="2"/>
  <c r="X932" i="2"/>
  <c r="W932" i="2"/>
  <c r="V932" i="2"/>
  <c r="U932" i="2"/>
  <c r="R932" i="2"/>
  <c r="Q932" i="2"/>
  <c r="P932" i="2"/>
  <c r="O932" i="2"/>
  <c r="N932" i="2"/>
  <c r="M932" i="2"/>
  <c r="L932" i="2"/>
  <c r="K932" i="2"/>
  <c r="J932" i="2"/>
  <c r="I932" i="2"/>
  <c r="H932" i="2"/>
  <c r="G932" i="2"/>
  <c r="F932" i="2"/>
  <c r="E932" i="2"/>
  <c r="D932" i="2"/>
  <c r="C932" i="2"/>
  <c r="B932" i="2"/>
  <c r="A932" i="2"/>
  <c r="AO931" i="2"/>
  <c r="AN931" i="2"/>
  <c r="AM931" i="2"/>
  <c r="AL931" i="2"/>
  <c r="AK931" i="2"/>
  <c r="AJ931" i="2"/>
  <c r="AI931" i="2"/>
  <c r="AH931" i="2"/>
  <c r="AG931" i="2"/>
  <c r="AF931" i="2"/>
  <c r="AE931" i="2"/>
  <c r="AD931" i="2"/>
  <c r="AC931" i="2"/>
  <c r="AB931" i="2"/>
  <c r="AA931" i="2"/>
  <c r="Z931" i="2"/>
  <c r="Y931" i="2"/>
  <c r="X931" i="2"/>
  <c r="W931" i="2"/>
  <c r="V931" i="2"/>
  <c r="U931" i="2"/>
  <c r="S931" i="2"/>
  <c r="R931" i="2"/>
  <c r="Q931" i="2"/>
  <c r="P931" i="2"/>
  <c r="O931" i="2"/>
  <c r="N931" i="2"/>
  <c r="M931" i="2"/>
  <c r="L931" i="2"/>
  <c r="K931" i="2"/>
  <c r="J931" i="2"/>
  <c r="I931" i="2"/>
  <c r="H931" i="2"/>
  <c r="G931" i="2"/>
  <c r="F931" i="2"/>
  <c r="E931" i="2"/>
  <c r="D931" i="2"/>
  <c r="C931" i="2"/>
  <c r="A931" i="2"/>
  <c r="AO930" i="2"/>
  <c r="AN930" i="2"/>
  <c r="AM930" i="2"/>
  <c r="AK930" i="2"/>
  <c r="AJ930" i="2"/>
  <c r="AI930" i="2"/>
  <c r="AH930" i="2"/>
  <c r="AG930" i="2"/>
  <c r="AF930" i="2"/>
  <c r="AE930" i="2"/>
  <c r="AD930" i="2"/>
  <c r="AC930" i="2"/>
  <c r="AB930" i="2"/>
  <c r="AA930" i="2"/>
  <c r="Y930" i="2"/>
  <c r="X930" i="2"/>
  <c r="W930" i="2"/>
  <c r="V930" i="2"/>
  <c r="U930" i="2"/>
  <c r="S930" i="2"/>
  <c r="R930" i="2"/>
  <c r="Q930" i="2"/>
  <c r="P930" i="2"/>
  <c r="O930" i="2"/>
  <c r="N930" i="2"/>
  <c r="M930" i="2"/>
  <c r="L930" i="2"/>
  <c r="K930" i="2"/>
  <c r="J930" i="2"/>
  <c r="I930" i="2"/>
  <c r="H930" i="2"/>
  <c r="G930" i="2"/>
  <c r="F930" i="2"/>
  <c r="E930" i="2"/>
  <c r="D930" i="2"/>
  <c r="C930" i="2"/>
  <c r="B930" i="2"/>
  <c r="A930" i="2"/>
  <c r="AO929" i="2"/>
  <c r="AN929" i="2"/>
  <c r="AM929" i="2"/>
  <c r="AK929" i="2"/>
  <c r="AJ929" i="2"/>
  <c r="AI929" i="2"/>
  <c r="AH929" i="2"/>
  <c r="AG929" i="2"/>
  <c r="AF929" i="2"/>
  <c r="AE929" i="2"/>
  <c r="AD929" i="2"/>
  <c r="AC929" i="2"/>
  <c r="AB929" i="2"/>
  <c r="AA929" i="2"/>
  <c r="Z929" i="2"/>
  <c r="Y929" i="2"/>
  <c r="X929" i="2"/>
  <c r="W929" i="2"/>
  <c r="V929" i="2"/>
  <c r="U929" i="2"/>
  <c r="S929" i="2"/>
  <c r="R929" i="2"/>
  <c r="Q929" i="2"/>
  <c r="P929" i="2"/>
  <c r="O929" i="2"/>
  <c r="N929" i="2"/>
  <c r="M929" i="2"/>
  <c r="L929" i="2"/>
  <c r="K929" i="2"/>
  <c r="J929" i="2"/>
  <c r="I929" i="2"/>
  <c r="H929" i="2"/>
  <c r="G929" i="2"/>
  <c r="F929" i="2"/>
  <c r="E929" i="2"/>
  <c r="D929" i="2"/>
  <c r="C929" i="2"/>
  <c r="B929" i="2"/>
  <c r="A929" i="2"/>
  <c r="AO928" i="2"/>
  <c r="AN928" i="2"/>
  <c r="AM928" i="2"/>
  <c r="AL928" i="2"/>
  <c r="AK928" i="2"/>
  <c r="AJ928" i="2"/>
  <c r="AI928" i="2"/>
  <c r="AH928" i="2"/>
  <c r="AG928" i="2"/>
  <c r="AF928" i="2"/>
  <c r="AE928" i="2"/>
  <c r="AD928" i="2"/>
  <c r="AC928" i="2"/>
  <c r="AB928" i="2"/>
  <c r="AA928" i="2"/>
  <c r="Z928" i="2"/>
  <c r="Y928" i="2"/>
  <c r="X928" i="2"/>
  <c r="W928" i="2"/>
  <c r="V928" i="2"/>
  <c r="U928" i="2"/>
  <c r="S928" i="2"/>
  <c r="R928" i="2"/>
  <c r="Q928" i="2"/>
  <c r="P928" i="2"/>
  <c r="O928" i="2"/>
  <c r="N928" i="2"/>
  <c r="M928" i="2"/>
  <c r="L928" i="2"/>
  <c r="K928" i="2"/>
  <c r="J928" i="2"/>
  <c r="I928" i="2"/>
  <c r="H928" i="2"/>
  <c r="G928" i="2"/>
  <c r="F928" i="2"/>
  <c r="E928" i="2"/>
  <c r="D928" i="2"/>
  <c r="C928" i="2"/>
  <c r="A928" i="2"/>
  <c r="AO927" i="2"/>
  <c r="AN927" i="2"/>
  <c r="AM927" i="2"/>
  <c r="AK927" i="2"/>
  <c r="AJ927" i="2"/>
  <c r="AI927" i="2"/>
  <c r="AH927" i="2"/>
  <c r="AG927" i="2"/>
  <c r="AF927" i="2"/>
  <c r="AE927" i="2"/>
  <c r="AD927" i="2"/>
  <c r="AC927" i="2"/>
  <c r="AB927" i="2"/>
  <c r="AA927" i="2"/>
  <c r="Z927" i="2"/>
  <c r="Y927" i="2"/>
  <c r="X927" i="2"/>
  <c r="W927" i="2"/>
  <c r="V927" i="2"/>
  <c r="U927" i="2"/>
  <c r="S927" i="2"/>
  <c r="R927" i="2"/>
  <c r="Q927" i="2"/>
  <c r="P927" i="2"/>
  <c r="O927" i="2"/>
  <c r="N927" i="2"/>
  <c r="M927" i="2"/>
  <c r="L927" i="2"/>
  <c r="K927" i="2"/>
  <c r="J927" i="2"/>
  <c r="I927" i="2"/>
  <c r="H927" i="2"/>
  <c r="G927" i="2"/>
  <c r="F927" i="2"/>
  <c r="E927" i="2"/>
  <c r="D927" i="2"/>
  <c r="C927" i="2"/>
  <c r="A927" i="2"/>
  <c r="AO926" i="2"/>
  <c r="AN926" i="2"/>
  <c r="AM926" i="2"/>
  <c r="AL926" i="2"/>
  <c r="AK926" i="2"/>
  <c r="AJ926" i="2"/>
  <c r="AI926" i="2"/>
  <c r="AH926" i="2"/>
  <c r="AG926" i="2"/>
  <c r="AF926" i="2"/>
  <c r="AE926" i="2"/>
  <c r="AD926" i="2"/>
  <c r="AC926" i="2"/>
  <c r="AB926" i="2"/>
  <c r="AA926" i="2"/>
  <c r="Z926" i="2"/>
  <c r="Y926" i="2"/>
  <c r="X926" i="2"/>
  <c r="W926" i="2"/>
  <c r="V926" i="2"/>
  <c r="U926" i="2"/>
  <c r="S926" i="2"/>
  <c r="R926" i="2"/>
  <c r="Q926" i="2"/>
  <c r="P926" i="2"/>
  <c r="O926" i="2"/>
  <c r="N926" i="2"/>
  <c r="M926" i="2"/>
  <c r="L926" i="2"/>
  <c r="K926" i="2"/>
  <c r="J926" i="2"/>
  <c r="I926" i="2"/>
  <c r="H926" i="2"/>
  <c r="G926" i="2"/>
  <c r="F926" i="2"/>
  <c r="E926" i="2"/>
  <c r="D926" i="2"/>
  <c r="C926" i="2"/>
  <c r="B926" i="2"/>
  <c r="A926" i="2"/>
  <c r="AO925" i="2"/>
  <c r="AN925" i="2"/>
  <c r="AM925" i="2"/>
  <c r="AK925" i="2"/>
  <c r="AJ925" i="2"/>
  <c r="AI925" i="2"/>
  <c r="AH925" i="2"/>
  <c r="AG925" i="2"/>
  <c r="AF925" i="2"/>
  <c r="AE925" i="2"/>
  <c r="AD925" i="2"/>
  <c r="AC925" i="2"/>
  <c r="AB925" i="2"/>
  <c r="AA925" i="2"/>
  <c r="Z925" i="2"/>
  <c r="Y925" i="2"/>
  <c r="X925" i="2"/>
  <c r="W925" i="2"/>
  <c r="V925" i="2"/>
  <c r="U925" i="2"/>
  <c r="S925" i="2"/>
  <c r="R925" i="2"/>
  <c r="Q925" i="2"/>
  <c r="P925" i="2"/>
  <c r="O925" i="2"/>
  <c r="N925" i="2"/>
  <c r="M925" i="2"/>
  <c r="L925" i="2"/>
  <c r="K925" i="2"/>
  <c r="J925" i="2"/>
  <c r="I925" i="2"/>
  <c r="H925" i="2"/>
  <c r="G925" i="2"/>
  <c r="F925" i="2"/>
  <c r="E925" i="2"/>
  <c r="D925" i="2"/>
  <c r="C925" i="2"/>
  <c r="B925" i="2"/>
  <c r="A925" i="2"/>
  <c r="AO924" i="2"/>
  <c r="AN924" i="2"/>
  <c r="AM924" i="2"/>
  <c r="AL924" i="2"/>
  <c r="AK924" i="2"/>
  <c r="AJ924" i="2"/>
  <c r="AI924" i="2"/>
  <c r="AG924" i="2"/>
  <c r="AF924" i="2"/>
  <c r="AE924" i="2"/>
  <c r="AC924" i="2"/>
  <c r="AB924" i="2"/>
  <c r="AA924" i="2"/>
  <c r="X924" i="2"/>
  <c r="W924" i="2"/>
  <c r="V924" i="2"/>
  <c r="U924" i="2"/>
  <c r="R924" i="2"/>
  <c r="Q924" i="2"/>
  <c r="P924" i="2"/>
  <c r="O924" i="2"/>
  <c r="N924" i="2"/>
  <c r="M924" i="2"/>
  <c r="L924" i="2"/>
  <c r="K924" i="2"/>
  <c r="J924" i="2"/>
  <c r="I924" i="2"/>
  <c r="H924" i="2"/>
  <c r="G924" i="2"/>
  <c r="F924" i="2"/>
  <c r="E924" i="2"/>
  <c r="D924" i="2"/>
  <c r="C924" i="2"/>
  <c r="B924" i="2"/>
  <c r="A924" i="2"/>
  <c r="AO923" i="2"/>
  <c r="AN923" i="2"/>
  <c r="AM923" i="2"/>
  <c r="AK923" i="2"/>
  <c r="AJ923" i="2"/>
  <c r="AI923" i="2"/>
  <c r="AG923" i="2"/>
  <c r="AF923" i="2"/>
  <c r="AE923" i="2"/>
  <c r="AC923" i="2"/>
  <c r="AB923" i="2"/>
  <c r="AA923" i="2"/>
  <c r="X923" i="2"/>
  <c r="W923" i="2"/>
  <c r="V923" i="2"/>
  <c r="U923" i="2"/>
  <c r="R923" i="2"/>
  <c r="Q923" i="2"/>
  <c r="P923" i="2"/>
  <c r="O923" i="2"/>
  <c r="N923" i="2"/>
  <c r="M923" i="2"/>
  <c r="L923" i="2"/>
  <c r="K923" i="2"/>
  <c r="J923" i="2"/>
  <c r="I923" i="2"/>
  <c r="H923" i="2"/>
  <c r="G923" i="2"/>
  <c r="F923" i="2"/>
  <c r="E923" i="2"/>
  <c r="D923" i="2"/>
  <c r="C923" i="2"/>
  <c r="B923" i="2"/>
  <c r="A923" i="2"/>
  <c r="AO922" i="2"/>
  <c r="AN922" i="2"/>
  <c r="AM922" i="2"/>
  <c r="AL922" i="2"/>
  <c r="AK922" i="2"/>
  <c r="AJ922" i="2"/>
  <c r="AI922" i="2"/>
  <c r="AH922" i="2"/>
  <c r="AG922" i="2"/>
  <c r="AF922" i="2"/>
  <c r="AE922" i="2"/>
  <c r="AD922" i="2"/>
  <c r="AC922" i="2"/>
  <c r="AB922" i="2"/>
  <c r="AA922" i="2"/>
  <c r="Z922" i="2"/>
  <c r="Y922" i="2"/>
  <c r="X922" i="2"/>
  <c r="W922" i="2"/>
  <c r="V922" i="2"/>
  <c r="U922" i="2"/>
  <c r="S922" i="2"/>
  <c r="R922" i="2"/>
  <c r="Q922" i="2"/>
  <c r="P922" i="2"/>
  <c r="O922" i="2"/>
  <c r="N922" i="2"/>
  <c r="M922" i="2"/>
  <c r="L922" i="2"/>
  <c r="K922" i="2"/>
  <c r="J922" i="2"/>
  <c r="I922" i="2"/>
  <c r="H922" i="2"/>
  <c r="G922" i="2"/>
  <c r="F922" i="2"/>
  <c r="E922" i="2"/>
  <c r="D922" i="2"/>
  <c r="C922" i="2"/>
  <c r="B922" i="2"/>
  <c r="A922" i="2"/>
  <c r="AO921" i="2"/>
  <c r="AN921" i="2"/>
  <c r="AM921" i="2"/>
  <c r="AL921" i="2"/>
  <c r="AK921" i="2"/>
  <c r="AJ921" i="2"/>
  <c r="AI921" i="2"/>
  <c r="AH921" i="2"/>
  <c r="AG921" i="2"/>
  <c r="AF921" i="2"/>
  <c r="AE921" i="2"/>
  <c r="AD921" i="2"/>
  <c r="AC921" i="2"/>
  <c r="AB921" i="2"/>
  <c r="AA921" i="2"/>
  <c r="Z921" i="2"/>
  <c r="Y921" i="2"/>
  <c r="X921" i="2"/>
  <c r="W921" i="2"/>
  <c r="V921" i="2"/>
  <c r="U921" i="2"/>
  <c r="S921" i="2"/>
  <c r="R921" i="2"/>
  <c r="Q921" i="2"/>
  <c r="P921" i="2"/>
  <c r="O921" i="2"/>
  <c r="N921" i="2"/>
  <c r="M921" i="2"/>
  <c r="L921" i="2"/>
  <c r="K921" i="2"/>
  <c r="J921" i="2"/>
  <c r="I921" i="2"/>
  <c r="H921" i="2"/>
  <c r="G921" i="2"/>
  <c r="F921" i="2"/>
  <c r="E921" i="2"/>
  <c r="D921" i="2"/>
  <c r="C921" i="2"/>
  <c r="B921" i="2"/>
  <c r="A921" i="2"/>
  <c r="AO920" i="2"/>
  <c r="AN920" i="2"/>
  <c r="AM920" i="2"/>
  <c r="AL920" i="2"/>
  <c r="AK920" i="2"/>
  <c r="AJ920" i="2"/>
  <c r="AI920" i="2"/>
  <c r="AG920" i="2"/>
  <c r="AF920" i="2"/>
  <c r="AE920" i="2"/>
  <c r="AC920" i="2"/>
  <c r="AB920" i="2"/>
  <c r="AA920" i="2"/>
  <c r="X920" i="2"/>
  <c r="W920" i="2"/>
  <c r="V920" i="2"/>
  <c r="U920" i="2"/>
  <c r="R920" i="2"/>
  <c r="Q920" i="2"/>
  <c r="P920" i="2"/>
  <c r="O920" i="2"/>
  <c r="N920" i="2"/>
  <c r="M920" i="2"/>
  <c r="L920" i="2"/>
  <c r="K920" i="2"/>
  <c r="J920" i="2"/>
  <c r="I920" i="2"/>
  <c r="H920" i="2"/>
  <c r="G920" i="2"/>
  <c r="F920" i="2"/>
  <c r="E920" i="2"/>
  <c r="D920" i="2"/>
  <c r="C920" i="2"/>
  <c r="A920" i="2"/>
  <c r="AO919" i="2"/>
  <c r="AN919" i="2"/>
  <c r="AM919" i="2"/>
  <c r="AK919" i="2"/>
  <c r="AJ919" i="2"/>
  <c r="AI919" i="2"/>
  <c r="AH919" i="2"/>
  <c r="AG919" i="2"/>
  <c r="AF919" i="2"/>
  <c r="AE919" i="2"/>
  <c r="AC919" i="2"/>
  <c r="AB919" i="2"/>
  <c r="AA919" i="2"/>
  <c r="Z919" i="2"/>
  <c r="Y919" i="2"/>
  <c r="X919" i="2"/>
  <c r="W919" i="2"/>
  <c r="V919" i="2"/>
  <c r="U919" i="2"/>
  <c r="S919" i="2"/>
  <c r="R919" i="2"/>
  <c r="Q919" i="2"/>
  <c r="P919" i="2"/>
  <c r="O919" i="2"/>
  <c r="N919" i="2"/>
  <c r="M919" i="2"/>
  <c r="L919" i="2"/>
  <c r="K919" i="2"/>
  <c r="J919" i="2"/>
  <c r="I919" i="2"/>
  <c r="H919" i="2"/>
  <c r="G919" i="2"/>
  <c r="F919" i="2"/>
  <c r="E919" i="2"/>
  <c r="D919" i="2"/>
  <c r="C919" i="2"/>
  <c r="B919" i="2"/>
  <c r="A919" i="2"/>
  <c r="AO918" i="2"/>
  <c r="AN918" i="2"/>
  <c r="AM918" i="2"/>
  <c r="AK918" i="2"/>
  <c r="AJ918" i="2"/>
  <c r="AI918" i="2"/>
  <c r="AG918" i="2"/>
  <c r="AF918" i="2"/>
  <c r="AE918" i="2"/>
  <c r="AC918" i="2"/>
  <c r="AB918" i="2"/>
  <c r="AA918" i="2"/>
  <c r="X918" i="2"/>
  <c r="W918" i="2"/>
  <c r="V918" i="2"/>
  <c r="U918" i="2"/>
  <c r="R918" i="2"/>
  <c r="Q918" i="2"/>
  <c r="P918" i="2"/>
  <c r="O918" i="2"/>
  <c r="N918" i="2"/>
  <c r="M918" i="2"/>
  <c r="L918" i="2"/>
  <c r="K918" i="2"/>
  <c r="J918" i="2"/>
  <c r="I918" i="2"/>
  <c r="H918" i="2"/>
  <c r="G918" i="2"/>
  <c r="F918" i="2"/>
  <c r="E918" i="2"/>
  <c r="D918" i="2"/>
  <c r="C918" i="2"/>
  <c r="B918" i="2"/>
  <c r="A918" i="2"/>
  <c r="AO917" i="2"/>
  <c r="AN917" i="2"/>
  <c r="AM917" i="2"/>
  <c r="AL917" i="2"/>
  <c r="AK917" i="2"/>
  <c r="AJ917" i="2"/>
  <c r="AI917" i="2"/>
  <c r="AH917" i="2"/>
  <c r="AG917" i="2"/>
  <c r="AF917" i="2"/>
  <c r="AE917" i="2"/>
  <c r="AD917" i="2"/>
  <c r="AC917" i="2"/>
  <c r="AB917" i="2"/>
  <c r="AA917" i="2"/>
  <c r="Z917" i="2"/>
  <c r="Y917" i="2"/>
  <c r="X917" i="2"/>
  <c r="W917" i="2"/>
  <c r="V917" i="2"/>
  <c r="U917" i="2"/>
  <c r="S917" i="2"/>
  <c r="R917" i="2"/>
  <c r="Q917" i="2"/>
  <c r="P917" i="2"/>
  <c r="O917" i="2"/>
  <c r="N917" i="2"/>
  <c r="M917" i="2"/>
  <c r="L917" i="2"/>
  <c r="K917" i="2"/>
  <c r="J917" i="2"/>
  <c r="I917" i="2"/>
  <c r="H917" i="2"/>
  <c r="G917" i="2"/>
  <c r="F917" i="2"/>
  <c r="E917" i="2"/>
  <c r="D917" i="2"/>
  <c r="C917" i="2"/>
  <c r="A917" i="2"/>
  <c r="AO916" i="2"/>
  <c r="AN916" i="2"/>
  <c r="AM916" i="2"/>
  <c r="AL916" i="2"/>
  <c r="AK916" i="2"/>
  <c r="AJ916" i="2"/>
  <c r="AI916" i="2"/>
  <c r="AH916" i="2"/>
  <c r="AG916" i="2"/>
  <c r="AF916" i="2"/>
  <c r="AE916" i="2"/>
  <c r="AD916" i="2"/>
  <c r="AC916" i="2"/>
  <c r="AB916" i="2"/>
  <c r="AA916" i="2"/>
  <c r="Y916" i="2"/>
  <c r="X916" i="2"/>
  <c r="W916" i="2"/>
  <c r="V916" i="2"/>
  <c r="U916" i="2"/>
  <c r="S916" i="2"/>
  <c r="R916" i="2"/>
  <c r="Q916" i="2"/>
  <c r="P916" i="2"/>
  <c r="O916" i="2"/>
  <c r="N916" i="2"/>
  <c r="M916" i="2"/>
  <c r="L916" i="2"/>
  <c r="K916" i="2"/>
  <c r="J916" i="2"/>
  <c r="I916" i="2"/>
  <c r="H916" i="2"/>
  <c r="G916" i="2"/>
  <c r="F916" i="2"/>
  <c r="E916" i="2"/>
  <c r="D916" i="2"/>
  <c r="C916" i="2"/>
  <c r="A916" i="2"/>
  <c r="AO915" i="2"/>
  <c r="AN915" i="2"/>
  <c r="AM915" i="2"/>
  <c r="AK915" i="2"/>
  <c r="AJ915" i="2"/>
  <c r="AI915" i="2"/>
  <c r="AH915" i="2"/>
  <c r="AG915" i="2"/>
  <c r="AF915" i="2"/>
  <c r="AE915" i="2"/>
  <c r="AD915" i="2"/>
  <c r="AC915" i="2"/>
  <c r="AB915" i="2"/>
  <c r="AA915" i="2"/>
  <c r="Z915" i="2"/>
  <c r="Y915" i="2"/>
  <c r="X915" i="2"/>
  <c r="W915" i="2"/>
  <c r="V915" i="2"/>
  <c r="U915" i="2"/>
  <c r="S915" i="2"/>
  <c r="R915" i="2"/>
  <c r="Q915" i="2"/>
  <c r="P915" i="2"/>
  <c r="O915" i="2"/>
  <c r="N915" i="2"/>
  <c r="M915" i="2"/>
  <c r="L915" i="2"/>
  <c r="K915" i="2"/>
  <c r="J915" i="2"/>
  <c r="I915" i="2"/>
  <c r="H915" i="2"/>
  <c r="G915" i="2"/>
  <c r="F915" i="2"/>
  <c r="E915" i="2"/>
  <c r="D915" i="2"/>
  <c r="C915" i="2"/>
  <c r="B915" i="2"/>
  <c r="A915" i="2"/>
  <c r="AO914" i="2"/>
  <c r="AN914" i="2"/>
  <c r="AM914" i="2"/>
  <c r="AK914" i="2"/>
  <c r="AJ914" i="2"/>
  <c r="AI914" i="2"/>
  <c r="AH914" i="2"/>
  <c r="AG914" i="2"/>
  <c r="AF914" i="2"/>
  <c r="AE914" i="2"/>
  <c r="AD914" i="2"/>
  <c r="AC914" i="2"/>
  <c r="AB914" i="2"/>
  <c r="AA914" i="2"/>
  <c r="Z914" i="2"/>
  <c r="Y914" i="2"/>
  <c r="X914" i="2"/>
  <c r="W914" i="2"/>
  <c r="V914" i="2"/>
  <c r="U914" i="2"/>
  <c r="S914" i="2"/>
  <c r="R914" i="2"/>
  <c r="Q914" i="2"/>
  <c r="P914" i="2"/>
  <c r="O914" i="2"/>
  <c r="N914" i="2"/>
  <c r="M914" i="2"/>
  <c r="L914" i="2"/>
  <c r="K914" i="2"/>
  <c r="J914" i="2"/>
  <c r="I914" i="2"/>
  <c r="H914" i="2"/>
  <c r="G914" i="2"/>
  <c r="F914" i="2"/>
  <c r="E914" i="2"/>
  <c r="D914" i="2"/>
  <c r="C914" i="2"/>
  <c r="A914" i="2"/>
  <c r="AO913" i="2"/>
  <c r="AN913" i="2"/>
  <c r="AM913" i="2"/>
  <c r="AK913" i="2"/>
  <c r="AJ913" i="2"/>
  <c r="AI913" i="2"/>
  <c r="AH913" i="2"/>
  <c r="AG913" i="2"/>
  <c r="AF913" i="2"/>
  <c r="AE913" i="2"/>
  <c r="AC913" i="2"/>
  <c r="AB913" i="2"/>
  <c r="AA913" i="2"/>
  <c r="Z913" i="2"/>
  <c r="Y913" i="2"/>
  <c r="X913" i="2"/>
  <c r="W913" i="2"/>
  <c r="V913" i="2"/>
  <c r="U913" i="2"/>
  <c r="S913" i="2"/>
  <c r="R913" i="2"/>
  <c r="Q913" i="2"/>
  <c r="P913" i="2"/>
  <c r="O913" i="2"/>
  <c r="N913" i="2"/>
  <c r="M913" i="2"/>
  <c r="L913" i="2"/>
  <c r="K913" i="2"/>
  <c r="J913" i="2"/>
  <c r="I913" i="2"/>
  <c r="H913" i="2"/>
  <c r="G913" i="2"/>
  <c r="F913" i="2"/>
  <c r="E913" i="2"/>
  <c r="D913" i="2"/>
  <c r="C913" i="2"/>
  <c r="A913" i="2"/>
  <c r="AO912" i="2"/>
  <c r="AN912" i="2"/>
  <c r="AM912" i="2"/>
  <c r="AK912" i="2"/>
  <c r="AJ912" i="2"/>
  <c r="AI912" i="2"/>
  <c r="AH912" i="2"/>
  <c r="AG912" i="2"/>
  <c r="AF912" i="2"/>
  <c r="AE912" i="2"/>
  <c r="AD912" i="2"/>
  <c r="AC912" i="2"/>
  <c r="AB912" i="2"/>
  <c r="AA912" i="2"/>
  <c r="Z912" i="2"/>
  <c r="Y912" i="2"/>
  <c r="X912" i="2"/>
  <c r="W912" i="2"/>
  <c r="V912" i="2"/>
  <c r="U912" i="2"/>
  <c r="S912" i="2"/>
  <c r="R912" i="2"/>
  <c r="Q912" i="2"/>
  <c r="P912" i="2"/>
  <c r="O912" i="2"/>
  <c r="N912" i="2"/>
  <c r="M912" i="2"/>
  <c r="L912" i="2"/>
  <c r="K912" i="2"/>
  <c r="J912" i="2"/>
  <c r="I912" i="2"/>
  <c r="H912" i="2"/>
  <c r="G912" i="2"/>
  <c r="F912" i="2"/>
  <c r="E912" i="2"/>
  <c r="D912" i="2"/>
  <c r="C912" i="2"/>
  <c r="B912" i="2"/>
  <c r="A912" i="2"/>
  <c r="AO911" i="2"/>
  <c r="AN911" i="2"/>
  <c r="AM911" i="2"/>
  <c r="AL911" i="2"/>
  <c r="AK911" i="2"/>
  <c r="AJ911" i="2"/>
  <c r="AI911" i="2"/>
  <c r="AH911" i="2"/>
  <c r="AG911" i="2"/>
  <c r="AF911" i="2"/>
  <c r="AE911" i="2"/>
  <c r="AC911" i="2"/>
  <c r="AB911" i="2"/>
  <c r="AA911" i="2"/>
  <c r="Z911" i="2"/>
  <c r="Y911" i="2"/>
  <c r="X911" i="2"/>
  <c r="W911" i="2"/>
  <c r="V911" i="2"/>
  <c r="U911" i="2"/>
  <c r="S911" i="2"/>
  <c r="R911" i="2"/>
  <c r="Q911" i="2"/>
  <c r="P911" i="2"/>
  <c r="O911" i="2"/>
  <c r="N911" i="2"/>
  <c r="M911" i="2"/>
  <c r="L911" i="2"/>
  <c r="K911" i="2"/>
  <c r="J911" i="2"/>
  <c r="I911" i="2"/>
  <c r="H911" i="2"/>
  <c r="G911" i="2"/>
  <c r="F911" i="2"/>
  <c r="E911" i="2"/>
  <c r="D911" i="2"/>
  <c r="C911" i="2"/>
  <c r="B911" i="2"/>
  <c r="A911" i="2"/>
  <c r="AO910" i="2"/>
  <c r="AN910" i="2"/>
  <c r="AM910" i="2"/>
  <c r="AL910" i="2"/>
  <c r="AK910" i="2"/>
  <c r="AJ910" i="2"/>
  <c r="AI910" i="2"/>
  <c r="AH910" i="2"/>
  <c r="AG910" i="2"/>
  <c r="AF910" i="2"/>
  <c r="AE910" i="2"/>
  <c r="AD910" i="2"/>
  <c r="AC910" i="2"/>
  <c r="AB910" i="2"/>
  <c r="AA910" i="2"/>
  <c r="Y910" i="2"/>
  <c r="X910" i="2"/>
  <c r="W910" i="2"/>
  <c r="V910" i="2"/>
  <c r="U910" i="2"/>
  <c r="S910" i="2"/>
  <c r="R910" i="2"/>
  <c r="Q910" i="2"/>
  <c r="P910" i="2"/>
  <c r="O910" i="2"/>
  <c r="N910" i="2"/>
  <c r="M910" i="2"/>
  <c r="L910" i="2"/>
  <c r="K910" i="2"/>
  <c r="J910" i="2"/>
  <c r="I910" i="2"/>
  <c r="H910" i="2"/>
  <c r="G910" i="2"/>
  <c r="F910" i="2"/>
  <c r="E910" i="2"/>
  <c r="D910" i="2"/>
  <c r="C910" i="2"/>
  <c r="B910" i="2"/>
  <c r="A910" i="2"/>
  <c r="AO909" i="2"/>
  <c r="AN909" i="2"/>
  <c r="AM909" i="2"/>
  <c r="AK909" i="2"/>
  <c r="AJ909" i="2"/>
  <c r="AI909" i="2"/>
  <c r="AH909" i="2"/>
  <c r="AG909" i="2"/>
  <c r="AF909" i="2"/>
  <c r="AE909" i="2"/>
  <c r="AD909" i="2"/>
  <c r="AC909" i="2"/>
  <c r="AB909" i="2"/>
  <c r="AA909" i="2"/>
  <c r="Z909" i="2"/>
  <c r="Y909" i="2"/>
  <c r="X909" i="2"/>
  <c r="W909" i="2"/>
  <c r="V909" i="2"/>
  <c r="U909" i="2"/>
  <c r="S909" i="2"/>
  <c r="R909" i="2"/>
  <c r="Q909" i="2"/>
  <c r="P909" i="2"/>
  <c r="O909" i="2"/>
  <c r="N909" i="2"/>
  <c r="M909" i="2"/>
  <c r="L909" i="2"/>
  <c r="K909" i="2"/>
  <c r="J909" i="2"/>
  <c r="I909" i="2"/>
  <c r="H909" i="2"/>
  <c r="G909" i="2"/>
  <c r="F909" i="2"/>
  <c r="E909" i="2"/>
  <c r="D909" i="2"/>
  <c r="C909" i="2"/>
  <c r="B909" i="2"/>
  <c r="A909" i="2"/>
  <c r="AO908" i="2"/>
  <c r="AN908" i="2"/>
  <c r="AM908" i="2"/>
  <c r="AK908" i="2"/>
  <c r="AJ908" i="2"/>
  <c r="AI908" i="2"/>
  <c r="AH908" i="2"/>
  <c r="AG908" i="2"/>
  <c r="AF908" i="2"/>
  <c r="AE908" i="2"/>
  <c r="AD908" i="2"/>
  <c r="AC908" i="2"/>
  <c r="AB908" i="2"/>
  <c r="AA908" i="2"/>
  <c r="Z908" i="2"/>
  <c r="Y908" i="2"/>
  <c r="X908" i="2"/>
  <c r="W908" i="2"/>
  <c r="V908" i="2"/>
  <c r="U908" i="2"/>
  <c r="S908" i="2"/>
  <c r="R908" i="2"/>
  <c r="Q908" i="2"/>
  <c r="P908" i="2"/>
  <c r="O908" i="2"/>
  <c r="N908" i="2"/>
  <c r="M908" i="2"/>
  <c r="L908" i="2"/>
  <c r="K908" i="2"/>
  <c r="J908" i="2"/>
  <c r="I908" i="2"/>
  <c r="H908" i="2"/>
  <c r="G908" i="2"/>
  <c r="F908" i="2"/>
  <c r="E908" i="2"/>
  <c r="D908" i="2"/>
  <c r="C908" i="2"/>
  <c r="A908" i="2"/>
  <c r="AO907" i="2"/>
  <c r="AN907" i="2"/>
  <c r="AM907" i="2"/>
  <c r="AK907" i="2"/>
  <c r="AJ907" i="2"/>
  <c r="AI907" i="2"/>
  <c r="AH907" i="2"/>
  <c r="AG907" i="2"/>
  <c r="AF907" i="2"/>
  <c r="AE907" i="2"/>
  <c r="AD907" i="2"/>
  <c r="AC907" i="2"/>
  <c r="AB907" i="2"/>
  <c r="AA907" i="2"/>
  <c r="Z907" i="2"/>
  <c r="Y907" i="2"/>
  <c r="X907" i="2"/>
  <c r="W907" i="2"/>
  <c r="V907" i="2"/>
  <c r="U907" i="2"/>
  <c r="S907" i="2"/>
  <c r="R907" i="2"/>
  <c r="Q907" i="2"/>
  <c r="P907" i="2"/>
  <c r="O907" i="2"/>
  <c r="N907" i="2"/>
  <c r="M907" i="2"/>
  <c r="L907" i="2"/>
  <c r="K907" i="2"/>
  <c r="J907" i="2"/>
  <c r="I907" i="2"/>
  <c r="H907" i="2"/>
  <c r="G907" i="2"/>
  <c r="F907" i="2"/>
  <c r="E907" i="2"/>
  <c r="D907" i="2"/>
  <c r="C907" i="2"/>
  <c r="B907" i="2"/>
  <c r="A907" i="2"/>
  <c r="AO906" i="2"/>
  <c r="AN906" i="2"/>
  <c r="AM906" i="2"/>
  <c r="AL906" i="2"/>
  <c r="AK906" i="2"/>
  <c r="AJ906" i="2"/>
  <c r="AI906" i="2"/>
  <c r="AH906" i="2"/>
  <c r="AG906" i="2"/>
  <c r="AF906" i="2"/>
  <c r="AE906" i="2"/>
  <c r="AD906" i="2"/>
  <c r="AC906" i="2"/>
  <c r="AB906" i="2"/>
  <c r="AA906" i="2"/>
  <c r="Z906" i="2"/>
  <c r="Y906" i="2"/>
  <c r="X906" i="2"/>
  <c r="W906" i="2"/>
  <c r="V906" i="2"/>
  <c r="U906" i="2"/>
  <c r="S906" i="2"/>
  <c r="R906" i="2"/>
  <c r="Q906" i="2"/>
  <c r="P906" i="2"/>
  <c r="O906" i="2"/>
  <c r="N906" i="2"/>
  <c r="M906" i="2"/>
  <c r="L906" i="2"/>
  <c r="K906" i="2"/>
  <c r="J906" i="2"/>
  <c r="I906" i="2"/>
  <c r="H906" i="2"/>
  <c r="G906" i="2"/>
  <c r="F906" i="2"/>
  <c r="E906" i="2"/>
  <c r="D906" i="2"/>
  <c r="C906" i="2"/>
  <c r="A906" i="2"/>
  <c r="AO905" i="2"/>
  <c r="AN905" i="2"/>
  <c r="AM905" i="2"/>
  <c r="AK905" i="2"/>
  <c r="AJ905" i="2"/>
  <c r="AI905" i="2"/>
  <c r="AH905" i="2"/>
  <c r="AG905" i="2"/>
  <c r="AF905" i="2"/>
  <c r="AE905" i="2"/>
  <c r="AD905" i="2"/>
  <c r="AC905" i="2"/>
  <c r="AB905" i="2"/>
  <c r="AA905" i="2"/>
  <c r="Z905" i="2"/>
  <c r="Y905" i="2"/>
  <c r="X905" i="2"/>
  <c r="W905" i="2"/>
  <c r="V905" i="2"/>
  <c r="U905" i="2"/>
  <c r="S905" i="2"/>
  <c r="R905" i="2"/>
  <c r="Q905" i="2"/>
  <c r="P905" i="2"/>
  <c r="O905" i="2"/>
  <c r="N905" i="2"/>
  <c r="M905" i="2"/>
  <c r="L905" i="2"/>
  <c r="K905" i="2"/>
  <c r="J905" i="2"/>
  <c r="I905" i="2"/>
  <c r="H905" i="2"/>
  <c r="G905" i="2"/>
  <c r="F905" i="2"/>
  <c r="E905" i="2"/>
  <c r="D905" i="2"/>
  <c r="C905" i="2"/>
  <c r="B905" i="2"/>
  <c r="A905" i="2"/>
  <c r="AO904" i="2"/>
  <c r="AN904" i="2"/>
  <c r="AM904" i="2"/>
  <c r="AL904" i="2"/>
  <c r="AK904" i="2"/>
  <c r="AJ904" i="2"/>
  <c r="AI904" i="2"/>
  <c r="AH904" i="2"/>
  <c r="AG904" i="2"/>
  <c r="AF904" i="2"/>
  <c r="AE904" i="2"/>
  <c r="AD904" i="2"/>
  <c r="AC904" i="2"/>
  <c r="AB904" i="2"/>
  <c r="AA904" i="2"/>
  <c r="Z904" i="2"/>
  <c r="Y904" i="2"/>
  <c r="X904" i="2"/>
  <c r="W904" i="2"/>
  <c r="V904" i="2"/>
  <c r="U904" i="2"/>
  <c r="S904" i="2"/>
  <c r="R904" i="2"/>
  <c r="Q904" i="2"/>
  <c r="P904" i="2"/>
  <c r="O904" i="2"/>
  <c r="N904" i="2"/>
  <c r="M904" i="2"/>
  <c r="L904" i="2"/>
  <c r="K904" i="2"/>
  <c r="J904" i="2"/>
  <c r="I904" i="2"/>
  <c r="H904" i="2"/>
  <c r="G904" i="2"/>
  <c r="F904" i="2"/>
  <c r="E904" i="2"/>
  <c r="D904" i="2"/>
  <c r="C904" i="2"/>
  <c r="A904" i="2"/>
  <c r="AO903" i="2"/>
  <c r="AN903" i="2"/>
  <c r="AM903" i="2"/>
  <c r="AL903" i="2"/>
  <c r="AK903" i="2"/>
  <c r="AJ903" i="2"/>
  <c r="AI903" i="2"/>
  <c r="AH903" i="2"/>
  <c r="AG903" i="2"/>
  <c r="AF903" i="2"/>
  <c r="AE903" i="2"/>
  <c r="AC903" i="2"/>
  <c r="AB903" i="2"/>
  <c r="AA903" i="2"/>
  <c r="Y903" i="2"/>
  <c r="X903" i="2"/>
  <c r="W903" i="2"/>
  <c r="V903" i="2"/>
  <c r="U903" i="2"/>
  <c r="S903" i="2"/>
  <c r="R903" i="2"/>
  <c r="Q903" i="2"/>
  <c r="P903" i="2"/>
  <c r="O903" i="2"/>
  <c r="N903" i="2"/>
  <c r="M903" i="2"/>
  <c r="L903" i="2"/>
  <c r="K903" i="2"/>
  <c r="J903" i="2"/>
  <c r="I903" i="2"/>
  <c r="H903" i="2"/>
  <c r="G903" i="2"/>
  <c r="F903" i="2"/>
  <c r="E903" i="2"/>
  <c r="D903" i="2"/>
  <c r="C903" i="2"/>
  <c r="A903" i="2"/>
  <c r="AO902" i="2"/>
  <c r="AN902" i="2"/>
  <c r="AM902" i="2"/>
  <c r="AL902" i="2"/>
  <c r="AK902" i="2"/>
  <c r="AJ902" i="2"/>
  <c r="AI902" i="2"/>
  <c r="AH902" i="2"/>
  <c r="AG902" i="2"/>
  <c r="AF902" i="2"/>
  <c r="AE902" i="2"/>
  <c r="AD902" i="2"/>
  <c r="AC902" i="2"/>
  <c r="AB902" i="2"/>
  <c r="AA902" i="2"/>
  <c r="Z902" i="2"/>
  <c r="Y902" i="2"/>
  <c r="X902" i="2"/>
  <c r="W902" i="2"/>
  <c r="V902" i="2"/>
  <c r="U902" i="2"/>
  <c r="S902" i="2"/>
  <c r="R902" i="2"/>
  <c r="Q902" i="2"/>
  <c r="P902" i="2"/>
  <c r="O902" i="2"/>
  <c r="N902" i="2"/>
  <c r="M902" i="2"/>
  <c r="L902" i="2"/>
  <c r="K902" i="2"/>
  <c r="J902" i="2"/>
  <c r="I902" i="2"/>
  <c r="H902" i="2"/>
  <c r="G902" i="2"/>
  <c r="F902" i="2"/>
  <c r="E902" i="2"/>
  <c r="D902" i="2"/>
  <c r="C902" i="2"/>
  <c r="A902" i="2"/>
  <c r="AO901" i="2"/>
  <c r="AN901" i="2"/>
  <c r="AM901" i="2"/>
  <c r="AL901" i="2"/>
  <c r="AK901" i="2"/>
  <c r="AJ901" i="2"/>
  <c r="AI901" i="2"/>
  <c r="AH901" i="2"/>
  <c r="AG901" i="2"/>
  <c r="AF901" i="2"/>
  <c r="AE901" i="2"/>
  <c r="AD901" i="2"/>
  <c r="AC901" i="2"/>
  <c r="AB901" i="2"/>
  <c r="AA901" i="2"/>
  <c r="Z901" i="2"/>
  <c r="Y901" i="2"/>
  <c r="X901" i="2"/>
  <c r="W901" i="2"/>
  <c r="V901" i="2"/>
  <c r="U901" i="2"/>
  <c r="S901" i="2"/>
  <c r="R901" i="2"/>
  <c r="Q901" i="2"/>
  <c r="P901" i="2"/>
  <c r="O901" i="2"/>
  <c r="N901" i="2"/>
  <c r="M901" i="2"/>
  <c r="L901" i="2"/>
  <c r="K901" i="2"/>
  <c r="J901" i="2"/>
  <c r="I901" i="2"/>
  <c r="H901" i="2"/>
  <c r="G901" i="2"/>
  <c r="F901" i="2"/>
  <c r="E901" i="2"/>
  <c r="D901" i="2"/>
  <c r="C901" i="2"/>
  <c r="B901" i="2"/>
  <c r="A901" i="2"/>
  <c r="AO900" i="2"/>
  <c r="AN900" i="2"/>
  <c r="AM900" i="2"/>
  <c r="AK900" i="2"/>
  <c r="AJ900" i="2"/>
  <c r="AI900" i="2"/>
  <c r="AH900" i="2"/>
  <c r="AG900" i="2"/>
  <c r="AF900" i="2"/>
  <c r="AE900" i="2"/>
  <c r="AC900" i="2"/>
  <c r="AB900" i="2"/>
  <c r="AA900" i="2"/>
  <c r="Z900" i="2"/>
  <c r="Y900" i="2"/>
  <c r="X900" i="2"/>
  <c r="W900" i="2"/>
  <c r="V900" i="2"/>
  <c r="U900" i="2"/>
  <c r="S900" i="2"/>
  <c r="R900" i="2"/>
  <c r="Q900" i="2"/>
  <c r="P900" i="2"/>
  <c r="O900" i="2"/>
  <c r="N900" i="2"/>
  <c r="M900" i="2"/>
  <c r="L900" i="2"/>
  <c r="K900" i="2"/>
  <c r="J900" i="2"/>
  <c r="I900" i="2"/>
  <c r="H900" i="2"/>
  <c r="G900" i="2"/>
  <c r="F900" i="2"/>
  <c r="E900" i="2"/>
  <c r="D900" i="2"/>
  <c r="C900" i="2"/>
  <c r="A900" i="2"/>
  <c r="AO899" i="2"/>
  <c r="AN899" i="2"/>
  <c r="AM899" i="2"/>
  <c r="AK899" i="2"/>
  <c r="AJ899" i="2"/>
  <c r="AI899" i="2"/>
  <c r="AH899" i="2"/>
  <c r="AG899" i="2"/>
  <c r="AF899" i="2"/>
  <c r="AE899" i="2"/>
  <c r="AD899" i="2"/>
  <c r="AC899" i="2"/>
  <c r="AB899" i="2"/>
  <c r="AA899" i="2"/>
  <c r="Z899" i="2"/>
  <c r="Y899" i="2"/>
  <c r="X899" i="2"/>
  <c r="W899" i="2"/>
  <c r="V899" i="2"/>
  <c r="U899" i="2"/>
  <c r="S899" i="2"/>
  <c r="R899" i="2"/>
  <c r="Q899" i="2"/>
  <c r="P899" i="2"/>
  <c r="O899" i="2"/>
  <c r="N899" i="2"/>
  <c r="M899" i="2"/>
  <c r="L899" i="2"/>
  <c r="K899" i="2"/>
  <c r="J899" i="2"/>
  <c r="I899" i="2"/>
  <c r="H899" i="2"/>
  <c r="G899" i="2"/>
  <c r="F899" i="2"/>
  <c r="E899" i="2"/>
  <c r="D899" i="2"/>
  <c r="C899" i="2"/>
  <c r="B899" i="2"/>
  <c r="A899" i="2"/>
  <c r="AO898" i="2"/>
  <c r="AN898" i="2"/>
  <c r="AM898" i="2"/>
  <c r="AL898" i="2"/>
  <c r="AK898" i="2"/>
  <c r="AJ898" i="2"/>
  <c r="AI898" i="2"/>
  <c r="AH898" i="2"/>
  <c r="AG898" i="2"/>
  <c r="AF898" i="2"/>
  <c r="AE898" i="2"/>
  <c r="AD898" i="2"/>
  <c r="AC898" i="2"/>
  <c r="AB898" i="2"/>
  <c r="AA898" i="2"/>
  <c r="Z898" i="2"/>
  <c r="Y898" i="2"/>
  <c r="X898" i="2"/>
  <c r="W898" i="2"/>
  <c r="V898" i="2"/>
  <c r="U898" i="2"/>
  <c r="S898" i="2"/>
  <c r="R898" i="2"/>
  <c r="Q898" i="2"/>
  <c r="P898" i="2"/>
  <c r="O898" i="2"/>
  <c r="N898" i="2"/>
  <c r="M898" i="2"/>
  <c r="L898" i="2"/>
  <c r="K898" i="2"/>
  <c r="J898" i="2"/>
  <c r="I898" i="2"/>
  <c r="H898" i="2"/>
  <c r="G898" i="2"/>
  <c r="F898" i="2"/>
  <c r="E898" i="2"/>
  <c r="D898" i="2"/>
  <c r="C898" i="2"/>
  <c r="A898" i="2"/>
  <c r="AO897" i="2"/>
  <c r="AN897" i="2"/>
  <c r="AM897" i="2"/>
  <c r="AK897" i="2"/>
  <c r="AJ897" i="2"/>
  <c r="AI897" i="2"/>
  <c r="AH897" i="2"/>
  <c r="AG897" i="2"/>
  <c r="AF897" i="2"/>
  <c r="AE897" i="2"/>
  <c r="AD897" i="2"/>
  <c r="AC897" i="2"/>
  <c r="AB897" i="2"/>
  <c r="AA897" i="2"/>
  <c r="Z897" i="2"/>
  <c r="Y897" i="2"/>
  <c r="X897" i="2"/>
  <c r="W897" i="2"/>
  <c r="V897" i="2"/>
  <c r="U897" i="2"/>
  <c r="S897" i="2"/>
  <c r="R897" i="2"/>
  <c r="Q897" i="2"/>
  <c r="P897" i="2"/>
  <c r="O897" i="2"/>
  <c r="N897" i="2"/>
  <c r="M897" i="2"/>
  <c r="L897" i="2"/>
  <c r="K897" i="2"/>
  <c r="J897" i="2"/>
  <c r="I897" i="2"/>
  <c r="H897" i="2"/>
  <c r="G897" i="2"/>
  <c r="F897" i="2"/>
  <c r="E897" i="2"/>
  <c r="D897" i="2"/>
  <c r="C897" i="2"/>
  <c r="A897" i="2"/>
  <c r="AO896" i="2"/>
  <c r="AN896" i="2"/>
  <c r="AM896" i="2"/>
  <c r="AL896" i="2"/>
  <c r="AK896" i="2"/>
  <c r="AJ896" i="2"/>
  <c r="AI896" i="2"/>
  <c r="AH896" i="2"/>
  <c r="AG896" i="2"/>
  <c r="AF896" i="2"/>
  <c r="AE896" i="2"/>
  <c r="AD896" i="2"/>
  <c r="AC896" i="2"/>
  <c r="AB896" i="2"/>
  <c r="AA896" i="2"/>
  <c r="Z896" i="2"/>
  <c r="Y896" i="2"/>
  <c r="X896" i="2"/>
  <c r="W896" i="2"/>
  <c r="V896" i="2"/>
  <c r="U896" i="2"/>
  <c r="S896" i="2"/>
  <c r="R896" i="2"/>
  <c r="Q896" i="2"/>
  <c r="P896" i="2"/>
  <c r="O896" i="2"/>
  <c r="N896" i="2"/>
  <c r="M896" i="2"/>
  <c r="L896" i="2"/>
  <c r="K896" i="2"/>
  <c r="J896" i="2"/>
  <c r="I896" i="2"/>
  <c r="H896" i="2"/>
  <c r="G896" i="2"/>
  <c r="F896" i="2"/>
  <c r="E896" i="2"/>
  <c r="D896" i="2"/>
  <c r="C896" i="2"/>
  <c r="A896" i="2"/>
  <c r="AO895" i="2"/>
  <c r="AN895" i="2"/>
  <c r="AM895" i="2"/>
  <c r="AL895" i="2"/>
  <c r="AK895" i="2"/>
  <c r="AJ895" i="2"/>
  <c r="AI895" i="2"/>
  <c r="AH895" i="2"/>
  <c r="AG895" i="2"/>
  <c r="AF895" i="2"/>
  <c r="AE895" i="2"/>
  <c r="AD895" i="2"/>
  <c r="AC895" i="2"/>
  <c r="AB895" i="2"/>
  <c r="AA895" i="2"/>
  <c r="Z895" i="2"/>
  <c r="Y895" i="2"/>
  <c r="X895" i="2"/>
  <c r="W895" i="2"/>
  <c r="V895" i="2"/>
  <c r="U895" i="2"/>
  <c r="S895" i="2"/>
  <c r="R895" i="2"/>
  <c r="Q895" i="2"/>
  <c r="P895" i="2"/>
  <c r="O895" i="2"/>
  <c r="N895" i="2"/>
  <c r="M895" i="2"/>
  <c r="L895" i="2"/>
  <c r="K895" i="2"/>
  <c r="J895" i="2"/>
  <c r="I895" i="2"/>
  <c r="H895" i="2"/>
  <c r="G895" i="2"/>
  <c r="F895" i="2"/>
  <c r="E895" i="2"/>
  <c r="D895" i="2"/>
  <c r="C895" i="2"/>
  <c r="B895" i="2"/>
  <c r="A895" i="2"/>
  <c r="AO894" i="2"/>
  <c r="AN894" i="2"/>
  <c r="AM894" i="2"/>
  <c r="AL894" i="2"/>
  <c r="AK894" i="2"/>
  <c r="AJ894" i="2"/>
  <c r="AI894" i="2"/>
  <c r="AH894" i="2"/>
  <c r="AG894" i="2"/>
  <c r="AF894" i="2"/>
  <c r="AE894" i="2"/>
  <c r="AD894" i="2"/>
  <c r="AC894" i="2"/>
  <c r="AB894" i="2"/>
  <c r="AA894" i="2"/>
  <c r="Z894" i="2"/>
  <c r="Y894" i="2"/>
  <c r="X894" i="2"/>
  <c r="W894" i="2"/>
  <c r="V894" i="2"/>
  <c r="U894" i="2"/>
  <c r="S894" i="2"/>
  <c r="R894" i="2"/>
  <c r="Q894" i="2"/>
  <c r="P894" i="2"/>
  <c r="O894" i="2"/>
  <c r="N894" i="2"/>
  <c r="M894" i="2"/>
  <c r="L894" i="2"/>
  <c r="K894" i="2"/>
  <c r="J894" i="2"/>
  <c r="I894" i="2"/>
  <c r="H894" i="2"/>
  <c r="G894" i="2"/>
  <c r="F894" i="2"/>
  <c r="E894" i="2"/>
  <c r="D894" i="2"/>
  <c r="C894" i="2"/>
  <c r="B894" i="2"/>
  <c r="A894" i="2"/>
  <c r="AO893" i="2"/>
  <c r="AN893" i="2"/>
  <c r="AM893" i="2"/>
  <c r="AK893" i="2"/>
  <c r="AJ893" i="2"/>
  <c r="AI893" i="2"/>
  <c r="AH893" i="2"/>
  <c r="AG893" i="2"/>
  <c r="AF893" i="2"/>
  <c r="AE893" i="2"/>
  <c r="AD893" i="2"/>
  <c r="AC893" i="2"/>
  <c r="AB893" i="2"/>
  <c r="AA893" i="2"/>
  <c r="Z893" i="2"/>
  <c r="Y893" i="2"/>
  <c r="X893" i="2"/>
  <c r="W893" i="2"/>
  <c r="V893" i="2"/>
  <c r="U893" i="2"/>
  <c r="S893" i="2"/>
  <c r="R893" i="2"/>
  <c r="Q893" i="2"/>
  <c r="P893" i="2"/>
  <c r="O893" i="2"/>
  <c r="N893" i="2"/>
  <c r="M893" i="2"/>
  <c r="L893" i="2"/>
  <c r="K893" i="2"/>
  <c r="J893" i="2"/>
  <c r="I893" i="2"/>
  <c r="H893" i="2"/>
  <c r="G893" i="2"/>
  <c r="F893" i="2"/>
  <c r="E893" i="2"/>
  <c r="D893" i="2"/>
  <c r="C893" i="2"/>
  <c r="A893" i="2"/>
  <c r="AO892" i="2"/>
  <c r="AN892" i="2"/>
  <c r="AM892" i="2"/>
  <c r="AK892" i="2"/>
  <c r="AJ892" i="2"/>
  <c r="AI892" i="2"/>
  <c r="AH892" i="2"/>
  <c r="AG892" i="2"/>
  <c r="AF892" i="2"/>
  <c r="AE892" i="2"/>
  <c r="AD892" i="2"/>
  <c r="AC892" i="2"/>
  <c r="AB892" i="2"/>
  <c r="AA892" i="2"/>
  <c r="Z892" i="2"/>
  <c r="Y892" i="2"/>
  <c r="X892" i="2"/>
  <c r="W892" i="2"/>
  <c r="V892" i="2"/>
  <c r="U892" i="2"/>
  <c r="S892" i="2"/>
  <c r="R892" i="2"/>
  <c r="Q892" i="2"/>
  <c r="P892" i="2"/>
  <c r="O892" i="2"/>
  <c r="N892" i="2"/>
  <c r="M892" i="2"/>
  <c r="L892" i="2"/>
  <c r="K892" i="2"/>
  <c r="J892" i="2"/>
  <c r="I892" i="2"/>
  <c r="H892" i="2"/>
  <c r="G892" i="2"/>
  <c r="F892" i="2"/>
  <c r="E892" i="2"/>
  <c r="D892" i="2"/>
  <c r="C892" i="2"/>
  <c r="A892" i="2"/>
  <c r="AO891" i="2"/>
  <c r="AN891" i="2"/>
  <c r="AM891" i="2"/>
  <c r="AL891" i="2"/>
  <c r="AK891" i="2"/>
  <c r="AJ891" i="2"/>
  <c r="AI891" i="2"/>
  <c r="AG891" i="2"/>
  <c r="AF891" i="2"/>
  <c r="AE891" i="2"/>
  <c r="AC891" i="2"/>
  <c r="AB891" i="2"/>
  <c r="AA891" i="2"/>
  <c r="X891" i="2"/>
  <c r="W891" i="2"/>
  <c r="V891" i="2"/>
  <c r="U891" i="2"/>
  <c r="R891" i="2"/>
  <c r="Q891" i="2"/>
  <c r="P891" i="2"/>
  <c r="O891" i="2"/>
  <c r="N891" i="2"/>
  <c r="M891" i="2"/>
  <c r="L891" i="2"/>
  <c r="K891" i="2"/>
  <c r="J891" i="2"/>
  <c r="I891" i="2"/>
  <c r="H891" i="2"/>
  <c r="G891" i="2"/>
  <c r="F891" i="2"/>
  <c r="E891" i="2"/>
  <c r="D891" i="2"/>
  <c r="C891" i="2"/>
  <c r="A891" i="2"/>
  <c r="AO890" i="2"/>
  <c r="AN890" i="2"/>
  <c r="AM890" i="2"/>
  <c r="AK890" i="2"/>
  <c r="AJ890" i="2"/>
  <c r="AI890" i="2"/>
  <c r="AH890" i="2"/>
  <c r="AG890" i="2"/>
  <c r="AF890" i="2"/>
  <c r="AE890" i="2"/>
  <c r="AC890" i="2"/>
  <c r="AB890" i="2"/>
  <c r="AA890" i="2"/>
  <c r="Z890" i="2"/>
  <c r="Y890" i="2"/>
  <c r="X890" i="2"/>
  <c r="W890" i="2"/>
  <c r="V890" i="2"/>
  <c r="U890" i="2"/>
  <c r="S890" i="2"/>
  <c r="R890" i="2"/>
  <c r="Q890" i="2"/>
  <c r="P890" i="2"/>
  <c r="O890" i="2"/>
  <c r="N890" i="2"/>
  <c r="M890" i="2"/>
  <c r="L890" i="2"/>
  <c r="K890" i="2"/>
  <c r="J890" i="2"/>
  <c r="I890" i="2"/>
  <c r="H890" i="2"/>
  <c r="G890" i="2"/>
  <c r="F890" i="2"/>
  <c r="E890" i="2"/>
  <c r="D890" i="2"/>
  <c r="C890" i="2"/>
  <c r="A890" i="2"/>
  <c r="AO889" i="2"/>
  <c r="AN889" i="2"/>
  <c r="AM889" i="2"/>
  <c r="AK889" i="2"/>
  <c r="AJ889" i="2"/>
  <c r="AI889" i="2"/>
  <c r="AH889" i="2"/>
  <c r="AG889" i="2"/>
  <c r="AF889" i="2"/>
  <c r="AE889" i="2"/>
  <c r="AD889" i="2"/>
  <c r="AC889" i="2"/>
  <c r="AB889" i="2"/>
  <c r="AA889" i="2"/>
  <c r="Z889" i="2"/>
  <c r="Y889" i="2"/>
  <c r="X889" i="2"/>
  <c r="W889" i="2"/>
  <c r="V889" i="2"/>
  <c r="U889" i="2"/>
  <c r="S889" i="2"/>
  <c r="R889" i="2"/>
  <c r="Q889" i="2"/>
  <c r="P889" i="2"/>
  <c r="O889" i="2"/>
  <c r="N889" i="2"/>
  <c r="M889" i="2"/>
  <c r="L889" i="2"/>
  <c r="K889" i="2"/>
  <c r="J889" i="2"/>
  <c r="I889" i="2"/>
  <c r="H889" i="2"/>
  <c r="G889" i="2"/>
  <c r="F889" i="2"/>
  <c r="E889" i="2"/>
  <c r="D889" i="2"/>
  <c r="C889" i="2"/>
  <c r="A889" i="2"/>
  <c r="AO888" i="2"/>
  <c r="AN888" i="2"/>
  <c r="AM888" i="2"/>
  <c r="AK888" i="2"/>
  <c r="AJ888" i="2"/>
  <c r="AI888" i="2"/>
  <c r="AH888" i="2"/>
  <c r="AG888" i="2"/>
  <c r="AF888" i="2"/>
  <c r="AE888" i="2"/>
  <c r="AD888" i="2"/>
  <c r="AC888" i="2"/>
  <c r="AB888" i="2"/>
  <c r="AA888" i="2"/>
  <c r="Z888" i="2"/>
  <c r="Y888" i="2"/>
  <c r="X888" i="2"/>
  <c r="W888" i="2"/>
  <c r="V888" i="2"/>
  <c r="U888" i="2"/>
  <c r="S888" i="2"/>
  <c r="R888" i="2"/>
  <c r="Q888" i="2"/>
  <c r="P888" i="2"/>
  <c r="O888" i="2"/>
  <c r="N888" i="2"/>
  <c r="M888" i="2"/>
  <c r="L888" i="2"/>
  <c r="K888" i="2"/>
  <c r="J888" i="2"/>
  <c r="I888" i="2"/>
  <c r="H888" i="2"/>
  <c r="G888" i="2"/>
  <c r="F888" i="2"/>
  <c r="E888" i="2"/>
  <c r="D888" i="2"/>
  <c r="C888" i="2"/>
  <c r="A888" i="2"/>
  <c r="AO887" i="2"/>
  <c r="AN887" i="2"/>
  <c r="AM887" i="2"/>
  <c r="AL887" i="2"/>
  <c r="AK887" i="2"/>
  <c r="AJ887" i="2"/>
  <c r="AI887" i="2"/>
  <c r="AH887" i="2"/>
  <c r="AG887" i="2"/>
  <c r="AF887" i="2"/>
  <c r="AE887" i="2"/>
  <c r="AC887" i="2"/>
  <c r="AB887" i="2"/>
  <c r="AA887" i="2"/>
  <c r="Y887" i="2"/>
  <c r="X887" i="2"/>
  <c r="W887" i="2"/>
  <c r="V887" i="2"/>
  <c r="U887" i="2"/>
  <c r="S887" i="2"/>
  <c r="R887" i="2"/>
  <c r="Q887" i="2"/>
  <c r="P887" i="2"/>
  <c r="O887" i="2"/>
  <c r="N887" i="2"/>
  <c r="M887" i="2"/>
  <c r="L887" i="2"/>
  <c r="K887" i="2"/>
  <c r="J887" i="2"/>
  <c r="I887" i="2"/>
  <c r="H887" i="2"/>
  <c r="G887" i="2"/>
  <c r="F887" i="2"/>
  <c r="E887" i="2"/>
  <c r="D887" i="2"/>
  <c r="C887" i="2"/>
  <c r="A887" i="2"/>
  <c r="AO886" i="2"/>
  <c r="AN886" i="2"/>
  <c r="AM886" i="2"/>
  <c r="AL886" i="2"/>
  <c r="AK886" i="2"/>
  <c r="AJ886" i="2"/>
  <c r="AI886" i="2"/>
  <c r="AH886" i="2"/>
  <c r="AG886" i="2"/>
  <c r="AF886" i="2"/>
  <c r="AE886" i="2"/>
  <c r="AD886" i="2"/>
  <c r="AC886" i="2"/>
  <c r="AB886" i="2"/>
  <c r="AA886" i="2"/>
  <c r="Z886" i="2"/>
  <c r="Y886" i="2"/>
  <c r="X886" i="2"/>
  <c r="W886" i="2"/>
  <c r="V886" i="2"/>
  <c r="U886" i="2"/>
  <c r="S886" i="2"/>
  <c r="R886" i="2"/>
  <c r="Q886" i="2"/>
  <c r="P886" i="2"/>
  <c r="O886" i="2"/>
  <c r="N886" i="2"/>
  <c r="M886" i="2"/>
  <c r="L886" i="2"/>
  <c r="K886" i="2"/>
  <c r="J886" i="2"/>
  <c r="I886" i="2"/>
  <c r="H886" i="2"/>
  <c r="G886" i="2"/>
  <c r="F886" i="2"/>
  <c r="E886" i="2"/>
  <c r="D886" i="2"/>
  <c r="C886" i="2"/>
  <c r="B886" i="2"/>
  <c r="A886" i="2"/>
  <c r="AO885" i="2"/>
  <c r="AN885" i="2"/>
  <c r="AM885" i="2"/>
  <c r="AL885" i="2"/>
  <c r="AK885" i="2"/>
  <c r="AJ885" i="2"/>
  <c r="AI885" i="2"/>
  <c r="AH885" i="2"/>
  <c r="AG885" i="2"/>
  <c r="AF885" i="2"/>
  <c r="AE885" i="2"/>
  <c r="AD885" i="2"/>
  <c r="AC885" i="2"/>
  <c r="AB885" i="2"/>
  <c r="AA885" i="2"/>
  <c r="Z885" i="2"/>
  <c r="Y885" i="2"/>
  <c r="X885" i="2"/>
  <c r="W885" i="2"/>
  <c r="V885" i="2"/>
  <c r="U885" i="2"/>
  <c r="S885" i="2"/>
  <c r="R885" i="2"/>
  <c r="Q885" i="2"/>
  <c r="P885" i="2"/>
  <c r="O885" i="2"/>
  <c r="N885" i="2"/>
  <c r="M885" i="2"/>
  <c r="L885" i="2"/>
  <c r="K885" i="2"/>
  <c r="J885" i="2"/>
  <c r="I885" i="2"/>
  <c r="H885" i="2"/>
  <c r="G885" i="2"/>
  <c r="F885" i="2"/>
  <c r="E885" i="2"/>
  <c r="D885" i="2"/>
  <c r="C885" i="2"/>
  <c r="B885" i="2"/>
  <c r="A885" i="2"/>
  <c r="AO884" i="2"/>
  <c r="AN884" i="2"/>
  <c r="AM884" i="2"/>
  <c r="AK884" i="2"/>
  <c r="AJ884" i="2"/>
  <c r="AI884" i="2"/>
  <c r="AH884" i="2"/>
  <c r="AG884" i="2"/>
  <c r="AF884" i="2"/>
  <c r="AE884" i="2"/>
  <c r="AC884" i="2"/>
  <c r="AB884" i="2"/>
  <c r="AA884" i="2"/>
  <c r="Z884" i="2"/>
  <c r="Y884" i="2"/>
  <c r="X884" i="2"/>
  <c r="W884" i="2"/>
  <c r="V884" i="2"/>
  <c r="U884" i="2"/>
  <c r="S884" i="2"/>
  <c r="R884" i="2"/>
  <c r="Q884" i="2"/>
  <c r="P884" i="2"/>
  <c r="O884" i="2"/>
  <c r="N884" i="2"/>
  <c r="M884" i="2"/>
  <c r="L884" i="2"/>
  <c r="K884" i="2"/>
  <c r="J884" i="2"/>
  <c r="I884" i="2"/>
  <c r="H884" i="2"/>
  <c r="G884" i="2"/>
  <c r="F884" i="2"/>
  <c r="E884" i="2"/>
  <c r="D884" i="2"/>
  <c r="C884" i="2"/>
  <c r="A884" i="2"/>
  <c r="AO883" i="2"/>
  <c r="AN883" i="2"/>
  <c r="AM883" i="2"/>
  <c r="AL883" i="2"/>
  <c r="AK883" i="2"/>
  <c r="AJ883" i="2"/>
  <c r="AI883" i="2"/>
  <c r="AH883" i="2"/>
  <c r="AG883" i="2"/>
  <c r="AF883" i="2"/>
  <c r="AE883" i="2"/>
  <c r="AC883" i="2"/>
  <c r="AB883" i="2"/>
  <c r="AA883" i="2"/>
  <c r="Z883" i="2"/>
  <c r="Y883" i="2"/>
  <c r="X883" i="2"/>
  <c r="W883" i="2"/>
  <c r="V883" i="2"/>
  <c r="U883" i="2"/>
  <c r="S883" i="2"/>
  <c r="R883" i="2"/>
  <c r="Q883" i="2"/>
  <c r="P883" i="2"/>
  <c r="O883" i="2"/>
  <c r="N883" i="2"/>
  <c r="M883" i="2"/>
  <c r="L883" i="2"/>
  <c r="K883" i="2"/>
  <c r="J883" i="2"/>
  <c r="I883" i="2"/>
  <c r="H883" i="2"/>
  <c r="G883" i="2"/>
  <c r="F883" i="2"/>
  <c r="E883" i="2"/>
  <c r="D883" i="2"/>
  <c r="C883" i="2"/>
  <c r="B883" i="2"/>
  <c r="A883" i="2"/>
  <c r="AO882" i="2"/>
  <c r="AN882" i="2"/>
  <c r="AM882" i="2"/>
  <c r="AK882" i="2"/>
  <c r="AJ882" i="2"/>
  <c r="AI882" i="2"/>
  <c r="AG882" i="2"/>
  <c r="AF882" i="2"/>
  <c r="AE882" i="2"/>
  <c r="AC882" i="2"/>
  <c r="AB882" i="2"/>
  <c r="AA882" i="2"/>
  <c r="X882" i="2"/>
  <c r="W882" i="2"/>
  <c r="V882" i="2"/>
  <c r="U882" i="2"/>
  <c r="R882" i="2"/>
  <c r="Q882" i="2"/>
  <c r="P882" i="2"/>
  <c r="O882" i="2"/>
  <c r="N882" i="2"/>
  <c r="M882" i="2"/>
  <c r="L882" i="2"/>
  <c r="K882" i="2"/>
  <c r="J882" i="2"/>
  <c r="I882" i="2"/>
  <c r="H882" i="2"/>
  <c r="G882" i="2"/>
  <c r="F882" i="2"/>
  <c r="E882" i="2"/>
  <c r="D882" i="2"/>
  <c r="C882" i="2"/>
  <c r="A882" i="2"/>
  <c r="AO881" i="2"/>
  <c r="AN881" i="2"/>
  <c r="AM881" i="2"/>
  <c r="AL881" i="2"/>
  <c r="AK881" i="2"/>
  <c r="AJ881" i="2"/>
  <c r="AI881" i="2"/>
  <c r="AG881" i="2"/>
  <c r="AF881" i="2"/>
  <c r="AE881" i="2"/>
  <c r="AC881" i="2"/>
  <c r="AB881" i="2"/>
  <c r="AA881" i="2"/>
  <c r="X881" i="2"/>
  <c r="W881" i="2"/>
  <c r="V881" i="2"/>
  <c r="U881" i="2"/>
  <c r="R881" i="2"/>
  <c r="Q881" i="2"/>
  <c r="P881" i="2"/>
  <c r="O881" i="2"/>
  <c r="N881" i="2"/>
  <c r="M881" i="2"/>
  <c r="L881" i="2"/>
  <c r="K881" i="2"/>
  <c r="J881" i="2"/>
  <c r="I881" i="2"/>
  <c r="H881" i="2"/>
  <c r="G881" i="2"/>
  <c r="F881" i="2"/>
  <c r="E881" i="2"/>
  <c r="D881" i="2"/>
  <c r="C881" i="2"/>
  <c r="B881" i="2"/>
  <c r="A881" i="2"/>
  <c r="AO880" i="2"/>
  <c r="AN880" i="2"/>
  <c r="AM880" i="2"/>
  <c r="AL880" i="2"/>
  <c r="AK880" i="2"/>
  <c r="AJ880" i="2"/>
  <c r="AI880" i="2"/>
  <c r="AH880" i="2"/>
  <c r="AG880" i="2"/>
  <c r="AF880" i="2"/>
  <c r="AE880" i="2"/>
  <c r="AD880" i="2"/>
  <c r="AC880" i="2"/>
  <c r="AB880" i="2"/>
  <c r="AA880" i="2"/>
  <c r="Z880" i="2"/>
  <c r="Y880" i="2"/>
  <c r="X880" i="2"/>
  <c r="W880" i="2"/>
  <c r="V880" i="2"/>
  <c r="U880" i="2"/>
  <c r="S880" i="2"/>
  <c r="R880" i="2"/>
  <c r="Q880" i="2"/>
  <c r="P880" i="2"/>
  <c r="O880" i="2"/>
  <c r="N880" i="2"/>
  <c r="M880" i="2"/>
  <c r="L880" i="2"/>
  <c r="K880" i="2"/>
  <c r="J880" i="2"/>
  <c r="I880" i="2"/>
  <c r="H880" i="2"/>
  <c r="G880" i="2"/>
  <c r="F880" i="2"/>
  <c r="E880" i="2"/>
  <c r="D880" i="2"/>
  <c r="C880" i="2"/>
  <c r="A880" i="2"/>
  <c r="AO879" i="2"/>
  <c r="AN879" i="2"/>
  <c r="AM879" i="2"/>
  <c r="AK879" i="2"/>
  <c r="AJ879" i="2"/>
  <c r="AI879" i="2"/>
  <c r="AH879" i="2"/>
  <c r="AG879" i="2"/>
  <c r="AF879" i="2"/>
  <c r="AE879" i="2"/>
  <c r="AD879" i="2"/>
  <c r="AC879" i="2"/>
  <c r="AB879" i="2"/>
  <c r="AA879" i="2"/>
  <c r="Z879" i="2"/>
  <c r="Y879" i="2"/>
  <c r="X879" i="2"/>
  <c r="W879" i="2"/>
  <c r="V879" i="2"/>
  <c r="U879" i="2"/>
  <c r="S879" i="2"/>
  <c r="R879" i="2"/>
  <c r="Q879" i="2"/>
  <c r="P879" i="2"/>
  <c r="O879" i="2"/>
  <c r="N879" i="2"/>
  <c r="M879" i="2"/>
  <c r="L879" i="2"/>
  <c r="K879" i="2"/>
  <c r="J879" i="2"/>
  <c r="I879" i="2"/>
  <c r="H879" i="2"/>
  <c r="G879" i="2"/>
  <c r="F879" i="2"/>
  <c r="E879" i="2"/>
  <c r="D879" i="2"/>
  <c r="C879" i="2"/>
  <c r="A879" i="2"/>
  <c r="AO878" i="2"/>
  <c r="AN878" i="2"/>
  <c r="AM878" i="2"/>
  <c r="AK878" i="2"/>
  <c r="AJ878" i="2"/>
  <c r="AI878" i="2"/>
  <c r="AH878" i="2"/>
  <c r="AG878" i="2"/>
  <c r="AF878" i="2"/>
  <c r="AE878" i="2"/>
  <c r="AD878" i="2"/>
  <c r="AC878" i="2"/>
  <c r="AB878" i="2"/>
  <c r="AA878" i="2"/>
  <c r="Z878" i="2"/>
  <c r="Y878" i="2"/>
  <c r="X878" i="2"/>
  <c r="W878" i="2"/>
  <c r="V878" i="2"/>
  <c r="U878" i="2"/>
  <c r="S878" i="2"/>
  <c r="R878" i="2"/>
  <c r="Q878" i="2"/>
  <c r="P878" i="2"/>
  <c r="O878" i="2"/>
  <c r="N878" i="2"/>
  <c r="M878" i="2"/>
  <c r="L878" i="2"/>
  <c r="K878" i="2"/>
  <c r="J878" i="2"/>
  <c r="I878" i="2"/>
  <c r="H878" i="2"/>
  <c r="G878" i="2"/>
  <c r="F878" i="2"/>
  <c r="E878" i="2"/>
  <c r="D878" i="2"/>
  <c r="C878" i="2"/>
  <c r="A878" i="2"/>
  <c r="AO877" i="2"/>
  <c r="AN877" i="2"/>
  <c r="AM877" i="2"/>
  <c r="AK877" i="2"/>
  <c r="AJ877" i="2"/>
  <c r="AI877" i="2"/>
  <c r="AH877" i="2"/>
  <c r="AG877" i="2"/>
  <c r="AF877" i="2"/>
  <c r="AE877" i="2"/>
  <c r="AC877" i="2"/>
  <c r="AB877" i="2"/>
  <c r="AA877" i="2"/>
  <c r="Z877" i="2"/>
  <c r="Y877" i="2"/>
  <c r="X877" i="2"/>
  <c r="W877" i="2"/>
  <c r="V877" i="2"/>
  <c r="U877" i="2"/>
  <c r="S877" i="2"/>
  <c r="R877" i="2"/>
  <c r="Q877" i="2"/>
  <c r="P877" i="2"/>
  <c r="O877" i="2"/>
  <c r="N877" i="2"/>
  <c r="M877" i="2"/>
  <c r="L877" i="2"/>
  <c r="K877" i="2"/>
  <c r="J877" i="2"/>
  <c r="I877" i="2"/>
  <c r="H877" i="2"/>
  <c r="G877" i="2"/>
  <c r="F877" i="2"/>
  <c r="E877" i="2"/>
  <c r="D877" i="2"/>
  <c r="C877" i="2"/>
  <c r="B877" i="2"/>
  <c r="A877" i="2"/>
  <c r="AO876" i="2"/>
  <c r="AN876" i="2"/>
  <c r="AM876" i="2"/>
  <c r="AL876" i="2"/>
  <c r="AK876" i="2"/>
  <c r="AJ876" i="2"/>
  <c r="AI876" i="2"/>
  <c r="AH876" i="2"/>
  <c r="AG876" i="2"/>
  <c r="AF876" i="2"/>
  <c r="AE876" i="2"/>
  <c r="AD876" i="2"/>
  <c r="AC876" i="2"/>
  <c r="AB876" i="2"/>
  <c r="AA876" i="2"/>
  <c r="Z876" i="2"/>
  <c r="Y876" i="2"/>
  <c r="X876" i="2"/>
  <c r="W876" i="2"/>
  <c r="V876" i="2"/>
  <c r="U876" i="2"/>
  <c r="S876" i="2"/>
  <c r="R876" i="2"/>
  <c r="Q876" i="2"/>
  <c r="P876" i="2"/>
  <c r="O876" i="2"/>
  <c r="N876" i="2"/>
  <c r="M876" i="2"/>
  <c r="L876" i="2"/>
  <c r="K876" i="2"/>
  <c r="J876" i="2"/>
  <c r="I876" i="2"/>
  <c r="H876" i="2"/>
  <c r="G876" i="2"/>
  <c r="F876" i="2"/>
  <c r="E876" i="2"/>
  <c r="D876" i="2"/>
  <c r="C876" i="2"/>
  <c r="B876" i="2"/>
  <c r="A876" i="2"/>
  <c r="AO875" i="2"/>
  <c r="AN875" i="2"/>
  <c r="AM875" i="2"/>
  <c r="AK875" i="2"/>
  <c r="AJ875" i="2"/>
  <c r="AI875" i="2"/>
  <c r="AH875" i="2"/>
  <c r="AG875" i="2"/>
  <c r="AF875" i="2"/>
  <c r="AE875" i="2"/>
  <c r="AD875" i="2"/>
  <c r="AC875" i="2"/>
  <c r="AB875" i="2"/>
  <c r="AA875" i="2"/>
  <c r="Z875" i="2"/>
  <c r="Y875" i="2"/>
  <c r="X875" i="2"/>
  <c r="W875" i="2"/>
  <c r="V875" i="2"/>
  <c r="U875" i="2"/>
  <c r="S875" i="2"/>
  <c r="R875" i="2"/>
  <c r="Q875" i="2"/>
  <c r="P875" i="2"/>
  <c r="O875" i="2"/>
  <c r="N875" i="2"/>
  <c r="M875" i="2"/>
  <c r="L875" i="2"/>
  <c r="K875" i="2"/>
  <c r="J875" i="2"/>
  <c r="I875" i="2"/>
  <c r="H875" i="2"/>
  <c r="G875" i="2"/>
  <c r="F875" i="2"/>
  <c r="E875" i="2"/>
  <c r="D875" i="2"/>
  <c r="C875" i="2"/>
  <c r="B875" i="2"/>
  <c r="A875" i="2"/>
  <c r="AO874" i="2"/>
  <c r="AN874" i="2"/>
  <c r="AM874" i="2"/>
  <c r="AK874" i="2"/>
  <c r="AJ874" i="2"/>
  <c r="AI874" i="2"/>
  <c r="AH874" i="2"/>
  <c r="AG874" i="2"/>
  <c r="AF874" i="2"/>
  <c r="AE874" i="2"/>
  <c r="AC874" i="2"/>
  <c r="AB874" i="2"/>
  <c r="AA874" i="2"/>
  <c r="Z874" i="2"/>
  <c r="Y874" i="2"/>
  <c r="X874" i="2"/>
  <c r="W874" i="2"/>
  <c r="V874" i="2"/>
  <c r="U874" i="2"/>
  <c r="S874" i="2"/>
  <c r="R874" i="2"/>
  <c r="Q874" i="2"/>
  <c r="P874" i="2"/>
  <c r="O874" i="2"/>
  <c r="N874" i="2"/>
  <c r="M874" i="2"/>
  <c r="L874" i="2"/>
  <c r="K874" i="2"/>
  <c r="J874" i="2"/>
  <c r="I874" i="2"/>
  <c r="H874" i="2"/>
  <c r="G874" i="2"/>
  <c r="F874" i="2"/>
  <c r="E874" i="2"/>
  <c r="D874" i="2"/>
  <c r="C874" i="2"/>
  <c r="A874" i="2"/>
  <c r="AO873" i="2"/>
  <c r="AN873" i="2"/>
  <c r="AM873" i="2"/>
  <c r="AL873" i="2"/>
  <c r="AK873" i="2"/>
  <c r="AJ873" i="2"/>
  <c r="AI873" i="2"/>
  <c r="AH873" i="2"/>
  <c r="AG873" i="2"/>
  <c r="AF873" i="2"/>
  <c r="AE873" i="2"/>
  <c r="AD873" i="2"/>
  <c r="AC873" i="2"/>
  <c r="AB873" i="2"/>
  <c r="AA873" i="2"/>
  <c r="Z873" i="2"/>
  <c r="Y873" i="2"/>
  <c r="X873" i="2"/>
  <c r="W873" i="2"/>
  <c r="V873" i="2"/>
  <c r="U873" i="2"/>
  <c r="S873" i="2"/>
  <c r="R873" i="2"/>
  <c r="Q873" i="2"/>
  <c r="P873" i="2"/>
  <c r="O873" i="2"/>
  <c r="N873" i="2"/>
  <c r="M873" i="2"/>
  <c r="L873" i="2"/>
  <c r="K873" i="2"/>
  <c r="J873" i="2"/>
  <c r="I873" i="2"/>
  <c r="H873" i="2"/>
  <c r="G873" i="2"/>
  <c r="F873" i="2"/>
  <c r="E873" i="2"/>
  <c r="D873" i="2"/>
  <c r="C873" i="2"/>
  <c r="A873" i="2"/>
  <c r="AO872" i="2"/>
  <c r="AN872" i="2"/>
  <c r="AM872" i="2"/>
  <c r="AK872" i="2"/>
  <c r="AJ872" i="2"/>
  <c r="AI872" i="2"/>
  <c r="AH872" i="2"/>
  <c r="AG872" i="2"/>
  <c r="AF872" i="2"/>
  <c r="AE872" i="2"/>
  <c r="AD872" i="2"/>
  <c r="AC872" i="2"/>
  <c r="AB872" i="2"/>
  <c r="AA872" i="2"/>
  <c r="Z872" i="2"/>
  <c r="Y872" i="2"/>
  <c r="X872" i="2"/>
  <c r="W872" i="2"/>
  <c r="V872" i="2"/>
  <c r="U872" i="2"/>
  <c r="S872" i="2"/>
  <c r="R872" i="2"/>
  <c r="Q872" i="2"/>
  <c r="P872" i="2"/>
  <c r="O872" i="2"/>
  <c r="N872" i="2"/>
  <c r="M872" i="2"/>
  <c r="L872" i="2"/>
  <c r="K872" i="2"/>
  <c r="J872" i="2"/>
  <c r="I872" i="2"/>
  <c r="H872" i="2"/>
  <c r="G872" i="2"/>
  <c r="F872" i="2"/>
  <c r="E872" i="2"/>
  <c r="D872" i="2"/>
  <c r="C872" i="2"/>
  <c r="B872" i="2"/>
  <c r="A872" i="2"/>
  <c r="AO871" i="2"/>
  <c r="AN871" i="2"/>
  <c r="AM871" i="2"/>
  <c r="AL871" i="2"/>
  <c r="AK871" i="2"/>
  <c r="AJ871" i="2"/>
  <c r="AI871" i="2"/>
  <c r="AH871" i="2"/>
  <c r="AG871" i="2"/>
  <c r="AF871" i="2"/>
  <c r="AE871" i="2"/>
  <c r="AD871" i="2"/>
  <c r="AC871" i="2"/>
  <c r="AB871" i="2"/>
  <c r="AA871" i="2"/>
  <c r="Z871" i="2"/>
  <c r="Y871" i="2"/>
  <c r="X871" i="2"/>
  <c r="W871" i="2"/>
  <c r="V871" i="2"/>
  <c r="U871" i="2"/>
  <c r="S871" i="2"/>
  <c r="R871" i="2"/>
  <c r="Q871" i="2"/>
  <c r="P871" i="2"/>
  <c r="O871" i="2"/>
  <c r="N871" i="2"/>
  <c r="M871" i="2"/>
  <c r="L871" i="2"/>
  <c r="K871" i="2"/>
  <c r="J871" i="2"/>
  <c r="I871" i="2"/>
  <c r="H871" i="2"/>
  <c r="G871" i="2"/>
  <c r="F871" i="2"/>
  <c r="E871" i="2"/>
  <c r="D871" i="2"/>
  <c r="C871" i="2"/>
  <c r="A871" i="2"/>
  <c r="AO870" i="2"/>
  <c r="AN870" i="2"/>
  <c r="AM870" i="2"/>
  <c r="AL870" i="2"/>
  <c r="AK870" i="2"/>
  <c r="AJ870" i="2"/>
  <c r="AI870" i="2"/>
  <c r="AH870" i="2"/>
  <c r="AG870" i="2"/>
  <c r="AF870" i="2"/>
  <c r="AE870" i="2"/>
  <c r="AD870" i="2"/>
  <c r="AC870" i="2"/>
  <c r="AB870" i="2"/>
  <c r="AA870" i="2"/>
  <c r="Z870" i="2"/>
  <c r="Y870" i="2"/>
  <c r="X870" i="2"/>
  <c r="W870" i="2"/>
  <c r="V870" i="2"/>
  <c r="U870" i="2"/>
  <c r="S870" i="2"/>
  <c r="R870" i="2"/>
  <c r="Q870" i="2"/>
  <c r="P870" i="2"/>
  <c r="O870" i="2"/>
  <c r="N870" i="2"/>
  <c r="M870" i="2"/>
  <c r="L870" i="2"/>
  <c r="K870" i="2"/>
  <c r="J870" i="2"/>
  <c r="I870" i="2"/>
  <c r="H870" i="2"/>
  <c r="G870" i="2"/>
  <c r="F870" i="2"/>
  <c r="E870" i="2"/>
  <c r="D870" i="2"/>
  <c r="C870" i="2"/>
  <c r="A870" i="2"/>
  <c r="AO869" i="2"/>
  <c r="AN869" i="2"/>
  <c r="AM869" i="2"/>
  <c r="AL869" i="2"/>
  <c r="AK869" i="2"/>
  <c r="AJ869" i="2"/>
  <c r="AI869" i="2"/>
  <c r="AH869" i="2"/>
  <c r="AG869" i="2"/>
  <c r="AF869" i="2"/>
  <c r="AE869" i="2"/>
  <c r="AD869" i="2"/>
  <c r="AC869" i="2"/>
  <c r="AB869" i="2"/>
  <c r="AA869" i="2"/>
  <c r="Z869" i="2"/>
  <c r="Y869" i="2"/>
  <c r="X869" i="2"/>
  <c r="W869" i="2"/>
  <c r="V869" i="2"/>
  <c r="U869" i="2"/>
  <c r="S869" i="2"/>
  <c r="R869" i="2"/>
  <c r="Q869" i="2"/>
  <c r="P869" i="2"/>
  <c r="O869" i="2"/>
  <c r="N869" i="2"/>
  <c r="M869" i="2"/>
  <c r="L869" i="2"/>
  <c r="K869" i="2"/>
  <c r="J869" i="2"/>
  <c r="I869" i="2"/>
  <c r="H869" i="2"/>
  <c r="G869" i="2"/>
  <c r="F869" i="2"/>
  <c r="E869" i="2"/>
  <c r="D869" i="2"/>
  <c r="C869" i="2"/>
  <c r="A869" i="2"/>
  <c r="AO868" i="2"/>
  <c r="AN868" i="2"/>
  <c r="AM868" i="2"/>
  <c r="AL868" i="2"/>
  <c r="AK868" i="2"/>
  <c r="AJ868" i="2"/>
  <c r="AI868" i="2"/>
  <c r="AH868" i="2"/>
  <c r="AG868" i="2"/>
  <c r="AF868" i="2"/>
  <c r="AE868" i="2"/>
  <c r="AD868" i="2"/>
  <c r="AC868" i="2"/>
  <c r="AB868" i="2"/>
  <c r="AA868" i="2"/>
  <c r="Z868" i="2"/>
  <c r="Y868" i="2"/>
  <c r="X868" i="2"/>
  <c r="W868" i="2"/>
  <c r="V868" i="2"/>
  <c r="U868" i="2"/>
  <c r="S868" i="2"/>
  <c r="R868" i="2"/>
  <c r="Q868" i="2"/>
  <c r="P868" i="2"/>
  <c r="O868" i="2"/>
  <c r="N868" i="2"/>
  <c r="M868" i="2"/>
  <c r="L868" i="2"/>
  <c r="K868" i="2"/>
  <c r="J868" i="2"/>
  <c r="I868" i="2"/>
  <c r="H868" i="2"/>
  <c r="G868" i="2"/>
  <c r="F868" i="2"/>
  <c r="E868" i="2"/>
  <c r="D868" i="2"/>
  <c r="C868" i="2"/>
  <c r="B868" i="2"/>
  <c r="A868" i="2"/>
  <c r="AO867" i="2"/>
  <c r="AN867" i="2"/>
  <c r="AM867" i="2"/>
  <c r="AK867" i="2"/>
  <c r="AJ867" i="2"/>
  <c r="AI867" i="2"/>
  <c r="AH867" i="2"/>
  <c r="AG867" i="2"/>
  <c r="AF867" i="2"/>
  <c r="AE867" i="2"/>
  <c r="AD867" i="2"/>
  <c r="AC867" i="2"/>
  <c r="AB867" i="2"/>
  <c r="AA867" i="2"/>
  <c r="Z867" i="2"/>
  <c r="Y867" i="2"/>
  <c r="X867" i="2"/>
  <c r="W867" i="2"/>
  <c r="V867" i="2"/>
  <c r="U867" i="2"/>
  <c r="S867" i="2"/>
  <c r="R867" i="2"/>
  <c r="Q867" i="2"/>
  <c r="P867" i="2"/>
  <c r="O867" i="2"/>
  <c r="N867" i="2"/>
  <c r="M867" i="2"/>
  <c r="L867" i="2"/>
  <c r="K867" i="2"/>
  <c r="J867" i="2"/>
  <c r="I867" i="2"/>
  <c r="H867" i="2"/>
  <c r="G867" i="2"/>
  <c r="F867" i="2"/>
  <c r="E867" i="2"/>
  <c r="D867" i="2"/>
  <c r="C867" i="2"/>
  <c r="B867" i="2"/>
  <c r="A867" i="2"/>
  <c r="AO866" i="2"/>
  <c r="AN866" i="2"/>
  <c r="AM866" i="2"/>
  <c r="AL866" i="2"/>
  <c r="AK866" i="2"/>
  <c r="AJ866" i="2"/>
  <c r="AI866" i="2"/>
  <c r="AH866" i="2"/>
  <c r="AG866" i="2"/>
  <c r="AF866" i="2"/>
  <c r="AE866" i="2"/>
  <c r="AC866" i="2"/>
  <c r="AB866" i="2"/>
  <c r="AA866" i="2"/>
  <c r="Z866" i="2"/>
  <c r="Y866" i="2"/>
  <c r="X866" i="2"/>
  <c r="W866" i="2"/>
  <c r="V866" i="2"/>
  <c r="U866" i="2"/>
  <c r="S866" i="2"/>
  <c r="R866" i="2"/>
  <c r="Q866" i="2"/>
  <c r="P866" i="2"/>
  <c r="O866" i="2"/>
  <c r="N866" i="2"/>
  <c r="M866" i="2"/>
  <c r="L866" i="2"/>
  <c r="K866" i="2"/>
  <c r="J866" i="2"/>
  <c r="I866" i="2"/>
  <c r="H866" i="2"/>
  <c r="G866" i="2"/>
  <c r="F866" i="2"/>
  <c r="E866" i="2"/>
  <c r="D866" i="2"/>
  <c r="C866" i="2"/>
  <c r="A866" i="2"/>
  <c r="AO865" i="2"/>
  <c r="AN865" i="2"/>
  <c r="AM865" i="2"/>
  <c r="AL865" i="2"/>
  <c r="AK865" i="2"/>
  <c r="AJ865" i="2"/>
  <c r="AI865" i="2"/>
  <c r="AH865" i="2"/>
  <c r="AG865" i="2"/>
  <c r="AF865" i="2"/>
  <c r="AE865" i="2"/>
  <c r="AD865" i="2"/>
  <c r="AC865" i="2"/>
  <c r="AB865" i="2"/>
  <c r="AA865" i="2"/>
  <c r="Z865" i="2"/>
  <c r="Y865" i="2"/>
  <c r="X865" i="2"/>
  <c r="W865" i="2"/>
  <c r="V865" i="2"/>
  <c r="U865" i="2"/>
  <c r="S865" i="2"/>
  <c r="R865" i="2"/>
  <c r="Q865" i="2"/>
  <c r="P865" i="2"/>
  <c r="O865" i="2"/>
  <c r="N865" i="2"/>
  <c r="M865" i="2"/>
  <c r="L865" i="2"/>
  <c r="K865" i="2"/>
  <c r="J865" i="2"/>
  <c r="I865" i="2"/>
  <c r="H865" i="2"/>
  <c r="G865" i="2"/>
  <c r="F865" i="2"/>
  <c r="E865" i="2"/>
  <c r="D865" i="2"/>
  <c r="C865" i="2"/>
  <c r="A865" i="2"/>
  <c r="AO864" i="2"/>
  <c r="AN864" i="2"/>
  <c r="AM864" i="2"/>
  <c r="AK864" i="2"/>
  <c r="AJ864" i="2"/>
  <c r="AI864" i="2"/>
  <c r="AH864" i="2"/>
  <c r="AG864" i="2"/>
  <c r="AF864" i="2"/>
  <c r="AE864" i="2"/>
  <c r="AD864" i="2"/>
  <c r="AC864" i="2"/>
  <c r="AB864" i="2"/>
  <c r="AA864" i="2"/>
  <c r="Z864" i="2"/>
  <c r="Y864" i="2"/>
  <c r="X864" i="2"/>
  <c r="W864" i="2"/>
  <c r="V864" i="2"/>
  <c r="U864" i="2"/>
  <c r="S864" i="2"/>
  <c r="R864" i="2"/>
  <c r="Q864" i="2"/>
  <c r="P864" i="2"/>
  <c r="O864" i="2"/>
  <c r="N864" i="2"/>
  <c r="M864" i="2"/>
  <c r="L864" i="2"/>
  <c r="K864" i="2"/>
  <c r="J864" i="2"/>
  <c r="I864" i="2"/>
  <c r="H864" i="2"/>
  <c r="G864" i="2"/>
  <c r="F864" i="2"/>
  <c r="E864" i="2"/>
  <c r="D864" i="2"/>
  <c r="C864" i="2"/>
  <c r="B864" i="2"/>
  <c r="A864" i="2"/>
  <c r="AO863" i="2"/>
  <c r="AN863" i="2"/>
  <c r="AM863" i="2"/>
  <c r="AL863" i="2"/>
  <c r="AK863" i="2"/>
  <c r="AJ863" i="2"/>
  <c r="AI863" i="2"/>
  <c r="AH863" i="2"/>
  <c r="AG863" i="2"/>
  <c r="AF863" i="2"/>
  <c r="AE863" i="2"/>
  <c r="AD863" i="2"/>
  <c r="AC863" i="2"/>
  <c r="AB863" i="2"/>
  <c r="AA863" i="2"/>
  <c r="Z863" i="2"/>
  <c r="Y863" i="2"/>
  <c r="X863" i="2"/>
  <c r="W863" i="2"/>
  <c r="V863" i="2"/>
  <c r="U863" i="2"/>
  <c r="S863" i="2"/>
  <c r="R863" i="2"/>
  <c r="Q863" i="2"/>
  <c r="P863" i="2"/>
  <c r="O863" i="2"/>
  <c r="N863" i="2"/>
  <c r="M863" i="2"/>
  <c r="L863" i="2"/>
  <c r="K863" i="2"/>
  <c r="J863" i="2"/>
  <c r="I863" i="2"/>
  <c r="H863" i="2"/>
  <c r="G863" i="2"/>
  <c r="F863" i="2"/>
  <c r="E863" i="2"/>
  <c r="D863" i="2"/>
  <c r="C863" i="2"/>
  <c r="B863" i="2"/>
  <c r="A863" i="2"/>
  <c r="AO862" i="2"/>
  <c r="AN862" i="2"/>
  <c r="AM862" i="2"/>
  <c r="AL862" i="2"/>
  <c r="AK862" i="2"/>
  <c r="AJ862" i="2"/>
  <c r="AI862" i="2"/>
  <c r="AH862" i="2"/>
  <c r="AG862" i="2"/>
  <c r="AF862" i="2"/>
  <c r="AE862" i="2"/>
  <c r="AD862" i="2"/>
  <c r="AC862" i="2"/>
  <c r="AB862" i="2"/>
  <c r="AA862" i="2"/>
  <c r="Z862" i="2"/>
  <c r="Y862" i="2"/>
  <c r="X862" i="2"/>
  <c r="W862" i="2"/>
  <c r="V862" i="2"/>
  <c r="U862" i="2"/>
  <c r="S862" i="2"/>
  <c r="R862" i="2"/>
  <c r="Q862" i="2"/>
  <c r="P862" i="2"/>
  <c r="O862" i="2"/>
  <c r="N862" i="2"/>
  <c r="M862" i="2"/>
  <c r="L862" i="2"/>
  <c r="K862" i="2"/>
  <c r="J862" i="2"/>
  <c r="I862" i="2"/>
  <c r="H862" i="2"/>
  <c r="G862" i="2"/>
  <c r="F862" i="2"/>
  <c r="E862" i="2"/>
  <c r="D862" i="2"/>
  <c r="C862" i="2"/>
  <c r="A862" i="2"/>
  <c r="AO861" i="2"/>
  <c r="AN861" i="2"/>
  <c r="AM861" i="2"/>
  <c r="AL861" i="2"/>
  <c r="AK861" i="2"/>
  <c r="AJ861" i="2"/>
  <c r="AI861" i="2"/>
  <c r="AG861" i="2"/>
  <c r="AF861" i="2"/>
  <c r="AE861" i="2"/>
  <c r="AC861" i="2"/>
  <c r="AB861" i="2"/>
  <c r="AA861" i="2"/>
  <c r="X861" i="2"/>
  <c r="W861" i="2"/>
  <c r="V861" i="2"/>
  <c r="U861" i="2"/>
  <c r="R861" i="2"/>
  <c r="Q861" i="2"/>
  <c r="P861" i="2"/>
  <c r="O861" i="2"/>
  <c r="N861" i="2"/>
  <c r="M861" i="2"/>
  <c r="L861" i="2"/>
  <c r="K861" i="2"/>
  <c r="J861" i="2"/>
  <c r="I861" i="2"/>
  <c r="H861" i="2"/>
  <c r="G861" i="2"/>
  <c r="F861" i="2"/>
  <c r="E861" i="2"/>
  <c r="D861" i="2"/>
  <c r="C861" i="2"/>
  <c r="B861" i="2"/>
  <c r="A861" i="2"/>
  <c r="AO860" i="2"/>
  <c r="AN860" i="2"/>
  <c r="AM860" i="2"/>
  <c r="AL860" i="2"/>
  <c r="AK860" i="2"/>
  <c r="AJ860" i="2"/>
  <c r="AI860" i="2"/>
  <c r="AH860" i="2"/>
  <c r="AG860" i="2"/>
  <c r="AF860" i="2"/>
  <c r="AE860" i="2"/>
  <c r="AD860" i="2"/>
  <c r="AC860" i="2"/>
  <c r="AB860" i="2"/>
  <c r="AA860" i="2"/>
  <c r="Z860" i="2"/>
  <c r="Y860" i="2"/>
  <c r="X860" i="2"/>
  <c r="W860" i="2"/>
  <c r="V860" i="2"/>
  <c r="U860" i="2"/>
  <c r="S860" i="2"/>
  <c r="R860" i="2"/>
  <c r="Q860" i="2"/>
  <c r="P860" i="2"/>
  <c r="O860" i="2"/>
  <c r="N860" i="2"/>
  <c r="M860" i="2"/>
  <c r="L860" i="2"/>
  <c r="K860" i="2"/>
  <c r="J860" i="2"/>
  <c r="I860" i="2"/>
  <c r="H860" i="2"/>
  <c r="G860" i="2"/>
  <c r="F860" i="2"/>
  <c r="E860" i="2"/>
  <c r="D860" i="2"/>
  <c r="C860" i="2"/>
  <c r="A860" i="2"/>
  <c r="AO859" i="2"/>
  <c r="AN859" i="2"/>
  <c r="AM859" i="2"/>
  <c r="AK859" i="2"/>
  <c r="AJ859" i="2"/>
  <c r="AI859" i="2"/>
  <c r="AH859" i="2"/>
  <c r="AG859" i="2"/>
  <c r="AF859" i="2"/>
  <c r="AE859" i="2"/>
  <c r="AD859" i="2"/>
  <c r="AC859" i="2"/>
  <c r="AB859" i="2"/>
  <c r="AA859" i="2"/>
  <c r="Z859" i="2"/>
  <c r="Y859" i="2"/>
  <c r="X859" i="2"/>
  <c r="W859" i="2"/>
  <c r="V859" i="2"/>
  <c r="U859" i="2"/>
  <c r="S859" i="2"/>
  <c r="R859" i="2"/>
  <c r="Q859" i="2"/>
  <c r="P859" i="2"/>
  <c r="O859" i="2"/>
  <c r="N859" i="2"/>
  <c r="M859" i="2"/>
  <c r="L859" i="2"/>
  <c r="K859" i="2"/>
  <c r="J859" i="2"/>
  <c r="I859" i="2"/>
  <c r="H859" i="2"/>
  <c r="G859" i="2"/>
  <c r="F859" i="2"/>
  <c r="E859" i="2"/>
  <c r="D859" i="2"/>
  <c r="C859" i="2"/>
  <c r="B859" i="2"/>
  <c r="A859" i="2"/>
  <c r="AO858" i="2"/>
  <c r="AN858" i="2"/>
  <c r="AM858" i="2"/>
  <c r="AL858" i="2"/>
  <c r="AK858" i="2"/>
  <c r="AJ858" i="2"/>
  <c r="AI858" i="2"/>
  <c r="AH858" i="2"/>
  <c r="AG858" i="2"/>
  <c r="AF858" i="2"/>
  <c r="AE858" i="2"/>
  <c r="AD858" i="2"/>
  <c r="AC858" i="2"/>
  <c r="AB858" i="2"/>
  <c r="AA858" i="2"/>
  <c r="Z858" i="2"/>
  <c r="Y858" i="2"/>
  <c r="X858" i="2"/>
  <c r="W858" i="2"/>
  <c r="V858" i="2"/>
  <c r="U858" i="2"/>
  <c r="S858" i="2"/>
  <c r="R858" i="2"/>
  <c r="Q858" i="2"/>
  <c r="P858" i="2"/>
  <c r="O858" i="2"/>
  <c r="N858" i="2"/>
  <c r="M858" i="2"/>
  <c r="L858" i="2"/>
  <c r="K858" i="2"/>
  <c r="J858" i="2"/>
  <c r="I858" i="2"/>
  <c r="H858" i="2"/>
  <c r="G858" i="2"/>
  <c r="F858" i="2"/>
  <c r="E858" i="2"/>
  <c r="D858" i="2"/>
  <c r="C858" i="2"/>
  <c r="A858" i="2"/>
  <c r="AO857" i="2"/>
  <c r="AN857" i="2"/>
  <c r="AM857" i="2"/>
  <c r="AL857" i="2"/>
  <c r="AK857" i="2"/>
  <c r="AJ857" i="2"/>
  <c r="AI857" i="2"/>
  <c r="AH857" i="2"/>
  <c r="AG857" i="2"/>
  <c r="AF857" i="2"/>
  <c r="AE857" i="2"/>
  <c r="AD857" i="2"/>
  <c r="AC857" i="2"/>
  <c r="AB857" i="2"/>
  <c r="AA857" i="2"/>
  <c r="Z857" i="2"/>
  <c r="Y857" i="2"/>
  <c r="X857" i="2"/>
  <c r="W857" i="2"/>
  <c r="V857" i="2"/>
  <c r="U857" i="2"/>
  <c r="S857" i="2"/>
  <c r="R857" i="2"/>
  <c r="Q857" i="2"/>
  <c r="P857" i="2"/>
  <c r="O857" i="2"/>
  <c r="N857" i="2"/>
  <c r="M857" i="2"/>
  <c r="L857" i="2"/>
  <c r="K857" i="2"/>
  <c r="J857" i="2"/>
  <c r="I857" i="2"/>
  <c r="H857" i="2"/>
  <c r="G857" i="2"/>
  <c r="F857" i="2"/>
  <c r="E857" i="2"/>
  <c r="D857" i="2"/>
  <c r="C857" i="2"/>
  <c r="B857" i="2"/>
  <c r="A857" i="2"/>
  <c r="AO856" i="2"/>
  <c r="AN856" i="2"/>
  <c r="AM856" i="2"/>
  <c r="AK856" i="2"/>
  <c r="AJ856" i="2"/>
  <c r="AI856" i="2"/>
  <c r="AH856" i="2"/>
  <c r="AG856" i="2"/>
  <c r="AF856" i="2"/>
  <c r="AE856" i="2"/>
  <c r="AC856" i="2"/>
  <c r="AB856" i="2"/>
  <c r="AA856" i="2"/>
  <c r="Z856" i="2"/>
  <c r="Y856" i="2"/>
  <c r="X856" i="2"/>
  <c r="W856" i="2"/>
  <c r="V856" i="2"/>
  <c r="U856" i="2"/>
  <c r="S856" i="2"/>
  <c r="R856" i="2"/>
  <c r="Q856" i="2"/>
  <c r="P856" i="2"/>
  <c r="O856" i="2"/>
  <c r="N856" i="2"/>
  <c r="M856" i="2"/>
  <c r="L856" i="2"/>
  <c r="K856" i="2"/>
  <c r="J856" i="2"/>
  <c r="I856" i="2"/>
  <c r="H856" i="2"/>
  <c r="G856" i="2"/>
  <c r="F856" i="2"/>
  <c r="E856" i="2"/>
  <c r="D856" i="2"/>
  <c r="C856" i="2"/>
  <c r="A856" i="2"/>
  <c r="AO855" i="2"/>
  <c r="AN855" i="2"/>
  <c r="AM855" i="2"/>
  <c r="AL855" i="2"/>
  <c r="AK855" i="2"/>
  <c r="AJ855" i="2"/>
  <c r="AI855" i="2"/>
  <c r="AH855" i="2"/>
  <c r="AG855" i="2"/>
  <c r="AF855" i="2"/>
  <c r="AE855" i="2"/>
  <c r="AD855" i="2"/>
  <c r="AC855" i="2"/>
  <c r="AB855" i="2"/>
  <c r="AA855" i="2"/>
  <c r="Z855" i="2"/>
  <c r="Y855" i="2"/>
  <c r="X855" i="2"/>
  <c r="W855" i="2"/>
  <c r="V855" i="2"/>
  <c r="U855" i="2"/>
  <c r="S855" i="2"/>
  <c r="R855" i="2"/>
  <c r="Q855" i="2"/>
  <c r="P855" i="2"/>
  <c r="O855" i="2"/>
  <c r="N855" i="2"/>
  <c r="M855" i="2"/>
  <c r="L855" i="2"/>
  <c r="K855" i="2"/>
  <c r="J855" i="2"/>
  <c r="I855" i="2"/>
  <c r="H855" i="2"/>
  <c r="G855" i="2"/>
  <c r="F855" i="2"/>
  <c r="E855" i="2"/>
  <c r="D855" i="2"/>
  <c r="C855" i="2"/>
  <c r="A855" i="2"/>
  <c r="AO854" i="2"/>
  <c r="AN854" i="2"/>
  <c r="AM854" i="2"/>
  <c r="AL854" i="2"/>
  <c r="AK854" i="2"/>
  <c r="AJ854" i="2"/>
  <c r="AI854" i="2"/>
  <c r="AH854" i="2"/>
  <c r="AG854" i="2"/>
  <c r="AF854" i="2"/>
  <c r="AE854" i="2"/>
  <c r="AC854" i="2"/>
  <c r="AB854" i="2"/>
  <c r="AA854" i="2"/>
  <c r="Z854" i="2"/>
  <c r="Y854" i="2"/>
  <c r="X854" i="2"/>
  <c r="W854" i="2"/>
  <c r="V854" i="2"/>
  <c r="U854" i="2"/>
  <c r="S854" i="2"/>
  <c r="R854" i="2"/>
  <c r="Q854" i="2"/>
  <c r="P854" i="2"/>
  <c r="O854" i="2"/>
  <c r="N854" i="2"/>
  <c r="M854" i="2"/>
  <c r="L854" i="2"/>
  <c r="K854" i="2"/>
  <c r="J854" i="2"/>
  <c r="I854" i="2"/>
  <c r="H854" i="2"/>
  <c r="G854" i="2"/>
  <c r="F854" i="2"/>
  <c r="E854" i="2"/>
  <c r="D854" i="2"/>
  <c r="C854" i="2"/>
  <c r="B854" i="2"/>
  <c r="A854" i="2"/>
  <c r="AO853" i="2"/>
  <c r="AN853" i="2"/>
  <c r="AM853" i="2"/>
  <c r="AK853" i="2"/>
  <c r="AJ853" i="2"/>
  <c r="AI853" i="2"/>
  <c r="AH853" i="2"/>
  <c r="AG853" i="2"/>
  <c r="AF853" i="2"/>
  <c r="AE853" i="2"/>
  <c r="AC853" i="2"/>
  <c r="AB853" i="2"/>
  <c r="AA853" i="2"/>
  <c r="Z853" i="2"/>
  <c r="X853" i="2"/>
  <c r="W853" i="2"/>
  <c r="V853" i="2"/>
  <c r="U853" i="2"/>
  <c r="S853" i="2"/>
  <c r="R853" i="2"/>
  <c r="Q853" i="2"/>
  <c r="P853" i="2"/>
  <c r="O853" i="2"/>
  <c r="N853" i="2"/>
  <c r="M853" i="2"/>
  <c r="L853" i="2"/>
  <c r="K853" i="2"/>
  <c r="J853" i="2"/>
  <c r="I853" i="2"/>
  <c r="H853" i="2"/>
  <c r="G853" i="2"/>
  <c r="F853" i="2"/>
  <c r="E853" i="2"/>
  <c r="D853" i="2"/>
  <c r="C853" i="2"/>
  <c r="B853" i="2"/>
  <c r="A853" i="2"/>
  <c r="AO852" i="2"/>
  <c r="AN852" i="2"/>
  <c r="AM852" i="2"/>
  <c r="AL852" i="2"/>
  <c r="AK852" i="2"/>
  <c r="AJ852" i="2"/>
  <c r="AI852" i="2"/>
  <c r="AH852" i="2"/>
  <c r="AG852" i="2"/>
  <c r="AF852" i="2"/>
  <c r="AE852" i="2"/>
  <c r="AD852" i="2"/>
  <c r="AC852" i="2"/>
  <c r="AB852" i="2"/>
  <c r="AA852" i="2"/>
  <c r="Z852" i="2"/>
  <c r="Y852" i="2"/>
  <c r="X852" i="2"/>
  <c r="W852" i="2"/>
  <c r="V852" i="2"/>
  <c r="U852" i="2"/>
  <c r="S852" i="2"/>
  <c r="R852" i="2"/>
  <c r="Q852" i="2"/>
  <c r="P852" i="2"/>
  <c r="O852" i="2"/>
  <c r="N852" i="2"/>
  <c r="M852" i="2"/>
  <c r="L852" i="2"/>
  <c r="K852" i="2"/>
  <c r="J852" i="2"/>
  <c r="I852" i="2"/>
  <c r="H852" i="2"/>
  <c r="G852" i="2"/>
  <c r="F852" i="2"/>
  <c r="E852" i="2"/>
  <c r="D852" i="2"/>
  <c r="C852" i="2"/>
  <c r="B852" i="2"/>
  <c r="A852" i="2"/>
  <c r="AO851" i="2"/>
  <c r="AN851" i="2"/>
  <c r="AM851" i="2"/>
  <c r="AL851" i="2"/>
  <c r="AK851" i="2"/>
  <c r="AJ851" i="2"/>
  <c r="AI851" i="2"/>
  <c r="AH851" i="2"/>
  <c r="AG851" i="2"/>
  <c r="AF851" i="2"/>
  <c r="AE851" i="2"/>
  <c r="AD851" i="2"/>
  <c r="AC851" i="2"/>
  <c r="AB851" i="2"/>
  <c r="AA851" i="2"/>
  <c r="Z851" i="2"/>
  <c r="Y851" i="2"/>
  <c r="X851" i="2"/>
  <c r="W851" i="2"/>
  <c r="V851" i="2"/>
  <c r="U851" i="2"/>
  <c r="S851" i="2"/>
  <c r="R851" i="2"/>
  <c r="Q851" i="2"/>
  <c r="P851" i="2"/>
  <c r="O851" i="2"/>
  <c r="N851" i="2"/>
  <c r="M851" i="2"/>
  <c r="L851" i="2"/>
  <c r="K851" i="2"/>
  <c r="J851" i="2"/>
  <c r="I851" i="2"/>
  <c r="H851" i="2"/>
  <c r="G851" i="2"/>
  <c r="F851" i="2"/>
  <c r="E851" i="2"/>
  <c r="D851" i="2"/>
  <c r="C851" i="2"/>
  <c r="B851" i="2"/>
  <c r="A851" i="2"/>
  <c r="AO850" i="2"/>
  <c r="AN850" i="2"/>
  <c r="AM850" i="2"/>
  <c r="AK850" i="2"/>
  <c r="AJ850" i="2"/>
  <c r="AI850" i="2"/>
  <c r="AH850" i="2"/>
  <c r="AG850" i="2"/>
  <c r="AF850" i="2"/>
  <c r="AE850" i="2"/>
  <c r="AC850" i="2"/>
  <c r="AB850" i="2"/>
  <c r="AA850" i="2"/>
  <c r="Z850" i="2"/>
  <c r="Y850" i="2"/>
  <c r="X850" i="2"/>
  <c r="W850" i="2"/>
  <c r="V850" i="2"/>
  <c r="U850" i="2"/>
  <c r="S850" i="2"/>
  <c r="R850" i="2"/>
  <c r="Q850" i="2"/>
  <c r="P850" i="2"/>
  <c r="O850" i="2"/>
  <c r="N850" i="2"/>
  <c r="M850" i="2"/>
  <c r="L850" i="2"/>
  <c r="K850" i="2"/>
  <c r="J850" i="2"/>
  <c r="I850" i="2"/>
  <c r="H850" i="2"/>
  <c r="G850" i="2"/>
  <c r="F850" i="2"/>
  <c r="E850" i="2"/>
  <c r="D850" i="2"/>
  <c r="C850" i="2"/>
  <c r="A850" i="2"/>
  <c r="AO849" i="2"/>
  <c r="AN849" i="2"/>
  <c r="AM849" i="2"/>
  <c r="AL849" i="2"/>
  <c r="AK849" i="2"/>
  <c r="AJ849" i="2"/>
  <c r="AI849" i="2"/>
  <c r="AH849" i="2"/>
  <c r="AG849" i="2"/>
  <c r="AF849" i="2"/>
  <c r="AE849" i="2"/>
  <c r="AD849" i="2"/>
  <c r="AC849" i="2"/>
  <c r="AB849" i="2"/>
  <c r="AA849" i="2"/>
  <c r="Z849" i="2"/>
  <c r="Y849" i="2"/>
  <c r="X849" i="2"/>
  <c r="W849" i="2"/>
  <c r="V849" i="2"/>
  <c r="U849" i="2"/>
  <c r="S849" i="2"/>
  <c r="R849" i="2"/>
  <c r="Q849" i="2"/>
  <c r="P849" i="2"/>
  <c r="O849" i="2"/>
  <c r="N849" i="2"/>
  <c r="M849" i="2"/>
  <c r="L849" i="2"/>
  <c r="K849" i="2"/>
  <c r="J849" i="2"/>
  <c r="I849" i="2"/>
  <c r="H849" i="2"/>
  <c r="G849" i="2"/>
  <c r="F849" i="2"/>
  <c r="E849" i="2"/>
  <c r="D849" i="2"/>
  <c r="C849" i="2"/>
  <c r="A849" i="2"/>
  <c r="AO848" i="2"/>
  <c r="AN848" i="2"/>
  <c r="AM848" i="2"/>
  <c r="AL848" i="2"/>
  <c r="AK848" i="2"/>
  <c r="AJ848" i="2"/>
  <c r="AI848" i="2"/>
  <c r="AH848" i="2"/>
  <c r="AG848" i="2"/>
  <c r="AF848" i="2"/>
  <c r="AE848" i="2"/>
  <c r="AD848" i="2"/>
  <c r="AC848" i="2"/>
  <c r="AB848" i="2"/>
  <c r="AA848" i="2"/>
  <c r="Z848" i="2"/>
  <c r="Y848" i="2"/>
  <c r="X848" i="2"/>
  <c r="W848" i="2"/>
  <c r="V848" i="2"/>
  <c r="U848" i="2"/>
  <c r="S848" i="2"/>
  <c r="R848" i="2"/>
  <c r="Q848" i="2"/>
  <c r="P848" i="2"/>
  <c r="O848" i="2"/>
  <c r="N848" i="2"/>
  <c r="M848" i="2"/>
  <c r="L848" i="2"/>
  <c r="K848" i="2"/>
  <c r="J848" i="2"/>
  <c r="I848" i="2"/>
  <c r="H848" i="2"/>
  <c r="G848" i="2"/>
  <c r="F848" i="2"/>
  <c r="E848" i="2"/>
  <c r="D848" i="2"/>
  <c r="C848" i="2"/>
  <c r="A848" i="2"/>
  <c r="AO847" i="2"/>
  <c r="AN847" i="2"/>
  <c r="AM847" i="2"/>
  <c r="AL847" i="2"/>
  <c r="AK847" i="2"/>
  <c r="AJ847" i="2"/>
  <c r="AI847" i="2"/>
  <c r="AG847" i="2"/>
  <c r="AF847" i="2"/>
  <c r="AE847" i="2"/>
  <c r="AC847" i="2"/>
  <c r="AB847" i="2"/>
  <c r="AA847" i="2"/>
  <c r="X847" i="2"/>
  <c r="W847" i="2"/>
  <c r="V847" i="2"/>
  <c r="U847" i="2"/>
  <c r="R847" i="2"/>
  <c r="Q847" i="2"/>
  <c r="P847" i="2"/>
  <c r="O847" i="2"/>
  <c r="N847" i="2"/>
  <c r="M847" i="2"/>
  <c r="L847" i="2"/>
  <c r="K847" i="2"/>
  <c r="J847" i="2"/>
  <c r="I847" i="2"/>
  <c r="H847" i="2"/>
  <c r="G847" i="2"/>
  <c r="F847" i="2"/>
  <c r="E847" i="2"/>
  <c r="D847" i="2"/>
  <c r="C847" i="2"/>
  <c r="B847" i="2"/>
  <c r="A847" i="2"/>
  <c r="AO846" i="2"/>
  <c r="AN846" i="2"/>
  <c r="AM846" i="2"/>
  <c r="AL846" i="2"/>
  <c r="AK846" i="2"/>
  <c r="AJ846" i="2"/>
  <c r="AI846" i="2"/>
  <c r="AH846" i="2"/>
  <c r="AG846" i="2"/>
  <c r="AF846" i="2"/>
  <c r="AE846" i="2"/>
  <c r="AD846" i="2"/>
  <c r="AC846" i="2"/>
  <c r="AB846" i="2"/>
  <c r="AA846" i="2"/>
  <c r="Z846" i="2"/>
  <c r="Y846" i="2"/>
  <c r="X846" i="2"/>
  <c r="W846" i="2"/>
  <c r="V846" i="2"/>
  <c r="U846" i="2"/>
  <c r="S846" i="2"/>
  <c r="R846" i="2"/>
  <c r="Q846" i="2"/>
  <c r="P846" i="2"/>
  <c r="O846" i="2"/>
  <c r="N846" i="2"/>
  <c r="M846" i="2"/>
  <c r="L846" i="2"/>
  <c r="K846" i="2"/>
  <c r="J846" i="2"/>
  <c r="I846" i="2"/>
  <c r="H846" i="2"/>
  <c r="G846" i="2"/>
  <c r="F846" i="2"/>
  <c r="E846" i="2"/>
  <c r="D846" i="2"/>
  <c r="C846" i="2"/>
  <c r="A846" i="2"/>
  <c r="AO845" i="2"/>
  <c r="AN845" i="2"/>
  <c r="AM845" i="2"/>
  <c r="AL845" i="2"/>
  <c r="AK845" i="2"/>
  <c r="AJ845" i="2"/>
  <c r="AI845" i="2"/>
  <c r="AH845" i="2"/>
  <c r="AG845" i="2"/>
  <c r="AF845" i="2"/>
  <c r="AE845" i="2"/>
  <c r="AC845" i="2"/>
  <c r="AB845" i="2"/>
  <c r="AA845" i="2"/>
  <c r="Z845" i="2"/>
  <c r="Y845" i="2"/>
  <c r="X845" i="2"/>
  <c r="W845" i="2"/>
  <c r="V845" i="2"/>
  <c r="U845" i="2"/>
  <c r="S845" i="2"/>
  <c r="R845" i="2"/>
  <c r="Q845" i="2"/>
  <c r="P845" i="2"/>
  <c r="O845" i="2"/>
  <c r="N845" i="2"/>
  <c r="M845" i="2"/>
  <c r="L845" i="2"/>
  <c r="K845" i="2"/>
  <c r="J845" i="2"/>
  <c r="I845" i="2"/>
  <c r="H845" i="2"/>
  <c r="G845" i="2"/>
  <c r="F845" i="2"/>
  <c r="E845" i="2"/>
  <c r="D845" i="2"/>
  <c r="C845" i="2"/>
  <c r="A845" i="2"/>
  <c r="AO844" i="2"/>
  <c r="AN844" i="2"/>
  <c r="AM844" i="2"/>
  <c r="AL844" i="2"/>
  <c r="AK844" i="2"/>
  <c r="AJ844" i="2"/>
  <c r="AI844" i="2"/>
  <c r="AH844" i="2"/>
  <c r="AG844" i="2"/>
  <c r="AF844" i="2"/>
  <c r="AE844" i="2"/>
  <c r="AD844" i="2"/>
  <c r="AC844" i="2"/>
  <c r="AB844" i="2"/>
  <c r="AA844" i="2"/>
  <c r="Z844" i="2"/>
  <c r="Y844" i="2"/>
  <c r="X844" i="2"/>
  <c r="W844" i="2"/>
  <c r="V844" i="2"/>
  <c r="U844" i="2"/>
  <c r="S844" i="2"/>
  <c r="R844" i="2"/>
  <c r="Q844" i="2"/>
  <c r="P844" i="2"/>
  <c r="O844" i="2"/>
  <c r="N844" i="2"/>
  <c r="M844" i="2"/>
  <c r="L844" i="2"/>
  <c r="K844" i="2"/>
  <c r="J844" i="2"/>
  <c r="I844" i="2"/>
  <c r="H844" i="2"/>
  <c r="G844" i="2"/>
  <c r="F844" i="2"/>
  <c r="E844" i="2"/>
  <c r="D844" i="2"/>
  <c r="C844" i="2"/>
  <c r="B844" i="2"/>
  <c r="A844" i="2"/>
  <c r="AO843" i="2"/>
  <c r="AN843" i="2"/>
  <c r="AM843" i="2"/>
  <c r="AK843" i="2"/>
  <c r="AJ843" i="2"/>
  <c r="AI843" i="2"/>
  <c r="AH843" i="2"/>
  <c r="AG843" i="2"/>
  <c r="AF843" i="2"/>
  <c r="AE843" i="2"/>
  <c r="AD843" i="2"/>
  <c r="AC843" i="2"/>
  <c r="AB843" i="2"/>
  <c r="AA843" i="2"/>
  <c r="Z843" i="2"/>
  <c r="Y843" i="2"/>
  <c r="X843" i="2"/>
  <c r="W843" i="2"/>
  <c r="V843" i="2"/>
  <c r="U843" i="2"/>
  <c r="S843" i="2"/>
  <c r="R843" i="2"/>
  <c r="Q843" i="2"/>
  <c r="P843" i="2"/>
  <c r="O843" i="2"/>
  <c r="N843" i="2"/>
  <c r="M843" i="2"/>
  <c r="L843" i="2"/>
  <c r="K843" i="2"/>
  <c r="J843" i="2"/>
  <c r="I843" i="2"/>
  <c r="H843" i="2"/>
  <c r="G843" i="2"/>
  <c r="F843" i="2"/>
  <c r="E843" i="2"/>
  <c r="D843" i="2"/>
  <c r="C843" i="2"/>
  <c r="A843" i="2"/>
  <c r="AO842" i="2"/>
  <c r="AN842" i="2"/>
  <c r="AM842" i="2"/>
  <c r="AL842" i="2"/>
  <c r="AK842" i="2"/>
  <c r="AJ842" i="2"/>
  <c r="AI842" i="2"/>
  <c r="AH842" i="2"/>
  <c r="AG842" i="2"/>
  <c r="AF842" i="2"/>
  <c r="AE842" i="2"/>
  <c r="AD842" i="2"/>
  <c r="AC842" i="2"/>
  <c r="AB842" i="2"/>
  <c r="AA842" i="2"/>
  <c r="Z842" i="2"/>
  <c r="Y842" i="2"/>
  <c r="X842" i="2"/>
  <c r="W842" i="2"/>
  <c r="V842" i="2"/>
  <c r="U842" i="2"/>
  <c r="S842" i="2"/>
  <c r="R842" i="2"/>
  <c r="Q842" i="2"/>
  <c r="P842" i="2"/>
  <c r="O842" i="2"/>
  <c r="N842" i="2"/>
  <c r="M842" i="2"/>
  <c r="L842" i="2"/>
  <c r="K842" i="2"/>
  <c r="J842" i="2"/>
  <c r="I842" i="2"/>
  <c r="H842" i="2"/>
  <c r="G842" i="2"/>
  <c r="F842" i="2"/>
  <c r="E842" i="2"/>
  <c r="D842" i="2"/>
  <c r="C842" i="2"/>
  <c r="A842" i="2"/>
  <c r="AO841" i="2"/>
  <c r="AN841" i="2"/>
  <c r="AM841" i="2"/>
  <c r="AL841" i="2"/>
  <c r="AK841" i="2"/>
  <c r="AJ841" i="2"/>
  <c r="AI841" i="2"/>
  <c r="AH841" i="2"/>
  <c r="AG841" i="2"/>
  <c r="AF841" i="2"/>
  <c r="AE841" i="2"/>
  <c r="AC841" i="2"/>
  <c r="AB841" i="2"/>
  <c r="AA841" i="2"/>
  <c r="Z841" i="2"/>
  <c r="Y841" i="2"/>
  <c r="X841" i="2"/>
  <c r="W841" i="2"/>
  <c r="V841" i="2"/>
  <c r="U841" i="2"/>
  <c r="S841" i="2"/>
  <c r="R841" i="2"/>
  <c r="Q841" i="2"/>
  <c r="P841" i="2"/>
  <c r="O841" i="2"/>
  <c r="N841" i="2"/>
  <c r="M841" i="2"/>
  <c r="L841" i="2"/>
  <c r="K841" i="2"/>
  <c r="J841" i="2"/>
  <c r="I841" i="2"/>
  <c r="H841" i="2"/>
  <c r="G841" i="2"/>
  <c r="F841" i="2"/>
  <c r="E841" i="2"/>
  <c r="D841" i="2"/>
  <c r="C841" i="2"/>
  <c r="B841" i="2"/>
  <c r="A841" i="2"/>
  <c r="AO840" i="2"/>
  <c r="AN840" i="2"/>
  <c r="AM840" i="2"/>
  <c r="AK840" i="2"/>
  <c r="AJ840" i="2"/>
  <c r="AI840" i="2"/>
  <c r="AH840" i="2"/>
  <c r="AG840" i="2"/>
  <c r="AF840" i="2"/>
  <c r="AE840" i="2"/>
  <c r="AD840" i="2"/>
  <c r="AC840" i="2"/>
  <c r="AB840" i="2"/>
  <c r="AA840" i="2"/>
  <c r="Z840" i="2"/>
  <c r="Y840" i="2"/>
  <c r="X840" i="2"/>
  <c r="W840" i="2"/>
  <c r="V840" i="2"/>
  <c r="U840" i="2"/>
  <c r="S840" i="2"/>
  <c r="R840" i="2"/>
  <c r="Q840" i="2"/>
  <c r="P840" i="2"/>
  <c r="O840" i="2"/>
  <c r="N840" i="2"/>
  <c r="M840" i="2"/>
  <c r="L840" i="2"/>
  <c r="K840" i="2"/>
  <c r="J840" i="2"/>
  <c r="I840" i="2"/>
  <c r="H840" i="2"/>
  <c r="G840" i="2"/>
  <c r="F840" i="2"/>
  <c r="E840" i="2"/>
  <c r="D840" i="2"/>
  <c r="C840" i="2"/>
  <c r="B840" i="2"/>
  <c r="A840" i="2"/>
  <c r="AO839" i="2"/>
  <c r="AN839" i="2"/>
  <c r="AM839" i="2"/>
  <c r="AK839" i="2"/>
  <c r="AJ839" i="2"/>
  <c r="AI839" i="2"/>
  <c r="AH839" i="2"/>
  <c r="AG839" i="2"/>
  <c r="AF839" i="2"/>
  <c r="AE839" i="2"/>
  <c r="AD839" i="2"/>
  <c r="AC839" i="2"/>
  <c r="AB839" i="2"/>
  <c r="AA839" i="2"/>
  <c r="Z839" i="2"/>
  <c r="Y839" i="2"/>
  <c r="X839" i="2"/>
  <c r="W839" i="2"/>
  <c r="V839" i="2"/>
  <c r="U839" i="2"/>
  <c r="S839" i="2"/>
  <c r="R839" i="2"/>
  <c r="Q839" i="2"/>
  <c r="P839" i="2"/>
  <c r="O839" i="2"/>
  <c r="N839" i="2"/>
  <c r="M839" i="2"/>
  <c r="L839" i="2"/>
  <c r="K839" i="2"/>
  <c r="J839" i="2"/>
  <c r="I839" i="2"/>
  <c r="H839" i="2"/>
  <c r="G839" i="2"/>
  <c r="F839" i="2"/>
  <c r="E839" i="2"/>
  <c r="D839" i="2"/>
  <c r="C839" i="2"/>
  <c r="B839" i="2"/>
  <c r="A839" i="2"/>
  <c r="AO838" i="2"/>
  <c r="AN838" i="2"/>
  <c r="AM838" i="2"/>
  <c r="AL838" i="2"/>
  <c r="AK838" i="2"/>
  <c r="AJ838" i="2"/>
  <c r="AI838" i="2"/>
  <c r="AH838" i="2"/>
  <c r="AG838" i="2"/>
  <c r="AF838" i="2"/>
  <c r="AE838" i="2"/>
  <c r="AD838" i="2"/>
  <c r="AC838" i="2"/>
  <c r="AB838" i="2"/>
  <c r="AA838" i="2"/>
  <c r="Z838" i="2"/>
  <c r="Y838" i="2"/>
  <c r="X838" i="2"/>
  <c r="W838" i="2"/>
  <c r="V838" i="2"/>
  <c r="U838" i="2"/>
  <c r="S838" i="2"/>
  <c r="R838" i="2"/>
  <c r="Q838" i="2"/>
  <c r="P838" i="2"/>
  <c r="O838" i="2"/>
  <c r="N838" i="2"/>
  <c r="M838" i="2"/>
  <c r="L838" i="2"/>
  <c r="K838" i="2"/>
  <c r="J838" i="2"/>
  <c r="I838" i="2"/>
  <c r="H838" i="2"/>
  <c r="G838" i="2"/>
  <c r="F838" i="2"/>
  <c r="E838" i="2"/>
  <c r="D838" i="2"/>
  <c r="C838" i="2"/>
  <c r="B838" i="2"/>
  <c r="A838" i="2"/>
  <c r="AO837" i="2"/>
  <c r="AN837" i="2"/>
  <c r="AM837" i="2"/>
  <c r="AK837" i="2"/>
  <c r="AJ837" i="2"/>
  <c r="AI837" i="2"/>
  <c r="AH837" i="2"/>
  <c r="AG837" i="2"/>
  <c r="AF837" i="2"/>
  <c r="AE837" i="2"/>
  <c r="AD837" i="2"/>
  <c r="AC837" i="2"/>
  <c r="AB837" i="2"/>
  <c r="AA837" i="2"/>
  <c r="Y837" i="2"/>
  <c r="X837" i="2"/>
  <c r="W837" i="2"/>
  <c r="V837" i="2"/>
  <c r="U837" i="2"/>
  <c r="S837" i="2"/>
  <c r="R837" i="2"/>
  <c r="Q837" i="2"/>
  <c r="P837" i="2"/>
  <c r="O837" i="2"/>
  <c r="N837" i="2"/>
  <c r="M837" i="2"/>
  <c r="L837" i="2"/>
  <c r="K837" i="2"/>
  <c r="J837" i="2"/>
  <c r="I837" i="2"/>
  <c r="H837" i="2"/>
  <c r="G837" i="2"/>
  <c r="F837" i="2"/>
  <c r="E837" i="2"/>
  <c r="D837" i="2"/>
  <c r="C837" i="2"/>
  <c r="A837" i="2"/>
  <c r="AO836" i="2"/>
  <c r="AN836" i="2"/>
  <c r="AM836" i="2"/>
  <c r="AK836" i="2"/>
  <c r="AJ836" i="2"/>
  <c r="AI836" i="2"/>
  <c r="AH836" i="2"/>
  <c r="AG836" i="2"/>
  <c r="AF836" i="2"/>
  <c r="AE836" i="2"/>
  <c r="AD836" i="2"/>
  <c r="AC836" i="2"/>
  <c r="AB836" i="2"/>
  <c r="AA836" i="2"/>
  <c r="Z836" i="2"/>
  <c r="Y836" i="2"/>
  <c r="X836" i="2"/>
  <c r="W836" i="2"/>
  <c r="V836" i="2"/>
  <c r="U836" i="2"/>
  <c r="S836" i="2"/>
  <c r="R836" i="2"/>
  <c r="Q836" i="2"/>
  <c r="P836" i="2"/>
  <c r="O836" i="2"/>
  <c r="N836" i="2"/>
  <c r="M836" i="2"/>
  <c r="L836" i="2"/>
  <c r="K836" i="2"/>
  <c r="J836" i="2"/>
  <c r="I836" i="2"/>
  <c r="H836" i="2"/>
  <c r="G836" i="2"/>
  <c r="F836" i="2"/>
  <c r="E836" i="2"/>
  <c r="D836" i="2"/>
  <c r="C836" i="2"/>
  <c r="B836" i="2"/>
  <c r="A836" i="2"/>
  <c r="AO835" i="2"/>
  <c r="AN835" i="2"/>
  <c r="AM835" i="2"/>
  <c r="AK835" i="2"/>
  <c r="AJ835" i="2"/>
  <c r="AI835" i="2"/>
  <c r="AH835" i="2"/>
  <c r="AG835" i="2"/>
  <c r="AF835" i="2"/>
  <c r="AE835" i="2"/>
  <c r="AD835" i="2"/>
  <c r="AC835" i="2"/>
  <c r="AB835" i="2"/>
  <c r="AA835" i="2"/>
  <c r="Z835" i="2"/>
  <c r="Y835" i="2"/>
  <c r="X835" i="2"/>
  <c r="W835" i="2"/>
  <c r="V835" i="2"/>
  <c r="U835" i="2"/>
  <c r="S835" i="2"/>
  <c r="R835" i="2"/>
  <c r="Q835" i="2"/>
  <c r="P835" i="2"/>
  <c r="O835" i="2"/>
  <c r="N835" i="2"/>
  <c r="M835" i="2"/>
  <c r="L835" i="2"/>
  <c r="K835" i="2"/>
  <c r="J835" i="2"/>
  <c r="I835" i="2"/>
  <c r="H835" i="2"/>
  <c r="G835" i="2"/>
  <c r="F835" i="2"/>
  <c r="E835" i="2"/>
  <c r="D835" i="2"/>
  <c r="C835" i="2"/>
  <c r="B835" i="2"/>
  <c r="A835" i="2"/>
  <c r="AO834" i="2"/>
  <c r="AN834" i="2"/>
  <c r="AM834" i="2"/>
  <c r="AK834" i="2"/>
  <c r="AJ834" i="2"/>
  <c r="AI834" i="2"/>
  <c r="AH834" i="2"/>
  <c r="AG834" i="2"/>
  <c r="AF834" i="2"/>
  <c r="AE834" i="2"/>
  <c r="AD834" i="2"/>
  <c r="AC834" i="2"/>
  <c r="AB834" i="2"/>
  <c r="AA834" i="2"/>
  <c r="Y834" i="2"/>
  <c r="X834" i="2"/>
  <c r="W834" i="2"/>
  <c r="V834" i="2"/>
  <c r="U834" i="2"/>
  <c r="S834" i="2"/>
  <c r="R834" i="2"/>
  <c r="Q834" i="2"/>
  <c r="P834" i="2"/>
  <c r="O834" i="2"/>
  <c r="N834" i="2"/>
  <c r="M834" i="2"/>
  <c r="L834" i="2"/>
  <c r="K834" i="2"/>
  <c r="J834" i="2"/>
  <c r="I834" i="2"/>
  <c r="H834" i="2"/>
  <c r="G834" i="2"/>
  <c r="F834" i="2"/>
  <c r="E834" i="2"/>
  <c r="D834" i="2"/>
  <c r="C834" i="2"/>
  <c r="B834" i="2"/>
  <c r="A834" i="2"/>
  <c r="AO833" i="2"/>
  <c r="AN833" i="2"/>
  <c r="AM833" i="2"/>
  <c r="AK833" i="2"/>
  <c r="AJ833" i="2"/>
  <c r="AI833" i="2"/>
  <c r="AH833" i="2"/>
  <c r="AG833" i="2"/>
  <c r="AF833" i="2"/>
  <c r="AE833" i="2"/>
  <c r="AD833" i="2"/>
  <c r="AC833" i="2"/>
  <c r="AB833" i="2"/>
  <c r="AA833" i="2"/>
  <c r="Z833" i="2"/>
  <c r="Y833" i="2"/>
  <c r="X833" i="2"/>
  <c r="W833" i="2"/>
  <c r="V833" i="2"/>
  <c r="U833" i="2"/>
  <c r="S833" i="2"/>
  <c r="R833" i="2"/>
  <c r="Q833" i="2"/>
  <c r="P833" i="2"/>
  <c r="O833" i="2"/>
  <c r="N833" i="2"/>
  <c r="M833" i="2"/>
  <c r="L833" i="2"/>
  <c r="K833" i="2"/>
  <c r="J833" i="2"/>
  <c r="I833" i="2"/>
  <c r="H833" i="2"/>
  <c r="G833" i="2"/>
  <c r="F833" i="2"/>
  <c r="E833" i="2"/>
  <c r="D833" i="2"/>
  <c r="C833" i="2"/>
  <c r="B833" i="2"/>
  <c r="A833" i="2"/>
  <c r="AO832" i="2"/>
  <c r="AN832" i="2"/>
  <c r="AM832" i="2"/>
  <c r="AK832" i="2"/>
  <c r="AJ832" i="2"/>
  <c r="AI832" i="2"/>
  <c r="AH832" i="2"/>
  <c r="AG832" i="2"/>
  <c r="AF832" i="2"/>
  <c r="AE832" i="2"/>
  <c r="AD832" i="2"/>
  <c r="AC832" i="2"/>
  <c r="AB832" i="2"/>
  <c r="AA832" i="2"/>
  <c r="Z832" i="2"/>
  <c r="Y832" i="2"/>
  <c r="X832" i="2"/>
  <c r="W832" i="2"/>
  <c r="V832" i="2"/>
  <c r="U832" i="2"/>
  <c r="S832" i="2"/>
  <c r="R832" i="2"/>
  <c r="Q832" i="2"/>
  <c r="P832" i="2"/>
  <c r="O832" i="2"/>
  <c r="N832" i="2"/>
  <c r="M832" i="2"/>
  <c r="L832" i="2"/>
  <c r="K832" i="2"/>
  <c r="J832" i="2"/>
  <c r="I832" i="2"/>
  <c r="H832" i="2"/>
  <c r="G832" i="2"/>
  <c r="F832" i="2"/>
  <c r="E832" i="2"/>
  <c r="D832" i="2"/>
  <c r="C832" i="2"/>
  <c r="B832" i="2"/>
  <c r="A832" i="2"/>
  <c r="AO831" i="2"/>
  <c r="AN831" i="2"/>
  <c r="AM831" i="2"/>
  <c r="AL831" i="2"/>
  <c r="AK831" i="2"/>
  <c r="AJ831" i="2"/>
  <c r="AI831" i="2"/>
  <c r="AH831" i="2"/>
  <c r="AG831" i="2"/>
  <c r="AF831" i="2"/>
  <c r="AE831" i="2"/>
  <c r="AD831" i="2"/>
  <c r="AC831" i="2"/>
  <c r="AB831" i="2"/>
  <c r="AA831" i="2"/>
  <c r="Z831" i="2"/>
  <c r="Y831" i="2"/>
  <c r="X831" i="2"/>
  <c r="W831" i="2"/>
  <c r="V831" i="2"/>
  <c r="U831" i="2"/>
  <c r="S831" i="2"/>
  <c r="R831" i="2"/>
  <c r="Q831" i="2"/>
  <c r="P831" i="2"/>
  <c r="O831" i="2"/>
  <c r="N831" i="2"/>
  <c r="M831" i="2"/>
  <c r="L831" i="2"/>
  <c r="K831" i="2"/>
  <c r="J831" i="2"/>
  <c r="I831" i="2"/>
  <c r="H831" i="2"/>
  <c r="G831" i="2"/>
  <c r="F831" i="2"/>
  <c r="E831" i="2"/>
  <c r="D831" i="2"/>
  <c r="C831" i="2"/>
  <c r="B831" i="2"/>
  <c r="A831" i="2"/>
  <c r="AO830" i="2"/>
  <c r="AN830" i="2"/>
  <c r="AM830" i="2"/>
  <c r="AL830" i="2"/>
  <c r="AK830" i="2"/>
  <c r="AJ830" i="2"/>
  <c r="AI830" i="2"/>
  <c r="AH830" i="2"/>
  <c r="AG830" i="2"/>
  <c r="AF830" i="2"/>
  <c r="AE830" i="2"/>
  <c r="AD830" i="2"/>
  <c r="AC830" i="2"/>
  <c r="AB830" i="2"/>
  <c r="AA830" i="2"/>
  <c r="Z830" i="2"/>
  <c r="Y830" i="2"/>
  <c r="X830" i="2"/>
  <c r="W830" i="2"/>
  <c r="V830" i="2"/>
  <c r="U830" i="2"/>
  <c r="S830" i="2"/>
  <c r="R830" i="2"/>
  <c r="Q830" i="2"/>
  <c r="P830" i="2"/>
  <c r="O830" i="2"/>
  <c r="N830" i="2"/>
  <c r="M830" i="2"/>
  <c r="L830" i="2"/>
  <c r="K830" i="2"/>
  <c r="J830" i="2"/>
  <c r="I830" i="2"/>
  <c r="H830" i="2"/>
  <c r="G830" i="2"/>
  <c r="F830" i="2"/>
  <c r="E830" i="2"/>
  <c r="D830" i="2"/>
  <c r="C830" i="2"/>
  <c r="A830" i="2"/>
  <c r="AO829" i="2"/>
  <c r="AN829" i="2"/>
  <c r="AM829" i="2"/>
  <c r="AL829" i="2"/>
  <c r="AK829" i="2"/>
  <c r="AJ829" i="2"/>
  <c r="AI829" i="2"/>
  <c r="AG829" i="2"/>
  <c r="AF829" i="2"/>
  <c r="AE829" i="2"/>
  <c r="AC829" i="2"/>
  <c r="AB829" i="2"/>
  <c r="AA829" i="2"/>
  <c r="X829" i="2"/>
  <c r="W829" i="2"/>
  <c r="V829" i="2"/>
  <c r="U829" i="2"/>
  <c r="R829" i="2"/>
  <c r="Q829" i="2"/>
  <c r="P829" i="2"/>
  <c r="O829" i="2"/>
  <c r="N829" i="2"/>
  <c r="M829" i="2"/>
  <c r="L829" i="2"/>
  <c r="K829" i="2"/>
  <c r="J829" i="2"/>
  <c r="I829" i="2"/>
  <c r="H829" i="2"/>
  <c r="G829" i="2"/>
  <c r="F829" i="2"/>
  <c r="E829" i="2"/>
  <c r="D829" i="2"/>
  <c r="C829" i="2"/>
  <c r="B829" i="2"/>
  <c r="A829" i="2"/>
  <c r="AO828" i="2"/>
  <c r="AN828" i="2"/>
  <c r="AM828" i="2"/>
  <c r="AK828" i="2"/>
  <c r="AJ828" i="2"/>
  <c r="AI828" i="2"/>
  <c r="AH828" i="2"/>
  <c r="AG828" i="2"/>
  <c r="AF828" i="2"/>
  <c r="AE828" i="2"/>
  <c r="AD828" i="2"/>
  <c r="AC828" i="2"/>
  <c r="AB828" i="2"/>
  <c r="AA828" i="2"/>
  <c r="Z828" i="2"/>
  <c r="Y828" i="2"/>
  <c r="X828" i="2"/>
  <c r="W828" i="2"/>
  <c r="V828" i="2"/>
  <c r="U828" i="2"/>
  <c r="S828" i="2"/>
  <c r="R828" i="2"/>
  <c r="Q828" i="2"/>
  <c r="P828" i="2"/>
  <c r="O828" i="2"/>
  <c r="N828" i="2"/>
  <c r="M828" i="2"/>
  <c r="L828" i="2"/>
  <c r="K828" i="2"/>
  <c r="J828" i="2"/>
  <c r="I828" i="2"/>
  <c r="H828" i="2"/>
  <c r="G828" i="2"/>
  <c r="F828" i="2"/>
  <c r="E828" i="2"/>
  <c r="D828" i="2"/>
  <c r="C828" i="2"/>
  <c r="A828" i="2"/>
  <c r="AO827" i="2"/>
  <c r="AN827" i="2"/>
  <c r="AM827" i="2"/>
  <c r="AL827" i="2"/>
  <c r="AK827" i="2"/>
  <c r="AJ827" i="2"/>
  <c r="AI827" i="2"/>
  <c r="AH827" i="2"/>
  <c r="AG827" i="2"/>
  <c r="AF827" i="2"/>
  <c r="AE827" i="2"/>
  <c r="AD827" i="2"/>
  <c r="AC827" i="2"/>
  <c r="AB827" i="2"/>
  <c r="AA827" i="2"/>
  <c r="Z827" i="2"/>
  <c r="Y827" i="2"/>
  <c r="X827" i="2"/>
  <c r="W827" i="2"/>
  <c r="V827" i="2"/>
  <c r="U827" i="2"/>
  <c r="S827" i="2"/>
  <c r="R827" i="2"/>
  <c r="Q827" i="2"/>
  <c r="P827" i="2"/>
  <c r="O827" i="2"/>
  <c r="N827" i="2"/>
  <c r="M827" i="2"/>
  <c r="L827" i="2"/>
  <c r="K827" i="2"/>
  <c r="J827" i="2"/>
  <c r="I827" i="2"/>
  <c r="H827" i="2"/>
  <c r="G827" i="2"/>
  <c r="F827" i="2"/>
  <c r="E827" i="2"/>
  <c r="D827" i="2"/>
  <c r="C827" i="2"/>
  <c r="B827" i="2"/>
  <c r="A827" i="2"/>
  <c r="AO826" i="2"/>
  <c r="AN826" i="2"/>
  <c r="AM826" i="2"/>
  <c r="AK826" i="2"/>
  <c r="AJ826" i="2"/>
  <c r="AI826" i="2"/>
  <c r="AH826" i="2"/>
  <c r="AG826" i="2"/>
  <c r="AF826" i="2"/>
  <c r="AE826" i="2"/>
  <c r="AD826" i="2"/>
  <c r="AC826" i="2"/>
  <c r="AB826" i="2"/>
  <c r="AA826" i="2"/>
  <c r="Z826" i="2"/>
  <c r="Y826" i="2"/>
  <c r="X826" i="2"/>
  <c r="W826" i="2"/>
  <c r="V826" i="2"/>
  <c r="U826" i="2"/>
  <c r="S826" i="2"/>
  <c r="R826" i="2"/>
  <c r="Q826" i="2"/>
  <c r="P826" i="2"/>
  <c r="O826" i="2"/>
  <c r="N826" i="2"/>
  <c r="M826" i="2"/>
  <c r="L826" i="2"/>
  <c r="K826" i="2"/>
  <c r="J826" i="2"/>
  <c r="I826" i="2"/>
  <c r="H826" i="2"/>
  <c r="G826" i="2"/>
  <c r="F826" i="2"/>
  <c r="E826" i="2"/>
  <c r="D826" i="2"/>
  <c r="C826" i="2"/>
  <c r="A826" i="2"/>
  <c r="AO825" i="2"/>
  <c r="AN825" i="2"/>
  <c r="AM825" i="2"/>
  <c r="AK825" i="2"/>
  <c r="AJ825" i="2"/>
  <c r="AI825" i="2"/>
  <c r="AH825" i="2"/>
  <c r="AG825" i="2"/>
  <c r="AF825" i="2"/>
  <c r="AE825" i="2"/>
  <c r="AD825" i="2"/>
  <c r="AC825" i="2"/>
  <c r="AB825" i="2"/>
  <c r="AA825" i="2"/>
  <c r="Z825" i="2"/>
  <c r="Y825" i="2"/>
  <c r="X825" i="2"/>
  <c r="W825" i="2"/>
  <c r="V825" i="2"/>
  <c r="U825" i="2"/>
  <c r="S825" i="2"/>
  <c r="R825" i="2"/>
  <c r="Q825" i="2"/>
  <c r="P825" i="2"/>
  <c r="O825" i="2"/>
  <c r="N825" i="2"/>
  <c r="M825" i="2"/>
  <c r="L825" i="2"/>
  <c r="K825" i="2"/>
  <c r="J825" i="2"/>
  <c r="I825" i="2"/>
  <c r="H825" i="2"/>
  <c r="G825" i="2"/>
  <c r="F825" i="2"/>
  <c r="E825" i="2"/>
  <c r="D825" i="2"/>
  <c r="C825" i="2"/>
  <c r="B825" i="2"/>
  <c r="A825" i="2"/>
  <c r="AO824" i="2"/>
  <c r="AN824" i="2"/>
  <c r="AM824" i="2"/>
  <c r="AL824" i="2"/>
  <c r="AK824" i="2"/>
  <c r="AJ824" i="2"/>
  <c r="AI824" i="2"/>
  <c r="AH824" i="2"/>
  <c r="AG824" i="2"/>
  <c r="AF824" i="2"/>
  <c r="AE824" i="2"/>
  <c r="AD824" i="2"/>
  <c r="AC824" i="2"/>
  <c r="AB824" i="2"/>
  <c r="AA824" i="2"/>
  <c r="Z824" i="2"/>
  <c r="Y824" i="2"/>
  <c r="X824" i="2"/>
  <c r="W824" i="2"/>
  <c r="V824" i="2"/>
  <c r="U824" i="2"/>
  <c r="S824" i="2"/>
  <c r="R824" i="2"/>
  <c r="Q824" i="2"/>
  <c r="P824" i="2"/>
  <c r="O824" i="2"/>
  <c r="N824" i="2"/>
  <c r="M824" i="2"/>
  <c r="L824" i="2"/>
  <c r="K824" i="2"/>
  <c r="J824" i="2"/>
  <c r="I824" i="2"/>
  <c r="H824" i="2"/>
  <c r="G824" i="2"/>
  <c r="F824" i="2"/>
  <c r="E824" i="2"/>
  <c r="D824" i="2"/>
  <c r="C824" i="2"/>
  <c r="B824" i="2"/>
  <c r="A824" i="2"/>
  <c r="AO823" i="2"/>
  <c r="AN823" i="2"/>
  <c r="AM823" i="2"/>
  <c r="AK823" i="2"/>
  <c r="AJ823" i="2"/>
  <c r="AI823" i="2"/>
  <c r="AG823" i="2"/>
  <c r="AF823" i="2"/>
  <c r="AE823" i="2"/>
  <c r="AD823" i="2"/>
  <c r="AC823" i="2"/>
  <c r="AB823" i="2"/>
  <c r="AA823" i="2"/>
  <c r="X823" i="2"/>
  <c r="W823" i="2"/>
  <c r="V823" i="2"/>
  <c r="U823" i="2"/>
  <c r="R823" i="2"/>
  <c r="Q823" i="2"/>
  <c r="P823" i="2"/>
  <c r="O823" i="2"/>
  <c r="N823" i="2"/>
  <c r="M823" i="2"/>
  <c r="L823" i="2"/>
  <c r="K823" i="2"/>
  <c r="J823" i="2"/>
  <c r="I823" i="2"/>
  <c r="H823" i="2"/>
  <c r="G823" i="2"/>
  <c r="F823" i="2"/>
  <c r="E823" i="2"/>
  <c r="D823" i="2"/>
  <c r="C823" i="2"/>
  <c r="A823" i="2"/>
  <c r="AO822" i="2"/>
  <c r="AN822" i="2"/>
  <c r="AM822" i="2"/>
  <c r="AL822" i="2"/>
  <c r="AK822" i="2"/>
  <c r="AJ822" i="2"/>
  <c r="AI822" i="2"/>
  <c r="AH822" i="2"/>
  <c r="AG822" i="2"/>
  <c r="AF822" i="2"/>
  <c r="AE822" i="2"/>
  <c r="AD822" i="2"/>
  <c r="AC822" i="2"/>
  <c r="AB822" i="2"/>
  <c r="AA822" i="2"/>
  <c r="Z822" i="2"/>
  <c r="Y822" i="2"/>
  <c r="X822" i="2"/>
  <c r="W822" i="2"/>
  <c r="V822" i="2"/>
  <c r="U822" i="2"/>
  <c r="S822" i="2"/>
  <c r="R822" i="2"/>
  <c r="Q822" i="2"/>
  <c r="P822" i="2"/>
  <c r="O822" i="2"/>
  <c r="N822" i="2"/>
  <c r="M822" i="2"/>
  <c r="L822" i="2"/>
  <c r="K822" i="2"/>
  <c r="J822" i="2"/>
  <c r="I822" i="2"/>
  <c r="H822" i="2"/>
  <c r="G822" i="2"/>
  <c r="F822" i="2"/>
  <c r="E822" i="2"/>
  <c r="D822" i="2"/>
  <c r="C822" i="2"/>
  <c r="B822" i="2"/>
  <c r="A822" i="2"/>
  <c r="AO821" i="2"/>
  <c r="AN821" i="2"/>
  <c r="AM821" i="2"/>
  <c r="AL821" i="2"/>
  <c r="AK821" i="2"/>
  <c r="AJ821" i="2"/>
  <c r="AI821" i="2"/>
  <c r="AH821" i="2"/>
  <c r="AG821" i="2"/>
  <c r="AF821" i="2"/>
  <c r="AE821" i="2"/>
  <c r="AD821" i="2"/>
  <c r="AC821" i="2"/>
  <c r="AB821" i="2"/>
  <c r="AA821" i="2"/>
  <c r="Z821" i="2"/>
  <c r="Y821" i="2"/>
  <c r="X821" i="2"/>
  <c r="W821" i="2"/>
  <c r="V821" i="2"/>
  <c r="U821" i="2"/>
  <c r="S821" i="2"/>
  <c r="R821" i="2"/>
  <c r="Q821" i="2"/>
  <c r="P821" i="2"/>
  <c r="O821" i="2"/>
  <c r="N821" i="2"/>
  <c r="M821" i="2"/>
  <c r="L821" i="2"/>
  <c r="K821" i="2"/>
  <c r="J821" i="2"/>
  <c r="I821" i="2"/>
  <c r="H821" i="2"/>
  <c r="G821" i="2"/>
  <c r="F821" i="2"/>
  <c r="E821" i="2"/>
  <c r="D821" i="2"/>
  <c r="C821" i="2"/>
  <c r="B821" i="2"/>
  <c r="A821" i="2"/>
  <c r="AO820" i="2"/>
  <c r="AN820" i="2"/>
  <c r="AM820" i="2"/>
  <c r="AK820" i="2"/>
  <c r="AJ820" i="2"/>
  <c r="AI820" i="2"/>
  <c r="AH820" i="2"/>
  <c r="AG820" i="2"/>
  <c r="AF820" i="2"/>
  <c r="AE820" i="2"/>
  <c r="AC820" i="2"/>
  <c r="AB820" i="2"/>
  <c r="AA820" i="2"/>
  <c r="Z820" i="2"/>
  <c r="Y820" i="2"/>
  <c r="X820" i="2"/>
  <c r="W820" i="2"/>
  <c r="V820" i="2"/>
  <c r="U820" i="2"/>
  <c r="S820" i="2"/>
  <c r="R820" i="2"/>
  <c r="Q820" i="2"/>
  <c r="P820" i="2"/>
  <c r="O820" i="2"/>
  <c r="N820" i="2"/>
  <c r="M820" i="2"/>
  <c r="L820" i="2"/>
  <c r="K820" i="2"/>
  <c r="J820" i="2"/>
  <c r="I820" i="2"/>
  <c r="H820" i="2"/>
  <c r="G820" i="2"/>
  <c r="F820" i="2"/>
  <c r="E820" i="2"/>
  <c r="D820" i="2"/>
  <c r="C820" i="2"/>
  <c r="A820" i="2"/>
  <c r="AO819" i="2"/>
  <c r="AN819" i="2"/>
  <c r="AM819" i="2"/>
  <c r="AL819" i="2"/>
  <c r="AK819" i="2"/>
  <c r="AJ819" i="2"/>
  <c r="AI819" i="2"/>
  <c r="AH819" i="2"/>
  <c r="AG819" i="2"/>
  <c r="AF819" i="2"/>
  <c r="AE819" i="2"/>
  <c r="AD819" i="2"/>
  <c r="AC819" i="2"/>
  <c r="AB819" i="2"/>
  <c r="AA819" i="2"/>
  <c r="Z819" i="2"/>
  <c r="Y819" i="2"/>
  <c r="X819" i="2"/>
  <c r="W819" i="2"/>
  <c r="V819" i="2"/>
  <c r="U819" i="2"/>
  <c r="S819" i="2"/>
  <c r="R819" i="2"/>
  <c r="Q819" i="2"/>
  <c r="P819" i="2"/>
  <c r="O819" i="2"/>
  <c r="N819" i="2"/>
  <c r="M819" i="2"/>
  <c r="L819" i="2"/>
  <c r="K819" i="2"/>
  <c r="J819" i="2"/>
  <c r="I819" i="2"/>
  <c r="H819" i="2"/>
  <c r="G819" i="2"/>
  <c r="F819" i="2"/>
  <c r="E819" i="2"/>
  <c r="D819" i="2"/>
  <c r="C819" i="2"/>
  <c r="B819" i="2"/>
  <c r="A819" i="2"/>
  <c r="AO818" i="2"/>
  <c r="AN818" i="2"/>
  <c r="AM818" i="2"/>
  <c r="AL818" i="2"/>
  <c r="AK818" i="2"/>
  <c r="AJ818" i="2"/>
  <c r="AI818" i="2"/>
  <c r="AH818" i="2"/>
  <c r="AG818" i="2"/>
  <c r="AF818" i="2"/>
  <c r="AE818" i="2"/>
  <c r="AD818" i="2"/>
  <c r="AC818" i="2"/>
  <c r="AB818" i="2"/>
  <c r="AA818" i="2"/>
  <c r="Z818" i="2"/>
  <c r="Y818" i="2"/>
  <c r="X818" i="2"/>
  <c r="W818" i="2"/>
  <c r="V818" i="2"/>
  <c r="U818" i="2"/>
  <c r="S818" i="2"/>
  <c r="R818" i="2"/>
  <c r="Q818" i="2"/>
  <c r="P818" i="2"/>
  <c r="O818" i="2"/>
  <c r="N818" i="2"/>
  <c r="M818" i="2"/>
  <c r="L818" i="2"/>
  <c r="K818" i="2"/>
  <c r="J818" i="2"/>
  <c r="I818" i="2"/>
  <c r="H818" i="2"/>
  <c r="G818" i="2"/>
  <c r="F818" i="2"/>
  <c r="E818" i="2"/>
  <c r="D818" i="2"/>
  <c r="C818" i="2"/>
  <c r="B818" i="2"/>
  <c r="A818" i="2"/>
  <c r="AO817" i="2"/>
  <c r="AN817" i="2"/>
  <c r="AM817" i="2"/>
  <c r="AL817" i="2"/>
  <c r="AK817" i="2"/>
  <c r="AJ817" i="2"/>
  <c r="AI817" i="2"/>
  <c r="AH817" i="2"/>
  <c r="AG817" i="2"/>
  <c r="AF817" i="2"/>
  <c r="AE817" i="2"/>
  <c r="AD817" i="2"/>
  <c r="AC817" i="2"/>
  <c r="AB817" i="2"/>
  <c r="AA817" i="2"/>
  <c r="Z817" i="2"/>
  <c r="Y817" i="2"/>
  <c r="X817" i="2"/>
  <c r="W817" i="2"/>
  <c r="V817" i="2"/>
  <c r="U817" i="2"/>
  <c r="S817" i="2"/>
  <c r="R817" i="2"/>
  <c r="Q817" i="2"/>
  <c r="P817" i="2"/>
  <c r="O817" i="2"/>
  <c r="N817" i="2"/>
  <c r="M817" i="2"/>
  <c r="L817" i="2"/>
  <c r="K817" i="2"/>
  <c r="J817" i="2"/>
  <c r="I817" i="2"/>
  <c r="H817" i="2"/>
  <c r="G817" i="2"/>
  <c r="F817" i="2"/>
  <c r="E817" i="2"/>
  <c r="D817" i="2"/>
  <c r="C817" i="2"/>
  <c r="B817" i="2"/>
  <c r="A817" i="2"/>
  <c r="AO816" i="2"/>
  <c r="AN816" i="2"/>
  <c r="AM816" i="2"/>
  <c r="AK816" i="2"/>
  <c r="AJ816" i="2"/>
  <c r="AI816" i="2"/>
  <c r="AH816" i="2"/>
  <c r="AG816" i="2"/>
  <c r="AF816" i="2"/>
  <c r="AE816" i="2"/>
  <c r="AD816" i="2"/>
  <c r="AC816" i="2"/>
  <c r="AB816" i="2"/>
  <c r="AA816" i="2"/>
  <c r="Z816" i="2"/>
  <c r="Y816" i="2"/>
  <c r="X816" i="2"/>
  <c r="W816" i="2"/>
  <c r="V816" i="2"/>
  <c r="U816" i="2"/>
  <c r="S816" i="2"/>
  <c r="R816" i="2"/>
  <c r="Q816" i="2"/>
  <c r="P816" i="2"/>
  <c r="O816" i="2"/>
  <c r="N816" i="2"/>
  <c r="M816" i="2"/>
  <c r="L816" i="2"/>
  <c r="K816" i="2"/>
  <c r="J816" i="2"/>
  <c r="I816" i="2"/>
  <c r="H816" i="2"/>
  <c r="G816" i="2"/>
  <c r="F816" i="2"/>
  <c r="E816" i="2"/>
  <c r="D816" i="2"/>
  <c r="C816" i="2"/>
  <c r="A816" i="2"/>
  <c r="AO815" i="2"/>
  <c r="AN815" i="2"/>
  <c r="AM815" i="2"/>
  <c r="AK815" i="2"/>
  <c r="AJ815" i="2"/>
  <c r="AI815" i="2"/>
  <c r="AH815" i="2"/>
  <c r="AG815" i="2"/>
  <c r="AF815" i="2"/>
  <c r="AE815" i="2"/>
  <c r="AD815" i="2"/>
  <c r="AC815" i="2"/>
  <c r="AB815" i="2"/>
  <c r="AA815" i="2"/>
  <c r="Z815" i="2"/>
  <c r="Y815" i="2"/>
  <c r="X815" i="2"/>
  <c r="W815" i="2"/>
  <c r="V815" i="2"/>
  <c r="U815" i="2"/>
  <c r="S815" i="2"/>
  <c r="R815" i="2"/>
  <c r="Q815" i="2"/>
  <c r="P815" i="2"/>
  <c r="O815" i="2"/>
  <c r="N815" i="2"/>
  <c r="M815" i="2"/>
  <c r="L815" i="2"/>
  <c r="K815" i="2"/>
  <c r="J815" i="2"/>
  <c r="I815" i="2"/>
  <c r="H815" i="2"/>
  <c r="G815" i="2"/>
  <c r="F815" i="2"/>
  <c r="E815" i="2"/>
  <c r="D815" i="2"/>
  <c r="C815" i="2"/>
  <c r="B815" i="2"/>
  <c r="A815" i="2"/>
  <c r="AO814" i="2"/>
  <c r="AN814" i="2"/>
  <c r="AM814" i="2"/>
  <c r="AK814" i="2"/>
  <c r="AJ814" i="2"/>
  <c r="AI814" i="2"/>
  <c r="AH814" i="2"/>
  <c r="AG814" i="2"/>
  <c r="AF814" i="2"/>
  <c r="AE814" i="2"/>
  <c r="AD814" i="2"/>
  <c r="AC814" i="2"/>
  <c r="AB814" i="2"/>
  <c r="AA814" i="2"/>
  <c r="Z814" i="2"/>
  <c r="Y814" i="2"/>
  <c r="X814" i="2"/>
  <c r="W814" i="2"/>
  <c r="V814" i="2"/>
  <c r="U814" i="2"/>
  <c r="S814" i="2"/>
  <c r="R814" i="2"/>
  <c r="Q814" i="2"/>
  <c r="P814" i="2"/>
  <c r="O814" i="2"/>
  <c r="N814" i="2"/>
  <c r="M814" i="2"/>
  <c r="L814" i="2"/>
  <c r="K814" i="2"/>
  <c r="J814" i="2"/>
  <c r="I814" i="2"/>
  <c r="H814" i="2"/>
  <c r="G814" i="2"/>
  <c r="F814" i="2"/>
  <c r="E814" i="2"/>
  <c r="D814" i="2"/>
  <c r="C814" i="2"/>
  <c r="B814" i="2"/>
  <c r="A814" i="2"/>
  <c r="AO813" i="2"/>
  <c r="AN813" i="2"/>
  <c r="AM813" i="2"/>
  <c r="AK813" i="2"/>
  <c r="AJ813" i="2"/>
  <c r="AI813" i="2"/>
  <c r="AH813" i="2"/>
  <c r="AG813" i="2"/>
  <c r="AF813" i="2"/>
  <c r="AE813" i="2"/>
  <c r="AD813" i="2"/>
  <c r="AC813" i="2"/>
  <c r="AB813" i="2"/>
  <c r="AA813" i="2"/>
  <c r="Z813" i="2"/>
  <c r="Y813" i="2"/>
  <c r="X813" i="2"/>
  <c r="W813" i="2"/>
  <c r="V813" i="2"/>
  <c r="U813" i="2"/>
  <c r="S813" i="2"/>
  <c r="R813" i="2"/>
  <c r="Q813" i="2"/>
  <c r="P813" i="2"/>
  <c r="O813" i="2"/>
  <c r="N813" i="2"/>
  <c r="M813" i="2"/>
  <c r="L813" i="2"/>
  <c r="K813" i="2"/>
  <c r="J813" i="2"/>
  <c r="I813" i="2"/>
  <c r="H813" i="2"/>
  <c r="G813" i="2"/>
  <c r="F813" i="2"/>
  <c r="E813" i="2"/>
  <c r="D813" i="2"/>
  <c r="C813" i="2"/>
  <c r="A813" i="2"/>
  <c r="AO812" i="2"/>
  <c r="AN812" i="2"/>
  <c r="AM812" i="2"/>
  <c r="AK812" i="2"/>
  <c r="AJ812" i="2"/>
  <c r="AI812" i="2"/>
  <c r="AH812" i="2"/>
  <c r="AG812" i="2"/>
  <c r="AF812" i="2"/>
  <c r="AE812" i="2"/>
  <c r="AC812" i="2"/>
  <c r="AB812" i="2"/>
  <c r="AA812" i="2"/>
  <c r="Z812" i="2"/>
  <c r="Y812" i="2"/>
  <c r="X812" i="2"/>
  <c r="W812" i="2"/>
  <c r="V812" i="2"/>
  <c r="U812" i="2"/>
  <c r="S812" i="2"/>
  <c r="R812" i="2"/>
  <c r="Q812" i="2"/>
  <c r="P812" i="2"/>
  <c r="O812" i="2"/>
  <c r="N812" i="2"/>
  <c r="M812" i="2"/>
  <c r="L812" i="2"/>
  <c r="K812" i="2"/>
  <c r="J812" i="2"/>
  <c r="I812" i="2"/>
  <c r="H812" i="2"/>
  <c r="G812" i="2"/>
  <c r="F812" i="2"/>
  <c r="E812" i="2"/>
  <c r="D812" i="2"/>
  <c r="C812" i="2"/>
  <c r="A812" i="2"/>
  <c r="AO811" i="2"/>
  <c r="AN811" i="2"/>
  <c r="AM811" i="2"/>
  <c r="AK811" i="2"/>
  <c r="AJ811" i="2"/>
  <c r="AI811" i="2"/>
  <c r="AH811" i="2"/>
  <c r="AG811" i="2"/>
  <c r="AF811" i="2"/>
  <c r="AE811" i="2"/>
  <c r="AC811" i="2"/>
  <c r="AB811" i="2"/>
  <c r="AA811" i="2"/>
  <c r="Z811" i="2"/>
  <c r="Y811" i="2"/>
  <c r="X811" i="2"/>
  <c r="W811" i="2"/>
  <c r="V811" i="2"/>
  <c r="U811" i="2"/>
  <c r="S811" i="2"/>
  <c r="R811" i="2"/>
  <c r="Q811" i="2"/>
  <c r="P811" i="2"/>
  <c r="O811" i="2"/>
  <c r="N811" i="2"/>
  <c r="M811" i="2"/>
  <c r="L811" i="2"/>
  <c r="K811" i="2"/>
  <c r="J811" i="2"/>
  <c r="I811" i="2"/>
  <c r="H811" i="2"/>
  <c r="G811" i="2"/>
  <c r="F811" i="2"/>
  <c r="E811" i="2"/>
  <c r="D811" i="2"/>
  <c r="C811" i="2"/>
  <c r="A811" i="2"/>
  <c r="AO810" i="2"/>
  <c r="AN810" i="2"/>
  <c r="AM810" i="2"/>
  <c r="AK810" i="2"/>
  <c r="AJ810" i="2"/>
  <c r="AI810" i="2"/>
  <c r="AH810" i="2"/>
  <c r="AG810" i="2"/>
  <c r="AF810" i="2"/>
  <c r="AE810" i="2"/>
  <c r="AC810" i="2"/>
  <c r="AB810" i="2"/>
  <c r="AA810" i="2"/>
  <c r="Z810" i="2"/>
  <c r="Y810" i="2"/>
  <c r="X810" i="2"/>
  <c r="W810" i="2"/>
  <c r="V810" i="2"/>
  <c r="U810" i="2"/>
  <c r="S810" i="2"/>
  <c r="R810" i="2"/>
  <c r="Q810" i="2"/>
  <c r="P810" i="2"/>
  <c r="O810" i="2"/>
  <c r="N810" i="2"/>
  <c r="M810" i="2"/>
  <c r="L810" i="2"/>
  <c r="K810" i="2"/>
  <c r="J810" i="2"/>
  <c r="I810" i="2"/>
  <c r="H810" i="2"/>
  <c r="G810" i="2"/>
  <c r="F810" i="2"/>
  <c r="E810" i="2"/>
  <c r="D810" i="2"/>
  <c r="C810" i="2"/>
  <c r="A810" i="2"/>
  <c r="AO809" i="2"/>
  <c r="AN809" i="2"/>
  <c r="AM809" i="2"/>
  <c r="AL809" i="2"/>
  <c r="AK809" i="2"/>
  <c r="AJ809" i="2"/>
  <c r="AI809" i="2"/>
  <c r="AH809" i="2"/>
  <c r="AG809" i="2"/>
  <c r="AF809" i="2"/>
  <c r="AE809" i="2"/>
  <c r="AD809" i="2"/>
  <c r="AC809" i="2"/>
  <c r="AB809" i="2"/>
  <c r="AA809" i="2"/>
  <c r="Z809" i="2"/>
  <c r="Y809" i="2"/>
  <c r="X809" i="2"/>
  <c r="W809" i="2"/>
  <c r="V809" i="2"/>
  <c r="U809" i="2"/>
  <c r="S809" i="2"/>
  <c r="R809" i="2"/>
  <c r="Q809" i="2"/>
  <c r="P809" i="2"/>
  <c r="O809" i="2"/>
  <c r="N809" i="2"/>
  <c r="M809" i="2"/>
  <c r="L809" i="2"/>
  <c r="K809" i="2"/>
  <c r="J809" i="2"/>
  <c r="I809" i="2"/>
  <c r="H809" i="2"/>
  <c r="G809" i="2"/>
  <c r="F809" i="2"/>
  <c r="E809" i="2"/>
  <c r="D809" i="2"/>
  <c r="C809" i="2"/>
  <c r="A809" i="2"/>
  <c r="AL808" i="2"/>
  <c r="AK808" i="2"/>
  <c r="AJ808" i="2"/>
  <c r="AI808" i="2"/>
  <c r="AH808" i="2"/>
  <c r="AG808" i="2"/>
  <c r="AF808" i="2"/>
  <c r="AE808" i="2"/>
  <c r="AD808" i="2"/>
  <c r="AC808" i="2"/>
  <c r="AB808" i="2"/>
  <c r="AA808" i="2"/>
  <c r="Z808" i="2"/>
  <c r="Y808" i="2"/>
  <c r="X808" i="2"/>
  <c r="W808" i="2"/>
  <c r="V808" i="2"/>
  <c r="U808" i="2"/>
  <c r="S808" i="2"/>
  <c r="R808" i="2"/>
  <c r="Q808" i="2"/>
  <c r="P808" i="2"/>
  <c r="O808" i="2"/>
  <c r="N808" i="2"/>
  <c r="M808" i="2"/>
  <c r="L808" i="2"/>
  <c r="K808" i="2"/>
  <c r="J808" i="2"/>
  <c r="I808" i="2"/>
  <c r="H808" i="2"/>
  <c r="G808" i="2"/>
  <c r="F808" i="2"/>
  <c r="E808" i="2"/>
  <c r="D808" i="2"/>
  <c r="C808" i="2"/>
  <c r="B808" i="2"/>
  <c r="A808" i="2"/>
  <c r="AK807" i="2"/>
  <c r="AJ807" i="2"/>
  <c r="AI807" i="2"/>
  <c r="AH807" i="2"/>
  <c r="AG807" i="2"/>
  <c r="AF807" i="2"/>
  <c r="AE807" i="2"/>
  <c r="AD807" i="2"/>
  <c r="AC807" i="2"/>
  <c r="AB807" i="2"/>
  <c r="AA807" i="2"/>
  <c r="Z807" i="2"/>
  <c r="Y807" i="2"/>
  <c r="X807" i="2"/>
  <c r="W807" i="2"/>
  <c r="V807" i="2"/>
  <c r="U807" i="2"/>
  <c r="S807" i="2"/>
  <c r="R807" i="2"/>
  <c r="Q807" i="2"/>
  <c r="P807" i="2"/>
  <c r="O807" i="2"/>
  <c r="N807" i="2"/>
  <c r="M807" i="2"/>
  <c r="L807" i="2"/>
  <c r="K807" i="2"/>
  <c r="J807" i="2"/>
  <c r="I807" i="2"/>
  <c r="H807" i="2"/>
  <c r="G807" i="2"/>
  <c r="F807" i="2"/>
  <c r="E807" i="2"/>
  <c r="D807" i="2"/>
  <c r="C807" i="2"/>
  <c r="A807" i="2"/>
  <c r="AL806" i="2"/>
  <c r="AK806" i="2"/>
  <c r="AJ806" i="2"/>
  <c r="AI806" i="2"/>
  <c r="AH806" i="2"/>
  <c r="AG806" i="2"/>
  <c r="AF806" i="2"/>
  <c r="AE806" i="2"/>
  <c r="AD806" i="2"/>
  <c r="AC806" i="2"/>
  <c r="AB806" i="2"/>
  <c r="AA806" i="2"/>
  <c r="Z806" i="2"/>
  <c r="Y806" i="2"/>
  <c r="X806" i="2"/>
  <c r="W806" i="2"/>
  <c r="V806" i="2"/>
  <c r="U806" i="2"/>
  <c r="S806" i="2"/>
  <c r="R806" i="2"/>
  <c r="Q806" i="2"/>
  <c r="P806" i="2"/>
  <c r="O806" i="2"/>
  <c r="N806" i="2"/>
  <c r="M806" i="2"/>
  <c r="L806" i="2"/>
  <c r="K806" i="2"/>
  <c r="J806" i="2"/>
  <c r="I806" i="2"/>
  <c r="H806" i="2"/>
  <c r="G806" i="2"/>
  <c r="F806" i="2"/>
  <c r="E806" i="2"/>
  <c r="D806" i="2"/>
  <c r="C806" i="2"/>
  <c r="B806" i="2"/>
  <c r="A806" i="2"/>
  <c r="AL805" i="2"/>
  <c r="AK805" i="2"/>
  <c r="AJ805" i="2"/>
  <c r="AI805" i="2"/>
  <c r="AH805" i="2"/>
  <c r="AG805" i="2"/>
  <c r="AF805" i="2"/>
  <c r="AE805" i="2"/>
  <c r="AC805" i="2"/>
  <c r="AB805" i="2"/>
  <c r="AA805" i="2"/>
  <c r="Z805" i="2"/>
  <c r="Y805" i="2"/>
  <c r="X805" i="2"/>
  <c r="W805" i="2"/>
  <c r="V805" i="2"/>
  <c r="U805" i="2"/>
  <c r="S805" i="2"/>
  <c r="R805" i="2"/>
  <c r="Q805" i="2"/>
  <c r="P805" i="2"/>
  <c r="O805" i="2"/>
  <c r="N805" i="2"/>
  <c r="M805" i="2"/>
  <c r="L805" i="2"/>
  <c r="K805" i="2"/>
  <c r="J805" i="2"/>
  <c r="I805" i="2"/>
  <c r="H805" i="2"/>
  <c r="G805" i="2"/>
  <c r="F805" i="2"/>
  <c r="E805" i="2"/>
  <c r="D805" i="2"/>
  <c r="C805" i="2"/>
  <c r="B805" i="2"/>
  <c r="A805" i="2"/>
  <c r="AL804" i="2"/>
  <c r="AK804" i="2"/>
  <c r="AJ804" i="2"/>
  <c r="AI804" i="2"/>
  <c r="AH804" i="2"/>
  <c r="AG804" i="2"/>
  <c r="AF804" i="2"/>
  <c r="AE804" i="2"/>
  <c r="AD804" i="2"/>
  <c r="AC804" i="2"/>
  <c r="AB804" i="2"/>
  <c r="AA804" i="2"/>
  <c r="Z804" i="2"/>
  <c r="Y804" i="2"/>
  <c r="X804" i="2"/>
  <c r="W804" i="2"/>
  <c r="V804" i="2"/>
  <c r="U804" i="2"/>
  <c r="S804" i="2"/>
  <c r="R804" i="2"/>
  <c r="Q804" i="2"/>
  <c r="P804" i="2"/>
  <c r="O804" i="2"/>
  <c r="N804" i="2"/>
  <c r="M804" i="2"/>
  <c r="L804" i="2"/>
  <c r="K804" i="2"/>
  <c r="J804" i="2"/>
  <c r="I804" i="2"/>
  <c r="H804" i="2"/>
  <c r="G804" i="2"/>
  <c r="F804" i="2"/>
  <c r="E804" i="2"/>
  <c r="D804" i="2"/>
  <c r="C804" i="2"/>
  <c r="B804" i="2"/>
  <c r="A804" i="2"/>
  <c r="AL803" i="2"/>
  <c r="AK803" i="2"/>
  <c r="AJ803" i="2"/>
  <c r="AI803" i="2"/>
  <c r="AH803" i="2"/>
  <c r="AG803" i="2"/>
  <c r="AF803" i="2"/>
  <c r="AE803" i="2"/>
  <c r="AD803" i="2"/>
  <c r="AC803" i="2"/>
  <c r="AB803" i="2"/>
  <c r="AA803" i="2"/>
  <c r="Z803" i="2"/>
  <c r="Y803" i="2"/>
  <c r="X803" i="2"/>
  <c r="W803" i="2"/>
  <c r="V803" i="2"/>
  <c r="U803" i="2"/>
  <c r="S803" i="2"/>
  <c r="R803" i="2"/>
  <c r="Q803" i="2"/>
  <c r="P803" i="2"/>
  <c r="O803" i="2"/>
  <c r="N803" i="2"/>
  <c r="M803" i="2"/>
  <c r="L803" i="2"/>
  <c r="K803" i="2"/>
  <c r="J803" i="2"/>
  <c r="I803" i="2"/>
  <c r="H803" i="2"/>
  <c r="G803" i="2"/>
  <c r="F803" i="2"/>
  <c r="E803" i="2"/>
  <c r="D803" i="2"/>
  <c r="C803" i="2"/>
  <c r="A803" i="2"/>
  <c r="AL802" i="2"/>
  <c r="AK802" i="2"/>
  <c r="AJ802" i="2"/>
  <c r="AI802" i="2"/>
  <c r="AH802" i="2"/>
  <c r="AG802" i="2"/>
  <c r="AF802" i="2"/>
  <c r="AE802" i="2"/>
  <c r="AC802" i="2"/>
  <c r="AB802" i="2"/>
  <c r="AA802" i="2"/>
  <c r="Z802" i="2"/>
  <c r="Y802" i="2"/>
  <c r="X802" i="2"/>
  <c r="W802" i="2"/>
  <c r="V802" i="2"/>
  <c r="U802" i="2"/>
  <c r="S802" i="2"/>
  <c r="R802" i="2"/>
  <c r="Q802" i="2"/>
  <c r="P802" i="2"/>
  <c r="O802" i="2"/>
  <c r="N802" i="2"/>
  <c r="M802" i="2"/>
  <c r="L802" i="2"/>
  <c r="K802" i="2"/>
  <c r="J802" i="2"/>
  <c r="I802" i="2"/>
  <c r="H802" i="2"/>
  <c r="G802" i="2"/>
  <c r="F802" i="2"/>
  <c r="E802" i="2"/>
  <c r="D802" i="2"/>
  <c r="C802" i="2"/>
  <c r="B802" i="2"/>
  <c r="A802" i="2"/>
  <c r="AK801" i="2"/>
  <c r="AJ801" i="2"/>
  <c r="AI801" i="2"/>
  <c r="AH801" i="2"/>
  <c r="AG801" i="2"/>
  <c r="AF801" i="2"/>
  <c r="AE801" i="2"/>
  <c r="AC801" i="2"/>
  <c r="AB801" i="2"/>
  <c r="AA801" i="2"/>
  <c r="Z801" i="2"/>
  <c r="Y801" i="2"/>
  <c r="X801" i="2"/>
  <c r="W801" i="2"/>
  <c r="V801" i="2"/>
  <c r="U801" i="2"/>
  <c r="S801" i="2"/>
  <c r="R801" i="2"/>
  <c r="Q801" i="2"/>
  <c r="P801" i="2"/>
  <c r="O801" i="2"/>
  <c r="N801" i="2"/>
  <c r="M801" i="2"/>
  <c r="L801" i="2"/>
  <c r="K801" i="2"/>
  <c r="J801" i="2"/>
  <c r="I801" i="2"/>
  <c r="H801" i="2"/>
  <c r="G801" i="2"/>
  <c r="F801" i="2"/>
  <c r="E801" i="2"/>
  <c r="D801" i="2"/>
  <c r="C801" i="2"/>
  <c r="A801" i="2"/>
  <c r="AL800" i="2"/>
  <c r="AK800" i="2"/>
  <c r="AJ800" i="2"/>
  <c r="AI800" i="2"/>
  <c r="AH800" i="2"/>
  <c r="AG800" i="2"/>
  <c r="AF800" i="2"/>
  <c r="AE800" i="2"/>
  <c r="AD800" i="2"/>
  <c r="AC800" i="2"/>
  <c r="AB800" i="2"/>
  <c r="AA800" i="2"/>
  <c r="Z800" i="2"/>
  <c r="Y800" i="2"/>
  <c r="X800" i="2"/>
  <c r="W800" i="2"/>
  <c r="V800" i="2"/>
  <c r="U800" i="2"/>
  <c r="S800" i="2"/>
  <c r="R800" i="2"/>
  <c r="Q800" i="2"/>
  <c r="P800" i="2"/>
  <c r="O800" i="2"/>
  <c r="N800" i="2"/>
  <c r="M800" i="2"/>
  <c r="L800" i="2"/>
  <c r="K800" i="2"/>
  <c r="J800" i="2"/>
  <c r="I800" i="2"/>
  <c r="H800" i="2"/>
  <c r="G800" i="2"/>
  <c r="F800" i="2"/>
  <c r="E800" i="2"/>
  <c r="D800" i="2"/>
  <c r="C800" i="2"/>
  <c r="B800" i="2"/>
  <c r="A800" i="2"/>
  <c r="AK799" i="2"/>
  <c r="AJ799" i="2"/>
  <c r="AI799" i="2"/>
  <c r="AH799" i="2"/>
  <c r="AG799" i="2"/>
  <c r="AF799" i="2"/>
  <c r="AE799" i="2"/>
  <c r="AD799" i="2"/>
  <c r="AC799" i="2"/>
  <c r="AB799" i="2"/>
  <c r="AA799" i="2"/>
  <c r="Z799" i="2"/>
  <c r="Y799" i="2"/>
  <c r="X799" i="2"/>
  <c r="W799" i="2"/>
  <c r="V799" i="2"/>
  <c r="U799" i="2"/>
  <c r="S799" i="2"/>
  <c r="R799" i="2"/>
  <c r="Q799" i="2"/>
  <c r="P799" i="2"/>
  <c r="O799" i="2"/>
  <c r="N799" i="2"/>
  <c r="M799" i="2"/>
  <c r="L799" i="2"/>
  <c r="K799" i="2"/>
  <c r="J799" i="2"/>
  <c r="I799" i="2"/>
  <c r="H799" i="2"/>
  <c r="G799" i="2"/>
  <c r="F799" i="2"/>
  <c r="E799" i="2"/>
  <c r="D799" i="2"/>
  <c r="C799" i="2"/>
  <c r="B799" i="2"/>
  <c r="A799" i="2"/>
  <c r="AL798" i="2"/>
  <c r="AK798" i="2"/>
  <c r="AJ798" i="2"/>
  <c r="AI798" i="2"/>
  <c r="AH798" i="2"/>
  <c r="AG798" i="2"/>
  <c r="AF798" i="2"/>
  <c r="AE798" i="2"/>
  <c r="AD798" i="2"/>
  <c r="AC798" i="2"/>
  <c r="AB798" i="2"/>
  <c r="AA798" i="2"/>
  <c r="Z798" i="2"/>
  <c r="Y798" i="2"/>
  <c r="X798" i="2"/>
  <c r="W798" i="2"/>
  <c r="V798" i="2"/>
  <c r="U798" i="2"/>
  <c r="S798" i="2"/>
  <c r="R798" i="2"/>
  <c r="Q798" i="2"/>
  <c r="P798" i="2"/>
  <c r="O798" i="2"/>
  <c r="N798" i="2"/>
  <c r="M798" i="2"/>
  <c r="L798" i="2"/>
  <c r="K798" i="2"/>
  <c r="J798" i="2"/>
  <c r="I798" i="2"/>
  <c r="H798" i="2"/>
  <c r="G798" i="2"/>
  <c r="F798" i="2"/>
  <c r="E798" i="2"/>
  <c r="D798" i="2"/>
  <c r="C798" i="2"/>
  <c r="B798" i="2"/>
  <c r="A798" i="2"/>
  <c r="AL797" i="2"/>
  <c r="AK797" i="2"/>
  <c r="AJ797" i="2"/>
  <c r="AI797" i="2"/>
  <c r="AH797" i="2"/>
  <c r="AG797" i="2"/>
  <c r="AF797" i="2"/>
  <c r="AE797" i="2"/>
  <c r="AD797" i="2"/>
  <c r="AC797" i="2"/>
  <c r="AB797" i="2"/>
  <c r="AA797" i="2"/>
  <c r="Z797" i="2"/>
  <c r="Y797" i="2"/>
  <c r="X797" i="2"/>
  <c r="W797" i="2"/>
  <c r="V797" i="2"/>
  <c r="U797" i="2"/>
  <c r="S797" i="2"/>
  <c r="R797" i="2"/>
  <c r="Q797" i="2"/>
  <c r="P797" i="2"/>
  <c r="O797" i="2"/>
  <c r="N797" i="2"/>
  <c r="M797" i="2"/>
  <c r="L797" i="2"/>
  <c r="K797" i="2"/>
  <c r="J797" i="2"/>
  <c r="I797" i="2"/>
  <c r="H797" i="2"/>
  <c r="G797" i="2"/>
  <c r="F797" i="2"/>
  <c r="E797" i="2"/>
  <c r="D797" i="2"/>
  <c r="C797" i="2"/>
  <c r="B797" i="2"/>
  <c r="A797" i="2"/>
  <c r="AL796" i="2"/>
  <c r="AK796" i="2"/>
  <c r="AJ796" i="2"/>
  <c r="AI796" i="2"/>
  <c r="AH796" i="2"/>
  <c r="AG796" i="2"/>
  <c r="AF796" i="2"/>
  <c r="AE796" i="2"/>
  <c r="AD796" i="2"/>
  <c r="AC796" i="2"/>
  <c r="AB796" i="2"/>
  <c r="AA796" i="2"/>
  <c r="Z796" i="2"/>
  <c r="Y796" i="2"/>
  <c r="X796" i="2"/>
  <c r="W796" i="2"/>
  <c r="V796" i="2"/>
  <c r="U796" i="2"/>
  <c r="S796" i="2"/>
  <c r="R796" i="2"/>
  <c r="Q796" i="2"/>
  <c r="P796" i="2"/>
  <c r="O796" i="2"/>
  <c r="N796" i="2"/>
  <c r="M796" i="2"/>
  <c r="L796" i="2"/>
  <c r="K796" i="2"/>
  <c r="J796" i="2"/>
  <c r="I796" i="2"/>
  <c r="H796" i="2"/>
  <c r="G796" i="2"/>
  <c r="F796" i="2"/>
  <c r="E796" i="2"/>
  <c r="D796" i="2"/>
  <c r="C796" i="2"/>
  <c r="B796" i="2"/>
  <c r="A796" i="2"/>
  <c r="AL795" i="2"/>
  <c r="AK795" i="2"/>
  <c r="AJ795" i="2"/>
  <c r="AI795" i="2"/>
  <c r="AG795" i="2"/>
  <c r="AF795" i="2"/>
  <c r="AE795" i="2"/>
  <c r="AC795" i="2"/>
  <c r="AB795" i="2"/>
  <c r="AA795" i="2"/>
  <c r="X795" i="2"/>
  <c r="W795" i="2"/>
  <c r="V795" i="2"/>
  <c r="U795" i="2"/>
  <c r="R795" i="2"/>
  <c r="Q795" i="2"/>
  <c r="P795" i="2"/>
  <c r="O795" i="2"/>
  <c r="N795" i="2"/>
  <c r="M795" i="2"/>
  <c r="L795" i="2"/>
  <c r="K795" i="2"/>
  <c r="J795" i="2"/>
  <c r="I795" i="2"/>
  <c r="H795" i="2"/>
  <c r="G795" i="2"/>
  <c r="F795" i="2"/>
  <c r="E795" i="2"/>
  <c r="D795" i="2"/>
  <c r="C795" i="2"/>
  <c r="A795" i="2"/>
  <c r="AK794" i="2"/>
  <c r="AJ794" i="2"/>
  <c r="AI794" i="2"/>
  <c r="AH794" i="2"/>
  <c r="AG794" i="2"/>
  <c r="AF794" i="2"/>
  <c r="AE794" i="2"/>
  <c r="AD794" i="2"/>
  <c r="AC794" i="2"/>
  <c r="AB794" i="2"/>
  <c r="AA794" i="2"/>
  <c r="Z794" i="2"/>
  <c r="Y794" i="2"/>
  <c r="X794" i="2"/>
  <c r="W794" i="2"/>
  <c r="V794" i="2"/>
  <c r="U794" i="2"/>
  <c r="S794" i="2"/>
  <c r="R794" i="2"/>
  <c r="Q794" i="2"/>
  <c r="P794" i="2"/>
  <c r="O794" i="2"/>
  <c r="N794" i="2"/>
  <c r="M794" i="2"/>
  <c r="L794" i="2"/>
  <c r="K794" i="2"/>
  <c r="J794" i="2"/>
  <c r="I794" i="2"/>
  <c r="H794" i="2"/>
  <c r="G794" i="2"/>
  <c r="F794" i="2"/>
  <c r="E794" i="2"/>
  <c r="D794" i="2"/>
  <c r="C794" i="2"/>
  <c r="B794" i="2"/>
  <c r="A794" i="2"/>
  <c r="AL793" i="2"/>
  <c r="AK793" i="2"/>
  <c r="AJ793" i="2"/>
  <c r="AI793" i="2"/>
  <c r="AH793" i="2"/>
  <c r="AG793" i="2"/>
  <c r="AF793" i="2"/>
  <c r="AE793" i="2"/>
  <c r="AD793" i="2"/>
  <c r="AC793" i="2"/>
  <c r="AB793" i="2"/>
  <c r="AA793" i="2"/>
  <c r="Z793" i="2"/>
  <c r="Y793" i="2"/>
  <c r="X793" i="2"/>
  <c r="W793" i="2"/>
  <c r="V793" i="2"/>
  <c r="U793" i="2"/>
  <c r="S793" i="2"/>
  <c r="R793" i="2"/>
  <c r="Q793" i="2"/>
  <c r="P793" i="2"/>
  <c r="O793" i="2"/>
  <c r="N793" i="2"/>
  <c r="M793" i="2"/>
  <c r="L793" i="2"/>
  <c r="K793" i="2"/>
  <c r="J793" i="2"/>
  <c r="I793" i="2"/>
  <c r="H793" i="2"/>
  <c r="G793" i="2"/>
  <c r="F793" i="2"/>
  <c r="E793" i="2"/>
  <c r="D793" i="2"/>
  <c r="C793" i="2"/>
  <c r="A793" i="2"/>
  <c r="AL792" i="2"/>
  <c r="AK792" i="2"/>
  <c r="AJ792" i="2"/>
  <c r="AI792" i="2"/>
  <c r="AH792" i="2"/>
  <c r="AG792" i="2"/>
  <c r="AF792" i="2"/>
  <c r="AE792" i="2"/>
  <c r="AC792" i="2"/>
  <c r="AB792" i="2"/>
  <c r="AA792" i="2"/>
  <c r="Z792" i="2"/>
  <c r="Y792" i="2"/>
  <c r="X792" i="2"/>
  <c r="W792" i="2"/>
  <c r="V792" i="2"/>
  <c r="U792" i="2"/>
  <c r="S792" i="2"/>
  <c r="R792" i="2"/>
  <c r="Q792" i="2"/>
  <c r="P792" i="2"/>
  <c r="O792" i="2"/>
  <c r="N792" i="2"/>
  <c r="M792" i="2"/>
  <c r="L792" i="2"/>
  <c r="K792" i="2"/>
  <c r="J792" i="2"/>
  <c r="I792" i="2"/>
  <c r="H792" i="2"/>
  <c r="G792" i="2"/>
  <c r="F792" i="2"/>
  <c r="E792" i="2"/>
  <c r="D792" i="2"/>
  <c r="C792" i="2"/>
  <c r="A792" i="2"/>
  <c r="AK791" i="2"/>
  <c r="AJ791" i="2"/>
  <c r="AI791" i="2"/>
  <c r="AH791" i="2"/>
  <c r="AG791" i="2"/>
  <c r="AF791" i="2"/>
  <c r="AE791" i="2"/>
  <c r="AD791" i="2"/>
  <c r="AC791" i="2"/>
  <c r="AB791" i="2"/>
  <c r="AA791" i="2"/>
  <c r="Z791" i="2"/>
  <c r="Y791" i="2"/>
  <c r="X791" i="2"/>
  <c r="W791" i="2"/>
  <c r="V791" i="2"/>
  <c r="U791" i="2"/>
  <c r="S791" i="2"/>
  <c r="R791" i="2"/>
  <c r="Q791" i="2"/>
  <c r="P791" i="2"/>
  <c r="O791" i="2"/>
  <c r="N791" i="2"/>
  <c r="M791" i="2"/>
  <c r="L791" i="2"/>
  <c r="K791" i="2"/>
  <c r="J791" i="2"/>
  <c r="I791" i="2"/>
  <c r="H791" i="2"/>
  <c r="G791" i="2"/>
  <c r="F791" i="2"/>
  <c r="E791" i="2"/>
  <c r="D791" i="2"/>
  <c r="C791" i="2"/>
  <c r="A791" i="2"/>
  <c r="AK790" i="2"/>
  <c r="AJ790" i="2"/>
  <c r="AI790" i="2"/>
  <c r="AH790" i="2"/>
  <c r="AG790" i="2"/>
  <c r="AF790" i="2"/>
  <c r="AE790" i="2"/>
  <c r="AC790" i="2"/>
  <c r="AB790" i="2"/>
  <c r="AA790" i="2"/>
  <c r="Z790" i="2"/>
  <c r="Y790" i="2"/>
  <c r="X790" i="2"/>
  <c r="W790" i="2"/>
  <c r="V790" i="2"/>
  <c r="U790" i="2"/>
  <c r="S790" i="2"/>
  <c r="R790" i="2"/>
  <c r="Q790" i="2"/>
  <c r="P790" i="2"/>
  <c r="O790" i="2"/>
  <c r="N790" i="2"/>
  <c r="M790" i="2"/>
  <c r="L790" i="2"/>
  <c r="K790" i="2"/>
  <c r="J790" i="2"/>
  <c r="I790" i="2"/>
  <c r="H790" i="2"/>
  <c r="G790" i="2"/>
  <c r="F790" i="2"/>
  <c r="E790" i="2"/>
  <c r="D790" i="2"/>
  <c r="C790" i="2"/>
  <c r="B790" i="2"/>
  <c r="A790" i="2"/>
  <c r="AL789" i="2"/>
  <c r="AK789" i="2"/>
  <c r="AJ789" i="2"/>
  <c r="AI789" i="2"/>
  <c r="AH789" i="2"/>
  <c r="AG789" i="2"/>
  <c r="AF789" i="2"/>
  <c r="AE789" i="2"/>
  <c r="AD789" i="2"/>
  <c r="AC789" i="2"/>
  <c r="AB789" i="2"/>
  <c r="AA789" i="2"/>
  <c r="Z789" i="2"/>
  <c r="Y789" i="2"/>
  <c r="X789" i="2"/>
  <c r="W789" i="2"/>
  <c r="V789" i="2"/>
  <c r="U789" i="2"/>
  <c r="S789" i="2"/>
  <c r="R789" i="2"/>
  <c r="Q789" i="2"/>
  <c r="P789" i="2"/>
  <c r="O789" i="2"/>
  <c r="N789" i="2"/>
  <c r="M789" i="2"/>
  <c r="L789" i="2"/>
  <c r="K789" i="2"/>
  <c r="J789" i="2"/>
  <c r="I789" i="2"/>
  <c r="H789" i="2"/>
  <c r="G789" i="2"/>
  <c r="F789" i="2"/>
  <c r="E789" i="2"/>
  <c r="D789" i="2"/>
  <c r="C789" i="2"/>
  <c r="A789" i="2"/>
  <c r="AL788" i="2"/>
  <c r="AK788" i="2"/>
  <c r="AJ788" i="2"/>
  <c r="AI788" i="2"/>
  <c r="AH788" i="2"/>
  <c r="AG788" i="2"/>
  <c r="AF788" i="2"/>
  <c r="AE788" i="2"/>
  <c r="AD788" i="2"/>
  <c r="AC788" i="2"/>
  <c r="AB788" i="2"/>
  <c r="AA788" i="2"/>
  <c r="Z788" i="2"/>
  <c r="Y788" i="2"/>
  <c r="X788" i="2"/>
  <c r="W788" i="2"/>
  <c r="V788" i="2"/>
  <c r="U788" i="2"/>
  <c r="S788" i="2"/>
  <c r="R788" i="2"/>
  <c r="Q788" i="2"/>
  <c r="P788" i="2"/>
  <c r="O788" i="2"/>
  <c r="N788" i="2"/>
  <c r="M788" i="2"/>
  <c r="L788" i="2"/>
  <c r="K788" i="2"/>
  <c r="J788" i="2"/>
  <c r="I788" i="2"/>
  <c r="H788" i="2"/>
  <c r="G788" i="2"/>
  <c r="F788" i="2"/>
  <c r="E788" i="2"/>
  <c r="D788" i="2"/>
  <c r="C788" i="2"/>
  <c r="B788" i="2"/>
  <c r="A788" i="2"/>
  <c r="AK787" i="2"/>
  <c r="AJ787" i="2"/>
  <c r="AI787" i="2"/>
  <c r="AH787" i="2"/>
  <c r="AG787" i="2"/>
  <c r="AF787" i="2"/>
  <c r="AE787" i="2"/>
  <c r="AD787" i="2"/>
  <c r="AC787" i="2"/>
  <c r="AB787" i="2"/>
  <c r="AA787" i="2"/>
  <c r="Z787" i="2"/>
  <c r="Y787" i="2"/>
  <c r="X787" i="2"/>
  <c r="W787" i="2"/>
  <c r="V787" i="2"/>
  <c r="U787" i="2"/>
  <c r="S787" i="2"/>
  <c r="R787" i="2"/>
  <c r="Q787" i="2"/>
  <c r="P787" i="2"/>
  <c r="O787" i="2"/>
  <c r="N787" i="2"/>
  <c r="M787" i="2"/>
  <c r="L787" i="2"/>
  <c r="K787" i="2"/>
  <c r="J787" i="2"/>
  <c r="I787" i="2"/>
  <c r="H787" i="2"/>
  <c r="G787" i="2"/>
  <c r="F787" i="2"/>
  <c r="E787" i="2"/>
  <c r="D787" i="2"/>
  <c r="C787" i="2"/>
  <c r="B787" i="2"/>
  <c r="A787" i="2"/>
  <c r="AL786" i="2"/>
  <c r="AK786" i="2"/>
  <c r="AJ786" i="2"/>
  <c r="AI786" i="2"/>
  <c r="AH786" i="2"/>
  <c r="AG786" i="2"/>
  <c r="AF786" i="2"/>
  <c r="AE786" i="2"/>
  <c r="AD786" i="2"/>
  <c r="AC786" i="2"/>
  <c r="AB786" i="2"/>
  <c r="AA786" i="2"/>
  <c r="Z786" i="2"/>
  <c r="Y786" i="2"/>
  <c r="X786" i="2"/>
  <c r="W786" i="2"/>
  <c r="V786" i="2"/>
  <c r="U786" i="2"/>
  <c r="S786" i="2"/>
  <c r="R786" i="2"/>
  <c r="Q786" i="2"/>
  <c r="P786" i="2"/>
  <c r="O786" i="2"/>
  <c r="N786" i="2"/>
  <c r="M786" i="2"/>
  <c r="L786" i="2"/>
  <c r="K786" i="2"/>
  <c r="J786" i="2"/>
  <c r="I786" i="2"/>
  <c r="H786" i="2"/>
  <c r="G786" i="2"/>
  <c r="F786" i="2"/>
  <c r="E786" i="2"/>
  <c r="D786" i="2"/>
  <c r="C786" i="2"/>
  <c r="A786" i="2"/>
  <c r="AL785" i="2"/>
  <c r="AK785" i="2"/>
  <c r="AJ785" i="2"/>
  <c r="AI785" i="2"/>
  <c r="AH785" i="2"/>
  <c r="AG785" i="2"/>
  <c r="AF785" i="2"/>
  <c r="AE785" i="2"/>
  <c r="AC785" i="2"/>
  <c r="AB785" i="2"/>
  <c r="AA785" i="2"/>
  <c r="Y785" i="2"/>
  <c r="X785" i="2"/>
  <c r="W785" i="2"/>
  <c r="V785" i="2"/>
  <c r="U785" i="2"/>
  <c r="S785" i="2"/>
  <c r="R785" i="2"/>
  <c r="Q785" i="2"/>
  <c r="P785" i="2"/>
  <c r="O785" i="2"/>
  <c r="N785" i="2"/>
  <c r="M785" i="2"/>
  <c r="L785" i="2"/>
  <c r="K785" i="2"/>
  <c r="J785" i="2"/>
  <c r="I785" i="2"/>
  <c r="H785" i="2"/>
  <c r="G785" i="2"/>
  <c r="F785" i="2"/>
  <c r="E785" i="2"/>
  <c r="D785" i="2"/>
  <c r="C785" i="2"/>
  <c r="A785" i="2"/>
  <c r="AL784" i="2"/>
  <c r="AK784" i="2"/>
  <c r="AJ784" i="2"/>
  <c r="AI784" i="2"/>
  <c r="AH784" i="2"/>
  <c r="AG784" i="2"/>
  <c r="AF784" i="2"/>
  <c r="AE784" i="2"/>
  <c r="AD784" i="2"/>
  <c r="AC784" i="2"/>
  <c r="AB784" i="2"/>
  <c r="AA784" i="2"/>
  <c r="Z784" i="2"/>
  <c r="Y784" i="2"/>
  <c r="X784" i="2"/>
  <c r="W784" i="2"/>
  <c r="V784" i="2"/>
  <c r="U784" i="2"/>
  <c r="S784" i="2"/>
  <c r="R784" i="2"/>
  <c r="Q784" i="2"/>
  <c r="P784" i="2"/>
  <c r="O784" i="2"/>
  <c r="N784" i="2"/>
  <c r="M784" i="2"/>
  <c r="L784" i="2"/>
  <c r="K784" i="2"/>
  <c r="J784" i="2"/>
  <c r="I784" i="2"/>
  <c r="H784" i="2"/>
  <c r="G784" i="2"/>
  <c r="F784" i="2"/>
  <c r="E784" i="2"/>
  <c r="D784" i="2"/>
  <c r="C784" i="2"/>
  <c r="A784" i="2"/>
  <c r="AK783" i="2"/>
  <c r="AJ783" i="2"/>
  <c r="AI783" i="2"/>
  <c r="AH783" i="2"/>
  <c r="AG783" i="2"/>
  <c r="AF783" i="2"/>
  <c r="AE783" i="2"/>
  <c r="AC783" i="2"/>
  <c r="AB783" i="2"/>
  <c r="AA783" i="2"/>
  <c r="Z783" i="2"/>
  <c r="Y783" i="2"/>
  <c r="X783" i="2"/>
  <c r="W783" i="2"/>
  <c r="V783" i="2"/>
  <c r="U783" i="2"/>
  <c r="S783" i="2"/>
  <c r="R783" i="2"/>
  <c r="Q783" i="2"/>
  <c r="P783" i="2"/>
  <c r="O783" i="2"/>
  <c r="N783" i="2"/>
  <c r="M783" i="2"/>
  <c r="L783" i="2"/>
  <c r="K783" i="2"/>
  <c r="J783" i="2"/>
  <c r="I783" i="2"/>
  <c r="H783" i="2"/>
  <c r="G783" i="2"/>
  <c r="F783" i="2"/>
  <c r="E783" i="2"/>
  <c r="D783" i="2"/>
  <c r="C783" i="2"/>
  <c r="A783" i="2"/>
  <c r="AL782" i="2"/>
  <c r="AK782" i="2"/>
  <c r="AJ782" i="2"/>
  <c r="AI782" i="2"/>
  <c r="AH782" i="2"/>
  <c r="AG782" i="2"/>
  <c r="AF782" i="2"/>
  <c r="AE782" i="2"/>
  <c r="AC782" i="2"/>
  <c r="AB782" i="2"/>
  <c r="AA782" i="2"/>
  <c r="Z782" i="2"/>
  <c r="Y782" i="2"/>
  <c r="X782" i="2"/>
  <c r="W782" i="2"/>
  <c r="V782" i="2"/>
  <c r="U782" i="2"/>
  <c r="S782" i="2"/>
  <c r="R782" i="2"/>
  <c r="Q782" i="2"/>
  <c r="P782" i="2"/>
  <c r="O782" i="2"/>
  <c r="N782" i="2"/>
  <c r="M782" i="2"/>
  <c r="L782" i="2"/>
  <c r="K782" i="2"/>
  <c r="J782" i="2"/>
  <c r="I782" i="2"/>
  <c r="H782" i="2"/>
  <c r="G782" i="2"/>
  <c r="F782" i="2"/>
  <c r="E782" i="2"/>
  <c r="D782" i="2"/>
  <c r="C782" i="2"/>
  <c r="A782" i="2"/>
  <c r="AK781" i="2"/>
  <c r="AJ781" i="2"/>
  <c r="AI781" i="2"/>
  <c r="AG781" i="2"/>
  <c r="AF781" i="2"/>
  <c r="AE781" i="2"/>
  <c r="AD781" i="2"/>
  <c r="AC781" i="2"/>
  <c r="AB781" i="2"/>
  <c r="AA781" i="2"/>
  <c r="X781" i="2"/>
  <c r="W781" i="2"/>
  <c r="V781" i="2"/>
  <c r="U781" i="2"/>
  <c r="R781" i="2"/>
  <c r="Q781" i="2"/>
  <c r="P781" i="2"/>
  <c r="O781" i="2"/>
  <c r="N781" i="2"/>
  <c r="M781" i="2"/>
  <c r="L781" i="2"/>
  <c r="K781" i="2"/>
  <c r="J781" i="2"/>
  <c r="I781" i="2"/>
  <c r="H781" i="2"/>
  <c r="G781" i="2"/>
  <c r="F781" i="2"/>
  <c r="E781" i="2"/>
  <c r="D781" i="2"/>
  <c r="C781" i="2"/>
  <c r="A781" i="2"/>
  <c r="AL780" i="2"/>
  <c r="AK780" i="2"/>
  <c r="AJ780" i="2"/>
  <c r="AI780" i="2"/>
  <c r="AH780" i="2"/>
  <c r="AG780" i="2"/>
  <c r="AF780" i="2"/>
  <c r="AE780" i="2"/>
  <c r="AD780" i="2"/>
  <c r="AC780" i="2"/>
  <c r="AB780" i="2"/>
  <c r="AA780" i="2"/>
  <c r="Z780" i="2"/>
  <c r="Y780" i="2"/>
  <c r="X780" i="2"/>
  <c r="W780" i="2"/>
  <c r="V780" i="2"/>
  <c r="U780" i="2"/>
  <c r="S780" i="2"/>
  <c r="R780" i="2"/>
  <c r="Q780" i="2"/>
  <c r="P780" i="2"/>
  <c r="O780" i="2"/>
  <c r="N780" i="2"/>
  <c r="M780" i="2"/>
  <c r="L780" i="2"/>
  <c r="K780" i="2"/>
  <c r="J780" i="2"/>
  <c r="I780" i="2"/>
  <c r="H780" i="2"/>
  <c r="G780" i="2"/>
  <c r="F780" i="2"/>
  <c r="E780" i="2"/>
  <c r="D780" i="2"/>
  <c r="C780" i="2"/>
  <c r="B780" i="2"/>
  <c r="A780" i="2"/>
  <c r="AL779" i="2"/>
  <c r="AK779" i="2"/>
  <c r="AJ779" i="2"/>
  <c r="AI779" i="2"/>
  <c r="AH779" i="2"/>
  <c r="AG779" i="2"/>
  <c r="AF779" i="2"/>
  <c r="AE779" i="2"/>
  <c r="AD779" i="2"/>
  <c r="AC779" i="2"/>
  <c r="AB779" i="2"/>
  <c r="AA779" i="2"/>
  <c r="Z779" i="2"/>
  <c r="Y779" i="2"/>
  <c r="X779" i="2"/>
  <c r="W779" i="2"/>
  <c r="V779" i="2"/>
  <c r="U779" i="2"/>
  <c r="S779" i="2"/>
  <c r="R779" i="2"/>
  <c r="Q779" i="2"/>
  <c r="P779" i="2"/>
  <c r="O779" i="2"/>
  <c r="N779" i="2"/>
  <c r="M779" i="2"/>
  <c r="L779" i="2"/>
  <c r="K779" i="2"/>
  <c r="J779" i="2"/>
  <c r="I779" i="2"/>
  <c r="H779" i="2"/>
  <c r="G779" i="2"/>
  <c r="F779" i="2"/>
  <c r="E779" i="2"/>
  <c r="D779" i="2"/>
  <c r="C779" i="2"/>
  <c r="B779" i="2"/>
  <c r="A779" i="2"/>
  <c r="AK778" i="2"/>
  <c r="AJ778" i="2"/>
  <c r="AI778" i="2"/>
  <c r="AH778" i="2"/>
  <c r="AG778" i="2"/>
  <c r="AF778" i="2"/>
  <c r="AE778" i="2"/>
  <c r="AD778" i="2"/>
  <c r="AC778" i="2"/>
  <c r="AB778" i="2"/>
  <c r="AA778" i="2"/>
  <c r="Z778" i="2"/>
  <c r="Y778" i="2"/>
  <c r="X778" i="2"/>
  <c r="W778" i="2"/>
  <c r="V778" i="2"/>
  <c r="U778" i="2"/>
  <c r="S778" i="2"/>
  <c r="R778" i="2"/>
  <c r="Q778" i="2"/>
  <c r="P778" i="2"/>
  <c r="O778" i="2"/>
  <c r="N778" i="2"/>
  <c r="M778" i="2"/>
  <c r="L778" i="2"/>
  <c r="K778" i="2"/>
  <c r="J778" i="2"/>
  <c r="I778" i="2"/>
  <c r="H778" i="2"/>
  <c r="G778" i="2"/>
  <c r="F778" i="2"/>
  <c r="E778" i="2"/>
  <c r="D778" i="2"/>
  <c r="C778" i="2"/>
  <c r="A778" i="2"/>
  <c r="AK777" i="2"/>
  <c r="AJ777" i="2"/>
  <c r="AI777" i="2"/>
  <c r="AH777" i="2"/>
  <c r="AG777" i="2"/>
  <c r="AF777" i="2"/>
  <c r="AE777" i="2"/>
  <c r="AC777" i="2"/>
  <c r="AB777" i="2"/>
  <c r="AA777" i="2"/>
  <c r="Z777" i="2"/>
  <c r="Y777" i="2"/>
  <c r="X777" i="2"/>
  <c r="W777" i="2"/>
  <c r="V777" i="2"/>
  <c r="U777" i="2"/>
  <c r="S777" i="2"/>
  <c r="R777" i="2"/>
  <c r="Q777" i="2"/>
  <c r="P777" i="2"/>
  <c r="O777" i="2"/>
  <c r="N777" i="2"/>
  <c r="M777" i="2"/>
  <c r="L777" i="2"/>
  <c r="K777" i="2"/>
  <c r="J777" i="2"/>
  <c r="I777" i="2"/>
  <c r="H777" i="2"/>
  <c r="G777" i="2"/>
  <c r="F777" i="2"/>
  <c r="E777" i="2"/>
  <c r="D777" i="2"/>
  <c r="C777" i="2"/>
  <c r="A777" i="2"/>
  <c r="AL776" i="2"/>
  <c r="AK776" i="2"/>
  <c r="AJ776" i="2"/>
  <c r="AI776" i="2"/>
  <c r="AH776" i="2"/>
  <c r="AG776" i="2"/>
  <c r="AF776" i="2"/>
  <c r="AE776" i="2"/>
  <c r="AD776" i="2"/>
  <c r="AC776" i="2"/>
  <c r="AB776" i="2"/>
  <c r="AA776" i="2"/>
  <c r="Z776" i="2"/>
  <c r="Y776" i="2"/>
  <c r="X776" i="2"/>
  <c r="W776" i="2"/>
  <c r="V776" i="2"/>
  <c r="U776" i="2"/>
  <c r="S776" i="2"/>
  <c r="R776" i="2"/>
  <c r="Q776" i="2"/>
  <c r="P776" i="2"/>
  <c r="O776" i="2"/>
  <c r="N776" i="2"/>
  <c r="M776" i="2"/>
  <c r="L776" i="2"/>
  <c r="K776" i="2"/>
  <c r="J776" i="2"/>
  <c r="I776" i="2"/>
  <c r="H776" i="2"/>
  <c r="G776" i="2"/>
  <c r="F776" i="2"/>
  <c r="E776" i="2"/>
  <c r="D776" i="2"/>
  <c r="C776" i="2"/>
  <c r="B776" i="2"/>
  <c r="A776" i="2"/>
  <c r="AK775" i="2"/>
  <c r="AJ775" i="2"/>
  <c r="AI775" i="2"/>
  <c r="AH775" i="2"/>
  <c r="AG775" i="2"/>
  <c r="AF775" i="2"/>
  <c r="AE775" i="2"/>
  <c r="AC775" i="2"/>
  <c r="AB775" i="2"/>
  <c r="AA775" i="2"/>
  <c r="Z775" i="2"/>
  <c r="Y775" i="2"/>
  <c r="X775" i="2"/>
  <c r="W775" i="2"/>
  <c r="V775" i="2"/>
  <c r="U775" i="2"/>
  <c r="S775" i="2"/>
  <c r="R775" i="2"/>
  <c r="Q775" i="2"/>
  <c r="P775" i="2"/>
  <c r="O775" i="2"/>
  <c r="N775" i="2"/>
  <c r="M775" i="2"/>
  <c r="L775" i="2"/>
  <c r="K775" i="2"/>
  <c r="J775" i="2"/>
  <c r="I775" i="2"/>
  <c r="H775" i="2"/>
  <c r="G775" i="2"/>
  <c r="F775" i="2"/>
  <c r="E775" i="2"/>
  <c r="D775" i="2"/>
  <c r="C775" i="2"/>
  <c r="A775" i="2"/>
  <c r="AL774" i="2"/>
  <c r="AK774" i="2"/>
  <c r="AJ774" i="2"/>
  <c r="AI774" i="2"/>
  <c r="AH774" i="2"/>
  <c r="AG774" i="2"/>
  <c r="AF774" i="2"/>
  <c r="AE774" i="2"/>
  <c r="AD774" i="2"/>
  <c r="AC774" i="2"/>
  <c r="AB774" i="2"/>
  <c r="AA774" i="2"/>
  <c r="Z774" i="2"/>
  <c r="Y774" i="2"/>
  <c r="X774" i="2"/>
  <c r="W774" i="2"/>
  <c r="V774" i="2"/>
  <c r="U774" i="2"/>
  <c r="S774" i="2"/>
  <c r="R774" i="2"/>
  <c r="Q774" i="2"/>
  <c r="P774" i="2"/>
  <c r="O774" i="2"/>
  <c r="N774" i="2"/>
  <c r="M774" i="2"/>
  <c r="L774" i="2"/>
  <c r="K774" i="2"/>
  <c r="J774" i="2"/>
  <c r="I774" i="2"/>
  <c r="H774" i="2"/>
  <c r="G774" i="2"/>
  <c r="F774" i="2"/>
  <c r="E774" i="2"/>
  <c r="D774" i="2"/>
  <c r="C774" i="2"/>
  <c r="A774" i="2"/>
  <c r="AL773" i="2"/>
  <c r="AK773" i="2"/>
  <c r="AJ773" i="2"/>
  <c r="AI773" i="2"/>
  <c r="AH773" i="2"/>
  <c r="AG773" i="2"/>
  <c r="AF773" i="2"/>
  <c r="AE773" i="2"/>
  <c r="AD773" i="2"/>
  <c r="AC773" i="2"/>
  <c r="AB773" i="2"/>
  <c r="AA773" i="2"/>
  <c r="Z773" i="2"/>
  <c r="Y773" i="2"/>
  <c r="X773" i="2"/>
  <c r="W773" i="2"/>
  <c r="V773" i="2"/>
  <c r="U773" i="2"/>
  <c r="S773" i="2"/>
  <c r="R773" i="2"/>
  <c r="Q773" i="2"/>
  <c r="P773" i="2"/>
  <c r="O773" i="2"/>
  <c r="N773" i="2"/>
  <c r="M773" i="2"/>
  <c r="L773" i="2"/>
  <c r="K773" i="2"/>
  <c r="J773" i="2"/>
  <c r="I773" i="2"/>
  <c r="H773" i="2"/>
  <c r="G773" i="2"/>
  <c r="F773" i="2"/>
  <c r="E773" i="2"/>
  <c r="D773" i="2"/>
  <c r="C773" i="2"/>
  <c r="B773" i="2"/>
  <c r="A773" i="2"/>
  <c r="AL772" i="2"/>
  <c r="AK772" i="2"/>
  <c r="AJ772" i="2"/>
  <c r="AI772" i="2"/>
  <c r="AG772" i="2"/>
  <c r="AF772" i="2"/>
  <c r="AE772" i="2"/>
  <c r="AC772" i="2"/>
  <c r="AB772" i="2"/>
  <c r="AA772" i="2"/>
  <c r="X772" i="2"/>
  <c r="W772" i="2"/>
  <c r="V772" i="2"/>
  <c r="U772" i="2"/>
  <c r="R772" i="2"/>
  <c r="Q772" i="2"/>
  <c r="P772" i="2"/>
  <c r="O772" i="2"/>
  <c r="N772" i="2"/>
  <c r="M772" i="2"/>
  <c r="L772" i="2"/>
  <c r="K772" i="2"/>
  <c r="J772" i="2"/>
  <c r="I772" i="2"/>
  <c r="H772" i="2"/>
  <c r="G772" i="2"/>
  <c r="F772" i="2"/>
  <c r="E772" i="2"/>
  <c r="D772" i="2"/>
  <c r="C772" i="2"/>
  <c r="A772" i="2"/>
  <c r="AK771" i="2"/>
  <c r="AJ771" i="2"/>
  <c r="AI771" i="2"/>
  <c r="AH771" i="2"/>
  <c r="AG771" i="2"/>
  <c r="AF771" i="2"/>
  <c r="AE771" i="2"/>
  <c r="AD771" i="2"/>
  <c r="AC771" i="2"/>
  <c r="AB771" i="2"/>
  <c r="AA771" i="2"/>
  <c r="Z771" i="2"/>
  <c r="Y771" i="2"/>
  <c r="X771" i="2"/>
  <c r="W771" i="2"/>
  <c r="V771" i="2"/>
  <c r="U771" i="2"/>
  <c r="S771" i="2"/>
  <c r="R771" i="2"/>
  <c r="Q771" i="2"/>
  <c r="P771" i="2"/>
  <c r="O771" i="2"/>
  <c r="N771" i="2"/>
  <c r="M771" i="2"/>
  <c r="L771" i="2"/>
  <c r="K771" i="2"/>
  <c r="J771" i="2"/>
  <c r="I771" i="2"/>
  <c r="H771" i="2"/>
  <c r="G771" i="2"/>
  <c r="F771" i="2"/>
  <c r="E771" i="2"/>
  <c r="D771" i="2"/>
  <c r="C771" i="2"/>
  <c r="A771" i="2"/>
  <c r="AL770" i="2"/>
  <c r="AK770" i="2"/>
  <c r="AJ770" i="2"/>
  <c r="AI770" i="2"/>
  <c r="AG770" i="2"/>
  <c r="AF770" i="2"/>
  <c r="AE770" i="2"/>
  <c r="AC770" i="2"/>
  <c r="AB770" i="2"/>
  <c r="AA770" i="2"/>
  <c r="X770" i="2"/>
  <c r="W770" i="2"/>
  <c r="V770" i="2"/>
  <c r="U770" i="2"/>
  <c r="R770" i="2"/>
  <c r="Q770" i="2"/>
  <c r="P770" i="2"/>
  <c r="O770" i="2"/>
  <c r="N770" i="2"/>
  <c r="M770" i="2"/>
  <c r="L770" i="2"/>
  <c r="K770" i="2"/>
  <c r="J770" i="2"/>
  <c r="I770" i="2"/>
  <c r="H770" i="2"/>
  <c r="G770" i="2"/>
  <c r="F770" i="2"/>
  <c r="E770" i="2"/>
  <c r="D770" i="2"/>
  <c r="C770" i="2"/>
  <c r="A770" i="2"/>
  <c r="AK769" i="2"/>
  <c r="AJ769" i="2"/>
  <c r="AI769" i="2"/>
  <c r="AG769" i="2"/>
  <c r="AF769" i="2"/>
  <c r="AE769" i="2"/>
  <c r="AC769" i="2"/>
  <c r="AB769" i="2"/>
  <c r="AA769" i="2"/>
  <c r="X769" i="2"/>
  <c r="W769" i="2"/>
  <c r="V769" i="2"/>
  <c r="U769" i="2"/>
  <c r="R769" i="2"/>
  <c r="Q769" i="2"/>
  <c r="P769" i="2"/>
  <c r="O769" i="2"/>
  <c r="N769" i="2"/>
  <c r="M769" i="2"/>
  <c r="L769" i="2"/>
  <c r="K769" i="2"/>
  <c r="J769" i="2"/>
  <c r="I769" i="2"/>
  <c r="H769" i="2"/>
  <c r="G769" i="2"/>
  <c r="F769" i="2"/>
  <c r="E769" i="2"/>
  <c r="D769" i="2"/>
  <c r="C769" i="2"/>
  <c r="B769" i="2"/>
  <c r="A769" i="2"/>
  <c r="AK768" i="2"/>
  <c r="AJ768" i="2"/>
  <c r="AI768" i="2"/>
  <c r="AH768" i="2"/>
  <c r="AG768" i="2"/>
  <c r="AF768" i="2"/>
  <c r="AE768" i="2"/>
  <c r="AD768" i="2"/>
  <c r="AC768" i="2"/>
  <c r="AB768" i="2"/>
  <c r="AA768" i="2"/>
  <c r="Z768" i="2"/>
  <c r="Y768" i="2"/>
  <c r="X768" i="2"/>
  <c r="W768" i="2"/>
  <c r="V768" i="2"/>
  <c r="U768" i="2"/>
  <c r="S768" i="2"/>
  <c r="R768" i="2"/>
  <c r="Q768" i="2"/>
  <c r="P768" i="2"/>
  <c r="O768" i="2"/>
  <c r="N768" i="2"/>
  <c r="M768" i="2"/>
  <c r="L768" i="2"/>
  <c r="K768" i="2"/>
  <c r="J768" i="2"/>
  <c r="I768" i="2"/>
  <c r="H768" i="2"/>
  <c r="G768" i="2"/>
  <c r="F768" i="2"/>
  <c r="E768" i="2"/>
  <c r="D768" i="2"/>
  <c r="C768" i="2"/>
  <c r="A768" i="2"/>
  <c r="AL767" i="2"/>
  <c r="AK767" i="2"/>
  <c r="AJ767" i="2"/>
  <c r="AI767" i="2"/>
  <c r="AH767" i="2"/>
  <c r="AG767" i="2"/>
  <c r="AF767" i="2"/>
  <c r="AE767" i="2"/>
  <c r="AD767" i="2"/>
  <c r="AC767" i="2"/>
  <c r="AB767" i="2"/>
  <c r="AA767" i="2"/>
  <c r="Z767" i="2"/>
  <c r="Y767" i="2"/>
  <c r="X767" i="2"/>
  <c r="W767" i="2"/>
  <c r="V767" i="2"/>
  <c r="U767" i="2"/>
  <c r="S767" i="2"/>
  <c r="R767" i="2"/>
  <c r="Q767" i="2"/>
  <c r="P767" i="2"/>
  <c r="O767" i="2"/>
  <c r="N767" i="2"/>
  <c r="M767" i="2"/>
  <c r="L767" i="2"/>
  <c r="K767" i="2"/>
  <c r="J767" i="2"/>
  <c r="I767" i="2"/>
  <c r="H767" i="2"/>
  <c r="G767" i="2"/>
  <c r="F767" i="2"/>
  <c r="E767" i="2"/>
  <c r="D767" i="2"/>
  <c r="C767" i="2"/>
  <c r="A767" i="2"/>
  <c r="AK766" i="2"/>
  <c r="AJ766" i="2"/>
  <c r="AI766" i="2"/>
  <c r="AH766" i="2"/>
  <c r="AG766" i="2"/>
  <c r="AF766" i="2"/>
  <c r="AE766" i="2"/>
  <c r="AD766" i="2"/>
  <c r="AC766" i="2"/>
  <c r="AB766" i="2"/>
  <c r="AA766" i="2"/>
  <c r="Z766" i="2"/>
  <c r="Y766" i="2"/>
  <c r="X766" i="2"/>
  <c r="W766" i="2"/>
  <c r="V766" i="2"/>
  <c r="U766" i="2"/>
  <c r="S766" i="2"/>
  <c r="R766" i="2"/>
  <c r="Q766" i="2"/>
  <c r="P766" i="2"/>
  <c r="O766" i="2"/>
  <c r="N766" i="2"/>
  <c r="M766" i="2"/>
  <c r="L766" i="2"/>
  <c r="K766" i="2"/>
  <c r="J766" i="2"/>
  <c r="I766" i="2"/>
  <c r="H766" i="2"/>
  <c r="G766" i="2"/>
  <c r="F766" i="2"/>
  <c r="E766" i="2"/>
  <c r="D766" i="2"/>
  <c r="C766" i="2"/>
  <c r="B766" i="2"/>
  <c r="A766" i="2"/>
  <c r="AK765" i="2"/>
  <c r="AJ765" i="2"/>
  <c r="AI765" i="2"/>
  <c r="AH765" i="2"/>
  <c r="AG765" i="2"/>
  <c r="AF765" i="2"/>
  <c r="AE765" i="2"/>
  <c r="AD765" i="2"/>
  <c r="AC765" i="2"/>
  <c r="AB765" i="2"/>
  <c r="AA765" i="2"/>
  <c r="Z765" i="2"/>
  <c r="Y765" i="2"/>
  <c r="X765" i="2"/>
  <c r="W765" i="2"/>
  <c r="V765" i="2"/>
  <c r="U765" i="2"/>
  <c r="S765" i="2"/>
  <c r="R765" i="2"/>
  <c r="Q765" i="2"/>
  <c r="P765" i="2"/>
  <c r="O765" i="2"/>
  <c r="N765" i="2"/>
  <c r="M765" i="2"/>
  <c r="L765" i="2"/>
  <c r="K765" i="2"/>
  <c r="J765" i="2"/>
  <c r="I765" i="2"/>
  <c r="H765" i="2"/>
  <c r="G765" i="2"/>
  <c r="F765" i="2"/>
  <c r="E765" i="2"/>
  <c r="D765" i="2"/>
  <c r="C765" i="2"/>
  <c r="B765" i="2"/>
  <c r="A765" i="2"/>
  <c r="AL764" i="2"/>
  <c r="AK764" i="2"/>
  <c r="AJ764" i="2"/>
  <c r="AI764" i="2"/>
  <c r="AH764" i="2"/>
  <c r="AG764" i="2"/>
  <c r="AF764" i="2"/>
  <c r="AE764" i="2"/>
  <c r="AD764" i="2"/>
  <c r="AC764" i="2"/>
  <c r="AB764" i="2"/>
  <c r="AA764" i="2"/>
  <c r="Z764" i="2"/>
  <c r="Y764" i="2"/>
  <c r="X764" i="2"/>
  <c r="W764" i="2"/>
  <c r="V764" i="2"/>
  <c r="U764" i="2"/>
  <c r="S764" i="2"/>
  <c r="R764" i="2"/>
  <c r="Q764" i="2"/>
  <c r="P764" i="2"/>
  <c r="O764" i="2"/>
  <c r="N764" i="2"/>
  <c r="M764" i="2"/>
  <c r="L764" i="2"/>
  <c r="K764" i="2"/>
  <c r="J764" i="2"/>
  <c r="I764" i="2"/>
  <c r="H764" i="2"/>
  <c r="G764" i="2"/>
  <c r="F764" i="2"/>
  <c r="E764" i="2"/>
  <c r="D764" i="2"/>
  <c r="C764" i="2"/>
  <c r="A764" i="2"/>
  <c r="AL763" i="2"/>
  <c r="AK763" i="2"/>
  <c r="AJ763" i="2"/>
  <c r="AI763" i="2"/>
  <c r="AH763" i="2"/>
  <c r="AG763" i="2"/>
  <c r="AF763" i="2"/>
  <c r="AE763" i="2"/>
  <c r="AC763" i="2"/>
  <c r="AB763" i="2"/>
  <c r="AA763" i="2"/>
  <c r="Z763" i="2"/>
  <c r="Y763" i="2"/>
  <c r="X763" i="2"/>
  <c r="W763" i="2"/>
  <c r="V763" i="2"/>
  <c r="U763" i="2"/>
  <c r="S763" i="2"/>
  <c r="R763" i="2"/>
  <c r="Q763" i="2"/>
  <c r="P763" i="2"/>
  <c r="O763" i="2"/>
  <c r="N763" i="2"/>
  <c r="M763" i="2"/>
  <c r="L763" i="2"/>
  <c r="K763" i="2"/>
  <c r="J763" i="2"/>
  <c r="I763" i="2"/>
  <c r="H763" i="2"/>
  <c r="G763" i="2"/>
  <c r="F763" i="2"/>
  <c r="E763" i="2"/>
  <c r="D763" i="2"/>
  <c r="C763" i="2"/>
  <c r="B763" i="2"/>
  <c r="A763" i="2"/>
  <c r="AL762" i="2"/>
  <c r="AK762" i="2"/>
  <c r="AJ762" i="2"/>
  <c r="AI762" i="2"/>
  <c r="AH762" i="2"/>
  <c r="AG762" i="2"/>
  <c r="AF762" i="2"/>
  <c r="AE762" i="2"/>
  <c r="AC762" i="2"/>
  <c r="AB762" i="2"/>
  <c r="AA762" i="2"/>
  <c r="Z762" i="2"/>
  <c r="Y762" i="2"/>
  <c r="X762" i="2"/>
  <c r="W762" i="2"/>
  <c r="V762" i="2"/>
  <c r="U762" i="2"/>
  <c r="S762" i="2"/>
  <c r="R762" i="2"/>
  <c r="Q762" i="2"/>
  <c r="P762" i="2"/>
  <c r="O762" i="2"/>
  <c r="N762" i="2"/>
  <c r="M762" i="2"/>
  <c r="L762" i="2"/>
  <c r="K762" i="2"/>
  <c r="J762" i="2"/>
  <c r="I762" i="2"/>
  <c r="H762" i="2"/>
  <c r="G762" i="2"/>
  <c r="F762" i="2"/>
  <c r="E762" i="2"/>
  <c r="D762" i="2"/>
  <c r="C762" i="2"/>
  <c r="A762" i="2"/>
  <c r="AL761" i="2"/>
  <c r="AK761" i="2"/>
  <c r="AJ761" i="2"/>
  <c r="AI761" i="2"/>
  <c r="AH761" i="2"/>
  <c r="AG761" i="2"/>
  <c r="AF761" i="2"/>
  <c r="AE761" i="2"/>
  <c r="AC761" i="2"/>
  <c r="AB761" i="2"/>
  <c r="AA761" i="2"/>
  <c r="Z761" i="2"/>
  <c r="Y761" i="2"/>
  <c r="X761" i="2"/>
  <c r="W761" i="2"/>
  <c r="V761" i="2"/>
  <c r="U761" i="2"/>
  <c r="S761" i="2"/>
  <c r="R761" i="2"/>
  <c r="Q761" i="2"/>
  <c r="P761" i="2"/>
  <c r="O761" i="2"/>
  <c r="N761" i="2"/>
  <c r="M761" i="2"/>
  <c r="L761" i="2"/>
  <c r="K761" i="2"/>
  <c r="J761" i="2"/>
  <c r="I761" i="2"/>
  <c r="H761" i="2"/>
  <c r="G761" i="2"/>
  <c r="F761" i="2"/>
  <c r="E761" i="2"/>
  <c r="D761" i="2"/>
  <c r="C761" i="2"/>
  <c r="A761" i="2"/>
  <c r="AK760" i="2"/>
  <c r="AJ760" i="2"/>
  <c r="AI760" i="2"/>
  <c r="AH760" i="2"/>
  <c r="AG760" i="2"/>
  <c r="AF760" i="2"/>
  <c r="AE760" i="2"/>
  <c r="AD760" i="2"/>
  <c r="AC760" i="2"/>
  <c r="AB760" i="2"/>
  <c r="AA760" i="2"/>
  <c r="Z760" i="2"/>
  <c r="Y760" i="2"/>
  <c r="X760" i="2"/>
  <c r="W760" i="2"/>
  <c r="V760" i="2"/>
  <c r="U760" i="2"/>
  <c r="S760" i="2"/>
  <c r="R760" i="2"/>
  <c r="Q760" i="2"/>
  <c r="P760" i="2"/>
  <c r="O760" i="2"/>
  <c r="N760" i="2"/>
  <c r="M760" i="2"/>
  <c r="L760" i="2"/>
  <c r="K760" i="2"/>
  <c r="J760" i="2"/>
  <c r="I760" i="2"/>
  <c r="H760" i="2"/>
  <c r="G760" i="2"/>
  <c r="F760" i="2"/>
  <c r="E760" i="2"/>
  <c r="D760" i="2"/>
  <c r="C760" i="2"/>
  <c r="A760" i="2"/>
  <c r="AL759" i="2"/>
  <c r="AK759" i="2"/>
  <c r="AJ759" i="2"/>
  <c r="AI759" i="2"/>
  <c r="AH759" i="2"/>
  <c r="AG759" i="2"/>
  <c r="AF759" i="2"/>
  <c r="AE759" i="2"/>
  <c r="AD759" i="2"/>
  <c r="AC759" i="2"/>
  <c r="AB759" i="2"/>
  <c r="AA759" i="2"/>
  <c r="Z759" i="2"/>
  <c r="Y759" i="2"/>
  <c r="X759" i="2"/>
  <c r="W759" i="2"/>
  <c r="V759" i="2"/>
  <c r="U759" i="2"/>
  <c r="S759" i="2"/>
  <c r="R759" i="2"/>
  <c r="Q759" i="2"/>
  <c r="P759" i="2"/>
  <c r="O759" i="2"/>
  <c r="N759" i="2"/>
  <c r="M759" i="2"/>
  <c r="L759" i="2"/>
  <c r="K759" i="2"/>
  <c r="J759" i="2"/>
  <c r="I759" i="2"/>
  <c r="H759" i="2"/>
  <c r="G759" i="2"/>
  <c r="F759" i="2"/>
  <c r="E759" i="2"/>
  <c r="D759" i="2"/>
  <c r="C759" i="2"/>
  <c r="A759" i="2"/>
  <c r="AL758" i="2"/>
  <c r="AK758" i="2"/>
  <c r="AJ758" i="2"/>
  <c r="AI758" i="2"/>
  <c r="AH758" i="2"/>
  <c r="AG758" i="2"/>
  <c r="AF758" i="2"/>
  <c r="AE758" i="2"/>
  <c r="AD758" i="2"/>
  <c r="AC758" i="2"/>
  <c r="AB758" i="2"/>
  <c r="AA758" i="2"/>
  <c r="Z758" i="2"/>
  <c r="Y758" i="2"/>
  <c r="X758" i="2"/>
  <c r="W758" i="2"/>
  <c r="V758" i="2"/>
  <c r="U758" i="2"/>
  <c r="S758" i="2"/>
  <c r="R758" i="2"/>
  <c r="Q758" i="2"/>
  <c r="P758" i="2"/>
  <c r="O758" i="2"/>
  <c r="N758" i="2"/>
  <c r="M758" i="2"/>
  <c r="L758" i="2"/>
  <c r="K758" i="2"/>
  <c r="J758" i="2"/>
  <c r="I758" i="2"/>
  <c r="H758" i="2"/>
  <c r="G758" i="2"/>
  <c r="F758" i="2"/>
  <c r="E758" i="2"/>
  <c r="D758" i="2"/>
  <c r="C758" i="2"/>
  <c r="B758" i="2"/>
  <c r="A758" i="2"/>
  <c r="AK757" i="2"/>
  <c r="AJ757" i="2"/>
  <c r="AI757" i="2"/>
  <c r="AH757" i="2"/>
  <c r="AG757" i="2"/>
  <c r="AF757" i="2"/>
  <c r="AE757" i="2"/>
  <c r="AD757" i="2"/>
  <c r="AC757" i="2"/>
  <c r="AB757" i="2"/>
  <c r="AA757" i="2"/>
  <c r="Z757" i="2"/>
  <c r="Y757" i="2"/>
  <c r="X757" i="2"/>
  <c r="W757" i="2"/>
  <c r="V757" i="2"/>
  <c r="U757" i="2"/>
  <c r="S757" i="2"/>
  <c r="R757" i="2"/>
  <c r="Q757" i="2"/>
  <c r="P757" i="2"/>
  <c r="O757" i="2"/>
  <c r="N757" i="2"/>
  <c r="M757" i="2"/>
  <c r="L757" i="2"/>
  <c r="K757" i="2"/>
  <c r="J757" i="2"/>
  <c r="I757" i="2"/>
  <c r="H757" i="2"/>
  <c r="G757" i="2"/>
  <c r="F757" i="2"/>
  <c r="E757" i="2"/>
  <c r="D757" i="2"/>
  <c r="C757" i="2"/>
  <c r="A757" i="2"/>
  <c r="AK756" i="2"/>
  <c r="AJ756" i="2"/>
  <c r="AI756" i="2"/>
  <c r="AH756" i="2"/>
  <c r="AG756" i="2"/>
  <c r="AF756" i="2"/>
  <c r="AE756" i="2"/>
  <c r="AC756" i="2"/>
  <c r="AB756" i="2"/>
  <c r="AA756" i="2"/>
  <c r="Z756" i="2"/>
  <c r="X756" i="2"/>
  <c r="W756" i="2"/>
  <c r="V756" i="2"/>
  <c r="U756" i="2"/>
  <c r="S756" i="2"/>
  <c r="R756" i="2"/>
  <c r="Q756" i="2"/>
  <c r="P756" i="2"/>
  <c r="O756" i="2"/>
  <c r="N756" i="2"/>
  <c r="M756" i="2"/>
  <c r="L756" i="2"/>
  <c r="K756" i="2"/>
  <c r="J756" i="2"/>
  <c r="I756" i="2"/>
  <c r="H756" i="2"/>
  <c r="G756" i="2"/>
  <c r="F756" i="2"/>
  <c r="E756" i="2"/>
  <c r="D756" i="2"/>
  <c r="C756" i="2"/>
  <c r="A756" i="2"/>
  <c r="AL755" i="2"/>
  <c r="AK755" i="2"/>
  <c r="AJ755" i="2"/>
  <c r="AI755" i="2"/>
  <c r="AH755" i="2"/>
  <c r="AG755" i="2"/>
  <c r="AF755" i="2"/>
  <c r="AE755" i="2"/>
  <c r="AD755" i="2"/>
  <c r="AC755" i="2"/>
  <c r="AB755" i="2"/>
  <c r="AA755" i="2"/>
  <c r="Z755" i="2"/>
  <c r="Y755" i="2"/>
  <c r="X755" i="2"/>
  <c r="W755" i="2"/>
  <c r="V755" i="2"/>
  <c r="U755" i="2"/>
  <c r="S755" i="2"/>
  <c r="R755" i="2"/>
  <c r="Q755" i="2"/>
  <c r="P755" i="2"/>
  <c r="O755" i="2"/>
  <c r="N755" i="2"/>
  <c r="M755" i="2"/>
  <c r="L755" i="2"/>
  <c r="K755" i="2"/>
  <c r="J755" i="2"/>
  <c r="I755" i="2"/>
  <c r="H755" i="2"/>
  <c r="G755" i="2"/>
  <c r="F755" i="2"/>
  <c r="E755" i="2"/>
  <c r="D755" i="2"/>
  <c r="C755" i="2"/>
  <c r="B755" i="2"/>
  <c r="A755" i="2"/>
  <c r="AL754" i="2"/>
  <c r="AK754" i="2"/>
  <c r="AJ754" i="2"/>
  <c r="AI754" i="2"/>
  <c r="AH754" i="2"/>
  <c r="AG754" i="2"/>
  <c r="AF754" i="2"/>
  <c r="AE754" i="2"/>
  <c r="AD754" i="2"/>
  <c r="AC754" i="2"/>
  <c r="AB754" i="2"/>
  <c r="AA754" i="2"/>
  <c r="Z754" i="2"/>
  <c r="Y754" i="2"/>
  <c r="X754" i="2"/>
  <c r="W754" i="2"/>
  <c r="V754" i="2"/>
  <c r="U754" i="2"/>
  <c r="S754" i="2"/>
  <c r="R754" i="2"/>
  <c r="Q754" i="2"/>
  <c r="P754" i="2"/>
  <c r="O754" i="2"/>
  <c r="N754" i="2"/>
  <c r="M754" i="2"/>
  <c r="L754" i="2"/>
  <c r="K754" i="2"/>
  <c r="J754" i="2"/>
  <c r="I754" i="2"/>
  <c r="H754" i="2"/>
  <c r="G754" i="2"/>
  <c r="F754" i="2"/>
  <c r="E754" i="2"/>
  <c r="D754" i="2"/>
  <c r="C754" i="2"/>
  <c r="A754" i="2"/>
  <c r="AL753" i="2"/>
  <c r="AK753" i="2"/>
  <c r="AJ753" i="2"/>
  <c r="AI753" i="2"/>
  <c r="AH753" i="2"/>
  <c r="AG753" i="2"/>
  <c r="AF753" i="2"/>
  <c r="AE753" i="2"/>
  <c r="AD753" i="2"/>
  <c r="AC753" i="2"/>
  <c r="AB753" i="2"/>
  <c r="AA753" i="2"/>
  <c r="Z753" i="2"/>
  <c r="Y753" i="2"/>
  <c r="X753" i="2"/>
  <c r="W753" i="2"/>
  <c r="V753" i="2"/>
  <c r="U753" i="2"/>
  <c r="S753" i="2"/>
  <c r="R753" i="2"/>
  <c r="Q753" i="2"/>
  <c r="P753" i="2"/>
  <c r="O753" i="2"/>
  <c r="N753" i="2"/>
  <c r="M753" i="2"/>
  <c r="L753" i="2"/>
  <c r="K753" i="2"/>
  <c r="J753" i="2"/>
  <c r="I753" i="2"/>
  <c r="H753" i="2"/>
  <c r="G753" i="2"/>
  <c r="F753" i="2"/>
  <c r="E753" i="2"/>
  <c r="D753" i="2"/>
  <c r="C753" i="2"/>
  <c r="A753" i="2"/>
  <c r="AL752" i="2"/>
  <c r="AK752" i="2"/>
  <c r="AJ752" i="2"/>
  <c r="AI752" i="2"/>
  <c r="AH752" i="2"/>
  <c r="AG752" i="2"/>
  <c r="AF752" i="2"/>
  <c r="AE752" i="2"/>
  <c r="AD752" i="2"/>
  <c r="AC752" i="2"/>
  <c r="AB752" i="2"/>
  <c r="AA752" i="2"/>
  <c r="Z752" i="2"/>
  <c r="Y752" i="2"/>
  <c r="X752" i="2"/>
  <c r="W752" i="2"/>
  <c r="V752" i="2"/>
  <c r="U752" i="2"/>
  <c r="S752" i="2"/>
  <c r="R752" i="2"/>
  <c r="Q752" i="2"/>
  <c r="P752" i="2"/>
  <c r="O752" i="2"/>
  <c r="N752" i="2"/>
  <c r="M752" i="2"/>
  <c r="L752" i="2"/>
  <c r="K752" i="2"/>
  <c r="J752" i="2"/>
  <c r="I752" i="2"/>
  <c r="H752" i="2"/>
  <c r="G752" i="2"/>
  <c r="F752" i="2"/>
  <c r="E752" i="2"/>
  <c r="D752" i="2"/>
  <c r="C752" i="2"/>
  <c r="B752" i="2"/>
  <c r="A752" i="2"/>
  <c r="AL751" i="2"/>
  <c r="AK751" i="2"/>
  <c r="AJ751" i="2"/>
  <c r="AI751" i="2"/>
  <c r="AH751" i="2"/>
  <c r="AG751" i="2"/>
  <c r="AF751" i="2"/>
  <c r="AE751" i="2"/>
  <c r="AD751" i="2"/>
  <c r="AC751" i="2"/>
  <c r="AB751" i="2"/>
  <c r="AA751" i="2"/>
  <c r="Z751" i="2"/>
  <c r="Y751" i="2"/>
  <c r="X751" i="2"/>
  <c r="W751" i="2"/>
  <c r="V751" i="2"/>
  <c r="U751" i="2"/>
  <c r="S751" i="2"/>
  <c r="R751" i="2"/>
  <c r="Q751" i="2"/>
  <c r="P751" i="2"/>
  <c r="O751" i="2"/>
  <c r="N751" i="2"/>
  <c r="M751" i="2"/>
  <c r="L751" i="2"/>
  <c r="K751" i="2"/>
  <c r="J751" i="2"/>
  <c r="I751" i="2"/>
  <c r="H751" i="2"/>
  <c r="G751" i="2"/>
  <c r="F751" i="2"/>
  <c r="E751" i="2"/>
  <c r="D751" i="2"/>
  <c r="C751" i="2"/>
  <c r="B751" i="2"/>
  <c r="A751" i="2"/>
  <c r="AL750" i="2"/>
  <c r="AK750" i="2"/>
  <c r="AJ750" i="2"/>
  <c r="AI750" i="2"/>
  <c r="AH750" i="2"/>
  <c r="AG750" i="2"/>
  <c r="AF750" i="2"/>
  <c r="AE750" i="2"/>
  <c r="AD750" i="2"/>
  <c r="AC750" i="2"/>
  <c r="AB750" i="2"/>
  <c r="AA750" i="2"/>
  <c r="Z750" i="2"/>
  <c r="Y750" i="2"/>
  <c r="X750" i="2"/>
  <c r="W750" i="2"/>
  <c r="V750" i="2"/>
  <c r="U750" i="2"/>
  <c r="S750" i="2"/>
  <c r="R750" i="2"/>
  <c r="Q750" i="2"/>
  <c r="P750" i="2"/>
  <c r="O750" i="2"/>
  <c r="N750" i="2"/>
  <c r="M750" i="2"/>
  <c r="L750" i="2"/>
  <c r="K750" i="2"/>
  <c r="J750" i="2"/>
  <c r="I750" i="2"/>
  <c r="H750" i="2"/>
  <c r="G750" i="2"/>
  <c r="F750" i="2"/>
  <c r="E750" i="2"/>
  <c r="D750" i="2"/>
  <c r="C750" i="2"/>
  <c r="B750" i="2"/>
  <c r="A750" i="2"/>
  <c r="AK749" i="2"/>
  <c r="AJ749" i="2"/>
  <c r="AI749" i="2"/>
  <c r="AG749" i="2"/>
  <c r="AF749" i="2"/>
  <c r="AE749" i="2"/>
  <c r="AC749" i="2"/>
  <c r="AB749" i="2"/>
  <c r="AA749" i="2"/>
  <c r="X749" i="2"/>
  <c r="W749" i="2"/>
  <c r="V749" i="2"/>
  <c r="U749" i="2"/>
  <c r="R749" i="2"/>
  <c r="Q749" i="2"/>
  <c r="P749" i="2"/>
  <c r="O749" i="2"/>
  <c r="N749" i="2"/>
  <c r="M749" i="2"/>
  <c r="L749" i="2"/>
  <c r="K749" i="2"/>
  <c r="J749" i="2"/>
  <c r="I749" i="2"/>
  <c r="H749" i="2"/>
  <c r="G749" i="2"/>
  <c r="F749" i="2"/>
  <c r="E749" i="2"/>
  <c r="D749" i="2"/>
  <c r="C749" i="2"/>
  <c r="A749" i="2"/>
  <c r="AL748" i="2"/>
  <c r="AK748" i="2"/>
  <c r="AJ748" i="2"/>
  <c r="AI748" i="2"/>
  <c r="AH748" i="2"/>
  <c r="AG748" i="2"/>
  <c r="AF748" i="2"/>
  <c r="AE748" i="2"/>
  <c r="AC748" i="2"/>
  <c r="AB748" i="2"/>
  <c r="AA748" i="2"/>
  <c r="Z748" i="2"/>
  <c r="Y748" i="2"/>
  <c r="X748" i="2"/>
  <c r="W748" i="2"/>
  <c r="V748" i="2"/>
  <c r="U748" i="2"/>
  <c r="S748" i="2"/>
  <c r="R748" i="2"/>
  <c r="Q748" i="2"/>
  <c r="P748" i="2"/>
  <c r="O748" i="2"/>
  <c r="N748" i="2"/>
  <c r="M748" i="2"/>
  <c r="L748" i="2"/>
  <c r="K748" i="2"/>
  <c r="J748" i="2"/>
  <c r="I748" i="2"/>
  <c r="H748" i="2"/>
  <c r="G748" i="2"/>
  <c r="F748" i="2"/>
  <c r="E748" i="2"/>
  <c r="D748" i="2"/>
  <c r="C748" i="2"/>
  <c r="A748" i="2"/>
  <c r="AL747" i="2"/>
  <c r="AK747" i="2"/>
  <c r="AJ747" i="2"/>
  <c r="AI747" i="2"/>
  <c r="AG747" i="2"/>
  <c r="AF747" i="2"/>
  <c r="AE747" i="2"/>
  <c r="AC747" i="2"/>
  <c r="AB747" i="2"/>
  <c r="AA747" i="2"/>
  <c r="X747" i="2"/>
  <c r="W747" i="2"/>
  <c r="V747" i="2"/>
  <c r="U747" i="2"/>
  <c r="R747" i="2"/>
  <c r="Q747" i="2"/>
  <c r="P747" i="2"/>
  <c r="O747" i="2"/>
  <c r="N747" i="2"/>
  <c r="M747" i="2"/>
  <c r="L747" i="2"/>
  <c r="K747" i="2"/>
  <c r="J747" i="2"/>
  <c r="I747" i="2"/>
  <c r="H747" i="2"/>
  <c r="G747" i="2"/>
  <c r="F747" i="2"/>
  <c r="E747" i="2"/>
  <c r="D747" i="2"/>
  <c r="C747" i="2"/>
  <c r="A747" i="2"/>
  <c r="AK746" i="2"/>
  <c r="AJ746" i="2"/>
  <c r="AI746" i="2"/>
  <c r="AH746" i="2"/>
  <c r="AG746" i="2"/>
  <c r="AF746" i="2"/>
  <c r="AE746" i="2"/>
  <c r="AD746" i="2"/>
  <c r="AC746" i="2"/>
  <c r="AB746" i="2"/>
  <c r="AA746" i="2"/>
  <c r="Z746" i="2"/>
  <c r="Y746" i="2"/>
  <c r="X746" i="2"/>
  <c r="W746" i="2"/>
  <c r="V746" i="2"/>
  <c r="U746" i="2"/>
  <c r="S746" i="2"/>
  <c r="R746" i="2"/>
  <c r="Q746" i="2"/>
  <c r="P746" i="2"/>
  <c r="O746" i="2"/>
  <c r="N746" i="2"/>
  <c r="M746" i="2"/>
  <c r="L746" i="2"/>
  <c r="K746" i="2"/>
  <c r="J746" i="2"/>
  <c r="I746" i="2"/>
  <c r="H746" i="2"/>
  <c r="G746" i="2"/>
  <c r="F746" i="2"/>
  <c r="E746" i="2"/>
  <c r="D746" i="2"/>
  <c r="C746" i="2"/>
  <c r="B746" i="2"/>
  <c r="A746" i="2"/>
  <c r="AL745" i="2"/>
  <c r="AK745" i="2"/>
  <c r="AJ745" i="2"/>
  <c r="AI745" i="2"/>
  <c r="AH745" i="2"/>
  <c r="AG745" i="2"/>
  <c r="AF745" i="2"/>
  <c r="AE745" i="2"/>
  <c r="AD745" i="2"/>
  <c r="AC745" i="2"/>
  <c r="AB745" i="2"/>
  <c r="AA745" i="2"/>
  <c r="Z745" i="2"/>
  <c r="Y745" i="2"/>
  <c r="X745" i="2"/>
  <c r="W745" i="2"/>
  <c r="V745" i="2"/>
  <c r="U745" i="2"/>
  <c r="S745" i="2"/>
  <c r="R745" i="2"/>
  <c r="Q745" i="2"/>
  <c r="P745" i="2"/>
  <c r="O745" i="2"/>
  <c r="N745" i="2"/>
  <c r="M745" i="2"/>
  <c r="L745" i="2"/>
  <c r="K745" i="2"/>
  <c r="J745" i="2"/>
  <c r="I745" i="2"/>
  <c r="H745" i="2"/>
  <c r="G745" i="2"/>
  <c r="F745" i="2"/>
  <c r="E745" i="2"/>
  <c r="D745" i="2"/>
  <c r="C745" i="2"/>
  <c r="A745" i="2"/>
  <c r="AL744" i="2"/>
  <c r="AK744" i="2"/>
  <c r="AJ744" i="2"/>
  <c r="AI744" i="2"/>
  <c r="AH744" i="2"/>
  <c r="AG744" i="2"/>
  <c r="AF744" i="2"/>
  <c r="AE744" i="2"/>
  <c r="AD744" i="2"/>
  <c r="AC744" i="2"/>
  <c r="AB744" i="2"/>
  <c r="AA744" i="2"/>
  <c r="Z744" i="2"/>
  <c r="Y744" i="2"/>
  <c r="X744" i="2"/>
  <c r="W744" i="2"/>
  <c r="V744" i="2"/>
  <c r="U744" i="2"/>
  <c r="S744" i="2"/>
  <c r="R744" i="2"/>
  <c r="Q744" i="2"/>
  <c r="P744" i="2"/>
  <c r="O744" i="2"/>
  <c r="N744" i="2"/>
  <c r="M744" i="2"/>
  <c r="L744" i="2"/>
  <c r="K744" i="2"/>
  <c r="J744" i="2"/>
  <c r="I744" i="2"/>
  <c r="H744" i="2"/>
  <c r="G744" i="2"/>
  <c r="F744" i="2"/>
  <c r="E744" i="2"/>
  <c r="D744" i="2"/>
  <c r="C744" i="2"/>
  <c r="A744" i="2"/>
  <c r="AL743" i="2"/>
  <c r="AK743" i="2"/>
  <c r="AJ743" i="2"/>
  <c r="AI743" i="2"/>
  <c r="AH743" i="2"/>
  <c r="AG743" i="2"/>
  <c r="AF743" i="2"/>
  <c r="AE743" i="2"/>
  <c r="AD743" i="2"/>
  <c r="AC743" i="2"/>
  <c r="AB743" i="2"/>
  <c r="AA743" i="2"/>
  <c r="Z743" i="2"/>
  <c r="Y743" i="2"/>
  <c r="X743" i="2"/>
  <c r="W743" i="2"/>
  <c r="V743" i="2"/>
  <c r="U743" i="2"/>
  <c r="S743" i="2"/>
  <c r="R743" i="2"/>
  <c r="Q743" i="2"/>
  <c r="P743" i="2"/>
  <c r="O743" i="2"/>
  <c r="N743" i="2"/>
  <c r="M743" i="2"/>
  <c r="L743" i="2"/>
  <c r="K743" i="2"/>
  <c r="J743" i="2"/>
  <c r="I743" i="2"/>
  <c r="H743" i="2"/>
  <c r="G743" i="2"/>
  <c r="F743" i="2"/>
  <c r="E743" i="2"/>
  <c r="D743" i="2"/>
  <c r="C743" i="2"/>
  <c r="A743" i="2"/>
  <c r="AK742" i="2"/>
  <c r="AJ742" i="2"/>
  <c r="AI742" i="2"/>
  <c r="AG742" i="2"/>
  <c r="AF742" i="2"/>
  <c r="AE742" i="2"/>
  <c r="AC742" i="2"/>
  <c r="AB742" i="2"/>
  <c r="AA742" i="2"/>
  <c r="X742" i="2"/>
  <c r="W742" i="2"/>
  <c r="V742" i="2"/>
  <c r="U742" i="2"/>
  <c r="R742" i="2"/>
  <c r="Q742" i="2"/>
  <c r="P742" i="2"/>
  <c r="O742" i="2"/>
  <c r="N742" i="2"/>
  <c r="M742" i="2"/>
  <c r="L742" i="2"/>
  <c r="K742" i="2"/>
  <c r="J742" i="2"/>
  <c r="I742" i="2"/>
  <c r="H742" i="2"/>
  <c r="G742" i="2"/>
  <c r="F742" i="2"/>
  <c r="E742" i="2"/>
  <c r="D742" i="2"/>
  <c r="C742" i="2"/>
  <c r="B742" i="2"/>
  <c r="A742" i="2"/>
  <c r="AL741" i="2"/>
  <c r="AK741" i="2"/>
  <c r="AJ741" i="2"/>
  <c r="AI741" i="2"/>
  <c r="AH741" i="2"/>
  <c r="AG741" i="2"/>
  <c r="AF741" i="2"/>
  <c r="AE741" i="2"/>
  <c r="AC741" i="2"/>
  <c r="AB741" i="2"/>
  <c r="AA741" i="2"/>
  <c r="Y741" i="2"/>
  <c r="X741" i="2"/>
  <c r="W741" i="2"/>
  <c r="V741" i="2"/>
  <c r="U741" i="2"/>
  <c r="S741" i="2"/>
  <c r="R741" i="2"/>
  <c r="Q741" i="2"/>
  <c r="P741" i="2"/>
  <c r="O741" i="2"/>
  <c r="N741" i="2"/>
  <c r="M741" i="2"/>
  <c r="L741" i="2"/>
  <c r="K741" i="2"/>
  <c r="J741" i="2"/>
  <c r="I741" i="2"/>
  <c r="H741" i="2"/>
  <c r="G741" i="2"/>
  <c r="F741" i="2"/>
  <c r="E741" i="2"/>
  <c r="D741" i="2"/>
  <c r="C741" i="2"/>
  <c r="B741" i="2"/>
  <c r="A741" i="2"/>
  <c r="AK740" i="2"/>
  <c r="AJ740" i="2"/>
  <c r="AI740" i="2"/>
  <c r="AH740" i="2"/>
  <c r="AG740" i="2"/>
  <c r="AF740" i="2"/>
  <c r="AE740" i="2"/>
  <c r="AC740" i="2"/>
  <c r="AB740" i="2"/>
  <c r="AA740" i="2"/>
  <c r="Z740" i="2"/>
  <c r="Y740" i="2"/>
  <c r="X740" i="2"/>
  <c r="W740" i="2"/>
  <c r="V740" i="2"/>
  <c r="U740" i="2"/>
  <c r="S740" i="2"/>
  <c r="R740" i="2"/>
  <c r="Q740" i="2"/>
  <c r="P740" i="2"/>
  <c r="O740" i="2"/>
  <c r="N740" i="2"/>
  <c r="M740" i="2"/>
  <c r="L740" i="2"/>
  <c r="K740" i="2"/>
  <c r="J740" i="2"/>
  <c r="I740" i="2"/>
  <c r="H740" i="2"/>
  <c r="G740" i="2"/>
  <c r="F740" i="2"/>
  <c r="E740" i="2"/>
  <c r="D740" i="2"/>
  <c r="C740" i="2"/>
  <c r="B740" i="2"/>
  <c r="A740" i="2"/>
  <c r="AL739" i="2"/>
  <c r="AK739" i="2"/>
  <c r="AJ739" i="2"/>
  <c r="AI739" i="2"/>
  <c r="AH739" i="2"/>
  <c r="AG739" i="2"/>
  <c r="AF739" i="2"/>
  <c r="AE739" i="2"/>
  <c r="AD739" i="2"/>
  <c r="AC739" i="2"/>
  <c r="AB739" i="2"/>
  <c r="AA739" i="2"/>
  <c r="Y739" i="2"/>
  <c r="X739" i="2"/>
  <c r="W739" i="2"/>
  <c r="V739" i="2"/>
  <c r="U739" i="2"/>
  <c r="S739" i="2"/>
  <c r="R739" i="2"/>
  <c r="Q739" i="2"/>
  <c r="P739" i="2"/>
  <c r="O739" i="2"/>
  <c r="N739" i="2"/>
  <c r="M739" i="2"/>
  <c r="L739" i="2"/>
  <c r="K739" i="2"/>
  <c r="J739" i="2"/>
  <c r="I739" i="2"/>
  <c r="H739" i="2"/>
  <c r="G739" i="2"/>
  <c r="F739" i="2"/>
  <c r="E739" i="2"/>
  <c r="D739" i="2"/>
  <c r="C739" i="2"/>
  <c r="B739" i="2"/>
  <c r="A739" i="2"/>
  <c r="AK738" i="2"/>
  <c r="AJ738" i="2"/>
  <c r="AI738" i="2"/>
  <c r="AH738" i="2"/>
  <c r="AG738" i="2"/>
  <c r="AF738" i="2"/>
  <c r="AE738" i="2"/>
  <c r="AD738" i="2"/>
  <c r="AC738" i="2"/>
  <c r="AB738" i="2"/>
  <c r="AA738" i="2"/>
  <c r="Z738" i="2"/>
  <c r="Y738" i="2"/>
  <c r="X738" i="2"/>
  <c r="W738" i="2"/>
  <c r="V738" i="2"/>
  <c r="U738" i="2"/>
  <c r="S738" i="2"/>
  <c r="R738" i="2"/>
  <c r="Q738" i="2"/>
  <c r="P738" i="2"/>
  <c r="O738" i="2"/>
  <c r="N738" i="2"/>
  <c r="M738" i="2"/>
  <c r="L738" i="2"/>
  <c r="K738" i="2"/>
  <c r="J738" i="2"/>
  <c r="I738" i="2"/>
  <c r="H738" i="2"/>
  <c r="G738" i="2"/>
  <c r="F738" i="2"/>
  <c r="E738" i="2"/>
  <c r="D738" i="2"/>
  <c r="C738" i="2"/>
  <c r="A738" i="2"/>
  <c r="AL737" i="2"/>
  <c r="AK737" i="2"/>
  <c r="AJ737" i="2"/>
  <c r="AI737" i="2"/>
  <c r="AH737" i="2"/>
  <c r="AG737" i="2"/>
  <c r="AF737" i="2"/>
  <c r="AE737" i="2"/>
  <c r="AD737" i="2"/>
  <c r="AC737" i="2"/>
  <c r="AB737" i="2"/>
  <c r="AA737" i="2"/>
  <c r="Z737" i="2"/>
  <c r="Y737" i="2"/>
  <c r="X737" i="2"/>
  <c r="W737" i="2"/>
  <c r="V737" i="2"/>
  <c r="U737" i="2"/>
  <c r="S737" i="2"/>
  <c r="R737" i="2"/>
  <c r="Q737" i="2"/>
  <c r="P737" i="2"/>
  <c r="O737" i="2"/>
  <c r="N737" i="2"/>
  <c r="M737" i="2"/>
  <c r="L737" i="2"/>
  <c r="K737" i="2"/>
  <c r="J737" i="2"/>
  <c r="I737" i="2"/>
  <c r="H737" i="2"/>
  <c r="G737" i="2"/>
  <c r="F737" i="2"/>
  <c r="E737" i="2"/>
  <c r="D737" i="2"/>
  <c r="C737" i="2"/>
  <c r="B737" i="2"/>
  <c r="A737" i="2"/>
  <c r="AK736" i="2"/>
  <c r="AJ736" i="2"/>
  <c r="AI736" i="2"/>
  <c r="AH736" i="2"/>
  <c r="AG736" i="2"/>
  <c r="AF736" i="2"/>
  <c r="AE736" i="2"/>
  <c r="AC736" i="2"/>
  <c r="AB736" i="2"/>
  <c r="AA736" i="2"/>
  <c r="Z736" i="2"/>
  <c r="Y736" i="2"/>
  <c r="X736" i="2"/>
  <c r="W736" i="2"/>
  <c r="V736" i="2"/>
  <c r="U736" i="2"/>
  <c r="S736" i="2"/>
  <c r="R736" i="2"/>
  <c r="Q736" i="2"/>
  <c r="P736" i="2"/>
  <c r="O736" i="2"/>
  <c r="N736" i="2"/>
  <c r="M736" i="2"/>
  <c r="L736" i="2"/>
  <c r="K736" i="2"/>
  <c r="J736" i="2"/>
  <c r="I736" i="2"/>
  <c r="H736" i="2"/>
  <c r="G736" i="2"/>
  <c r="F736" i="2"/>
  <c r="E736" i="2"/>
  <c r="D736" i="2"/>
  <c r="C736" i="2"/>
  <c r="B736" i="2"/>
  <c r="A736" i="2"/>
  <c r="AL735" i="2"/>
  <c r="AK735" i="2"/>
  <c r="AJ735" i="2"/>
  <c r="AI735" i="2"/>
  <c r="AH735" i="2"/>
  <c r="AG735" i="2"/>
  <c r="AF735" i="2"/>
  <c r="AE735" i="2"/>
  <c r="AD735" i="2"/>
  <c r="AC735" i="2"/>
  <c r="AB735" i="2"/>
  <c r="AA735" i="2"/>
  <c r="Z735" i="2"/>
  <c r="Y735" i="2"/>
  <c r="X735" i="2"/>
  <c r="W735" i="2"/>
  <c r="V735" i="2"/>
  <c r="U735" i="2"/>
  <c r="S735" i="2"/>
  <c r="R735" i="2"/>
  <c r="Q735" i="2"/>
  <c r="P735" i="2"/>
  <c r="O735" i="2"/>
  <c r="N735" i="2"/>
  <c r="M735" i="2"/>
  <c r="L735" i="2"/>
  <c r="K735" i="2"/>
  <c r="J735" i="2"/>
  <c r="I735" i="2"/>
  <c r="H735" i="2"/>
  <c r="G735" i="2"/>
  <c r="F735" i="2"/>
  <c r="E735" i="2"/>
  <c r="D735" i="2"/>
  <c r="C735" i="2"/>
  <c r="B735" i="2"/>
  <c r="A735" i="2"/>
  <c r="AL734" i="2"/>
  <c r="AK734" i="2"/>
  <c r="AJ734" i="2"/>
  <c r="AI734" i="2"/>
  <c r="AH734" i="2"/>
  <c r="AG734" i="2"/>
  <c r="AF734" i="2"/>
  <c r="AE734" i="2"/>
  <c r="AD734" i="2"/>
  <c r="AC734" i="2"/>
  <c r="AB734" i="2"/>
  <c r="AA734" i="2"/>
  <c r="Z734" i="2"/>
  <c r="Y734" i="2"/>
  <c r="X734" i="2"/>
  <c r="W734" i="2"/>
  <c r="V734" i="2"/>
  <c r="U734" i="2"/>
  <c r="S734" i="2"/>
  <c r="R734" i="2"/>
  <c r="Q734" i="2"/>
  <c r="P734" i="2"/>
  <c r="O734" i="2"/>
  <c r="N734" i="2"/>
  <c r="M734" i="2"/>
  <c r="L734" i="2"/>
  <c r="K734" i="2"/>
  <c r="J734" i="2"/>
  <c r="I734" i="2"/>
  <c r="H734" i="2"/>
  <c r="G734" i="2"/>
  <c r="F734" i="2"/>
  <c r="E734" i="2"/>
  <c r="D734" i="2"/>
  <c r="C734" i="2"/>
  <c r="A734" i="2"/>
  <c r="AK733" i="2"/>
  <c r="AJ733" i="2"/>
  <c r="AI733" i="2"/>
  <c r="AH733" i="2"/>
  <c r="AG733" i="2"/>
  <c r="AF733" i="2"/>
  <c r="AE733" i="2"/>
  <c r="AD733" i="2"/>
  <c r="AC733" i="2"/>
  <c r="AB733" i="2"/>
  <c r="AA733" i="2"/>
  <c r="Z733" i="2"/>
  <c r="Y733" i="2"/>
  <c r="X733" i="2"/>
  <c r="W733" i="2"/>
  <c r="V733" i="2"/>
  <c r="U733" i="2"/>
  <c r="S733" i="2"/>
  <c r="R733" i="2"/>
  <c r="Q733" i="2"/>
  <c r="P733" i="2"/>
  <c r="O733" i="2"/>
  <c r="N733" i="2"/>
  <c r="M733" i="2"/>
  <c r="L733" i="2"/>
  <c r="K733" i="2"/>
  <c r="J733" i="2"/>
  <c r="I733" i="2"/>
  <c r="H733" i="2"/>
  <c r="G733" i="2"/>
  <c r="F733" i="2"/>
  <c r="E733" i="2"/>
  <c r="D733" i="2"/>
  <c r="C733" i="2"/>
  <c r="A733" i="2"/>
  <c r="AL732" i="2"/>
  <c r="AK732" i="2"/>
  <c r="AJ732" i="2"/>
  <c r="AI732" i="2"/>
  <c r="AH732" i="2"/>
  <c r="AG732" i="2"/>
  <c r="AF732" i="2"/>
  <c r="AE732" i="2"/>
  <c r="AD732" i="2"/>
  <c r="AC732" i="2"/>
  <c r="AB732" i="2"/>
  <c r="AA732" i="2"/>
  <c r="Z732" i="2"/>
  <c r="Y732" i="2"/>
  <c r="X732" i="2"/>
  <c r="W732" i="2"/>
  <c r="V732" i="2"/>
  <c r="U732" i="2"/>
  <c r="S732" i="2"/>
  <c r="R732" i="2"/>
  <c r="Q732" i="2"/>
  <c r="P732" i="2"/>
  <c r="O732" i="2"/>
  <c r="N732" i="2"/>
  <c r="M732" i="2"/>
  <c r="L732" i="2"/>
  <c r="K732" i="2"/>
  <c r="J732" i="2"/>
  <c r="I732" i="2"/>
  <c r="H732" i="2"/>
  <c r="G732" i="2"/>
  <c r="F732" i="2"/>
  <c r="E732" i="2"/>
  <c r="D732" i="2"/>
  <c r="C732" i="2"/>
  <c r="A732" i="2"/>
  <c r="AK731" i="2"/>
  <c r="AJ731" i="2"/>
  <c r="AI731" i="2"/>
  <c r="AH731" i="2"/>
  <c r="AG731" i="2"/>
  <c r="AF731" i="2"/>
  <c r="AE731" i="2"/>
  <c r="AD731" i="2"/>
  <c r="AC731" i="2"/>
  <c r="AB731" i="2"/>
  <c r="AA731" i="2"/>
  <c r="Z731" i="2"/>
  <c r="Y731" i="2"/>
  <c r="X731" i="2"/>
  <c r="W731" i="2"/>
  <c r="V731" i="2"/>
  <c r="U731" i="2"/>
  <c r="S731" i="2"/>
  <c r="R731" i="2"/>
  <c r="Q731" i="2"/>
  <c r="P731" i="2"/>
  <c r="O731" i="2"/>
  <c r="N731" i="2"/>
  <c r="M731" i="2"/>
  <c r="L731" i="2"/>
  <c r="K731" i="2"/>
  <c r="J731" i="2"/>
  <c r="I731" i="2"/>
  <c r="H731" i="2"/>
  <c r="G731" i="2"/>
  <c r="F731" i="2"/>
  <c r="E731" i="2"/>
  <c r="D731" i="2"/>
  <c r="C731" i="2"/>
  <c r="B731" i="2"/>
  <c r="A731" i="2"/>
  <c r="AK730" i="2"/>
  <c r="AJ730" i="2"/>
  <c r="AI730" i="2"/>
  <c r="AH730" i="2"/>
  <c r="AG730" i="2"/>
  <c r="AF730" i="2"/>
  <c r="AE730" i="2"/>
  <c r="AD730" i="2"/>
  <c r="AC730" i="2"/>
  <c r="AB730" i="2"/>
  <c r="AA730" i="2"/>
  <c r="Z730" i="2"/>
  <c r="Y730" i="2"/>
  <c r="X730" i="2"/>
  <c r="W730" i="2"/>
  <c r="V730" i="2"/>
  <c r="U730" i="2"/>
  <c r="S730" i="2"/>
  <c r="R730" i="2"/>
  <c r="Q730" i="2"/>
  <c r="P730" i="2"/>
  <c r="O730" i="2"/>
  <c r="N730" i="2"/>
  <c r="M730" i="2"/>
  <c r="L730" i="2"/>
  <c r="K730" i="2"/>
  <c r="J730" i="2"/>
  <c r="I730" i="2"/>
  <c r="H730" i="2"/>
  <c r="G730" i="2"/>
  <c r="F730" i="2"/>
  <c r="E730" i="2"/>
  <c r="D730" i="2"/>
  <c r="C730" i="2"/>
  <c r="B730" i="2"/>
  <c r="A730" i="2"/>
  <c r="AL729" i="2"/>
  <c r="AK729" i="2"/>
  <c r="AJ729" i="2"/>
  <c r="AI729" i="2"/>
  <c r="AG729" i="2"/>
  <c r="AF729" i="2"/>
  <c r="AE729" i="2"/>
  <c r="AC729" i="2"/>
  <c r="AB729" i="2"/>
  <c r="AA729" i="2"/>
  <c r="X729" i="2"/>
  <c r="W729" i="2"/>
  <c r="V729" i="2"/>
  <c r="U729" i="2"/>
  <c r="R729" i="2"/>
  <c r="Q729" i="2"/>
  <c r="P729" i="2"/>
  <c r="O729" i="2"/>
  <c r="N729" i="2"/>
  <c r="M729" i="2"/>
  <c r="L729" i="2"/>
  <c r="K729" i="2"/>
  <c r="J729" i="2"/>
  <c r="I729" i="2"/>
  <c r="H729" i="2"/>
  <c r="G729" i="2"/>
  <c r="F729" i="2"/>
  <c r="E729" i="2"/>
  <c r="D729" i="2"/>
  <c r="C729" i="2"/>
  <c r="A729" i="2"/>
  <c r="AK728" i="2"/>
  <c r="AJ728" i="2"/>
  <c r="AI728" i="2"/>
  <c r="AH728" i="2"/>
  <c r="AG728" i="2"/>
  <c r="AF728" i="2"/>
  <c r="AE728" i="2"/>
  <c r="AC728" i="2"/>
  <c r="AB728" i="2"/>
  <c r="AA728" i="2"/>
  <c r="Z728" i="2"/>
  <c r="Y728" i="2"/>
  <c r="X728" i="2"/>
  <c r="W728" i="2"/>
  <c r="V728" i="2"/>
  <c r="U728" i="2"/>
  <c r="S728" i="2"/>
  <c r="R728" i="2"/>
  <c r="Q728" i="2"/>
  <c r="P728" i="2"/>
  <c r="O728" i="2"/>
  <c r="N728" i="2"/>
  <c r="M728" i="2"/>
  <c r="L728" i="2"/>
  <c r="K728" i="2"/>
  <c r="J728" i="2"/>
  <c r="I728" i="2"/>
  <c r="H728" i="2"/>
  <c r="G728" i="2"/>
  <c r="F728" i="2"/>
  <c r="E728" i="2"/>
  <c r="D728" i="2"/>
  <c r="C728" i="2"/>
  <c r="A728" i="2"/>
  <c r="AK727" i="2"/>
  <c r="AJ727" i="2"/>
  <c r="AI727" i="2"/>
  <c r="AH727" i="2"/>
  <c r="AG727" i="2"/>
  <c r="AF727" i="2"/>
  <c r="AE727" i="2"/>
  <c r="AD727" i="2"/>
  <c r="AC727" i="2"/>
  <c r="AB727" i="2"/>
  <c r="AA727" i="2"/>
  <c r="Z727" i="2"/>
  <c r="Y727" i="2"/>
  <c r="X727" i="2"/>
  <c r="W727" i="2"/>
  <c r="V727" i="2"/>
  <c r="U727" i="2"/>
  <c r="S727" i="2"/>
  <c r="R727" i="2"/>
  <c r="Q727" i="2"/>
  <c r="P727" i="2"/>
  <c r="O727" i="2"/>
  <c r="N727" i="2"/>
  <c r="M727" i="2"/>
  <c r="L727" i="2"/>
  <c r="K727" i="2"/>
  <c r="J727" i="2"/>
  <c r="I727" i="2"/>
  <c r="H727" i="2"/>
  <c r="G727" i="2"/>
  <c r="F727" i="2"/>
  <c r="E727" i="2"/>
  <c r="D727" i="2"/>
  <c r="C727" i="2"/>
  <c r="B727" i="2"/>
  <c r="A727" i="2"/>
  <c r="AL726" i="2"/>
  <c r="AK726" i="2"/>
  <c r="AJ726" i="2"/>
  <c r="AI726" i="2"/>
  <c r="AH726" i="2"/>
  <c r="AG726" i="2"/>
  <c r="AF726" i="2"/>
  <c r="AE726" i="2"/>
  <c r="AD726" i="2"/>
  <c r="AC726" i="2"/>
  <c r="AB726" i="2"/>
  <c r="AA726" i="2"/>
  <c r="Z726" i="2"/>
  <c r="Y726" i="2"/>
  <c r="X726" i="2"/>
  <c r="W726" i="2"/>
  <c r="V726" i="2"/>
  <c r="U726" i="2"/>
  <c r="S726" i="2"/>
  <c r="R726" i="2"/>
  <c r="Q726" i="2"/>
  <c r="P726" i="2"/>
  <c r="O726" i="2"/>
  <c r="N726" i="2"/>
  <c r="M726" i="2"/>
  <c r="L726" i="2"/>
  <c r="K726" i="2"/>
  <c r="J726" i="2"/>
  <c r="I726" i="2"/>
  <c r="H726" i="2"/>
  <c r="G726" i="2"/>
  <c r="F726" i="2"/>
  <c r="E726" i="2"/>
  <c r="D726" i="2"/>
  <c r="C726" i="2"/>
  <c r="A726" i="2"/>
  <c r="AK725" i="2"/>
  <c r="AJ725" i="2"/>
  <c r="AI725" i="2"/>
  <c r="AH725" i="2"/>
  <c r="AG725" i="2"/>
  <c r="AF725" i="2"/>
  <c r="AE725" i="2"/>
  <c r="AD725" i="2"/>
  <c r="AC725" i="2"/>
  <c r="AB725" i="2"/>
  <c r="AA725" i="2"/>
  <c r="Z725" i="2"/>
  <c r="Y725" i="2"/>
  <c r="X725" i="2"/>
  <c r="W725" i="2"/>
  <c r="V725" i="2"/>
  <c r="U725" i="2"/>
  <c r="S725" i="2"/>
  <c r="R725" i="2"/>
  <c r="Q725" i="2"/>
  <c r="P725" i="2"/>
  <c r="O725" i="2"/>
  <c r="N725" i="2"/>
  <c r="M725" i="2"/>
  <c r="L725" i="2"/>
  <c r="K725" i="2"/>
  <c r="J725" i="2"/>
  <c r="I725" i="2"/>
  <c r="H725" i="2"/>
  <c r="G725" i="2"/>
  <c r="F725" i="2"/>
  <c r="E725" i="2"/>
  <c r="D725" i="2"/>
  <c r="C725" i="2"/>
  <c r="B725" i="2"/>
  <c r="A725" i="2"/>
  <c r="AK724" i="2"/>
  <c r="AJ724" i="2"/>
  <c r="AI724" i="2"/>
  <c r="AH724" i="2"/>
  <c r="AG724" i="2"/>
  <c r="AF724" i="2"/>
  <c r="AE724" i="2"/>
  <c r="AD724" i="2"/>
  <c r="AC724" i="2"/>
  <c r="AB724" i="2"/>
  <c r="AA724" i="2"/>
  <c r="Z724" i="2"/>
  <c r="Y724" i="2"/>
  <c r="X724" i="2"/>
  <c r="W724" i="2"/>
  <c r="V724" i="2"/>
  <c r="U724" i="2"/>
  <c r="S724" i="2"/>
  <c r="R724" i="2"/>
  <c r="Q724" i="2"/>
  <c r="P724" i="2"/>
  <c r="O724" i="2"/>
  <c r="N724" i="2"/>
  <c r="M724" i="2"/>
  <c r="L724" i="2"/>
  <c r="K724" i="2"/>
  <c r="J724" i="2"/>
  <c r="I724" i="2"/>
  <c r="H724" i="2"/>
  <c r="G724" i="2"/>
  <c r="F724" i="2"/>
  <c r="E724" i="2"/>
  <c r="D724" i="2"/>
  <c r="C724" i="2"/>
  <c r="B724" i="2"/>
  <c r="A724" i="2"/>
  <c r="AK723" i="2"/>
  <c r="AJ723" i="2"/>
  <c r="AI723" i="2"/>
  <c r="AH723" i="2"/>
  <c r="AG723" i="2"/>
  <c r="AF723" i="2"/>
  <c r="AE723" i="2"/>
  <c r="AD723" i="2"/>
  <c r="AC723" i="2"/>
  <c r="AB723" i="2"/>
  <c r="AA723" i="2"/>
  <c r="Z723" i="2"/>
  <c r="Y723" i="2"/>
  <c r="X723" i="2"/>
  <c r="W723" i="2"/>
  <c r="V723" i="2"/>
  <c r="U723" i="2"/>
  <c r="S723" i="2"/>
  <c r="R723" i="2"/>
  <c r="Q723" i="2"/>
  <c r="P723" i="2"/>
  <c r="O723" i="2"/>
  <c r="N723" i="2"/>
  <c r="M723" i="2"/>
  <c r="L723" i="2"/>
  <c r="K723" i="2"/>
  <c r="J723" i="2"/>
  <c r="I723" i="2"/>
  <c r="H723" i="2"/>
  <c r="G723" i="2"/>
  <c r="F723" i="2"/>
  <c r="E723" i="2"/>
  <c r="D723" i="2"/>
  <c r="C723" i="2"/>
  <c r="B723" i="2"/>
  <c r="A723" i="2"/>
  <c r="AK722" i="2"/>
  <c r="AJ722" i="2"/>
  <c r="AI722" i="2"/>
  <c r="AH722" i="2"/>
  <c r="AG722" i="2"/>
  <c r="AF722" i="2"/>
  <c r="AE722" i="2"/>
  <c r="AC722" i="2"/>
  <c r="AB722" i="2"/>
  <c r="AA722" i="2"/>
  <c r="Z722" i="2"/>
  <c r="Y722" i="2"/>
  <c r="X722" i="2"/>
  <c r="W722" i="2"/>
  <c r="V722" i="2"/>
  <c r="U722" i="2"/>
  <c r="S722" i="2"/>
  <c r="R722" i="2"/>
  <c r="Q722" i="2"/>
  <c r="P722" i="2"/>
  <c r="O722" i="2"/>
  <c r="N722" i="2"/>
  <c r="M722" i="2"/>
  <c r="L722" i="2"/>
  <c r="K722" i="2"/>
  <c r="J722" i="2"/>
  <c r="I722" i="2"/>
  <c r="H722" i="2"/>
  <c r="G722" i="2"/>
  <c r="F722" i="2"/>
  <c r="E722" i="2"/>
  <c r="D722" i="2"/>
  <c r="C722" i="2"/>
  <c r="A722" i="2"/>
  <c r="AL721" i="2"/>
  <c r="AK721" i="2"/>
  <c r="AJ721" i="2"/>
  <c r="AI721" i="2"/>
  <c r="AH721" i="2"/>
  <c r="AG721" i="2"/>
  <c r="AF721" i="2"/>
  <c r="AE721" i="2"/>
  <c r="AD721" i="2"/>
  <c r="AC721" i="2"/>
  <c r="AB721" i="2"/>
  <c r="AA721" i="2"/>
  <c r="Z721" i="2"/>
  <c r="Y721" i="2"/>
  <c r="X721" i="2"/>
  <c r="W721" i="2"/>
  <c r="V721" i="2"/>
  <c r="U721" i="2"/>
  <c r="S721" i="2"/>
  <c r="R721" i="2"/>
  <c r="Q721" i="2"/>
  <c r="P721" i="2"/>
  <c r="O721" i="2"/>
  <c r="N721" i="2"/>
  <c r="M721" i="2"/>
  <c r="L721" i="2"/>
  <c r="K721" i="2"/>
  <c r="J721" i="2"/>
  <c r="I721" i="2"/>
  <c r="H721" i="2"/>
  <c r="G721" i="2"/>
  <c r="F721" i="2"/>
  <c r="E721" i="2"/>
  <c r="D721" i="2"/>
  <c r="C721" i="2"/>
  <c r="B721" i="2"/>
  <c r="A721" i="2"/>
  <c r="AK720" i="2"/>
  <c r="AJ720" i="2"/>
  <c r="AI720" i="2"/>
  <c r="AH720" i="2"/>
  <c r="AG720" i="2"/>
  <c r="AF720" i="2"/>
  <c r="AE720" i="2"/>
  <c r="AC720" i="2"/>
  <c r="AB720" i="2"/>
  <c r="AA720" i="2"/>
  <c r="Z720" i="2"/>
  <c r="Y720" i="2"/>
  <c r="X720" i="2"/>
  <c r="W720" i="2"/>
  <c r="V720" i="2"/>
  <c r="U720" i="2"/>
  <c r="S720" i="2"/>
  <c r="R720" i="2"/>
  <c r="Q720" i="2"/>
  <c r="P720" i="2"/>
  <c r="O720" i="2"/>
  <c r="N720" i="2"/>
  <c r="M720" i="2"/>
  <c r="L720" i="2"/>
  <c r="K720" i="2"/>
  <c r="J720" i="2"/>
  <c r="I720" i="2"/>
  <c r="H720" i="2"/>
  <c r="G720" i="2"/>
  <c r="F720" i="2"/>
  <c r="E720" i="2"/>
  <c r="D720" i="2"/>
  <c r="C720" i="2"/>
  <c r="A720" i="2"/>
  <c r="AL719" i="2"/>
  <c r="AK719" i="2"/>
  <c r="AJ719" i="2"/>
  <c r="AI719" i="2"/>
  <c r="AH719" i="2"/>
  <c r="AG719" i="2"/>
  <c r="AF719" i="2"/>
  <c r="AE719" i="2"/>
  <c r="AD719" i="2"/>
  <c r="AC719" i="2"/>
  <c r="AB719" i="2"/>
  <c r="AA719" i="2"/>
  <c r="Z719" i="2"/>
  <c r="Y719" i="2"/>
  <c r="X719" i="2"/>
  <c r="W719" i="2"/>
  <c r="V719" i="2"/>
  <c r="U719" i="2"/>
  <c r="S719" i="2"/>
  <c r="R719" i="2"/>
  <c r="Q719" i="2"/>
  <c r="P719" i="2"/>
  <c r="O719" i="2"/>
  <c r="N719" i="2"/>
  <c r="M719" i="2"/>
  <c r="L719" i="2"/>
  <c r="K719" i="2"/>
  <c r="J719" i="2"/>
  <c r="I719" i="2"/>
  <c r="H719" i="2"/>
  <c r="G719" i="2"/>
  <c r="F719" i="2"/>
  <c r="E719" i="2"/>
  <c r="D719" i="2"/>
  <c r="C719" i="2"/>
  <c r="B719" i="2"/>
  <c r="A719" i="2"/>
  <c r="AL718" i="2"/>
  <c r="AK718" i="2"/>
  <c r="AJ718" i="2"/>
  <c r="AI718" i="2"/>
  <c r="AH718" i="2"/>
  <c r="AG718" i="2"/>
  <c r="AF718" i="2"/>
  <c r="AE718" i="2"/>
  <c r="AC718" i="2"/>
  <c r="AB718" i="2"/>
  <c r="AA718" i="2"/>
  <c r="Z718" i="2"/>
  <c r="Y718" i="2"/>
  <c r="X718" i="2"/>
  <c r="W718" i="2"/>
  <c r="V718" i="2"/>
  <c r="U718" i="2"/>
  <c r="S718" i="2"/>
  <c r="R718" i="2"/>
  <c r="Q718" i="2"/>
  <c r="P718" i="2"/>
  <c r="O718" i="2"/>
  <c r="N718" i="2"/>
  <c r="M718" i="2"/>
  <c r="L718" i="2"/>
  <c r="K718" i="2"/>
  <c r="J718" i="2"/>
  <c r="I718" i="2"/>
  <c r="H718" i="2"/>
  <c r="G718" i="2"/>
  <c r="F718" i="2"/>
  <c r="E718" i="2"/>
  <c r="D718" i="2"/>
  <c r="C718" i="2"/>
  <c r="B718" i="2"/>
  <c r="A718" i="2"/>
  <c r="AL717" i="2"/>
  <c r="AK717" i="2"/>
  <c r="AJ717" i="2"/>
  <c r="AI717" i="2"/>
  <c r="AH717" i="2"/>
  <c r="AG717" i="2"/>
  <c r="AF717" i="2"/>
  <c r="AE717" i="2"/>
  <c r="AC717" i="2"/>
  <c r="AB717" i="2"/>
  <c r="AA717" i="2"/>
  <c r="Z717" i="2"/>
  <c r="Y717" i="2"/>
  <c r="X717" i="2"/>
  <c r="W717" i="2"/>
  <c r="V717" i="2"/>
  <c r="U717" i="2"/>
  <c r="S717" i="2"/>
  <c r="R717" i="2"/>
  <c r="Q717" i="2"/>
  <c r="P717" i="2"/>
  <c r="O717" i="2"/>
  <c r="N717" i="2"/>
  <c r="M717" i="2"/>
  <c r="L717" i="2"/>
  <c r="K717" i="2"/>
  <c r="J717" i="2"/>
  <c r="I717" i="2"/>
  <c r="H717" i="2"/>
  <c r="G717" i="2"/>
  <c r="F717" i="2"/>
  <c r="E717" i="2"/>
  <c r="D717" i="2"/>
  <c r="C717" i="2"/>
  <c r="A717" i="2"/>
  <c r="AL716" i="2"/>
  <c r="AK716" i="2"/>
  <c r="AJ716" i="2"/>
  <c r="AI716" i="2"/>
  <c r="AH716" i="2"/>
  <c r="AG716" i="2"/>
  <c r="AF716" i="2"/>
  <c r="AE716" i="2"/>
  <c r="AC716" i="2"/>
  <c r="AB716" i="2"/>
  <c r="AA716" i="2"/>
  <c r="Z716" i="2"/>
  <c r="Y716" i="2"/>
  <c r="X716" i="2"/>
  <c r="W716" i="2"/>
  <c r="V716" i="2"/>
  <c r="U716" i="2"/>
  <c r="S716" i="2"/>
  <c r="R716" i="2"/>
  <c r="Q716" i="2"/>
  <c r="P716" i="2"/>
  <c r="O716" i="2"/>
  <c r="N716" i="2"/>
  <c r="M716" i="2"/>
  <c r="L716" i="2"/>
  <c r="K716" i="2"/>
  <c r="J716" i="2"/>
  <c r="I716" i="2"/>
  <c r="H716" i="2"/>
  <c r="G716" i="2"/>
  <c r="F716" i="2"/>
  <c r="E716" i="2"/>
  <c r="D716" i="2"/>
  <c r="C716" i="2"/>
  <c r="B716" i="2"/>
  <c r="A716" i="2"/>
  <c r="AL715" i="2"/>
  <c r="AK715" i="2"/>
  <c r="AJ715" i="2"/>
  <c r="AI715" i="2"/>
  <c r="AH715" i="2"/>
  <c r="AG715" i="2"/>
  <c r="AF715" i="2"/>
  <c r="AE715" i="2"/>
  <c r="AD715" i="2"/>
  <c r="AC715" i="2"/>
  <c r="AB715" i="2"/>
  <c r="AA715" i="2"/>
  <c r="Z715" i="2"/>
  <c r="Y715" i="2"/>
  <c r="X715" i="2"/>
  <c r="W715" i="2"/>
  <c r="V715" i="2"/>
  <c r="U715" i="2"/>
  <c r="S715" i="2"/>
  <c r="R715" i="2"/>
  <c r="Q715" i="2"/>
  <c r="P715" i="2"/>
  <c r="O715" i="2"/>
  <c r="N715" i="2"/>
  <c r="M715" i="2"/>
  <c r="L715" i="2"/>
  <c r="K715" i="2"/>
  <c r="J715" i="2"/>
  <c r="I715" i="2"/>
  <c r="H715" i="2"/>
  <c r="G715" i="2"/>
  <c r="F715" i="2"/>
  <c r="E715" i="2"/>
  <c r="D715" i="2"/>
  <c r="C715" i="2"/>
  <c r="B715" i="2"/>
  <c r="A715" i="2"/>
  <c r="AK714" i="2"/>
  <c r="AJ714" i="2"/>
  <c r="AI714" i="2"/>
  <c r="AH714" i="2"/>
  <c r="AG714" i="2"/>
  <c r="AF714" i="2"/>
  <c r="AE714" i="2"/>
  <c r="AD714" i="2"/>
  <c r="AC714" i="2"/>
  <c r="AB714" i="2"/>
  <c r="AA714" i="2"/>
  <c r="Z714" i="2"/>
  <c r="Y714" i="2"/>
  <c r="X714" i="2"/>
  <c r="W714" i="2"/>
  <c r="V714" i="2"/>
  <c r="U714" i="2"/>
  <c r="S714" i="2"/>
  <c r="R714" i="2"/>
  <c r="Q714" i="2"/>
  <c r="P714" i="2"/>
  <c r="O714" i="2"/>
  <c r="N714" i="2"/>
  <c r="M714" i="2"/>
  <c r="L714" i="2"/>
  <c r="K714" i="2"/>
  <c r="J714" i="2"/>
  <c r="I714" i="2"/>
  <c r="H714" i="2"/>
  <c r="G714" i="2"/>
  <c r="F714" i="2"/>
  <c r="E714" i="2"/>
  <c r="D714" i="2"/>
  <c r="C714" i="2"/>
  <c r="B714" i="2"/>
  <c r="A714" i="2"/>
  <c r="AL713" i="2"/>
  <c r="AK713" i="2"/>
  <c r="AJ713" i="2"/>
  <c r="AI713" i="2"/>
  <c r="AH713" i="2"/>
  <c r="AG713" i="2"/>
  <c r="AF713" i="2"/>
  <c r="AE713" i="2"/>
  <c r="AD713" i="2"/>
  <c r="AC713" i="2"/>
  <c r="AB713" i="2"/>
  <c r="AA713" i="2"/>
  <c r="Z713" i="2"/>
  <c r="Y713" i="2"/>
  <c r="X713" i="2"/>
  <c r="W713" i="2"/>
  <c r="V713" i="2"/>
  <c r="U713" i="2"/>
  <c r="S713" i="2"/>
  <c r="R713" i="2"/>
  <c r="Q713" i="2"/>
  <c r="P713" i="2"/>
  <c r="O713" i="2"/>
  <c r="N713" i="2"/>
  <c r="M713" i="2"/>
  <c r="L713" i="2"/>
  <c r="K713" i="2"/>
  <c r="J713" i="2"/>
  <c r="I713" i="2"/>
  <c r="H713" i="2"/>
  <c r="G713" i="2"/>
  <c r="F713" i="2"/>
  <c r="E713" i="2"/>
  <c r="D713" i="2"/>
  <c r="C713" i="2"/>
  <c r="A713" i="2"/>
  <c r="AK712" i="2"/>
  <c r="AJ712" i="2"/>
  <c r="AI712" i="2"/>
  <c r="AH712" i="2"/>
  <c r="AG712" i="2"/>
  <c r="AF712" i="2"/>
  <c r="AE712" i="2"/>
  <c r="AC712" i="2"/>
  <c r="AB712" i="2"/>
  <c r="AA712" i="2"/>
  <c r="Z712" i="2"/>
  <c r="Y712" i="2"/>
  <c r="X712" i="2"/>
  <c r="W712" i="2"/>
  <c r="V712" i="2"/>
  <c r="U712" i="2"/>
  <c r="S712" i="2"/>
  <c r="R712" i="2"/>
  <c r="Q712" i="2"/>
  <c r="P712" i="2"/>
  <c r="O712" i="2"/>
  <c r="N712" i="2"/>
  <c r="M712" i="2"/>
  <c r="L712" i="2"/>
  <c r="K712" i="2"/>
  <c r="J712" i="2"/>
  <c r="I712" i="2"/>
  <c r="H712" i="2"/>
  <c r="G712" i="2"/>
  <c r="F712" i="2"/>
  <c r="E712" i="2"/>
  <c r="D712" i="2"/>
  <c r="C712" i="2"/>
  <c r="A712" i="2"/>
  <c r="AL711" i="2"/>
  <c r="AK711" i="2"/>
  <c r="AJ711" i="2"/>
  <c r="AI711" i="2"/>
  <c r="AH711" i="2"/>
  <c r="AG711" i="2"/>
  <c r="AF711" i="2"/>
  <c r="AE711" i="2"/>
  <c r="AD711" i="2"/>
  <c r="AC711" i="2"/>
  <c r="AB711" i="2"/>
  <c r="AA711" i="2"/>
  <c r="Z711" i="2"/>
  <c r="Y711" i="2"/>
  <c r="X711" i="2"/>
  <c r="W711" i="2"/>
  <c r="V711" i="2"/>
  <c r="U711" i="2"/>
  <c r="S711" i="2"/>
  <c r="R711" i="2"/>
  <c r="Q711" i="2"/>
  <c r="P711" i="2"/>
  <c r="O711" i="2"/>
  <c r="N711" i="2"/>
  <c r="M711" i="2"/>
  <c r="L711" i="2"/>
  <c r="K711" i="2"/>
  <c r="J711" i="2"/>
  <c r="I711" i="2"/>
  <c r="H711" i="2"/>
  <c r="G711" i="2"/>
  <c r="F711" i="2"/>
  <c r="E711" i="2"/>
  <c r="D711" i="2"/>
  <c r="C711" i="2"/>
  <c r="B711" i="2"/>
  <c r="A711" i="2"/>
  <c r="AL710" i="2"/>
  <c r="AK710" i="2"/>
  <c r="AJ710" i="2"/>
  <c r="AI710" i="2"/>
  <c r="AH710" i="2"/>
  <c r="AG710" i="2"/>
  <c r="AF710" i="2"/>
  <c r="AE710" i="2"/>
  <c r="AC710" i="2"/>
  <c r="AB710" i="2"/>
  <c r="AA710" i="2"/>
  <c r="Z710" i="2"/>
  <c r="Y710" i="2"/>
  <c r="X710" i="2"/>
  <c r="W710" i="2"/>
  <c r="V710" i="2"/>
  <c r="U710" i="2"/>
  <c r="S710" i="2"/>
  <c r="R710" i="2"/>
  <c r="Q710" i="2"/>
  <c r="P710" i="2"/>
  <c r="O710" i="2"/>
  <c r="N710" i="2"/>
  <c r="M710" i="2"/>
  <c r="L710" i="2"/>
  <c r="K710" i="2"/>
  <c r="J710" i="2"/>
  <c r="I710" i="2"/>
  <c r="H710" i="2"/>
  <c r="G710" i="2"/>
  <c r="F710" i="2"/>
  <c r="E710" i="2"/>
  <c r="D710" i="2"/>
  <c r="C710" i="2"/>
  <c r="A710" i="2"/>
  <c r="AK709" i="2"/>
  <c r="AJ709" i="2"/>
  <c r="AI709" i="2"/>
  <c r="AH709" i="2"/>
  <c r="AG709" i="2"/>
  <c r="AF709" i="2"/>
  <c r="AE709" i="2"/>
  <c r="AD709" i="2"/>
  <c r="AC709" i="2"/>
  <c r="AB709" i="2"/>
  <c r="AA709" i="2"/>
  <c r="Z709" i="2"/>
  <c r="Y709" i="2"/>
  <c r="X709" i="2"/>
  <c r="W709" i="2"/>
  <c r="V709" i="2"/>
  <c r="U709" i="2"/>
  <c r="S709" i="2"/>
  <c r="R709" i="2"/>
  <c r="Q709" i="2"/>
  <c r="P709" i="2"/>
  <c r="O709" i="2"/>
  <c r="N709" i="2"/>
  <c r="M709" i="2"/>
  <c r="L709" i="2"/>
  <c r="K709" i="2"/>
  <c r="J709" i="2"/>
  <c r="I709" i="2"/>
  <c r="H709" i="2"/>
  <c r="G709" i="2"/>
  <c r="F709" i="2"/>
  <c r="E709" i="2"/>
  <c r="D709" i="2"/>
  <c r="C709" i="2"/>
  <c r="B709" i="2"/>
  <c r="A709" i="2"/>
  <c r="AL708" i="2"/>
  <c r="AK708" i="2"/>
  <c r="AJ708" i="2"/>
  <c r="AI708" i="2"/>
  <c r="AG708" i="2"/>
  <c r="AF708" i="2"/>
  <c r="AE708" i="2"/>
  <c r="AC708" i="2"/>
  <c r="AB708" i="2"/>
  <c r="AA708" i="2"/>
  <c r="X708" i="2"/>
  <c r="W708" i="2"/>
  <c r="V708" i="2"/>
  <c r="U708" i="2"/>
  <c r="R708" i="2"/>
  <c r="Q708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D708" i="2"/>
  <c r="C708" i="2"/>
  <c r="A708" i="2"/>
  <c r="AL707" i="2"/>
  <c r="AK707" i="2"/>
  <c r="AJ707" i="2"/>
  <c r="AI707" i="2"/>
  <c r="AH707" i="2"/>
  <c r="AG707" i="2"/>
  <c r="AF707" i="2"/>
  <c r="AE707" i="2"/>
  <c r="AD707" i="2"/>
  <c r="AC707" i="2"/>
  <c r="AB707" i="2"/>
  <c r="AA707" i="2"/>
  <c r="Z707" i="2"/>
  <c r="Y707" i="2"/>
  <c r="X707" i="2"/>
  <c r="W707" i="2"/>
  <c r="V707" i="2"/>
  <c r="U707" i="2"/>
  <c r="S707" i="2"/>
  <c r="R707" i="2"/>
  <c r="Q707" i="2"/>
  <c r="P707" i="2"/>
  <c r="O707" i="2"/>
  <c r="N707" i="2"/>
  <c r="M707" i="2"/>
  <c r="L707" i="2"/>
  <c r="K707" i="2"/>
  <c r="J707" i="2"/>
  <c r="I707" i="2"/>
  <c r="H707" i="2"/>
  <c r="G707" i="2"/>
  <c r="F707" i="2"/>
  <c r="E707" i="2"/>
  <c r="D707" i="2"/>
  <c r="C707" i="2"/>
  <c r="A707" i="2"/>
  <c r="AK706" i="2"/>
  <c r="AJ706" i="2"/>
  <c r="AI706" i="2"/>
  <c r="AH706" i="2"/>
  <c r="AG706" i="2"/>
  <c r="AF706" i="2"/>
  <c r="AE706" i="2"/>
  <c r="AC706" i="2"/>
  <c r="AB706" i="2"/>
  <c r="AA706" i="2"/>
  <c r="Z706" i="2"/>
  <c r="Y706" i="2"/>
  <c r="X706" i="2"/>
  <c r="W706" i="2"/>
  <c r="V706" i="2"/>
  <c r="U706" i="2"/>
  <c r="S706" i="2"/>
  <c r="R706" i="2"/>
  <c r="Q706" i="2"/>
  <c r="P706" i="2"/>
  <c r="O706" i="2"/>
  <c r="N706" i="2"/>
  <c r="M706" i="2"/>
  <c r="L706" i="2"/>
  <c r="K706" i="2"/>
  <c r="J706" i="2"/>
  <c r="I706" i="2"/>
  <c r="H706" i="2"/>
  <c r="G706" i="2"/>
  <c r="F706" i="2"/>
  <c r="E706" i="2"/>
  <c r="D706" i="2"/>
  <c r="C706" i="2"/>
  <c r="A706" i="2"/>
  <c r="AL705" i="2"/>
  <c r="AK705" i="2"/>
  <c r="AJ705" i="2"/>
  <c r="AI705" i="2"/>
  <c r="AH705" i="2"/>
  <c r="AG705" i="2"/>
  <c r="AF705" i="2"/>
  <c r="AE705" i="2"/>
  <c r="AD705" i="2"/>
  <c r="AC705" i="2"/>
  <c r="AB705" i="2"/>
  <c r="AA705" i="2"/>
  <c r="Y705" i="2"/>
  <c r="X705" i="2"/>
  <c r="W705" i="2"/>
  <c r="V705" i="2"/>
  <c r="U705" i="2"/>
  <c r="S705" i="2"/>
  <c r="R705" i="2"/>
  <c r="Q705" i="2"/>
  <c r="P705" i="2"/>
  <c r="O705" i="2"/>
  <c r="N705" i="2"/>
  <c r="M705" i="2"/>
  <c r="L705" i="2"/>
  <c r="K705" i="2"/>
  <c r="J705" i="2"/>
  <c r="I705" i="2"/>
  <c r="H705" i="2"/>
  <c r="G705" i="2"/>
  <c r="F705" i="2"/>
  <c r="E705" i="2"/>
  <c r="D705" i="2"/>
  <c r="C705" i="2"/>
  <c r="A705" i="2"/>
  <c r="AK704" i="2"/>
  <c r="AJ704" i="2"/>
  <c r="AI704" i="2"/>
  <c r="AH704" i="2"/>
  <c r="AG704" i="2"/>
  <c r="AF704" i="2"/>
  <c r="AE704" i="2"/>
  <c r="AD704" i="2"/>
  <c r="AC704" i="2"/>
  <c r="AB704" i="2"/>
  <c r="AA704" i="2"/>
  <c r="Z704" i="2"/>
  <c r="Y704" i="2"/>
  <c r="X704" i="2"/>
  <c r="W704" i="2"/>
  <c r="V704" i="2"/>
  <c r="U704" i="2"/>
  <c r="S704" i="2"/>
  <c r="R704" i="2"/>
  <c r="Q704" i="2"/>
  <c r="P704" i="2"/>
  <c r="O704" i="2"/>
  <c r="N704" i="2"/>
  <c r="M704" i="2"/>
  <c r="L704" i="2"/>
  <c r="K704" i="2"/>
  <c r="J704" i="2"/>
  <c r="I704" i="2"/>
  <c r="H704" i="2"/>
  <c r="G704" i="2"/>
  <c r="F704" i="2"/>
  <c r="E704" i="2"/>
  <c r="D704" i="2"/>
  <c r="C704" i="2"/>
  <c r="A704" i="2"/>
  <c r="AK703" i="2"/>
  <c r="AJ703" i="2"/>
  <c r="AI703" i="2"/>
  <c r="AG703" i="2"/>
  <c r="AF703" i="2"/>
  <c r="AE703" i="2"/>
  <c r="AC703" i="2"/>
  <c r="AB703" i="2"/>
  <c r="AA703" i="2"/>
  <c r="X703" i="2"/>
  <c r="W703" i="2"/>
  <c r="V703" i="2"/>
  <c r="U703" i="2"/>
  <c r="R703" i="2"/>
  <c r="Q703" i="2"/>
  <c r="P703" i="2"/>
  <c r="O703" i="2"/>
  <c r="N703" i="2"/>
  <c r="M703" i="2"/>
  <c r="L703" i="2"/>
  <c r="K703" i="2"/>
  <c r="J703" i="2"/>
  <c r="I703" i="2"/>
  <c r="H703" i="2"/>
  <c r="G703" i="2"/>
  <c r="F703" i="2"/>
  <c r="E703" i="2"/>
  <c r="D703" i="2"/>
  <c r="C703" i="2"/>
  <c r="A703" i="2"/>
  <c r="AK702" i="2"/>
  <c r="AJ702" i="2"/>
  <c r="AI702" i="2"/>
  <c r="AH702" i="2"/>
  <c r="AG702" i="2"/>
  <c r="AF702" i="2"/>
  <c r="AE702" i="2"/>
  <c r="AD702" i="2"/>
  <c r="AC702" i="2"/>
  <c r="AB702" i="2"/>
  <c r="AA702" i="2"/>
  <c r="Z702" i="2"/>
  <c r="Y702" i="2"/>
  <c r="X702" i="2"/>
  <c r="W702" i="2"/>
  <c r="V702" i="2"/>
  <c r="U702" i="2"/>
  <c r="S702" i="2"/>
  <c r="R702" i="2"/>
  <c r="Q702" i="2"/>
  <c r="P702" i="2"/>
  <c r="O702" i="2"/>
  <c r="N702" i="2"/>
  <c r="M702" i="2"/>
  <c r="L702" i="2"/>
  <c r="K702" i="2"/>
  <c r="J702" i="2"/>
  <c r="I702" i="2"/>
  <c r="H702" i="2"/>
  <c r="G702" i="2"/>
  <c r="F702" i="2"/>
  <c r="E702" i="2"/>
  <c r="D702" i="2"/>
  <c r="C702" i="2"/>
  <c r="A702" i="2"/>
  <c r="AK701" i="2"/>
  <c r="AJ701" i="2"/>
  <c r="AI701" i="2"/>
  <c r="AH701" i="2"/>
  <c r="AG701" i="2"/>
  <c r="AF701" i="2"/>
  <c r="AE701" i="2"/>
  <c r="AD701" i="2"/>
  <c r="AC701" i="2"/>
  <c r="AB701" i="2"/>
  <c r="AA701" i="2"/>
  <c r="Z701" i="2"/>
  <c r="Y701" i="2"/>
  <c r="X701" i="2"/>
  <c r="W701" i="2"/>
  <c r="V701" i="2"/>
  <c r="U701" i="2"/>
  <c r="S701" i="2"/>
  <c r="R701" i="2"/>
  <c r="Q701" i="2"/>
  <c r="P701" i="2"/>
  <c r="O701" i="2"/>
  <c r="N701" i="2"/>
  <c r="M701" i="2"/>
  <c r="L701" i="2"/>
  <c r="K701" i="2"/>
  <c r="J701" i="2"/>
  <c r="I701" i="2"/>
  <c r="H701" i="2"/>
  <c r="G701" i="2"/>
  <c r="F701" i="2"/>
  <c r="E701" i="2"/>
  <c r="D701" i="2"/>
  <c r="C701" i="2"/>
  <c r="B701" i="2"/>
  <c r="A701" i="2"/>
  <c r="AK700" i="2"/>
  <c r="AJ700" i="2"/>
  <c r="AI700" i="2"/>
  <c r="AH700" i="2"/>
  <c r="AG700" i="2"/>
  <c r="AF700" i="2"/>
  <c r="AE700" i="2"/>
  <c r="AD700" i="2"/>
  <c r="AC700" i="2"/>
  <c r="AB700" i="2"/>
  <c r="AA700" i="2"/>
  <c r="Z700" i="2"/>
  <c r="Y700" i="2"/>
  <c r="X700" i="2"/>
  <c r="W700" i="2"/>
  <c r="V700" i="2"/>
  <c r="U700" i="2"/>
  <c r="S700" i="2"/>
  <c r="R700" i="2"/>
  <c r="Q700" i="2"/>
  <c r="P700" i="2"/>
  <c r="O700" i="2"/>
  <c r="N700" i="2"/>
  <c r="M700" i="2"/>
  <c r="L700" i="2"/>
  <c r="K700" i="2"/>
  <c r="J700" i="2"/>
  <c r="I700" i="2"/>
  <c r="H700" i="2"/>
  <c r="G700" i="2"/>
  <c r="F700" i="2"/>
  <c r="E700" i="2"/>
  <c r="D700" i="2"/>
  <c r="C700" i="2"/>
  <c r="B700" i="2"/>
  <c r="A700" i="2"/>
  <c r="AK699" i="2"/>
  <c r="AJ699" i="2"/>
  <c r="AI699" i="2"/>
  <c r="AH699" i="2"/>
  <c r="AG699" i="2"/>
  <c r="AF699" i="2"/>
  <c r="AE699" i="2"/>
  <c r="AC699" i="2"/>
  <c r="AB699" i="2"/>
  <c r="AA699" i="2"/>
  <c r="Z699" i="2"/>
  <c r="Y699" i="2"/>
  <c r="X699" i="2"/>
  <c r="W699" i="2"/>
  <c r="V699" i="2"/>
  <c r="U699" i="2"/>
  <c r="S699" i="2"/>
  <c r="R699" i="2"/>
  <c r="Q699" i="2"/>
  <c r="P699" i="2"/>
  <c r="O699" i="2"/>
  <c r="N699" i="2"/>
  <c r="M699" i="2"/>
  <c r="L699" i="2"/>
  <c r="K699" i="2"/>
  <c r="J699" i="2"/>
  <c r="I699" i="2"/>
  <c r="H699" i="2"/>
  <c r="G699" i="2"/>
  <c r="F699" i="2"/>
  <c r="E699" i="2"/>
  <c r="D699" i="2"/>
  <c r="C699" i="2"/>
  <c r="A699" i="2"/>
  <c r="AL698" i="2"/>
  <c r="AK698" i="2"/>
  <c r="AJ698" i="2"/>
  <c r="AI698" i="2"/>
  <c r="AH698" i="2"/>
  <c r="AG698" i="2"/>
  <c r="AF698" i="2"/>
  <c r="AE698" i="2"/>
  <c r="AD698" i="2"/>
  <c r="AC698" i="2"/>
  <c r="AB698" i="2"/>
  <c r="AA698" i="2"/>
  <c r="Z698" i="2"/>
  <c r="Y698" i="2"/>
  <c r="X698" i="2"/>
  <c r="W698" i="2"/>
  <c r="V698" i="2"/>
  <c r="U698" i="2"/>
  <c r="S698" i="2"/>
  <c r="R698" i="2"/>
  <c r="Q698" i="2"/>
  <c r="P698" i="2"/>
  <c r="O698" i="2"/>
  <c r="N698" i="2"/>
  <c r="M698" i="2"/>
  <c r="L698" i="2"/>
  <c r="K698" i="2"/>
  <c r="J698" i="2"/>
  <c r="I698" i="2"/>
  <c r="H698" i="2"/>
  <c r="G698" i="2"/>
  <c r="F698" i="2"/>
  <c r="E698" i="2"/>
  <c r="D698" i="2"/>
  <c r="C698" i="2"/>
  <c r="B698" i="2"/>
  <c r="A698" i="2"/>
  <c r="AL697" i="2"/>
  <c r="AK697" i="2"/>
  <c r="AJ697" i="2"/>
  <c r="AI697" i="2"/>
  <c r="AH697" i="2"/>
  <c r="AG697" i="2"/>
  <c r="AF697" i="2"/>
  <c r="AE697" i="2"/>
  <c r="AC697" i="2"/>
  <c r="AB697" i="2"/>
  <c r="AA697" i="2"/>
  <c r="Z697" i="2"/>
  <c r="Y697" i="2"/>
  <c r="X697" i="2"/>
  <c r="W697" i="2"/>
  <c r="V697" i="2"/>
  <c r="U697" i="2"/>
  <c r="S697" i="2"/>
  <c r="R697" i="2"/>
  <c r="Q697" i="2"/>
  <c r="P697" i="2"/>
  <c r="O697" i="2"/>
  <c r="N697" i="2"/>
  <c r="M697" i="2"/>
  <c r="L697" i="2"/>
  <c r="K697" i="2"/>
  <c r="J697" i="2"/>
  <c r="I697" i="2"/>
  <c r="H697" i="2"/>
  <c r="G697" i="2"/>
  <c r="F697" i="2"/>
  <c r="E697" i="2"/>
  <c r="D697" i="2"/>
  <c r="C697" i="2"/>
  <c r="B697" i="2"/>
  <c r="A697" i="2"/>
  <c r="AK696" i="2"/>
  <c r="AJ696" i="2"/>
  <c r="AI696" i="2"/>
  <c r="AH696" i="2"/>
  <c r="AG696" i="2"/>
  <c r="AF696" i="2"/>
  <c r="AE696" i="2"/>
  <c r="AD696" i="2"/>
  <c r="AC696" i="2"/>
  <c r="AB696" i="2"/>
  <c r="AA696" i="2"/>
  <c r="Z696" i="2"/>
  <c r="Y696" i="2"/>
  <c r="X696" i="2"/>
  <c r="W696" i="2"/>
  <c r="V696" i="2"/>
  <c r="U696" i="2"/>
  <c r="S696" i="2"/>
  <c r="R696" i="2"/>
  <c r="Q696" i="2"/>
  <c r="P696" i="2"/>
  <c r="O696" i="2"/>
  <c r="N696" i="2"/>
  <c r="M696" i="2"/>
  <c r="L696" i="2"/>
  <c r="K696" i="2"/>
  <c r="J696" i="2"/>
  <c r="I696" i="2"/>
  <c r="H696" i="2"/>
  <c r="G696" i="2"/>
  <c r="F696" i="2"/>
  <c r="E696" i="2"/>
  <c r="D696" i="2"/>
  <c r="C696" i="2"/>
  <c r="B696" i="2"/>
  <c r="A696" i="2"/>
  <c r="AL695" i="2"/>
  <c r="AK695" i="2"/>
  <c r="AJ695" i="2"/>
  <c r="AI695" i="2"/>
  <c r="AH695" i="2"/>
  <c r="AG695" i="2"/>
  <c r="AF695" i="2"/>
  <c r="AE695" i="2"/>
  <c r="AD695" i="2"/>
  <c r="AC695" i="2"/>
  <c r="AB695" i="2"/>
  <c r="AA695" i="2"/>
  <c r="Z695" i="2"/>
  <c r="Y695" i="2"/>
  <c r="X695" i="2"/>
  <c r="W695" i="2"/>
  <c r="V695" i="2"/>
  <c r="U695" i="2"/>
  <c r="S695" i="2"/>
  <c r="R695" i="2"/>
  <c r="Q695" i="2"/>
  <c r="P695" i="2"/>
  <c r="O695" i="2"/>
  <c r="N695" i="2"/>
  <c r="M695" i="2"/>
  <c r="L695" i="2"/>
  <c r="K695" i="2"/>
  <c r="J695" i="2"/>
  <c r="I695" i="2"/>
  <c r="H695" i="2"/>
  <c r="G695" i="2"/>
  <c r="F695" i="2"/>
  <c r="E695" i="2"/>
  <c r="D695" i="2"/>
  <c r="C695" i="2"/>
  <c r="B695" i="2"/>
  <c r="A695" i="2"/>
  <c r="AL694" i="2"/>
  <c r="AK694" i="2"/>
  <c r="AJ694" i="2"/>
  <c r="AI694" i="2"/>
  <c r="AH694" i="2"/>
  <c r="AG694" i="2"/>
  <c r="AF694" i="2"/>
  <c r="AE694" i="2"/>
  <c r="AD694" i="2"/>
  <c r="AC694" i="2"/>
  <c r="AB694" i="2"/>
  <c r="AA694" i="2"/>
  <c r="Z694" i="2"/>
  <c r="Y694" i="2"/>
  <c r="X694" i="2"/>
  <c r="W694" i="2"/>
  <c r="V694" i="2"/>
  <c r="U694" i="2"/>
  <c r="S694" i="2"/>
  <c r="R694" i="2"/>
  <c r="Q694" i="2"/>
  <c r="P694" i="2"/>
  <c r="O694" i="2"/>
  <c r="N694" i="2"/>
  <c r="M694" i="2"/>
  <c r="L694" i="2"/>
  <c r="K694" i="2"/>
  <c r="J694" i="2"/>
  <c r="I694" i="2"/>
  <c r="H694" i="2"/>
  <c r="G694" i="2"/>
  <c r="F694" i="2"/>
  <c r="E694" i="2"/>
  <c r="D694" i="2"/>
  <c r="C694" i="2"/>
  <c r="B694" i="2"/>
  <c r="A694" i="2"/>
  <c r="AL693" i="2"/>
  <c r="AK693" i="2"/>
  <c r="AJ693" i="2"/>
  <c r="AI693" i="2"/>
  <c r="AH693" i="2"/>
  <c r="AG693" i="2"/>
  <c r="AF693" i="2"/>
  <c r="AE693" i="2"/>
  <c r="AD693" i="2"/>
  <c r="AC693" i="2"/>
  <c r="AB693" i="2"/>
  <c r="AA693" i="2"/>
  <c r="Z693" i="2"/>
  <c r="Y693" i="2"/>
  <c r="X693" i="2"/>
  <c r="W693" i="2"/>
  <c r="V693" i="2"/>
  <c r="U693" i="2"/>
  <c r="S693" i="2"/>
  <c r="R693" i="2"/>
  <c r="Q693" i="2"/>
  <c r="P693" i="2"/>
  <c r="O693" i="2"/>
  <c r="N693" i="2"/>
  <c r="M693" i="2"/>
  <c r="L693" i="2"/>
  <c r="K693" i="2"/>
  <c r="J693" i="2"/>
  <c r="I693" i="2"/>
  <c r="H693" i="2"/>
  <c r="G693" i="2"/>
  <c r="F693" i="2"/>
  <c r="E693" i="2"/>
  <c r="D693" i="2"/>
  <c r="C693" i="2"/>
  <c r="B693" i="2"/>
  <c r="A693" i="2"/>
  <c r="AK692" i="2"/>
  <c r="AJ692" i="2"/>
  <c r="AI692" i="2"/>
  <c r="AG692" i="2"/>
  <c r="AF692" i="2"/>
  <c r="AE692" i="2"/>
  <c r="AC692" i="2"/>
  <c r="AB692" i="2"/>
  <c r="AA692" i="2"/>
  <c r="X692" i="2"/>
  <c r="W692" i="2"/>
  <c r="V692" i="2"/>
  <c r="U692" i="2"/>
  <c r="R692" i="2"/>
  <c r="Q692" i="2"/>
  <c r="P692" i="2"/>
  <c r="O692" i="2"/>
  <c r="N692" i="2"/>
  <c r="M692" i="2"/>
  <c r="L692" i="2"/>
  <c r="K692" i="2"/>
  <c r="J692" i="2"/>
  <c r="I692" i="2"/>
  <c r="H692" i="2"/>
  <c r="G692" i="2"/>
  <c r="F692" i="2"/>
  <c r="E692" i="2"/>
  <c r="D692" i="2"/>
  <c r="C692" i="2"/>
  <c r="B692" i="2"/>
  <c r="A692" i="2"/>
  <c r="AL691" i="2"/>
  <c r="AK691" i="2"/>
  <c r="AJ691" i="2"/>
  <c r="AI691" i="2"/>
  <c r="AH691" i="2"/>
  <c r="AG691" i="2"/>
  <c r="AF691" i="2"/>
  <c r="AE691" i="2"/>
  <c r="AD691" i="2"/>
  <c r="AC691" i="2"/>
  <c r="AB691" i="2"/>
  <c r="AA691" i="2"/>
  <c r="Z691" i="2"/>
  <c r="Y691" i="2"/>
  <c r="X691" i="2"/>
  <c r="W691" i="2"/>
  <c r="V691" i="2"/>
  <c r="U691" i="2"/>
  <c r="S691" i="2"/>
  <c r="R691" i="2"/>
  <c r="Q691" i="2"/>
  <c r="P691" i="2"/>
  <c r="O691" i="2"/>
  <c r="N691" i="2"/>
  <c r="M691" i="2"/>
  <c r="L691" i="2"/>
  <c r="K691" i="2"/>
  <c r="J691" i="2"/>
  <c r="I691" i="2"/>
  <c r="H691" i="2"/>
  <c r="G691" i="2"/>
  <c r="F691" i="2"/>
  <c r="E691" i="2"/>
  <c r="D691" i="2"/>
  <c r="C691" i="2"/>
  <c r="A691" i="2"/>
  <c r="AL690" i="2"/>
  <c r="AK690" i="2"/>
  <c r="AJ690" i="2"/>
  <c r="AI690" i="2"/>
  <c r="AH690" i="2"/>
  <c r="AG690" i="2"/>
  <c r="AF690" i="2"/>
  <c r="AE690" i="2"/>
  <c r="AD690" i="2"/>
  <c r="AC690" i="2"/>
  <c r="AB690" i="2"/>
  <c r="AA690" i="2"/>
  <c r="Z690" i="2"/>
  <c r="Y690" i="2"/>
  <c r="X690" i="2"/>
  <c r="W690" i="2"/>
  <c r="V690" i="2"/>
  <c r="U690" i="2"/>
  <c r="S690" i="2"/>
  <c r="R690" i="2"/>
  <c r="Q690" i="2"/>
  <c r="P690" i="2"/>
  <c r="O690" i="2"/>
  <c r="N690" i="2"/>
  <c r="M690" i="2"/>
  <c r="L690" i="2"/>
  <c r="K690" i="2"/>
  <c r="J690" i="2"/>
  <c r="I690" i="2"/>
  <c r="H690" i="2"/>
  <c r="G690" i="2"/>
  <c r="F690" i="2"/>
  <c r="E690" i="2"/>
  <c r="D690" i="2"/>
  <c r="C690" i="2"/>
  <c r="A690" i="2"/>
  <c r="AL689" i="2"/>
  <c r="AK689" i="2"/>
  <c r="AJ689" i="2"/>
  <c r="AI689" i="2"/>
  <c r="AH689" i="2"/>
  <c r="AG689" i="2"/>
  <c r="AF689" i="2"/>
  <c r="AE689" i="2"/>
  <c r="AD689" i="2"/>
  <c r="AC689" i="2"/>
  <c r="AB689" i="2"/>
  <c r="AA689" i="2"/>
  <c r="Z689" i="2"/>
  <c r="Y689" i="2"/>
  <c r="X689" i="2"/>
  <c r="W689" i="2"/>
  <c r="V689" i="2"/>
  <c r="U689" i="2"/>
  <c r="S689" i="2"/>
  <c r="R689" i="2"/>
  <c r="Q689" i="2"/>
  <c r="P689" i="2"/>
  <c r="O689" i="2"/>
  <c r="N689" i="2"/>
  <c r="M689" i="2"/>
  <c r="L689" i="2"/>
  <c r="K689" i="2"/>
  <c r="J689" i="2"/>
  <c r="I689" i="2"/>
  <c r="H689" i="2"/>
  <c r="G689" i="2"/>
  <c r="F689" i="2"/>
  <c r="E689" i="2"/>
  <c r="D689" i="2"/>
  <c r="C689" i="2"/>
  <c r="A689" i="2"/>
  <c r="AL688" i="2"/>
  <c r="AK688" i="2"/>
  <c r="AJ688" i="2"/>
  <c r="AI688" i="2"/>
  <c r="AH688" i="2"/>
  <c r="AG688" i="2"/>
  <c r="AF688" i="2"/>
  <c r="AE688" i="2"/>
  <c r="AD688" i="2"/>
  <c r="AC688" i="2"/>
  <c r="AB688" i="2"/>
  <c r="AA688" i="2"/>
  <c r="Z688" i="2"/>
  <c r="Y688" i="2"/>
  <c r="X688" i="2"/>
  <c r="W688" i="2"/>
  <c r="V688" i="2"/>
  <c r="U688" i="2"/>
  <c r="S688" i="2"/>
  <c r="R688" i="2"/>
  <c r="Q688" i="2"/>
  <c r="P688" i="2"/>
  <c r="O688" i="2"/>
  <c r="N688" i="2"/>
  <c r="M688" i="2"/>
  <c r="L688" i="2"/>
  <c r="K688" i="2"/>
  <c r="J688" i="2"/>
  <c r="I688" i="2"/>
  <c r="H688" i="2"/>
  <c r="G688" i="2"/>
  <c r="F688" i="2"/>
  <c r="E688" i="2"/>
  <c r="D688" i="2"/>
  <c r="C688" i="2"/>
  <c r="B688" i="2"/>
  <c r="A688" i="2"/>
  <c r="AL687" i="2"/>
  <c r="AK687" i="2"/>
  <c r="AJ687" i="2"/>
  <c r="AI687" i="2"/>
  <c r="AG687" i="2"/>
  <c r="AF687" i="2"/>
  <c r="AE687" i="2"/>
  <c r="AC687" i="2"/>
  <c r="AB687" i="2"/>
  <c r="AA687" i="2"/>
  <c r="X687" i="2"/>
  <c r="W687" i="2"/>
  <c r="V687" i="2"/>
  <c r="U687" i="2"/>
  <c r="R687" i="2"/>
  <c r="Q687" i="2"/>
  <c r="P687" i="2"/>
  <c r="O687" i="2"/>
  <c r="N687" i="2"/>
  <c r="M687" i="2"/>
  <c r="L687" i="2"/>
  <c r="K687" i="2"/>
  <c r="J687" i="2"/>
  <c r="I687" i="2"/>
  <c r="H687" i="2"/>
  <c r="G687" i="2"/>
  <c r="F687" i="2"/>
  <c r="E687" i="2"/>
  <c r="D687" i="2"/>
  <c r="C687" i="2"/>
  <c r="B687" i="2"/>
  <c r="A687" i="2"/>
  <c r="AL686" i="2"/>
  <c r="AK686" i="2"/>
  <c r="AJ686" i="2"/>
  <c r="AI686" i="2"/>
  <c r="AH686" i="2"/>
  <c r="AG686" i="2"/>
  <c r="AF686" i="2"/>
  <c r="AE686" i="2"/>
  <c r="AD686" i="2"/>
  <c r="AC686" i="2"/>
  <c r="AB686" i="2"/>
  <c r="AA686" i="2"/>
  <c r="Z686" i="2"/>
  <c r="Y686" i="2"/>
  <c r="X686" i="2"/>
  <c r="W686" i="2"/>
  <c r="V686" i="2"/>
  <c r="U686" i="2"/>
  <c r="S686" i="2"/>
  <c r="R686" i="2"/>
  <c r="Q686" i="2"/>
  <c r="P686" i="2"/>
  <c r="O686" i="2"/>
  <c r="N686" i="2"/>
  <c r="M686" i="2"/>
  <c r="L686" i="2"/>
  <c r="K686" i="2"/>
  <c r="J686" i="2"/>
  <c r="I686" i="2"/>
  <c r="H686" i="2"/>
  <c r="G686" i="2"/>
  <c r="F686" i="2"/>
  <c r="E686" i="2"/>
  <c r="D686" i="2"/>
  <c r="C686" i="2"/>
  <c r="B686" i="2"/>
  <c r="A686" i="2"/>
  <c r="AK685" i="2"/>
  <c r="AJ685" i="2"/>
  <c r="AI685" i="2"/>
  <c r="AH685" i="2"/>
  <c r="AG685" i="2"/>
  <c r="AF685" i="2"/>
  <c r="AE685" i="2"/>
  <c r="AC685" i="2"/>
  <c r="AB685" i="2"/>
  <c r="AA685" i="2"/>
  <c r="Z685" i="2"/>
  <c r="Y685" i="2"/>
  <c r="X685" i="2"/>
  <c r="W685" i="2"/>
  <c r="V685" i="2"/>
  <c r="U685" i="2"/>
  <c r="S685" i="2"/>
  <c r="R685" i="2"/>
  <c r="Q685" i="2"/>
  <c r="P685" i="2"/>
  <c r="O685" i="2"/>
  <c r="N685" i="2"/>
  <c r="M685" i="2"/>
  <c r="L685" i="2"/>
  <c r="K685" i="2"/>
  <c r="J685" i="2"/>
  <c r="I685" i="2"/>
  <c r="H685" i="2"/>
  <c r="G685" i="2"/>
  <c r="F685" i="2"/>
  <c r="E685" i="2"/>
  <c r="D685" i="2"/>
  <c r="C685" i="2"/>
  <c r="B685" i="2"/>
  <c r="A685" i="2"/>
  <c r="AL684" i="2"/>
  <c r="AK684" i="2"/>
  <c r="AJ684" i="2"/>
  <c r="AI684" i="2"/>
  <c r="AH684" i="2"/>
  <c r="AG684" i="2"/>
  <c r="AF684" i="2"/>
  <c r="AE684" i="2"/>
  <c r="AD684" i="2"/>
  <c r="AC684" i="2"/>
  <c r="AB684" i="2"/>
  <c r="AA684" i="2"/>
  <c r="Z684" i="2"/>
  <c r="Y684" i="2"/>
  <c r="X684" i="2"/>
  <c r="W684" i="2"/>
  <c r="V684" i="2"/>
  <c r="U684" i="2"/>
  <c r="S684" i="2"/>
  <c r="R684" i="2"/>
  <c r="Q684" i="2"/>
  <c r="P684" i="2"/>
  <c r="O684" i="2"/>
  <c r="N684" i="2"/>
  <c r="M684" i="2"/>
  <c r="L684" i="2"/>
  <c r="K684" i="2"/>
  <c r="J684" i="2"/>
  <c r="I684" i="2"/>
  <c r="H684" i="2"/>
  <c r="G684" i="2"/>
  <c r="F684" i="2"/>
  <c r="E684" i="2"/>
  <c r="D684" i="2"/>
  <c r="C684" i="2"/>
  <c r="A684" i="2"/>
  <c r="AK683" i="2"/>
  <c r="AJ683" i="2"/>
  <c r="AI683" i="2"/>
  <c r="AH683" i="2"/>
  <c r="AG683" i="2"/>
  <c r="AF683" i="2"/>
  <c r="AE683" i="2"/>
  <c r="AD683" i="2"/>
  <c r="AC683" i="2"/>
  <c r="AB683" i="2"/>
  <c r="AA683" i="2"/>
  <c r="Z683" i="2"/>
  <c r="Y683" i="2"/>
  <c r="X683" i="2"/>
  <c r="W683" i="2"/>
  <c r="V683" i="2"/>
  <c r="U683" i="2"/>
  <c r="S683" i="2"/>
  <c r="R683" i="2"/>
  <c r="Q683" i="2"/>
  <c r="P683" i="2"/>
  <c r="O683" i="2"/>
  <c r="N683" i="2"/>
  <c r="M683" i="2"/>
  <c r="L683" i="2"/>
  <c r="K683" i="2"/>
  <c r="J683" i="2"/>
  <c r="I683" i="2"/>
  <c r="H683" i="2"/>
  <c r="G683" i="2"/>
  <c r="F683" i="2"/>
  <c r="E683" i="2"/>
  <c r="D683" i="2"/>
  <c r="C683" i="2"/>
  <c r="B683" i="2"/>
  <c r="A683" i="2"/>
  <c r="AL682" i="2"/>
  <c r="AK682" i="2"/>
  <c r="AJ682" i="2"/>
  <c r="AI682" i="2"/>
  <c r="AH682" i="2"/>
  <c r="AG682" i="2"/>
  <c r="AF682" i="2"/>
  <c r="AE682" i="2"/>
  <c r="AD682" i="2"/>
  <c r="AC682" i="2"/>
  <c r="AB682" i="2"/>
  <c r="AA682" i="2"/>
  <c r="Z682" i="2"/>
  <c r="Y682" i="2"/>
  <c r="X682" i="2"/>
  <c r="W682" i="2"/>
  <c r="V682" i="2"/>
  <c r="U682" i="2"/>
  <c r="S682" i="2"/>
  <c r="R682" i="2"/>
  <c r="Q682" i="2"/>
  <c r="P682" i="2"/>
  <c r="O682" i="2"/>
  <c r="N682" i="2"/>
  <c r="M682" i="2"/>
  <c r="L682" i="2"/>
  <c r="K682" i="2"/>
  <c r="J682" i="2"/>
  <c r="I682" i="2"/>
  <c r="H682" i="2"/>
  <c r="G682" i="2"/>
  <c r="F682" i="2"/>
  <c r="E682" i="2"/>
  <c r="D682" i="2"/>
  <c r="C682" i="2"/>
  <c r="A682" i="2"/>
  <c r="AL681" i="2"/>
  <c r="AK681" i="2"/>
  <c r="AJ681" i="2"/>
  <c r="AI681" i="2"/>
  <c r="AH681" i="2"/>
  <c r="AG681" i="2"/>
  <c r="AF681" i="2"/>
  <c r="AE681" i="2"/>
  <c r="AD681" i="2"/>
  <c r="AC681" i="2"/>
  <c r="AB681" i="2"/>
  <c r="AA681" i="2"/>
  <c r="Z681" i="2"/>
  <c r="Y681" i="2"/>
  <c r="X681" i="2"/>
  <c r="W681" i="2"/>
  <c r="V681" i="2"/>
  <c r="U681" i="2"/>
  <c r="S681" i="2"/>
  <c r="R681" i="2"/>
  <c r="Q681" i="2"/>
  <c r="P681" i="2"/>
  <c r="O681" i="2"/>
  <c r="N681" i="2"/>
  <c r="M681" i="2"/>
  <c r="L681" i="2"/>
  <c r="K681" i="2"/>
  <c r="J681" i="2"/>
  <c r="I681" i="2"/>
  <c r="H681" i="2"/>
  <c r="G681" i="2"/>
  <c r="F681" i="2"/>
  <c r="E681" i="2"/>
  <c r="D681" i="2"/>
  <c r="C681" i="2"/>
  <c r="B681" i="2"/>
  <c r="A681" i="2"/>
  <c r="AK680" i="2"/>
  <c r="AJ680" i="2"/>
  <c r="AI680" i="2"/>
  <c r="AH680" i="2"/>
  <c r="AG680" i="2"/>
  <c r="AF680" i="2"/>
  <c r="AE680" i="2"/>
  <c r="AD680" i="2"/>
  <c r="AC680" i="2"/>
  <c r="AB680" i="2"/>
  <c r="AA680" i="2"/>
  <c r="Z680" i="2"/>
  <c r="Y680" i="2"/>
  <c r="X680" i="2"/>
  <c r="W680" i="2"/>
  <c r="V680" i="2"/>
  <c r="U680" i="2"/>
  <c r="S680" i="2"/>
  <c r="R680" i="2"/>
  <c r="Q680" i="2"/>
  <c r="P680" i="2"/>
  <c r="O680" i="2"/>
  <c r="N680" i="2"/>
  <c r="M680" i="2"/>
  <c r="L680" i="2"/>
  <c r="K680" i="2"/>
  <c r="J680" i="2"/>
  <c r="I680" i="2"/>
  <c r="H680" i="2"/>
  <c r="G680" i="2"/>
  <c r="F680" i="2"/>
  <c r="E680" i="2"/>
  <c r="D680" i="2"/>
  <c r="C680" i="2"/>
  <c r="B680" i="2"/>
  <c r="A680" i="2"/>
  <c r="AK679" i="2"/>
  <c r="AJ679" i="2"/>
  <c r="AI679" i="2"/>
  <c r="AH679" i="2"/>
  <c r="AG679" i="2"/>
  <c r="AF679" i="2"/>
  <c r="AE679" i="2"/>
  <c r="AC679" i="2"/>
  <c r="AB679" i="2"/>
  <c r="AA679" i="2"/>
  <c r="Z679" i="2"/>
  <c r="Y679" i="2"/>
  <c r="X679" i="2"/>
  <c r="W679" i="2"/>
  <c r="V679" i="2"/>
  <c r="U679" i="2"/>
  <c r="S679" i="2"/>
  <c r="R679" i="2"/>
  <c r="Q679" i="2"/>
  <c r="P679" i="2"/>
  <c r="O679" i="2"/>
  <c r="N679" i="2"/>
  <c r="M679" i="2"/>
  <c r="L679" i="2"/>
  <c r="K679" i="2"/>
  <c r="J679" i="2"/>
  <c r="I679" i="2"/>
  <c r="H679" i="2"/>
  <c r="G679" i="2"/>
  <c r="F679" i="2"/>
  <c r="E679" i="2"/>
  <c r="D679" i="2"/>
  <c r="C679" i="2"/>
  <c r="A679" i="2"/>
  <c r="AL678" i="2"/>
  <c r="AK678" i="2"/>
  <c r="AJ678" i="2"/>
  <c r="AI678" i="2"/>
  <c r="AH678" i="2"/>
  <c r="AG678" i="2"/>
  <c r="AF678" i="2"/>
  <c r="AE678" i="2"/>
  <c r="AD678" i="2"/>
  <c r="AC678" i="2"/>
  <c r="AB678" i="2"/>
  <c r="AA678" i="2"/>
  <c r="Z678" i="2"/>
  <c r="Y678" i="2"/>
  <c r="X678" i="2"/>
  <c r="W678" i="2"/>
  <c r="V678" i="2"/>
  <c r="U678" i="2"/>
  <c r="S678" i="2"/>
  <c r="R678" i="2"/>
  <c r="Q678" i="2"/>
  <c r="P678" i="2"/>
  <c r="O678" i="2"/>
  <c r="N678" i="2"/>
  <c r="M678" i="2"/>
  <c r="L678" i="2"/>
  <c r="K678" i="2"/>
  <c r="J678" i="2"/>
  <c r="I678" i="2"/>
  <c r="H678" i="2"/>
  <c r="G678" i="2"/>
  <c r="F678" i="2"/>
  <c r="E678" i="2"/>
  <c r="D678" i="2"/>
  <c r="C678" i="2"/>
  <c r="A678" i="2"/>
  <c r="AK677" i="2"/>
  <c r="AJ677" i="2"/>
  <c r="AI677" i="2"/>
  <c r="AH677" i="2"/>
  <c r="AG677" i="2"/>
  <c r="AF677" i="2"/>
  <c r="AE677" i="2"/>
  <c r="AD677" i="2"/>
  <c r="AC677" i="2"/>
  <c r="AB677" i="2"/>
  <c r="AA677" i="2"/>
  <c r="Z677" i="2"/>
  <c r="Y677" i="2"/>
  <c r="X677" i="2"/>
  <c r="W677" i="2"/>
  <c r="V677" i="2"/>
  <c r="U677" i="2"/>
  <c r="S677" i="2"/>
  <c r="R677" i="2"/>
  <c r="Q677" i="2"/>
  <c r="P677" i="2"/>
  <c r="O677" i="2"/>
  <c r="N677" i="2"/>
  <c r="M677" i="2"/>
  <c r="L677" i="2"/>
  <c r="K677" i="2"/>
  <c r="J677" i="2"/>
  <c r="I677" i="2"/>
  <c r="H677" i="2"/>
  <c r="G677" i="2"/>
  <c r="F677" i="2"/>
  <c r="E677" i="2"/>
  <c r="D677" i="2"/>
  <c r="C677" i="2"/>
  <c r="A677" i="2"/>
  <c r="AK676" i="2"/>
  <c r="AJ676" i="2"/>
  <c r="AI676" i="2"/>
  <c r="AH676" i="2"/>
  <c r="AG676" i="2"/>
  <c r="AF676" i="2"/>
  <c r="AE676" i="2"/>
  <c r="AD676" i="2"/>
  <c r="AC676" i="2"/>
  <c r="AB676" i="2"/>
  <c r="AA676" i="2"/>
  <c r="Z676" i="2"/>
  <c r="Y676" i="2"/>
  <c r="X676" i="2"/>
  <c r="W676" i="2"/>
  <c r="V676" i="2"/>
  <c r="U676" i="2"/>
  <c r="S676" i="2"/>
  <c r="R676" i="2"/>
  <c r="Q676" i="2"/>
  <c r="P676" i="2"/>
  <c r="O676" i="2"/>
  <c r="N676" i="2"/>
  <c r="M676" i="2"/>
  <c r="L676" i="2"/>
  <c r="K676" i="2"/>
  <c r="J676" i="2"/>
  <c r="I676" i="2"/>
  <c r="H676" i="2"/>
  <c r="G676" i="2"/>
  <c r="F676" i="2"/>
  <c r="E676" i="2"/>
  <c r="D676" i="2"/>
  <c r="C676" i="2"/>
  <c r="A676" i="2"/>
  <c r="AK675" i="2"/>
  <c r="AJ675" i="2"/>
  <c r="AI675" i="2"/>
  <c r="AH675" i="2"/>
  <c r="AG675" i="2"/>
  <c r="AF675" i="2"/>
  <c r="AE675" i="2"/>
  <c r="AC675" i="2"/>
  <c r="AB675" i="2"/>
  <c r="AA675" i="2"/>
  <c r="Z675" i="2"/>
  <c r="Y675" i="2"/>
  <c r="X675" i="2"/>
  <c r="W675" i="2"/>
  <c r="V675" i="2"/>
  <c r="U675" i="2"/>
  <c r="S675" i="2"/>
  <c r="R675" i="2"/>
  <c r="Q675" i="2"/>
  <c r="P675" i="2"/>
  <c r="O675" i="2"/>
  <c r="N675" i="2"/>
  <c r="M675" i="2"/>
  <c r="L675" i="2"/>
  <c r="K675" i="2"/>
  <c r="J675" i="2"/>
  <c r="I675" i="2"/>
  <c r="H675" i="2"/>
  <c r="G675" i="2"/>
  <c r="F675" i="2"/>
  <c r="E675" i="2"/>
  <c r="D675" i="2"/>
  <c r="C675" i="2"/>
  <c r="B675" i="2"/>
  <c r="A675" i="2"/>
  <c r="AK674" i="2"/>
  <c r="AJ674" i="2"/>
  <c r="AI674" i="2"/>
  <c r="AH674" i="2"/>
  <c r="AG674" i="2"/>
  <c r="AF674" i="2"/>
  <c r="AE674" i="2"/>
  <c r="AD674" i="2"/>
  <c r="AC674" i="2"/>
  <c r="AB674" i="2"/>
  <c r="AA674" i="2"/>
  <c r="Z674" i="2"/>
  <c r="Y674" i="2"/>
  <c r="X674" i="2"/>
  <c r="W674" i="2"/>
  <c r="V674" i="2"/>
  <c r="U674" i="2"/>
  <c r="S674" i="2"/>
  <c r="R674" i="2"/>
  <c r="Q674" i="2"/>
  <c r="P674" i="2"/>
  <c r="O674" i="2"/>
  <c r="N674" i="2"/>
  <c r="M674" i="2"/>
  <c r="L674" i="2"/>
  <c r="K674" i="2"/>
  <c r="J674" i="2"/>
  <c r="I674" i="2"/>
  <c r="H674" i="2"/>
  <c r="G674" i="2"/>
  <c r="F674" i="2"/>
  <c r="E674" i="2"/>
  <c r="D674" i="2"/>
  <c r="C674" i="2"/>
  <c r="B674" i="2"/>
  <c r="A674" i="2"/>
  <c r="AL673" i="2"/>
  <c r="AK673" i="2"/>
  <c r="AJ673" i="2"/>
  <c r="AI673" i="2"/>
  <c r="AH673" i="2"/>
  <c r="AG673" i="2"/>
  <c r="AF673" i="2"/>
  <c r="AE673" i="2"/>
  <c r="AD673" i="2"/>
  <c r="AC673" i="2"/>
  <c r="AB673" i="2"/>
  <c r="AA673" i="2"/>
  <c r="Z673" i="2"/>
  <c r="Y673" i="2"/>
  <c r="X673" i="2"/>
  <c r="W673" i="2"/>
  <c r="V673" i="2"/>
  <c r="U673" i="2"/>
  <c r="S673" i="2"/>
  <c r="R673" i="2"/>
  <c r="Q673" i="2"/>
  <c r="P673" i="2"/>
  <c r="O673" i="2"/>
  <c r="N673" i="2"/>
  <c r="M673" i="2"/>
  <c r="L673" i="2"/>
  <c r="K673" i="2"/>
  <c r="J673" i="2"/>
  <c r="I673" i="2"/>
  <c r="H673" i="2"/>
  <c r="G673" i="2"/>
  <c r="F673" i="2"/>
  <c r="E673" i="2"/>
  <c r="D673" i="2"/>
  <c r="C673" i="2"/>
  <c r="B673" i="2"/>
  <c r="A673" i="2"/>
  <c r="AL672" i="2"/>
  <c r="AK672" i="2"/>
  <c r="AJ672" i="2"/>
  <c r="AI672" i="2"/>
  <c r="AG672" i="2"/>
  <c r="AF672" i="2"/>
  <c r="AE672" i="2"/>
  <c r="AC672" i="2"/>
  <c r="AB672" i="2"/>
  <c r="AA672" i="2"/>
  <c r="X672" i="2"/>
  <c r="W672" i="2"/>
  <c r="V672" i="2"/>
  <c r="U672" i="2"/>
  <c r="R672" i="2"/>
  <c r="Q672" i="2"/>
  <c r="P672" i="2"/>
  <c r="O672" i="2"/>
  <c r="N672" i="2"/>
  <c r="M672" i="2"/>
  <c r="L672" i="2"/>
  <c r="K672" i="2"/>
  <c r="J672" i="2"/>
  <c r="I672" i="2"/>
  <c r="H672" i="2"/>
  <c r="G672" i="2"/>
  <c r="F672" i="2"/>
  <c r="E672" i="2"/>
  <c r="D672" i="2"/>
  <c r="C672" i="2"/>
  <c r="A672" i="2"/>
  <c r="AK671" i="2"/>
  <c r="AJ671" i="2"/>
  <c r="AI671" i="2"/>
  <c r="AH671" i="2"/>
  <c r="AG671" i="2"/>
  <c r="AF671" i="2"/>
  <c r="AE671" i="2"/>
  <c r="AC671" i="2"/>
  <c r="AB671" i="2"/>
  <c r="AA671" i="2"/>
  <c r="Z671" i="2"/>
  <c r="Y671" i="2"/>
  <c r="X671" i="2"/>
  <c r="W671" i="2"/>
  <c r="V671" i="2"/>
  <c r="U671" i="2"/>
  <c r="S671" i="2"/>
  <c r="R671" i="2"/>
  <c r="Q671" i="2"/>
  <c r="P671" i="2"/>
  <c r="O671" i="2"/>
  <c r="N671" i="2"/>
  <c r="M671" i="2"/>
  <c r="L671" i="2"/>
  <c r="K671" i="2"/>
  <c r="J671" i="2"/>
  <c r="I671" i="2"/>
  <c r="H671" i="2"/>
  <c r="G671" i="2"/>
  <c r="F671" i="2"/>
  <c r="E671" i="2"/>
  <c r="D671" i="2"/>
  <c r="C671" i="2"/>
  <c r="A671" i="2"/>
  <c r="AK670" i="2"/>
  <c r="AJ670" i="2"/>
  <c r="AI670" i="2"/>
  <c r="AH670" i="2"/>
  <c r="AG670" i="2"/>
  <c r="AF670" i="2"/>
  <c r="AE670" i="2"/>
  <c r="AD670" i="2"/>
  <c r="AC670" i="2"/>
  <c r="AB670" i="2"/>
  <c r="AA670" i="2"/>
  <c r="Z670" i="2"/>
  <c r="Y670" i="2"/>
  <c r="X670" i="2"/>
  <c r="W670" i="2"/>
  <c r="V670" i="2"/>
  <c r="U670" i="2"/>
  <c r="S670" i="2"/>
  <c r="R670" i="2"/>
  <c r="Q670" i="2"/>
  <c r="P670" i="2"/>
  <c r="O670" i="2"/>
  <c r="N670" i="2"/>
  <c r="M670" i="2"/>
  <c r="L670" i="2"/>
  <c r="K670" i="2"/>
  <c r="J670" i="2"/>
  <c r="I670" i="2"/>
  <c r="H670" i="2"/>
  <c r="G670" i="2"/>
  <c r="F670" i="2"/>
  <c r="E670" i="2"/>
  <c r="D670" i="2"/>
  <c r="C670" i="2"/>
  <c r="B670" i="2"/>
  <c r="A670" i="2"/>
  <c r="AL669" i="2"/>
  <c r="AK669" i="2"/>
  <c r="AJ669" i="2"/>
  <c r="AI669" i="2"/>
  <c r="AH669" i="2"/>
  <c r="AG669" i="2"/>
  <c r="AF669" i="2"/>
  <c r="AE669" i="2"/>
  <c r="AD669" i="2"/>
  <c r="AC669" i="2"/>
  <c r="AB669" i="2"/>
  <c r="AA669" i="2"/>
  <c r="Z669" i="2"/>
  <c r="Y669" i="2"/>
  <c r="X669" i="2"/>
  <c r="W669" i="2"/>
  <c r="V669" i="2"/>
  <c r="U669" i="2"/>
  <c r="S669" i="2"/>
  <c r="R669" i="2"/>
  <c r="Q669" i="2"/>
  <c r="P669" i="2"/>
  <c r="O669" i="2"/>
  <c r="N669" i="2"/>
  <c r="M669" i="2"/>
  <c r="L669" i="2"/>
  <c r="K669" i="2"/>
  <c r="J669" i="2"/>
  <c r="I669" i="2"/>
  <c r="H669" i="2"/>
  <c r="G669" i="2"/>
  <c r="F669" i="2"/>
  <c r="E669" i="2"/>
  <c r="D669" i="2"/>
  <c r="C669" i="2"/>
  <c r="B669" i="2"/>
  <c r="A669" i="2"/>
  <c r="AK668" i="2"/>
  <c r="AJ668" i="2"/>
  <c r="AI668" i="2"/>
  <c r="AH668" i="2"/>
  <c r="AG668" i="2"/>
  <c r="AF668" i="2"/>
  <c r="AE668" i="2"/>
  <c r="AC668" i="2"/>
  <c r="AB668" i="2"/>
  <c r="AA668" i="2"/>
  <c r="Z668" i="2"/>
  <c r="Y668" i="2"/>
  <c r="X668" i="2"/>
  <c r="W668" i="2"/>
  <c r="V668" i="2"/>
  <c r="U668" i="2"/>
  <c r="S668" i="2"/>
  <c r="R668" i="2"/>
  <c r="Q668" i="2"/>
  <c r="P668" i="2"/>
  <c r="O668" i="2"/>
  <c r="N668" i="2"/>
  <c r="M668" i="2"/>
  <c r="L668" i="2"/>
  <c r="K668" i="2"/>
  <c r="J668" i="2"/>
  <c r="I668" i="2"/>
  <c r="H668" i="2"/>
  <c r="G668" i="2"/>
  <c r="F668" i="2"/>
  <c r="E668" i="2"/>
  <c r="D668" i="2"/>
  <c r="C668" i="2"/>
  <c r="B668" i="2"/>
  <c r="A668" i="2"/>
  <c r="AL667" i="2"/>
  <c r="AK667" i="2"/>
  <c r="AJ667" i="2"/>
  <c r="AI667" i="2"/>
  <c r="AH667" i="2"/>
  <c r="AG667" i="2"/>
  <c r="AF667" i="2"/>
  <c r="AE667" i="2"/>
  <c r="AD667" i="2"/>
  <c r="AC667" i="2"/>
  <c r="AB667" i="2"/>
  <c r="AA667" i="2"/>
  <c r="Z667" i="2"/>
  <c r="Y667" i="2"/>
  <c r="X667" i="2"/>
  <c r="W667" i="2"/>
  <c r="V667" i="2"/>
  <c r="U667" i="2"/>
  <c r="S667" i="2"/>
  <c r="R667" i="2"/>
  <c r="Q667" i="2"/>
  <c r="P667" i="2"/>
  <c r="O667" i="2"/>
  <c r="N667" i="2"/>
  <c r="M667" i="2"/>
  <c r="L667" i="2"/>
  <c r="K667" i="2"/>
  <c r="J667" i="2"/>
  <c r="I667" i="2"/>
  <c r="H667" i="2"/>
  <c r="G667" i="2"/>
  <c r="F667" i="2"/>
  <c r="E667" i="2"/>
  <c r="D667" i="2"/>
  <c r="C667" i="2"/>
  <c r="A667" i="2"/>
  <c r="AK666" i="2"/>
  <c r="AJ666" i="2"/>
  <c r="AI666" i="2"/>
  <c r="AH666" i="2"/>
  <c r="AG666" i="2"/>
  <c r="AF666" i="2"/>
  <c r="AE666" i="2"/>
  <c r="AD666" i="2"/>
  <c r="AC666" i="2"/>
  <c r="AB666" i="2"/>
  <c r="AA666" i="2"/>
  <c r="Z666" i="2"/>
  <c r="Y666" i="2"/>
  <c r="X666" i="2"/>
  <c r="W666" i="2"/>
  <c r="V666" i="2"/>
  <c r="U666" i="2"/>
  <c r="S666" i="2"/>
  <c r="R666" i="2"/>
  <c r="Q666" i="2"/>
  <c r="P666" i="2"/>
  <c r="O666" i="2"/>
  <c r="N666" i="2"/>
  <c r="M666" i="2"/>
  <c r="L666" i="2"/>
  <c r="K666" i="2"/>
  <c r="J666" i="2"/>
  <c r="I666" i="2"/>
  <c r="H666" i="2"/>
  <c r="G666" i="2"/>
  <c r="F666" i="2"/>
  <c r="E666" i="2"/>
  <c r="D666" i="2"/>
  <c r="C666" i="2"/>
  <c r="B666" i="2"/>
  <c r="A666" i="2"/>
  <c r="AL665" i="2"/>
  <c r="AK665" i="2"/>
  <c r="AJ665" i="2"/>
  <c r="AI665" i="2"/>
  <c r="AH665" i="2"/>
  <c r="AG665" i="2"/>
  <c r="AF665" i="2"/>
  <c r="AE665" i="2"/>
  <c r="AD665" i="2"/>
  <c r="AC665" i="2"/>
  <c r="AB665" i="2"/>
  <c r="AA665" i="2"/>
  <c r="Z665" i="2"/>
  <c r="Y665" i="2"/>
  <c r="X665" i="2"/>
  <c r="W665" i="2"/>
  <c r="V665" i="2"/>
  <c r="U665" i="2"/>
  <c r="S665" i="2"/>
  <c r="R665" i="2"/>
  <c r="Q665" i="2"/>
  <c r="P665" i="2"/>
  <c r="O665" i="2"/>
  <c r="N665" i="2"/>
  <c r="M665" i="2"/>
  <c r="L665" i="2"/>
  <c r="K665" i="2"/>
  <c r="J665" i="2"/>
  <c r="I665" i="2"/>
  <c r="H665" i="2"/>
  <c r="G665" i="2"/>
  <c r="F665" i="2"/>
  <c r="E665" i="2"/>
  <c r="D665" i="2"/>
  <c r="C665" i="2"/>
  <c r="B665" i="2"/>
  <c r="A665" i="2"/>
  <c r="AK664" i="2"/>
  <c r="AJ664" i="2"/>
  <c r="AI664" i="2"/>
  <c r="AH664" i="2"/>
  <c r="AG664" i="2"/>
  <c r="AF664" i="2"/>
  <c r="AE664" i="2"/>
  <c r="AD664" i="2"/>
  <c r="AC664" i="2"/>
  <c r="AB664" i="2"/>
  <c r="AA664" i="2"/>
  <c r="Z664" i="2"/>
  <c r="Y664" i="2"/>
  <c r="X664" i="2"/>
  <c r="W664" i="2"/>
  <c r="V664" i="2"/>
  <c r="U664" i="2"/>
  <c r="S664" i="2"/>
  <c r="R664" i="2"/>
  <c r="Q664" i="2"/>
  <c r="P664" i="2"/>
  <c r="O664" i="2"/>
  <c r="N664" i="2"/>
  <c r="M664" i="2"/>
  <c r="L664" i="2"/>
  <c r="K664" i="2"/>
  <c r="J664" i="2"/>
  <c r="I664" i="2"/>
  <c r="H664" i="2"/>
  <c r="G664" i="2"/>
  <c r="F664" i="2"/>
  <c r="E664" i="2"/>
  <c r="D664" i="2"/>
  <c r="C664" i="2"/>
  <c r="B664" i="2"/>
  <c r="A664" i="2"/>
  <c r="AK663" i="2"/>
  <c r="AJ663" i="2"/>
  <c r="AI663" i="2"/>
  <c r="AH663" i="2"/>
  <c r="AG663" i="2"/>
  <c r="AF663" i="2"/>
  <c r="AE663" i="2"/>
  <c r="AD663" i="2"/>
  <c r="AC663" i="2"/>
  <c r="AB663" i="2"/>
  <c r="AA663" i="2"/>
  <c r="Z663" i="2"/>
  <c r="Y663" i="2"/>
  <c r="X663" i="2"/>
  <c r="W663" i="2"/>
  <c r="V663" i="2"/>
  <c r="U663" i="2"/>
  <c r="S663" i="2"/>
  <c r="R663" i="2"/>
  <c r="Q663" i="2"/>
  <c r="P663" i="2"/>
  <c r="O663" i="2"/>
  <c r="N663" i="2"/>
  <c r="M663" i="2"/>
  <c r="L663" i="2"/>
  <c r="K663" i="2"/>
  <c r="J663" i="2"/>
  <c r="I663" i="2"/>
  <c r="H663" i="2"/>
  <c r="G663" i="2"/>
  <c r="F663" i="2"/>
  <c r="E663" i="2"/>
  <c r="D663" i="2"/>
  <c r="C663" i="2"/>
  <c r="A663" i="2"/>
  <c r="AL662" i="2"/>
  <c r="AK662" i="2"/>
  <c r="AJ662" i="2"/>
  <c r="AI662" i="2"/>
  <c r="AH662" i="2"/>
  <c r="AG662" i="2"/>
  <c r="AF662" i="2"/>
  <c r="AE662" i="2"/>
  <c r="AC662" i="2"/>
  <c r="AB662" i="2"/>
  <c r="AA662" i="2"/>
  <c r="Z662" i="2"/>
  <c r="Y662" i="2"/>
  <c r="X662" i="2"/>
  <c r="W662" i="2"/>
  <c r="V662" i="2"/>
  <c r="U662" i="2"/>
  <c r="S662" i="2"/>
  <c r="R662" i="2"/>
  <c r="Q662" i="2"/>
  <c r="P662" i="2"/>
  <c r="O662" i="2"/>
  <c r="N662" i="2"/>
  <c r="M662" i="2"/>
  <c r="L662" i="2"/>
  <c r="K662" i="2"/>
  <c r="J662" i="2"/>
  <c r="I662" i="2"/>
  <c r="H662" i="2"/>
  <c r="G662" i="2"/>
  <c r="F662" i="2"/>
  <c r="E662" i="2"/>
  <c r="D662" i="2"/>
  <c r="C662" i="2"/>
  <c r="A662" i="2"/>
  <c r="AL661" i="2"/>
  <c r="AK661" i="2"/>
  <c r="AJ661" i="2"/>
  <c r="AI661" i="2"/>
  <c r="AH661" i="2"/>
  <c r="AG661" i="2"/>
  <c r="AF661" i="2"/>
  <c r="AE661" i="2"/>
  <c r="AD661" i="2"/>
  <c r="AC661" i="2"/>
  <c r="AB661" i="2"/>
  <c r="AA661" i="2"/>
  <c r="Z661" i="2"/>
  <c r="Y661" i="2"/>
  <c r="X661" i="2"/>
  <c r="W661" i="2"/>
  <c r="V661" i="2"/>
  <c r="U661" i="2"/>
  <c r="S661" i="2"/>
  <c r="R661" i="2"/>
  <c r="Q661" i="2"/>
  <c r="P661" i="2"/>
  <c r="O661" i="2"/>
  <c r="N661" i="2"/>
  <c r="M661" i="2"/>
  <c r="L661" i="2"/>
  <c r="K661" i="2"/>
  <c r="J661" i="2"/>
  <c r="I661" i="2"/>
  <c r="H661" i="2"/>
  <c r="G661" i="2"/>
  <c r="F661" i="2"/>
  <c r="E661" i="2"/>
  <c r="D661" i="2"/>
  <c r="C661" i="2"/>
  <c r="B661" i="2"/>
  <c r="A661" i="2"/>
  <c r="AK660" i="2"/>
  <c r="AJ660" i="2"/>
  <c r="AI660" i="2"/>
  <c r="AG660" i="2"/>
  <c r="AF660" i="2"/>
  <c r="AE660" i="2"/>
  <c r="AC660" i="2"/>
  <c r="AB660" i="2"/>
  <c r="AA660" i="2"/>
  <c r="X660" i="2"/>
  <c r="W660" i="2"/>
  <c r="V660" i="2"/>
  <c r="U660" i="2"/>
  <c r="R660" i="2"/>
  <c r="Q660" i="2"/>
  <c r="P660" i="2"/>
  <c r="O660" i="2"/>
  <c r="N660" i="2"/>
  <c r="M660" i="2"/>
  <c r="L660" i="2"/>
  <c r="K660" i="2"/>
  <c r="J660" i="2"/>
  <c r="I660" i="2"/>
  <c r="H660" i="2"/>
  <c r="G660" i="2"/>
  <c r="F660" i="2"/>
  <c r="E660" i="2"/>
  <c r="D660" i="2"/>
  <c r="C660" i="2"/>
  <c r="A660" i="2"/>
  <c r="AL659" i="2"/>
  <c r="AK659" i="2"/>
  <c r="AJ659" i="2"/>
  <c r="AI659" i="2"/>
  <c r="AH659" i="2"/>
  <c r="AG659" i="2"/>
  <c r="AF659" i="2"/>
  <c r="AE659" i="2"/>
  <c r="AD659" i="2"/>
  <c r="AC659" i="2"/>
  <c r="AB659" i="2"/>
  <c r="AA659" i="2"/>
  <c r="Z659" i="2"/>
  <c r="Y659" i="2"/>
  <c r="X659" i="2"/>
  <c r="W659" i="2"/>
  <c r="V659" i="2"/>
  <c r="U659" i="2"/>
  <c r="S659" i="2"/>
  <c r="R659" i="2"/>
  <c r="Q659" i="2"/>
  <c r="P659" i="2"/>
  <c r="O659" i="2"/>
  <c r="N659" i="2"/>
  <c r="M659" i="2"/>
  <c r="L659" i="2"/>
  <c r="K659" i="2"/>
  <c r="J659" i="2"/>
  <c r="I659" i="2"/>
  <c r="H659" i="2"/>
  <c r="G659" i="2"/>
  <c r="F659" i="2"/>
  <c r="E659" i="2"/>
  <c r="D659" i="2"/>
  <c r="C659" i="2"/>
  <c r="A659" i="2"/>
  <c r="AK658" i="2"/>
  <c r="AJ658" i="2"/>
  <c r="AI658" i="2"/>
  <c r="AH658" i="2"/>
  <c r="AG658" i="2"/>
  <c r="AF658" i="2"/>
  <c r="AE658" i="2"/>
  <c r="AD658" i="2"/>
  <c r="AC658" i="2"/>
  <c r="AB658" i="2"/>
  <c r="AA658" i="2"/>
  <c r="Z658" i="2"/>
  <c r="Y658" i="2"/>
  <c r="X658" i="2"/>
  <c r="W658" i="2"/>
  <c r="V658" i="2"/>
  <c r="U658" i="2"/>
  <c r="S658" i="2"/>
  <c r="R658" i="2"/>
  <c r="Q658" i="2"/>
  <c r="P658" i="2"/>
  <c r="O658" i="2"/>
  <c r="N658" i="2"/>
  <c r="M658" i="2"/>
  <c r="L658" i="2"/>
  <c r="K658" i="2"/>
  <c r="J658" i="2"/>
  <c r="I658" i="2"/>
  <c r="H658" i="2"/>
  <c r="G658" i="2"/>
  <c r="F658" i="2"/>
  <c r="E658" i="2"/>
  <c r="D658" i="2"/>
  <c r="C658" i="2"/>
  <c r="A658" i="2"/>
  <c r="AK657" i="2"/>
  <c r="AJ657" i="2"/>
  <c r="AI657" i="2"/>
  <c r="AH657" i="2"/>
  <c r="AG657" i="2"/>
  <c r="AF657" i="2"/>
  <c r="AE657" i="2"/>
  <c r="AC657" i="2"/>
  <c r="AB657" i="2"/>
  <c r="AA657" i="2"/>
  <c r="Z657" i="2"/>
  <c r="Y657" i="2"/>
  <c r="X657" i="2"/>
  <c r="W657" i="2"/>
  <c r="V657" i="2"/>
  <c r="U657" i="2"/>
  <c r="S657" i="2"/>
  <c r="R657" i="2"/>
  <c r="Q657" i="2"/>
  <c r="P657" i="2"/>
  <c r="O657" i="2"/>
  <c r="N657" i="2"/>
  <c r="M657" i="2"/>
  <c r="L657" i="2"/>
  <c r="K657" i="2"/>
  <c r="J657" i="2"/>
  <c r="I657" i="2"/>
  <c r="H657" i="2"/>
  <c r="G657" i="2"/>
  <c r="F657" i="2"/>
  <c r="E657" i="2"/>
  <c r="D657" i="2"/>
  <c r="C657" i="2"/>
  <c r="A657" i="2"/>
  <c r="AL656" i="2"/>
  <c r="AK656" i="2"/>
  <c r="AJ656" i="2"/>
  <c r="AI656" i="2"/>
  <c r="AH656" i="2"/>
  <c r="AG656" i="2"/>
  <c r="AF656" i="2"/>
  <c r="AE656" i="2"/>
  <c r="AD656" i="2"/>
  <c r="AC656" i="2"/>
  <c r="AB656" i="2"/>
  <c r="AA656" i="2"/>
  <c r="Z656" i="2"/>
  <c r="Y656" i="2"/>
  <c r="X656" i="2"/>
  <c r="W656" i="2"/>
  <c r="V656" i="2"/>
  <c r="U656" i="2"/>
  <c r="S656" i="2"/>
  <c r="R656" i="2"/>
  <c r="Q656" i="2"/>
  <c r="P656" i="2"/>
  <c r="O656" i="2"/>
  <c r="N656" i="2"/>
  <c r="M656" i="2"/>
  <c r="L656" i="2"/>
  <c r="K656" i="2"/>
  <c r="J656" i="2"/>
  <c r="I656" i="2"/>
  <c r="H656" i="2"/>
  <c r="G656" i="2"/>
  <c r="F656" i="2"/>
  <c r="E656" i="2"/>
  <c r="D656" i="2"/>
  <c r="C656" i="2"/>
  <c r="A656" i="2"/>
  <c r="AL655" i="2"/>
  <c r="AK655" i="2"/>
  <c r="AJ655" i="2"/>
  <c r="AI655" i="2"/>
  <c r="AH655" i="2"/>
  <c r="AG655" i="2"/>
  <c r="AF655" i="2"/>
  <c r="AE655" i="2"/>
  <c r="AD655" i="2"/>
  <c r="AC655" i="2"/>
  <c r="AB655" i="2"/>
  <c r="AA655" i="2"/>
  <c r="Z655" i="2"/>
  <c r="Y655" i="2"/>
  <c r="X655" i="2"/>
  <c r="W655" i="2"/>
  <c r="V655" i="2"/>
  <c r="U655" i="2"/>
  <c r="S655" i="2"/>
  <c r="R655" i="2"/>
  <c r="Q655" i="2"/>
  <c r="P655" i="2"/>
  <c r="O655" i="2"/>
  <c r="N655" i="2"/>
  <c r="M655" i="2"/>
  <c r="L655" i="2"/>
  <c r="K655" i="2"/>
  <c r="J655" i="2"/>
  <c r="I655" i="2"/>
  <c r="H655" i="2"/>
  <c r="G655" i="2"/>
  <c r="F655" i="2"/>
  <c r="E655" i="2"/>
  <c r="D655" i="2"/>
  <c r="C655" i="2"/>
  <c r="B655" i="2"/>
  <c r="A655" i="2"/>
  <c r="AK654" i="2"/>
  <c r="AJ654" i="2"/>
  <c r="AI654" i="2"/>
  <c r="AH654" i="2"/>
  <c r="AG654" i="2"/>
  <c r="AF654" i="2"/>
  <c r="AE654" i="2"/>
  <c r="AD654" i="2"/>
  <c r="AC654" i="2"/>
  <c r="AB654" i="2"/>
  <c r="AA654" i="2"/>
  <c r="Z654" i="2"/>
  <c r="Y654" i="2"/>
  <c r="X654" i="2"/>
  <c r="W654" i="2"/>
  <c r="V654" i="2"/>
  <c r="U654" i="2"/>
  <c r="S654" i="2"/>
  <c r="R654" i="2"/>
  <c r="Q654" i="2"/>
  <c r="P654" i="2"/>
  <c r="O654" i="2"/>
  <c r="N654" i="2"/>
  <c r="M654" i="2"/>
  <c r="L654" i="2"/>
  <c r="K654" i="2"/>
  <c r="J654" i="2"/>
  <c r="I654" i="2"/>
  <c r="H654" i="2"/>
  <c r="G654" i="2"/>
  <c r="F654" i="2"/>
  <c r="E654" i="2"/>
  <c r="D654" i="2"/>
  <c r="C654" i="2"/>
  <c r="A654" i="2"/>
  <c r="AL653" i="2"/>
  <c r="AK653" i="2"/>
  <c r="AJ653" i="2"/>
  <c r="AI653" i="2"/>
  <c r="AH653" i="2"/>
  <c r="AG653" i="2"/>
  <c r="AF653" i="2"/>
  <c r="AE653" i="2"/>
  <c r="AD653" i="2"/>
  <c r="AC653" i="2"/>
  <c r="AB653" i="2"/>
  <c r="AA653" i="2"/>
  <c r="Z653" i="2"/>
  <c r="Y653" i="2"/>
  <c r="X653" i="2"/>
  <c r="W653" i="2"/>
  <c r="V653" i="2"/>
  <c r="U653" i="2"/>
  <c r="S653" i="2"/>
  <c r="R653" i="2"/>
  <c r="Q653" i="2"/>
  <c r="P653" i="2"/>
  <c r="O653" i="2"/>
  <c r="N653" i="2"/>
  <c r="M653" i="2"/>
  <c r="L653" i="2"/>
  <c r="K653" i="2"/>
  <c r="J653" i="2"/>
  <c r="I653" i="2"/>
  <c r="H653" i="2"/>
  <c r="G653" i="2"/>
  <c r="F653" i="2"/>
  <c r="E653" i="2"/>
  <c r="D653" i="2"/>
  <c r="C653" i="2"/>
  <c r="B653" i="2"/>
  <c r="A653" i="2"/>
  <c r="AK652" i="2"/>
  <c r="AJ652" i="2"/>
  <c r="AI652" i="2"/>
  <c r="AH652" i="2"/>
  <c r="AG652" i="2"/>
  <c r="AF652" i="2"/>
  <c r="AE652" i="2"/>
  <c r="AD652" i="2"/>
  <c r="AC652" i="2"/>
  <c r="AB652" i="2"/>
  <c r="AA652" i="2"/>
  <c r="Z652" i="2"/>
  <c r="Y652" i="2"/>
  <c r="X652" i="2"/>
  <c r="W652" i="2"/>
  <c r="V652" i="2"/>
  <c r="U652" i="2"/>
  <c r="S652" i="2"/>
  <c r="R652" i="2"/>
  <c r="Q652" i="2"/>
  <c r="P652" i="2"/>
  <c r="O652" i="2"/>
  <c r="N652" i="2"/>
  <c r="M652" i="2"/>
  <c r="L652" i="2"/>
  <c r="K652" i="2"/>
  <c r="J652" i="2"/>
  <c r="I652" i="2"/>
  <c r="H652" i="2"/>
  <c r="G652" i="2"/>
  <c r="F652" i="2"/>
  <c r="E652" i="2"/>
  <c r="D652" i="2"/>
  <c r="C652" i="2"/>
  <c r="A652" i="2"/>
  <c r="AK651" i="2"/>
  <c r="AJ651" i="2"/>
  <c r="AI651" i="2"/>
  <c r="AH651" i="2"/>
  <c r="AG651" i="2"/>
  <c r="AF651" i="2"/>
  <c r="AE651" i="2"/>
  <c r="AD651" i="2"/>
  <c r="AC651" i="2"/>
  <c r="AB651" i="2"/>
  <c r="AA651" i="2"/>
  <c r="Z651" i="2"/>
  <c r="Y651" i="2"/>
  <c r="X651" i="2"/>
  <c r="W651" i="2"/>
  <c r="V651" i="2"/>
  <c r="U651" i="2"/>
  <c r="S651" i="2"/>
  <c r="R651" i="2"/>
  <c r="Q651" i="2"/>
  <c r="P651" i="2"/>
  <c r="O651" i="2"/>
  <c r="N651" i="2"/>
  <c r="M651" i="2"/>
  <c r="L651" i="2"/>
  <c r="K651" i="2"/>
  <c r="J651" i="2"/>
  <c r="I651" i="2"/>
  <c r="H651" i="2"/>
  <c r="G651" i="2"/>
  <c r="F651" i="2"/>
  <c r="E651" i="2"/>
  <c r="D651" i="2"/>
  <c r="C651" i="2"/>
  <c r="A651" i="2"/>
  <c r="AL650" i="2"/>
  <c r="AK650" i="2"/>
  <c r="AJ650" i="2"/>
  <c r="AI650" i="2"/>
  <c r="AH650" i="2"/>
  <c r="AG650" i="2"/>
  <c r="AF650" i="2"/>
  <c r="AE650" i="2"/>
  <c r="AD650" i="2"/>
  <c r="AC650" i="2"/>
  <c r="AB650" i="2"/>
  <c r="AA650" i="2"/>
  <c r="Y650" i="2"/>
  <c r="X650" i="2"/>
  <c r="W650" i="2"/>
  <c r="V650" i="2"/>
  <c r="U650" i="2"/>
  <c r="S650" i="2"/>
  <c r="R650" i="2"/>
  <c r="Q650" i="2"/>
  <c r="P650" i="2"/>
  <c r="O650" i="2"/>
  <c r="N650" i="2"/>
  <c r="M650" i="2"/>
  <c r="L650" i="2"/>
  <c r="K650" i="2"/>
  <c r="J650" i="2"/>
  <c r="I650" i="2"/>
  <c r="H650" i="2"/>
  <c r="G650" i="2"/>
  <c r="F650" i="2"/>
  <c r="E650" i="2"/>
  <c r="D650" i="2"/>
  <c r="C650" i="2"/>
  <c r="B650" i="2"/>
  <c r="A650" i="2"/>
  <c r="AL649" i="2"/>
  <c r="AK649" i="2"/>
  <c r="AJ649" i="2"/>
  <c r="AI649" i="2"/>
  <c r="AH649" i="2"/>
  <c r="AG649" i="2"/>
  <c r="AF649" i="2"/>
  <c r="AE649" i="2"/>
  <c r="AD649" i="2"/>
  <c r="AC649" i="2"/>
  <c r="AB649" i="2"/>
  <c r="AA649" i="2"/>
  <c r="Y649" i="2"/>
  <c r="X649" i="2"/>
  <c r="W649" i="2"/>
  <c r="V649" i="2"/>
  <c r="U649" i="2"/>
  <c r="S649" i="2"/>
  <c r="R649" i="2"/>
  <c r="Q649" i="2"/>
  <c r="P649" i="2"/>
  <c r="O649" i="2"/>
  <c r="N649" i="2"/>
  <c r="M649" i="2"/>
  <c r="L649" i="2"/>
  <c r="K649" i="2"/>
  <c r="J649" i="2"/>
  <c r="I649" i="2"/>
  <c r="H649" i="2"/>
  <c r="G649" i="2"/>
  <c r="F649" i="2"/>
  <c r="E649" i="2"/>
  <c r="D649" i="2"/>
  <c r="C649" i="2"/>
  <c r="B649" i="2"/>
  <c r="A649" i="2"/>
  <c r="AL648" i="2"/>
  <c r="AK648" i="2"/>
  <c r="AJ648" i="2"/>
  <c r="AI648" i="2"/>
  <c r="AH648" i="2"/>
  <c r="AG648" i="2"/>
  <c r="AF648" i="2"/>
  <c r="AE648" i="2"/>
  <c r="AD648" i="2"/>
  <c r="AC648" i="2"/>
  <c r="AB648" i="2"/>
  <c r="AA648" i="2"/>
  <c r="Z648" i="2"/>
  <c r="Y648" i="2"/>
  <c r="X648" i="2"/>
  <c r="W648" i="2"/>
  <c r="V648" i="2"/>
  <c r="U648" i="2"/>
  <c r="S648" i="2"/>
  <c r="R648" i="2"/>
  <c r="Q648" i="2"/>
  <c r="P648" i="2"/>
  <c r="O648" i="2"/>
  <c r="N648" i="2"/>
  <c r="M648" i="2"/>
  <c r="L648" i="2"/>
  <c r="K648" i="2"/>
  <c r="J648" i="2"/>
  <c r="I648" i="2"/>
  <c r="H648" i="2"/>
  <c r="G648" i="2"/>
  <c r="F648" i="2"/>
  <c r="E648" i="2"/>
  <c r="D648" i="2"/>
  <c r="C648" i="2"/>
  <c r="A648" i="2"/>
  <c r="AK647" i="2"/>
  <c r="AJ647" i="2"/>
  <c r="AI647" i="2"/>
  <c r="AH647" i="2"/>
  <c r="AG647" i="2"/>
  <c r="AF647" i="2"/>
  <c r="AE647" i="2"/>
  <c r="AD647" i="2"/>
  <c r="AC647" i="2"/>
  <c r="AB647" i="2"/>
  <c r="AA647" i="2"/>
  <c r="Z647" i="2"/>
  <c r="Y647" i="2"/>
  <c r="X647" i="2"/>
  <c r="W647" i="2"/>
  <c r="V647" i="2"/>
  <c r="U647" i="2"/>
  <c r="S647" i="2"/>
  <c r="R647" i="2"/>
  <c r="Q647" i="2"/>
  <c r="P647" i="2"/>
  <c r="O647" i="2"/>
  <c r="N647" i="2"/>
  <c r="M647" i="2"/>
  <c r="L647" i="2"/>
  <c r="K647" i="2"/>
  <c r="J647" i="2"/>
  <c r="I647" i="2"/>
  <c r="H647" i="2"/>
  <c r="G647" i="2"/>
  <c r="F647" i="2"/>
  <c r="E647" i="2"/>
  <c r="D647" i="2"/>
  <c r="C647" i="2"/>
  <c r="A647" i="2"/>
  <c r="AL646" i="2"/>
  <c r="AK646" i="2"/>
  <c r="AJ646" i="2"/>
  <c r="AI646" i="2"/>
  <c r="AG646" i="2"/>
  <c r="AF646" i="2"/>
  <c r="AE646" i="2"/>
  <c r="AC646" i="2"/>
  <c r="AB646" i="2"/>
  <c r="AA646" i="2"/>
  <c r="X646" i="2"/>
  <c r="W646" i="2"/>
  <c r="V646" i="2"/>
  <c r="U646" i="2"/>
  <c r="R646" i="2"/>
  <c r="Q646" i="2"/>
  <c r="P646" i="2"/>
  <c r="O646" i="2"/>
  <c r="N646" i="2"/>
  <c r="M646" i="2"/>
  <c r="L646" i="2"/>
  <c r="K646" i="2"/>
  <c r="J646" i="2"/>
  <c r="I646" i="2"/>
  <c r="H646" i="2"/>
  <c r="G646" i="2"/>
  <c r="F646" i="2"/>
  <c r="E646" i="2"/>
  <c r="D646" i="2"/>
  <c r="C646" i="2"/>
  <c r="A646" i="2"/>
  <c r="AL645" i="2"/>
  <c r="AK645" i="2"/>
  <c r="AJ645" i="2"/>
  <c r="AI645" i="2"/>
  <c r="AH645" i="2"/>
  <c r="AG645" i="2"/>
  <c r="AF645" i="2"/>
  <c r="AE645" i="2"/>
  <c r="AD645" i="2"/>
  <c r="AC645" i="2"/>
  <c r="AB645" i="2"/>
  <c r="AA645" i="2"/>
  <c r="Z645" i="2"/>
  <c r="Y645" i="2"/>
  <c r="X645" i="2"/>
  <c r="W645" i="2"/>
  <c r="V645" i="2"/>
  <c r="U645" i="2"/>
  <c r="S645" i="2"/>
  <c r="R645" i="2"/>
  <c r="Q645" i="2"/>
  <c r="P645" i="2"/>
  <c r="O645" i="2"/>
  <c r="N645" i="2"/>
  <c r="M645" i="2"/>
  <c r="L645" i="2"/>
  <c r="K645" i="2"/>
  <c r="J645" i="2"/>
  <c r="I645" i="2"/>
  <c r="H645" i="2"/>
  <c r="G645" i="2"/>
  <c r="F645" i="2"/>
  <c r="E645" i="2"/>
  <c r="D645" i="2"/>
  <c r="C645" i="2"/>
  <c r="B645" i="2"/>
  <c r="A645" i="2"/>
  <c r="AK644" i="2"/>
  <c r="AJ644" i="2"/>
  <c r="AI644" i="2"/>
  <c r="AH644" i="2"/>
  <c r="AG644" i="2"/>
  <c r="AF644" i="2"/>
  <c r="AE644" i="2"/>
  <c r="AD644" i="2"/>
  <c r="AC644" i="2"/>
  <c r="AB644" i="2"/>
  <c r="AA644" i="2"/>
  <c r="Z644" i="2"/>
  <c r="Y644" i="2"/>
  <c r="X644" i="2"/>
  <c r="W644" i="2"/>
  <c r="V644" i="2"/>
  <c r="U644" i="2"/>
  <c r="S644" i="2"/>
  <c r="R644" i="2"/>
  <c r="Q644" i="2"/>
  <c r="P644" i="2"/>
  <c r="O644" i="2"/>
  <c r="N644" i="2"/>
  <c r="M644" i="2"/>
  <c r="L644" i="2"/>
  <c r="K644" i="2"/>
  <c r="J644" i="2"/>
  <c r="I644" i="2"/>
  <c r="H644" i="2"/>
  <c r="G644" i="2"/>
  <c r="F644" i="2"/>
  <c r="E644" i="2"/>
  <c r="D644" i="2"/>
  <c r="C644" i="2"/>
  <c r="A644" i="2"/>
  <c r="AK643" i="2"/>
  <c r="AJ643" i="2"/>
  <c r="AI643" i="2"/>
  <c r="AH643" i="2"/>
  <c r="AG643" i="2"/>
  <c r="AF643" i="2"/>
  <c r="AE643" i="2"/>
  <c r="AC643" i="2"/>
  <c r="AB643" i="2"/>
  <c r="AA643" i="2"/>
  <c r="Z643" i="2"/>
  <c r="Y643" i="2"/>
  <c r="X643" i="2"/>
  <c r="W643" i="2"/>
  <c r="V643" i="2"/>
  <c r="U643" i="2"/>
  <c r="S643" i="2"/>
  <c r="R643" i="2"/>
  <c r="Q643" i="2"/>
  <c r="P643" i="2"/>
  <c r="O643" i="2"/>
  <c r="N643" i="2"/>
  <c r="M643" i="2"/>
  <c r="L643" i="2"/>
  <c r="K643" i="2"/>
  <c r="J643" i="2"/>
  <c r="I643" i="2"/>
  <c r="H643" i="2"/>
  <c r="G643" i="2"/>
  <c r="F643" i="2"/>
  <c r="E643" i="2"/>
  <c r="D643" i="2"/>
  <c r="C643" i="2"/>
  <c r="B643" i="2"/>
  <c r="A643" i="2"/>
  <c r="AK642" i="2"/>
  <c r="AJ642" i="2"/>
  <c r="AI642" i="2"/>
  <c r="AH642" i="2"/>
  <c r="AG642" i="2"/>
  <c r="AF642" i="2"/>
  <c r="AE642" i="2"/>
  <c r="AD642" i="2"/>
  <c r="AC642" i="2"/>
  <c r="AB642" i="2"/>
  <c r="AA642" i="2"/>
  <c r="Z642" i="2"/>
  <c r="Y642" i="2"/>
  <c r="X642" i="2"/>
  <c r="W642" i="2"/>
  <c r="V642" i="2"/>
  <c r="U642" i="2"/>
  <c r="S642" i="2"/>
  <c r="R642" i="2"/>
  <c r="Q642" i="2"/>
  <c r="P642" i="2"/>
  <c r="O642" i="2"/>
  <c r="N642" i="2"/>
  <c r="M642" i="2"/>
  <c r="L642" i="2"/>
  <c r="K642" i="2"/>
  <c r="J642" i="2"/>
  <c r="I642" i="2"/>
  <c r="H642" i="2"/>
  <c r="G642" i="2"/>
  <c r="F642" i="2"/>
  <c r="E642" i="2"/>
  <c r="D642" i="2"/>
  <c r="C642" i="2"/>
  <c r="B642" i="2"/>
  <c r="A642" i="2"/>
  <c r="AK641" i="2"/>
  <c r="AJ641" i="2"/>
  <c r="AI641" i="2"/>
  <c r="AH641" i="2"/>
  <c r="AG641" i="2"/>
  <c r="AF641" i="2"/>
  <c r="AE641" i="2"/>
  <c r="AD641" i="2"/>
  <c r="AC641" i="2"/>
  <c r="AB641" i="2"/>
  <c r="AA641" i="2"/>
  <c r="Z641" i="2"/>
  <c r="Y641" i="2"/>
  <c r="X641" i="2"/>
  <c r="W641" i="2"/>
  <c r="V641" i="2"/>
  <c r="U641" i="2"/>
  <c r="S641" i="2"/>
  <c r="R641" i="2"/>
  <c r="Q641" i="2"/>
  <c r="P641" i="2"/>
  <c r="O641" i="2"/>
  <c r="N641" i="2"/>
  <c r="M641" i="2"/>
  <c r="L641" i="2"/>
  <c r="K641" i="2"/>
  <c r="J641" i="2"/>
  <c r="I641" i="2"/>
  <c r="H641" i="2"/>
  <c r="G641" i="2"/>
  <c r="F641" i="2"/>
  <c r="E641" i="2"/>
  <c r="D641" i="2"/>
  <c r="C641" i="2"/>
  <c r="B641" i="2"/>
  <c r="A641" i="2"/>
  <c r="AK640" i="2"/>
  <c r="AJ640" i="2"/>
  <c r="AI640" i="2"/>
  <c r="AH640" i="2"/>
  <c r="AG640" i="2"/>
  <c r="AF640" i="2"/>
  <c r="AE640" i="2"/>
  <c r="AD640" i="2"/>
  <c r="AC640" i="2"/>
  <c r="AB640" i="2"/>
  <c r="AA640" i="2"/>
  <c r="Y640" i="2"/>
  <c r="X640" i="2"/>
  <c r="W640" i="2"/>
  <c r="V640" i="2"/>
  <c r="U640" i="2"/>
  <c r="S640" i="2"/>
  <c r="R640" i="2"/>
  <c r="Q640" i="2"/>
  <c r="P640" i="2"/>
  <c r="O640" i="2"/>
  <c r="N640" i="2"/>
  <c r="M640" i="2"/>
  <c r="L640" i="2"/>
  <c r="K640" i="2"/>
  <c r="J640" i="2"/>
  <c r="I640" i="2"/>
  <c r="H640" i="2"/>
  <c r="G640" i="2"/>
  <c r="F640" i="2"/>
  <c r="E640" i="2"/>
  <c r="D640" i="2"/>
  <c r="C640" i="2"/>
  <c r="A640" i="2"/>
  <c r="AK639" i="2"/>
  <c r="AJ639" i="2"/>
  <c r="AI639" i="2"/>
  <c r="AH639" i="2"/>
  <c r="AG639" i="2"/>
  <c r="AF639" i="2"/>
  <c r="AE639" i="2"/>
  <c r="AD639" i="2"/>
  <c r="AC639" i="2"/>
  <c r="AB639" i="2"/>
  <c r="AA639" i="2"/>
  <c r="Y639" i="2"/>
  <c r="X639" i="2"/>
  <c r="W639" i="2"/>
  <c r="V639" i="2"/>
  <c r="U639" i="2"/>
  <c r="S639" i="2"/>
  <c r="R639" i="2"/>
  <c r="Q639" i="2"/>
  <c r="P639" i="2"/>
  <c r="O639" i="2"/>
  <c r="N639" i="2"/>
  <c r="M639" i="2"/>
  <c r="L639" i="2"/>
  <c r="K639" i="2"/>
  <c r="J639" i="2"/>
  <c r="I639" i="2"/>
  <c r="H639" i="2"/>
  <c r="G639" i="2"/>
  <c r="F639" i="2"/>
  <c r="E639" i="2"/>
  <c r="D639" i="2"/>
  <c r="C639" i="2"/>
  <c r="A639" i="2"/>
  <c r="AK638" i="2"/>
  <c r="AJ638" i="2"/>
  <c r="AI638" i="2"/>
  <c r="AH638" i="2"/>
  <c r="AG638" i="2"/>
  <c r="AF638" i="2"/>
  <c r="AE638" i="2"/>
  <c r="AD638" i="2"/>
  <c r="AC638" i="2"/>
  <c r="AB638" i="2"/>
  <c r="AA638" i="2"/>
  <c r="Z638" i="2"/>
  <c r="Y638" i="2"/>
  <c r="X638" i="2"/>
  <c r="W638" i="2"/>
  <c r="V638" i="2"/>
  <c r="U638" i="2"/>
  <c r="S638" i="2"/>
  <c r="R638" i="2"/>
  <c r="Q638" i="2"/>
  <c r="P638" i="2"/>
  <c r="O638" i="2"/>
  <c r="N638" i="2"/>
  <c r="M638" i="2"/>
  <c r="L638" i="2"/>
  <c r="K638" i="2"/>
  <c r="J638" i="2"/>
  <c r="I638" i="2"/>
  <c r="H638" i="2"/>
  <c r="G638" i="2"/>
  <c r="F638" i="2"/>
  <c r="E638" i="2"/>
  <c r="D638" i="2"/>
  <c r="C638" i="2"/>
  <c r="B638" i="2"/>
  <c r="A638" i="2"/>
  <c r="AK637" i="2"/>
  <c r="AJ637" i="2"/>
  <c r="AI637" i="2"/>
  <c r="AH637" i="2"/>
  <c r="AG637" i="2"/>
  <c r="AF637" i="2"/>
  <c r="AE637" i="2"/>
  <c r="AD637" i="2"/>
  <c r="AC637" i="2"/>
  <c r="AB637" i="2"/>
  <c r="AA637" i="2"/>
  <c r="Z637" i="2"/>
  <c r="Y637" i="2"/>
  <c r="X637" i="2"/>
  <c r="W637" i="2"/>
  <c r="V637" i="2"/>
  <c r="U637" i="2"/>
  <c r="S637" i="2"/>
  <c r="R637" i="2"/>
  <c r="Q637" i="2"/>
  <c r="P637" i="2"/>
  <c r="O637" i="2"/>
  <c r="N637" i="2"/>
  <c r="M637" i="2"/>
  <c r="L637" i="2"/>
  <c r="K637" i="2"/>
  <c r="J637" i="2"/>
  <c r="I637" i="2"/>
  <c r="H637" i="2"/>
  <c r="G637" i="2"/>
  <c r="F637" i="2"/>
  <c r="E637" i="2"/>
  <c r="D637" i="2"/>
  <c r="C637" i="2"/>
  <c r="A637" i="2"/>
  <c r="AL636" i="2"/>
  <c r="AK636" i="2"/>
  <c r="AJ636" i="2"/>
  <c r="AI636" i="2"/>
  <c r="AG636" i="2"/>
  <c r="AF636" i="2"/>
  <c r="AE636" i="2"/>
  <c r="AC636" i="2"/>
  <c r="AB636" i="2"/>
  <c r="AA636" i="2"/>
  <c r="X636" i="2"/>
  <c r="W636" i="2"/>
  <c r="V636" i="2"/>
  <c r="U636" i="2"/>
  <c r="R636" i="2"/>
  <c r="Q636" i="2"/>
  <c r="P636" i="2"/>
  <c r="O636" i="2"/>
  <c r="N636" i="2"/>
  <c r="M636" i="2"/>
  <c r="L636" i="2"/>
  <c r="K636" i="2"/>
  <c r="J636" i="2"/>
  <c r="I636" i="2"/>
  <c r="H636" i="2"/>
  <c r="G636" i="2"/>
  <c r="F636" i="2"/>
  <c r="E636" i="2"/>
  <c r="D636" i="2"/>
  <c r="C636" i="2"/>
  <c r="B636" i="2"/>
  <c r="A636" i="2"/>
  <c r="AL635" i="2"/>
  <c r="AK635" i="2"/>
  <c r="AJ635" i="2"/>
  <c r="AI635" i="2"/>
  <c r="AH635" i="2"/>
  <c r="AG635" i="2"/>
  <c r="AF635" i="2"/>
  <c r="AE635" i="2"/>
  <c r="AD635" i="2"/>
  <c r="AC635" i="2"/>
  <c r="AB635" i="2"/>
  <c r="AA635" i="2"/>
  <c r="Z635" i="2"/>
  <c r="Y635" i="2"/>
  <c r="X635" i="2"/>
  <c r="W635" i="2"/>
  <c r="V635" i="2"/>
  <c r="U635" i="2"/>
  <c r="S635" i="2"/>
  <c r="R635" i="2"/>
  <c r="Q635" i="2"/>
  <c r="P635" i="2"/>
  <c r="O635" i="2"/>
  <c r="N635" i="2"/>
  <c r="M635" i="2"/>
  <c r="L635" i="2"/>
  <c r="K635" i="2"/>
  <c r="J635" i="2"/>
  <c r="I635" i="2"/>
  <c r="H635" i="2"/>
  <c r="G635" i="2"/>
  <c r="F635" i="2"/>
  <c r="E635" i="2"/>
  <c r="D635" i="2"/>
  <c r="C635" i="2"/>
  <c r="B635" i="2"/>
  <c r="A635" i="2"/>
  <c r="AL634" i="2"/>
  <c r="AK634" i="2"/>
  <c r="AJ634" i="2"/>
  <c r="AI634" i="2"/>
  <c r="AH634" i="2"/>
  <c r="AG634" i="2"/>
  <c r="AF634" i="2"/>
  <c r="AE634" i="2"/>
  <c r="AD634" i="2"/>
  <c r="AC634" i="2"/>
  <c r="AB634" i="2"/>
  <c r="AA634" i="2"/>
  <c r="Z634" i="2"/>
  <c r="Y634" i="2"/>
  <c r="X634" i="2"/>
  <c r="W634" i="2"/>
  <c r="V634" i="2"/>
  <c r="U634" i="2"/>
  <c r="S634" i="2"/>
  <c r="R634" i="2"/>
  <c r="Q634" i="2"/>
  <c r="P634" i="2"/>
  <c r="O634" i="2"/>
  <c r="N634" i="2"/>
  <c r="M634" i="2"/>
  <c r="L634" i="2"/>
  <c r="K634" i="2"/>
  <c r="J634" i="2"/>
  <c r="I634" i="2"/>
  <c r="H634" i="2"/>
  <c r="G634" i="2"/>
  <c r="F634" i="2"/>
  <c r="E634" i="2"/>
  <c r="D634" i="2"/>
  <c r="C634" i="2"/>
  <c r="B634" i="2"/>
  <c r="A634" i="2"/>
  <c r="AL633" i="2"/>
  <c r="AK633" i="2"/>
  <c r="AJ633" i="2"/>
  <c r="AI633" i="2"/>
  <c r="AH633" i="2"/>
  <c r="AG633" i="2"/>
  <c r="AF633" i="2"/>
  <c r="AE633" i="2"/>
  <c r="AD633" i="2"/>
  <c r="AC633" i="2"/>
  <c r="AB633" i="2"/>
  <c r="AA633" i="2"/>
  <c r="Z633" i="2"/>
  <c r="Y633" i="2"/>
  <c r="X633" i="2"/>
  <c r="W633" i="2"/>
  <c r="V633" i="2"/>
  <c r="U633" i="2"/>
  <c r="S633" i="2"/>
  <c r="R633" i="2"/>
  <c r="Q633" i="2"/>
  <c r="P633" i="2"/>
  <c r="O633" i="2"/>
  <c r="N633" i="2"/>
  <c r="M633" i="2"/>
  <c r="L633" i="2"/>
  <c r="K633" i="2"/>
  <c r="J633" i="2"/>
  <c r="I633" i="2"/>
  <c r="H633" i="2"/>
  <c r="G633" i="2"/>
  <c r="F633" i="2"/>
  <c r="E633" i="2"/>
  <c r="D633" i="2"/>
  <c r="C633" i="2"/>
  <c r="B633" i="2"/>
  <c r="A633" i="2"/>
  <c r="AK632" i="2"/>
  <c r="AJ632" i="2"/>
  <c r="AI632" i="2"/>
  <c r="AH632" i="2"/>
  <c r="AG632" i="2"/>
  <c r="AF632" i="2"/>
  <c r="AE632" i="2"/>
  <c r="AD632" i="2"/>
  <c r="AC632" i="2"/>
  <c r="AB632" i="2"/>
  <c r="AA632" i="2"/>
  <c r="Z632" i="2"/>
  <c r="Y632" i="2"/>
  <c r="X632" i="2"/>
  <c r="W632" i="2"/>
  <c r="V632" i="2"/>
  <c r="U632" i="2"/>
  <c r="S632" i="2"/>
  <c r="R632" i="2"/>
  <c r="Q632" i="2"/>
  <c r="P632" i="2"/>
  <c r="O632" i="2"/>
  <c r="N632" i="2"/>
  <c r="M632" i="2"/>
  <c r="L632" i="2"/>
  <c r="K632" i="2"/>
  <c r="J632" i="2"/>
  <c r="I632" i="2"/>
  <c r="H632" i="2"/>
  <c r="G632" i="2"/>
  <c r="F632" i="2"/>
  <c r="E632" i="2"/>
  <c r="D632" i="2"/>
  <c r="C632" i="2"/>
  <c r="A632" i="2"/>
  <c r="AL631" i="2"/>
  <c r="AK631" i="2"/>
  <c r="AJ631" i="2"/>
  <c r="AI631" i="2"/>
  <c r="AH631" i="2"/>
  <c r="AG631" i="2"/>
  <c r="AF631" i="2"/>
  <c r="AE631" i="2"/>
  <c r="AD631" i="2"/>
  <c r="AC631" i="2"/>
  <c r="AB631" i="2"/>
  <c r="AA631" i="2"/>
  <c r="Z631" i="2"/>
  <c r="Y631" i="2"/>
  <c r="X631" i="2"/>
  <c r="W631" i="2"/>
  <c r="V631" i="2"/>
  <c r="U631" i="2"/>
  <c r="S631" i="2"/>
  <c r="R631" i="2"/>
  <c r="Q631" i="2"/>
  <c r="P631" i="2"/>
  <c r="O631" i="2"/>
  <c r="N631" i="2"/>
  <c r="M631" i="2"/>
  <c r="L631" i="2"/>
  <c r="K631" i="2"/>
  <c r="J631" i="2"/>
  <c r="I631" i="2"/>
  <c r="H631" i="2"/>
  <c r="G631" i="2"/>
  <c r="F631" i="2"/>
  <c r="E631" i="2"/>
  <c r="D631" i="2"/>
  <c r="C631" i="2"/>
  <c r="A631" i="2"/>
  <c r="AL630" i="2"/>
  <c r="AK630" i="2"/>
  <c r="AJ630" i="2"/>
  <c r="AI630" i="2"/>
  <c r="AH630" i="2"/>
  <c r="AG630" i="2"/>
  <c r="AF630" i="2"/>
  <c r="AE630" i="2"/>
  <c r="AD630" i="2"/>
  <c r="AC630" i="2"/>
  <c r="AB630" i="2"/>
  <c r="AA630" i="2"/>
  <c r="Z630" i="2"/>
  <c r="Y630" i="2"/>
  <c r="X630" i="2"/>
  <c r="W630" i="2"/>
  <c r="V630" i="2"/>
  <c r="U630" i="2"/>
  <c r="S630" i="2"/>
  <c r="R630" i="2"/>
  <c r="Q630" i="2"/>
  <c r="P630" i="2"/>
  <c r="O630" i="2"/>
  <c r="N630" i="2"/>
  <c r="M630" i="2"/>
  <c r="L630" i="2"/>
  <c r="K630" i="2"/>
  <c r="J630" i="2"/>
  <c r="I630" i="2"/>
  <c r="H630" i="2"/>
  <c r="G630" i="2"/>
  <c r="F630" i="2"/>
  <c r="E630" i="2"/>
  <c r="D630" i="2"/>
  <c r="C630" i="2"/>
  <c r="B630" i="2"/>
  <c r="A630" i="2"/>
  <c r="AK629" i="2"/>
  <c r="AJ629" i="2"/>
  <c r="AI629" i="2"/>
  <c r="AG629" i="2"/>
  <c r="AF629" i="2"/>
  <c r="AE629" i="2"/>
  <c r="AC629" i="2"/>
  <c r="AB629" i="2"/>
  <c r="AA629" i="2"/>
  <c r="X629" i="2"/>
  <c r="W629" i="2"/>
  <c r="V629" i="2"/>
  <c r="U629" i="2"/>
  <c r="R629" i="2"/>
  <c r="Q629" i="2"/>
  <c r="P629" i="2"/>
  <c r="O629" i="2"/>
  <c r="N629" i="2"/>
  <c r="M629" i="2"/>
  <c r="L629" i="2"/>
  <c r="K629" i="2"/>
  <c r="J629" i="2"/>
  <c r="I629" i="2"/>
  <c r="H629" i="2"/>
  <c r="G629" i="2"/>
  <c r="F629" i="2"/>
  <c r="E629" i="2"/>
  <c r="D629" i="2"/>
  <c r="C629" i="2"/>
  <c r="A629" i="2"/>
  <c r="AL628" i="2"/>
  <c r="AK628" i="2"/>
  <c r="AJ628" i="2"/>
  <c r="AI628" i="2"/>
  <c r="AH628" i="2"/>
  <c r="AG628" i="2"/>
  <c r="AF628" i="2"/>
  <c r="AE628" i="2"/>
  <c r="AD628" i="2"/>
  <c r="AC628" i="2"/>
  <c r="AB628" i="2"/>
  <c r="AA628" i="2"/>
  <c r="Z628" i="2"/>
  <c r="Y628" i="2"/>
  <c r="X628" i="2"/>
  <c r="W628" i="2"/>
  <c r="V628" i="2"/>
  <c r="U628" i="2"/>
  <c r="S628" i="2"/>
  <c r="R628" i="2"/>
  <c r="Q628" i="2"/>
  <c r="P628" i="2"/>
  <c r="O628" i="2"/>
  <c r="N628" i="2"/>
  <c r="M628" i="2"/>
  <c r="L628" i="2"/>
  <c r="K628" i="2"/>
  <c r="J628" i="2"/>
  <c r="I628" i="2"/>
  <c r="H628" i="2"/>
  <c r="G628" i="2"/>
  <c r="F628" i="2"/>
  <c r="E628" i="2"/>
  <c r="D628" i="2"/>
  <c r="C628" i="2"/>
  <c r="B628" i="2"/>
  <c r="A628" i="2"/>
  <c r="AL627" i="2"/>
  <c r="AK627" i="2"/>
  <c r="AJ627" i="2"/>
  <c r="AI627" i="2"/>
  <c r="AG627" i="2"/>
  <c r="AF627" i="2"/>
  <c r="AE627" i="2"/>
  <c r="AC627" i="2"/>
  <c r="AB627" i="2"/>
  <c r="AA627" i="2"/>
  <c r="X627" i="2"/>
  <c r="W627" i="2"/>
  <c r="V627" i="2"/>
  <c r="U627" i="2"/>
  <c r="R627" i="2"/>
  <c r="Q627" i="2"/>
  <c r="P627" i="2"/>
  <c r="O627" i="2"/>
  <c r="N627" i="2"/>
  <c r="M627" i="2"/>
  <c r="L627" i="2"/>
  <c r="K627" i="2"/>
  <c r="J627" i="2"/>
  <c r="I627" i="2"/>
  <c r="H627" i="2"/>
  <c r="G627" i="2"/>
  <c r="F627" i="2"/>
  <c r="E627" i="2"/>
  <c r="D627" i="2"/>
  <c r="C627" i="2"/>
  <c r="B627" i="2"/>
  <c r="A627" i="2"/>
  <c r="AL626" i="2"/>
  <c r="AK626" i="2"/>
  <c r="AJ626" i="2"/>
  <c r="AI626" i="2"/>
  <c r="AH626" i="2"/>
  <c r="AG626" i="2"/>
  <c r="AF626" i="2"/>
  <c r="AE626" i="2"/>
  <c r="AD626" i="2"/>
  <c r="AC626" i="2"/>
  <c r="AB626" i="2"/>
  <c r="AA626" i="2"/>
  <c r="Z626" i="2"/>
  <c r="Y626" i="2"/>
  <c r="X626" i="2"/>
  <c r="W626" i="2"/>
  <c r="V626" i="2"/>
  <c r="U626" i="2"/>
  <c r="S626" i="2"/>
  <c r="R626" i="2"/>
  <c r="Q626" i="2"/>
  <c r="P626" i="2"/>
  <c r="O626" i="2"/>
  <c r="N626" i="2"/>
  <c r="M626" i="2"/>
  <c r="L626" i="2"/>
  <c r="K626" i="2"/>
  <c r="J626" i="2"/>
  <c r="I626" i="2"/>
  <c r="H626" i="2"/>
  <c r="G626" i="2"/>
  <c r="F626" i="2"/>
  <c r="E626" i="2"/>
  <c r="D626" i="2"/>
  <c r="C626" i="2"/>
  <c r="B626" i="2"/>
  <c r="A626" i="2"/>
  <c r="AL625" i="2"/>
  <c r="AK625" i="2"/>
  <c r="AJ625" i="2"/>
  <c r="AI625" i="2"/>
  <c r="AH625" i="2"/>
  <c r="AG625" i="2"/>
  <c r="AF625" i="2"/>
  <c r="AE625" i="2"/>
  <c r="AD625" i="2"/>
  <c r="AC625" i="2"/>
  <c r="AB625" i="2"/>
  <c r="AA625" i="2"/>
  <c r="Z625" i="2"/>
  <c r="Y625" i="2"/>
  <c r="X625" i="2"/>
  <c r="W625" i="2"/>
  <c r="V625" i="2"/>
  <c r="U625" i="2"/>
  <c r="S625" i="2"/>
  <c r="R625" i="2"/>
  <c r="Q625" i="2"/>
  <c r="P625" i="2"/>
  <c r="O625" i="2"/>
  <c r="N625" i="2"/>
  <c r="M625" i="2"/>
  <c r="L625" i="2"/>
  <c r="K625" i="2"/>
  <c r="J625" i="2"/>
  <c r="I625" i="2"/>
  <c r="H625" i="2"/>
  <c r="G625" i="2"/>
  <c r="F625" i="2"/>
  <c r="E625" i="2"/>
  <c r="D625" i="2"/>
  <c r="C625" i="2"/>
  <c r="B625" i="2"/>
  <c r="A625" i="2"/>
  <c r="AK624" i="2"/>
  <c r="AJ624" i="2"/>
  <c r="AI624" i="2"/>
  <c r="AH624" i="2"/>
  <c r="AG624" i="2"/>
  <c r="AF624" i="2"/>
  <c r="AE624" i="2"/>
  <c r="AC624" i="2"/>
  <c r="AB624" i="2"/>
  <c r="AA624" i="2"/>
  <c r="Z624" i="2"/>
  <c r="Y624" i="2"/>
  <c r="X624" i="2"/>
  <c r="W624" i="2"/>
  <c r="V624" i="2"/>
  <c r="U624" i="2"/>
  <c r="S624" i="2"/>
  <c r="R624" i="2"/>
  <c r="Q624" i="2"/>
  <c r="P624" i="2"/>
  <c r="O624" i="2"/>
  <c r="N624" i="2"/>
  <c r="M624" i="2"/>
  <c r="L624" i="2"/>
  <c r="K624" i="2"/>
  <c r="J624" i="2"/>
  <c r="I624" i="2"/>
  <c r="H624" i="2"/>
  <c r="G624" i="2"/>
  <c r="F624" i="2"/>
  <c r="E624" i="2"/>
  <c r="D624" i="2"/>
  <c r="C624" i="2"/>
  <c r="B624" i="2"/>
  <c r="A624" i="2"/>
  <c r="AL623" i="2"/>
  <c r="AK623" i="2"/>
  <c r="AJ623" i="2"/>
  <c r="AI623" i="2"/>
  <c r="AH623" i="2"/>
  <c r="AG623" i="2"/>
  <c r="AF623" i="2"/>
  <c r="AE623" i="2"/>
  <c r="AD623" i="2"/>
  <c r="AC623" i="2"/>
  <c r="AB623" i="2"/>
  <c r="AA623" i="2"/>
  <c r="Z623" i="2"/>
  <c r="Y623" i="2"/>
  <c r="X623" i="2"/>
  <c r="W623" i="2"/>
  <c r="V623" i="2"/>
  <c r="U623" i="2"/>
  <c r="S623" i="2"/>
  <c r="R623" i="2"/>
  <c r="Q623" i="2"/>
  <c r="P623" i="2"/>
  <c r="O623" i="2"/>
  <c r="N623" i="2"/>
  <c r="M623" i="2"/>
  <c r="L623" i="2"/>
  <c r="K623" i="2"/>
  <c r="J623" i="2"/>
  <c r="I623" i="2"/>
  <c r="H623" i="2"/>
  <c r="G623" i="2"/>
  <c r="F623" i="2"/>
  <c r="E623" i="2"/>
  <c r="D623" i="2"/>
  <c r="C623" i="2"/>
  <c r="A623" i="2"/>
  <c r="AL622" i="2"/>
  <c r="AK622" i="2"/>
  <c r="AJ622" i="2"/>
  <c r="AI622" i="2"/>
  <c r="AH622" i="2"/>
  <c r="AG622" i="2"/>
  <c r="AF622" i="2"/>
  <c r="AE622" i="2"/>
  <c r="AC622" i="2"/>
  <c r="AB622" i="2"/>
  <c r="AA622" i="2"/>
  <c r="Z622" i="2"/>
  <c r="Y622" i="2"/>
  <c r="X622" i="2"/>
  <c r="W622" i="2"/>
  <c r="V622" i="2"/>
  <c r="U622" i="2"/>
  <c r="S622" i="2"/>
  <c r="R622" i="2"/>
  <c r="Q622" i="2"/>
  <c r="P622" i="2"/>
  <c r="O622" i="2"/>
  <c r="N622" i="2"/>
  <c r="M622" i="2"/>
  <c r="L622" i="2"/>
  <c r="K622" i="2"/>
  <c r="J622" i="2"/>
  <c r="I622" i="2"/>
  <c r="H622" i="2"/>
  <c r="G622" i="2"/>
  <c r="F622" i="2"/>
  <c r="E622" i="2"/>
  <c r="D622" i="2"/>
  <c r="C622" i="2"/>
  <c r="B622" i="2"/>
  <c r="A622" i="2"/>
  <c r="AL621" i="2"/>
  <c r="AK621" i="2"/>
  <c r="AJ621" i="2"/>
  <c r="AI621" i="2"/>
  <c r="AH621" i="2"/>
  <c r="AG621" i="2"/>
  <c r="AF621" i="2"/>
  <c r="AE621" i="2"/>
  <c r="AD621" i="2"/>
  <c r="AC621" i="2"/>
  <c r="AB621" i="2"/>
  <c r="AA621" i="2"/>
  <c r="Z621" i="2"/>
  <c r="Y621" i="2"/>
  <c r="X621" i="2"/>
  <c r="W621" i="2"/>
  <c r="V621" i="2"/>
  <c r="U621" i="2"/>
  <c r="S621" i="2"/>
  <c r="R621" i="2"/>
  <c r="Q621" i="2"/>
  <c r="P621" i="2"/>
  <c r="O621" i="2"/>
  <c r="N621" i="2"/>
  <c r="M621" i="2"/>
  <c r="L621" i="2"/>
  <c r="K621" i="2"/>
  <c r="J621" i="2"/>
  <c r="I621" i="2"/>
  <c r="H621" i="2"/>
  <c r="G621" i="2"/>
  <c r="F621" i="2"/>
  <c r="E621" i="2"/>
  <c r="D621" i="2"/>
  <c r="C621" i="2"/>
  <c r="A621" i="2"/>
  <c r="AL620" i="2"/>
  <c r="AK620" i="2"/>
  <c r="AJ620" i="2"/>
  <c r="AI620" i="2"/>
  <c r="AH620" i="2"/>
  <c r="AG620" i="2"/>
  <c r="AF620" i="2"/>
  <c r="AE620" i="2"/>
  <c r="AD620" i="2"/>
  <c r="AC620" i="2"/>
  <c r="AB620" i="2"/>
  <c r="AA620" i="2"/>
  <c r="Z620" i="2"/>
  <c r="Y620" i="2"/>
  <c r="X620" i="2"/>
  <c r="W620" i="2"/>
  <c r="V620" i="2"/>
  <c r="U620" i="2"/>
  <c r="S620" i="2"/>
  <c r="R620" i="2"/>
  <c r="Q620" i="2"/>
  <c r="P620" i="2"/>
  <c r="O620" i="2"/>
  <c r="N620" i="2"/>
  <c r="M620" i="2"/>
  <c r="L620" i="2"/>
  <c r="K620" i="2"/>
  <c r="J620" i="2"/>
  <c r="I620" i="2"/>
  <c r="H620" i="2"/>
  <c r="G620" i="2"/>
  <c r="F620" i="2"/>
  <c r="E620" i="2"/>
  <c r="D620" i="2"/>
  <c r="C620" i="2"/>
  <c r="A620" i="2"/>
  <c r="AL619" i="2"/>
  <c r="AK619" i="2"/>
  <c r="AJ619" i="2"/>
  <c r="AI619" i="2"/>
  <c r="AH619" i="2"/>
  <c r="AG619" i="2"/>
  <c r="AF619" i="2"/>
  <c r="AE619" i="2"/>
  <c r="AD619" i="2"/>
  <c r="AC619" i="2"/>
  <c r="AB619" i="2"/>
  <c r="AA619" i="2"/>
  <c r="Z619" i="2"/>
  <c r="Y619" i="2"/>
  <c r="X619" i="2"/>
  <c r="W619" i="2"/>
  <c r="V619" i="2"/>
  <c r="U619" i="2"/>
  <c r="S619" i="2"/>
  <c r="R619" i="2"/>
  <c r="Q619" i="2"/>
  <c r="P619" i="2"/>
  <c r="O619" i="2"/>
  <c r="N619" i="2"/>
  <c r="M619" i="2"/>
  <c r="L619" i="2"/>
  <c r="K619" i="2"/>
  <c r="J619" i="2"/>
  <c r="I619" i="2"/>
  <c r="H619" i="2"/>
  <c r="G619" i="2"/>
  <c r="F619" i="2"/>
  <c r="E619" i="2"/>
  <c r="D619" i="2"/>
  <c r="C619" i="2"/>
  <c r="B619" i="2"/>
  <c r="A619" i="2"/>
  <c r="AL618" i="2"/>
  <c r="AK618" i="2"/>
  <c r="AJ618" i="2"/>
  <c r="AI618" i="2"/>
  <c r="AG618" i="2"/>
  <c r="AF618" i="2"/>
  <c r="AE618" i="2"/>
  <c r="AC618" i="2"/>
  <c r="AB618" i="2"/>
  <c r="AA618" i="2"/>
  <c r="X618" i="2"/>
  <c r="W618" i="2"/>
  <c r="V618" i="2"/>
  <c r="U618" i="2"/>
  <c r="R618" i="2"/>
  <c r="Q618" i="2"/>
  <c r="P618" i="2"/>
  <c r="O618" i="2"/>
  <c r="N618" i="2"/>
  <c r="M618" i="2"/>
  <c r="L618" i="2"/>
  <c r="K618" i="2"/>
  <c r="J618" i="2"/>
  <c r="I618" i="2"/>
  <c r="H618" i="2"/>
  <c r="G618" i="2"/>
  <c r="F618" i="2"/>
  <c r="E618" i="2"/>
  <c r="D618" i="2"/>
  <c r="C618" i="2"/>
  <c r="B618" i="2"/>
  <c r="A618" i="2"/>
  <c r="AL617" i="2"/>
  <c r="AK617" i="2"/>
  <c r="AJ617" i="2"/>
  <c r="AI617" i="2"/>
  <c r="AH617" i="2"/>
  <c r="AG617" i="2"/>
  <c r="AF617" i="2"/>
  <c r="AE617" i="2"/>
  <c r="AD617" i="2"/>
  <c r="AC617" i="2"/>
  <c r="AB617" i="2"/>
  <c r="AA617" i="2"/>
  <c r="Z617" i="2"/>
  <c r="Y617" i="2"/>
  <c r="X617" i="2"/>
  <c r="W617" i="2"/>
  <c r="V617" i="2"/>
  <c r="U617" i="2"/>
  <c r="S617" i="2"/>
  <c r="R617" i="2"/>
  <c r="Q617" i="2"/>
  <c r="P617" i="2"/>
  <c r="O617" i="2"/>
  <c r="N617" i="2"/>
  <c r="M617" i="2"/>
  <c r="L617" i="2"/>
  <c r="K617" i="2"/>
  <c r="J617" i="2"/>
  <c r="I617" i="2"/>
  <c r="H617" i="2"/>
  <c r="G617" i="2"/>
  <c r="F617" i="2"/>
  <c r="E617" i="2"/>
  <c r="D617" i="2"/>
  <c r="C617" i="2"/>
  <c r="A617" i="2"/>
  <c r="AK616" i="2"/>
  <c r="AJ616" i="2"/>
  <c r="AI616" i="2"/>
  <c r="AH616" i="2"/>
  <c r="AG616" i="2"/>
  <c r="AF616" i="2"/>
  <c r="AE616" i="2"/>
  <c r="AC616" i="2"/>
  <c r="AB616" i="2"/>
  <c r="AA616" i="2"/>
  <c r="Z616" i="2"/>
  <c r="Y616" i="2"/>
  <c r="X616" i="2"/>
  <c r="W616" i="2"/>
  <c r="V616" i="2"/>
  <c r="U616" i="2"/>
  <c r="S616" i="2"/>
  <c r="R616" i="2"/>
  <c r="Q616" i="2"/>
  <c r="P616" i="2"/>
  <c r="O616" i="2"/>
  <c r="N616" i="2"/>
  <c r="M616" i="2"/>
  <c r="L616" i="2"/>
  <c r="K616" i="2"/>
  <c r="J616" i="2"/>
  <c r="I616" i="2"/>
  <c r="H616" i="2"/>
  <c r="G616" i="2"/>
  <c r="F616" i="2"/>
  <c r="E616" i="2"/>
  <c r="D616" i="2"/>
  <c r="C616" i="2"/>
  <c r="B616" i="2"/>
  <c r="A616" i="2"/>
  <c r="AL615" i="2"/>
  <c r="AK615" i="2"/>
  <c r="AJ615" i="2"/>
  <c r="AI615" i="2"/>
  <c r="AH615" i="2"/>
  <c r="AG615" i="2"/>
  <c r="AF615" i="2"/>
  <c r="AE615" i="2"/>
  <c r="AC615" i="2"/>
  <c r="AB615" i="2"/>
  <c r="AA615" i="2"/>
  <c r="Z615" i="2"/>
  <c r="Y615" i="2"/>
  <c r="X615" i="2"/>
  <c r="W615" i="2"/>
  <c r="V615" i="2"/>
  <c r="U615" i="2"/>
  <c r="S615" i="2"/>
  <c r="R615" i="2"/>
  <c r="Q615" i="2"/>
  <c r="P615" i="2"/>
  <c r="O615" i="2"/>
  <c r="N615" i="2"/>
  <c r="M615" i="2"/>
  <c r="L615" i="2"/>
  <c r="K615" i="2"/>
  <c r="J615" i="2"/>
  <c r="I615" i="2"/>
  <c r="H615" i="2"/>
  <c r="G615" i="2"/>
  <c r="F615" i="2"/>
  <c r="E615" i="2"/>
  <c r="D615" i="2"/>
  <c r="C615" i="2"/>
  <c r="A615" i="2"/>
  <c r="AK614" i="2"/>
  <c r="AJ614" i="2"/>
  <c r="AI614" i="2"/>
  <c r="AH614" i="2"/>
  <c r="AG614" i="2"/>
  <c r="AF614" i="2"/>
  <c r="AE614" i="2"/>
  <c r="AD614" i="2"/>
  <c r="AC614" i="2"/>
  <c r="AB614" i="2"/>
  <c r="AA614" i="2"/>
  <c r="Z614" i="2"/>
  <c r="Y614" i="2"/>
  <c r="X614" i="2"/>
  <c r="W614" i="2"/>
  <c r="V614" i="2"/>
  <c r="U614" i="2"/>
  <c r="S614" i="2"/>
  <c r="R614" i="2"/>
  <c r="Q614" i="2"/>
  <c r="P614" i="2"/>
  <c r="O614" i="2"/>
  <c r="N614" i="2"/>
  <c r="M614" i="2"/>
  <c r="L614" i="2"/>
  <c r="K614" i="2"/>
  <c r="J614" i="2"/>
  <c r="I614" i="2"/>
  <c r="H614" i="2"/>
  <c r="G614" i="2"/>
  <c r="F614" i="2"/>
  <c r="E614" i="2"/>
  <c r="D614" i="2"/>
  <c r="C614" i="2"/>
  <c r="A614" i="2"/>
  <c r="AL613" i="2"/>
  <c r="AK613" i="2"/>
  <c r="AJ613" i="2"/>
  <c r="AI613" i="2"/>
  <c r="AH613" i="2"/>
  <c r="AG613" i="2"/>
  <c r="AF613" i="2"/>
  <c r="AE613" i="2"/>
  <c r="AD613" i="2"/>
  <c r="AC613" i="2"/>
  <c r="AB613" i="2"/>
  <c r="AA613" i="2"/>
  <c r="Z613" i="2"/>
  <c r="Y613" i="2"/>
  <c r="X613" i="2"/>
  <c r="W613" i="2"/>
  <c r="V613" i="2"/>
  <c r="U613" i="2"/>
  <c r="S613" i="2"/>
  <c r="R613" i="2"/>
  <c r="Q613" i="2"/>
  <c r="P613" i="2"/>
  <c r="O613" i="2"/>
  <c r="N613" i="2"/>
  <c r="M613" i="2"/>
  <c r="L613" i="2"/>
  <c r="K613" i="2"/>
  <c r="J613" i="2"/>
  <c r="I613" i="2"/>
  <c r="H613" i="2"/>
  <c r="G613" i="2"/>
  <c r="F613" i="2"/>
  <c r="E613" i="2"/>
  <c r="D613" i="2"/>
  <c r="C613" i="2"/>
  <c r="B613" i="2"/>
  <c r="A613" i="2"/>
  <c r="AL612" i="2"/>
  <c r="AK612" i="2"/>
  <c r="AJ612" i="2"/>
  <c r="AI612" i="2"/>
  <c r="AH612" i="2"/>
  <c r="AG612" i="2"/>
  <c r="AF612" i="2"/>
  <c r="AE612" i="2"/>
  <c r="AD612" i="2"/>
  <c r="AC612" i="2"/>
  <c r="AB612" i="2"/>
  <c r="AA612" i="2"/>
  <c r="Z612" i="2"/>
  <c r="Y612" i="2"/>
  <c r="X612" i="2"/>
  <c r="W612" i="2"/>
  <c r="V612" i="2"/>
  <c r="U612" i="2"/>
  <c r="S612" i="2"/>
  <c r="R612" i="2"/>
  <c r="Q612" i="2"/>
  <c r="P612" i="2"/>
  <c r="O612" i="2"/>
  <c r="N612" i="2"/>
  <c r="M612" i="2"/>
  <c r="L612" i="2"/>
  <c r="K612" i="2"/>
  <c r="J612" i="2"/>
  <c r="I612" i="2"/>
  <c r="H612" i="2"/>
  <c r="G612" i="2"/>
  <c r="F612" i="2"/>
  <c r="E612" i="2"/>
  <c r="D612" i="2"/>
  <c r="C612" i="2"/>
  <c r="A612" i="2"/>
  <c r="AL611" i="2"/>
  <c r="AK611" i="2"/>
  <c r="AJ611" i="2"/>
  <c r="AI611" i="2"/>
  <c r="AH611" i="2"/>
  <c r="AG611" i="2"/>
  <c r="AF611" i="2"/>
  <c r="AE611" i="2"/>
  <c r="AD611" i="2"/>
  <c r="AC611" i="2"/>
  <c r="AB611" i="2"/>
  <c r="AA611" i="2"/>
  <c r="Z611" i="2"/>
  <c r="Y611" i="2"/>
  <c r="X611" i="2"/>
  <c r="W611" i="2"/>
  <c r="V611" i="2"/>
  <c r="U611" i="2"/>
  <c r="S611" i="2"/>
  <c r="R611" i="2"/>
  <c r="Q611" i="2"/>
  <c r="P611" i="2"/>
  <c r="O611" i="2"/>
  <c r="N611" i="2"/>
  <c r="M611" i="2"/>
  <c r="L611" i="2"/>
  <c r="K611" i="2"/>
  <c r="J611" i="2"/>
  <c r="I611" i="2"/>
  <c r="H611" i="2"/>
  <c r="G611" i="2"/>
  <c r="F611" i="2"/>
  <c r="E611" i="2"/>
  <c r="D611" i="2"/>
  <c r="C611" i="2"/>
  <c r="B611" i="2"/>
  <c r="A611" i="2"/>
  <c r="AK610" i="2"/>
  <c r="AJ610" i="2"/>
  <c r="AI610" i="2"/>
  <c r="AH610" i="2"/>
  <c r="AG610" i="2"/>
  <c r="AF610" i="2"/>
  <c r="AE610" i="2"/>
  <c r="AD610" i="2"/>
  <c r="AC610" i="2"/>
  <c r="AB610" i="2"/>
  <c r="AA610" i="2"/>
  <c r="Z610" i="2"/>
  <c r="Y610" i="2"/>
  <c r="X610" i="2"/>
  <c r="W610" i="2"/>
  <c r="V610" i="2"/>
  <c r="U610" i="2"/>
  <c r="S610" i="2"/>
  <c r="R610" i="2"/>
  <c r="Q610" i="2"/>
  <c r="P610" i="2"/>
  <c r="O610" i="2"/>
  <c r="N610" i="2"/>
  <c r="M610" i="2"/>
  <c r="L610" i="2"/>
  <c r="K610" i="2"/>
  <c r="J610" i="2"/>
  <c r="I610" i="2"/>
  <c r="H610" i="2"/>
  <c r="G610" i="2"/>
  <c r="F610" i="2"/>
  <c r="E610" i="2"/>
  <c r="D610" i="2"/>
  <c r="C610" i="2"/>
  <c r="B610" i="2"/>
  <c r="A610" i="2"/>
  <c r="AL609" i="2"/>
  <c r="AK609" i="2"/>
  <c r="AJ609" i="2"/>
  <c r="AI609" i="2"/>
  <c r="AH609" i="2"/>
  <c r="AG609" i="2"/>
  <c r="AF609" i="2"/>
  <c r="AE609" i="2"/>
  <c r="AC609" i="2"/>
  <c r="AB609" i="2"/>
  <c r="AA609" i="2"/>
  <c r="Z609" i="2"/>
  <c r="Y609" i="2"/>
  <c r="X609" i="2"/>
  <c r="W609" i="2"/>
  <c r="V609" i="2"/>
  <c r="U609" i="2"/>
  <c r="S609" i="2"/>
  <c r="R609" i="2"/>
  <c r="Q609" i="2"/>
  <c r="P609" i="2"/>
  <c r="O609" i="2"/>
  <c r="N609" i="2"/>
  <c r="M609" i="2"/>
  <c r="L609" i="2"/>
  <c r="K609" i="2"/>
  <c r="J609" i="2"/>
  <c r="I609" i="2"/>
  <c r="H609" i="2"/>
  <c r="G609" i="2"/>
  <c r="F609" i="2"/>
  <c r="E609" i="2"/>
  <c r="D609" i="2"/>
  <c r="C609" i="2"/>
  <c r="A609" i="2"/>
  <c r="AL608" i="2"/>
  <c r="AK608" i="2"/>
  <c r="AJ608" i="2"/>
  <c r="AI608" i="2"/>
  <c r="AH608" i="2"/>
  <c r="AG608" i="2"/>
  <c r="AF608" i="2"/>
  <c r="AE608" i="2"/>
  <c r="AD608" i="2"/>
  <c r="AC608" i="2"/>
  <c r="AB608" i="2"/>
  <c r="AA608" i="2"/>
  <c r="Z608" i="2"/>
  <c r="Y608" i="2"/>
  <c r="X608" i="2"/>
  <c r="W608" i="2"/>
  <c r="V608" i="2"/>
  <c r="U608" i="2"/>
  <c r="S608" i="2"/>
  <c r="R608" i="2"/>
  <c r="Q608" i="2"/>
  <c r="P608" i="2"/>
  <c r="O608" i="2"/>
  <c r="N608" i="2"/>
  <c r="M608" i="2"/>
  <c r="L608" i="2"/>
  <c r="K608" i="2"/>
  <c r="J608" i="2"/>
  <c r="I608" i="2"/>
  <c r="H608" i="2"/>
  <c r="G608" i="2"/>
  <c r="F608" i="2"/>
  <c r="E608" i="2"/>
  <c r="D608" i="2"/>
  <c r="C608" i="2"/>
  <c r="B608" i="2"/>
  <c r="A608" i="2"/>
  <c r="AK607" i="2"/>
  <c r="AJ607" i="2"/>
  <c r="AI607" i="2"/>
  <c r="AH607" i="2"/>
  <c r="AG607" i="2"/>
  <c r="AF607" i="2"/>
  <c r="AE607" i="2"/>
  <c r="AC607" i="2"/>
  <c r="AB607" i="2"/>
  <c r="AA607" i="2"/>
  <c r="Z607" i="2"/>
  <c r="Y607" i="2"/>
  <c r="X607" i="2"/>
  <c r="W607" i="2"/>
  <c r="V607" i="2"/>
  <c r="U607" i="2"/>
  <c r="S607" i="2"/>
  <c r="R607" i="2"/>
  <c r="Q607" i="2"/>
  <c r="P607" i="2"/>
  <c r="O607" i="2"/>
  <c r="N607" i="2"/>
  <c r="M607" i="2"/>
  <c r="L607" i="2"/>
  <c r="K607" i="2"/>
  <c r="J607" i="2"/>
  <c r="I607" i="2"/>
  <c r="H607" i="2"/>
  <c r="G607" i="2"/>
  <c r="F607" i="2"/>
  <c r="E607" i="2"/>
  <c r="D607" i="2"/>
  <c r="C607" i="2"/>
  <c r="B607" i="2"/>
  <c r="A607" i="2"/>
  <c r="AK606" i="2"/>
  <c r="AJ606" i="2"/>
  <c r="AI606" i="2"/>
  <c r="AH606" i="2"/>
  <c r="AG606" i="2"/>
  <c r="AF606" i="2"/>
  <c r="AE606" i="2"/>
  <c r="AD606" i="2"/>
  <c r="AC606" i="2"/>
  <c r="AB606" i="2"/>
  <c r="AA606" i="2"/>
  <c r="Z606" i="2"/>
  <c r="Y606" i="2"/>
  <c r="X606" i="2"/>
  <c r="W606" i="2"/>
  <c r="V606" i="2"/>
  <c r="U606" i="2"/>
  <c r="S606" i="2"/>
  <c r="R606" i="2"/>
  <c r="Q606" i="2"/>
  <c r="P606" i="2"/>
  <c r="O606" i="2"/>
  <c r="N606" i="2"/>
  <c r="M606" i="2"/>
  <c r="L606" i="2"/>
  <c r="K606" i="2"/>
  <c r="J606" i="2"/>
  <c r="I606" i="2"/>
  <c r="H606" i="2"/>
  <c r="G606" i="2"/>
  <c r="F606" i="2"/>
  <c r="E606" i="2"/>
  <c r="D606" i="2"/>
  <c r="C606" i="2"/>
  <c r="A606" i="2"/>
  <c r="AL605" i="2"/>
  <c r="AK605" i="2"/>
  <c r="AJ605" i="2"/>
  <c r="AI605" i="2"/>
  <c r="AH605" i="2"/>
  <c r="AG605" i="2"/>
  <c r="AF605" i="2"/>
  <c r="AE605" i="2"/>
  <c r="AD605" i="2"/>
  <c r="AC605" i="2"/>
  <c r="AB605" i="2"/>
  <c r="AA605" i="2"/>
  <c r="Z605" i="2"/>
  <c r="Y605" i="2"/>
  <c r="X605" i="2"/>
  <c r="W605" i="2"/>
  <c r="V605" i="2"/>
  <c r="U605" i="2"/>
  <c r="S605" i="2"/>
  <c r="R605" i="2"/>
  <c r="Q605" i="2"/>
  <c r="P605" i="2"/>
  <c r="O605" i="2"/>
  <c r="N605" i="2"/>
  <c r="M605" i="2"/>
  <c r="L605" i="2"/>
  <c r="K605" i="2"/>
  <c r="J605" i="2"/>
  <c r="I605" i="2"/>
  <c r="H605" i="2"/>
  <c r="G605" i="2"/>
  <c r="F605" i="2"/>
  <c r="E605" i="2"/>
  <c r="D605" i="2"/>
  <c r="C605" i="2"/>
  <c r="A605" i="2"/>
  <c r="AL604" i="2"/>
  <c r="AK604" i="2"/>
  <c r="AJ604" i="2"/>
  <c r="AI604" i="2"/>
  <c r="AH604" i="2"/>
  <c r="AG604" i="2"/>
  <c r="AF604" i="2"/>
  <c r="AE604" i="2"/>
  <c r="AD604" i="2"/>
  <c r="AC604" i="2"/>
  <c r="AB604" i="2"/>
  <c r="AA604" i="2"/>
  <c r="Z604" i="2"/>
  <c r="Y604" i="2"/>
  <c r="X604" i="2"/>
  <c r="W604" i="2"/>
  <c r="V604" i="2"/>
  <c r="U604" i="2"/>
  <c r="S604" i="2"/>
  <c r="R604" i="2"/>
  <c r="Q604" i="2"/>
  <c r="P604" i="2"/>
  <c r="O604" i="2"/>
  <c r="N604" i="2"/>
  <c r="M604" i="2"/>
  <c r="L604" i="2"/>
  <c r="K604" i="2"/>
  <c r="J604" i="2"/>
  <c r="I604" i="2"/>
  <c r="H604" i="2"/>
  <c r="G604" i="2"/>
  <c r="F604" i="2"/>
  <c r="E604" i="2"/>
  <c r="D604" i="2"/>
  <c r="C604" i="2"/>
  <c r="A604" i="2"/>
  <c r="AK603" i="2"/>
  <c r="AJ603" i="2"/>
  <c r="AI603" i="2"/>
  <c r="AH603" i="2"/>
  <c r="AG603" i="2"/>
  <c r="AF603" i="2"/>
  <c r="AE603" i="2"/>
  <c r="AC603" i="2"/>
  <c r="AB603" i="2"/>
  <c r="AA603" i="2"/>
  <c r="Y603" i="2"/>
  <c r="X603" i="2"/>
  <c r="W603" i="2"/>
  <c r="V603" i="2"/>
  <c r="U603" i="2"/>
  <c r="S603" i="2"/>
  <c r="R603" i="2"/>
  <c r="Q603" i="2"/>
  <c r="P603" i="2"/>
  <c r="O603" i="2"/>
  <c r="N603" i="2"/>
  <c r="M603" i="2"/>
  <c r="L603" i="2"/>
  <c r="K603" i="2"/>
  <c r="J603" i="2"/>
  <c r="I603" i="2"/>
  <c r="H603" i="2"/>
  <c r="G603" i="2"/>
  <c r="F603" i="2"/>
  <c r="E603" i="2"/>
  <c r="D603" i="2"/>
  <c r="C603" i="2"/>
  <c r="A603" i="2"/>
  <c r="AK602" i="2"/>
  <c r="AJ602" i="2"/>
  <c r="AI602" i="2"/>
  <c r="AH602" i="2"/>
  <c r="AG602" i="2"/>
  <c r="AF602" i="2"/>
  <c r="AE602" i="2"/>
  <c r="AD602" i="2"/>
  <c r="AC602" i="2"/>
  <c r="AB602" i="2"/>
  <c r="AA602" i="2"/>
  <c r="Z602" i="2"/>
  <c r="Y602" i="2"/>
  <c r="X602" i="2"/>
  <c r="W602" i="2"/>
  <c r="V602" i="2"/>
  <c r="U602" i="2"/>
  <c r="S602" i="2"/>
  <c r="R602" i="2"/>
  <c r="Q602" i="2"/>
  <c r="P602" i="2"/>
  <c r="O602" i="2"/>
  <c r="N602" i="2"/>
  <c r="M602" i="2"/>
  <c r="L602" i="2"/>
  <c r="K602" i="2"/>
  <c r="J602" i="2"/>
  <c r="I602" i="2"/>
  <c r="H602" i="2"/>
  <c r="G602" i="2"/>
  <c r="F602" i="2"/>
  <c r="E602" i="2"/>
  <c r="D602" i="2"/>
  <c r="C602" i="2"/>
  <c r="A602" i="2"/>
  <c r="AL601" i="2"/>
  <c r="AK601" i="2"/>
  <c r="AJ601" i="2"/>
  <c r="AI601" i="2"/>
  <c r="AG601" i="2"/>
  <c r="AF601" i="2"/>
  <c r="AE601" i="2"/>
  <c r="AC601" i="2"/>
  <c r="AB601" i="2"/>
  <c r="AA601" i="2"/>
  <c r="X601" i="2"/>
  <c r="W601" i="2"/>
  <c r="V601" i="2"/>
  <c r="U601" i="2"/>
  <c r="R601" i="2"/>
  <c r="Q601" i="2"/>
  <c r="P601" i="2"/>
  <c r="O601" i="2"/>
  <c r="N601" i="2"/>
  <c r="M601" i="2"/>
  <c r="L601" i="2"/>
  <c r="K601" i="2"/>
  <c r="J601" i="2"/>
  <c r="I601" i="2"/>
  <c r="H601" i="2"/>
  <c r="G601" i="2"/>
  <c r="F601" i="2"/>
  <c r="E601" i="2"/>
  <c r="D601" i="2"/>
  <c r="C601" i="2"/>
  <c r="A601" i="2"/>
  <c r="AL600" i="2"/>
  <c r="AK600" i="2"/>
  <c r="AJ600" i="2"/>
  <c r="AI600" i="2"/>
  <c r="AH600" i="2"/>
  <c r="AG600" i="2"/>
  <c r="AF600" i="2"/>
  <c r="AE600" i="2"/>
  <c r="AD600" i="2"/>
  <c r="AC600" i="2"/>
  <c r="AB600" i="2"/>
  <c r="AA600" i="2"/>
  <c r="Z600" i="2"/>
  <c r="Y600" i="2"/>
  <c r="X600" i="2"/>
  <c r="W600" i="2"/>
  <c r="V600" i="2"/>
  <c r="U600" i="2"/>
  <c r="S600" i="2"/>
  <c r="R600" i="2"/>
  <c r="Q600" i="2"/>
  <c r="P600" i="2"/>
  <c r="O600" i="2"/>
  <c r="N600" i="2"/>
  <c r="M600" i="2"/>
  <c r="L600" i="2"/>
  <c r="K600" i="2"/>
  <c r="J600" i="2"/>
  <c r="I600" i="2"/>
  <c r="H600" i="2"/>
  <c r="G600" i="2"/>
  <c r="F600" i="2"/>
  <c r="E600" i="2"/>
  <c r="D600" i="2"/>
  <c r="C600" i="2"/>
  <c r="A600" i="2"/>
  <c r="AK599" i="2"/>
  <c r="AJ599" i="2"/>
  <c r="AI599" i="2"/>
  <c r="AH599" i="2"/>
  <c r="AG599" i="2"/>
  <c r="AF599" i="2"/>
  <c r="AE599" i="2"/>
  <c r="AD599" i="2"/>
  <c r="AC599" i="2"/>
  <c r="AB599" i="2"/>
  <c r="AA599" i="2"/>
  <c r="Z599" i="2"/>
  <c r="Y599" i="2"/>
  <c r="X599" i="2"/>
  <c r="W599" i="2"/>
  <c r="V599" i="2"/>
  <c r="U599" i="2"/>
  <c r="S599" i="2"/>
  <c r="R599" i="2"/>
  <c r="Q599" i="2"/>
  <c r="P599" i="2"/>
  <c r="O599" i="2"/>
  <c r="N599" i="2"/>
  <c r="M599" i="2"/>
  <c r="L599" i="2"/>
  <c r="K599" i="2"/>
  <c r="J599" i="2"/>
  <c r="I599" i="2"/>
  <c r="H599" i="2"/>
  <c r="G599" i="2"/>
  <c r="F599" i="2"/>
  <c r="E599" i="2"/>
  <c r="D599" i="2"/>
  <c r="C599" i="2"/>
  <c r="A599" i="2"/>
  <c r="AL598" i="2"/>
  <c r="AK598" i="2"/>
  <c r="AJ598" i="2"/>
  <c r="AI598" i="2"/>
  <c r="AH598" i="2"/>
  <c r="AG598" i="2"/>
  <c r="AF598" i="2"/>
  <c r="AE598" i="2"/>
  <c r="AD598" i="2"/>
  <c r="AC598" i="2"/>
  <c r="AB598" i="2"/>
  <c r="AA598" i="2"/>
  <c r="Z598" i="2"/>
  <c r="Y598" i="2"/>
  <c r="X598" i="2"/>
  <c r="W598" i="2"/>
  <c r="V598" i="2"/>
  <c r="U598" i="2"/>
  <c r="S598" i="2"/>
  <c r="R598" i="2"/>
  <c r="Q598" i="2"/>
  <c r="P598" i="2"/>
  <c r="O598" i="2"/>
  <c r="N598" i="2"/>
  <c r="M598" i="2"/>
  <c r="L598" i="2"/>
  <c r="K598" i="2"/>
  <c r="J598" i="2"/>
  <c r="I598" i="2"/>
  <c r="H598" i="2"/>
  <c r="G598" i="2"/>
  <c r="F598" i="2"/>
  <c r="E598" i="2"/>
  <c r="D598" i="2"/>
  <c r="C598" i="2"/>
  <c r="A598" i="2"/>
  <c r="AL597" i="2"/>
  <c r="AK597" i="2"/>
  <c r="AJ597" i="2"/>
  <c r="AI597" i="2"/>
  <c r="AG597" i="2"/>
  <c r="AF597" i="2"/>
  <c r="AE597" i="2"/>
  <c r="AC597" i="2"/>
  <c r="AB597" i="2"/>
  <c r="AA597" i="2"/>
  <c r="X597" i="2"/>
  <c r="W597" i="2"/>
  <c r="V597" i="2"/>
  <c r="U597" i="2"/>
  <c r="R597" i="2"/>
  <c r="Q597" i="2"/>
  <c r="P597" i="2"/>
  <c r="O597" i="2"/>
  <c r="N597" i="2"/>
  <c r="M597" i="2"/>
  <c r="L597" i="2"/>
  <c r="K597" i="2"/>
  <c r="J597" i="2"/>
  <c r="I597" i="2"/>
  <c r="H597" i="2"/>
  <c r="G597" i="2"/>
  <c r="F597" i="2"/>
  <c r="E597" i="2"/>
  <c r="D597" i="2"/>
  <c r="C597" i="2"/>
  <c r="B597" i="2"/>
  <c r="A597" i="2"/>
  <c r="AL596" i="2"/>
  <c r="AK596" i="2"/>
  <c r="AJ596" i="2"/>
  <c r="AI596" i="2"/>
  <c r="AH596" i="2"/>
  <c r="AG596" i="2"/>
  <c r="AF596" i="2"/>
  <c r="AE596" i="2"/>
  <c r="AD596" i="2"/>
  <c r="AC596" i="2"/>
  <c r="AB596" i="2"/>
  <c r="AA596" i="2"/>
  <c r="Z596" i="2"/>
  <c r="Y596" i="2"/>
  <c r="X596" i="2"/>
  <c r="W596" i="2"/>
  <c r="V596" i="2"/>
  <c r="U596" i="2"/>
  <c r="S596" i="2"/>
  <c r="R596" i="2"/>
  <c r="Q596" i="2"/>
  <c r="P596" i="2"/>
  <c r="O596" i="2"/>
  <c r="N596" i="2"/>
  <c r="M596" i="2"/>
  <c r="L596" i="2"/>
  <c r="K596" i="2"/>
  <c r="J596" i="2"/>
  <c r="I596" i="2"/>
  <c r="H596" i="2"/>
  <c r="G596" i="2"/>
  <c r="F596" i="2"/>
  <c r="E596" i="2"/>
  <c r="D596" i="2"/>
  <c r="C596" i="2"/>
  <c r="A596" i="2"/>
  <c r="AL595" i="2"/>
  <c r="AK595" i="2"/>
  <c r="AJ595" i="2"/>
  <c r="AI595" i="2"/>
  <c r="AH595" i="2"/>
  <c r="AG595" i="2"/>
  <c r="AF595" i="2"/>
  <c r="AE595" i="2"/>
  <c r="AD595" i="2"/>
  <c r="AC595" i="2"/>
  <c r="AB595" i="2"/>
  <c r="AA595" i="2"/>
  <c r="Z595" i="2"/>
  <c r="Y595" i="2"/>
  <c r="X595" i="2"/>
  <c r="W595" i="2"/>
  <c r="V595" i="2"/>
  <c r="U595" i="2"/>
  <c r="S595" i="2"/>
  <c r="R595" i="2"/>
  <c r="Q595" i="2"/>
  <c r="P595" i="2"/>
  <c r="O595" i="2"/>
  <c r="N595" i="2"/>
  <c r="M595" i="2"/>
  <c r="L595" i="2"/>
  <c r="K595" i="2"/>
  <c r="J595" i="2"/>
  <c r="I595" i="2"/>
  <c r="H595" i="2"/>
  <c r="G595" i="2"/>
  <c r="F595" i="2"/>
  <c r="E595" i="2"/>
  <c r="D595" i="2"/>
  <c r="C595" i="2"/>
  <c r="B595" i="2"/>
  <c r="A595" i="2"/>
  <c r="AK594" i="2"/>
  <c r="AJ594" i="2"/>
  <c r="AI594" i="2"/>
  <c r="AH594" i="2"/>
  <c r="AG594" i="2"/>
  <c r="AF594" i="2"/>
  <c r="AE594" i="2"/>
  <c r="AD594" i="2"/>
  <c r="AC594" i="2"/>
  <c r="AB594" i="2"/>
  <c r="AA594" i="2"/>
  <c r="Z594" i="2"/>
  <c r="Y594" i="2"/>
  <c r="X594" i="2"/>
  <c r="W594" i="2"/>
  <c r="V594" i="2"/>
  <c r="U594" i="2"/>
  <c r="S594" i="2"/>
  <c r="R594" i="2"/>
  <c r="Q594" i="2"/>
  <c r="P594" i="2"/>
  <c r="O594" i="2"/>
  <c r="N594" i="2"/>
  <c r="M594" i="2"/>
  <c r="L594" i="2"/>
  <c r="K594" i="2"/>
  <c r="J594" i="2"/>
  <c r="I594" i="2"/>
  <c r="H594" i="2"/>
  <c r="G594" i="2"/>
  <c r="F594" i="2"/>
  <c r="E594" i="2"/>
  <c r="D594" i="2"/>
  <c r="C594" i="2"/>
  <c r="A594" i="2"/>
  <c r="AL593" i="2"/>
  <c r="AK593" i="2"/>
  <c r="AJ593" i="2"/>
  <c r="AI593" i="2"/>
  <c r="AH593" i="2"/>
  <c r="AG593" i="2"/>
  <c r="AF593" i="2"/>
  <c r="AE593" i="2"/>
  <c r="AD593" i="2"/>
  <c r="AC593" i="2"/>
  <c r="AB593" i="2"/>
  <c r="AA593" i="2"/>
  <c r="Z593" i="2"/>
  <c r="Y593" i="2"/>
  <c r="X593" i="2"/>
  <c r="W593" i="2"/>
  <c r="V593" i="2"/>
  <c r="U593" i="2"/>
  <c r="S593" i="2"/>
  <c r="R593" i="2"/>
  <c r="Q593" i="2"/>
  <c r="P593" i="2"/>
  <c r="O593" i="2"/>
  <c r="N593" i="2"/>
  <c r="M593" i="2"/>
  <c r="L593" i="2"/>
  <c r="K593" i="2"/>
  <c r="J593" i="2"/>
  <c r="I593" i="2"/>
  <c r="H593" i="2"/>
  <c r="G593" i="2"/>
  <c r="F593" i="2"/>
  <c r="E593" i="2"/>
  <c r="D593" i="2"/>
  <c r="C593" i="2"/>
  <c r="B593" i="2"/>
  <c r="A593" i="2"/>
  <c r="AL592" i="2"/>
  <c r="AK592" i="2"/>
  <c r="AJ592" i="2"/>
  <c r="AI592" i="2"/>
  <c r="AH592" i="2"/>
  <c r="AG592" i="2"/>
  <c r="AF592" i="2"/>
  <c r="AE592" i="2"/>
  <c r="AD592" i="2"/>
  <c r="AC592" i="2"/>
  <c r="AB592" i="2"/>
  <c r="AA592" i="2"/>
  <c r="Z592" i="2"/>
  <c r="Y592" i="2"/>
  <c r="X592" i="2"/>
  <c r="W592" i="2"/>
  <c r="V592" i="2"/>
  <c r="U592" i="2"/>
  <c r="S592" i="2"/>
  <c r="R592" i="2"/>
  <c r="Q592" i="2"/>
  <c r="P592" i="2"/>
  <c r="O592" i="2"/>
  <c r="N592" i="2"/>
  <c r="M592" i="2"/>
  <c r="L592" i="2"/>
  <c r="K592" i="2"/>
  <c r="J592" i="2"/>
  <c r="I592" i="2"/>
  <c r="H592" i="2"/>
  <c r="G592" i="2"/>
  <c r="F592" i="2"/>
  <c r="E592" i="2"/>
  <c r="D592" i="2"/>
  <c r="C592" i="2"/>
  <c r="B592" i="2"/>
  <c r="A592" i="2"/>
  <c r="AL591" i="2"/>
  <c r="AK591" i="2"/>
  <c r="AJ591" i="2"/>
  <c r="AI591" i="2"/>
  <c r="AH591" i="2"/>
  <c r="AG591" i="2"/>
  <c r="AF591" i="2"/>
  <c r="AE591" i="2"/>
  <c r="AD591" i="2"/>
  <c r="AC591" i="2"/>
  <c r="AB591" i="2"/>
  <c r="AA591" i="2"/>
  <c r="Z591" i="2"/>
  <c r="Y591" i="2"/>
  <c r="X591" i="2"/>
  <c r="W591" i="2"/>
  <c r="V591" i="2"/>
  <c r="U591" i="2"/>
  <c r="S591" i="2"/>
  <c r="R591" i="2"/>
  <c r="Q591" i="2"/>
  <c r="P591" i="2"/>
  <c r="O591" i="2"/>
  <c r="N591" i="2"/>
  <c r="M591" i="2"/>
  <c r="L591" i="2"/>
  <c r="K591" i="2"/>
  <c r="J591" i="2"/>
  <c r="I591" i="2"/>
  <c r="H591" i="2"/>
  <c r="G591" i="2"/>
  <c r="F591" i="2"/>
  <c r="E591" i="2"/>
  <c r="D591" i="2"/>
  <c r="C591" i="2"/>
  <c r="B591" i="2"/>
  <c r="A591" i="2"/>
  <c r="AL590" i="2"/>
  <c r="AK590" i="2"/>
  <c r="AJ590" i="2"/>
  <c r="AI590" i="2"/>
  <c r="AH590" i="2"/>
  <c r="AG590" i="2"/>
  <c r="AF590" i="2"/>
  <c r="AE590" i="2"/>
  <c r="AD590" i="2"/>
  <c r="AC590" i="2"/>
  <c r="AB590" i="2"/>
  <c r="AA590" i="2"/>
  <c r="Z590" i="2"/>
  <c r="X590" i="2"/>
  <c r="W590" i="2"/>
  <c r="V590" i="2"/>
  <c r="U590" i="2"/>
  <c r="S590" i="2"/>
  <c r="R590" i="2"/>
  <c r="Q590" i="2"/>
  <c r="P590" i="2"/>
  <c r="O590" i="2"/>
  <c r="N590" i="2"/>
  <c r="M590" i="2"/>
  <c r="L590" i="2"/>
  <c r="K590" i="2"/>
  <c r="J590" i="2"/>
  <c r="I590" i="2"/>
  <c r="H590" i="2"/>
  <c r="G590" i="2"/>
  <c r="F590" i="2"/>
  <c r="E590" i="2"/>
  <c r="D590" i="2"/>
  <c r="C590" i="2"/>
  <c r="B590" i="2"/>
  <c r="A590" i="2"/>
  <c r="AL589" i="2"/>
  <c r="AK589" i="2"/>
  <c r="AJ589" i="2"/>
  <c r="AI589" i="2"/>
  <c r="AH589" i="2"/>
  <c r="AG589" i="2"/>
  <c r="AF589" i="2"/>
  <c r="AE589" i="2"/>
  <c r="AD589" i="2"/>
  <c r="AC589" i="2"/>
  <c r="AB589" i="2"/>
  <c r="AA589" i="2"/>
  <c r="Z589" i="2"/>
  <c r="Y589" i="2"/>
  <c r="X589" i="2"/>
  <c r="W589" i="2"/>
  <c r="V589" i="2"/>
  <c r="U589" i="2"/>
  <c r="S589" i="2"/>
  <c r="R589" i="2"/>
  <c r="Q589" i="2"/>
  <c r="P589" i="2"/>
  <c r="O589" i="2"/>
  <c r="N589" i="2"/>
  <c r="M589" i="2"/>
  <c r="L589" i="2"/>
  <c r="K589" i="2"/>
  <c r="J589" i="2"/>
  <c r="I589" i="2"/>
  <c r="H589" i="2"/>
  <c r="G589" i="2"/>
  <c r="F589" i="2"/>
  <c r="E589" i="2"/>
  <c r="D589" i="2"/>
  <c r="C589" i="2"/>
  <c r="A589" i="2"/>
  <c r="AK588" i="2"/>
  <c r="AJ588" i="2"/>
  <c r="AI588" i="2"/>
  <c r="AH588" i="2"/>
  <c r="AG588" i="2"/>
  <c r="AF588" i="2"/>
  <c r="AE588" i="2"/>
  <c r="AC588" i="2"/>
  <c r="AB588" i="2"/>
  <c r="AA588" i="2"/>
  <c r="Z588" i="2"/>
  <c r="Y588" i="2"/>
  <c r="X588" i="2"/>
  <c r="W588" i="2"/>
  <c r="V588" i="2"/>
  <c r="U588" i="2"/>
  <c r="S588" i="2"/>
  <c r="R588" i="2"/>
  <c r="Q588" i="2"/>
  <c r="P588" i="2"/>
  <c r="O588" i="2"/>
  <c r="N588" i="2"/>
  <c r="M588" i="2"/>
  <c r="L588" i="2"/>
  <c r="K588" i="2"/>
  <c r="J588" i="2"/>
  <c r="I588" i="2"/>
  <c r="H588" i="2"/>
  <c r="G588" i="2"/>
  <c r="F588" i="2"/>
  <c r="E588" i="2"/>
  <c r="D588" i="2"/>
  <c r="C588" i="2"/>
  <c r="A588" i="2"/>
  <c r="AL587" i="2"/>
  <c r="AK587" i="2"/>
  <c r="AJ587" i="2"/>
  <c r="AI587" i="2"/>
  <c r="AH587" i="2"/>
  <c r="AG587" i="2"/>
  <c r="AF587" i="2"/>
  <c r="AE587" i="2"/>
  <c r="AD587" i="2"/>
  <c r="AC587" i="2"/>
  <c r="AB587" i="2"/>
  <c r="AA587" i="2"/>
  <c r="Z587" i="2"/>
  <c r="Y587" i="2"/>
  <c r="X587" i="2"/>
  <c r="W587" i="2"/>
  <c r="V587" i="2"/>
  <c r="U587" i="2"/>
  <c r="S587" i="2"/>
  <c r="R587" i="2"/>
  <c r="Q587" i="2"/>
  <c r="P587" i="2"/>
  <c r="O587" i="2"/>
  <c r="N587" i="2"/>
  <c r="M587" i="2"/>
  <c r="L587" i="2"/>
  <c r="K587" i="2"/>
  <c r="J587" i="2"/>
  <c r="I587" i="2"/>
  <c r="H587" i="2"/>
  <c r="G587" i="2"/>
  <c r="F587" i="2"/>
  <c r="E587" i="2"/>
  <c r="D587" i="2"/>
  <c r="C587" i="2"/>
  <c r="A587" i="2"/>
  <c r="AK586" i="2"/>
  <c r="AJ586" i="2"/>
  <c r="AI586" i="2"/>
  <c r="AH586" i="2"/>
  <c r="AG586" i="2"/>
  <c r="AF586" i="2"/>
  <c r="AE586" i="2"/>
  <c r="AD586" i="2"/>
  <c r="AC586" i="2"/>
  <c r="AB586" i="2"/>
  <c r="AA586" i="2"/>
  <c r="Z586" i="2"/>
  <c r="Y586" i="2"/>
  <c r="X586" i="2"/>
  <c r="W586" i="2"/>
  <c r="V586" i="2"/>
  <c r="U586" i="2"/>
  <c r="S586" i="2"/>
  <c r="R586" i="2"/>
  <c r="Q586" i="2"/>
  <c r="P586" i="2"/>
  <c r="O586" i="2"/>
  <c r="N586" i="2"/>
  <c r="M586" i="2"/>
  <c r="L586" i="2"/>
  <c r="K586" i="2"/>
  <c r="J586" i="2"/>
  <c r="I586" i="2"/>
  <c r="H586" i="2"/>
  <c r="G586" i="2"/>
  <c r="F586" i="2"/>
  <c r="E586" i="2"/>
  <c r="D586" i="2"/>
  <c r="C586" i="2"/>
  <c r="A586" i="2"/>
  <c r="AL585" i="2"/>
  <c r="AK585" i="2"/>
  <c r="AJ585" i="2"/>
  <c r="AI585" i="2"/>
  <c r="AH585" i="2"/>
  <c r="AG585" i="2"/>
  <c r="AF585" i="2"/>
  <c r="AE585" i="2"/>
  <c r="AD585" i="2"/>
  <c r="AC585" i="2"/>
  <c r="AB585" i="2"/>
  <c r="AA585" i="2"/>
  <c r="Z585" i="2"/>
  <c r="Y585" i="2"/>
  <c r="X585" i="2"/>
  <c r="W585" i="2"/>
  <c r="V585" i="2"/>
  <c r="U585" i="2"/>
  <c r="S585" i="2"/>
  <c r="R585" i="2"/>
  <c r="Q585" i="2"/>
  <c r="P585" i="2"/>
  <c r="O585" i="2"/>
  <c r="N585" i="2"/>
  <c r="M585" i="2"/>
  <c r="L585" i="2"/>
  <c r="K585" i="2"/>
  <c r="J585" i="2"/>
  <c r="I585" i="2"/>
  <c r="H585" i="2"/>
  <c r="G585" i="2"/>
  <c r="F585" i="2"/>
  <c r="E585" i="2"/>
  <c r="D585" i="2"/>
  <c r="C585" i="2"/>
  <c r="A585" i="2"/>
  <c r="AK584" i="2"/>
  <c r="AJ584" i="2"/>
  <c r="AI584" i="2"/>
  <c r="AH584" i="2"/>
  <c r="AG584" i="2"/>
  <c r="AF584" i="2"/>
  <c r="AE584" i="2"/>
  <c r="AD584" i="2"/>
  <c r="AC584" i="2"/>
  <c r="AB584" i="2"/>
  <c r="AA584" i="2"/>
  <c r="Z584" i="2"/>
  <c r="Y584" i="2"/>
  <c r="X584" i="2"/>
  <c r="W584" i="2"/>
  <c r="V584" i="2"/>
  <c r="U584" i="2"/>
  <c r="S584" i="2"/>
  <c r="R584" i="2"/>
  <c r="Q584" i="2"/>
  <c r="P584" i="2"/>
  <c r="O584" i="2"/>
  <c r="N584" i="2"/>
  <c r="M584" i="2"/>
  <c r="L584" i="2"/>
  <c r="K584" i="2"/>
  <c r="J584" i="2"/>
  <c r="I584" i="2"/>
  <c r="H584" i="2"/>
  <c r="G584" i="2"/>
  <c r="F584" i="2"/>
  <c r="E584" i="2"/>
  <c r="D584" i="2"/>
  <c r="C584" i="2"/>
  <c r="A584" i="2"/>
  <c r="AL583" i="2"/>
  <c r="AK583" i="2"/>
  <c r="AJ583" i="2"/>
  <c r="AI583" i="2"/>
  <c r="AH583" i="2"/>
  <c r="AG583" i="2"/>
  <c r="AF583" i="2"/>
  <c r="AE583" i="2"/>
  <c r="AC583" i="2"/>
  <c r="AB583" i="2"/>
  <c r="AA583" i="2"/>
  <c r="Z583" i="2"/>
  <c r="Y583" i="2"/>
  <c r="X583" i="2"/>
  <c r="W583" i="2"/>
  <c r="V583" i="2"/>
  <c r="U583" i="2"/>
  <c r="S583" i="2"/>
  <c r="R583" i="2"/>
  <c r="Q583" i="2"/>
  <c r="P583" i="2"/>
  <c r="O583" i="2"/>
  <c r="N583" i="2"/>
  <c r="M583" i="2"/>
  <c r="L583" i="2"/>
  <c r="K583" i="2"/>
  <c r="J583" i="2"/>
  <c r="I583" i="2"/>
  <c r="H583" i="2"/>
  <c r="G583" i="2"/>
  <c r="F583" i="2"/>
  <c r="E583" i="2"/>
  <c r="D583" i="2"/>
  <c r="C583" i="2"/>
  <c r="B583" i="2"/>
  <c r="A583" i="2"/>
  <c r="AL582" i="2"/>
  <c r="AK582" i="2"/>
  <c r="AJ582" i="2"/>
  <c r="AI582" i="2"/>
  <c r="AH582" i="2"/>
  <c r="AG582" i="2"/>
  <c r="AF582" i="2"/>
  <c r="AE582" i="2"/>
  <c r="AD582" i="2"/>
  <c r="AC582" i="2"/>
  <c r="AB582" i="2"/>
  <c r="AA582" i="2"/>
  <c r="Z582" i="2"/>
  <c r="Y582" i="2"/>
  <c r="X582" i="2"/>
  <c r="W582" i="2"/>
  <c r="V582" i="2"/>
  <c r="U582" i="2"/>
  <c r="S582" i="2"/>
  <c r="R582" i="2"/>
  <c r="Q582" i="2"/>
  <c r="P582" i="2"/>
  <c r="O582" i="2"/>
  <c r="N582" i="2"/>
  <c r="M582" i="2"/>
  <c r="L582" i="2"/>
  <c r="K582" i="2"/>
  <c r="J582" i="2"/>
  <c r="I582" i="2"/>
  <c r="H582" i="2"/>
  <c r="G582" i="2"/>
  <c r="F582" i="2"/>
  <c r="E582" i="2"/>
  <c r="D582" i="2"/>
  <c r="C582" i="2"/>
  <c r="A582" i="2"/>
  <c r="AL581" i="2"/>
  <c r="AK581" i="2"/>
  <c r="AJ581" i="2"/>
  <c r="AI581" i="2"/>
  <c r="AH581" i="2"/>
  <c r="AG581" i="2"/>
  <c r="AF581" i="2"/>
  <c r="AE581" i="2"/>
  <c r="AD581" i="2"/>
  <c r="AC581" i="2"/>
  <c r="AB581" i="2"/>
  <c r="AA581" i="2"/>
  <c r="Z581" i="2"/>
  <c r="Y581" i="2"/>
  <c r="X581" i="2"/>
  <c r="W581" i="2"/>
  <c r="V581" i="2"/>
  <c r="U581" i="2"/>
  <c r="S581" i="2"/>
  <c r="R581" i="2"/>
  <c r="Q581" i="2"/>
  <c r="P581" i="2"/>
  <c r="O581" i="2"/>
  <c r="N581" i="2"/>
  <c r="M581" i="2"/>
  <c r="L581" i="2"/>
  <c r="K581" i="2"/>
  <c r="J581" i="2"/>
  <c r="I581" i="2"/>
  <c r="H581" i="2"/>
  <c r="G581" i="2"/>
  <c r="F581" i="2"/>
  <c r="E581" i="2"/>
  <c r="D581" i="2"/>
  <c r="C581" i="2"/>
  <c r="B581" i="2"/>
  <c r="A581" i="2"/>
  <c r="AL580" i="2"/>
  <c r="AK580" i="2"/>
  <c r="AJ580" i="2"/>
  <c r="AI580" i="2"/>
  <c r="AH580" i="2"/>
  <c r="AG580" i="2"/>
  <c r="AF580" i="2"/>
  <c r="AE580" i="2"/>
  <c r="AD580" i="2"/>
  <c r="AC580" i="2"/>
  <c r="AB580" i="2"/>
  <c r="AA580" i="2"/>
  <c r="Z580" i="2"/>
  <c r="Y580" i="2"/>
  <c r="X580" i="2"/>
  <c r="W580" i="2"/>
  <c r="V580" i="2"/>
  <c r="U580" i="2"/>
  <c r="S580" i="2"/>
  <c r="R580" i="2"/>
  <c r="Q580" i="2"/>
  <c r="P580" i="2"/>
  <c r="O580" i="2"/>
  <c r="N580" i="2"/>
  <c r="M580" i="2"/>
  <c r="L580" i="2"/>
  <c r="K580" i="2"/>
  <c r="J580" i="2"/>
  <c r="I580" i="2"/>
  <c r="H580" i="2"/>
  <c r="G580" i="2"/>
  <c r="F580" i="2"/>
  <c r="E580" i="2"/>
  <c r="D580" i="2"/>
  <c r="C580" i="2"/>
  <c r="B580" i="2"/>
  <c r="A580" i="2"/>
  <c r="AL579" i="2"/>
  <c r="AK579" i="2"/>
  <c r="AJ579" i="2"/>
  <c r="AI579" i="2"/>
  <c r="AH579" i="2"/>
  <c r="AG579" i="2"/>
  <c r="AF579" i="2"/>
  <c r="AE579" i="2"/>
  <c r="AD579" i="2"/>
  <c r="AC579" i="2"/>
  <c r="AB579" i="2"/>
  <c r="AA579" i="2"/>
  <c r="Z579" i="2"/>
  <c r="Y579" i="2"/>
  <c r="X579" i="2"/>
  <c r="W579" i="2"/>
  <c r="V579" i="2"/>
  <c r="U579" i="2"/>
  <c r="S579" i="2"/>
  <c r="R579" i="2"/>
  <c r="Q579" i="2"/>
  <c r="P579" i="2"/>
  <c r="O579" i="2"/>
  <c r="N579" i="2"/>
  <c r="M579" i="2"/>
  <c r="L579" i="2"/>
  <c r="K579" i="2"/>
  <c r="J579" i="2"/>
  <c r="I579" i="2"/>
  <c r="H579" i="2"/>
  <c r="G579" i="2"/>
  <c r="F579" i="2"/>
  <c r="E579" i="2"/>
  <c r="D579" i="2"/>
  <c r="C579" i="2"/>
  <c r="A579" i="2"/>
  <c r="AL578" i="2"/>
  <c r="AK578" i="2"/>
  <c r="AJ578" i="2"/>
  <c r="AI578" i="2"/>
  <c r="AH578" i="2"/>
  <c r="AG578" i="2"/>
  <c r="AF578" i="2"/>
  <c r="AE578" i="2"/>
  <c r="AD578" i="2"/>
  <c r="AC578" i="2"/>
  <c r="AB578" i="2"/>
  <c r="AA578" i="2"/>
  <c r="Y578" i="2"/>
  <c r="X578" i="2"/>
  <c r="W578" i="2"/>
  <c r="V578" i="2"/>
  <c r="U578" i="2"/>
  <c r="S578" i="2"/>
  <c r="R578" i="2"/>
  <c r="Q578" i="2"/>
  <c r="P578" i="2"/>
  <c r="O578" i="2"/>
  <c r="N578" i="2"/>
  <c r="M578" i="2"/>
  <c r="L578" i="2"/>
  <c r="K578" i="2"/>
  <c r="J578" i="2"/>
  <c r="I578" i="2"/>
  <c r="H578" i="2"/>
  <c r="G578" i="2"/>
  <c r="F578" i="2"/>
  <c r="E578" i="2"/>
  <c r="D578" i="2"/>
  <c r="C578" i="2"/>
  <c r="A578" i="2"/>
  <c r="AK577" i="2"/>
  <c r="AJ577" i="2"/>
  <c r="AI577" i="2"/>
  <c r="AH577" i="2"/>
  <c r="AG577" i="2"/>
  <c r="AF577" i="2"/>
  <c r="AE577" i="2"/>
  <c r="AC577" i="2"/>
  <c r="AB577" i="2"/>
  <c r="AA577" i="2"/>
  <c r="Z577" i="2"/>
  <c r="Y577" i="2"/>
  <c r="X577" i="2"/>
  <c r="W577" i="2"/>
  <c r="V577" i="2"/>
  <c r="U577" i="2"/>
  <c r="S577" i="2"/>
  <c r="R577" i="2"/>
  <c r="Q577" i="2"/>
  <c r="P577" i="2"/>
  <c r="O577" i="2"/>
  <c r="N577" i="2"/>
  <c r="M577" i="2"/>
  <c r="L577" i="2"/>
  <c r="K577" i="2"/>
  <c r="J577" i="2"/>
  <c r="I577" i="2"/>
  <c r="H577" i="2"/>
  <c r="G577" i="2"/>
  <c r="F577" i="2"/>
  <c r="E577" i="2"/>
  <c r="D577" i="2"/>
  <c r="C577" i="2"/>
  <c r="A577" i="2"/>
  <c r="AK576" i="2"/>
  <c r="AJ576" i="2"/>
  <c r="AI576" i="2"/>
  <c r="AH576" i="2"/>
  <c r="AG576" i="2"/>
  <c r="AF576" i="2"/>
  <c r="AE576" i="2"/>
  <c r="AD576" i="2"/>
  <c r="AC576" i="2"/>
  <c r="AB576" i="2"/>
  <c r="AA576" i="2"/>
  <c r="Z576" i="2"/>
  <c r="Y576" i="2"/>
  <c r="X576" i="2"/>
  <c r="W576" i="2"/>
  <c r="V576" i="2"/>
  <c r="U576" i="2"/>
  <c r="S576" i="2"/>
  <c r="R576" i="2"/>
  <c r="Q576" i="2"/>
  <c r="P576" i="2"/>
  <c r="O576" i="2"/>
  <c r="N576" i="2"/>
  <c r="M576" i="2"/>
  <c r="L576" i="2"/>
  <c r="K576" i="2"/>
  <c r="J576" i="2"/>
  <c r="I576" i="2"/>
  <c r="H576" i="2"/>
  <c r="G576" i="2"/>
  <c r="F576" i="2"/>
  <c r="E576" i="2"/>
  <c r="D576" i="2"/>
  <c r="C576" i="2"/>
  <c r="A576" i="2"/>
  <c r="AL575" i="2"/>
  <c r="AK575" i="2"/>
  <c r="AJ575" i="2"/>
  <c r="AI575" i="2"/>
  <c r="AG575" i="2"/>
  <c r="AF575" i="2"/>
  <c r="AE575" i="2"/>
  <c r="AC575" i="2"/>
  <c r="AB575" i="2"/>
  <c r="AA575" i="2"/>
  <c r="X575" i="2"/>
  <c r="W575" i="2"/>
  <c r="V575" i="2"/>
  <c r="U575" i="2"/>
  <c r="R575" i="2"/>
  <c r="Q575" i="2"/>
  <c r="P575" i="2"/>
  <c r="O575" i="2"/>
  <c r="N575" i="2"/>
  <c r="M575" i="2"/>
  <c r="L575" i="2"/>
  <c r="K575" i="2"/>
  <c r="J575" i="2"/>
  <c r="I575" i="2"/>
  <c r="H575" i="2"/>
  <c r="G575" i="2"/>
  <c r="F575" i="2"/>
  <c r="E575" i="2"/>
  <c r="D575" i="2"/>
  <c r="C575" i="2"/>
  <c r="A575" i="2"/>
  <c r="AL574" i="2"/>
  <c r="AK574" i="2"/>
  <c r="AJ574" i="2"/>
  <c r="AI574" i="2"/>
  <c r="AH574" i="2"/>
  <c r="AG574" i="2"/>
  <c r="AF574" i="2"/>
  <c r="AE574" i="2"/>
  <c r="AD574" i="2"/>
  <c r="AC574" i="2"/>
  <c r="AB574" i="2"/>
  <c r="AA574" i="2"/>
  <c r="Z574" i="2"/>
  <c r="Y574" i="2"/>
  <c r="X574" i="2"/>
  <c r="W574" i="2"/>
  <c r="V574" i="2"/>
  <c r="U574" i="2"/>
  <c r="S574" i="2"/>
  <c r="R574" i="2"/>
  <c r="Q574" i="2"/>
  <c r="P574" i="2"/>
  <c r="O574" i="2"/>
  <c r="N574" i="2"/>
  <c r="M574" i="2"/>
  <c r="L574" i="2"/>
  <c r="K574" i="2"/>
  <c r="J574" i="2"/>
  <c r="I574" i="2"/>
  <c r="H574" i="2"/>
  <c r="G574" i="2"/>
  <c r="F574" i="2"/>
  <c r="E574" i="2"/>
  <c r="D574" i="2"/>
  <c r="C574" i="2"/>
  <c r="A574" i="2"/>
  <c r="AK573" i="2"/>
  <c r="AJ573" i="2"/>
  <c r="AI573" i="2"/>
  <c r="AH573" i="2"/>
  <c r="AG573" i="2"/>
  <c r="AF573" i="2"/>
  <c r="AE573" i="2"/>
  <c r="AC573" i="2"/>
  <c r="AB573" i="2"/>
  <c r="AA573" i="2"/>
  <c r="Z573" i="2"/>
  <c r="Y573" i="2"/>
  <c r="X573" i="2"/>
  <c r="W573" i="2"/>
  <c r="V573" i="2"/>
  <c r="U573" i="2"/>
  <c r="S573" i="2"/>
  <c r="R573" i="2"/>
  <c r="Q573" i="2"/>
  <c r="P573" i="2"/>
  <c r="O573" i="2"/>
  <c r="N573" i="2"/>
  <c r="M573" i="2"/>
  <c r="L573" i="2"/>
  <c r="K573" i="2"/>
  <c r="J573" i="2"/>
  <c r="I573" i="2"/>
  <c r="H573" i="2"/>
  <c r="G573" i="2"/>
  <c r="F573" i="2"/>
  <c r="E573" i="2"/>
  <c r="D573" i="2"/>
  <c r="C573" i="2"/>
  <c r="B573" i="2"/>
  <c r="A573" i="2"/>
  <c r="AL572" i="2"/>
  <c r="AK572" i="2"/>
  <c r="AJ572" i="2"/>
  <c r="AI572" i="2"/>
  <c r="AG572" i="2"/>
  <c r="AF572" i="2"/>
  <c r="AE572" i="2"/>
  <c r="AC572" i="2"/>
  <c r="AB572" i="2"/>
  <c r="AA572" i="2"/>
  <c r="X572" i="2"/>
  <c r="W572" i="2"/>
  <c r="V572" i="2"/>
  <c r="U572" i="2"/>
  <c r="R572" i="2"/>
  <c r="Q572" i="2"/>
  <c r="P572" i="2"/>
  <c r="O572" i="2"/>
  <c r="N572" i="2"/>
  <c r="M572" i="2"/>
  <c r="L572" i="2"/>
  <c r="K572" i="2"/>
  <c r="J572" i="2"/>
  <c r="I572" i="2"/>
  <c r="H572" i="2"/>
  <c r="G572" i="2"/>
  <c r="F572" i="2"/>
  <c r="E572" i="2"/>
  <c r="D572" i="2"/>
  <c r="C572" i="2"/>
  <c r="B572" i="2"/>
  <c r="A572" i="2"/>
  <c r="AL571" i="2"/>
  <c r="AK571" i="2"/>
  <c r="AJ571" i="2"/>
  <c r="AI571" i="2"/>
  <c r="AH571" i="2"/>
  <c r="AG571" i="2"/>
  <c r="AF571" i="2"/>
  <c r="AE571" i="2"/>
  <c r="AD571" i="2"/>
  <c r="AC571" i="2"/>
  <c r="AB571" i="2"/>
  <c r="AA571" i="2"/>
  <c r="Z571" i="2"/>
  <c r="Y571" i="2"/>
  <c r="X571" i="2"/>
  <c r="W571" i="2"/>
  <c r="V571" i="2"/>
  <c r="U571" i="2"/>
  <c r="S571" i="2"/>
  <c r="R571" i="2"/>
  <c r="Q571" i="2"/>
  <c r="P571" i="2"/>
  <c r="O571" i="2"/>
  <c r="N571" i="2"/>
  <c r="M571" i="2"/>
  <c r="L571" i="2"/>
  <c r="K571" i="2"/>
  <c r="J571" i="2"/>
  <c r="I571" i="2"/>
  <c r="H571" i="2"/>
  <c r="G571" i="2"/>
  <c r="F571" i="2"/>
  <c r="E571" i="2"/>
  <c r="D571" i="2"/>
  <c r="C571" i="2"/>
  <c r="B571" i="2"/>
  <c r="A571" i="2"/>
  <c r="AK570" i="2"/>
  <c r="AJ570" i="2"/>
  <c r="AI570" i="2"/>
  <c r="AH570" i="2"/>
  <c r="AG570" i="2"/>
  <c r="AF570" i="2"/>
  <c r="AE570" i="2"/>
  <c r="AD570" i="2"/>
  <c r="AC570" i="2"/>
  <c r="AB570" i="2"/>
  <c r="AA570" i="2"/>
  <c r="Z570" i="2"/>
  <c r="Y570" i="2"/>
  <c r="X570" i="2"/>
  <c r="W570" i="2"/>
  <c r="V570" i="2"/>
  <c r="U570" i="2"/>
  <c r="S570" i="2"/>
  <c r="R570" i="2"/>
  <c r="Q570" i="2"/>
  <c r="P570" i="2"/>
  <c r="O570" i="2"/>
  <c r="N570" i="2"/>
  <c r="M570" i="2"/>
  <c r="L570" i="2"/>
  <c r="K570" i="2"/>
  <c r="J570" i="2"/>
  <c r="I570" i="2"/>
  <c r="H570" i="2"/>
  <c r="G570" i="2"/>
  <c r="F570" i="2"/>
  <c r="E570" i="2"/>
  <c r="D570" i="2"/>
  <c r="C570" i="2"/>
  <c r="B570" i="2"/>
  <c r="A570" i="2"/>
  <c r="AK569" i="2"/>
  <c r="AJ569" i="2"/>
  <c r="AI569" i="2"/>
  <c r="AH569" i="2"/>
  <c r="AG569" i="2"/>
  <c r="AF569" i="2"/>
  <c r="AE569" i="2"/>
  <c r="AC569" i="2"/>
  <c r="AB569" i="2"/>
  <c r="AA569" i="2"/>
  <c r="Z569" i="2"/>
  <c r="Y569" i="2"/>
  <c r="X569" i="2"/>
  <c r="W569" i="2"/>
  <c r="V569" i="2"/>
  <c r="U569" i="2"/>
  <c r="S569" i="2"/>
  <c r="R569" i="2"/>
  <c r="Q569" i="2"/>
  <c r="P569" i="2"/>
  <c r="O569" i="2"/>
  <c r="N569" i="2"/>
  <c r="M569" i="2"/>
  <c r="L569" i="2"/>
  <c r="K569" i="2"/>
  <c r="J569" i="2"/>
  <c r="I569" i="2"/>
  <c r="H569" i="2"/>
  <c r="G569" i="2"/>
  <c r="F569" i="2"/>
  <c r="E569" i="2"/>
  <c r="D569" i="2"/>
  <c r="C569" i="2"/>
  <c r="B569" i="2"/>
  <c r="A569" i="2"/>
  <c r="AL568" i="2"/>
  <c r="AK568" i="2"/>
  <c r="AJ568" i="2"/>
  <c r="AI568" i="2"/>
  <c r="AH568" i="2"/>
  <c r="AG568" i="2"/>
  <c r="AF568" i="2"/>
  <c r="AE568" i="2"/>
  <c r="AD568" i="2"/>
  <c r="AC568" i="2"/>
  <c r="AB568" i="2"/>
  <c r="AA568" i="2"/>
  <c r="Z568" i="2"/>
  <c r="Y568" i="2"/>
  <c r="X568" i="2"/>
  <c r="W568" i="2"/>
  <c r="V568" i="2"/>
  <c r="U568" i="2"/>
  <c r="S568" i="2"/>
  <c r="R568" i="2"/>
  <c r="Q568" i="2"/>
  <c r="P568" i="2"/>
  <c r="O568" i="2"/>
  <c r="N568" i="2"/>
  <c r="M568" i="2"/>
  <c r="L568" i="2"/>
  <c r="K568" i="2"/>
  <c r="J568" i="2"/>
  <c r="I568" i="2"/>
  <c r="H568" i="2"/>
  <c r="G568" i="2"/>
  <c r="F568" i="2"/>
  <c r="E568" i="2"/>
  <c r="D568" i="2"/>
  <c r="C568" i="2"/>
  <c r="B568" i="2"/>
  <c r="A568" i="2"/>
  <c r="AL567" i="2"/>
  <c r="AK567" i="2"/>
  <c r="AJ567" i="2"/>
  <c r="AI567" i="2"/>
  <c r="AH567" i="2"/>
  <c r="AG567" i="2"/>
  <c r="AF567" i="2"/>
  <c r="AE567" i="2"/>
  <c r="AD567" i="2"/>
  <c r="AC567" i="2"/>
  <c r="AB567" i="2"/>
  <c r="AA567" i="2"/>
  <c r="Z567" i="2"/>
  <c r="Y567" i="2"/>
  <c r="X567" i="2"/>
  <c r="W567" i="2"/>
  <c r="V567" i="2"/>
  <c r="U567" i="2"/>
  <c r="S567" i="2"/>
  <c r="R567" i="2"/>
  <c r="Q567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D567" i="2"/>
  <c r="C567" i="2"/>
  <c r="A567" i="2"/>
  <c r="AL566" i="2"/>
  <c r="AK566" i="2"/>
  <c r="AJ566" i="2"/>
  <c r="AI566" i="2"/>
  <c r="AH566" i="2"/>
  <c r="AG566" i="2"/>
  <c r="AF566" i="2"/>
  <c r="AE566" i="2"/>
  <c r="AD566" i="2"/>
  <c r="AC566" i="2"/>
  <c r="AB566" i="2"/>
  <c r="AA566" i="2"/>
  <c r="Z566" i="2"/>
  <c r="Y566" i="2"/>
  <c r="X566" i="2"/>
  <c r="W566" i="2"/>
  <c r="V566" i="2"/>
  <c r="U566" i="2"/>
  <c r="S566" i="2"/>
  <c r="R566" i="2"/>
  <c r="Q566" i="2"/>
  <c r="P566" i="2"/>
  <c r="O566" i="2"/>
  <c r="N566" i="2"/>
  <c r="M566" i="2"/>
  <c r="L566" i="2"/>
  <c r="K566" i="2"/>
  <c r="J566" i="2"/>
  <c r="I566" i="2"/>
  <c r="H566" i="2"/>
  <c r="G566" i="2"/>
  <c r="F566" i="2"/>
  <c r="E566" i="2"/>
  <c r="D566" i="2"/>
  <c r="C566" i="2"/>
  <c r="B566" i="2"/>
  <c r="A566" i="2"/>
  <c r="AL565" i="2"/>
  <c r="AK565" i="2"/>
  <c r="AJ565" i="2"/>
  <c r="AI565" i="2"/>
  <c r="AH565" i="2"/>
  <c r="AG565" i="2"/>
  <c r="AF565" i="2"/>
  <c r="AE565" i="2"/>
  <c r="AD565" i="2"/>
  <c r="AC565" i="2"/>
  <c r="AB565" i="2"/>
  <c r="AA565" i="2"/>
  <c r="Z565" i="2"/>
  <c r="Y565" i="2"/>
  <c r="X565" i="2"/>
  <c r="W565" i="2"/>
  <c r="V565" i="2"/>
  <c r="U565" i="2"/>
  <c r="S565" i="2"/>
  <c r="R565" i="2"/>
  <c r="Q565" i="2"/>
  <c r="P565" i="2"/>
  <c r="O565" i="2"/>
  <c r="N565" i="2"/>
  <c r="M565" i="2"/>
  <c r="L565" i="2"/>
  <c r="K565" i="2"/>
  <c r="J565" i="2"/>
  <c r="I565" i="2"/>
  <c r="H565" i="2"/>
  <c r="G565" i="2"/>
  <c r="F565" i="2"/>
  <c r="E565" i="2"/>
  <c r="D565" i="2"/>
  <c r="C565" i="2"/>
  <c r="B565" i="2"/>
  <c r="A565" i="2"/>
  <c r="AL564" i="2"/>
  <c r="AK564" i="2"/>
  <c r="AJ564" i="2"/>
  <c r="AI564" i="2"/>
  <c r="AH564" i="2"/>
  <c r="AG564" i="2"/>
  <c r="AF564" i="2"/>
  <c r="AE564" i="2"/>
  <c r="AD564" i="2"/>
  <c r="AC564" i="2"/>
  <c r="AB564" i="2"/>
  <c r="AA564" i="2"/>
  <c r="Z564" i="2"/>
  <c r="Y564" i="2"/>
  <c r="X564" i="2"/>
  <c r="W564" i="2"/>
  <c r="V564" i="2"/>
  <c r="U564" i="2"/>
  <c r="S564" i="2"/>
  <c r="R564" i="2"/>
  <c r="Q564" i="2"/>
  <c r="P564" i="2"/>
  <c r="O564" i="2"/>
  <c r="N564" i="2"/>
  <c r="M564" i="2"/>
  <c r="L564" i="2"/>
  <c r="K564" i="2"/>
  <c r="J564" i="2"/>
  <c r="I564" i="2"/>
  <c r="H564" i="2"/>
  <c r="G564" i="2"/>
  <c r="F564" i="2"/>
  <c r="E564" i="2"/>
  <c r="D564" i="2"/>
  <c r="C564" i="2"/>
  <c r="A564" i="2"/>
  <c r="AL563" i="2"/>
  <c r="AK563" i="2"/>
  <c r="AJ563" i="2"/>
  <c r="AI563" i="2"/>
  <c r="AH563" i="2"/>
  <c r="AG563" i="2"/>
  <c r="AF563" i="2"/>
  <c r="AE563" i="2"/>
  <c r="AD563" i="2"/>
  <c r="AC563" i="2"/>
  <c r="AB563" i="2"/>
  <c r="AA563" i="2"/>
  <c r="Y563" i="2"/>
  <c r="X563" i="2"/>
  <c r="W563" i="2"/>
  <c r="V563" i="2"/>
  <c r="U563" i="2"/>
  <c r="S563" i="2"/>
  <c r="R563" i="2"/>
  <c r="Q563" i="2"/>
  <c r="P563" i="2"/>
  <c r="O563" i="2"/>
  <c r="N563" i="2"/>
  <c r="M563" i="2"/>
  <c r="L563" i="2"/>
  <c r="K563" i="2"/>
  <c r="J563" i="2"/>
  <c r="I563" i="2"/>
  <c r="H563" i="2"/>
  <c r="G563" i="2"/>
  <c r="F563" i="2"/>
  <c r="E563" i="2"/>
  <c r="D563" i="2"/>
  <c r="C563" i="2"/>
  <c r="A563" i="2"/>
  <c r="AK562" i="2"/>
  <c r="AJ562" i="2"/>
  <c r="AI562" i="2"/>
  <c r="AH562" i="2"/>
  <c r="AG562" i="2"/>
  <c r="AF562" i="2"/>
  <c r="AE562" i="2"/>
  <c r="AD562" i="2"/>
  <c r="AC562" i="2"/>
  <c r="AB562" i="2"/>
  <c r="AA562" i="2"/>
  <c r="Z562" i="2"/>
  <c r="Y562" i="2"/>
  <c r="X562" i="2"/>
  <c r="W562" i="2"/>
  <c r="V562" i="2"/>
  <c r="U562" i="2"/>
  <c r="S562" i="2"/>
  <c r="R562" i="2"/>
  <c r="Q562" i="2"/>
  <c r="P562" i="2"/>
  <c r="O562" i="2"/>
  <c r="N562" i="2"/>
  <c r="M562" i="2"/>
  <c r="L562" i="2"/>
  <c r="K562" i="2"/>
  <c r="J562" i="2"/>
  <c r="I562" i="2"/>
  <c r="H562" i="2"/>
  <c r="G562" i="2"/>
  <c r="F562" i="2"/>
  <c r="E562" i="2"/>
  <c r="D562" i="2"/>
  <c r="C562" i="2"/>
  <c r="A562" i="2"/>
  <c r="AL561" i="2"/>
  <c r="AK561" i="2"/>
  <c r="AJ561" i="2"/>
  <c r="AI561" i="2"/>
  <c r="AH561" i="2"/>
  <c r="AG561" i="2"/>
  <c r="AF561" i="2"/>
  <c r="AE561" i="2"/>
  <c r="AC561" i="2"/>
  <c r="AB561" i="2"/>
  <c r="AA561" i="2"/>
  <c r="Z561" i="2"/>
  <c r="Y561" i="2"/>
  <c r="X561" i="2"/>
  <c r="W561" i="2"/>
  <c r="V561" i="2"/>
  <c r="U561" i="2"/>
  <c r="S561" i="2"/>
  <c r="R561" i="2"/>
  <c r="Q561" i="2"/>
  <c r="P561" i="2"/>
  <c r="O561" i="2"/>
  <c r="N561" i="2"/>
  <c r="M561" i="2"/>
  <c r="L561" i="2"/>
  <c r="K561" i="2"/>
  <c r="J561" i="2"/>
  <c r="I561" i="2"/>
  <c r="H561" i="2"/>
  <c r="G561" i="2"/>
  <c r="F561" i="2"/>
  <c r="E561" i="2"/>
  <c r="D561" i="2"/>
  <c r="C561" i="2"/>
  <c r="B561" i="2"/>
  <c r="A561" i="2"/>
  <c r="AL560" i="2"/>
  <c r="AK560" i="2"/>
  <c r="AJ560" i="2"/>
  <c r="AI560" i="2"/>
  <c r="AH560" i="2"/>
  <c r="AG560" i="2"/>
  <c r="AF560" i="2"/>
  <c r="AE560" i="2"/>
  <c r="AD560" i="2"/>
  <c r="AC560" i="2"/>
  <c r="AB560" i="2"/>
  <c r="AA560" i="2"/>
  <c r="Y560" i="2"/>
  <c r="X560" i="2"/>
  <c r="W560" i="2"/>
  <c r="V560" i="2"/>
  <c r="U560" i="2"/>
  <c r="S560" i="2"/>
  <c r="R560" i="2"/>
  <c r="Q560" i="2"/>
  <c r="P560" i="2"/>
  <c r="O560" i="2"/>
  <c r="N560" i="2"/>
  <c r="M560" i="2"/>
  <c r="L560" i="2"/>
  <c r="K560" i="2"/>
  <c r="J560" i="2"/>
  <c r="I560" i="2"/>
  <c r="H560" i="2"/>
  <c r="G560" i="2"/>
  <c r="F560" i="2"/>
  <c r="E560" i="2"/>
  <c r="D560" i="2"/>
  <c r="C560" i="2"/>
  <c r="B560" i="2"/>
  <c r="A560" i="2"/>
  <c r="AL559" i="2"/>
  <c r="AK559" i="2"/>
  <c r="AJ559" i="2"/>
  <c r="AI559" i="2"/>
  <c r="AH559" i="2"/>
  <c r="AG559" i="2"/>
  <c r="AF559" i="2"/>
  <c r="AE559" i="2"/>
  <c r="AD559" i="2"/>
  <c r="AC559" i="2"/>
  <c r="AB559" i="2"/>
  <c r="AA559" i="2"/>
  <c r="Z559" i="2"/>
  <c r="Y559" i="2"/>
  <c r="X559" i="2"/>
  <c r="W559" i="2"/>
  <c r="V559" i="2"/>
  <c r="U559" i="2"/>
  <c r="S559" i="2"/>
  <c r="R559" i="2"/>
  <c r="Q559" i="2"/>
  <c r="P559" i="2"/>
  <c r="O559" i="2"/>
  <c r="N559" i="2"/>
  <c r="M559" i="2"/>
  <c r="L559" i="2"/>
  <c r="K559" i="2"/>
  <c r="J559" i="2"/>
  <c r="I559" i="2"/>
  <c r="H559" i="2"/>
  <c r="G559" i="2"/>
  <c r="F559" i="2"/>
  <c r="E559" i="2"/>
  <c r="D559" i="2"/>
  <c r="C559" i="2"/>
  <c r="A559" i="2"/>
  <c r="AL558" i="2"/>
  <c r="AK558" i="2"/>
  <c r="AJ558" i="2"/>
  <c r="AI558" i="2"/>
  <c r="AH558" i="2"/>
  <c r="AG558" i="2"/>
  <c r="AF558" i="2"/>
  <c r="AE558" i="2"/>
  <c r="AD558" i="2"/>
  <c r="AC558" i="2"/>
  <c r="AB558" i="2"/>
  <c r="AA558" i="2"/>
  <c r="Z558" i="2"/>
  <c r="Y558" i="2"/>
  <c r="X558" i="2"/>
  <c r="W558" i="2"/>
  <c r="V558" i="2"/>
  <c r="U558" i="2"/>
  <c r="S558" i="2"/>
  <c r="R558" i="2"/>
  <c r="Q558" i="2"/>
  <c r="P558" i="2"/>
  <c r="O558" i="2"/>
  <c r="N558" i="2"/>
  <c r="M558" i="2"/>
  <c r="L558" i="2"/>
  <c r="K558" i="2"/>
  <c r="J558" i="2"/>
  <c r="I558" i="2"/>
  <c r="H558" i="2"/>
  <c r="G558" i="2"/>
  <c r="F558" i="2"/>
  <c r="E558" i="2"/>
  <c r="D558" i="2"/>
  <c r="C558" i="2"/>
  <c r="A558" i="2"/>
  <c r="AL557" i="2"/>
  <c r="AK557" i="2"/>
  <c r="AJ557" i="2"/>
  <c r="AI557" i="2"/>
  <c r="AH557" i="2"/>
  <c r="AG557" i="2"/>
  <c r="AF557" i="2"/>
  <c r="AE557" i="2"/>
  <c r="AD557" i="2"/>
  <c r="AC557" i="2"/>
  <c r="AB557" i="2"/>
  <c r="AA557" i="2"/>
  <c r="Z557" i="2"/>
  <c r="Y557" i="2"/>
  <c r="X557" i="2"/>
  <c r="W557" i="2"/>
  <c r="V557" i="2"/>
  <c r="U557" i="2"/>
  <c r="S557" i="2"/>
  <c r="R557" i="2"/>
  <c r="Q557" i="2"/>
  <c r="P557" i="2"/>
  <c r="O557" i="2"/>
  <c r="N557" i="2"/>
  <c r="M557" i="2"/>
  <c r="L557" i="2"/>
  <c r="K557" i="2"/>
  <c r="J557" i="2"/>
  <c r="I557" i="2"/>
  <c r="H557" i="2"/>
  <c r="G557" i="2"/>
  <c r="F557" i="2"/>
  <c r="E557" i="2"/>
  <c r="D557" i="2"/>
  <c r="C557" i="2"/>
  <c r="B557" i="2"/>
  <c r="A557" i="2"/>
  <c r="AK556" i="2"/>
  <c r="AJ556" i="2"/>
  <c r="AI556" i="2"/>
  <c r="AH556" i="2"/>
  <c r="AG556" i="2"/>
  <c r="AF556" i="2"/>
  <c r="AE556" i="2"/>
  <c r="AC556" i="2"/>
  <c r="AB556" i="2"/>
  <c r="AA556" i="2"/>
  <c r="Z556" i="2"/>
  <c r="Y556" i="2"/>
  <c r="X556" i="2"/>
  <c r="W556" i="2"/>
  <c r="V556" i="2"/>
  <c r="U556" i="2"/>
  <c r="S556" i="2"/>
  <c r="R556" i="2"/>
  <c r="Q556" i="2"/>
  <c r="P556" i="2"/>
  <c r="O556" i="2"/>
  <c r="N556" i="2"/>
  <c r="M556" i="2"/>
  <c r="L556" i="2"/>
  <c r="K556" i="2"/>
  <c r="J556" i="2"/>
  <c r="I556" i="2"/>
  <c r="H556" i="2"/>
  <c r="G556" i="2"/>
  <c r="F556" i="2"/>
  <c r="E556" i="2"/>
  <c r="D556" i="2"/>
  <c r="C556" i="2"/>
  <c r="A556" i="2"/>
  <c r="AL555" i="2"/>
  <c r="AK555" i="2"/>
  <c r="AJ555" i="2"/>
  <c r="AI555" i="2"/>
  <c r="AG555" i="2"/>
  <c r="AF555" i="2"/>
  <c r="AE555" i="2"/>
  <c r="AC555" i="2"/>
  <c r="AB555" i="2"/>
  <c r="AA555" i="2"/>
  <c r="X555" i="2"/>
  <c r="W555" i="2"/>
  <c r="V555" i="2"/>
  <c r="U555" i="2"/>
  <c r="R555" i="2"/>
  <c r="Q555" i="2"/>
  <c r="P555" i="2"/>
  <c r="O555" i="2"/>
  <c r="N555" i="2"/>
  <c r="M555" i="2"/>
  <c r="L555" i="2"/>
  <c r="K555" i="2"/>
  <c r="J555" i="2"/>
  <c r="I555" i="2"/>
  <c r="H555" i="2"/>
  <c r="G555" i="2"/>
  <c r="F555" i="2"/>
  <c r="E555" i="2"/>
  <c r="D555" i="2"/>
  <c r="C555" i="2"/>
  <c r="B555" i="2"/>
  <c r="A555" i="2"/>
  <c r="AL554" i="2"/>
  <c r="AK554" i="2"/>
  <c r="AJ554" i="2"/>
  <c r="AI554" i="2"/>
  <c r="AH554" i="2"/>
  <c r="AG554" i="2"/>
  <c r="AF554" i="2"/>
  <c r="AE554" i="2"/>
  <c r="AD554" i="2"/>
  <c r="AC554" i="2"/>
  <c r="AB554" i="2"/>
  <c r="AA554" i="2"/>
  <c r="Z554" i="2"/>
  <c r="Y554" i="2"/>
  <c r="X554" i="2"/>
  <c r="W554" i="2"/>
  <c r="V554" i="2"/>
  <c r="U554" i="2"/>
  <c r="S554" i="2"/>
  <c r="R554" i="2"/>
  <c r="Q554" i="2"/>
  <c r="P554" i="2"/>
  <c r="O554" i="2"/>
  <c r="N554" i="2"/>
  <c r="M554" i="2"/>
  <c r="L554" i="2"/>
  <c r="K554" i="2"/>
  <c r="J554" i="2"/>
  <c r="I554" i="2"/>
  <c r="H554" i="2"/>
  <c r="G554" i="2"/>
  <c r="F554" i="2"/>
  <c r="E554" i="2"/>
  <c r="D554" i="2"/>
  <c r="C554" i="2"/>
  <c r="B554" i="2"/>
  <c r="A554" i="2"/>
  <c r="AL553" i="2"/>
  <c r="AK553" i="2"/>
  <c r="AJ553" i="2"/>
  <c r="AI553" i="2"/>
  <c r="AH553" i="2"/>
  <c r="AG553" i="2"/>
  <c r="AF553" i="2"/>
  <c r="AE553" i="2"/>
  <c r="AD553" i="2"/>
  <c r="AC553" i="2"/>
  <c r="AB553" i="2"/>
  <c r="AA553" i="2"/>
  <c r="Y553" i="2"/>
  <c r="X553" i="2"/>
  <c r="W553" i="2"/>
  <c r="V553" i="2"/>
  <c r="U553" i="2"/>
  <c r="S553" i="2"/>
  <c r="R553" i="2"/>
  <c r="Q553" i="2"/>
  <c r="P553" i="2"/>
  <c r="O553" i="2"/>
  <c r="N553" i="2"/>
  <c r="M553" i="2"/>
  <c r="L553" i="2"/>
  <c r="K553" i="2"/>
  <c r="J553" i="2"/>
  <c r="I553" i="2"/>
  <c r="H553" i="2"/>
  <c r="G553" i="2"/>
  <c r="F553" i="2"/>
  <c r="E553" i="2"/>
  <c r="D553" i="2"/>
  <c r="C553" i="2"/>
  <c r="B553" i="2"/>
  <c r="A553" i="2"/>
  <c r="AK552" i="2"/>
  <c r="AJ552" i="2"/>
  <c r="AI552" i="2"/>
  <c r="AH552" i="2"/>
  <c r="AG552" i="2"/>
  <c r="AF552" i="2"/>
  <c r="AE552" i="2"/>
  <c r="AC552" i="2"/>
  <c r="AB552" i="2"/>
  <c r="AA552" i="2"/>
  <c r="Z552" i="2"/>
  <c r="Y552" i="2"/>
  <c r="X552" i="2"/>
  <c r="W552" i="2"/>
  <c r="V552" i="2"/>
  <c r="U552" i="2"/>
  <c r="S552" i="2"/>
  <c r="R552" i="2"/>
  <c r="Q552" i="2"/>
  <c r="P552" i="2"/>
  <c r="O552" i="2"/>
  <c r="N552" i="2"/>
  <c r="M552" i="2"/>
  <c r="L552" i="2"/>
  <c r="K552" i="2"/>
  <c r="J552" i="2"/>
  <c r="I552" i="2"/>
  <c r="H552" i="2"/>
  <c r="G552" i="2"/>
  <c r="F552" i="2"/>
  <c r="E552" i="2"/>
  <c r="D552" i="2"/>
  <c r="C552" i="2"/>
  <c r="B552" i="2"/>
  <c r="A552" i="2"/>
  <c r="AK551" i="2"/>
  <c r="AJ551" i="2"/>
  <c r="AI551" i="2"/>
  <c r="AH551" i="2"/>
  <c r="AG551" i="2"/>
  <c r="AF551" i="2"/>
  <c r="AE551" i="2"/>
  <c r="AD551" i="2"/>
  <c r="AC551" i="2"/>
  <c r="AB551" i="2"/>
  <c r="AA551" i="2"/>
  <c r="Z551" i="2"/>
  <c r="Y551" i="2"/>
  <c r="X551" i="2"/>
  <c r="W551" i="2"/>
  <c r="V551" i="2"/>
  <c r="U551" i="2"/>
  <c r="S551" i="2"/>
  <c r="R551" i="2"/>
  <c r="Q551" i="2"/>
  <c r="P551" i="2"/>
  <c r="O551" i="2"/>
  <c r="N551" i="2"/>
  <c r="M551" i="2"/>
  <c r="L551" i="2"/>
  <c r="K551" i="2"/>
  <c r="J551" i="2"/>
  <c r="I551" i="2"/>
  <c r="H551" i="2"/>
  <c r="G551" i="2"/>
  <c r="F551" i="2"/>
  <c r="E551" i="2"/>
  <c r="D551" i="2"/>
  <c r="C551" i="2"/>
  <c r="A551" i="2"/>
  <c r="AK550" i="2"/>
  <c r="AJ550" i="2"/>
  <c r="AI550" i="2"/>
  <c r="AH550" i="2"/>
  <c r="AG550" i="2"/>
  <c r="AF550" i="2"/>
  <c r="AE550" i="2"/>
  <c r="AC550" i="2"/>
  <c r="AB550" i="2"/>
  <c r="AA550" i="2"/>
  <c r="Z550" i="2"/>
  <c r="Y550" i="2"/>
  <c r="X550" i="2"/>
  <c r="W550" i="2"/>
  <c r="V550" i="2"/>
  <c r="U550" i="2"/>
  <c r="S550" i="2"/>
  <c r="R550" i="2"/>
  <c r="Q550" i="2"/>
  <c r="P550" i="2"/>
  <c r="O550" i="2"/>
  <c r="N550" i="2"/>
  <c r="M550" i="2"/>
  <c r="L550" i="2"/>
  <c r="K550" i="2"/>
  <c r="J550" i="2"/>
  <c r="I550" i="2"/>
  <c r="H550" i="2"/>
  <c r="G550" i="2"/>
  <c r="F550" i="2"/>
  <c r="E550" i="2"/>
  <c r="D550" i="2"/>
  <c r="C550" i="2"/>
  <c r="B550" i="2"/>
  <c r="A550" i="2"/>
  <c r="AL549" i="2"/>
  <c r="AK549" i="2"/>
  <c r="AJ549" i="2"/>
  <c r="AI549" i="2"/>
  <c r="AH549" i="2"/>
  <c r="AG549" i="2"/>
  <c r="AF549" i="2"/>
  <c r="AE549" i="2"/>
  <c r="AD549" i="2"/>
  <c r="AC549" i="2"/>
  <c r="AB549" i="2"/>
  <c r="AA549" i="2"/>
  <c r="Z549" i="2"/>
  <c r="Y549" i="2"/>
  <c r="X549" i="2"/>
  <c r="W549" i="2"/>
  <c r="V549" i="2"/>
  <c r="U549" i="2"/>
  <c r="S549" i="2"/>
  <c r="R549" i="2"/>
  <c r="Q549" i="2"/>
  <c r="P549" i="2"/>
  <c r="O549" i="2"/>
  <c r="N549" i="2"/>
  <c r="M549" i="2"/>
  <c r="L549" i="2"/>
  <c r="K549" i="2"/>
  <c r="J549" i="2"/>
  <c r="I549" i="2"/>
  <c r="H549" i="2"/>
  <c r="G549" i="2"/>
  <c r="F549" i="2"/>
  <c r="E549" i="2"/>
  <c r="D549" i="2"/>
  <c r="C549" i="2"/>
  <c r="A549" i="2"/>
  <c r="AL548" i="2"/>
  <c r="AK548" i="2"/>
  <c r="AJ548" i="2"/>
  <c r="AI548" i="2"/>
  <c r="AH548" i="2"/>
  <c r="AG548" i="2"/>
  <c r="AF548" i="2"/>
  <c r="AE548" i="2"/>
  <c r="AD548" i="2"/>
  <c r="AC548" i="2"/>
  <c r="AB548" i="2"/>
  <c r="AA548" i="2"/>
  <c r="Z548" i="2"/>
  <c r="Y548" i="2"/>
  <c r="X548" i="2"/>
  <c r="W548" i="2"/>
  <c r="V548" i="2"/>
  <c r="U548" i="2"/>
  <c r="S548" i="2"/>
  <c r="R548" i="2"/>
  <c r="Q548" i="2"/>
  <c r="P548" i="2"/>
  <c r="O548" i="2"/>
  <c r="N548" i="2"/>
  <c r="M548" i="2"/>
  <c r="L548" i="2"/>
  <c r="K548" i="2"/>
  <c r="J548" i="2"/>
  <c r="I548" i="2"/>
  <c r="H548" i="2"/>
  <c r="G548" i="2"/>
  <c r="F548" i="2"/>
  <c r="E548" i="2"/>
  <c r="D548" i="2"/>
  <c r="C548" i="2"/>
  <c r="A548" i="2"/>
  <c r="AL547" i="2"/>
  <c r="AK547" i="2"/>
  <c r="AJ547" i="2"/>
  <c r="AI547" i="2"/>
  <c r="AH547" i="2"/>
  <c r="AG547" i="2"/>
  <c r="AF547" i="2"/>
  <c r="AE547" i="2"/>
  <c r="AC547" i="2"/>
  <c r="AB547" i="2"/>
  <c r="AA547" i="2"/>
  <c r="Z547" i="2"/>
  <c r="Y547" i="2"/>
  <c r="X547" i="2"/>
  <c r="W547" i="2"/>
  <c r="V547" i="2"/>
  <c r="U547" i="2"/>
  <c r="S547" i="2"/>
  <c r="R547" i="2"/>
  <c r="Q547" i="2"/>
  <c r="P547" i="2"/>
  <c r="O547" i="2"/>
  <c r="N547" i="2"/>
  <c r="M547" i="2"/>
  <c r="L547" i="2"/>
  <c r="K547" i="2"/>
  <c r="J547" i="2"/>
  <c r="I547" i="2"/>
  <c r="H547" i="2"/>
  <c r="G547" i="2"/>
  <c r="F547" i="2"/>
  <c r="E547" i="2"/>
  <c r="D547" i="2"/>
  <c r="C547" i="2"/>
  <c r="B547" i="2"/>
  <c r="A547" i="2"/>
  <c r="AL546" i="2"/>
  <c r="AK546" i="2"/>
  <c r="AJ546" i="2"/>
  <c r="AI546" i="2"/>
  <c r="AG546" i="2"/>
  <c r="AF546" i="2"/>
  <c r="AE546" i="2"/>
  <c r="AC546" i="2"/>
  <c r="AB546" i="2"/>
  <c r="AA546" i="2"/>
  <c r="X546" i="2"/>
  <c r="W546" i="2"/>
  <c r="V546" i="2"/>
  <c r="U546" i="2"/>
  <c r="R546" i="2"/>
  <c r="Q546" i="2"/>
  <c r="P546" i="2"/>
  <c r="O546" i="2"/>
  <c r="N546" i="2"/>
  <c r="M546" i="2"/>
  <c r="L546" i="2"/>
  <c r="K546" i="2"/>
  <c r="J546" i="2"/>
  <c r="I546" i="2"/>
  <c r="H546" i="2"/>
  <c r="G546" i="2"/>
  <c r="F546" i="2"/>
  <c r="E546" i="2"/>
  <c r="D546" i="2"/>
  <c r="C546" i="2"/>
  <c r="B546" i="2"/>
  <c r="A546" i="2"/>
  <c r="AK545" i="2"/>
  <c r="AJ545" i="2"/>
  <c r="AI545" i="2"/>
  <c r="AH545" i="2"/>
  <c r="AG545" i="2"/>
  <c r="AF545" i="2"/>
  <c r="AE545" i="2"/>
  <c r="AD545" i="2"/>
  <c r="AC545" i="2"/>
  <c r="AB545" i="2"/>
  <c r="AA545" i="2"/>
  <c r="Z545" i="2"/>
  <c r="Y545" i="2"/>
  <c r="X545" i="2"/>
  <c r="W545" i="2"/>
  <c r="V545" i="2"/>
  <c r="U545" i="2"/>
  <c r="S545" i="2"/>
  <c r="R545" i="2"/>
  <c r="Q545" i="2"/>
  <c r="P545" i="2"/>
  <c r="O545" i="2"/>
  <c r="N545" i="2"/>
  <c r="M545" i="2"/>
  <c r="L545" i="2"/>
  <c r="K545" i="2"/>
  <c r="J545" i="2"/>
  <c r="I545" i="2"/>
  <c r="H545" i="2"/>
  <c r="G545" i="2"/>
  <c r="F545" i="2"/>
  <c r="E545" i="2"/>
  <c r="D545" i="2"/>
  <c r="C545" i="2"/>
  <c r="A545" i="2"/>
  <c r="AL544" i="2"/>
  <c r="AK544" i="2"/>
  <c r="AJ544" i="2"/>
  <c r="AI544" i="2"/>
  <c r="AH544" i="2"/>
  <c r="AG544" i="2"/>
  <c r="AF544" i="2"/>
  <c r="AE544" i="2"/>
  <c r="AC544" i="2"/>
  <c r="AB544" i="2"/>
  <c r="AA544" i="2"/>
  <c r="Z544" i="2"/>
  <c r="Y544" i="2"/>
  <c r="X544" i="2"/>
  <c r="W544" i="2"/>
  <c r="V544" i="2"/>
  <c r="U544" i="2"/>
  <c r="S544" i="2"/>
  <c r="R544" i="2"/>
  <c r="Q544" i="2"/>
  <c r="P544" i="2"/>
  <c r="O544" i="2"/>
  <c r="N544" i="2"/>
  <c r="M544" i="2"/>
  <c r="L544" i="2"/>
  <c r="K544" i="2"/>
  <c r="J544" i="2"/>
  <c r="I544" i="2"/>
  <c r="H544" i="2"/>
  <c r="G544" i="2"/>
  <c r="F544" i="2"/>
  <c r="E544" i="2"/>
  <c r="D544" i="2"/>
  <c r="C544" i="2"/>
  <c r="A544" i="2"/>
  <c r="AL543" i="2"/>
  <c r="AK543" i="2"/>
  <c r="AJ543" i="2"/>
  <c r="AI543" i="2"/>
  <c r="AH543" i="2"/>
  <c r="AG543" i="2"/>
  <c r="AF543" i="2"/>
  <c r="AE543" i="2"/>
  <c r="AD543" i="2"/>
  <c r="AC543" i="2"/>
  <c r="AB543" i="2"/>
  <c r="AA543" i="2"/>
  <c r="Z543" i="2"/>
  <c r="Y543" i="2"/>
  <c r="X543" i="2"/>
  <c r="W543" i="2"/>
  <c r="V543" i="2"/>
  <c r="U543" i="2"/>
  <c r="S543" i="2"/>
  <c r="R543" i="2"/>
  <c r="Q543" i="2"/>
  <c r="P543" i="2"/>
  <c r="O543" i="2"/>
  <c r="N543" i="2"/>
  <c r="M543" i="2"/>
  <c r="L543" i="2"/>
  <c r="K543" i="2"/>
  <c r="J543" i="2"/>
  <c r="I543" i="2"/>
  <c r="H543" i="2"/>
  <c r="G543" i="2"/>
  <c r="F543" i="2"/>
  <c r="E543" i="2"/>
  <c r="D543" i="2"/>
  <c r="C543" i="2"/>
  <c r="B543" i="2"/>
  <c r="A543" i="2"/>
  <c r="AL542" i="2"/>
  <c r="AK542" i="2"/>
  <c r="AJ542" i="2"/>
  <c r="AI542" i="2"/>
  <c r="AH542" i="2"/>
  <c r="AG542" i="2"/>
  <c r="AF542" i="2"/>
  <c r="AE542" i="2"/>
  <c r="AC542" i="2"/>
  <c r="AB542" i="2"/>
  <c r="AA542" i="2"/>
  <c r="Z542" i="2"/>
  <c r="Y542" i="2"/>
  <c r="X542" i="2"/>
  <c r="W542" i="2"/>
  <c r="V542" i="2"/>
  <c r="U542" i="2"/>
  <c r="S542" i="2"/>
  <c r="R542" i="2"/>
  <c r="Q542" i="2"/>
  <c r="P542" i="2"/>
  <c r="O542" i="2"/>
  <c r="N542" i="2"/>
  <c r="M542" i="2"/>
  <c r="L542" i="2"/>
  <c r="K542" i="2"/>
  <c r="J542" i="2"/>
  <c r="I542" i="2"/>
  <c r="H542" i="2"/>
  <c r="G542" i="2"/>
  <c r="F542" i="2"/>
  <c r="E542" i="2"/>
  <c r="D542" i="2"/>
  <c r="C542" i="2"/>
  <c r="B542" i="2"/>
  <c r="A542" i="2"/>
  <c r="AL541" i="2"/>
  <c r="AK541" i="2"/>
  <c r="AJ541" i="2"/>
  <c r="AI541" i="2"/>
  <c r="AG541" i="2"/>
  <c r="AF541" i="2"/>
  <c r="AE541" i="2"/>
  <c r="AC541" i="2"/>
  <c r="AB541" i="2"/>
  <c r="AA541" i="2"/>
  <c r="X541" i="2"/>
  <c r="W541" i="2"/>
  <c r="V541" i="2"/>
  <c r="U541" i="2"/>
  <c r="R541" i="2"/>
  <c r="Q541" i="2"/>
  <c r="P541" i="2"/>
  <c r="O541" i="2"/>
  <c r="N541" i="2"/>
  <c r="M541" i="2"/>
  <c r="L541" i="2"/>
  <c r="K541" i="2"/>
  <c r="J541" i="2"/>
  <c r="I541" i="2"/>
  <c r="H541" i="2"/>
  <c r="G541" i="2"/>
  <c r="F541" i="2"/>
  <c r="E541" i="2"/>
  <c r="D541" i="2"/>
  <c r="C541" i="2"/>
  <c r="A541" i="2"/>
  <c r="AL540" i="2"/>
  <c r="AK540" i="2"/>
  <c r="AJ540" i="2"/>
  <c r="AI540" i="2"/>
  <c r="AH540" i="2"/>
  <c r="AG540" i="2"/>
  <c r="AF540" i="2"/>
  <c r="AE540" i="2"/>
  <c r="AD540" i="2"/>
  <c r="AC540" i="2"/>
  <c r="AB540" i="2"/>
  <c r="AA540" i="2"/>
  <c r="Y540" i="2"/>
  <c r="X540" i="2"/>
  <c r="W540" i="2"/>
  <c r="V540" i="2"/>
  <c r="U540" i="2"/>
  <c r="S540" i="2"/>
  <c r="R540" i="2"/>
  <c r="Q540" i="2"/>
  <c r="P540" i="2"/>
  <c r="O540" i="2"/>
  <c r="N540" i="2"/>
  <c r="M540" i="2"/>
  <c r="L540" i="2"/>
  <c r="K540" i="2"/>
  <c r="J540" i="2"/>
  <c r="I540" i="2"/>
  <c r="H540" i="2"/>
  <c r="G540" i="2"/>
  <c r="F540" i="2"/>
  <c r="E540" i="2"/>
  <c r="D540" i="2"/>
  <c r="C540" i="2"/>
  <c r="A540" i="2"/>
  <c r="AL539" i="2"/>
  <c r="AK539" i="2"/>
  <c r="AJ539" i="2"/>
  <c r="AI539" i="2"/>
  <c r="AG539" i="2"/>
  <c r="AF539" i="2"/>
  <c r="AE539" i="2"/>
  <c r="AC539" i="2"/>
  <c r="AB539" i="2"/>
  <c r="AA539" i="2"/>
  <c r="X539" i="2"/>
  <c r="W539" i="2"/>
  <c r="V539" i="2"/>
  <c r="U539" i="2"/>
  <c r="R539" i="2"/>
  <c r="Q539" i="2"/>
  <c r="P539" i="2"/>
  <c r="O539" i="2"/>
  <c r="N539" i="2"/>
  <c r="M539" i="2"/>
  <c r="L539" i="2"/>
  <c r="K539" i="2"/>
  <c r="J539" i="2"/>
  <c r="I539" i="2"/>
  <c r="H539" i="2"/>
  <c r="G539" i="2"/>
  <c r="F539" i="2"/>
  <c r="E539" i="2"/>
  <c r="D539" i="2"/>
  <c r="C539" i="2"/>
  <c r="B539" i="2"/>
  <c r="A539" i="2"/>
  <c r="AK538" i="2"/>
  <c r="AJ538" i="2"/>
  <c r="AI538" i="2"/>
  <c r="AH538" i="2"/>
  <c r="AG538" i="2"/>
  <c r="AF538" i="2"/>
  <c r="AE538" i="2"/>
  <c r="AD538" i="2"/>
  <c r="AC538" i="2"/>
  <c r="AB538" i="2"/>
  <c r="AA538" i="2"/>
  <c r="Z538" i="2"/>
  <c r="Y538" i="2"/>
  <c r="X538" i="2"/>
  <c r="W538" i="2"/>
  <c r="V538" i="2"/>
  <c r="U538" i="2"/>
  <c r="S538" i="2"/>
  <c r="R538" i="2"/>
  <c r="Q538" i="2"/>
  <c r="P538" i="2"/>
  <c r="O538" i="2"/>
  <c r="N538" i="2"/>
  <c r="M538" i="2"/>
  <c r="L538" i="2"/>
  <c r="K538" i="2"/>
  <c r="J538" i="2"/>
  <c r="I538" i="2"/>
  <c r="H538" i="2"/>
  <c r="G538" i="2"/>
  <c r="F538" i="2"/>
  <c r="E538" i="2"/>
  <c r="D538" i="2"/>
  <c r="C538" i="2"/>
  <c r="A538" i="2"/>
  <c r="AK537" i="2"/>
  <c r="AJ537" i="2"/>
  <c r="AI537" i="2"/>
  <c r="AH537" i="2"/>
  <c r="AG537" i="2"/>
  <c r="AF537" i="2"/>
  <c r="AE537" i="2"/>
  <c r="AC537" i="2"/>
  <c r="AB537" i="2"/>
  <c r="AA537" i="2"/>
  <c r="Z537" i="2"/>
  <c r="Y537" i="2"/>
  <c r="X537" i="2"/>
  <c r="W537" i="2"/>
  <c r="V537" i="2"/>
  <c r="U537" i="2"/>
  <c r="S537" i="2"/>
  <c r="R537" i="2"/>
  <c r="Q537" i="2"/>
  <c r="P537" i="2"/>
  <c r="O537" i="2"/>
  <c r="N537" i="2"/>
  <c r="M537" i="2"/>
  <c r="L537" i="2"/>
  <c r="K537" i="2"/>
  <c r="J537" i="2"/>
  <c r="I537" i="2"/>
  <c r="H537" i="2"/>
  <c r="G537" i="2"/>
  <c r="F537" i="2"/>
  <c r="E537" i="2"/>
  <c r="D537" i="2"/>
  <c r="C537" i="2"/>
  <c r="A537" i="2"/>
  <c r="AK536" i="2"/>
  <c r="AJ536" i="2"/>
  <c r="AI536" i="2"/>
  <c r="AH536" i="2"/>
  <c r="AG536" i="2"/>
  <c r="AF536" i="2"/>
  <c r="AE536" i="2"/>
  <c r="AC536" i="2"/>
  <c r="AB536" i="2"/>
  <c r="AA536" i="2"/>
  <c r="Z536" i="2"/>
  <c r="X536" i="2"/>
  <c r="W536" i="2"/>
  <c r="V536" i="2"/>
  <c r="U536" i="2"/>
  <c r="S536" i="2"/>
  <c r="R536" i="2"/>
  <c r="Q536" i="2"/>
  <c r="P536" i="2"/>
  <c r="O536" i="2"/>
  <c r="N536" i="2"/>
  <c r="M536" i="2"/>
  <c r="L536" i="2"/>
  <c r="K536" i="2"/>
  <c r="J536" i="2"/>
  <c r="I536" i="2"/>
  <c r="H536" i="2"/>
  <c r="G536" i="2"/>
  <c r="F536" i="2"/>
  <c r="E536" i="2"/>
  <c r="D536" i="2"/>
  <c r="C536" i="2"/>
  <c r="B536" i="2"/>
  <c r="A536" i="2"/>
  <c r="AL535" i="2"/>
  <c r="AK535" i="2"/>
  <c r="AJ535" i="2"/>
  <c r="AI535" i="2"/>
  <c r="AH535" i="2"/>
  <c r="AG535" i="2"/>
  <c r="AF535" i="2"/>
  <c r="AE535" i="2"/>
  <c r="AD535" i="2"/>
  <c r="AC535" i="2"/>
  <c r="AB535" i="2"/>
  <c r="AA535" i="2"/>
  <c r="Z535" i="2"/>
  <c r="Y535" i="2"/>
  <c r="X535" i="2"/>
  <c r="W535" i="2"/>
  <c r="V535" i="2"/>
  <c r="U535" i="2"/>
  <c r="S535" i="2"/>
  <c r="R535" i="2"/>
  <c r="Q535" i="2"/>
  <c r="P535" i="2"/>
  <c r="O535" i="2"/>
  <c r="N535" i="2"/>
  <c r="M535" i="2"/>
  <c r="L535" i="2"/>
  <c r="K535" i="2"/>
  <c r="J535" i="2"/>
  <c r="I535" i="2"/>
  <c r="H535" i="2"/>
  <c r="G535" i="2"/>
  <c r="F535" i="2"/>
  <c r="E535" i="2"/>
  <c r="D535" i="2"/>
  <c r="C535" i="2"/>
  <c r="B535" i="2"/>
  <c r="A535" i="2"/>
  <c r="AL534" i="2"/>
  <c r="AK534" i="2"/>
  <c r="AJ534" i="2"/>
  <c r="AI534" i="2"/>
  <c r="AG534" i="2"/>
  <c r="AF534" i="2"/>
  <c r="AE534" i="2"/>
  <c r="AC534" i="2"/>
  <c r="AB534" i="2"/>
  <c r="AA534" i="2"/>
  <c r="X534" i="2"/>
  <c r="W534" i="2"/>
  <c r="V534" i="2"/>
  <c r="U534" i="2"/>
  <c r="R534" i="2"/>
  <c r="Q534" i="2"/>
  <c r="P534" i="2"/>
  <c r="O534" i="2"/>
  <c r="N534" i="2"/>
  <c r="M534" i="2"/>
  <c r="L534" i="2"/>
  <c r="K534" i="2"/>
  <c r="J534" i="2"/>
  <c r="I534" i="2"/>
  <c r="H534" i="2"/>
  <c r="G534" i="2"/>
  <c r="F534" i="2"/>
  <c r="E534" i="2"/>
  <c r="D534" i="2"/>
  <c r="C534" i="2"/>
  <c r="B534" i="2"/>
  <c r="A534" i="2"/>
  <c r="AL533" i="2"/>
  <c r="AK533" i="2"/>
  <c r="AJ533" i="2"/>
  <c r="AI533" i="2"/>
  <c r="AH533" i="2"/>
  <c r="AG533" i="2"/>
  <c r="AF533" i="2"/>
  <c r="AE533" i="2"/>
  <c r="AD533" i="2"/>
  <c r="AC533" i="2"/>
  <c r="AB533" i="2"/>
  <c r="AA533" i="2"/>
  <c r="Z533" i="2"/>
  <c r="Y533" i="2"/>
  <c r="X533" i="2"/>
  <c r="W533" i="2"/>
  <c r="V533" i="2"/>
  <c r="U533" i="2"/>
  <c r="S533" i="2"/>
  <c r="R533" i="2"/>
  <c r="Q533" i="2"/>
  <c r="P533" i="2"/>
  <c r="O533" i="2"/>
  <c r="N533" i="2"/>
  <c r="M533" i="2"/>
  <c r="L533" i="2"/>
  <c r="K533" i="2"/>
  <c r="J533" i="2"/>
  <c r="I533" i="2"/>
  <c r="H533" i="2"/>
  <c r="G533" i="2"/>
  <c r="F533" i="2"/>
  <c r="E533" i="2"/>
  <c r="D533" i="2"/>
  <c r="C533" i="2"/>
  <c r="B533" i="2"/>
  <c r="A533" i="2"/>
  <c r="AL532" i="2"/>
  <c r="AK532" i="2"/>
  <c r="AJ532" i="2"/>
  <c r="AI532" i="2"/>
  <c r="AG532" i="2"/>
  <c r="AF532" i="2"/>
  <c r="AE532" i="2"/>
  <c r="AC532" i="2"/>
  <c r="AB532" i="2"/>
  <c r="AA532" i="2"/>
  <c r="X532" i="2"/>
  <c r="W532" i="2"/>
  <c r="V532" i="2"/>
  <c r="U532" i="2"/>
  <c r="R532" i="2"/>
  <c r="Q532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D532" i="2"/>
  <c r="C532" i="2"/>
  <c r="B532" i="2"/>
  <c r="A532" i="2"/>
  <c r="AK531" i="2"/>
  <c r="AJ531" i="2"/>
  <c r="AI531" i="2"/>
  <c r="AG531" i="2"/>
  <c r="AF531" i="2"/>
  <c r="AE531" i="2"/>
  <c r="AC531" i="2"/>
  <c r="AB531" i="2"/>
  <c r="AA531" i="2"/>
  <c r="X531" i="2"/>
  <c r="W531" i="2"/>
  <c r="V531" i="2"/>
  <c r="U531" i="2"/>
  <c r="R531" i="2"/>
  <c r="Q531" i="2"/>
  <c r="P531" i="2"/>
  <c r="O531" i="2"/>
  <c r="N531" i="2"/>
  <c r="M531" i="2"/>
  <c r="L531" i="2"/>
  <c r="K531" i="2"/>
  <c r="J531" i="2"/>
  <c r="I531" i="2"/>
  <c r="H531" i="2"/>
  <c r="G531" i="2"/>
  <c r="F531" i="2"/>
  <c r="E531" i="2"/>
  <c r="D531" i="2"/>
  <c r="C531" i="2"/>
  <c r="B531" i="2"/>
  <c r="A531" i="2"/>
  <c r="AL530" i="2"/>
  <c r="AK530" i="2"/>
  <c r="AJ530" i="2"/>
  <c r="AI530" i="2"/>
  <c r="AG530" i="2"/>
  <c r="AF530" i="2"/>
  <c r="AE530" i="2"/>
  <c r="AC530" i="2"/>
  <c r="AB530" i="2"/>
  <c r="AA530" i="2"/>
  <c r="X530" i="2"/>
  <c r="W530" i="2"/>
  <c r="V530" i="2"/>
  <c r="U530" i="2"/>
  <c r="R530" i="2"/>
  <c r="Q530" i="2"/>
  <c r="P530" i="2"/>
  <c r="O530" i="2"/>
  <c r="N530" i="2"/>
  <c r="M530" i="2"/>
  <c r="L530" i="2"/>
  <c r="K530" i="2"/>
  <c r="J530" i="2"/>
  <c r="I530" i="2"/>
  <c r="H530" i="2"/>
  <c r="G530" i="2"/>
  <c r="F530" i="2"/>
  <c r="E530" i="2"/>
  <c r="D530" i="2"/>
  <c r="C530" i="2"/>
  <c r="A530" i="2"/>
  <c r="AL529" i="2"/>
  <c r="AK529" i="2"/>
  <c r="AJ529" i="2"/>
  <c r="AI529" i="2"/>
  <c r="AH529" i="2"/>
  <c r="AG529" i="2"/>
  <c r="AF529" i="2"/>
  <c r="AE529" i="2"/>
  <c r="AD529" i="2"/>
  <c r="AC529" i="2"/>
  <c r="AB529" i="2"/>
  <c r="AA529" i="2"/>
  <c r="Z529" i="2"/>
  <c r="Y529" i="2"/>
  <c r="X529" i="2"/>
  <c r="W529" i="2"/>
  <c r="V529" i="2"/>
  <c r="U529" i="2"/>
  <c r="S529" i="2"/>
  <c r="R529" i="2"/>
  <c r="Q529" i="2"/>
  <c r="P529" i="2"/>
  <c r="O529" i="2"/>
  <c r="N529" i="2"/>
  <c r="M529" i="2"/>
  <c r="L529" i="2"/>
  <c r="K529" i="2"/>
  <c r="J529" i="2"/>
  <c r="I529" i="2"/>
  <c r="H529" i="2"/>
  <c r="G529" i="2"/>
  <c r="F529" i="2"/>
  <c r="E529" i="2"/>
  <c r="D529" i="2"/>
  <c r="C529" i="2"/>
  <c r="B529" i="2"/>
  <c r="A529" i="2"/>
  <c r="AK528" i="2"/>
  <c r="AJ528" i="2"/>
  <c r="AI528" i="2"/>
  <c r="AH528" i="2"/>
  <c r="AG528" i="2"/>
  <c r="AF528" i="2"/>
  <c r="AE528" i="2"/>
  <c r="AC528" i="2"/>
  <c r="AB528" i="2"/>
  <c r="AA528" i="2"/>
  <c r="Y528" i="2"/>
  <c r="X528" i="2"/>
  <c r="W528" i="2"/>
  <c r="V528" i="2"/>
  <c r="U528" i="2"/>
  <c r="S528" i="2"/>
  <c r="R528" i="2"/>
  <c r="Q528" i="2"/>
  <c r="P528" i="2"/>
  <c r="O528" i="2"/>
  <c r="N528" i="2"/>
  <c r="M528" i="2"/>
  <c r="L528" i="2"/>
  <c r="K528" i="2"/>
  <c r="J528" i="2"/>
  <c r="I528" i="2"/>
  <c r="H528" i="2"/>
  <c r="G528" i="2"/>
  <c r="F528" i="2"/>
  <c r="E528" i="2"/>
  <c r="D528" i="2"/>
  <c r="C528" i="2"/>
  <c r="B528" i="2"/>
  <c r="A528" i="2"/>
  <c r="AL527" i="2"/>
  <c r="AK527" i="2"/>
  <c r="AJ527" i="2"/>
  <c r="AI527" i="2"/>
  <c r="AH527" i="2"/>
  <c r="AG527" i="2"/>
  <c r="AF527" i="2"/>
  <c r="AE527" i="2"/>
  <c r="AC527" i="2"/>
  <c r="AB527" i="2"/>
  <c r="AA527" i="2"/>
  <c r="Y527" i="2"/>
  <c r="X527" i="2"/>
  <c r="W527" i="2"/>
  <c r="V527" i="2"/>
  <c r="U527" i="2"/>
  <c r="S527" i="2"/>
  <c r="R527" i="2"/>
  <c r="Q527" i="2"/>
  <c r="P527" i="2"/>
  <c r="O527" i="2"/>
  <c r="N527" i="2"/>
  <c r="M527" i="2"/>
  <c r="L527" i="2"/>
  <c r="K527" i="2"/>
  <c r="J527" i="2"/>
  <c r="I527" i="2"/>
  <c r="H527" i="2"/>
  <c r="G527" i="2"/>
  <c r="F527" i="2"/>
  <c r="E527" i="2"/>
  <c r="D527" i="2"/>
  <c r="C527" i="2"/>
  <c r="A527" i="2"/>
  <c r="AL526" i="2"/>
  <c r="AK526" i="2"/>
  <c r="AJ526" i="2"/>
  <c r="AI526" i="2"/>
  <c r="AH526" i="2"/>
  <c r="AG526" i="2"/>
  <c r="AF526" i="2"/>
  <c r="AE526" i="2"/>
  <c r="AD526" i="2"/>
  <c r="AC526" i="2"/>
  <c r="AB526" i="2"/>
  <c r="AA526" i="2"/>
  <c r="Z526" i="2"/>
  <c r="Y526" i="2"/>
  <c r="X526" i="2"/>
  <c r="W526" i="2"/>
  <c r="V526" i="2"/>
  <c r="U526" i="2"/>
  <c r="S526" i="2"/>
  <c r="R526" i="2"/>
  <c r="Q526" i="2"/>
  <c r="P526" i="2"/>
  <c r="O526" i="2"/>
  <c r="N526" i="2"/>
  <c r="M526" i="2"/>
  <c r="L526" i="2"/>
  <c r="K526" i="2"/>
  <c r="J526" i="2"/>
  <c r="I526" i="2"/>
  <c r="H526" i="2"/>
  <c r="G526" i="2"/>
  <c r="F526" i="2"/>
  <c r="E526" i="2"/>
  <c r="D526" i="2"/>
  <c r="C526" i="2"/>
  <c r="A526" i="2"/>
  <c r="AK525" i="2"/>
  <c r="AJ525" i="2"/>
  <c r="AI525" i="2"/>
  <c r="AH525" i="2"/>
  <c r="AG525" i="2"/>
  <c r="AF525" i="2"/>
  <c r="AE525" i="2"/>
  <c r="AD525" i="2"/>
  <c r="AC525" i="2"/>
  <c r="AB525" i="2"/>
  <c r="AA525" i="2"/>
  <c r="Z525" i="2"/>
  <c r="Y525" i="2"/>
  <c r="X525" i="2"/>
  <c r="W525" i="2"/>
  <c r="V525" i="2"/>
  <c r="U525" i="2"/>
  <c r="S525" i="2"/>
  <c r="R525" i="2"/>
  <c r="Q525" i="2"/>
  <c r="P525" i="2"/>
  <c r="O525" i="2"/>
  <c r="N525" i="2"/>
  <c r="M525" i="2"/>
  <c r="L525" i="2"/>
  <c r="K525" i="2"/>
  <c r="J525" i="2"/>
  <c r="I525" i="2"/>
  <c r="H525" i="2"/>
  <c r="G525" i="2"/>
  <c r="F525" i="2"/>
  <c r="E525" i="2"/>
  <c r="D525" i="2"/>
  <c r="C525" i="2"/>
  <c r="A525" i="2"/>
  <c r="AK524" i="2"/>
  <c r="AJ524" i="2"/>
  <c r="AI524" i="2"/>
  <c r="AH524" i="2"/>
  <c r="AG524" i="2"/>
  <c r="AF524" i="2"/>
  <c r="AE524" i="2"/>
  <c r="AD524" i="2"/>
  <c r="AC524" i="2"/>
  <c r="AB524" i="2"/>
  <c r="AA524" i="2"/>
  <c r="Z524" i="2"/>
  <c r="Y524" i="2"/>
  <c r="X524" i="2"/>
  <c r="W524" i="2"/>
  <c r="V524" i="2"/>
  <c r="U524" i="2"/>
  <c r="S524" i="2"/>
  <c r="R524" i="2"/>
  <c r="Q524" i="2"/>
  <c r="P524" i="2"/>
  <c r="O524" i="2"/>
  <c r="N524" i="2"/>
  <c r="M524" i="2"/>
  <c r="L524" i="2"/>
  <c r="K524" i="2"/>
  <c r="J524" i="2"/>
  <c r="I524" i="2"/>
  <c r="H524" i="2"/>
  <c r="G524" i="2"/>
  <c r="F524" i="2"/>
  <c r="E524" i="2"/>
  <c r="D524" i="2"/>
  <c r="C524" i="2"/>
  <c r="A524" i="2"/>
  <c r="AK523" i="2"/>
  <c r="AJ523" i="2"/>
  <c r="AI523" i="2"/>
  <c r="AH523" i="2"/>
  <c r="AG523" i="2"/>
  <c r="AF523" i="2"/>
  <c r="AE523" i="2"/>
  <c r="AD523" i="2"/>
  <c r="AC523" i="2"/>
  <c r="AB523" i="2"/>
  <c r="AA523" i="2"/>
  <c r="Z523" i="2"/>
  <c r="Y523" i="2"/>
  <c r="X523" i="2"/>
  <c r="W523" i="2"/>
  <c r="V523" i="2"/>
  <c r="U523" i="2"/>
  <c r="S523" i="2"/>
  <c r="R523" i="2"/>
  <c r="Q523" i="2"/>
  <c r="P523" i="2"/>
  <c r="O523" i="2"/>
  <c r="N523" i="2"/>
  <c r="M523" i="2"/>
  <c r="L523" i="2"/>
  <c r="K523" i="2"/>
  <c r="J523" i="2"/>
  <c r="I523" i="2"/>
  <c r="H523" i="2"/>
  <c r="G523" i="2"/>
  <c r="F523" i="2"/>
  <c r="E523" i="2"/>
  <c r="D523" i="2"/>
  <c r="C523" i="2"/>
  <c r="A523" i="2"/>
  <c r="AK522" i="2"/>
  <c r="AJ522" i="2"/>
  <c r="AI522" i="2"/>
  <c r="AH522" i="2"/>
  <c r="AG522" i="2"/>
  <c r="AF522" i="2"/>
  <c r="AE522" i="2"/>
  <c r="AD522" i="2"/>
  <c r="AC522" i="2"/>
  <c r="AB522" i="2"/>
  <c r="AA522" i="2"/>
  <c r="Y522" i="2"/>
  <c r="X522" i="2"/>
  <c r="W522" i="2"/>
  <c r="V522" i="2"/>
  <c r="U522" i="2"/>
  <c r="S522" i="2"/>
  <c r="R522" i="2"/>
  <c r="Q522" i="2"/>
  <c r="P522" i="2"/>
  <c r="O522" i="2"/>
  <c r="N522" i="2"/>
  <c r="M522" i="2"/>
  <c r="L522" i="2"/>
  <c r="K522" i="2"/>
  <c r="J522" i="2"/>
  <c r="I522" i="2"/>
  <c r="H522" i="2"/>
  <c r="G522" i="2"/>
  <c r="F522" i="2"/>
  <c r="E522" i="2"/>
  <c r="D522" i="2"/>
  <c r="C522" i="2"/>
  <c r="A522" i="2"/>
  <c r="AL521" i="2"/>
  <c r="AK521" i="2"/>
  <c r="AJ521" i="2"/>
  <c r="AI521" i="2"/>
  <c r="AH521" i="2"/>
  <c r="AG521" i="2"/>
  <c r="AF521" i="2"/>
  <c r="AE521" i="2"/>
  <c r="AD521" i="2"/>
  <c r="AC521" i="2"/>
  <c r="AB521" i="2"/>
  <c r="AA521" i="2"/>
  <c r="Z521" i="2"/>
  <c r="Y521" i="2"/>
  <c r="X521" i="2"/>
  <c r="W521" i="2"/>
  <c r="V521" i="2"/>
  <c r="U521" i="2"/>
  <c r="S521" i="2"/>
  <c r="R521" i="2"/>
  <c r="Q521" i="2"/>
  <c r="P521" i="2"/>
  <c r="O521" i="2"/>
  <c r="N521" i="2"/>
  <c r="M521" i="2"/>
  <c r="L521" i="2"/>
  <c r="K521" i="2"/>
  <c r="J521" i="2"/>
  <c r="I521" i="2"/>
  <c r="H521" i="2"/>
  <c r="G521" i="2"/>
  <c r="F521" i="2"/>
  <c r="E521" i="2"/>
  <c r="D521" i="2"/>
  <c r="C521" i="2"/>
  <c r="A521" i="2"/>
  <c r="AK520" i="2"/>
  <c r="AJ520" i="2"/>
  <c r="AI520" i="2"/>
  <c r="AH520" i="2"/>
  <c r="AG520" i="2"/>
  <c r="AF520" i="2"/>
  <c r="AE520" i="2"/>
  <c r="AD520" i="2"/>
  <c r="AC520" i="2"/>
  <c r="AB520" i="2"/>
  <c r="AA520" i="2"/>
  <c r="Z520" i="2"/>
  <c r="Y520" i="2"/>
  <c r="X520" i="2"/>
  <c r="W520" i="2"/>
  <c r="V520" i="2"/>
  <c r="U520" i="2"/>
  <c r="S520" i="2"/>
  <c r="R520" i="2"/>
  <c r="Q520" i="2"/>
  <c r="P520" i="2"/>
  <c r="O520" i="2"/>
  <c r="N520" i="2"/>
  <c r="M520" i="2"/>
  <c r="L520" i="2"/>
  <c r="K520" i="2"/>
  <c r="J520" i="2"/>
  <c r="I520" i="2"/>
  <c r="H520" i="2"/>
  <c r="G520" i="2"/>
  <c r="F520" i="2"/>
  <c r="E520" i="2"/>
  <c r="D520" i="2"/>
  <c r="C520" i="2"/>
  <c r="A520" i="2"/>
  <c r="AL519" i="2"/>
  <c r="AK519" i="2"/>
  <c r="AJ519" i="2"/>
  <c r="AI519" i="2"/>
  <c r="AH519" i="2"/>
  <c r="AG519" i="2"/>
  <c r="AF519" i="2"/>
  <c r="AE519" i="2"/>
  <c r="AD519" i="2"/>
  <c r="AC519" i="2"/>
  <c r="AB519" i="2"/>
  <c r="AA519" i="2"/>
  <c r="Z519" i="2"/>
  <c r="Y519" i="2"/>
  <c r="X519" i="2"/>
  <c r="W519" i="2"/>
  <c r="V519" i="2"/>
  <c r="U519" i="2"/>
  <c r="S519" i="2"/>
  <c r="R519" i="2"/>
  <c r="Q519" i="2"/>
  <c r="P519" i="2"/>
  <c r="O519" i="2"/>
  <c r="N519" i="2"/>
  <c r="M519" i="2"/>
  <c r="L519" i="2"/>
  <c r="K519" i="2"/>
  <c r="J519" i="2"/>
  <c r="I519" i="2"/>
  <c r="H519" i="2"/>
  <c r="G519" i="2"/>
  <c r="F519" i="2"/>
  <c r="E519" i="2"/>
  <c r="D519" i="2"/>
  <c r="C519" i="2"/>
  <c r="A519" i="2"/>
  <c r="AL518" i="2"/>
  <c r="AK518" i="2"/>
  <c r="AJ518" i="2"/>
  <c r="AI518" i="2"/>
  <c r="AH518" i="2"/>
  <c r="AG518" i="2"/>
  <c r="AF518" i="2"/>
  <c r="AE518" i="2"/>
  <c r="AD518" i="2"/>
  <c r="AC518" i="2"/>
  <c r="AB518" i="2"/>
  <c r="AA518" i="2"/>
  <c r="Z518" i="2"/>
  <c r="Y518" i="2"/>
  <c r="X518" i="2"/>
  <c r="W518" i="2"/>
  <c r="V518" i="2"/>
  <c r="U518" i="2"/>
  <c r="S518" i="2"/>
  <c r="R518" i="2"/>
  <c r="Q518" i="2"/>
  <c r="P518" i="2"/>
  <c r="O518" i="2"/>
  <c r="N518" i="2"/>
  <c r="M518" i="2"/>
  <c r="L518" i="2"/>
  <c r="K518" i="2"/>
  <c r="J518" i="2"/>
  <c r="I518" i="2"/>
  <c r="H518" i="2"/>
  <c r="G518" i="2"/>
  <c r="F518" i="2"/>
  <c r="E518" i="2"/>
  <c r="D518" i="2"/>
  <c r="C518" i="2"/>
  <c r="B518" i="2"/>
  <c r="A518" i="2"/>
  <c r="AL517" i="2"/>
  <c r="AK517" i="2"/>
  <c r="AJ517" i="2"/>
  <c r="AI517" i="2"/>
  <c r="AH517" i="2"/>
  <c r="AG517" i="2"/>
  <c r="AF517" i="2"/>
  <c r="AE517" i="2"/>
  <c r="AD517" i="2"/>
  <c r="AC517" i="2"/>
  <c r="AB517" i="2"/>
  <c r="AA517" i="2"/>
  <c r="Z517" i="2"/>
  <c r="Y517" i="2"/>
  <c r="X517" i="2"/>
  <c r="W517" i="2"/>
  <c r="V517" i="2"/>
  <c r="U517" i="2"/>
  <c r="S517" i="2"/>
  <c r="R517" i="2"/>
  <c r="Q517" i="2"/>
  <c r="P517" i="2"/>
  <c r="O517" i="2"/>
  <c r="N517" i="2"/>
  <c r="M517" i="2"/>
  <c r="L517" i="2"/>
  <c r="K517" i="2"/>
  <c r="J517" i="2"/>
  <c r="I517" i="2"/>
  <c r="H517" i="2"/>
  <c r="G517" i="2"/>
  <c r="F517" i="2"/>
  <c r="E517" i="2"/>
  <c r="D517" i="2"/>
  <c r="C517" i="2"/>
  <c r="A517" i="2"/>
  <c r="AK516" i="2"/>
  <c r="AJ516" i="2"/>
  <c r="AI516" i="2"/>
  <c r="AH516" i="2"/>
  <c r="AG516" i="2"/>
  <c r="AF516" i="2"/>
  <c r="AE516" i="2"/>
  <c r="AD516" i="2"/>
  <c r="AC516" i="2"/>
  <c r="AB516" i="2"/>
  <c r="AA516" i="2"/>
  <c r="Z516" i="2"/>
  <c r="Y516" i="2"/>
  <c r="X516" i="2"/>
  <c r="W516" i="2"/>
  <c r="V516" i="2"/>
  <c r="U516" i="2"/>
  <c r="S516" i="2"/>
  <c r="R516" i="2"/>
  <c r="Q516" i="2"/>
  <c r="P516" i="2"/>
  <c r="O516" i="2"/>
  <c r="N516" i="2"/>
  <c r="M516" i="2"/>
  <c r="L516" i="2"/>
  <c r="K516" i="2"/>
  <c r="J516" i="2"/>
  <c r="I516" i="2"/>
  <c r="H516" i="2"/>
  <c r="G516" i="2"/>
  <c r="F516" i="2"/>
  <c r="E516" i="2"/>
  <c r="D516" i="2"/>
  <c r="C516" i="2"/>
  <c r="A516" i="2"/>
  <c r="AL515" i="2"/>
  <c r="AK515" i="2"/>
  <c r="AJ515" i="2"/>
  <c r="AI515" i="2"/>
  <c r="AH515" i="2"/>
  <c r="AG515" i="2"/>
  <c r="AF515" i="2"/>
  <c r="AE515" i="2"/>
  <c r="AD515" i="2"/>
  <c r="AC515" i="2"/>
  <c r="AB515" i="2"/>
  <c r="AA515" i="2"/>
  <c r="Z515" i="2"/>
  <c r="Y515" i="2"/>
  <c r="X515" i="2"/>
  <c r="W515" i="2"/>
  <c r="V515" i="2"/>
  <c r="U515" i="2"/>
  <c r="S515" i="2"/>
  <c r="R515" i="2"/>
  <c r="Q515" i="2"/>
  <c r="P515" i="2"/>
  <c r="O515" i="2"/>
  <c r="N515" i="2"/>
  <c r="M515" i="2"/>
  <c r="L515" i="2"/>
  <c r="K515" i="2"/>
  <c r="J515" i="2"/>
  <c r="I515" i="2"/>
  <c r="H515" i="2"/>
  <c r="G515" i="2"/>
  <c r="F515" i="2"/>
  <c r="E515" i="2"/>
  <c r="D515" i="2"/>
  <c r="C515" i="2"/>
  <c r="A515" i="2"/>
  <c r="AL514" i="2"/>
  <c r="AK514" i="2"/>
  <c r="AJ514" i="2"/>
  <c r="AI514" i="2"/>
  <c r="AH514" i="2"/>
  <c r="AG514" i="2"/>
  <c r="AF514" i="2"/>
  <c r="AE514" i="2"/>
  <c r="AD514" i="2"/>
  <c r="AC514" i="2"/>
  <c r="AB514" i="2"/>
  <c r="AA514" i="2"/>
  <c r="Z514" i="2"/>
  <c r="Y514" i="2"/>
  <c r="X514" i="2"/>
  <c r="W514" i="2"/>
  <c r="V514" i="2"/>
  <c r="U514" i="2"/>
  <c r="S514" i="2"/>
  <c r="R514" i="2"/>
  <c r="Q514" i="2"/>
  <c r="P514" i="2"/>
  <c r="O514" i="2"/>
  <c r="N514" i="2"/>
  <c r="M514" i="2"/>
  <c r="L514" i="2"/>
  <c r="K514" i="2"/>
  <c r="J514" i="2"/>
  <c r="I514" i="2"/>
  <c r="H514" i="2"/>
  <c r="G514" i="2"/>
  <c r="F514" i="2"/>
  <c r="E514" i="2"/>
  <c r="D514" i="2"/>
  <c r="C514" i="2"/>
  <c r="B514" i="2"/>
  <c r="A514" i="2"/>
  <c r="AK513" i="2"/>
  <c r="AJ513" i="2"/>
  <c r="AI513" i="2"/>
  <c r="AH513" i="2"/>
  <c r="AG513" i="2"/>
  <c r="AF513" i="2"/>
  <c r="AE513" i="2"/>
  <c r="AD513" i="2"/>
  <c r="AC513" i="2"/>
  <c r="AB513" i="2"/>
  <c r="AA513" i="2"/>
  <c r="Z513" i="2"/>
  <c r="Y513" i="2"/>
  <c r="X513" i="2"/>
  <c r="W513" i="2"/>
  <c r="V513" i="2"/>
  <c r="U513" i="2"/>
  <c r="S513" i="2"/>
  <c r="R513" i="2"/>
  <c r="Q513" i="2"/>
  <c r="P513" i="2"/>
  <c r="O513" i="2"/>
  <c r="N513" i="2"/>
  <c r="M513" i="2"/>
  <c r="L513" i="2"/>
  <c r="K513" i="2"/>
  <c r="J513" i="2"/>
  <c r="I513" i="2"/>
  <c r="H513" i="2"/>
  <c r="G513" i="2"/>
  <c r="F513" i="2"/>
  <c r="E513" i="2"/>
  <c r="D513" i="2"/>
  <c r="C513" i="2"/>
  <c r="A513" i="2"/>
  <c r="AL512" i="2"/>
  <c r="AK512" i="2"/>
  <c r="AJ512" i="2"/>
  <c r="AI512" i="2"/>
  <c r="AH512" i="2"/>
  <c r="AG512" i="2"/>
  <c r="AF512" i="2"/>
  <c r="AE512" i="2"/>
  <c r="AD512" i="2"/>
  <c r="AC512" i="2"/>
  <c r="AB512" i="2"/>
  <c r="AA512" i="2"/>
  <c r="Z512" i="2"/>
  <c r="Y512" i="2"/>
  <c r="X512" i="2"/>
  <c r="W512" i="2"/>
  <c r="V512" i="2"/>
  <c r="U512" i="2"/>
  <c r="S512" i="2"/>
  <c r="R512" i="2"/>
  <c r="Q51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D512" i="2"/>
  <c r="C512" i="2"/>
  <c r="A512" i="2"/>
  <c r="AL511" i="2"/>
  <c r="AK511" i="2"/>
  <c r="AJ511" i="2"/>
  <c r="AI511" i="2"/>
  <c r="AH511" i="2"/>
  <c r="AG511" i="2"/>
  <c r="AF511" i="2"/>
  <c r="AE511" i="2"/>
  <c r="AC511" i="2"/>
  <c r="AB511" i="2"/>
  <c r="AA511" i="2"/>
  <c r="Z511" i="2"/>
  <c r="Y511" i="2"/>
  <c r="X511" i="2"/>
  <c r="W511" i="2"/>
  <c r="V511" i="2"/>
  <c r="U511" i="2"/>
  <c r="S511" i="2"/>
  <c r="R511" i="2"/>
  <c r="Q511" i="2"/>
  <c r="P511" i="2"/>
  <c r="O511" i="2"/>
  <c r="N511" i="2"/>
  <c r="M511" i="2"/>
  <c r="L511" i="2"/>
  <c r="K511" i="2"/>
  <c r="J511" i="2"/>
  <c r="I511" i="2"/>
  <c r="H511" i="2"/>
  <c r="G511" i="2"/>
  <c r="F511" i="2"/>
  <c r="E511" i="2"/>
  <c r="D511" i="2"/>
  <c r="C511" i="2"/>
  <c r="B511" i="2"/>
  <c r="A511" i="2"/>
  <c r="AL510" i="2"/>
  <c r="AK510" i="2"/>
  <c r="AJ510" i="2"/>
  <c r="AI510" i="2"/>
  <c r="AH510" i="2"/>
  <c r="AG510" i="2"/>
  <c r="AF510" i="2"/>
  <c r="AE510" i="2"/>
  <c r="AD510" i="2"/>
  <c r="AC510" i="2"/>
  <c r="AB510" i="2"/>
  <c r="AA510" i="2"/>
  <c r="Z510" i="2"/>
  <c r="Y510" i="2"/>
  <c r="X510" i="2"/>
  <c r="W510" i="2"/>
  <c r="V510" i="2"/>
  <c r="U510" i="2"/>
  <c r="S510" i="2"/>
  <c r="R510" i="2"/>
  <c r="Q510" i="2"/>
  <c r="P510" i="2"/>
  <c r="O510" i="2"/>
  <c r="N510" i="2"/>
  <c r="M510" i="2"/>
  <c r="L510" i="2"/>
  <c r="K510" i="2"/>
  <c r="J510" i="2"/>
  <c r="I510" i="2"/>
  <c r="H510" i="2"/>
  <c r="G510" i="2"/>
  <c r="F510" i="2"/>
  <c r="E510" i="2"/>
  <c r="D510" i="2"/>
  <c r="C510" i="2"/>
  <c r="B510" i="2"/>
  <c r="A510" i="2"/>
  <c r="AL509" i="2"/>
  <c r="AK509" i="2"/>
  <c r="AJ509" i="2"/>
  <c r="AI509" i="2"/>
  <c r="AH509" i="2"/>
  <c r="AG509" i="2"/>
  <c r="AF509" i="2"/>
  <c r="AE509" i="2"/>
  <c r="AD509" i="2"/>
  <c r="AC509" i="2"/>
  <c r="AB509" i="2"/>
  <c r="AA509" i="2"/>
  <c r="Z509" i="2"/>
  <c r="Y509" i="2"/>
  <c r="X509" i="2"/>
  <c r="W509" i="2"/>
  <c r="V509" i="2"/>
  <c r="U509" i="2"/>
  <c r="S509" i="2"/>
  <c r="R509" i="2"/>
  <c r="Q509" i="2"/>
  <c r="P509" i="2"/>
  <c r="O509" i="2"/>
  <c r="N509" i="2"/>
  <c r="M509" i="2"/>
  <c r="L509" i="2"/>
  <c r="K509" i="2"/>
  <c r="J509" i="2"/>
  <c r="I509" i="2"/>
  <c r="H509" i="2"/>
  <c r="G509" i="2"/>
  <c r="F509" i="2"/>
  <c r="E509" i="2"/>
  <c r="D509" i="2"/>
  <c r="C509" i="2"/>
  <c r="A509" i="2"/>
  <c r="AL508" i="2"/>
  <c r="AK508" i="2"/>
  <c r="AJ508" i="2"/>
  <c r="AI508" i="2"/>
  <c r="AH508" i="2"/>
  <c r="AG508" i="2"/>
  <c r="AF508" i="2"/>
  <c r="AE508" i="2"/>
  <c r="AD508" i="2"/>
  <c r="AC508" i="2"/>
  <c r="AB508" i="2"/>
  <c r="AA508" i="2"/>
  <c r="Z508" i="2"/>
  <c r="Y508" i="2"/>
  <c r="X508" i="2"/>
  <c r="W508" i="2"/>
  <c r="V508" i="2"/>
  <c r="U508" i="2"/>
  <c r="S508" i="2"/>
  <c r="R508" i="2"/>
  <c r="Q508" i="2"/>
  <c r="P508" i="2"/>
  <c r="O508" i="2"/>
  <c r="N508" i="2"/>
  <c r="M508" i="2"/>
  <c r="L508" i="2"/>
  <c r="K508" i="2"/>
  <c r="J508" i="2"/>
  <c r="I508" i="2"/>
  <c r="H508" i="2"/>
  <c r="G508" i="2"/>
  <c r="F508" i="2"/>
  <c r="E508" i="2"/>
  <c r="D508" i="2"/>
  <c r="C508" i="2"/>
  <c r="B508" i="2"/>
  <c r="A508" i="2"/>
  <c r="AK507" i="2"/>
  <c r="AJ507" i="2"/>
  <c r="AI507" i="2"/>
  <c r="AH507" i="2"/>
  <c r="AG507" i="2"/>
  <c r="AF507" i="2"/>
  <c r="AE507" i="2"/>
  <c r="AC507" i="2"/>
  <c r="AB507" i="2"/>
  <c r="AA507" i="2"/>
  <c r="Z507" i="2"/>
  <c r="Y507" i="2"/>
  <c r="X507" i="2"/>
  <c r="W507" i="2"/>
  <c r="V507" i="2"/>
  <c r="U507" i="2"/>
  <c r="S507" i="2"/>
  <c r="R507" i="2"/>
  <c r="Q507" i="2"/>
  <c r="P507" i="2"/>
  <c r="O507" i="2"/>
  <c r="N507" i="2"/>
  <c r="M507" i="2"/>
  <c r="L507" i="2"/>
  <c r="K507" i="2"/>
  <c r="J507" i="2"/>
  <c r="I507" i="2"/>
  <c r="H507" i="2"/>
  <c r="G507" i="2"/>
  <c r="F507" i="2"/>
  <c r="E507" i="2"/>
  <c r="D507" i="2"/>
  <c r="C507" i="2"/>
  <c r="A507" i="2"/>
  <c r="AK506" i="2"/>
  <c r="AJ506" i="2"/>
  <c r="AI506" i="2"/>
  <c r="AH506" i="2"/>
  <c r="AG506" i="2"/>
  <c r="AF506" i="2"/>
  <c r="AE506" i="2"/>
  <c r="AD506" i="2"/>
  <c r="AC506" i="2"/>
  <c r="AB506" i="2"/>
  <c r="AA506" i="2"/>
  <c r="Z506" i="2"/>
  <c r="Y506" i="2"/>
  <c r="X506" i="2"/>
  <c r="W506" i="2"/>
  <c r="V506" i="2"/>
  <c r="U506" i="2"/>
  <c r="S506" i="2"/>
  <c r="R506" i="2"/>
  <c r="Q506" i="2"/>
  <c r="P506" i="2"/>
  <c r="O506" i="2"/>
  <c r="N506" i="2"/>
  <c r="M506" i="2"/>
  <c r="L506" i="2"/>
  <c r="K506" i="2"/>
  <c r="J506" i="2"/>
  <c r="I506" i="2"/>
  <c r="H506" i="2"/>
  <c r="G506" i="2"/>
  <c r="F506" i="2"/>
  <c r="E506" i="2"/>
  <c r="D506" i="2"/>
  <c r="C506" i="2"/>
  <c r="B506" i="2"/>
  <c r="A506" i="2"/>
  <c r="AL505" i="2"/>
  <c r="AK505" i="2"/>
  <c r="AJ505" i="2"/>
  <c r="AI505" i="2"/>
  <c r="AH505" i="2"/>
  <c r="AG505" i="2"/>
  <c r="AF505" i="2"/>
  <c r="AE505" i="2"/>
  <c r="AD505" i="2"/>
  <c r="AC505" i="2"/>
  <c r="AB505" i="2"/>
  <c r="AA505" i="2"/>
  <c r="Z505" i="2"/>
  <c r="Y505" i="2"/>
  <c r="X505" i="2"/>
  <c r="W505" i="2"/>
  <c r="V505" i="2"/>
  <c r="U505" i="2"/>
  <c r="S505" i="2"/>
  <c r="R505" i="2"/>
  <c r="Q505" i="2"/>
  <c r="P505" i="2"/>
  <c r="O505" i="2"/>
  <c r="N505" i="2"/>
  <c r="M505" i="2"/>
  <c r="L505" i="2"/>
  <c r="K505" i="2"/>
  <c r="J505" i="2"/>
  <c r="I505" i="2"/>
  <c r="H505" i="2"/>
  <c r="G505" i="2"/>
  <c r="F505" i="2"/>
  <c r="E505" i="2"/>
  <c r="D505" i="2"/>
  <c r="C505" i="2"/>
  <c r="B505" i="2"/>
  <c r="A505" i="2"/>
  <c r="AK504" i="2"/>
  <c r="AJ504" i="2"/>
  <c r="AI504" i="2"/>
  <c r="AH504" i="2"/>
  <c r="AG504" i="2"/>
  <c r="AF504" i="2"/>
  <c r="AE504" i="2"/>
  <c r="AC504" i="2"/>
  <c r="AB504" i="2"/>
  <c r="AA504" i="2"/>
  <c r="Z504" i="2"/>
  <c r="Y504" i="2"/>
  <c r="X504" i="2"/>
  <c r="W504" i="2"/>
  <c r="V504" i="2"/>
  <c r="U504" i="2"/>
  <c r="S504" i="2"/>
  <c r="R504" i="2"/>
  <c r="Q504" i="2"/>
  <c r="P504" i="2"/>
  <c r="O504" i="2"/>
  <c r="N504" i="2"/>
  <c r="M504" i="2"/>
  <c r="L504" i="2"/>
  <c r="K504" i="2"/>
  <c r="J504" i="2"/>
  <c r="I504" i="2"/>
  <c r="H504" i="2"/>
  <c r="G504" i="2"/>
  <c r="F504" i="2"/>
  <c r="E504" i="2"/>
  <c r="D504" i="2"/>
  <c r="C504" i="2"/>
  <c r="B504" i="2"/>
  <c r="A504" i="2"/>
  <c r="AK503" i="2"/>
  <c r="AJ503" i="2"/>
  <c r="AI503" i="2"/>
  <c r="AH503" i="2"/>
  <c r="AG503" i="2"/>
  <c r="AF503" i="2"/>
  <c r="AE503" i="2"/>
  <c r="AC503" i="2"/>
  <c r="AB503" i="2"/>
  <c r="AA503" i="2"/>
  <c r="Z503" i="2"/>
  <c r="Y503" i="2"/>
  <c r="X503" i="2"/>
  <c r="W503" i="2"/>
  <c r="V503" i="2"/>
  <c r="U503" i="2"/>
  <c r="S503" i="2"/>
  <c r="R503" i="2"/>
  <c r="Q503" i="2"/>
  <c r="P503" i="2"/>
  <c r="O503" i="2"/>
  <c r="N503" i="2"/>
  <c r="M503" i="2"/>
  <c r="L503" i="2"/>
  <c r="K503" i="2"/>
  <c r="J503" i="2"/>
  <c r="I503" i="2"/>
  <c r="H503" i="2"/>
  <c r="G503" i="2"/>
  <c r="F503" i="2"/>
  <c r="E503" i="2"/>
  <c r="D503" i="2"/>
  <c r="C503" i="2"/>
  <c r="A503" i="2"/>
  <c r="AL502" i="2"/>
  <c r="AK502" i="2"/>
  <c r="AJ502" i="2"/>
  <c r="AI502" i="2"/>
  <c r="AH502" i="2"/>
  <c r="AG502" i="2"/>
  <c r="AF502" i="2"/>
  <c r="AE502" i="2"/>
  <c r="AD502" i="2"/>
  <c r="AC502" i="2"/>
  <c r="AB502" i="2"/>
  <c r="AA502" i="2"/>
  <c r="Z502" i="2"/>
  <c r="Y502" i="2"/>
  <c r="X502" i="2"/>
  <c r="W502" i="2"/>
  <c r="V502" i="2"/>
  <c r="U502" i="2"/>
  <c r="S502" i="2"/>
  <c r="R502" i="2"/>
  <c r="Q502" i="2"/>
  <c r="P502" i="2"/>
  <c r="O502" i="2"/>
  <c r="N502" i="2"/>
  <c r="M502" i="2"/>
  <c r="L502" i="2"/>
  <c r="K502" i="2"/>
  <c r="J502" i="2"/>
  <c r="I502" i="2"/>
  <c r="H502" i="2"/>
  <c r="G502" i="2"/>
  <c r="F502" i="2"/>
  <c r="E502" i="2"/>
  <c r="D502" i="2"/>
  <c r="C502" i="2"/>
  <c r="A502" i="2"/>
  <c r="AL501" i="2"/>
  <c r="AK501" i="2"/>
  <c r="AJ501" i="2"/>
  <c r="AI501" i="2"/>
  <c r="AH501" i="2"/>
  <c r="AG501" i="2"/>
  <c r="AF501" i="2"/>
  <c r="AE501" i="2"/>
  <c r="AD501" i="2"/>
  <c r="AC501" i="2"/>
  <c r="AB501" i="2"/>
  <c r="AA501" i="2"/>
  <c r="Z501" i="2"/>
  <c r="Y501" i="2"/>
  <c r="X501" i="2"/>
  <c r="W501" i="2"/>
  <c r="V501" i="2"/>
  <c r="U501" i="2"/>
  <c r="S501" i="2"/>
  <c r="R501" i="2"/>
  <c r="Q501" i="2"/>
  <c r="P501" i="2"/>
  <c r="O501" i="2"/>
  <c r="N501" i="2"/>
  <c r="M501" i="2"/>
  <c r="L501" i="2"/>
  <c r="K501" i="2"/>
  <c r="J501" i="2"/>
  <c r="I501" i="2"/>
  <c r="H501" i="2"/>
  <c r="G501" i="2"/>
  <c r="F501" i="2"/>
  <c r="E501" i="2"/>
  <c r="D501" i="2"/>
  <c r="C501" i="2"/>
  <c r="B501" i="2"/>
  <c r="A501" i="2"/>
  <c r="AL500" i="2"/>
  <c r="AK500" i="2"/>
  <c r="AJ500" i="2"/>
  <c r="AI500" i="2"/>
  <c r="AH500" i="2"/>
  <c r="AG500" i="2"/>
  <c r="AF500" i="2"/>
  <c r="AE500" i="2"/>
  <c r="AD500" i="2"/>
  <c r="AC500" i="2"/>
  <c r="AB500" i="2"/>
  <c r="AA500" i="2"/>
  <c r="Z500" i="2"/>
  <c r="Y500" i="2"/>
  <c r="X500" i="2"/>
  <c r="W500" i="2"/>
  <c r="V500" i="2"/>
  <c r="U500" i="2"/>
  <c r="S500" i="2"/>
  <c r="R500" i="2"/>
  <c r="Q500" i="2"/>
  <c r="P500" i="2"/>
  <c r="O500" i="2"/>
  <c r="N500" i="2"/>
  <c r="M500" i="2"/>
  <c r="L500" i="2"/>
  <c r="K500" i="2"/>
  <c r="J500" i="2"/>
  <c r="I500" i="2"/>
  <c r="H500" i="2"/>
  <c r="G500" i="2"/>
  <c r="F500" i="2"/>
  <c r="E500" i="2"/>
  <c r="D500" i="2"/>
  <c r="C500" i="2"/>
  <c r="B500" i="2"/>
  <c r="A500" i="2"/>
  <c r="AL499" i="2"/>
  <c r="AK499" i="2"/>
  <c r="AJ499" i="2"/>
  <c r="AI499" i="2"/>
  <c r="AH499" i="2"/>
  <c r="AG499" i="2"/>
  <c r="AF499" i="2"/>
  <c r="AE499" i="2"/>
  <c r="AD499" i="2"/>
  <c r="AC499" i="2"/>
  <c r="AB499" i="2"/>
  <c r="AA499" i="2"/>
  <c r="Z499" i="2"/>
  <c r="Y499" i="2"/>
  <c r="X499" i="2"/>
  <c r="W499" i="2"/>
  <c r="V499" i="2"/>
  <c r="U499" i="2"/>
  <c r="S499" i="2"/>
  <c r="R499" i="2"/>
  <c r="Q499" i="2"/>
  <c r="P499" i="2"/>
  <c r="O499" i="2"/>
  <c r="N499" i="2"/>
  <c r="M499" i="2"/>
  <c r="L499" i="2"/>
  <c r="K499" i="2"/>
  <c r="J499" i="2"/>
  <c r="I499" i="2"/>
  <c r="H499" i="2"/>
  <c r="G499" i="2"/>
  <c r="F499" i="2"/>
  <c r="E499" i="2"/>
  <c r="D499" i="2"/>
  <c r="C499" i="2"/>
  <c r="A499" i="2"/>
  <c r="AL498" i="2"/>
  <c r="AK498" i="2"/>
  <c r="AJ498" i="2"/>
  <c r="AI498" i="2"/>
  <c r="AH498" i="2"/>
  <c r="AG498" i="2"/>
  <c r="AF498" i="2"/>
  <c r="AE498" i="2"/>
  <c r="AD498" i="2"/>
  <c r="AC498" i="2"/>
  <c r="AB498" i="2"/>
  <c r="AA498" i="2"/>
  <c r="Z498" i="2"/>
  <c r="Y498" i="2"/>
  <c r="X498" i="2"/>
  <c r="W498" i="2"/>
  <c r="V498" i="2"/>
  <c r="U498" i="2"/>
  <c r="S498" i="2"/>
  <c r="R498" i="2"/>
  <c r="Q498" i="2"/>
  <c r="P498" i="2"/>
  <c r="O498" i="2"/>
  <c r="N498" i="2"/>
  <c r="M498" i="2"/>
  <c r="L498" i="2"/>
  <c r="K498" i="2"/>
  <c r="J498" i="2"/>
  <c r="I498" i="2"/>
  <c r="H498" i="2"/>
  <c r="G498" i="2"/>
  <c r="F498" i="2"/>
  <c r="E498" i="2"/>
  <c r="D498" i="2"/>
  <c r="C498" i="2"/>
  <c r="A498" i="2"/>
  <c r="AK497" i="2"/>
  <c r="AJ497" i="2"/>
  <c r="AI497" i="2"/>
  <c r="AH497" i="2"/>
  <c r="AG497" i="2"/>
  <c r="AF497" i="2"/>
  <c r="AE497" i="2"/>
  <c r="AD497" i="2"/>
  <c r="AC497" i="2"/>
  <c r="AB497" i="2"/>
  <c r="AA497" i="2"/>
  <c r="Z497" i="2"/>
  <c r="Y497" i="2"/>
  <c r="X497" i="2"/>
  <c r="W497" i="2"/>
  <c r="V497" i="2"/>
  <c r="U497" i="2"/>
  <c r="S497" i="2"/>
  <c r="R497" i="2"/>
  <c r="Q497" i="2"/>
  <c r="P497" i="2"/>
  <c r="O497" i="2"/>
  <c r="N497" i="2"/>
  <c r="M497" i="2"/>
  <c r="L497" i="2"/>
  <c r="K497" i="2"/>
  <c r="J497" i="2"/>
  <c r="I497" i="2"/>
  <c r="H497" i="2"/>
  <c r="G497" i="2"/>
  <c r="F497" i="2"/>
  <c r="E497" i="2"/>
  <c r="D497" i="2"/>
  <c r="C497" i="2"/>
  <c r="A497" i="2"/>
  <c r="AL496" i="2"/>
  <c r="AK496" i="2"/>
  <c r="AJ496" i="2"/>
  <c r="AI496" i="2"/>
  <c r="AG496" i="2"/>
  <c r="AF496" i="2"/>
  <c r="AE496" i="2"/>
  <c r="AC496" i="2"/>
  <c r="AB496" i="2"/>
  <c r="AA496" i="2"/>
  <c r="X496" i="2"/>
  <c r="W496" i="2"/>
  <c r="V496" i="2"/>
  <c r="U496" i="2"/>
  <c r="R496" i="2"/>
  <c r="Q496" i="2"/>
  <c r="P496" i="2"/>
  <c r="O496" i="2"/>
  <c r="N496" i="2"/>
  <c r="M496" i="2"/>
  <c r="L496" i="2"/>
  <c r="K496" i="2"/>
  <c r="J496" i="2"/>
  <c r="I496" i="2"/>
  <c r="H496" i="2"/>
  <c r="G496" i="2"/>
  <c r="F496" i="2"/>
  <c r="E496" i="2"/>
  <c r="D496" i="2"/>
  <c r="C496" i="2"/>
  <c r="A496" i="2"/>
  <c r="AL495" i="2"/>
  <c r="AK495" i="2"/>
  <c r="AJ495" i="2"/>
  <c r="AI495" i="2"/>
  <c r="AG495" i="2"/>
  <c r="AF495" i="2"/>
  <c r="AE495" i="2"/>
  <c r="AC495" i="2"/>
  <c r="AB495" i="2"/>
  <c r="AA495" i="2"/>
  <c r="X495" i="2"/>
  <c r="W495" i="2"/>
  <c r="V495" i="2"/>
  <c r="U495" i="2"/>
  <c r="R495" i="2"/>
  <c r="Q495" i="2"/>
  <c r="P495" i="2"/>
  <c r="O495" i="2"/>
  <c r="N495" i="2"/>
  <c r="M495" i="2"/>
  <c r="L495" i="2"/>
  <c r="K495" i="2"/>
  <c r="J495" i="2"/>
  <c r="I495" i="2"/>
  <c r="H495" i="2"/>
  <c r="G495" i="2"/>
  <c r="F495" i="2"/>
  <c r="E495" i="2"/>
  <c r="D495" i="2"/>
  <c r="C495" i="2"/>
  <c r="A495" i="2"/>
  <c r="AK494" i="2"/>
  <c r="AJ494" i="2"/>
  <c r="AI494" i="2"/>
  <c r="AH494" i="2"/>
  <c r="AG494" i="2"/>
  <c r="AF494" i="2"/>
  <c r="AE494" i="2"/>
  <c r="AD494" i="2"/>
  <c r="AC494" i="2"/>
  <c r="AB494" i="2"/>
  <c r="AA494" i="2"/>
  <c r="Z494" i="2"/>
  <c r="Y494" i="2"/>
  <c r="X494" i="2"/>
  <c r="W494" i="2"/>
  <c r="V494" i="2"/>
  <c r="U494" i="2"/>
  <c r="S494" i="2"/>
  <c r="R494" i="2"/>
  <c r="Q494" i="2"/>
  <c r="P494" i="2"/>
  <c r="O494" i="2"/>
  <c r="N494" i="2"/>
  <c r="M494" i="2"/>
  <c r="L494" i="2"/>
  <c r="K494" i="2"/>
  <c r="J494" i="2"/>
  <c r="I494" i="2"/>
  <c r="H494" i="2"/>
  <c r="G494" i="2"/>
  <c r="F494" i="2"/>
  <c r="E494" i="2"/>
  <c r="D494" i="2"/>
  <c r="C494" i="2"/>
  <c r="A494" i="2"/>
  <c r="AL493" i="2"/>
  <c r="AK493" i="2"/>
  <c r="AJ493" i="2"/>
  <c r="AI493" i="2"/>
  <c r="AH493" i="2"/>
  <c r="AG493" i="2"/>
  <c r="AF493" i="2"/>
  <c r="AE493" i="2"/>
  <c r="AD493" i="2"/>
  <c r="AC493" i="2"/>
  <c r="AB493" i="2"/>
  <c r="AA493" i="2"/>
  <c r="Z493" i="2"/>
  <c r="Y493" i="2"/>
  <c r="X493" i="2"/>
  <c r="W493" i="2"/>
  <c r="V493" i="2"/>
  <c r="U493" i="2"/>
  <c r="S493" i="2"/>
  <c r="R493" i="2"/>
  <c r="Q493" i="2"/>
  <c r="P493" i="2"/>
  <c r="O493" i="2"/>
  <c r="N493" i="2"/>
  <c r="M493" i="2"/>
  <c r="L493" i="2"/>
  <c r="K493" i="2"/>
  <c r="J493" i="2"/>
  <c r="I493" i="2"/>
  <c r="H493" i="2"/>
  <c r="G493" i="2"/>
  <c r="F493" i="2"/>
  <c r="E493" i="2"/>
  <c r="D493" i="2"/>
  <c r="C493" i="2"/>
  <c r="B493" i="2"/>
  <c r="A493" i="2"/>
  <c r="AL492" i="2"/>
  <c r="AK492" i="2"/>
  <c r="AJ492" i="2"/>
  <c r="AI492" i="2"/>
  <c r="AH492" i="2"/>
  <c r="AG492" i="2"/>
  <c r="AF492" i="2"/>
  <c r="AE492" i="2"/>
  <c r="AD492" i="2"/>
  <c r="AC492" i="2"/>
  <c r="AB492" i="2"/>
  <c r="AA492" i="2"/>
  <c r="Z492" i="2"/>
  <c r="Y492" i="2"/>
  <c r="X492" i="2"/>
  <c r="W492" i="2"/>
  <c r="V492" i="2"/>
  <c r="U492" i="2"/>
  <c r="S492" i="2"/>
  <c r="R492" i="2"/>
  <c r="Q492" i="2"/>
  <c r="P492" i="2"/>
  <c r="O492" i="2"/>
  <c r="N492" i="2"/>
  <c r="M492" i="2"/>
  <c r="L492" i="2"/>
  <c r="K492" i="2"/>
  <c r="J492" i="2"/>
  <c r="I492" i="2"/>
  <c r="H492" i="2"/>
  <c r="G492" i="2"/>
  <c r="F492" i="2"/>
  <c r="E492" i="2"/>
  <c r="D492" i="2"/>
  <c r="C492" i="2"/>
  <c r="A492" i="2"/>
  <c r="AL491" i="2"/>
  <c r="AK491" i="2"/>
  <c r="AJ491" i="2"/>
  <c r="AI491" i="2"/>
  <c r="AH491" i="2"/>
  <c r="AG491" i="2"/>
  <c r="AF491" i="2"/>
  <c r="AE491" i="2"/>
  <c r="AD491" i="2"/>
  <c r="AC491" i="2"/>
  <c r="AB491" i="2"/>
  <c r="AA491" i="2"/>
  <c r="Z491" i="2"/>
  <c r="Y491" i="2"/>
  <c r="X491" i="2"/>
  <c r="W491" i="2"/>
  <c r="V491" i="2"/>
  <c r="U491" i="2"/>
  <c r="S491" i="2"/>
  <c r="R491" i="2"/>
  <c r="Q491" i="2"/>
  <c r="P491" i="2"/>
  <c r="O491" i="2"/>
  <c r="N491" i="2"/>
  <c r="M491" i="2"/>
  <c r="L491" i="2"/>
  <c r="K491" i="2"/>
  <c r="J491" i="2"/>
  <c r="I491" i="2"/>
  <c r="H491" i="2"/>
  <c r="G491" i="2"/>
  <c r="F491" i="2"/>
  <c r="E491" i="2"/>
  <c r="D491" i="2"/>
  <c r="C491" i="2"/>
  <c r="B491" i="2"/>
  <c r="A491" i="2"/>
  <c r="AL490" i="2"/>
  <c r="AK490" i="2"/>
  <c r="AJ490" i="2"/>
  <c r="AI490" i="2"/>
  <c r="AH490" i="2"/>
  <c r="AG490" i="2"/>
  <c r="AF490" i="2"/>
  <c r="AE490" i="2"/>
  <c r="AD490" i="2"/>
  <c r="AC490" i="2"/>
  <c r="AB490" i="2"/>
  <c r="AA490" i="2"/>
  <c r="Z490" i="2"/>
  <c r="Y490" i="2"/>
  <c r="X490" i="2"/>
  <c r="W490" i="2"/>
  <c r="V490" i="2"/>
  <c r="U490" i="2"/>
  <c r="S490" i="2"/>
  <c r="R490" i="2"/>
  <c r="Q490" i="2"/>
  <c r="P490" i="2"/>
  <c r="O490" i="2"/>
  <c r="N490" i="2"/>
  <c r="M490" i="2"/>
  <c r="L490" i="2"/>
  <c r="K490" i="2"/>
  <c r="J490" i="2"/>
  <c r="I490" i="2"/>
  <c r="H490" i="2"/>
  <c r="G490" i="2"/>
  <c r="F490" i="2"/>
  <c r="E490" i="2"/>
  <c r="D490" i="2"/>
  <c r="C490" i="2"/>
  <c r="B490" i="2"/>
  <c r="A490" i="2"/>
  <c r="AL489" i="2"/>
  <c r="AK489" i="2"/>
  <c r="AJ489" i="2"/>
  <c r="AI489" i="2"/>
  <c r="AH489" i="2"/>
  <c r="AG489" i="2"/>
  <c r="AF489" i="2"/>
  <c r="AE489" i="2"/>
  <c r="AC489" i="2"/>
  <c r="AB489" i="2"/>
  <c r="AA489" i="2"/>
  <c r="Z489" i="2"/>
  <c r="Y489" i="2"/>
  <c r="X489" i="2"/>
  <c r="W489" i="2"/>
  <c r="V489" i="2"/>
  <c r="U489" i="2"/>
  <c r="S489" i="2"/>
  <c r="R489" i="2"/>
  <c r="Q489" i="2"/>
  <c r="P489" i="2"/>
  <c r="O489" i="2"/>
  <c r="N489" i="2"/>
  <c r="M489" i="2"/>
  <c r="L489" i="2"/>
  <c r="K489" i="2"/>
  <c r="J489" i="2"/>
  <c r="I489" i="2"/>
  <c r="H489" i="2"/>
  <c r="G489" i="2"/>
  <c r="F489" i="2"/>
  <c r="E489" i="2"/>
  <c r="D489" i="2"/>
  <c r="C489" i="2"/>
  <c r="A489" i="2"/>
  <c r="AL488" i="2"/>
  <c r="AK488" i="2"/>
  <c r="AJ488" i="2"/>
  <c r="AI488" i="2"/>
  <c r="AH488" i="2"/>
  <c r="AG488" i="2"/>
  <c r="AF488" i="2"/>
  <c r="AE488" i="2"/>
  <c r="AD488" i="2"/>
  <c r="AC488" i="2"/>
  <c r="AB488" i="2"/>
  <c r="AA488" i="2"/>
  <c r="Z488" i="2"/>
  <c r="Y488" i="2"/>
  <c r="X488" i="2"/>
  <c r="W488" i="2"/>
  <c r="V488" i="2"/>
  <c r="U488" i="2"/>
  <c r="S488" i="2"/>
  <c r="R488" i="2"/>
  <c r="Q488" i="2"/>
  <c r="P488" i="2"/>
  <c r="O488" i="2"/>
  <c r="N488" i="2"/>
  <c r="M488" i="2"/>
  <c r="L488" i="2"/>
  <c r="K488" i="2"/>
  <c r="J488" i="2"/>
  <c r="I488" i="2"/>
  <c r="H488" i="2"/>
  <c r="G488" i="2"/>
  <c r="F488" i="2"/>
  <c r="E488" i="2"/>
  <c r="D488" i="2"/>
  <c r="C488" i="2"/>
  <c r="B488" i="2"/>
  <c r="A488" i="2"/>
  <c r="AL487" i="2"/>
  <c r="AK487" i="2"/>
  <c r="AJ487" i="2"/>
  <c r="AI487" i="2"/>
  <c r="AG487" i="2"/>
  <c r="AF487" i="2"/>
  <c r="AE487" i="2"/>
  <c r="AC487" i="2"/>
  <c r="AB487" i="2"/>
  <c r="AA487" i="2"/>
  <c r="X487" i="2"/>
  <c r="W487" i="2"/>
  <c r="V487" i="2"/>
  <c r="U487" i="2"/>
  <c r="R487" i="2"/>
  <c r="Q487" i="2"/>
  <c r="P487" i="2"/>
  <c r="O487" i="2"/>
  <c r="N487" i="2"/>
  <c r="M487" i="2"/>
  <c r="L487" i="2"/>
  <c r="K487" i="2"/>
  <c r="J487" i="2"/>
  <c r="I487" i="2"/>
  <c r="H487" i="2"/>
  <c r="G487" i="2"/>
  <c r="F487" i="2"/>
  <c r="E487" i="2"/>
  <c r="D487" i="2"/>
  <c r="C487" i="2"/>
  <c r="A487" i="2"/>
  <c r="AL486" i="2"/>
  <c r="AK486" i="2"/>
  <c r="AJ486" i="2"/>
  <c r="AI486" i="2"/>
  <c r="AG486" i="2"/>
  <c r="AF486" i="2"/>
  <c r="AE486" i="2"/>
  <c r="AC486" i="2"/>
  <c r="AB486" i="2"/>
  <c r="AA486" i="2"/>
  <c r="X486" i="2"/>
  <c r="W486" i="2"/>
  <c r="V486" i="2"/>
  <c r="U486" i="2"/>
  <c r="R486" i="2"/>
  <c r="Q486" i="2"/>
  <c r="P486" i="2"/>
  <c r="O486" i="2"/>
  <c r="N486" i="2"/>
  <c r="M486" i="2"/>
  <c r="L486" i="2"/>
  <c r="K486" i="2"/>
  <c r="J486" i="2"/>
  <c r="I486" i="2"/>
  <c r="H486" i="2"/>
  <c r="G486" i="2"/>
  <c r="F486" i="2"/>
  <c r="E486" i="2"/>
  <c r="D486" i="2"/>
  <c r="C486" i="2"/>
  <c r="B486" i="2"/>
  <c r="A486" i="2"/>
  <c r="AL485" i="2"/>
  <c r="AK485" i="2"/>
  <c r="AJ485" i="2"/>
  <c r="AI485" i="2"/>
  <c r="AH485" i="2"/>
  <c r="AG485" i="2"/>
  <c r="AF485" i="2"/>
  <c r="AE485" i="2"/>
  <c r="AD485" i="2"/>
  <c r="AC485" i="2"/>
  <c r="AB485" i="2"/>
  <c r="AA485" i="2"/>
  <c r="Z485" i="2"/>
  <c r="Y485" i="2"/>
  <c r="X485" i="2"/>
  <c r="W485" i="2"/>
  <c r="V485" i="2"/>
  <c r="U485" i="2"/>
  <c r="S485" i="2"/>
  <c r="R485" i="2"/>
  <c r="Q485" i="2"/>
  <c r="P485" i="2"/>
  <c r="O485" i="2"/>
  <c r="N485" i="2"/>
  <c r="M485" i="2"/>
  <c r="L485" i="2"/>
  <c r="K485" i="2"/>
  <c r="J485" i="2"/>
  <c r="I485" i="2"/>
  <c r="H485" i="2"/>
  <c r="G485" i="2"/>
  <c r="F485" i="2"/>
  <c r="E485" i="2"/>
  <c r="D485" i="2"/>
  <c r="C485" i="2"/>
  <c r="B485" i="2"/>
  <c r="A485" i="2"/>
  <c r="AK484" i="2"/>
  <c r="AJ484" i="2"/>
  <c r="AI484" i="2"/>
  <c r="AH484" i="2"/>
  <c r="AG484" i="2"/>
  <c r="AF484" i="2"/>
  <c r="AE484" i="2"/>
  <c r="AD484" i="2"/>
  <c r="AC484" i="2"/>
  <c r="AB484" i="2"/>
  <c r="AA484" i="2"/>
  <c r="Z484" i="2"/>
  <c r="Y484" i="2"/>
  <c r="X484" i="2"/>
  <c r="W484" i="2"/>
  <c r="V484" i="2"/>
  <c r="U484" i="2"/>
  <c r="S484" i="2"/>
  <c r="R484" i="2"/>
  <c r="Q484" i="2"/>
  <c r="P484" i="2"/>
  <c r="O484" i="2"/>
  <c r="N484" i="2"/>
  <c r="M484" i="2"/>
  <c r="L484" i="2"/>
  <c r="K484" i="2"/>
  <c r="J484" i="2"/>
  <c r="I484" i="2"/>
  <c r="H484" i="2"/>
  <c r="G484" i="2"/>
  <c r="F484" i="2"/>
  <c r="E484" i="2"/>
  <c r="D484" i="2"/>
  <c r="C484" i="2"/>
  <c r="B484" i="2"/>
  <c r="A484" i="2"/>
  <c r="AK483" i="2"/>
  <c r="AJ483" i="2"/>
  <c r="AI483" i="2"/>
  <c r="AH483" i="2"/>
  <c r="AG483" i="2"/>
  <c r="AF483" i="2"/>
  <c r="AE483" i="2"/>
  <c r="AD483" i="2"/>
  <c r="AC483" i="2"/>
  <c r="AB483" i="2"/>
  <c r="AA483" i="2"/>
  <c r="Z483" i="2"/>
  <c r="Y483" i="2"/>
  <c r="X483" i="2"/>
  <c r="W483" i="2"/>
  <c r="V483" i="2"/>
  <c r="U483" i="2"/>
  <c r="S483" i="2"/>
  <c r="R483" i="2"/>
  <c r="Q483" i="2"/>
  <c r="P483" i="2"/>
  <c r="O483" i="2"/>
  <c r="N483" i="2"/>
  <c r="M483" i="2"/>
  <c r="L483" i="2"/>
  <c r="K483" i="2"/>
  <c r="J483" i="2"/>
  <c r="I483" i="2"/>
  <c r="H483" i="2"/>
  <c r="G483" i="2"/>
  <c r="F483" i="2"/>
  <c r="E483" i="2"/>
  <c r="D483" i="2"/>
  <c r="C483" i="2"/>
  <c r="A483" i="2"/>
  <c r="AL482" i="2"/>
  <c r="AK482" i="2"/>
  <c r="AJ482" i="2"/>
  <c r="AI482" i="2"/>
  <c r="AH482" i="2"/>
  <c r="AG482" i="2"/>
  <c r="AF482" i="2"/>
  <c r="AE482" i="2"/>
  <c r="AD482" i="2"/>
  <c r="AC482" i="2"/>
  <c r="AB482" i="2"/>
  <c r="AA482" i="2"/>
  <c r="Z482" i="2"/>
  <c r="Y482" i="2"/>
  <c r="X482" i="2"/>
  <c r="W482" i="2"/>
  <c r="V482" i="2"/>
  <c r="U482" i="2"/>
  <c r="S482" i="2"/>
  <c r="R482" i="2"/>
  <c r="Q482" i="2"/>
  <c r="P482" i="2"/>
  <c r="O482" i="2"/>
  <c r="N482" i="2"/>
  <c r="M482" i="2"/>
  <c r="L482" i="2"/>
  <c r="K482" i="2"/>
  <c r="J482" i="2"/>
  <c r="I482" i="2"/>
  <c r="H482" i="2"/>
  <c r="G482" i="2"/>
  <c r="F482" i="2"/>
  <c r="E482" i="2"/>
  <c r="D482" i="2"/>
  <c r="C482" i="2"/>
  <c r="A482" i="2"/>
  <c r="AL481" i="2"/>
  <c r="AK481" i="2"/>
  <c r="AJ481" i="2"/>
  <c r="AI481" i="2"/>
  <c r="AH481" i="2"/>
  <c r="AG481" i="2"/>
  <c r="AF481" i="2"/>
  <c r="AE481" i="2"/>
  <c r="AD481" i="2"/>
  <c r="AC481" i="2"/>
  <c r="AB481" i="2"/>
  <c r="AA481" i="2"/>
  <c r="Z481" i="2"/>
  <c r="Y481" i="2"/>
  <c r="X481" i="2"/>
  <c r="W481" i="2"/>
  <c r="V481" i="2"/>
  <c r="U481" i="2"/>
  <c r="S481" i="2"/>
  <c r="R481" i="2"/>
  <c r="Q481" i="2"/>
  <c r="P481" i="2"/>
  <c r="O481" i="2"/>
  <c r="N481" i="2"/>
  <c r="M481" i="2"/>
  <c r="L481" i="2"/>
  <c r="K481" i="2"/>
  <c r="J481" i="2"/>
  <c r="I481" i="2"/>
  <c r="H481" i="2"/>
  <c r="G481" i="2"/>
  <c r="F481" i="2"/>
  <c r="E481" i="2"/>
  <c r="D481" i="2"/>
  <c r="C481" i="2"/>
  <c r="A481" i="2"/>
  <c r="AK480" i="2"/>
  <c r="AJ480" i="2"/>
  <c r="AI480" i="2"/>
  <c r="AH480" i="2"/>
  <c r="AG480" i="2"/>
  <c r="AF480" i="2"/>
  <c r="AE480" i="2"/>
  <c r="AD480" i="2"/>
  <c r="AC480" i="2"/>
  <c r="AB480" i="2"/>
  <c r="AA480" i="2"/>
  <c r="Z480" i="2"/>
  <c r="Y480" i="2"/>
  <c r="X480" i="2"/>
  <c r="W480" i="2"/>
  <c r="V480" i="2"/>
  <c r="U480" i="2"/>
  <c r="S480" i="2"/>
  <c r="R480" i="2"/>
  <c r="Q480" i="2"/>
  <c r="P480" i="2"/>
  <c r="O480" i="2"/>
  <c r="N480" i="2"/>
  <c r="M480" i="2"/>
  <c r="L480" i="2"/>
  <c r="K480" i="2"/>
  <c r="J480" i="2"/>
  <c r="I480" i="2"/>
  <c r="H480" i="2"/>
  <c r="G480" i="2"/>
  <c r="F480" i="2"/>
  <c r="E480" i="2"/>
  <c r="D480" i="2"/>
  <c r="C480" i="2"/>
  <c r="B480" i="2"/>
  <c r="A480" i="2"/>
  <c r="AK479" i="2"/>
  <c r="AJ479" i="2"/>
  <c r="AI479" i="2"/>
  <c r="AH479" i="2"/>
  <c r="AG479" i="2"/>
  <c r="AF479" i="2"/>
  <c r="AE479" i="2"/>
  <c r="AD479" i="2"/>
  <c r="AC479" i="2"/>
  <c r="AB479" i="2"/>
  <c r="AA479" i="2"/>
  <c r="Z479" i="2"/>
  <c r="Y479" i="2"/>
  <c r="X479" i="2"/>
  <c r="W479" i="2"/>
  <c r="V479" i="2"/>
  <c r="U479" i="2"/>
  <c r="S479" i="2"/>
  <c r="R479" i="2"/>
  <c r="Q479" i="2"/>
  <c r="P479" i="2"/>
  <c r="O479" i="2"/>
  <c r="N479" i="2"/>
  <c r="M479" i="2"/>
  <c r="L479" i="2"/>
  <c r="K479" i="2"/>
  <c r="J479" i="2"/>
  <c r="I479" i="2"/>
  <c r="H479" i="2"/>
  <c r="G479" i="2"/>
  <c r="F479" i="2"/>
  <c r="E479" i="2"/>
  <c r="D479" i="2"/>
  <c r="C479" i="2"/>
  <c r="A479" i="2"/>
  <c r="AL478" i="2"/>
  <c r="AK478" i="2"/>
  <c r="AJ478" i="2"/>
  <c r="AI478" i="2"/>
  <c r="AH478" i="2"/>
  <c r="AG478" i="2"/>
  <c r="AF478" i="2"/>
  <c r="AE478" i="2"/>
  <c r="AD478" i="2"/>
  <c r="AC478" i="2"/>
  <c r="AB478" i="2"/>
  <c r="AA478" i="2"/>
  <c r="Z478" i="2"/>
  <c r="Y478" i="2"/>
  <c r="X478" i="2"/>
  <c r="W478" i="2"/>
  <c r="V478" i="2"/>
  <c r="U478" i="2"/>
  <c r="S478" i="2"/>
  <c r="R478" i="2"/>
  <c r="Q478" i="2"/>
  <c r="P478" i="2"/>
  <c r="O478" i="2"/>
  <c r="N478" i="2"/>
  <c r="M478" i="2"/>
  <c r="L478" i="2"/>
  <c r="K478" i="2"/>
  <c r="J478" i="2"/>
  <c r="I478" i="2"/>
  <c r="H478" i="2"/>
  <c r="G478" i="2"/>
  <c r="F478" i="2"/>
  <c r="E478" i="2"/>
  <c r="D478" i="2"/>
  <c r="C478" i="2"/>
  <c r="B478" i="2"/>
  <c r="A478" i="2"/>
  <c r="AK477" i="2"/>
  <c r="AJ477" i="2"/>
  <c r="AI477" i="2"/>
  <c r="AH477" i="2"/>
  <c r="AG477" i="2"/>
  <c r="AF477" i="2"/>
  <c r="AE477" i="2"/>
  <c r="AD477" i="2"/>
  <c r="AC477" i="2"/>
  <c r="AB477" i="2"/>
  <c r="AA477" i="2"/>
  <c r="Z477" i="2"/>
  <c r="Y477" i="2"/>
  <c r="X477" i="2"/>
  <c r="W477" i="2"/>
  <c r="V477" i="2"/>
  <c r="U477" i="2"/>
  <c r="S477" i="2"/>
  <c r="R477" i="2"/>
  <c r="Q477" i="2"/>
  <c r="P477" i="2"/>
  <c r="O477" i="2"/>
  <c r="N477" i="2"/>
  <c r="M477" i="2"/>
  <c r="L477" i="2"/>
  <c r="K477" i="2"/>
  <c r="J477" i="2"/>
  <c r="I477" i="2"/>
  <c r="H477" i="2"/>
  <c r="G477" i="2"/>
  <c r="F477" i="2"/>
  <c r="E477" i="2"/>
  <c r="D477" i="2"/>
  <c r="C477" i="2"/>
  <c r="B477" i="2"/>
  <c r="A477" i="2"/>
  <c r="AK476" i="2"/>
  <c r="AJ476" i="2"/>
  <c r="AI476" i="2"/>
  <c r="AH476" i="2"/>
  <c r="AG476" i="2"/>
  <c r="AF476" i="2"/>
  <c r="AE476" i="2"/>
  <c r="AD476" i="2"/>
  <c r="AC476" i="2"/>
  <c r="AB476" i="2"/>
  <c r="AA476" i="2"/>
  <c r="Y476" i="2"/>
  <c r="X476" i="2"/>
  <c r="W476" i="2"/>
  <c r="V476" i="2"/>
  <c r="U476" i="2"/>
  <c r="S476" i="2"/>
  <c r="R476" i="2"/>
  <c r="Q476" i="2"/>
  <c r="P476" i="2"/>
  <c r="O476" i="2"/>
  <c r="N476" i="2"/>
  <c r="M476" i="2"/>
  <c r="L476" i="2"/>
  <c r="K476" i="2"/>
  <c r="J476" i="2"/>
  <c r="I476" i="2"/>
  <c r="H476" i="2"/>
  <c r="G476" i="2"/>
  <c r="F476" i="2"/>
  <c r="E476" i="2"/>
  <c r="D476" i="2"/>
  <c r="C476" i="2"/>
  <c r="B476" i="2"/>
  <c r="A476" i="2"/>
  <c r="AL475" i="2"/>
  <c r="AK475" i="2"/>
  <c r="AJ475" i="2"/>
  <c r="AI475" i="2"/>
  <c r="AH475" i="2"/>
  <c r="AG475" i="2"/>
  <c r="AF475" i="2"/>
  <c r="AE475" i="2"/>
  <c r="AD475" i="2"/>
  <c r="AC475" i="2"/>
  <c r="AB475" i="2"/>
  <c r="AA475" i="2"/>
  <c r="Z475" i="2"/>
  <c r="Y475" i="2"/>
  <c r="X475" i="2"/>
  <c r="W475" i="2"/>
  <c r="V475" i="2"/>
  <c r="U475" i="2"/>
  <c r="S475" i="2"/>
  <c r="R475" i="2"/>
  <c r="Q475" i="2"/>
  <c r="P475" i="2"/>
  <c r="O475" i="2"/>
  <c r="N475" i="2"/>
  <c r="M475" i="2"/>
  <c r="L475" i="2"/>
  <c r="K475" i="2"/>
  <c r="J475" i="2"/>
  <c r="I475" i="2"/>
  <c r="H475" i="2"/>
  <c r="G475" i="2"/>
  <c r="F475" i="2"/>
  <c r="E475" i="2"/>
  <c r="D475" i="2"/>
  <c r="C475" i="2"/>
  <c r="A475" i="2"/>
  <c r="AL474" i="2"/>
  <c r="AK474" i="2"/>
  <c r="AJ474" i="2"/>
  <c r="AI474" i="2"/>
  <c r="AH474" i="2"/>
  <c r="AG474" i="2"/>
  <c r="AF474" i="2"/>
  <c r="AE474" i="2"/>
  <c r="AD474" i="2"/>
  <c r="AC474" i="2"/>
  <c r="AB474" i="2"/>
  <c r="AA474" i="2"/>
  <c r="Z474" i="2"/>
  <c r="Y474" i="2"/>
  <c r="X474" i="2"/>
  <c r="W474" i="2"/>
  <c r="V474" i="2"/>
  <c r="U474" i="2"/>
  <c r="S474" i="2"/>
  <c r="R474" i="2"/>
  <c r="Q474" i="2"/>
  <c r="P474" i="2"/>
  <c r="O474" i="2"/>
  <c r="N474" i="2"/>
  <c r="M474" i="2"/>
  <c r="L474" i="2"/>
  <c r="K474" i="2"/>
  <c r="J474" i="2"/>
  <c r="I474" i="2"/>
  <c r="H474" i="2"/>
  <c r="G474" i="2"/>
  <c r="F474" i="2"/>
  <c r="E474" i="2"/>
  <c r="D474" i="2"/>
  <c r="C474" i="2"/>
  <c r="A474" i="2"/>
  <c r="AK473" i="2"/>
  <c r="AJ473" i="2"/>
  <c r="AI473" i="2"/>
  <c r="AH473" i="2"/>
  <c r="AG473" i="2"/>
  <c r="AF473" i="2"/>
  <c r="AE473" i="2"/>
  <c r="AC473" i="2"/>
  <c r="AB473" i="2"/>
  <c r="AA473" i="2"/>
  <c r="Z473" i="2"/>
  <c r="Y473" i="2"/>
  <c r="X473" i="2"/>
  <c r="W473" i="2"/>
  <c r="V473" i="2"/>
  <c r="U473" i="2"/>
  <c r="S473" i="2"/>
  <c r="R473" i="2"/>
  <c r="Q473" i="2"/>
  <c r="P473" i="2"/>
  <c r="O473" i="2"/>
  <c r="N473" i="2"/>
  <c r="M473" i="2"/>
  <c r="L473" i="2"/>
  <c r="K473" i="2"/>
  <c r="J473" i="2"/>
  <c r="I473" i="2"/>
  <c r="H473" i="2"/>
  <c r="G473" i="2"/>
  <c r="F473" i="2"/>
  <c r="E473" i="2"/>
  <c r="D473" i="2"/>
  <c r="C473" i="2"/>
  <c r="B473" i="2"/>
  <c r="A473" i="2"/>
  <c r="AK472" i="2"/>
  <c r="AJ472" i="2"/>
  <c r="AI472" i="2"/>
  <c r="AH472" i="2"/>
  <c r="AG472" i="2"/>
  <c r="AF472" i="2"/>
  <c r="AE472" i="2"/>
  <c r="AD472" i="2"/>
  <c r="AC472" i="2"/>
  <c r="AB472" i="2"/>
  <c r="AA472" i="2"/>
  <c r="Z472" i="2"/>
  <c r="Y472" i="2"/>
  <c r="X472" i="2"/>
  <c r="W472" i="2"/>
  <c r="V472" i="2"/>
  <c r="U472" i="2"/>
  <c r="S472" i="2"/>
  <c r="R472" i="2"/>
  <c r="Q472" i="2"/>
  <c r="P472" i="2"/>
  <c r="O472" i="2"/>
  <c r="N472" i="2"/>
  <c r="M472" i="2"/>
  <c r="L472" i="2"/>
  <c r="K472" i="2"/>
  <c r="J472" i="2"/>
  <c r="I472" i="2"/>
  <c r="H472" i="2"/>
  <c r="G472" i="2"/>
  <c r="F472" i="2"/>
  <c r="E472" i="2"/>
  <c r="D472" i="2"/>
  <c r="C472" i="2"/>
  <c r="A472" i="2"/>
  <c r="AL471" i="2"/>
  <c r="AK471" i="2"/>
  <c r="AJ471" i="2"/>
  <c r="AI471" i="2"/>
  <c r="AH471" i="2"/>
  <c r="AG471" i="2"/>
  <c r="AF471" i="2"/>
  <c r="AE471" i="2"/>
  <c r="AC471" i="2"/>
  <c r="AB471" i="2"/>
  <c r="AA471" i="2"/>
  <c r="Z471" i="2"/>
  <c r="Y471" i="2"/>
  <c r="X471" i="2"/>
  <c r="W471" i="2"/>
  <c r="V471" i="2"/>
  <c r="U471" i="2"/>
  <c r="S471" i="2"/>
  <c r="R471" i="2"/>
  <c r="Q471" i="2"/>
  <c r="P471" i="2"/>
  <c r="O471" i="2"/>
  <c r="N471" i="2"/>
  <c r="M471" i="2"/>
  <c r="L471" i="2"/>
  <c r="K471" i="2"/>
  <c r="J471" i="2"/>
  <c r="I471" i="2"/>
  <c r="H471" i="2"/>
  <c r="G471" i="2"/>
  <c r="F471" i="2"/>
  <c r="E471" i="2"/>
  <c r="D471" i="2"/>
  <c r="C471" i="2"/>
  <c r="B471" i="2"/>
  <c r="A471" i="2"/>
  <c r="AK470" i="2"/>
  <c r="AJ470" i="2"/>
  <c r="AI470" i="2"/>
  <c r="AH470" i="2"/>
  <c r="AG470" i="2"/>
  <c r="AF470" i="2"/>
  <c r="AE470" i="2"/>
  <c r="AD470" i="2"/>
  <c r="AC470" i="2"/>
  <c r="AB470" i="2"/>
  <c r="AA470" i="2"/>
  <c r="Z470" i="2"/>
  <c r="Y470" i="2"/>
  <c r="X470" i="2"/>
  <c r="W470" i="2"/>
  <c r="V470" i="2"/>
  <c r="U470" i="2"/>
  <c r="S470" i="2"/>
  <c r="R470" i="2"/>
  <c r="Q470" i="2"/>
  <c r="P470" i="2"/>
  <c r="O470" i="2"/>
  <c r="N470" i="2"/>
  <c r="M470" i="2"/>
  <c r="L470" i="2"/>
  <c r="K470" i="2"/>
  <c r="J470" i="2"/>
  <c r="I470" i="2"/>
  <c r="H470" i="2"/>
  <c r="G470" i="2"/>
  <c r="F470" i="2"/>
  <c r="E470" i="2"/>
  <c r="D470" i="2"/>
  <c r="C470" i="2"/>
  <c r="A470" i="2"/>
  <c r="AK469" i="2"/>
  <c r="AJ469" i="2"/>
  <c r="AI469" i="2"/>
  <c r="AH469" i="2"/>
  <c r="AG469" i="2"/>
  <c r="AF469" i="2"/>
  <c r="AE469" i="2"/>
  <c r="AD469" i="2"/>
  <c r="AC469" i="2"/>
  <c r="AB469" i="2"/>
  <c r="AA469" i="2"/>
  <c r="Z469" i="2"/>
  <c r="Y469" i="2"/>
  <c r="X469" i="2"/>
  <c r="W469" i="2"/>
  <c r="V469" i="2"/>
  <c r="U469" i="2"/>
  <c r="S469" i="2"/>
  <c r="R469" i="2"/>
  <c r="Q469" i="2"/>
  <c r="P469" i="2"/>
  <c r="O469" i="2"/>
  <c r="N469" i="2"/>
  <c r="M469" i="2"/>
  <c r="L469" i="2"/>
  <c r="K469" i="2"/>
  <c r="J469" i="2"/>
  <c r="I469" i="2"/>
  <c r="H469" i="2"/>
  <c r="G469" i="2"/>
  <c r="F469" i="2"/>
  <c r="E469" i="2"/>
  <c r="D469" i="2"/>
  <c r="C469" i="2"/>
  <c r="A469" i="2"/>
  <c r="AL468" i="2"/>
  <c r="AK468" i="2"/>
  <c r="AJ468" i="2"/>
  <c r="AI468" i="2"/>
  <c r="AH468" i="2"/>
  <c r="AG468" i="2"/>
  <c r="AF468" i="2"/>
  <c r="AE468" i="2"/>
  <c r="AD468" i="2"/>
  <c r="AC468" i="2"/>
  <c r="AB468" i="2"/>
  <c r="AA468" i="2"/>
  <c r="Y468" i="2"/>
  <c r="X468" i="2"/>
  <c r="W468" i="2"/>
  <c r="V468" i="2"/>
  <c r="U468" i="2"/>
  <c r="S468" i="2"/>
  <c r="R468" i="2"/>
  <c r="Q468" i="2"/>
  <c r="P468" i="2"/>
  <c r="O468" i="2"/>
  <c r="N468" i="2"/>
  <c r="M468" i="2"/>
  <c r="L468" i="2"/>
  <c r="K468" i="2"/>
  <c r="J468" i="2"/>
  <c r="I468" i="2"/>
  <c r="H468" i="2"/>
  <c r="G468" i="2"/>
  <c r="F468" i="2"/>
  <c r="E468" i="2"/>
  <c r="D468" i="2"/>
  <c r="C468" i="2"/>
  <c r="A468" i="2"/>
  <c r="AK467" i="2"/>
  <c r="AJ467" i="2"/>
  <c r="AI467" i="2"/>
  <c r="AH467" i="2"/>
  <c r="AG467" i="2"/>
  <c r="AF467" i="2"/>
  <c r="AE467" i="2"/>
  <c r="AC467" i="2"/>
  <c r="AB467" i="2"/>
  <c r="AA467" i="2"/>
  <c r="Z467" i="2"/>
  <c r="Y467" i="2"/>
  <c r="X467" i="2"/>
  <c r="W467" i="2"/>
  <c r="V467" i="2"/>
  <c r="U467" i="2"/>
  <c r="S467" i="2"/>
  <c r="R467" i="2"/>
  <c r="Q467" i="2"/>
  <c r="P467" i="2"/>
  <c r="O467" i="2"/>
  <c r="N467" i="2"/>
  <c r="M467" i="2"/>
  <c r="L467" i="2"/>
  <c r="K467" i="2"/>
  <c r="J467" i="2"/>
  <c r="I467" i="2"/>
  <c r="H467" i="2"/>
  <c r="G467" i="2"/>
  <c r="F467" i="2"/>
  <c r="E467" i="2"/>
  <c r="D467" i="2"/>
  <c r="C467" i="2"/>
  <c r="B467" i="2"/>
  <c r="A467" i="2"/>
  <c r="AK466" i="2"/>
  <c r="AJ466" i="2"/>
  <c r="AI466" i="2"/>
  <c r="AH466" i="2"/>
  <c r="AG466" i="2"/>
  <c r="AF466" i="2"/>
  <c r="AE466" i="2"/>
  <c r="AD466" i="2"/>
  <c r="AC466" i="2"/>
  <c r="AB466" i="2"/>
  <c r="AA466" i="2"/>
  <c r="Z466" i="2"/>
  <c r="Y466" i="2"/>
  <c r="X466" i="2"/>
  <c r="W466" i="2"/>
  <c r="V466" i="2"/>
  <c r="U466" i="2"/>
  <c r="S466" i="2"/>
  <c r="R466" i="2"/>
  <c r="Q466" i="2"/>
  <c r="P466" i="2"/>
  <c r="O466" i="2"/>
  <c r="N466" i="2"/>
  <c r="M466" i="2"/>
  <c r="L466" i="2"/>
  <c r="K466" i="2"/>
  <c r="J466" i="2"/>
  <c r="I466" i="2"/>
  <c r="H466" i="2"/>
  <c r="G466" i="2"/>
  <c r="F466" i="2"/>
  <c r="E466" i="2"/>
  <c r="D466" i="2"/>
  <c r="C466" i="2"/>
  <c r="B466" i="2"/>
  <c r="A466" i="2"/>
  <c r="AK465" i="2"/>
  <c r="AJ465" i="2"/>
  <c r="AI465" i="2"/>
  <c r="AH465" i="2"/>
  <c r="AG465" i="2"/>
  <c r="AF465" i="2"/>
  <c r="AE465" i="2"/>
  <c r="AC465" i="2"/>
  <c r="AB465" i="2"/>
  <c r="AA465" i="2"/>
  <c r="Z465" i="2"/>
  <c r="Y465" i="2"/>
  <c r="X465" i="2"/>
  <c r="W465" i="2"/>
  <c r="V465" i="2"/>
  <c r="U465" i="2"/>
  <c r="S465" i="2"/>
  <c r="R465" i="2"/>
  <c r="Q465" i="2"/>
  <c r="P465" i="2"/>
  <c r="O465" i="2"/>
  <c r="N465" i="2"/>
  <c r="M465" i="2"/>
  <c r="L465" i="2"/>
  <c r="K465" i="2"/>
  <c r="J465" i="2"/>
  <c r="I465" i="2"/>
  <c r="H465" i="2"/>
  <c r="G465" i="2"/>
  <c r="F465" i="2"/>
  <c r="E465" i="2"/>
  <c r="D465" i="2"/>
  <c r="C465" i="2"/>
  <c r="A465" i="2"/>
  <c r="AL464" i="2"/>
  <c r="AK464" i="2"/>
  <c r="AJ464" i="2"/>
  <c r="AI464" i="2"/>
  <c r="AH464" i="2"/>
  <c r="AG464" i="2"/>
  <c r="AF464" i="2"/>
  <c r="AE464" i="2"/>
  <c r="AD464" i="2"/>
  <c r="AC464" i="2"/>
  <c r="AB464" i="2"/>
  <c r="AA464" i="2"/>
  <c r="Z464" i="2"/>
  <c r="Y464" i="2"/>
  <c r="X464" i="2"/>
  <c r="W464" i="2"/>
  <c r="V464" i="2"/>
  <c r="U464" i="2"/>
  <c r="S464" i="2"/>
  <c r="R464" i="2"/>
  <c r="Q464" i="2"/>
  <c r="P464" i="2"/>
  <c r="O464" i="2"/>
  <c r="N464" i="2"/>
  <c r="M464" i="2"/>
  <c r="L464" i="2"/>
  <c r="K464" i="2"/>
  <c r="J464" i="2"/>
  <c r="I464" i="2"/>
  <c r="H464" i="2"/>
  <c r="G464" i="2"/>
  <c r="F464" i="2"/>
  <c r="E464" i="2"/>
  <c r="D464" i="2"/>
  <c r="C464" i="2"/>
  <c r="B464" i="2"/>
  <c r="A464" i="2"/>
  <c r="AL463" i="2"/>
  <c r="AK463" i="2"/>
  <c r="AJ463" i="2"/>
  <c r="AI463" i="2"/>
  <c r="AH463" i="2"/>
  <c r="AG463" i="2"/>
  <c r="AF463" i="2"/>
  <c r="AE463" i="2"/>
  <c r="AD463" i="2"/>
  <c r="AC463" i="2"/>
  <c r="AB463" i="2"/>
  <c r="AA463" i="2"/>
  <c r="Z463" i="2"/>
  <c r="Y463" i="2"/>
  <c r="X463" i="2"/>
  <c r="W463" i="2"/>
  <c r="V463" i="2"/>
  <c r="U463" i="2"/>
  <c r="S463" i="2"/>
  <c r="R463" i="2"/>
  <c r="Q463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D463" i="2"/>
  <c r="C463" i="2"/>
  <c r="B463" i="2"/>
  <c r="A463" i="2"/>
  <c r="AL462" i="2"/>
  <c r="AK462" i="2"/>
  <c r="AJ462" i="2"/>
  <c r="AI462" i="2"/>
  <c r="AH462" i="2"/>
  <c r="AG462" i="2"/>
  <c r="AF462" i="2"/>
  <c r="AE462" i="2"/>
  <c r="AD462" i="2"/>
  <c r="AC462" i="2"/>
  <c r="AB462" i="2"/>
  <c r="AA462" i="2"/>
  <c r="Z462" i="2"/>
  <c r="Y462" i="2"/>
  <c r="X462" i="2"/>
  <c r="W462" i="2"/>
  <c r="V462" i="2"/>
  <c r="U462" i="2"/>
  <c r="S462" i="2"/>
  <c r="R462" i="2"/>
  <c r="Q462" i="2"/>
  <c r="P462" i="2"/>
  <c r="O462" i="2"/>
  <c r="N462" i="2"/>
  <c r="M462" i="2"/>
  <c r="L462" i="2"/>
  <c r="K462" i="2"/>
  <c r="J462" i="2"/>
  <c r="I462" i="2"/>
  <c r="H462" i="2"/>
  <c r="G462" i="2"/>
  <c r="F462" i="2"/>
  <c r="E462" i="2"/>
  <c r="D462" i="2"/>
  <c r="C462" i="2"/>
  <c r="A462" i="2"/>
  <c r="AL461" i="2"/>
  <c r="AK461" i="2"/>
  <c r="AJ461" i="2"/>
  <c r="AI461" i="2"/>
  <c r="AH461" i="2"/>
  <c r="AG461" i="2"/>
  <c r="AF461" i="2"/>
  <c r="AE461" i="2"/>
  <c r="AD461" i="2"/>
  <c r="AC461" i="2"/>
  <c r="AB461" i="2"/>
  <c r="AA461" i="2"/>
  <c r="Z461" i="2"/>
  <c r="Y461" i="2"/>
  <c r="X461" i="2"/>
  <c r="W461" i="2"/>
  <c r="V461" i="2"/>
  <c r="U461" i="2"/>
  <c r="S461" i="2"/>
  <c r="R461" i="2"/>
  <c r="Q461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D461" i="2"/>
  <c r="C461" i="2"/>
  <c r="A461" i="2"/>
  <c r="AL460" i="2"/>
  <c r="AK460" i="2"/>
  <c r="AJ460" i="2"/>
  <c r="AI460" i="2"/>
  <c r="AH460" i="2"/>
  <c r="AG460" i="2"/>
  <c r="AF460" i="2"/>
  <c r="AE460" i="2"/>
  <c r="AD460" i="2"/>
  <c r="AC460" i="2"/>
  <c r="AB460" i="2"/>
  <c r="AA460" i="2"/>
  <c r="Z460" i="2"/>
  <c r="Y460" i="2"/>
  <c r="X460" i="2"/>
  <c r="W460" i="2"/>
  <c r="V460" i="2"/>
  <c r="U460" i="2"/>
  <c r="S460" i="2"/>
  <c r="R460" i="2"/>
  <c r="Q460" i="2"/>
  <c r="P460" i="2"/>
  <c r="O460" i="2"/>
  <c r="N460" i="2"/>
  <c r="M460" i="2"/>
  <c r="L460" i="2"/>
  <c r="K460" i="2"/>
  <c r="J460" i="2"/>
  <c r="I460" i="2"/>
  <c r="H460" i="2"/>
  <c r="G460" i="2"/>
  <c r="F460" i="2"/>
  <c r="E460" i="2"/>
  <c r="D460" i="2"/>
  <c r="C460" i="2"/>
  <c r="B460" i="2"/>
  <c r="A460" i="2"/>
  <c r="AK459" i="2"/>
  <c r="AJ459" i="2"/>
  <c r="AI459" i="2"/>
  <c r="AH459" i="2"/>
  <c r="AG459" i="2"/>
  <c r="AF459" i="2"/>
  <c r="AE459" i="2"/>
  <c r="AD459" i="2"/>
  <c r="AC459" i="2"/>
  <c r="AB459" i="2"/>
  <c r="AA459" i="2"/>
  <c r="Z459" i="2"/>
  <c r="Y459" i="2"/>
  <c r="X459" i="2"/>
  <c r="W459" i="2"/>
  <c r="V459" i="2"/>
  <c r="U459" i="2"/>
  <c r="S459" i="2"/>
  <c r="R459" i="2"/>
  <c r="Q459" i="2"/>
  <c r="P459" i="2"/>
  <c r="O459" i="2"/>
  <c r="N459" i="2"/>
  <c r="M459" i="2"/>
  <c r="L459" i="2"/>
  <c r="K459" i="2"/>
  <c r="J459" i="2"/>
  <c r="I459" i="2"/>
  <c r="H459" i="2"/>
  <c r="G459" i="2"/>
  <c r="F459" i="2"/>
  <c r="E459" i="2"/>
  <c r="D459" i="2"/>
  <c r="C459" i="2"/>
  <c r="A459" i="2"/>
  <c r="AK458" i="2"/>
  <c r="AJ458" i="2"/>
  <c r="AI458" i="2"/>
  <c r="AH458" i="2"/>
  <c r="AG458" i="2"/>
  <c r="AF458" i="2"/>
  <c r="AE458" i="2"/>
  <c r="AD458" i="2"/>
  <c r="AC458" i="2"/>
  <c r="AB458" i="2"/>
  <c r="AA458" i="2"/>
  <c r="Z458" i="2"/>
  <c r="Y458" i="2"/>
  <c r="X458" i="2"/>
  <c r="W458" i="2"/>
  <c r="V458" i="2"/>
  <c r="U458" i="2"/>
  <c r="S458" i="2"/>
  <c r="R458" i="2"/>
  <c r="Q458" i="2"/>
  <c r="P458" i="2"/>
  <c r="O458" i="2"/>
  <c r="N458" i="2"/>
  <c r="M458" i="2"/>
  <c r="L458" i="2"/>
  <c r="K458" i="2"/>
  <c r="J458" i="2"/>
  <c r="I458" i="2"/>
  <c r="H458" i="2"/>
  <c r="G458" i="2"/>
  <c r="F458" i="2"/>
  <c r="E458" i="2"/>
  <c r="D458" i="2"/>
  <c r="C458" i="2"/>
  <c r="B458" i="2"/>
  <c r="A458" i="2"/>
  <c r="AK457" i="2"/>
  <c r="AJ457" i="2"/>
  <c r="AI457" i="2"/>
  <c r="AG457" i="2"/>
  <c r="AF457" i="2"/>
  <c r="AE457" i="2"/>
  <c r="AC457" i="2"/>
  <c r="AB457" i="2"/>
  <c r="AA457" i="2"/>
  <c r="X457" i="2"/>
  <c r="W457" i="2"/>
  <c r="V457" i="2"/>
  <c r="U457" i="2"/>
  <c r="R457" i="2"/>
  <c r="Q457" i="2"/>
  <c r="P457" i="2"/>
  <c r="O457" i="2"/>
  <c r="N457" i="2"/>
  <c r="M457" i="2"/>
  <c r="L457" i="2"/>
  <c r="K457" i="2"/>
  <c r="J457" i="2"/>
  <c r="I457" i="2"/>
  <c r="H457" i="2"/>
  <c r="G457" i="2"/>
  <c r="F457" i="2"/>
  <c r="E457" i="2"/>
  <c r="D457" i="2"/>
  <c r="C457" i="2"/>
  <c r="A457" i="2"/>
  <c r="AL456" i="2"/>
  <c r="AK456" i="2"/>
  <c r="AJ456" i="2"/>
  <c r="AI456" i="2"/>
  <c r="AG456" i="2"/>
  <c r="AF456" i="2"/>
  <c r="AE456" i="2"/>
  <c r="AC456" i="2"/>
  <c r="AB456" i="2"/>
  <c r="AA456" i="2"/>
  <c r="X456" i="2"/>
  <c r="W456" i="2"/>
  <c r="V456" i="2"/>
  <c r="U456" i="2"/>
  <c r="R456" i="2"/>
  <c r="Q456" i="2"/>
  <c r="P456" i="2"/>
  <c r="O456" i="2"/>
  <c r="N456" i="2"/>
  <c r="M456" i="2"/>
  <c r="L456" i="2"/>
  <c r="K456" i="2"/>
  <c r="J456" i="2"/>
  <c r="I456" i="2"/>
  <c r="H456" i="2"/>
  <c r="G456" i="2"/>
  <c r="F456" i="2"/>
  <c r="E456" i="2"/>
  <c r="D456" i="2"/>
  <c r="C456" i="2"/>
  <c r="B456" i="2"/>
  <c r="A456" i="2"/>
  <c r="AL455" i="2"/>
  <c r="AK455" i="2"/>
  <c r="AJ455" i="2"/>
  <c r="AI455" i="2"/>
  <c r="AH455" i="2"/>
  <c r="AG455" i="2"/>
  <c r="AF455" i="2"/>
  <c r="AE455" i="2"/>
  <c r="AD455" i="2"/>
  <c r="AC455" i="2"/>
  <c r="AB455" i="2"/>
  <c r="AA455" i="2"/>
  <c r="Z455" i="2"/>
  <c r="Y455" i="2"/>
  <c r="X455" i="2"/>
  <c r="W455" i="2"/>
  <c r="V455" i="2"/>
  <c r="U455" i="2"/>
  <c r="S455" i="2"/>
  <c r="R455" i="2"/>
  <c r="Q455" i="2"/>
  <c r="P455" i="2"/>
  <c r="O455" i="2"/>
  <c r="N455" i="2"/>
  <c r="M455" i="2"/>
  <c r="L455" i="2"/>
  <c r="K455" i="2"/>
  <c r="J455" i="2"/>
  <c r="I455" i="2"/>
  <c r="H455" i="2"/>
  <c r="G455" i="2"/>
  <c r="F455" i="2"/>
  <c r="E455" i="2"/>
  <c r="D455" i="2"/>
  <c r="C455" i="2"/>
  <c r="A455" i="2"/>
  <c r="AK454" i="2"/>
  <c r="AJ454" i="2"/>
  <c r="AI454" i="2"/>
  <c r="AH454" i="2"/>
  <c r="AG454" i="2"/>
  <c r="AF454" i="2"/>
  <c r="AE454" i="2"/>
  <c r="AD454" i="2"/>
  <c r="AC454" i="2"/>
  <c r="AB454" i="2"/>
  <c r="AA454" i="2"/>
  <c r="Z454" i="2"/>
  <c r="Y454" i="2"/>
  <c r="X454" i="2"/>
  <c r="W454" i="2"/>
  <c r="V454" i="2"/>
  <c r="U454" i="2"/>
  <c r="S454" i="2"/>
  <c r="R454" i="2"/>
  <c r="Q454" i="2"/>
  <c r="P454" i="2"/>
  <c r="O454" i="2"/>
  <c r="N454" i="2"/>
  <c r="M454" i="2"/>
  <c r="L454" i="2"/>
  <c r="K454" i="2"/>
  <c r="J454" i="2"/>
  <c r="I454" i="2"/>
  <c r="H454" i="2"/>
  <c r="G454" i="2"/>
  <c r="F454" i="2"/>
  <c r="E454" i="2"/>
  <c r="D454" i="2"/>
  <c r="C454" i="2"/>
  <c r="A454" i="2"/>
  <c r="AL453" i="2"/>
  <c r="AK453" i="2"/>
  <c r="AJ453" i="2"/>
  <c r="AI453" i="2"/>
  <c r="AH453" i="2"/>
  <c r="AG453" i="2"/>
  <c r="AF453" i="2"/>
  <c r="AE453" i="2"/>
  <c r="AD453" i="2"/>
  <c r="AC453" i="2"/>
  <c r="AB453" i="2"/>
  <c r="AA453" i="2"/>
  <c r="Z453" i="2"/>
  <c r="Y453" i="2"/>
  <c r="X453" i="2"/>
  <c r="W453" i="2"/>
  <c r="V453" i="2"/>
  <c r="U453" i="2"/>
  <c r="S453" i="2"/>
  <c r="R453" i="2"/>
  <c r="Q453" i="2"/>
  <c r="P453" i="2"/>
  <c r="O453" i="2"/>
  <c r="N453" i="2"/>
  <c r="M453" i="2"/>
  <c r="L453" i="2"/>
  <c r="K453" i="2"/>
  <c r="J453" i="2"/>
  <c r="I453" i="2"/>
  <c r="H453" i="2"/>
  <c r="G453" i="2"/>
  <c r="F453" i="2"/>
  <c r="E453" i="2"/>
  <c r="D453" i="2"/>
  <c r="C453" i="2"/>
  <c r="A453" i="2"/>
  <c r="AK452" i="2"/>
  <c r="AJ452" i="2"/>
  <c r="AI452" i="2"/>
  <c r="AH452" i="2"/>
  <c r="AG452" i="2"/>
  <c r="AF452" i="2"/>
  <c r="AE452" i="2"/>
  <c r="AD452" i="2"/>
  <c r="AC452" i="2"/>
  <c r="AB452" i="2"/>
  <c r="AA452" i="2"/>
  <c r="Z452" i="2"/>
  <c r="Y452" i="2"/>
  <c r="X452" i="2"/>
  <c r="W452" i="2"/>
  <c r="V452" i="2"/>
  <c r="U452" i="2"/>
  <c r="S452" i="2"/>
  <c r="R452" i="2"/>
  <c r="Q452" i="2"/>
  <c r="P452" i="2"/>
  <c r="O452" i="2"/>
  <c r="N452" i="2"/>
  <c r="M452" i="2"/>
  <c r="L452" i="2"/>
  <c r="K452" i="2"/>
  <c r="J452" i="2"/>
  <c r="I452" i="2"/>
  <c r="H452" i="2"/>
  <c r="G452" i="2"/>
  <c r="F452" i="2"/>
  <c r="E452" i="2"/>
  <c r="D452" i="2"/>
  <c r="C452" i="2"/>
  <c r="A452" i="2"/>
  <c r="AK451" i="2"/>
  <c r="AJ451" i="2"/>
  <c r="AI451" i="2"/>
  <c r="AH451" i="2"/>
  <c r="AG451" i="2"/>
  <c r="AF451" i="2"/>
  <c r="AE451" i="2"/>
  <c r="AD451" i="2"/>
  <c r="AC451" i="2"/>
  <c r="AB451" i="2"/>
  <c r="AA451" i="2"/>
  <c r="Z451" i="2"/>
  <c r="Y451" i="2"/>
  <c r="X451" i="2"/>
  <c r="W451" i="2"/>
  <c r="V451" i="2"/>
  <c r="U451" i="2"/>
  <c r="S451" i="2"/>
  <c r="R451" i="2"/>
  <c r="Q451" i="2"/>
  <c r="P451" i="2"/>
  <c r="O451" i="2"/>
  <c r="N451" i="2"/>
  <c r="M451" i="2"/>
  <c r="L451" i="2"/>
  <c r="K451" i="2"/>
  <c r="J451" i="2"/>
  <c r="I451" i="2"/>
  <c r="H451" i="2"/>
  <c r="G451" i="2"/>
  <c r="F451" i="2"/>
  <c r="E451" i="2"/>
  <c r="D451" i="2"/>
  <c r="C451" i="2"/>
  <c r="A451" i="2"/>
  <c r="AK450" i="2"/>
  <c r="AJ450" i="2"/>
  <c r="AI450" i="2"/>
  <c r="AH450" i="2"/>
  <c r="AG450" i="2"/>
  <c r="AF450" i="2"/>
  <c r="AE450" i="2"/>
  <c r="AD450" i="2"/>
  <c r="AC450" i="2"/>
  <c r="AB450" i="2"/>
  <c r="AA450" i="2"/>
  <c r="Y450" i="2"/>
  <c r="X450" i="2"/>
  <c r="W450" i="2"/>
  <c r="V450" i="2"/>
  <c r="U450" i="2"/>
  <c r="S450" i="2"/>
  <c r="R450" i="2"/>
  <c r="Q450" i="2"/>
  <c r="P450" i="2"/>
  <c r="O450" i="2"/>
  <c r="N450" i="2"/>
  <c r="M450" i="2"/>
  <c r="L450" i="2"/>
  <c r="K450" i="2"/>
  <c r="J450" i="2"/>
  <c r="I450" i="2"/>
  <c r="H450" i="2"/>
  <c r="G450" i="2"/>
  <c r="F450" i="2"/>
  <c r="E450" i="2"/>
  <c r="D450" i="2"/>
  <c r="C450" i="2"/>
  <c r="A450" i="2"/>
  <c r="AL449" i="2"/>
  <c r="AK449" i="2"/>
  <c r="AJ449" i="2"/>
  <c r="AI449" i="2"/>
  <c r="AH449" i="2"/>
  <c r="AG449" i="2"/>
  <c r="AF449" i="2"/>
  <c r="AE449" i="2"/>
  <c r="AD449" i="2"/>
  <c r="AC449" i="2"/>
  <c r="AB449" i="2"/>
  <c r="AA449" i="2"/>
  <c r="Z449" i="2"/>
  <c r="Y449" i="2"/>
  <c r="X449" i="2"/>
  <c r="W449" i="2"/>
  <c r="V449" i="2"/>
  <c r="U449" i="2"/>
  <c r="S449" i="2"/>
  <c r="R449" i="2"/>
  <c r="Q449" i="2"/>
  <c r="P449" i="2"/>
  <c r="O449" i="2"/>
  <c r="N449" i="2"/>
  <c r="M449" i="2"/>
  <c r="L449" i="2"/>
  <c r="K449" i="2"/>
  <c r="J449" i="2"/>
  <c r="I449" i="2"/>
  <c r="H449" i="2"/>
  <c r="G449" i="2"/>
  <c r="F449" i="2"/>
  <c r="E449" i="2"/>
  <c r="D449" i="2"/>
  <c r="C449" i="2"/>
  <c r="B449" i="2"/>
  <c r="A449" i="2"/>
  <c r="AL448" i="2"/>
  <c r="AK448" i="2"/>
  <c r="AJ448" i="2"/>
  <c r="AI448" i="2"/>
  <c r="AG448" i="2"/>
  <c r="AF448" i="2"/>
  <c r="AE448" i="2"/>
  <c r="AC448" i="2"/>
  <c r="AB448" i="2"/>
  <c r="AA448" i="2"/>
  <c r="X448" i="2"/>
  <c r="W448" i="2"/>
  <c r="V448" i="2"/>
  <c r="U448" i="2"/>
  <c r="R448" i="2"/>
  <c r="Q448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D448" i="2"/>
  <c r="C448" i="2"/>
  <c r="A448" i="2"/>
  <c r="AK447" i="2"/>
  <c r="AJ447" i="2"/>
  <c r="AI447" i="2"/>
  <c r="AH447" i="2"/>
  <c r="AG447" i="2"/>
  <c r="AF447" i="2"/>
  <c r="AE447" i="2"/>
  <c r="AD447" i="2"/>
  <c r="AC447" i="2"/>
  <c r="AB447" i="2"/>
  <c r="AA447" i="2"/>
  <c r="Z447" i="2"/>
  <c r="Y447" i="2"/>
  <c r="X447" i="2"/>
  <c r="W447" i="2"/>
  <c r="V447" i="2"/>
  <c r="U447" i="2"/>
  <c r="S447" i="2"/>
  <c r="R447" i="2"/>
  <c r="Q447" i="2"/>
  <c r="P447" i="2"/>
  <c r="O447" i="2"/>
  <c r="N447" i="2"/>
  <c r="M447" i="2"/>
  <c r="L447" i="2"/>
  <c r="K447" i="2"/>
  <c r="J447" i="2"/>
  <c r="I447" i="2"/>
  <c r="H447" i="2"/>
  <c r="G447" i="2"/>
  <c r="F447" i="2"/>
  <c r="E447" i="2"/>
  <c r="D447" i="2"/>
  <c r="C447" i="2"/>
  <c r="B447" i="2"/>
  <c r="A447" i="2"/>
  <c r="AK446" i="2"/>
  <c r="AJ446" i="2"/>
  <c r="AI446" i="2"/>
  <c r="AH446" i="2"/>
  <c r="AG446" i="2"/>
  <c r="AF446" i="2"/>
  <c r="AE446" i="2"/>
  <c r="AD446" i="2"/>
  <c r="AC446" i="2"/>
  <c r="AB446" i="2"/>
  <c r="AA446" i="2"/>
  <c r="Z446" i="2"/>
  <c r="Y446" i="2"/>
  <c r="X446" i="2"/>
  <c r="W446" i="2"/>
  <c r="V446" i="2"/>
  <c r="U446" i="2"/>
  <c r="S446" i="2"/>
  <c r="R446" i="2"/>
  <c r="Q446" i="2"/>
  <c r="P446" i="2"/>
  <c r="O446" i="2"/>
  <c r="N446" i="2"/>
  <c r="M446" i="2"/>
  <c r="L446" i="2"/>
  <c r="K446" i="2"/>
  <c r="J446" i="2"/>
  <c r="I446" i="2"/>
  <c r="H446" i="2"/>
  <c r="G446" i="2"/>
  <c r="F446" i="2"/>
  <c r="E446" i="2"/>
  <c r="D446" i="2"/>
  <c r="C446" i="2"/>
  <c r="A446" i="2"/>
  <c r="AL445" i="2"/>
  <c r="AK445" i="2"/>
  <c r="AJ445" i="2"/>
  <c r="AI445" i="2"/>
  <c r="AH445" i="2"/>
  <c r="AG445" i="2"/>
  <c r="AF445" i="2"/>
  <c r="AE445" i="2"/>
  <c r="AD445" i="2"/>
  <c r="AC445" i="2"/>
  <c r="AB445" i="2"/>
  <c r="AA445" i="2"/>
  <c r="Z445" i="2"/>
  <c r="Y445" i="2"/>
  <c r="X445" i="2"/>
  <c r="W445" i="2"/>
  <c r="V445" i="2"/>
  <c r="U445" i="2"/>
  <c r="S445" i="2"/>
  <c r="R445" i="2"/>
  <c r="Q445" i="2"/>
  <c r="P445" i="2"/>
  <c r="O445" i="2"/>
  <c r="N445" i="2"/>
  <c r="M445" i="2"/>
  <c r="L445" i="2"/>
  <c r="K445" i="2"/>
  <c r="J445" i="2"/>
  <c r="I445" i="2"/>
  <c r="H445" i="2"/>
  <c r="G445" i="2"/>
  <c r="F445" i="2"/>
  <c r="E445" i="2"/>
  <c r="D445" i="2"/>
  <c r="C445" i="2"/>
  <c r="B445" i="2"/>
  <c r="A445" i="2"/>
  <c r="AK444" i="2"/>
  <c r="AJ444" i="2"/>
  <c r="AI444" i="2"/>
  <c r="AG444" i="2"/>
  <c r="AF444" i="2"/>
  <c r="AE444" i="2"/>
  <c r="AC444" i="2"/>
  <c r="AB444" i="2"/>
  <c r="AA444" i="2"/>
  <c r="X444" i="2"/>
  <c r="W444" i="2"/>
  <c r="V444" i="2"/>
  <c r="U444" i="2"/>
  <c r="R444" i="2"/>
  <c r="Q444" i="2"/>
  <c r="P444" i="2"/>
  <c r="O444" i="2"/>
  <c r="N444" i="2"/>
  <c r="M444" i="2"/>
  <c r="L444" i="2"/>
  <c r="K444" i="2"/>
  <c r="J444" i="2"/>
  <c r="I444" i="2"/>
  <c r="H444" i="2"/>
  <c r="G444" i="2"/>
  <c r="F444" i="2"/>
  <c r="E444" i="2"/>
  <c r="D444" i="2"/>
  <c r="C444" i="2"/>
  <c r="A444" i="2"/>
  <c r="AK443" i="2"/>
  <c r="AJ443" i="2"/>
  <c r="AI443" i="2"/>
  <c r="AH443" i="2"/>
  <c r="AG443" i="2"/>
  <c r="AF443" i="2"/>
  <c r="AE443" i="2"/>
  <c r="AD443" i="2"/>
  <c r="AC443" i="2"/>
  <c r="AB443" i="2"/>
  <c r="AA443" i="2"/>
  <c r="Z443" i="2"/>
  <c r="Y443" i="2"/>
  <c r="X443" i="2"/>
  <c r="W443" i="2"/>
  <c r="V443" i="2"/>
  <c r="U443" i="2"/>
  <c r="S443" i="2"/>
  <c r="R443" i="2"/>
  <c r="Q443" i="2"/>
  <c r="P443" i="2"/>
  <c r="O443" i="2"/>
  <c r="N443" i="2"/>
  <c r="M443" i="2"/>
  <c r="L443" i="2"/>
  <c r="K443" i="2"/>
  <c r="J443" i="2"/>
  <c r="I443" i="2"/>
  <c r="H443" i="2"/>
  <c r="G443" i="2"/>
  <c r="F443" i="2"/>
  <c r="E443" i="2"/>
  <c r="D443" i="2"/>
  <c r="C443" i="2"/>
  <c r="B443" i="2"/>
  <c r="A443" i="2"/>
  <c r="AK442" i="2"/>
  <c r="AJ442" i="2"/>
  <c r="AI442" i="2"/>
  <c r="AG442" i="2"/>
  <c r="AF442" i="2"/>
  <c r="AE442" i="2"/>
  <c r="AC442" i="2"/>
  <c r="AB442" i="2"/>
  <c r="AA442" i="2"/>
  <c r="X442" i="2"/>
  <c r="W442" i="2"/>
  <c r="V442" i="2"/>
  <c r="U442" i="2"/>
  <c r="R442" i="2"/>
  <c r="Q442" i="2"/>
  <c r="P442" i="2"/>
  <c r="O442" i="2"/>
  <c r="N442" i="2"/>
  <c r="M442" i="2"/>
  <c r="L442" i="2"/>
  <c r="K442" i="2"/>
  <c r="J442" i="2"/>
  <c r="I442" i="2"/>
  <c r="H442" i="2"/>
  <c r="G442" i="2"/>
  <c r="F442" i="2"/>
  <c r="E442" i="2"/>
  <c r="D442" i="2"/>
  <c r="C442" i="2"/>
  <c r="A442" i="2"/>
  <c r="AL441" i="2"/>
  <c r="AK441" i="2"/>
  <c r="AJ441" i="2"/>
  <c r="AI441" i="2"/>
  <c r="AH441" i="2"/>
  <c r="AG441" i="2"/>
  <c r="AF441" i="2"/>
  <c r="AE441" i="2"/>
  <c r="AD441" i="2"/>
  <c r="AC441" i="2"/>
  <c r="AB441" i="2"/>
  <c r="AA441" i="2"/>
  <c r="Z441" i="2"/>
  <c r="Y441" i="2"/>
  <c r="X441" i="2"/>
  <c r="W441" i="2"/>
  <c r="V441" i="2"/>
  <c r="U441" i="2"/>
  <c r="S441" i="2"/>
  <c r="R441" i="2"/>
  <c r="Q441" i="2"/>
  <c r="P441" i="2"/>
  <c r="O441" i="2"/>
  <c r="N441" i="2"/>
  <c r="M441" i="2"/>
  <c r="L441" i="2"/>
  <c r="K441" i="2"/>
  <c r="J441" i="2"/>
  <c r="I441" i="2"/>
  <c r="H441" i="2"/>
  <c r="G441" i="2"/>
  <c r="F441" i="2"/>
  <c r="E441" i="2"/>
  <c r="D441" i="2"/>
  <c r="C441" i="2"/>
  <c r="A441" i="2"/>
  <c r="AK440" i="2"/>
  <c r="AJ440" i="2"/>
  <c r="AI440" i="2"/>
  <c r="AH440" i="2"/>
  <c r="AG440" i="2"/>
  <c r="AF440" i="2"/>
  <c r="AE440" i="2"/>
  <c r="AD440" i="2"/>
  <c r="AC440" i="2"/>
  <c r="AB440" i="2"/>
  <c r="AA440" i="2"/>
  <c r="Z440" i="2"/>
  <c r="Y440" i="2"/>
  <c r="X440" i="2"/>
  <c r="W440" i="2"/>
  <c r="V440" i="2"/>
  <c r="U440" i="2"/>
  <c r="S440" i="2"/>
  <c r="R440" i="2"/>
  <c r="Q440" i="2"/>
  <c r="P440" i="2"/>
  <c r="O440" i="2"/>
  <c r="N440" i="2"/>
  <c r="M440" i="2"/>
  <c r="L440" i="2"/>
  <c r="K440" i="2"/>
  <c r="J440" i="2"/>
  <c r="I440" i="2"/>
  <c r="H440" i="2"/>
  <c r="G440" i="2"/>
  <c r="F440" i="2"/>
  <c r="E440" i="2"/>
  <c r="D440" i="2"/>
  <c r="C440" i="2"/>
  <c r="A440" i="2"/>
  <c r="AL439" i="2"/>
  <c r="AK439" i="2"/>
  <c r="AJ439" i="2"/>
  <c r="AI439" i="2"/>
  <c r="AH439" i="2"/>
  <c r="AG439" i="2"/>
  <c r="AF439" i="2"/>
  <c r="AE439" i="2"/>
  <c r="AD439" i="2"/>
  <c r="AC439" i="2"/>
  <c r="AB439" i="2"/>
  <c r="AA439" i="2"/>
  <c r="Z439" i="2"/>
  <c r="Y439" i="2"/>
  <c r="X439" i="2"/>
  <c r="W439" i="2"/>
  <c r="V439" i="2"/>
  <c r="U439" i="2"/>
  <c r="S439" i="2"/>
  <c r="R439" i="2"/>
  <c r="Q439" i="2"/>
  <c r="P439" i="2"/>
  <c r="O439" i="2"/>
  <c r="N439" i="2"/>
  <c r="M439" i="2"/>
  <c r="L439" i="2"/>
  <c r="K439" i="2"/>
  <c r="J439" i="2"/>
  <c r="I439" i="2"/>
  <c r="H439" i="2"/>
  <c r="G439" i="2"/>
  <c r="F439" i="2"/>
  <c r="E439" i="2"/>
  <c r="D439" i="2"/>
  <c r="C439" i="2"/>
  <c r="B439" i="2"/>
  <c r="A439" i="2"/>
  <c r="AK438" i="2"/>
  <c r="AJ438" i="2"/>
  <c r="AI438" i="2"/>
  <c r="AH438" i="2"/>
  <c r="AG438" i="2"/>
  <c r="AF438" i="2"/>
  <c r="AE438" i="2"/>
  <c r="AC438" i="2"/>
  <c r="AB438" i="2"/>
  <c r="AA438" i="2"/>
  <c r="Z438" i="2"/>
  <c r="Y438" i="2"/>
  <c r="X438" i="2"/>
  <c r="W438" i="2"/>
  <c r="V438" i="2"/>
  <c r="U438" i="2"/>
  <c r="S438" i="2"/>
  <c r="R438" i="2"/>
  <c r="Q438" i="2"/>
  <c r="P438" i="2"/>
  <c r="O438" i="2"/>
  <c r="N438" i="2"/>
  <c r="M438" i="2"/>
  <c r="L438" i="2"/>
  <c r="K438" i="2"/>
  <c r="J438" i="2"/>
  <c r="I438" i="2"/>
  <c r="H438" i="2"/>
  <c r="G438" i="2"/>
  <c r="F438" i="2"/>
  <c r="E438" i="2"/>
  <c r="D438" i="2"/>
  <c r="C438" i="2"/>
  <c r="A438" i="2"/>
  <c r="AK437" i="2"/>
  <c r="AJ437" i="2"/>
  <c r="AI437" i="2"/>
  <c r="AH437" i="2"/>
  <c r="AG437" i="2"/>
  <c r="AF437" i="2"/>
  <c r="AE437" i="2"/>
  <c r="AD437" i="2"/>
  <c r="AC437" i="2"/>
  <c r="AB437" i="2"/>
  <c r="AA437" i="2"/>
  <c r="Z437" i="2"/>
  <c r="Y437" i="2"/>
  <c r="X437" i="2"/>
  <c r="W437" i="2"/>
  <c r="V437" i="2"/>
  <c r="U437" i="2"/>
  <c r="S437" i="2"/>
  <c r="R437" i="2"/>
  <c r="Q437" i="2"/>
  <c r="P437" i="2"/>
  <c r="O437" i="2"/>
  <c r="N437" i="2"/>
  <c r="M437" i="2"/>
  <c r="L437" i="2"/>
  <c r="K437" i="2"/>
  <c r="J437" i="2"/>
  <c r="I437" i="2"/>
  <c r="H437" i="2"/>
  <c r="G437" i="2"/>
  <c r="F437" i="2"/>
  <c r="E437" i="2"/>
  <c r="D437" i="2"/>
  <c r="C437" i="2"/>
  <c r="B437" i="2"/>
  <c r="A437" i="2"/>
  <c r="AK436" i="2"/>
  <c r="AJ436" i="2"/>
  <c r="AI436" i="2"/>
  <c r="AH436" i="2"/>
  <c r="AG436" i="2"/>
  <c r="AF436" i="2"/>
  <c r="AE436" i="2"/>
  <c r="AC436" i="2"/>
  <c r="AB436" i="2"/>
  <c r="AA436" i="2"/>
  <c r="Y436" i="2"/>
  <c r="X436" i="2"/>
  <c r="W436" i="2"/>
  <c r="V436" i="2"/>
  <c r="U436" i="2"/>
  <c r="S436" i="2"/>
  <c r="R436" i="2"/>
  <c r="Q436" i="2"/>
  <c r="P436" i="2"/>
  <c r="O436" i="2"/>
  <c r="N436" i="2"/>
  <c r="M436" i="2"/>
  <c r="L436" i="2"/>
  <c r="K436" i="2"/>
  <c r="J436" i="2"/>
  <c r="I436" i="2"/>
  <c r="H436" i="2"/>
  <c r="G436" i="2"/>
  <c r="F436" i="2"/>
  <c r="E436" i="2"/>
  <c r="D436" i="2"/>
  <c r="C436" i="2"/>
  <c r="A436" i="2"/>
  <c r="AL435" i="2"/>
  <c r="AK435" i="2"/>
  <c r="AJ435" i="2"/>
  <c r="AI435" i="2"/>
  <c r="AH435" i="2"/>
  <c r="AG435" i="2"/>
  <c r="AF435" i="2"/>
  <c r="AE435" i="2"/>
  <c r="AD435" i="2"/>
  <c r="AC435" i="2"/>
  <c r="AB435" i="2"/>
  <c r="AA435" i="2"/>
  <c r="Z435" i="2"/>
  <c r="Y435" i="2"/>
  <c r="X435" i="2"/>
  <c r="W435" i="2"/>
  <c r="V435" i="2"/>
  <c r="U435" i="2"/>
  <c r="S435" i="2"/>
  <c r="R435" i="2"/>
  <c r="Q435" i="2"/>
  <c r="P435" i="2"/>
  <c r="O435" i="2"/>
  <c r="N435" i="2"/>
  <c r="M435" i="2"/>
  <c r="L435" i="2"/>
  <c r="K435" i="2"/>
  <c r="J435" i="2"/>
  <c r="I435" i="2"/>
  <c r="H435" i="2"/>
  <c r="G435" i="2"/>
  <c r="F435" i="2"/>
  <c r="E435" i="2"/>
  <c r="D435" i="2"/>
  <c r="C435" i="2"/>
  <c r="A435" i="2"/>
  <c r="AL434" i="2"/>
  <c r="AK434" i="2"/>
  <c r="AJ434" i="2"/>
  <c r="AI434" i="2"/>
  <c r="AH434" i="2"/>
  <c r="AG434" i="2"/>
  <c r="AF434" i="2"/>
  <c r="AE434" i="2"/>
  <c r="AD434" i="2"/>
  <c r="AC434" i="2"/>
  <c r="AB434" i="2"/>
  <c r="AA434" i="2"/>
  <c r="Z434" i="2"/>
  <c r="Y434" i="2"/>
  <c r="X434" i="2"/>
  <c r="W434" i="2"/>
  <c r="V434" i="2"/>
  <c r="U434" i="2"/>
  <c r="S434" i="2"/>
  <c r="R434" i="2"/>
  <c r="Q434" i="2"/>
  <c r="P434" i="2"/>
  <c r="O434" i="2"/>
  <c r="N434" i="2"/>
  <c r="M434" i="2"/>
  <c r="L434" i="2"/>
  <c r="K434" i="2"/>
  <c r="J434" i="2"/>
  <c r="I434" i="2"/>
  <c r="H434" i="2"/>
  <c r="G434" i="2"/>
  <c r="F434" i="2"/>
  <c r="E434" i="2"/>
  <c r="D434" i="2"/>
  <c r="C434" i="2"/>
  <c r="B434" i="2"/>
  <c r="A434" i="2"/>
  <c r="AL433" i="2"/>
  <c r="AK433" i="2"/>
  <c r="AJ433" i="2"/>
  <c r="AI433" i="2"/>
  <c r="AG433" i="2"/>
  <c r="AF433" i="2"/>
  <c r="AE433" i="2"/>
  <c r="AC433" i="2"/>
  <c r="AB433" i="2"/>
  <c r="AA433" i="2"/>
  <c r="X433" i="2"/>
  <c r="W433" i="2"/>
  <c r="V433" i="2"/>
  <c r="U433" i="2"/>
  <c r="R433" i="2"/>
  <c r="Q433" i="2"/>
  <c r="P433" i="2"/>
  <c r="O433" i="2"/>
  <c r="N433" i="2"/>
  <c r="M433" i="2"/>
  <c r="L433" i="2"/>
  <c r="K433" i="2"/>
  <c r="J433" i="2"/>
  <c r="I433" i="2"/>
  <c r="H433" i="2"/>
  <c r="G433" i="2"/>
  <c r="F433" i="2"/>
  <c r="E433" i="2"/>
  <c r="D433" i="2"/>
  <c r="C433" i="2"/>
  <c r="B433" i="2"/>
  <c r="A433" i="2"/>
  <c r="AK432" i="2"/>
  <c r="AJ432" i="2"/>
  <c r="AI432" i="2"/>
  <c r="AH432" i="2"/>
  <c r="AG432" i="2"/>
  <c r="AF432" i="2"/>
  <c r="AE432" i="2"/>
  <c r="AD432" i="2"/>
  <c r="AC432" i="2"/>
  <c r="AB432" i="2"/>
  <c r="AA432" i="2"/>
  <c r="Z432" i="2"/>
  <c r="Y432" i="2"/>
  <c r="X432" i="2"/>
  <c r="W432" i="2"/>
  <c r="V432" i="2"/>
  <c r="U432" i="2"/>
  <c r="S432" i="2"/>
  <c r="R432" i="2"/>
  <c r="Q432" i="2"/>
  <c r="P432" i="2"/>
  <c r="O432" i="2"/>
  <c r="N432" i="2"/>
  <c r="M432" i="2"/>
  <c r="L432" i="2"/>
  <c r="K432" i="2"/>
  <c r="J432" i="2"/>
  <c r="I432" i="2"/>
  <c r="H432" i="2"/>
  <c r="G432" i="2"/>
  <c r="F432" i="2"/>
  <c r="E432" i="2"/>
  <c r="D432" i="2"/>
  <c r="C432" i="2"/>
  <c r="B432" i="2"/>
  <c r="A432" i="2"/>
  <c r="AL431" i="2"/>
  <c r="AK431" i="2"/>
  <c r="AJ431" i="2"/>
  <c r="AI431" i="2"/>
  <c r="AH431" i="2"/>
  <c r="AG431" i="2"/>
  <c r="AF431" i="2"/>
  <c r="AE431" i="2"/>
  <c r="AD431" i="2"/>
  <c r="AC431" i="2"/>
  <c r="AB431" i="2"/>
  <c r="AA431" i="2"/>
  <c r="Z431" i="2"/>
  <c r="Y431" i="2"/>
  <c r="X431" i="2"/>
  <c r="W431" i="2"/>
  <c r="V431" i="2"/>
  <c r="U431" i="2"/>
  <c r="S431" i="2"/>
  <c r="R431" i="2"/>
  <c r="Q431" i="2"/>
  <c r="P431" i="2"/>
  <c r="O431" i="2"/>
  <c r="N431" i="2"/>
  <c r="M431" i="2"/>
  <c r="L431" i="2"/>
  <c r="K431" i="2"/>
  <c r="J431" i="2"/>
  <c r="I431" i="2"/>
  <c r="H431" i="2"/>
  <c r="G431" i="2"/>
  <c r="F431" i="2"/>
  <c r="E431" i="2"/>
  <c r="D431" i="2"/>
  <c r="C431" i="2"/>
  <c r="A431" i="2"/>
  <c r="AL430" i="2"/>
  <c r="AK430" i="2"/>
  <c r="AJ430" i="2"/>
  <c r="AI430" i="2"/>
  <c r="AH430" i="2"/>
  <c r="AG430" i="2"/>
  <c r="AF430" i="2"/>
  <c r="AE430" i="2"/>
  <c r="AD430" i="2"/>
  <c r="AC430" i="2"/>
  <c r="AB430" i="2"/>
  <c r="AA430" i="2"/>
  <c r="Z430" i="2"/>
  <c r="Y430" i="2"/>
  <c r="X430" i="2"/>
  <c r="W430" i="2"/>
  <c r="V430" i="2"/>
  <c r="U430" i="2"/>
  <c r="S430" i="2"/>
  <c r="R430" i="2"/>
  <c r="Q430" i="2"/>
  <c r="P430" i="2"/>
  <c r="O430" i="2"/>
  <c r="N430" i="2"/>
  <c r="M430" i="2"/>
  <c r="L430" i="2"/>
  <c r="K430" i="2"/>
  <c r="J430" i="2"/>
  <c r="I430" i="2"/>
  <c r="H430" i="2"/>
  <c r="G430" i="2"/>
  <c r="F430" i="2"/>
  <c r="E430" i="2"/>
  <c r="D430" i="2"/>
  <c r="C430" i="2"/>
  <c r="A430" i="2"/>
  <c r="AK429" i="2"/>
  <c r="AJ429" i="2"/>
  <c r="AI429" i="2"/>
  <c r="AH429" i="2"/>
  <c r="AG429" i="2"/>
  <c r="AF429" i="2"/>
  <c r="AE429" i="2"/>
  <c r="AD429" i="2"/>
  <c r="AC429" i="2"/>
  <c r="AB429" i="2"/>
  <c r="AA429" i="2"/>
  <c r="Z429" i="2"/>
  <c r="Y429" i="2"/>
  <c r="X429" i="2"/>
  <c r="W429" i="2"/>
  <c r="V429" i="2"/>
  <c r="U429" i="2"/>
  <c r="S429" i="2"/>
  <c r="R429" i="2"/>
  <c r="Q429" i="2"/>
  <c r="P429" i="2"/>
  <c r="O429" i="2"/>
  <c r="N429" i="2"/>
  <c r="M429" i="2"/>
  <c r="L429" i="2"/>
  <c r="K429" i="2"/>
  <c r="J429" i="2"/>
  <c r="I429" i="2"/>
  <c r="H429" i="2"/>
  <c r="G429" i="2"/>
  <c r="F429" i="2"/>
  <c r="E429" i="2"/>
  <c r="D429" i="2"/>
  <c r="C429" i="2"/>
  <c r="B429" i="2"/>
  <c r="A429" i="2"/>
  <c r="AL428" i="2"/>
  <c r="AK428" i="2"/>
  <c r="AJ428" i="2"/>
  <c r="AI428" i="2"/>
  <c r="AH428" i="2"/>
  <c r="AG428" i="2"/>
  <c r="AF428" i="2"/>
  <c r="AE428" i="2"/>
  <c r="AD428" i="2"/>
  <c r="AC428" i="2"/>
  <c r="AB428" i="2"/>
  <c r="AA428" i="2"/>
  <c r="Z428" i="2"/>
  <c r="Y428" i="2"/>
  <c r="X428" i="2"/>
  <c r="W428" i="2"/>
  <c r="V428" i="2"/>
  <c r="U428" i="2"/>
  <c r="S428" i="2"/>
  <c r="R428" i="2"/>
  <c r="Q428" i="2"/>
  <c r="P428" i="2"/>
  <c r="O428" i="2"/>
  <c r="N428" i="2"/>
  <c r="M428" i="2"/>
  <c r="L428" i="2"/>
  <c r="K428" i="2"/>
  <c r="J428" i="2"/>
  <c r="I428" i="2"/>
  <c r="H428" i="2"/>
  <c r="G428" i="2"/>
  <c r="F428" i="2"/>
  <c r="E428" i="2"/>
  <c r="D428" i="2"/>
  <c r="C428" i="2"/>
  <c r="B428" i="2"/>
  <c r="A428" i="2"/>
  <c r="AL427" i="2"/>
  <c r="AK427" i="2"/>
  <c r="AJ427" i="2"/>
  <c r="AI427" i="2"/>
  <c r="AH427" i="2"/>
  <c r="AG427" i="2"/>
  <c r="AF427" i="2"/>
  <c r="AE427" i="2"/>
  <c r="AC427" i="2"/>
  <c r="AB427" i="2"/>
  <c r="AA427" i="2"/>
  <c r="Z427" i="2"/>
  <c r="Y427" i="2"/>
  <c r="X427" i="2"/>
  <c r="W427" i="2"/>
  <c r="V427" i="2"/>
  <c r="U427" i="2"/>
  <c r="S427" i="2"/>
  <c r="R427" i="2"/>
  <c r="Q427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D427" i="2"/>
  <c r="C427" i="2"/>
  <c r="A427" i="2"/>
  <c r="AK426" i="2"/>
  <c r="AJ426" i="2"/>
  <c r="AI426" i="2"/>
  <c r="AH426" i="2"/>
  <c r="AG426" i="2"/>
  <c r="AF426" i="2"/>
  <c r="AE426" i="2"/>
  <c r="AC426" i="2"/>
  <c r="AB426" i="2"/>
  <c r="AA426" i="2"/>
  <c r="Z426" i="2"/>
  <c r="Y426" i="2"/>
  <c r="X426" i="2"/>
  <c r="W426" i="2"/>
  <c r="V426" i="2"/>
  <c r="U426" i="2"/>
  <c r="S426" i="2"/>
  <c r="R426" i="2"/>
  <c r="Q426" i="2"/>
  <c r="P426" i="2"/>
  <c r="O426" i="2"/>
  <c r="N426" i="2"/>
  <c r="M426" i="2"/>
  <c r="L426" i="2"/>
  <c r="K426" i="2"/>
  <c r="J426" i="2"/>
  <c r="I426" i="2"/>
  <c r="H426" i="2"/>
  <c r="G426" i="2"/>
  <c r="F426" i="2"/>
  <c r="E426" i="2"/>
  <c r="D426" i="2"/>
  <c r="C426" i="2"/>
  <c r="A426" i="2"/>
  <c r="AK425" i="2"/>
  <c r="AJ425" i="2"/>
  <c r="AI425" i="2"/>
  <c r="AH425" i="2"/>
  <c r="AG425" i="2"/>
  <c r="AF425" i="2"/>
  <c r="AE425" i="2"/>
  <c r="AD425" i="2"/>
  <c r="AC425" i="2"/>
  <c r="AB425" i="2"/>
  <c r="AA425" i="2"/>
  <c r="Z425" i="2"/>
  <c r="Y425" i="2"/>
  <c r="X425" i="2"/>
  <c r="W425" i="2"/>
  <c r="V425" i="2"/>
  <c r="U425" i="2"/>
  <c r="S425" i="2"/>
  <c r="R425" i="2"/>
  <c r="Q425" i="2"/>
  <c r="P425" i="2"/>
  <c r="O425" i="2"/>
  <c r="N425" i="2"/>
  <c r="M425" i="2"/>
  <c r="L425" i="2"/>
  <c r="K425" i="2"/>
  <c r="J425" i="2"/>
  <c r="I425" i="2"/>
  <c r="H425" i="2"/>
  <c r="G425" i="2"/>
  <c r="F425" i="2"/>
  <c r="E425" i="2"/>
  <c r="D425" i="2"/>
  <c r="C425" i="2"/>
  <c r="A425" i="2"/>
  <c r="AL424" i="2"/>
  <c r="AK424" i="2"/>
  <c r="AJ424" i="2"/>
  <c r="AI424" i="2"/>
  <c r="AH424" i="2"/>
  <c r="AG424" i="2"/>
  <c r="AF424" i="2"/>
  <c r="AE424" i="2"/>
  <c r="AC424" i="2"/>
  <c r="AB424" i="2"/>
  <c r="AA424" i="2"/>
  <c r="Z424" i="2"/>
  <c r="Y424" i="2"/>
  <c r="X424" i="2"/>
  <c r="W424" i="2"/>
  <c r="V424" i="2"/>
  <c r="U424" i="2"/>
  <c r="S424" i="2"/>
  <c r="R424" i="2"/>
  <c r="Q424" i="2"/>
  <c r="P424" i="2"/>
  <c r="O424" i="2"/>
  <c r="N424" i="2"/>
  <c r="M424" i="2"/>
  <c r="L424" i="2"/>
  <c r="K424" i="2"/>
  <c r="J424" i="2"/>
  <c r="I424" i="2"/>
  <c r="H424" i="2"/>
  <c r="G424" i="2"/>
  <c r="F424" i="2"/>
  <c r="E424" i="2"/>
  <c r="D424" i="2"/>
  <c r="C424" i="2"/>
  <c r="A424" i="2"/>
  <c r="AL423" i="2"/>
  <c r="AK423" i="2"/>
  <c r="AJ423" i="2"/>
  <c r="AI423" i="2"/>
  <c r="AH423" i="2"/>
  <c r="AG423" i="2"/>
  <c r="AF423" i="2"/>
  <c r="AE423" i="2"/>
  <c r="AC423" i="2"/>
  <c r="AB423" i="2"/>
  <c r="AA423" i="2"/>
  <c r="Z423" i="2"/>
  <c r="Y423" i="2"/>
  <c r="X423" i="2"/>
  <c r="W423" i="2"/>
  <c r="V423" i="2"/>
  <c r="U423" i="2"/>
  <c r="S423" i="2"/>
  <c r="R423" i="2"/>
  <c r="Q423" i="2"/>
  <c r="P423" i="2"/>
  <c r="O423" i="2"/>
  <c r="N423" i="2"/>
  <c r="M423" i="2"/>
  <c r="L423" i="2"/>
  <c r="K423" i="2"/>
  <c r="J423" i="2"/>
  <c r="I423" i="2"/>
  <c r="H423" i="2"/>
  <c r="G423" i="2"/>
  <c r="F423" i="2"/>
  <c r="E423" i="2"/>
  <c r="D423" i="2"/>
  <c r="C423" i="2"/>
  <c r="B423" i="2"/>
  <c r="A423" i="2"/>
  <c r="AK422" i="2"/>
  <c r="AJ422" i="2"/>
  <c r="AI422" i="2"/>
  <c r="AH422" i="2"/>
  <c r="AG422" i="2"/>
  <c r="AF422" i="2"/>
  <c r="AE422" i="2"/>
  <c r="AD422" i="2"/>
  <c r="AC422" i="2"/>
  <c r="AB422" i="2"/>
  <c r="AA422" i="2"/>
  <c r="Z422" i="2"/>
  <c r="Y422" i="2"/>
  <c r="X422" i="2"/>
  <c r="W422" i="2"/>
  <c r="V422" i="2"/>
  <c r="U422" i="2"/>
  <c r="S422" i="2"/>
  <c r="R422" i="2"/>
  <c r="Q422" i="2"/>
  <c r="P422" i="2"/>
  <c r="O422" i="2"/>
  <c r="N422" i="2"/>
  <c r="M422" i="2"/>
  <c r="L422" i="2"/>
  <c r="K422" i="2"/>
  <c r="J422" i="2"/>
  <c r="I422" i="2"/>
  <c r="H422" i="2"/>
  <c r="G422" i="2"/>
  <c r="F422" i="2"/>
  <c r="E422" i="2"/>
  <c r="D422" i="2"/>
  <c r="C422" i="2"/>
  <c r="B422" i="2"/>
  <c r="A422" i="2"/>
  <c r="AL421" i="2"/>
  <c r="AK421" i="2"/>
  <c r="AJ421" i="2"/>
  <c r="AI421" i="2"/>
  <c r="AH421" i="2"/>
  <c r="AG421" i="2"/>
  <c r="AF421" i="2"/>
  <c r="AE421" i="2"/>
  <c r="AD421" i="2"/>
  <c r="AC421" i="2"/>
  <c r="AB421" i="2"/>
  <c r="AA421" i="2"/>
  <c r="Z421" i="2"/>
  <c r="Y421" i="2"/>
  <c r="X421" i="2"/>
  <c r="W421" i="2"/>
  <c r="V421" i="2"/>
  <c r="U421" i="2"/>
  <c r="S421" i="2"/>
  <c r="R421" i="2"/>
  <c r="Q421" i="2"/>
  <c r="P421" i="2"/>
  <c r="O421" i="2"/>
  <c r="N421" i="2"/>
  <c r="M421" i="2"/>
  <c r="L421" i="2"/>
  <c r="K421" i="2"/>
  <c r="J421" i="2"/>
  <c r="I421" i="2"/>
  <c r="H421" i="2"/>
  <c r="G421" i="2"/>
  <c r="F421" i="2"/>
  <c r="E421" i="2"/>
  <c r="D421" i="2"/>
  <c r="C421" i="2"/>
  <c r="B421" i="2"/>
  <c r="A421" i="2"/>
  <c r="AK420" i="2"/>
  <c r="AJ420" i="2"/>
  <c r="AI420" i="2"/>
  <c r="AH420" i="2"/>
  <c r="AG420" i="2"/>
  <c r="AF420" i="2"/>
  <c r="AE420" i="2"/>
  <c r="AD420" i="2"/>
  <c r="AC420" i="2"/>
  <c r="AB420" i="2"/>
  <c r="AA420" i="2"/>
  <c r="Z420" i="2"/>
  <c r="Y420" i="2"/>
  <c r="X420" i="2"/>
  <c r="W420" i="2"/>
  <c r="V420" i="2"/>
  <c r="U420" i="2"/>
  <c r="S420" i="2"/>
  <c r="R420" i="2"/>
  <c r="Q420" i="2"/>
  <c r="P420" i="2"/>
  <c r="O420" i="2"/>
  <c r="N420" i="2"/>
  <c r="M420" i="2"/>
  <c r="L420" i="2"/>
  <c r="K420" i="2"/>
  <c r="J420" i="2"/>
  <c r="I420" i="2"/>
  <c r="H420" i="2"/>
  <c r="G420" i="2"/>
  <c r="F420" i="2"/>
  <c r="E420" i="2"/>
  <c r="D420" i="2"/>
  <c r="C420" i="2"/>
  <c r="B420" i="2"/>
  <c r="A420" i="2"/>
  <c r="AL419" i="2"/>
  <c r="AK419" i="2"/>
  <c r="AJ419" i="2"/>
  <c r="AI419" i="2"/>
  <c r="AG419" i="2"/>
  <c r="AF419" i="2"/>
  <c r="AE419" i="2"/>
  <c r="AC419" i="2"/>
  <c r="AB419" i="2"/>
  <c r="AA419" i="2"/>
  <c r="X419" i="2"/>
  <c r="W419" i="2"/>
  <c r="V419" i="2"/>
  <c r="U419" i="2"/>
  <c r="R419" i="2"/>
  <c r="Q419" i="2"/>
  <c r="P419" i="2"/>
  <c r="O419" i="2"/>
  <c r="N419" i="2"/>
  <c r="M419" i="2"/>
  <c r="L419" i="2"/>
  <c r="K419" i="2"/>
  <c r="J419" i="2"/>
  <c r="I419" i="2"/>
  <c r="H419" i="2"/>
  <c r="G419" i="2"/>
  <c r="F419" i="2"/>
  <c r="E419" i="2"/>
  <c r="D419" i="2"/>
  <c r="C419" i="2"/>
  <c r="A419" i="2"/>
  <c r="AL418" i="2"/>
  <c r="AK418" i="2"/>
  <c r="AJ418" i="2"/>
  <c r="AI418" i="2"/>
  <c r="AH418" i="2"/>
  <c r="AG418" i="2"/>
  <c r="AF418" i="2"/>
  <c r="AE418" i="2"/>
  <c r="AD418" i="2"/>
  <c r="AC418" i="2"/>
  <c r="AB418" i="2"/>
  <c r="AA418" i="2"/>
  <c r="Z418" i="2"/>
  <c r="Y418" i="2"/>
  <c r="X418" i="2"/>
  <c r="W418" i="2"/>
  <c r="V418" i="2"/>
  <c r="U418" i="2"/>
  <c r="S418" i="2"/>
  <c r="R418" i="2"/>
  <c r="Q418" i="2"/>
  <c r="P418" i="2"/>
  <c r="O418" i="2"/>
  <c r="N418" i="2"/>
  <c r="M418" i="2"/>
  <c r="L418" i="2"/>
  <c r="K418" i="2"/>
  <c r="J418" i="2"/>
  <c r="I418" i="2"/>
  <c r="H418" i="2"/>
  <c r="G418" i="2"/>
  <c r="F418" i="2"/>
  <c r="E418" i="2"/>
  <c r="D418" i="2"/>
  <c r="C418" i="2"/>
  <c r="B418" i="2"/>
  <c r="A418" i="2"/>
  <c r="AL417" i="2"/>
  <c r="AK417" i="2"/>
  <c r="AJ417" i="2"/>
  <c r="AI417" i="2"/>
  <c r="AH417" i="2"/>
  <c r="AG417" i="2"/>
  <c r="AF417" i="2"/>
  <c r="AE417" i="2"/>
  <c r="AD417" i="2"/>
  <c r="AC417" i="2"/>
  <c r="AB417" i="2"/>
  <c r="AA417" i="2"/>
  <c r="Z417" i="2"/>
  <c r="Y417" i="2"/>
  <c r="X417" i="2"/>
  <c r="W417" i="2"/>
  <c r="V417" i="2"/>
  <c r="U417" i="2"/>
  <c r="S417" i="2"/>
  <c r="R417" i="2"/>
  <c r="Q417" i="2"/>
  <c r="P417" i="2"/>
  <c r="O417" i="2"/>
  <c r="N417" i="2"/>
  <c r="M417" i="2"/>
  <c r="L417" i="2"/>
  <c r="K417" i="2"/>
  <c r="J417" i="2"/>
  <c r="I417" i="2"/>
  <c r="H417" i="2"/>
  <c r="G417" i="2"/>
  <c r="F417" i="2"/>
  <c r="E417" i="2"/>
  <c r="D417" i="2"/>
  <c r="C417" i="2"/>
  <c r="A417" i="2"/>
  <c r="AL416" i="2"/>
  <c r="AK416" i="2"/>
  <c r="AJ416" i="2"/>
  <c r="AI416" i="2"/>
  <c r="AH416" i="2"/>
  <c r="AG416" i="2"/>
  <c r="AF416" i="2"/>
  <c r="AE416" i="2"/>
  <c r="AD416" i="2"/>
  <c r="AC416" i="2"/>
  <c r="AB416" i="2"/>
  <c r="AA416" i="2"/>
  <c r="Z416" i="2"/>
  <c r="Y416" i="2"/>
  <c r="X416" i="2"/>
  <c r="W416" i="2"/>
  <c r="V416" i="2"/>
  <c r="U416" i="2"/>
  <c r="S416" i="2"/>
  <c r="R416" i="2"/>
  <c r="Q416" i="2"/>
  <c r="P416" i="2"/>
  <c r="O416" i="2"/>
  <c r="N416" i="2"/>
  <c r="M416" i="2"/>
  <c r="L416" i="2"/>
  <c r="K416" i="2"/>
  <c r="J416" i="2"/>
  <c r="I416" i="2"/>
  <c r="H416" i="2"/>
  <c r="G416" i="2"/>
  <c r="F416" i="2"/>
  <c r="E416" i="2"/>
  <c r="D416" i="2"/>
  <c r="C416" i="2"/>
  <c r="A416" i="2"/>
  <c r="AL415" i="2"/>
  <c r="AK415" i="2"/>
  <c r="AJ415" i="2"/>
  <c r="AI415" i="2"/>
  <c r="AH415" i="2"/>
  <c r="AG415" i="2"/>
  <c r="AF415" i="2"/>
  <c r="AE415" i="2"/>
  <c r="AD415" i="2"/>
  <c r="AC415" i="2"/>
  <c r="AB415" i="2"/>
  <c r="AA415" i="2"/>
  <c r="Z415" i="2"/>
  <c r="Y415" i="2"/>
  <c r="X415" i="2"/>
  <c r="W415" i="2"/>
  <c r="V415" i="2"/>
  <c r="U415" i="2"/>
  <c r="S415" i="2"/>
  <c r="R415" i="2"/>
  <c r="Q415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D415" i="2"/>
  <c r="C415" i="2"/>
  <c r="A415" i="2"/>
  <c r="AL414" i="2"/>
  <c r="AK414" i="2"/>
  <c r="AJ414" i="2"/>
  <c r="AI414" i="2"/>
  <c r="AH414" i="2"/>
  <c r="AG414" i="2"/>
  <c r="AF414" i="2"/>
  <c r="AE414" i="2"/>
  <c r="AD414" i="2"/>
  <c r="AC414" i="2"/>
  <c r="AB414" i="2"/>
  <c r="AA414" i="2"/>
  <c r="Z414" i="2"/>
  <c r="Y414" i="2"/>
  <c r="X414" i="2"/>
  <c r="W414" i="2"/>
  <c r="V414" i="2"/>
  <c r="U414" i="2"/>
  <c r="S414" i="2"/>
  <c r="R414" i="2"/>
  <c r="Q414" i="2"/>
  <c r="P414" i="2"/>
  <c r="O414" i="2"/>
  <c r="N414" i="2"/>
  <c r="M414" i="2"/>
  <c r="L414" i="2"/>
  <c r="K414" i="2"/>
  <c r="J414" i="2"/>
  <c r="I414" i="2"/>
  <c r="H414" i="2"/>
  <c r="G414" i="2"/>
  <c r="F414" i="2"/>
  <c r="E414" i="2"/>
  <c r="D414" i="2"/>
  <c r="C414" i="2"/>
  <c r="B414" i="2"/>
  <c r="A414" i="2"/>
  <c r="AL413" i="2"/>
  <c r="AK413" i="2"/>
  <c r="AJ413" i="2"/>
  <c r="AI413" i="2"/>
  <c r="AH413" i="2"/>
  <c r="AG413" i="2"/>
  <c r="AF413" i="2"/>
  <c r="AE413" i="2"/>
  <c r="AD413" i="2"/>
  <c r="AC413" i="2"/>
  <c r="AB413" i="2"/>
  <c r="AA413" i="2"/>
  <c r="Z413" i="2"/>
  <c r="Y413" i="2"/>
  <c r="X413" i="2"/>
  <c r="W413" i="2"/>
  <c r="V413" i="2"/>
  <c r="U413" i="2"/>
  <c r="S413" i="2"/>
  <c r="R413" i="2"/>
  <c r="Q413" i="2"/>
  <c r="P413" i="2"/>
  <c r="O413" i="2"/>
  <c r="N413" i="2"/>
  <c r="M413" i="2"/>
  <c r="L413" i="2"/>
  <c r="K413" i="2"/>
  <c r="J413" i="2"/>
  <c r="I413" i="2"/>
  <c r="H413" i="2"/>
  <c r="G413" i="2"/>
  <c r="F413" i="2"/>
  <c r="E413" i="2"/>
  <c r="D413" i="2"/>
  <c r="C413" i="2"/>
  <c r="B413" i="2"/>
  <c r="A413" i="2"/>
  <c r="AK412" i="2"/>
  <c r="AJ412" i="2"/>
  <c r="AI412" i="2"/>
  <c r="AH412" i="2"/>
  <c r="AG412" i="2"/>
  <c r="AF412" i="2"/>
  <c r="AE412" i="2"/>
  <c r="AD412" i="2"/>
  <c r="AC412" i="2"/>
  <c r="AB412" i="2"/>
  <c r="AA412" i="2"/>
  <c r="Z412" i="2"/>
  <c r="Y412" i="2"/>
  <c r="X412" i="2"/>
  <c r="W412" i="2"/>
  <c r="V412" i="2"/>
  <c r="U412" i="2"/>
  <c r="S412" i="2"/>
  <c r="R412" i="2"/>
  <c r="Q412" i="2"/>
  <c r="P412" i="2"/>
  <c r="O412" i="2"/>
  <c r="N412" i="2"/>
  <c r="M412" i="2"/>
  <c r="L412" i="2"/>
  <c r="K412" i="2"/>
  <c r="J412" i="2"/>
  <c r="I412" i="2"/>
  <c r="H412" i="2"/>
  <c r="G412" i="2"/>
  <c r="F412" i="2"/>
  <c r="E412" i="2"/>
  <c r="D412" i="2"/>
  <c r="C412" i="2"/>
  <c r="B412" i="2"/>
  <c r="A412" i="2"/>
  <c r="AK411" i="2"/>
  <c r="AJ411" i="2"/>
  <c r="AI411" i="2"/>
  <c r="AH411" i="2"/>
  <c r="AG411" i="2"/>
  <c r="AF411" i="2"/>
  <c r="AE411" i="2"/>
  <c r="AD411" i="2"/>
  <c r="AC411" i="2"/>
  <c r="AB411" i="2"/>
  <c r="AA411" i="2"/>
  <c r="Z411" i="2"/>
  <c r="Y411" i="2"/>
  <c r="X411" i="2"/>
  <c r="W411" i="2"/>
  <c r="V411" i="2"/>
  <c r="U411" i="2"/>
  <c r="S411" i="2"/>
  <c r="R411" i="2"/>
  <c r="Q411" i="2"/>
  <c r="P411" i="2"/>
  <c r="O411" i="2"/>
  <c r="N411" i="2"/>
  <c r="M411" i="2"/>
  <c r="L411" i="2"/>
  <c r="K411" i="2"/>
  <c r="J411" i="2"/>
  <c r="I411" i="2"/>
  <c r="H411" i="2"/>
  <c r="G411" i="2"/>
  <c r="F411" i="2"/>
  <c r="E411" i="2"/>
  <c r="D411" i="2"/>
  <c r="C411" i="2"/>
  <c r="B411" i="2"/>
  <c r="A411" i="2"/>
  <c r="AL410" i="2"/>
  <c r="AK410" i="2"/>
  <c r="AJ410" i="2"/>
  <c r="AI410" i="2"/>
  <c r="AH410" i="2"/>
  <c r="AG410" i="2"/>
  <c r="AF410" i="2"/>
  <c r="AE410" i="2"/>
  <c r="AD410" i="2"/>
  <c r="AC410" i="2"/>
  <c r="AB410" i="2"/>
  <c r="AA410" i="2"/>
  <c r="Z410" i="2"/>
  <c r="X410" i="2"/>
  <c r="W410" i="2"/>
  <c r="V410" i="2"/>
  <c r="U410" i="2"/>
  <c r="S410" i="2"/>
  <c r="R410" i="2"/>
  <c r="Q410" i="2"/>
  <c r="P410" i="2"/>
  <c r="O410" i="2"/>
  <c r="N410" i="2"/>
  <c r="M410" i="2"/>
  <c r="L410" i="2"/>
  <c r="K410" i="2"/>
  <c r="J410" i="2"/>
  <c r="I410" i="2"/>
  <c r="H410" i="2"/>
  <c r="G410" i="2"/>
  <c r="F410" i="2"/>
  <c r="E410" i="2"/>
  <c r="D410" i="2"/>
  <c r="C410" i="2"/>
  <c r="B410" i="2"/>
  <c r="A410" i="2"/>
  <c r="AL409" i="2"/>
  <c r="AK409" i="2"/>
  <c r="AJ409" i="2"/>
  <c r="AI409" i="2"/>
  <c r="AH409" i="2"/>
  <c r="AG409" i="2"/>
  <c r="AF409" i="2"/>
  <c r="AE409" i="2"/>
  <c r="AD409" i="2"/>
  <c r="AC409" i="2"/>
  <c r="AB409" i="2"/>
  <c r="AA409" i="2"/>
  <c r="Z409" i="2"/>
  <c r="Y409" i="2"/>
  <c r="X409" i="2"/>
  <c r="W409" i="2"/>
  <c r="V409" i="2"/>
  <c r="U409" i="2"/>
  <c r="S409" i="2"/>
  <c r="R409" i="2"/>
  <c r="Q409" i="2"/>
  <c r="P409" i="2"/>
  <c r="O409" i="2"/>
  <c r="N409" i="2"/>
  <c r="M409" i="2"/>
  <c r="L409" i="2"/>
  <c r="K409" i="2"/>
  <c r="J409" i="2"/>
  <c r="I409" i="2"/>
  <c r="H409" i="2"/>
  <c r="G409" i="2"/>
  <c r="F409" i="2"/>
  <c r="E409" i="2"/>
  <c r="D409" i="2"/>
  <c r="C409" i="2"/>
  <c r="A409" i="2"/>
  <c r="AK408" i="2"/>
  <c r="AJ408" i="2"/>
  <c r="AI408" i="2"/>
  <c r="AH408" i="2"/>
  <c r="AG408" i="2"/>
  <c r="AF408" i="2"/>
  <c r="AE408" i="2"/>
  <c r="AD408" i="2"/>
  <c r="AC408" i="2"/>
  <c r="AB408" i="2"/>
  <c r="AA408" i="2"/>
  <c r="Z408" i="2"/>
  <c r="Y408" i="2"/>
  <c r="X408" i="2"/>
  <c r="W408" i="2"/>
  <c r="V408" i="2"/>
  <c r="U408" i="2"/>
  <c r="S408" i="2"/>
  <c r="R408" i="2"/>
  <c r="Q408" i="2"/>
  <c r="P408" i="2"/>
  <c r="O408" i="2"/>
  <c r="N408" i="2"/>
  <c r="M408" i="2"/>
  <c r="L408" i="2"/>
  <c r="K408" i="2"/>
  <c r="J408" i="2"/>
  <c r="I408" i="2"/>
  <c r="H408" i="2"/>
  <c r="G408" i="2"/>
  <c r="F408" i="2"/>
  <c r="E408" i="2"/>
  <c r="D408" i="2"/>
  <c r="C408" i="2"/>
  <c r="A408" i="2"/>
  <c r="AL407" i="2"/>
  <c r="AK407" i="2"/>
  <c r="AJ407" i="2"/>
  <c r="AI407" i="2"/>
  <c r="AG407" i="2"/>
  <c r="AF407" i="2"/>
  <c r="AE407" i="2"/>
  <c r="AC407" i="2"/>
  <c r="AB407" i="2"/>
  <c r="AA407" i="2"/>
  <c r="X407" i="2"/>
  <c r="W407" i="2"/>
  <c r="V407" i="2"/>
  <c r="U407" i="2"/>
  <c r="R407" i="2"/>
  <c r="Q407" i="2"/>
  <c r="P407" i="2"/>
  <c r="O407" i="2"/>
  <c r="N407" i="2"/>
  <c r="M407" i="2"/>
  <c r="L407" i="2"/>
  <c r="K407" i="2"/>
  <c r="J407" i="2"/>
  <c r="I407" i="2"/>
  <c r="H407" i="2"/>
  <c r="G407" i="2"/>
  <c r="F407" i="2"/>
  <c r="E407" i="2"/>
  <c r="D407" i="2"/>
  <c r="C407" i="2"/>
  <c r="A407" i="2"/>
  <c r="AL406" i="2"/>
  <c r="AK406" i="2"/>
  <c r="AJ406" i="2"/>
  <c r="AI406" i="2"/>
  <c r="AH406" i="2"/>
  <c r="AG406" i="2"/>
  <c r="AF406" i="2"/>
  <c r="AE406" i="2"/>
  <c r="AD406" i="2"/>
  <c r="AC406" i="2"/>
  <c r="AB406" i="2"/>
  <c r="AA406" i="2"/>
  <c r="Z406" i="2"/>
  <c r="Y406" i="2"/>
  <c r="X406" i="2"/>
  <c r="W406" i="2"/>
  <c r="V406" i="2"/>
  <c r="U406" i="2"/>
  <c r="S406" i="2"/>
  <c r="R406" i="2"/>
  <c r="Q406" i="2"/>
  <c r="P406" i="2"/>
  <c r="O406" i="2"/>
  <c r="N406" i="2"/>
  <c r="M406" i="2"/>
  <c r="L406" i="2"/>
  <c r="K406" i="2"/>
  <c r="J406" i="2"/>
  <c r="I406" i="2"/>
  <c r="H406" i="2"/>
  <c r="G406" i="2"/>
  <c r="F406" i="2"/>
  <c r="E406" i="2"/>
  <c r="D406" i="2"/>
  <c r="C406" i="2"/>
  <c r="A406" i="2"/>
  <c r="AL405" i="2"/>
  <c r="AK405" i="2"/>
  <c r="AJ405" i="2"/>
  <c r="AI405" i="2"/>
  <c r="AH405" i="2"/>
  <c r="AG405" i="2"/>
  <c r="AF405" i="2"/>
  <c r="AE405" i="2"/>
  <c r="AD405" i="2"/>
  <c r="AC405" i="2"/>
  <c r="AB405" i="2"/>
  <c r="AA405" i="2"/>
  <c r="Z405" i="2"/>
  <c r="Y405" i="2"/>
  <c r="X405" i="2"/>
  <c r="W405" i="2"/>
  <c r="V405" i="2"/>
  <c r="U405" i="2"/>
  <c r="S405" i="2"/>
  <c r="R405" i="2"/>
  <c r="Q40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D405" i="2"/>
  <c r="C405" i="2"/>
  <c r="A405" i="2"/>
  <c r="AL404" i="2"/>
  <c r="AK404" i="2"/>
  <c r="AJ404" i="2"/>
  <c r="AI404" i="2"/>
  <c r="AH404" i="2"/>
  <c r="AG404" i="2"/>
  <c r="AF404" i="2"/>
  <c r="AE404" i="2"/>
  <c r="AD404" i="2"/>
  <c r="AC404" i="2"/>
  <c r="AB404" i="2"/>
  <c r="AA404" i="2"/>
  <c r="Z404" i="2"/>
  <c r="Y404" i="2"/>
  <c r="X404" i="2"/>
  <c r="W404" i="2"/>
  <c r="V404" i="2"/>
  <c r="U404" i="2"/>
  <c r="S404" i="2"/>
  <c r="R404" i="2"/>
  <c r="Q404" i="2"/>
  <c r="P404" i="2"/>
  <c r="O404" i="2"/>
  <c r="N404" i="2"/>
  <c r="M404" i="2"/>
  <c r="L404" i="2"/>
  <c r="K404" i="2"/>
  <c r="J404" i="2"/>
  <c r="I404" i="2"/>
  <c r="H404" i="2"/>
  <c r="G404" i="2"/>
  <c r="F404" i="2"/>
  <c r="E404" i="2"/>
  <c r="D404" i="2"/>
  <c r="C404" i="2"/>
  <c r="A404" i="2"/>
  <c r="AK403" i="2"/>
  <c r="AJ403" i="2"/>
  <c r="AI403" i="2"/>
  <c r="AH403" i="2"/>
  <c r="AG403" i="2"/>
  <c r="AF403" i="2"/>
  <c r="AE403" i="2"/>
  <c r="AD403" i="2"/>
  <c r="AC403" i="2"/>
  <c r="AB403" i="2"/>
  <c r="AA403" i="2"/>
  <c r="Z403" i="2"/>
  <c r="Y403" i="2"/>
  <c r="X403" i="2"/>
  <c r="W403" i="2"/>
  <c r="V403" i="2"/>
  <c r="U403" i="2"/>
  <c r="S403" i="2"/>
  <c r="R403" i="2"/>
  <c r="Q403" i="2"/>
  <c r="P403" i="2"/>
  <c r="O403" i="2"/>
  <c r="N403" i="2"/>
  <c r="M403" i="2"/>
  <c r="L403" i="2"/>
  <c r="K403" i="2"/>
  <c r="J403" i="2"/>
  <c r="I403" i="2"/>
  <c r="H403" i="2"/>
  <c r="G403" i="2"/>
  <c r="F403" i="2"/>
  <c r="E403" i="2"/>
  <c r="D403" i="2"/>
  <c r="C403" i="2"/>
  <c r="A403" i="2"/>
  <c r="AK402" i="2"/>
  <c r="AJ402" i="2"/>
  <c r="AI402" i="2"/>
  <c r="AH402" i="2"/>
  <c r="AG402" i="2"/>
  <c r="AF402" i="2"/>
  <c r="AE402" i="2"/>
  <c r="AD402" i="2"/>
  <c r="AC402" i="2"/>
  <c r="AB402" i="2"/>
  <c r="AA402" i="2"/>
  <c r="Z402" i="2"/>
  <c r="Y402" i="2"/>
  <c r="X402" i="2"/>
  <c r="W402" i="2"/>
  <c r="V402" i="2"/>
  <c r="U402" i="2"/>
  <c r="S402" i="2"/>
  <c r="R402" i="2"/>
  <c r="Q402" i="2"/>
  <c r="P402" i="2"/>
  <c r="O402" i="2"/>
  <c r="N402" i="2"/>
  <c r="M402" i="2"/>
  <c r="L402" i="2"/>
  <c r="K402" i="2"/>
  <c r="J402" i="2"/>
  <c r="I402" i="2"/>
  <c r="H402" i="2"/>
  <c r="G402" i="2"/>
  <c r="F402" i="2"/>
  <c r="E402" i="2"/>
  <c r="D402" i="2"/>
  <c r="C402" i="2"/>
  <c r="A402" i="2"/>
  <c r="AL401" i="2"/>
  <c r="AK401" i="2"/>
  <c r="AJ401" i="2"/>
  <c r="AI401" i="2"/>
  <c r="AH401" i="2"/>
  <c r="AG401" i="2"/>
  <c r="AF401" i="2"/>
  <c r="AE401" i="2"/>
  <c r="AD401" i="2"/>
  <c r="AC401" i="2"/>
  <c r="AB401" i="2"/>
  <c r="AA401" i="2"/>
  <c r="Z401" i="2"/>
  <c r="Y401" i="2"/>
  <c r="X401" i="2"/>
  <c r="W401" i="2"/>
  <c r="V401" i="2"/>
  <c r="U401" i="2"/>
  <c r="S401" i="2"/>
  <c r="R401" i="2"/>
  <c r="Q401" i="2"/>
  <c r="P401" i="2"/>
  <c r="O401" i="2"/>
  <c r="N401" i="2"/>
  <c r="M401" i="2"/>
  <c r="L401" i="2"/>
  <c r="K401" i="2"/>
  <c r="J401" i="2"/>
  <c r="I401" i="2"/>
  <c r="H401" i="2"/>
  <c r="G401" i="2"/>
  <c r="F401" i="2"/>
  <c r="E401" i="2"/>
  <c r="D401" i="2"/>
  <c r="C401" i="2"/>
  <c r="B401" i="2"/>
  <c r="A401" i="2"/>
  <c r="AK400" i="2"/>
  <c r="AJ400" i="2"/>
  <c r="AI400" i="2"/>
  <c r="AH400" i="2"/>
  <c r="AG400" i="2"/>
  <c r="AF400" i="2"/>
  <c r="AE400" i="2"/>
  <c r="AD400" i="2"/>
  <c r="AC400" i="2"/>
  <c r="AB400" i="2"/>
  <c r="AA400" i="2"/>
  <c r="Z400" i="2"/>
  <c r="Y400" i="2"/>
  <c r="X400" i="2"/>
  <c r="W400" i="2"/>
  <c r="V400" i="2"/>
  <c r="U400" i="2"/>
  <c r="S400" i="2"/>
  <c r="R400" i="2"/>
  <c r="Q400" i="2"/>
  <c r="P400" i="2"/>
  <c r="O400" i="2"/>
  <c r="N400" i="2"/>
  <c r="M400" i="2"/>
  <c r="L400" i="2"/>
  <c r="K400" i="2"/>
  <c r="J400" i="2"/>
  <c r="I400" i="2"/>
  <c r="H400" i="2"/>
  <c r="G400" i="2"/>
  <c r="F400" i="2"/>
  <c r="E400" i="2"/>
  <c r="D400" i="2"/>
  <c r="C400" i="2"/>
  <c r="A400" i="2"/>
  <c r="AL399" i="2"/>
  <c r="AK399" i="2"/>
  <c r="AJ399" i="2"/>
  <c r="AI399" i="2"/>
  <c r="AH399" i="2"/>
  <c r="AG399" i="2"/>
  <c r="AF399" i="2"/>
  <c r="AE399" i="2"/>
  <c r="AD399" i="2"/>
  <c r="AC399" i="2"/>
  <c r="AB399" i="2"/>
  <c r="AA399" i="2"/>
  <c r="Z399" i="2"/>
  <c r="Y399" i="2"/>
  <c r="X399" i="2"/>
  <c r="W399" i="2"/>
  <c r="V399" i="2"/>
  <c r="U399" i="2"/>
  <c r="S399" i="2"/>
  <c r="R399" i="2"/>
  <c r="Q399" i="2"/>
  <c r="P399" i="2"/>
  <c r="O399" i="2"/>
  <c r="N399" i="2"/>
  <c r="M399" i="2"/>
  <c r="L399" i="2"/>
  <c r="K399" i="2"/>
  <c r="J399" i="2"/>
  <c r="I399" i="2"/>
  <c r="H399" i="2"/>
  <c r="G399" i="2"/>
  <c r="F399" i="2"/>
  <c r="E399" i="2"/>
  <c r="D399" i="2"/>
  <c r="C399" i="2"/>
  <c r="A399" i="2"/>
  <c r="AL398" i="2"/>
  <c r="AK398" i="2"/>
  <c r="AJ398" i="2"/>
  <c r="AI398" i="2"/>
  <c r="AH398" i="2"/>
  <c r="AG398" i="2"/>
  <c r="AF398" i="2"/>
  <c r="AE398" i="2"/>
  <c r="AD398" i="2"/>
  <c r="AC398" i="2"/>
  <c r="AB398" i="2"/>
  <c r="AA398" i="2"/>
  <c r="Z398" i="2"/>
  <c r="Y398" i="2"/>
  <c r="X398" i="2"/>
  <c r="W398" i="2"/>
  <c r="V398" i="2"/>
  <c r="U398" i="2"/>
  <c r="S398" i="2"/>
  <c r="R398" i="2"/>
  <c r="Q398" i="2"/>
  <c r="P398" i="2"/>
  <c r="O398" i="2"/>
  <c r="N398" i="2"/>
  <c r="M398" i="2"/>
  <c r="L398" i="2"/>
  <c r="K398" i="2"/>
  <c r="J398" i="2"/>
  <c r="I398" i="2"/>
  <c r="H398" i="2"/>
  <c r="G398" i="2"/>
  <c r="F398" i="2"/>
  <c r="E398" i="2"/>
  <c r="D398" i="2"/>
  <c r="C398" i="2"/>
  <c r="B398" i="2"/>
  <c r="A398" i="2"/>
  <c r="AK397" i="2"/>
  <c r="AJ397" i="2"/>
  <c r="AI397" i="2"/>
  <c r="AH397" i="2"/>
  <c r="AG397" i="2"/>
  <c r="AF397" i="2"/>
  <c r="AE397" i="2"/>
  <c r="AD397" i="2"/>
  <c r="AC397" i="2"/>
  <c r="AB397" i="2"/>
  <c r="AA397" i="2"/>
  <c r="Z397" i="2"/>
  <c r="Y397" i="2"/>
  <c r="X397" i="2"/>
  <c r="W397" i="2"/>
  <c r="V397" i="2"/>
  <c r="U397" i="2"/>
  <c r="S397" i="2"/>
  <c r="R397" i="2"/>
  <c r="Q397" i="2"/>
  <c r="P397" i="2"/>
  <c r="O397" i="2"/>
  <c r="N397" i="2"/>
  <c r="M397" i="2"/>
  <c r="L397" i="2"/>
  <c r="K397" i="2"/>
  <c r="J397" i="2"/>
  <c r="I397" i="2"/>
  <c r="H397" i="2"/>
  <c r="G397" i="2"/>
  <c r="F397" i="2"/>
  <c r="E397" i="2"/>
  <c r="D397" i="2"/>
  <c r="C397" i="2"/>
  <c r="A397" i="2"/>
  <c r="AL396" i="2"/>
  <c r="AK396" i="2"/>
  <c r="AJ396" i="2"/>
  <c r="AI396" i="2"/>
  <c r="AG396" i="2"/>
  <c r="AF396" i="2"/>
  <c r="AE396" i="2"/>
  <c r="AC396" i="2"/>
  <c r="AB396" i="2"/>
  <c r="AA396" i="2"/>
  <c r="X396" i="2"/>
  <c r="W396" i="2"/>
  <c r="V396" i="2"/>
  <c r="U396" i="2"/>
  <c r="R396" i="2"/>
  <c r="Q396" i="2"/>
  <c r="P396" i="2"/>
  <c r="O396" i="2"/>
  <c r="N396" i="2"/>
  <c r="M396" i="2"/>
  <c r="L396" i="2"/>
  <c r="K396" i="2"/>
  <c r="J396" i="2"/>
  <c r="I396" i="2"/>
  <c r="H396" i="2"/>
  <c r="G396" i="2"/>
  <c r="F396" i="2"/>
  <c r="E396" i="2"/>
  <c r="D396" i="2"/>
  <c r="C396" i="2"/>
  <c r="A396" i="2"/>
  <c r="AL395" i="2"/>
  <c r="AK395" i="2"/>
  <c r="AJ395" i="2"/>
  <c r="AI395" i="2"/>
  <c r="AH395" i="2"/>
  <c r="AG395" i="2"/>
  <c r="AF395" i="2"/>
  <c r="AE395" i="2"/>
  <c r="AD395" i="2"/>
  <c r="AC395" i="2"/>
  <c r="AB395" i="2"/>
  <c r="AA395" i="2"/>
  <c r="Z395" i="2"/>
  <c r="Y395" i="2"/>
  <c r="X395" i="2"/>
  <c r="W395" i="2"/>
  <c r="V395" i="2"/>
  <c r="U395" i="2"/>
  <c r="S395" i="2"/>
  <c r="R395" i="2"/>
  <c r="Q395" i="2"/>
  <c r="P395" i="2"/>
  <c r="O395" i="2"/>
  <c r="N395" i="2"/>
  <c r="M395" i="2"/>
  <c r="L395" i="2"/>
  <c r="K395" i="2"/>
  <c r="J395" i="2"/>
  <c r="I395" i="2"/>
  <c r="H395" i="2"/>
  <c r="G395" i="2"/>
  <c r="F395" i="2"/>
  <c r="E395" i="2"/>
  <c r="D395" i="2"/>
  <c r="C395" i="2"/>
  <c r="A395" i="2"/>
  <c r="AK394" i="2"/>
  <c r="AJ394" i="2"/>
  <c r="AI394" i="2"/>
  <c r="AG394" i="2"/>
  <c r="AF394" i="2"/>
  <c r="AE394" i="2"/>
  <c r="AC394" i="2"/>
  <c r="AB394" i="2"/>
  <c r="AA394" i="2"/>
  <c r="X394" i="2"/>
  <c r="W394" i="2"/>
  <c r="V394" i="2"/>
  <c r="U394" i="2"/>
  <c r="R394" i="2"/>
  <c r="Q394" i="2"/>
  <c r="P394" i="2"/>
  <c r="O394" i="2"/>
  <c r="N394" i="2"/>
  <c r="M394" i="2"/>
  <c r="L394" i="2"/>
  <c r="K394" i="2"/>
  <c r="J394" i="2"/>
  <c r="I394" i="2"/>
  <c r="H394" i="2"/>
  <c r="G394" i="2"/>
  <c r="F394" i="2"/>
  <c r="E394" i="2"/>
  <c r="D394" i="2"/>
  <c r="C394" i="2"/>
  <c r="A394" i="2"/>
  <c r="AL393" i="2"/>
  <c r="AK393" i="2"/>
  <c r="AJ393" i="2"/>
  <c r="AI393" i="2"/>
  <c r="AH393" i="2"/>
  <c r="AG393" i="2"/>
  <c r="AF393" i="2"/>
  <c r="AE393" i="2"/>
  <c r="AD393" i="2"/>
  <c r="AC393" i="2"/>
  <c r="AB393" i="2"/>
  <c r="AA393" i="2"/>
  <c r="Z393" i="2"/>
  <c r="Y393" i="2"/>
  <c r="X393" i="2"/>
  <c r="W393" i="2"/>
  <c r="V393" i="2"/>
  <c r="U393" i="2"/>
  <c r="S393" i="2"/>
  <c r="R393" i="2"/>
  <c r="Q393" i="2"/>
  <c r="P393" i="2"/>
  <c r="O393" i="2"/>
  <c r="N393" i="2"/>
  <c r="M393" i="2"/>
  <c r="L393" i="2"/>
  <c r="K393" i="2"/>
  <c r="J393" i="2"/>
  <c r="I393" i="2"/>
  <c r="H393" i="2"/>
  <c r="G393" i="2"/>
  <c r="F393" i="2"/>
  <c r="E393" i="2"/>
  <c r="D393" i="2"/>
  <c r="C393" i="2"/>
  <c r="A393" i="2"/>
  <c r="AL392" i="2"/>
  <c r="AK392" i="2"/>
  <c r="AJ392" i="2"/>
  <c r="AI392" i="2"/>
  <c r="AH392" i="2"/>
  <c r="AG392" i="2"/>
  <c r="AF392" i="2"/>
  <c r="AE392" i="2"/>
  <c r="AD392" i="2"/>
  <c r="AC392" i="2"/>
  <c r="AB392" i="2"/>
  <c r="AA392" i="2"/>
  <c r="Z392" i="2"/>
  <c r="Y392" i="2"/>
  <c r="X392" i="2"/>
  <c r="W392" i="2"/>
  <c r="V392" i="2"/>
  <c r="U392" i="2"/>
  <c r="S392" i="2"/>
  <c r="R392" i="2"/>
  <c r="Q392" i="2"/>
  <c r="P392" i="2"/>
  <c r="O392" i="2"/>
  <c r="N392" i="2"/>
  <c r="M392" i="2"/>
  <c r="L392" i="2"/>
  <c r="K392" i="2"/>
  <c r="J392" i="2"/>
  <c r="I392" i="2"/>
  <c r="H392" i="2"/>
  <c r="G392" i="2"/>
  <c r="F392" i="2"/>
  <c r="E392" i="2"/>
  <c r="D392" i="2"/>
  <c r="C392" i="2"/>
  <c r="A392" i="2"/>
  <c r="AK391" i="2"/>
  <c r="AJ391" i="2"/>
  <c r="AI391" i="2"/>
  <c r="AH391" i="2"/>
  <c r="AG391" i="2"/>
  <c r="AF391" i="2"/>
  <c r="AE391" i="2"/>
  <c r="AD391" i="2"/>
  <c r="AC391" i="2"/>
  <c r="AB391" i="2"/>
  <c r="AA391" i="2"/>
  <c r="Z391" i="2"/>
  <c r="Y391" i="2"/>
  <c r="X391" i="2"/>
  <c r="W391" i="2"/>
  <c r="V391" i="2"/>
  <c r="U391" i="2"/>
  <c r="S391" i="2"/>
  <c r="R391" i="2"/>
  <c r="Q391" i="2"/>
  <c r="P391" i="2"/>
  <c r="O391" i="2"/>
  <c r="N391" i="2"/>
  <c r="M391" i="2"/>
  <c r="L391" i="2"/>
  <c r="K391" i="2"/>
  <c r="J391" i="2"/>
  <c r="I391" i="2"/>
  <c r="H391" i="2"/>
  <c r="G391" i="2"/>
  <c r="F391" i="2"/>
  <c r="E391" i="2"/>
  <c r="D391" i="2"/>
  <c r="C391" i="2"/>
  <c r="A391" i="2"/>
  <c r="AK390" i="2"/>
  <c r="AJ390" i="2"/>
  <c r="AI390" i="2"/>
  <c r="AH390" i="2"/>
  <c r="AG390" i="2"/>
  <c r="AF390" i="2"/>
  <c r="AE390" i="2"/>
  <c r="AD390" i="2"/>
  <c r="AC390" i="2"/>
  <c r="AB390" i="2"/>
  <c r="AA390" i="2"/>
  <c r="Z390" i="2"/>
  <c r="Y390" i="2"/>
  <c r="X390" i="2"/>
  <c r="W390" i="2"/>
  <c r="V390" i="2"/>
  <c r="U390" i="2"/>
  <c r="S390" i="2"/>
  <c r="R390" i="2"/>
  <c r="Q390" i="2"/>
  <c r="P390" i="2"/>
  <c r="O390" i="2"/>
  <c r="N390" i="2"/>
  <c r="M390" i="2"/>
  <c r="L390" i="2"/>
  <c r="K390" i="2"/>
  <c r="J390" i="2"/>
  <c r="I390" i="2"/>
  <c r="H390" i="2"/>
  <c r="G390" i="2"/>
  <c r="F390" i="2"/>
  <c r="E390" i="2"/>
  <c r="D390" i="2"/>
  <c r="C390" i="2"/>
  <c r="A390" i="2"/>
  <c r="AK389" i="2"/>
  <c r="AJ389" i="2"/>
  <c r="AI389" i="2"/>
  <c r="AH389" i="2"/>
  <c r="AG389" i="2"/>
  <c r="AF389" i="2"/>
  <c r="AE389" i="2"/>
  <c r="AD389" i="2"/>
  <c r="AC389" i="2"/>
  <c r="AB389" i="2"/>
  <c r="AA389" i="2"/>
  <c r="Z389" i="2"/>
  <c r="Y389" i="2"/>
  <c r="X389" i="2"/>
  <c r="W389" i="2"/>
  <c r="V389" i="2"/>
  <c r="U389" i="2"/>
  <c r="S389" i="2"/>
  <c r="R389" i="2"/>
  <c r="Q389" i="2"/>
  <c r="P389" i="2"/>
  <c r="O389" i="2"/>
  <c r="N389" i="2"/>
  <c r="M389" i="2"/>
  <c r="L389" i="2"/>
  <c r="K389" i="2"/>
  <c r="J389" i="2"/>
  <c r="I389" i="2"/>
  <c r="H389" i="2"/>
  <c r="G389" i="2"/>
  <c r="F389" i="2"/>
  <c r="E389" i="2"/>
  <c r="D389" i="2"/>
  <c r="C389" i="2"/>
  <c r="B389" i="2"/>
  <c r="A389" i="2"/>
  <c r="AK388" i="2"/>
  <c r="AJ388" i="2"/>
  <c r="AI388" i="2"/>
  <c r="AH388" i="2"/>
  <c r="AG388" i="2"/>
  <c r="AF388" i="2"/>
  <c r="AE388" i="2"/>
  <c r="AD388" i="2"/>
  <c r="AC388" i="2"/>
  <c r="AB388" i="2"/>
  <c r="AA388" i="2"/>
  <c r="Z388" i="2"/>
  <c r="Y388" i="2"/>
  <c r="X388" i="2"/>
  <c r="W388" i="2"/>
  <c r="V388" i="2"/>
  <c r="U388" i="2"/>
  <c r="S388" i="2"/>
  <c r="R388" i="2"/>
  <c r="Q388" i="2"/>
  <c r="P388" i="2"/>
  <c r="O388" i="2"/>
  <c r="N388" i="2"/>
  <c r="M388" i="2"/>
  <c r="L388" i="2"/>
  <c r="K388" i="2"/>
  <c r="J388" i="2"/>
  <c r="I388" i="2"/>
  <c r="H388" i="2"/>
  <c r="G388" i="2"/>
  <c r="F388" i="2"/>
  <c r="E388" i="2"/>
  <c r="D388" i="2"/>
  <c r="C388" i="2"/>
  <c r="B388" i="2"/>
  <c r="A388" i="2"/>
  <c r="AK387" i="2"/>
  <c r="AJ387" i="2"/>
  <c r="AI387" i="2"/>
  <c r="AH387" i="2"/>
  <c r="AG387" i="2"/>
  <c r="AF387" i="2"/>
  <c r="AE387" i="2"/>
  <c r="AD387" i="2"/>
  <c r="AC387" i="2"/>
  <c r="AB387" i="2"/>
  <c r="AA387" i="2"/>
  <c r="Z387" i="2"/>
  <c r="Y387" i="2"/>
  <c r="X387" i="2"/>
  <c r="W387" i="2"/>
  <c r="V387" i="2"/>
  <c r="U387" i="2"/>
  <c r="S387" i="2"/>
  <c r="R387" i="2"/>
  <c r="Q387" i="2"/>
  <c r="P387" i="2"/>
  <c r="O387" i="2"/>
  <c r="N387" i="2"/>
  <c r="M387" i="2"/>
  <c r="L387" i="2"/>
  <c r="K387" i="2"/>
  <c r="J387" i="2"/>
  <c r="I387" i="2"/>
  <c r="H387" i="2"/>
  <c r="G387" i="2"/>
  <c r="F387" i="2"/>
  <c r="E387" i="2"/>
  <c r="D387" i="2"/>
  <c r="C387" i="2"/>
  <c r="B387" i="2"/>
  <c r="A387" i="2"/>
  <c r="AL386" i="2"/>
  <c r="AK386" i="2"/>
  <c r="AJ386" i="2"/>
  <c r="AI386" i="2"/>
  <c r="AH386" i="2"/>
  <c r="AG386" i="2"/>
  <c r="AF386" i="2"/>
  <c r="AE386" i="2"/>
  <c r="AD386" i="2"/>
  <c r="AC386" i="2"/>
  <c r="AB386" i="2"/>
  <c r="AA386" i="2"/>
  <c r="Z386" i="2"/>
  <c r="Y386" i="2"/>
  <c r="X386" i="2"/>
  <c r="W386" i="2"/>
  <c r="V386" i="2"/>
  <c r="U386" i="2"/>
  <c r="S386" i="2"/>
  <c r="R386" i="2"/>
  <c r="Q386" i="2"/>
  <c r="P386" i="2"/>
  <c r="O386" i="2"/>
  <c r="N386" i="2"/>
  <c r="M386" i="2"/>
  <c r="L386" i="2"/>
  <c r="K386" i="2"/>
  <c r="J386" i="2"/>
  <c r="I386" i="2"/>
  <c r="H386" i="2"/>
  <c r="G386" i="2"/>
  <c r="F386" i="2"/>
  <c r="E386" i="2"/>
  <c r="D386" i="2"/>
  <c r="C386" i="2"/>
  <c r="A386" i="2"/>
  <c r="AL385" i="2"/>
  <c r="AK385" i="2"/>
  <c r="AJ385" i="2"/>
  <c r="AI385" i="2"/>
  <c r="AH385" i="2"/>
  <c r="AG385" i="2"/>
  <c r="AF385" i="2"/>
  <c r="AE385" i="2"/>
  <c r="AD385" i="2"/>
  <c r="AC385" i="2"/>
  <c r="AB385" i="2"/>
  <c r="AA385" i="2"/>
  <c r="Z385" i="2"/>
  <c r="Y385" i="2"/>
  <c r="X385" i="2"/>
  <c r="W385" i="2"/>
  <c r="V385" i="2"/>
  <c r="U385" i="2"/>
  <c r="S385" i="2"/>
  <c r="R385" i="2"/>
  <c r="Q385" i="2"/>
  <c r="P385" i="2"/>
  <c r="O385" i="2"/>
  <c r="N385" i="2"/>
  <c r="M385" i="2"/>
  <c r="L385" i="2"/>
  <c r="K385" i="2"/>
  <c r="J385" i="2"/>
  <c r="I385" i="2"/>
  <c r="H385" i="2"/>
  <c r="G385" i="2"/>
  <c r="F385" i="2"/>
  <c r="E385" i="2"/>
  <c r="D385" i="2"/>
  <c r="C385" i="2"/>
  <c r="A385" i="2"/>
  <c r="AK384" i="2"/>
  <c r="AJ384" i="2"/>
  <c r="AI384" i="2"/>
  <c r="AH384" i="2"/>
  <c r="AG384" i="2"/>
  <c r="AF384" i="2"/>
  <c r="AE384" i="2"/>
  <c r="AC384" i="2"/>
  <c r="AB384" i="2"/>
  <c r="AA384" i="2"/>
  <c r="Z384" i="2"/>
  <c r="Y384" i="2"/>
  <c r="X384" i="2"/>
  <c r="W384" i="2"/>
  <c r="V384" i="2"/>
  <c r="U384" i="2"/>
  <c r="S384" i="2"/>
  <c r="R384" i="2"/>
  <c r="Q384" i="2"/>
  <c r="P384" i="2"/>
  <c r="O384" i="2"/>
  <c r="N384" i="2"/>
  <c r="M384" i="2"/>
  <c r="L384" i="2"/>
  <c r="K384" i="2"/>
  <c r="J384" i="2"/>
  <c r="I384" i="2"/>
  <c r="H384" i="2"/>
  <c r="G384" i="2"/>
  <c r="F384" i="2"/>
  <c r="E384" i="2"/>
  <c r="D384" i="2"/>
  <c r="C384" i="2"/>
  <c r="A384" i="2"/>
  <c r="AL383" i="2"/>
  <c r="AK383" i="2"/>
  <c r="AJ383" i="2"/>
  <c r="AI383" i="2"/>
  <c r="AH383" i="2"/>
  <c r="AG383" i="2"/>
  <c r="AF383" i="2"/>
  <c r="AE383" i="2"/>
  <c r="AD383" i="2"/>
  <c r="AC383" i="2"/>
  <c r="AB383" i="2"/>
  <c r="AA383" i="2"/>
  <c r="Z383" i="2"/>
  <c r="Y383" i="2"/>
  <c r="X383" i="2"/>
  <c r="W383" i="2"/>
  <c r="V383" i="2"/>
  <c r="U383" i="2"/>
  <c r="S383" i="2"/>
  <c r="R383" i="2"/>
  <c r="Q383" i="2"/>
  <c r="P383" i="2"/>
  <c r="O383" i="2"/>
  <c r="N383" i="2"/>
  <c r="M383" i="2"/>
  <c r="L383" i="2"/>
  <c r="K383" i="2"/>
  <c r="J383" i="2"/>
  <c r="I383" i="2"/>
  <c r="H383" i="2"/>
  <c r="G383" i="2"/>
  <c r="F383" i="2"/>
  <c r="E383" i="2"/>
  <c r="D383" i="2"/>
  <c r="C383" i="2"/>
  <c r="A383" i="2"/>
  <c r="AL382" i="2"/>
  <c r="AK382" i="2"/>
  <c r="AJ382" i="2"/>
  <c r="AI382" i="2"/>
  <c r="AG382" i="2"/>
  <c r="AF382" i="2"/>
  <c r="AE382" i="2"/>
  <c r="AC382" i="2"/>
  <c r="AB382" i="2"/>
  <c r="AA382" i="2"/>
  <c r="X382" i="2"/>
  <c r="W382" i="2"/>
  <c r="V382" i="2"/>
  <c r="U382" i="2"/>
  <c r="R382" i="2"/>
  <c r="Q382" i="2"/>
  <c r="P382" i="2"/>
  <c r="O382" i="2"/>
  <c r="N382" i="2"/>
  <c r="M382" i="2"/>
  <c r="L382" i="2"/>
  <c r="K382" i="2"/>
  <c r="J382" i="2"/>
  <c r="I382" i="2"/>
  <c r="H382" i="2"/>
  <c r="G382" i="2"/>
  <c r="F382" i="2"/>
  <c r="E382" i="2"/>
  <c r="D382" i="2"/>
  <c r="C382" i="2"/>
  <c r="A382" i="2"/>
  <c r="AL381" i="2"/>
  <c r="AK381" i="2"/>
  <c r="AJ381" i="2"/>
  <c r="AI381" i="2"/>
  <c r="AH381" i="2"/>
  <c r="AG381" i="2"/>
  <c r="AF381" i="2"/>
  <c r="AE381" i="2"/>
  <c r="AD381" i="2"/>
  <c r="AC381" i="2"/>
  <c r="AB381" i="2"/>
  <c r="AA381" i="2"/>
  <c r="Y381" i="2"/>
  <c r="X381" i="2"/>
  <c r="W381" i="2"/>
  <c r="V381" i="2"/>
  <c r="U381" i="2"/>
  <c r="S381" i="2"/>
  <c r="R381" i="2"/>
  <c r="Q381" i="2"/>
  <c r="P381" i="2"/>
  <c r="O381" i="2"/>
  <c r="N381" i="2"/>
  <c r="M381" i="2"/>
  <c r="L381" i="2"/>
  <c r="K381" i="2"/>
  <c r="J381" i="2"/>
  <c r="I381" i="2"/>
  <c r="H381" i="2"/>
  <c r="G381" i="2"/>
  <c r="F381" i="2"/>
  <c r="E381" i="2"/>
  <c r="D381" i="2"/>
  <c r="C381" i="2"/>
  <c r="A381" i="2"/>
  <c r="AL380" i="2"/>
  <c r="AK380" i="2"/>
  <c r="AJ380" i="2"/>
  <c r="AI380" i="2"/>
  <c r="AH380" i="2"/>
  <c r="AG380" i="2"/>
  <c r="AF380" i="2"/>
  <c r="AE380" i="2"/>
  <c r="AD380" i="2"/>
  <c r="AC380" i="2"/>
  <c r="AB380" i="2"/>
  <c r="AA380" i="2"/>
  <c r="Z380" i="2"/>
  <c r="Y380" i="2"/>
  <c r="X380" i="2"/>
  <c r="W380" i="2"/>
  <c r="V380" i="2"/>
  <c r="U380" i="2"/>
  <c r="S380" i="2"/>
  <c r="R380" i="2"/>
  <c r="Q380" i="2"/>
  <c r="P380" i="2"/>
  <c r="O380" i="2"/>
  <c r="N380" i="2"/>
  <c r="M380" i="2"/>
  <c r="L380" i="2"/>
  <c r="K380" i="2"/>
  <c r="J380" i="2"/>
  <c r="I380" i="2"/>
  <c r="H380" i="2"/>
  <c r="G380" i="2"/>
  <c r="F380" i="2"/>
  <c r="E380" i="2"/>
  <c r="D380" i="2"/>
  <c r="C380" i="2"/>
  <c r="B380" i="2"/>
  <c r="A380" i="2"/>
  <c r="AL379" i="2"/>
  <c r="AK379" i="2"/>
  <c r="AJ379" i="2"/>
  <c r="AI379" i="2"/>
  <c r="AH379" i="2"/>
  <c r="AG379" i="2"/>
  <c r="AF379" i="2"/>
  <c r="AE379" i="2"/>
  <c r="AD379" i="2"/>
  <c r="AC379" i="2"/>
  <c r="AB379" i="2"/>
  <c r="AA379" i="2"/>
  <c r="Z379" i="2"/>
  <c r="Y379" i="2"/>
  <c r="X379" i="2"/>
  <c r="W379" i="2"/>
  <c r="V379" i="2"/>
  <c r="U379" i="2"/>
  <c r="S379" i="2"/>
  <c r="R379" i="2"/>
  <c r="Q379" i="2"/>
  <c r="P379" i="2"/>
  <c r="O379" i="2"/>
  <c r="N379" i="2"/>
  <c r="M379" i="2"/>
  <c r="L379" i="2"/>
  <c r="K379" i="2"/>
  <c r="J379" i="2"/>
  <c r="I379" i="2"/>
  <c r="H379" i="2"/>
  <c r="G379" i="2"/>
  <c r="F379" i="2"/>
  <c r="E379" i="2"/>
  <c r="D379" i="2"/>
  <c r="C379" i="2"/>
  <c r="A379" i="2"/>
  <c r="AK378" i="2"/>
  <c r="AJ378" i="2"/>
  <c r="AI378" i="2"/>
  <c r="AH378" i="2"/>
  <c r="AG378" i="2"/>
  <c r="AF378" i="2"/>
  <c r="AE378" i="2"/>
  <c r="AD378" i="2"/>
  <c r="AC378" i="2"/>
  <c r="AB378" i="2"/>
  <c r="AA378" i="2"/>
  <c r="Z378" i="2"/>
  <c r="Y378" i="2"/>
  <c r="X378" i="2"/>
  <c r="W378" i="2"/>
  <c r="V378" i="2"/>
  <c r="U378" i="2"/>
  <c r="S378" i="2"/>
  <c r="R378" i="2"/>
  <c r="Q378" i="2"/>
  <c r="P378" i="2"/>
  <c r="O378" i="2"/>
  <c r="N378" i="2"/>
  <c r="M378" i="2"/>
  <c r="L378" i="2"/>
  <c r="K378" i="2"/>
  <c r="J378" i="2"/>
  <c r="I378" i="2"/>
  <c r="H378" i="2"/>
  <c r="G378" i="2"/>
  <c r="F378" i="2"/>
  <c r="E378" i="2"/>
  <c r="D378" i="2"/>
  <c r="C378" i="2"/>
  <c r="A378" i="2"/>
  <c r="AL377" i="2"/>
  <c r="AK377" i="2"/>
  <c r="AJ377" i="2"/>
  <c r="AI377" i="2"/>
  <c r="AH377" i="2"/>
  <c r="AG377" i="2"/>
  <c r="AF377" i="2"/>
  <c r="AE377" i="2"/>
  <c r="AC377" i="2"/>
  <c r="AB377" i="2"/>
  <c r="AA377" i="2"/>
  <c r="Z377" i="2"/>
  <c r="Y377" i="2"/>
  <c r="X377" i="2"/>
  <c r="W377" i="2"/>
  <c r="V377" i="2"/>
  <c r="U377" i="2"/>
  <c r="S377" i="2"/>
  <c r="R377" i="2"/>
  <c r="Q377" i="2"/>
  <c r="P377" i="2"/>
  <c r="O377" i="2"/>
  <c r="N377" i="2"/>
  <c r="M377" i="2"/>
  <c r="L377" i="2"/>
  <c r="K377" i="2"/>
  <c r="J377" i="2"/>
  <c r="I377" i="2"/>
  <c r="H377" i="2"/>
  <c r="G377" i="2"/>
  <c r="F377" i="2"/>
  <c r="E377" i="2"/>
  <c r="D377" i="2"/>
  <c r="C377" i="2"/>
  <c r="B377" i="2"/>
  <c r="A377" i="2"/>
  <c r="AL376" i="2"/>
  <c r="AK376" i="2"/>
  <c r="AJ376" i="2"/>
  <c r="AI376" i="2"/>
  <c r="AH376" i="2"/>
  <c r="AG376" i="2"/>
  <c r="AF376" i="2"/>
  <c r="AE376" i="2"/>
  <c r="AC376" i="2"/>
  <c r="AB376" i="2"/>
  <c r="AA376" i="2"/>
  <c r="Z376" i="2"/>
  <c r="Y376" i="2"/>
  <c r="X376" i="2"/>
  <c r="W376" i="2"/>
  <c r="V376" i="2"/>
  <c r="U376" i="2"/>
  <c r="S376" i="2"/>
  <c r="R376" i="2"/>
  <c r="Q376" i="2"/>
  <c r="P376" i="2"/>
  <c r="O376" i="2"/>
  <c r="N376" i="2"/>
  <c r="M376" i="2"/>
  <c r="L376" i="2"/>
  <c r="K376" i="2"/>
  <c r="J376" i="2"/>
  <c r="I376" i="2"/>
  <c r="H376" i="2"/>
  <c r="G376" i="2"/>
  <c r="F376" i="2"/>
  <c r="E376" i="2"/>
  <c r="D376" i="2"/>
  <c r="C376" i="2"/>
  <c r="A376" i="2"/>
  <c r="AL375" i="2"/>
  <c r="AK375" i="2"/>
  <c r="AJ375" i="2"/>
  <c r="AI375" i="2"/>
  <c r="AG375" i="2"/>
  <c r="AF375" i="2"/>
  <c r="AE375" i="2"/>
  <c r="AC375" i="2"/>
  <c r="AB375" i="2"/>
  <c r="AA375" i="2"/>
  <c r="X375" i="2"/>
  <c r="W375" i="2"/>
  <c r="V375" i="2"/>
  <c r="U375" i="2"/>
  <c r="R375" i="2"/>
  <c r="Q375" i="2"/>
  <c r="P375" i="2"/>
  <c r="O375" i="2"/>
  <c r="N375" i="2"/>
  <c r="M375" i="2"/>
  <c r="L375" i="2"/>
  <c r="K375" i="2"/>
  <c r="J375" i="2"/>
  <c r="I375" i="2"/>
  <c r="H375" i="2"/>
  <c r="G375" i="2"/>
  <c r="F375" i="2"/>
  <c r="E375" i="2"/>
  <c r="D375" i="2"/>
  <c r="C375" i="2"/>
  <c r="B375" i="2"/>
  <c r="A375" i="2"/>
  <c r="AL374" i="2"/>
  <c r="AK374" i="2"/>
  <c r="AJ374" i="2"/>
  <c r="AI374" i="2"/>
  <c r="AH374" i="2"/>
  <c r="AG374" i="2"/>
  <c r="AF374" i="2"/>
  <c r="AE374" i="2"/>
  <c r="AD374" i="2"/>
  <c r="AC374" i="2"/>
  <c r="AB374" i="2"/>
  <c r="AA374" i="2"/>
  <c r="Z374" i="2"/>
  <c r="Y374" i="2"/>
  <c r="X374" i="2"/>
  <c r="W374" i="2"/>
  <c r="V374" i="2"/>
  <c r="U374" i="2"/>
  <c r="S374" i="2"/>
  <c r="R374" i="2"/>
  <c r="Q374" i="2"/>
  <c r="P374" i="2"/>
  <c r="O374" i="2"/>
  <c r="N374" i="2"/>
  <c r="M374" i="2"/>
  <c r="L374" i="2"/>
  <c r="K374" i="2"/>
  <c r="J374" i="2"/>
  <c r="I374" i="2"/>
  <c r="H374" i="2"/>
  <c r="G374" i="2"/>
  <c r="F374" i="2"/>
  <c r="E374" i="2"/>
  <c r="D374" i="2"/>
  <c r="C374" i="2"/>
  <c r="A374" i="2"/>
  <c r="AL373" i="2"/>
  <c r="AK373" i="2"/>
  <c r="AJ373" i="2"/>
  <c r="AI373" i="2"/>
  <c r="AH373" i="2"/>
  <c r="AG373" i="2"/>
  <c r="AF373" i="2"/>
  <c r="AE373" i="2"/>
  <c r="AD373" i="2"/>
  <c r="AC373" i="2"/>
  <c r="AB373" i="2"/>
  <c r="AA373" i="2"/>
  <c r="Z373" i="2"/>
  <c r="Y373" i="2"/>
  <c r="X373" i="2"/>
  <c r="W373" i="2"/>
  <c r="V373" i="2"/>
  <c r="U373" i="2"/>
  <c r="S373" i="2"/>
  <c r="R373" i="2"/>
  <c r="Q373" i="2"/>
  <c r="P373" i="2"/>
  <c r="O373" i="2"/>
  <c r="N373" i="2"/>
  <c r="M373" i="2"/>
  <c r="L373" i="2"/>
  <c r="K373" i="2"/>
  <c r="J373" i="2"/>
  <c r="I373" i="2"/>
  <c r="H373" i="2"/>
  <c r="G373" i="2"/>
  <c r="F373" i="2"/>
  <c r="E373" i="2"/>
  <c r="D373" i="2"/>
  <c r="C373" i="2"/>
  <c r="A373" i="2"/>
  <c r="AL372" i="2"/>
  <c r="AK372" i="2"/>
  <c r="AJ372" i="2"/>
  <c r="AI372" i="2"/>
  <c r="AH372" i="2"/>
  <c r="AG372" i="2"/>
  <c r="AF372" i="2"/>
  <c r="AE372" i="2"/>
  <c r="AC372" i="2"/>
  <c r="AB372" i="2"/>
  <c r="AA372" i="2"/>
  <c r="Z372" i="2"/>
  <c r="Y372" i="2"/>
  <c r="X372" i="2"/>
  <c r="W372" i="2"/>
  <c r="V372" i="2"/>
  <c r="U372" i="2"/>
  <c r="S372" i="2"/>
  <c r="R372" i="2"/>
  <c r="Q372" i="2"/>
  <c r="P372" i="2"/>
  <c r="O372" i="2"/>
  <c r="N372" i="2"/>
  <c r="M372" i="2"/>
  <c r="L372" i="2"/>
  <c r="K372" i="2"/>
  <c r="J372" i="2"/>
  <c r="I372" i="2"/>
  <c r="H372" i="2"/>
  <c r="G372" i="2"/>
  <c r="F372" i="2"/>
  <c r="E372" i="2"/>
  <c r="D372" i="2"/>
  <c r="C372" i="2"/>
  <c r="A372" i="2"/>
  <c r="AL371" i="2"/>
  <c r="AK371" i="2"/>
  <c r="AJ371" i="2"/>
  <c r="AI371" i="2"/>
  <c r="AH371" i="2"/>
  <c r="AG371" i="2"/>
  <c r="AF371" i="2"/>
  <c r="AE371" i="2"/>
  <c r="AD371" i="2"/>
  <c r="AC371" i="2"/>
  <c r="AB371" i="2"/>
  <c r="AA371" i="2"/>
  <c r="Z371" i="2"/>
  <c r="Y371" i="2"/>
  <c r="X371" i="2"/>
  <c r="W371" i="2"/>
  <c r="V371" i="2"/>
  <c r="U371" i="2"/>
  <c r="S371" i="2"/>
  <c r="R371" i="2"/>
  <c r="Q371" i="2"/>
  <c r="P371" i="2"/>
  <c r="O371" i="2"/>
  <c r="N371" i="2"/>
  <c r="M371" i="2"/>
  <c r="L371" i="2"/>
  <c r="K371" i="2"/>
  <c r="J371" i="2"/>
  <c r="I371" i="2"/>
  <c r="H371" i="2"/>
  <c r="G371" i="2"/>
  <c r="F371" i="2"/>
  <c r="E371" i="2"/>
  <c r="D371" i="2"/>
  <c r="C371" i="2"/>
  <c r="A371" i="2"/>
  <c r="AK370" i="2"/>
  <c r="AJ370" i="2"/>
  <c r="AI370" i="2"/>
  <c r="AH370" i="2"/>
  <c r="AG370" i="2"/>
  <c r="AF370" i="2"/>
  <c r="AE370" i="2"/>
  <c r="AC370" i="2"/>
  <c r="AB370" i="2"/>
  <c r="AA370" i="2"/>
  <c r="Z370" i="2"/>
  <c r="Y370" i="2"/>
  <c r="X370" i="2"/>
  <c r="W370" i="2"/>
  <c r="V370" i="2"/>
  <c r="U370" i="2"/>
  <c r="S370" i="2"/>
  <c r="R370" i="2"/>
  <c r="Q370" i="2"/>
  <c r="P370" i="2"/>
  <c r="O370" i="2"/>
  <c r="N370" i="2"/>
  <c r="M370" i="2"/>
  <c r="L370" i="2"/>
  <c r="K370" i="2"/>
  <c r="J370" i="2"/>
  <c r="I370" i="2"/>
  <c r="H370" i="2"/>
  <c r="G370" i="2"/>
  <c r="F370" i="2"/>
  <c r="E370" i="2"/>
  <c r="D370" i="2"/>
  <c r="C370" i="2"/>
  <c r="A370" i="2"/>
  <c r="AK369" i="2"/>
  <c r="AJ369" i="2"/>
  <c r="AI369" i="2"/>
  <c r="AH369" i="2"/>
  <c r="AG369" i="2"/>
  <c r="AF369" i="2"/>
  <c r="AE369" i="2"/>
  <c r="AD369" i="2"/>
  <c r="AC369" i="2"/>
  <c r="AB369" i="2"/>
  <c r="AA369" i="2"/>
  <c r="Z369" i="2"/>
  <c r="Y369" i="2"/>
  <c r="X369" i="2"/>
  <c r="W369" i="2"/>
  <c r="V369" i="2"/>
  <c r="U369" i="2"/>
  <c r="S369" i="2"/>
  <c r="R369" i="2"/>
  <c r="Q369" i="2"/>
  <c r="P369" i="2"/>
  <c r="O369" i="2"/>
  <c r="N369" i="2"/>
  <c r="M369" i="2"/>
  <c r="L369" i="2"/>
  <c r="K369" i="2"/>
  <c r="J369" i="2"/>
  <c r="I369" i="2"/>
  <c r="H369" i="2"/>
  <c r="G369" i="2"/>
  <c r="F369" i="2"/>
  <c r="E369" i="2"/>
  <c r="D369" i="2"/>
  <c r="C369" i="2"/>
  <c r="A369" i="2"/>
  <c r="AK368" i="2"/>
  <c r="AJ368" i="2"/>
  <c r="AI368" i="2"/>
  <c r="AH368" i="2"/>
  <c r="AG368" i="2"/>
  <c r="AF368" i="2"/>
  <c r="AE368" i="2"/>
  <c r="AD368" i="2"/>
  <c r="AC368" i="2"/>
  <c r="AB368" i="2"/>
  <c r="AA368" i="2"/>
  <c r="Z368" i="2"/>
  <c r="Y368" i="2"/>
  <c r="X368" i="2"/>
  <c r="W368" i="2"/>
  <c r="V368" i="2"/>
  <c r="U368" i="2"/>
  <c r="S368" i="2"/>
  <c r="R368" i="2"/>
  <c r="Q368" i="2"/>
  <c r="P368" i="2"/>
  <c r="O368" i="2"/>
  <c r="N368" i="2"/>
  <c r="M368" i="2"/>
  <c r="L368" i="2"/>
  <c r="K368" i="2"/>
  <c r="J368" i="2"/>
  <c r="I368" i="2"/>
  <c r="H368" i="2"/>
  <c r="G368" i="2"/>
  <c r="F368" i="2"/>
  <c r="E368" i="2"/>
  <c r="D368" i="2"/>
  <c r="C368" i="2"/>
  <c r="A368" i="2"/>
  <c r="AL367" i="2"/>
  <c r="AK367" i="2"/>
  <c r="AJ367" i="2"/>
  <c r="AI367" i="2"/>
  <c r="AH367" i="2"/>
  <c r="AG367" i="2"/>
  <c r="AF367" i="2"/>
  <c r="AE367" i="2"/>
  <c r="AD367" i="2"/>
  <c r="AC367" i="2"/>
  <c r="AB367" i="2"/>
  <c r="AA367" i="2"/>
  <c r="Z367" i="2"/>
  <c r="Y367" i="2"/>
  <c r="X367" i="2"/>
  <c r="W367" i="2"/>
  <c r="V367" i="2"/>
  <c r="U367" i="2"/>
  <c r="S367" i="2"/>
  <c r="R367" i="2"/>
  <c r="Q367" i="2"/>
  <c r="P367" i="2"/>
  <c r="O367" i="2"/>
  <c r="N367" i="2"/>
  <c r="M367" i="2"/>
  <c r="L367" i="2"/>
  <c r="K367" i="2"/>
  <c r="J367" i="2"/>
  <c r="I367" i="2"/>
  <c r="H367" i="2"/>
  <c r="G367" i="2"/>
  <c r="F367" i="2"/>
  <c r="E367" i="2"/>
  <c r="D367" i="2"/>
  <c r="C367" i="2"/>
  <c r="B367" i="2"/>
  <c r="A367" i="2"/>
  <c r="AK366" i="2"/>
  <c r="AJ366" i="2"/>
  <c r="AI366" i="2"/>
  <c r="AH366" i="2"/>
  <c r="AG366" i="2"/>
  <c r="AF366" i="2"/>
  <c r="AE366" i="2"/>
  <c r="AD366" i="2"/>
  <c r="AC366" i="2"/>
  <c r="AB366" i="2"/>
  <c r="AA366" i="2"/>
  <c r="Z366" i="2"/>
  <c r="Y366" i="2"/>
  <c r="X366" i="2"/>
  <c r="W366" i="2"/>
  <c r="V366" i="2"/>
  <c r="U366" i="2"/>
  <c r="S366" i="2"/>
  <c r="R366" i="2"/>
  <c r="Q366" i="2"/>
  <c r="P366" i="2"/>
  <c r="O366" i="2"/>
  <c r="N366" i="2"/>
  <c r="M366" i="2"/>
  <c r="L366" i="2"/>
  <c r="K366" i="2"/>
  <c r="J366" i="2"/>
  <c r="I366" i="2"/>
  <c r="H366" i="2"/>
  <c r="G366" i="2"/>
  <c r="F366" i="2"/>
  <c r="E366" i="2"/>
  <c r="D366" i="2"/>
  <c r="C366" i="2"/>
  <c r="A366" i="2"/>
  <c r="AL365" i="2"/>
  <c r="AK365" i="2"/>
  <c r="AJ365" i="2"/>
  <c r="AI365" i="2"/>
  <c r="AH365" i="2"/>
  <c r="AG365" i="2"/>
  <c r="AF365" i="2"/>
  <c r="AE365" i="2"/>
  <c r="AD365" i="2"/>
  <c r="AC365" i="2"/>
  <c r="AB365" i="2"/>
  <c r="AA365" i="2"/>
  <c r="Z365" i="2"/>
  <c r="Y365" i="2"/>
  <c r="X365" i="2"/>
  <c r="W365" i="2"/>
  <c r="V365" i="2"/>
  <c r="U365" i="2"/>
  <c r="S365" i="2"/>
  <c r="R365" i="2"/>
  <c r="Q365" i="2"/>
  <c r="P365" i="2"/>
  <c r="O365" i="2"/>
  <c r="N365" i="2"/>
  <c r="M365" i="2"/>
  <c r="L365" i="2"/>
  <c r="K365" i="2"/>
  <c r="J365" i="2"/>
  <c r="I365" i="2"/>
  <c r="H365" i="2"/>
  <c r="G365" i="2"/>
  <c r="F365" i="2"/>
  <c r="E365" i="2"/>
  <c r="D365" i="2"/>
  <c r="C365" i="2"/>
  <c r="A365" i="2"/>
  <c r="AL364" i="2"/>
  <c r="AK364" i="2"/>
  <c r="AJ364" i="2"/>
  <c r="AI364" i="2"/>
  <c r="AH364" i="2"/>
  <c r="AG364" i="2"/>
  <c r="AF364" i="2"/>
  <c r="AE364" i="2"/>
  <c r="AC364" i="2"/>
  <c r="AB364" i="2"/>
  <c r="AA364" i="2"/>
  <c r="Z364" i="2"/>
  <c r="Y364" i="2"/>
  <c r="X364" i="2"/>
  <c r="W364" i="2"/>
  <c r="V364" i="2"/>
  <c r="U364" i="2"/>
  <c r="S364" i="2"/>
  <c r="R364" i="2"/>
  <c r="Q364" i="2"/>
  <c r="P364" i="2"/>
  <c r="O364" i="2"/>
  <c r="N364" i="2"/>
  <c r="M364" i="2"/>
  <c r="L364" i="2"/>
  <c r="K364" i="2"/>
  <c r="J364" i="2"/>
  <c r="I364" i="2"/>
  <c r="H364" i="2"/>
  <c r="G364" i="2"/>
  <c r="F364" i="2"/>
  <c r="E364" i="2"/>
  <c r="D364" i="2"/>
  <c r="C364" i="2"/>
  <c r="A364" i="2"/>
  <c r="AL363" i="2"/>
  <c r="AK363" i="2"/>
  <c r="AJ363" i="2"/>
  <c r="AI363" i="2"/>
  <c r="AH363" i="2"/>
  <c r="AG363" i="2"/>
  <c r="AF363" i="2"/>
  <c r="AE363" i="2"/>
  <c r="AD363" i="2"/>
  <c r="AC363" i="2"/>
  <c r="AB363" i="2"/>
  <c r="AA363" i="2"/>
  <c r="Z363" i="2"/>
  <c r="Y363" i="2"/>
  <c r="X363" i="2"/>
  <c r="W363" i="2"/>
  <c r="V363" i="2"/>
  <c r="U363" i="2"/>
  <c r="S363" i="2"/>
  <c r="R363" i="2"/>
  <c r="Q363" i="2"/>
  <c r="P363" i="2"/>
  <c r="O363" i="2"/>
  <c r="N363" i="2"/>
  <c r="M363" i="2"/>
  <c r="L363" i="2"/>
  <c r="K363" i="2"/>
  <c r="J363" i="2"/>
  <c r="I363" i="2"/>
  <c r="H363" i="2"/>
  <c r="G363" i="2"/>
  <c r="F363" i="2"/>
  <c r="E363" i="2"/>
  <c r="D363" i="2"/>
  <c r="C363" i="2"/>
  <c r="B363" i="2"/>
  <c r="A363" i="2"/>
  <c r="AL362" i="2"/>
  <c r="AK362" i="2"/>
  <c r="AJ362" i="2"/>
  <c r="AI362" i="2"/>
  <c r="AH362" i="2"/>
  <c r="AG362" i="2"/>
  <c r="AF362" i="2"/>
  <c r="AE362" i="2"/>
  <c r="AC362" i="2"/>
  <c r="AB362" i="2"/>
  <c r="AA362" i="2"/>
  <c r="Z362" i="2"/>
  <c r="Y362" i="2"/>
  <c r="X362" i="2"/>
  <c r="W362" i="2"/>
  <c r="V362" i="2"/>
  <c r="U362" i="2"/>
  <c r="S362" i="2"/>
  <c r="R362" i="2"/>
  <c r="Q362" i="2"/>
  <c r="P362" i="2"/>
  <c r="O362" i="2"/>
  <c r="N362" i="2"/>
  <c r="M362" i="2"/>
  <c r="L362" i="2"/>
  <c r="K362" i="2"/>
  <c r="J362" i="2"/>
  <c r="I362" i="2"/>
  <c r="H362" i="2"/>
  <c r="G362" i="2"/>
  <c r="F362" i="2"/>
  <c r="E362" i="2"/>
  <c r="D362" i="2"/>
  <c r="C362" i="2"/>
  <c r="B362" i="2"/>
  <c r="A362" i="2"/>
  <c r="AL361" i="2"/>
  <c r="AK361" i="2"/>
  <c r="AJ361" i="2"/>
  <c r="AI361" i="2"/>
  <c r="AH361" i="2"/>
  <c r="AG361" i="2"/>
  <c r="AF361" i="2"/>
  <c r="AE361" i="2"/>
  <c r="AD361" i="2"/>
  <c r="AC361" i="2"/>
  <c r="AB361" i="2"/>
  <c r="AA361" i="2"/>
  <c r="Z361" i="2"/>
  <c r="Y361" i="2"/>
  <c r="X361" i="2"/>
  <c r="W361" i="2"/>
  <c r="V361" i="2"/>
  <c r="U361" i="2"/>
  <c r="S361" i="2"/>
  <c r="R361" i="2"/>
  <c r="Q361" i="2"/>
  <c r="P361" i="2"/>
  <c r="O361" i="2"/>
  <c r="N361" i="2"/>
  <c r="M361" i="2"/>
  <c r="L361" i="2"/>
  <c r="K361" i="2"/>
  <c r="J361" i="2"/>
  <c r="I361" i="2"/>
  <c r="H361" i="2"/>
  <c r="G361" i="2"/>
  <c r="F361" i="2"/>
  <c r="E361" i="2"/>
  <c r="D361" i="2"/>
  <c r="C361" i="2"/>
  <c r="B361" i="2"/>
  <c r="A361" i="2"/>
  <c r="AK360" i="2"/>
  <c r="AJ360" i="2"/>
  <c r="AI360" i="2"/>
  <c r="AH360" i="2"/>
  <c r="AG360" i="2"/>
  <c r="AF360" i="2"/>
  <c r="AE360" i="2"/>
  <c r="AD360" i="2"/>
  <c r="AC360" i="2"/>
  <c r="AB360" i="2"/>
  <c r="AA360" i="2"/>
  <c r="Z360" i="2"/>
  <c r="Y360" i="2"/>
  <c r="X360" i="2"/>
  <c r="W360" i="2"/>
  <c r="V360" i="2"/>
  <c r="U360" i="2"/>
  <c r="S360" i="2"/>
  <c r="R360" i="2"/>
  <c r="Q360" i="2"/>
  <c r="P360" i="2"/>
  <c r="O360" i="2"/>
  <c r="N360" i="2"/>
  <c r="M360" i="2"/>
  <c r="L360" i="2"/>
  <c r="K360" i="2"/>
  <c r="J360" i="2"/>
  <c r="I360" i="2"/>
  <c r="H360" i="2"/>
  <c r="G360" i="2"/>
  <c r="F360" i="2"/>
  <c r="E360" i="2"/>
  <c r="D360" i="2"/>
  <c r="C360" i="2"/>
  <c r="B360" i="2"/>
  <c r="A360" i="2"/>
  <c r="AK359" i="2"/>
  <c r="AJ359" i="2"/>
  <c r="AI359" i="2"/>
  <c r="AH359" i="2"/>
  <c r="AG359" i="2"/>
  <c r="AF359" i="2"/>
  <c r="AE359" i="2"/>
  <c r="AD359" i="2"/>
  <c r="AC359" i="2"/>
  <c r="AB359" i="2"/>
  <c r="AA359" i="2"/>
  <c r="Z359" i="2"/>
  <c r="Y359" i="2"/>
  <c r="X359" i="2"/>
  <c r="W359" i="2"/>
  <c r="V359" i="2"/>
  <c r="U359" i="2"/>
  <c r="S359" i="2"/>
  <c r="R359" i="2"/>
  <c r="Q359" i="2"/>
  <c r="P359" i="2"/>
  <c r="O359" i="2"/>
  <c r="N359" i="2"/>
  <c r="M359" i="2"/>
  <c r="L359" i="2"/>
  <c r="K359" i="2"/>
  <c r="J359" i="2"/>
  <c r="I359" i="2"/>
  <c r="H359" i="2"/>
  <c r="G359" i="2"/>
  <c r="F359" i="2"/>
  <c r="E359" i="2"/>
  <c r="D359" i="2"/>
  <c r="C359" i="2"/>
  <c r="A359" i="2"/>
  <c r="AK358" i="2"/>
  <c r="AJ358" i="2"/>
  <c r="AI358" i="2"/>
  <c r="AH358" i="2"/>
  <c r="AG358" i="2"/>
  <c r="AF358" i="2"/>
  <c r="AE358" i="2"/>
  <c r="AD358" i="2"/>
  <c r="AC358" i="2"/>
  <c r="AB358" i="2"/>
  <c r="AA358" i="2"/>
  <c r="Z358" i="2"/>
  <c r="Y358" i="2"/>
  <c r="X358" i="2"/>
  <c r="W358" i="2"/>
  <c r="V358" i="2"/>
  <c r="U358" i="2"/>
  <c r="S358" i="2"/>
  <c r="R358" i="2"/>
  <c r="Q358" i="2"/>
  <c r="P358" i="2"/>
  <c r="O358" i="2"/>
  <c r="N358" i="2"/>
  <c r="M358" i="2"/>
  <c r="L358" i="2"/>
  <c r="K358" i="2"/>
  <c r="J358" i="2"/>
  <c r="I358" i="2"/>
  <c r="H358" i="2"/>
  <c r="G358" i="2"/>
  <c r="F358" i="2"/>
  <c r="E358" i="2"/>
  <c r="D358" i="2"/>
  <c r="C358" i="2"/>
  <c r="A358" i="2"/>
  <c r="AK357" i="2"/>
  <c r="AJ357" i="2"/>
  <c r="AI357" i="2"/>
  <c r="AH357" i="2"/>
  <c r="AG357" i="2"/>
  <c r="AF357" i="2"/>
  <c r="AE357" i="2"/>
  <c r="AD357" i="2"/>
  <c r="AC357" i="2"/>
  <c r="AB357" i="2"/>
  <c r="AA357" i="2"/>
  <c r="Z357" i="2"/>
  <c r="Y357" i="2"/>
  <c r="X357" i="2"/>
  <c r="W357" i="2"/>
  <c r="V357" i="2"/>
  <c r="U357" i="2"/>
  <c r="S357" i="2"/>
  <c r="R357" i="2"/>
  <c r="Q357" i="2"/>
  <c r="P357" i="2"/>
  <c r="O357" i="2"/>
  <c r="N357" i="2"/>
  <c r="M357" i="2"/>
  <c r="L357" i="2"/>
  <c r="K357" i="2"/>
  <c r="J357" i="2"/>
  <c r="I357" i="2"/>
  <c r="H357" i="2"/>
  <c r="G357" i="2"/>
  <c r="F357" i="2"/>
  <c r="E357" i="2"/>
  <c r="D357" i="2"/>
  <c r="C357" i="2"/>
  <c r="B357" i="2"/>
  <c r="A357" i="2"/>
  <c r="AL356" i="2"/>
  <c r="AK356" i="2"/>
  <c r="AJ356" i="2"/>
  <c r="AI356" i="2"/>
  <c r="AH356" i="2"/>
  <c r="AG356" i="2"/>
  <c r="AF356" i="2"/>
  <c r="AE356" i="2"/>
  <c r="AD356" i="2"/>
  <c r="AC356" i="2"/>
  <c r="AB356" i="2"/>
  <c r="AA356" i="2"/>
  <c r="Z356" i="2"/>
  <c r="Y356" i="2"/>
  <c r="X356" i="2"/>
  <c r="W356" i="2"/>
  <c r="V356" i="2"/>
  <c r="U356" i="2"/>
  <c r="S356" i="2"/>
  <c r="R356" i="2"/>
  <c r="Q356" i="2"/>
  <c r="P356" i="2"/>
  <c r="O356" i="2"/>
  <c r="N356" i="2"/>
  <c r="M356" i="2"/>
  <c r="L356" i="2"/>
  <c r="K356" i="2"/>
  <c r="J356" i="2"/>
  <c r="I356" i="2"/>
  <c r="H356" i="2"/>
  <c r="G356" i="2"/>
  <c r="F356" i="2"/>
  <c r="E356" i="2"/>
  <c r="D356" i="2"/>
  <c r="C356" i="2"/>
  <c r="A356" i="2"/>
  <c r="AL355" i="2"/>
  <c r="AK355" i="2"/>
  <c r="AJ355" i="2"/>
  <c r="AI355" i="2"/>
  <c r="AH355" i="2"/>
  <c r="AG355" i="2"/>
  <c r="AF355" i="2"/>
  <c r="AE355" i="2"/>
  <c r="AD355" i="2"/>
  <c r="AC355" i="2"/>
  <c r="AB355" i="2"/>
  <c r="AA355" i="2"/>
  <c r="Z355" i="2"/>
  <c r="Y355" i="2"/>
  <c r="X355" i="2"/>
  <c r="W355" i="2"/>
  <c r="V355" i="2"/>
  <c r="U355" i="2"/>
  <c r="S355" i="2"/>
  <c r="R355" i="2"/>
  <c r="Q35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D355" i="2"/>
  <c r="C355" i="2"/>
  <c r="A355" i="2"/>
  <c r="AL354" i="2"/>
  <c r="AK354" i="2"/>
  <c r="AJ354" i="2"/>
  <c r="AI354" i="2"/>
  <c r="AH354" i="2"/>
  <c r="AG354" i="2"/>
  <c r="AF354" i="2"/>
  <c r="AE354" i="2"/>
  <c r="AD354" i="2"/>
  <c r="AC354" i="2"/>
  <c r="AB354" i="2"/>
  <c r="AA354" i="2"/>
  <c r="Z354" i="2"/>
  <c r="Y354" i="2"/>
  <c r="X354" i="2"/>
  <c r="W354" i="2"/>
  <c r="V354" i="2"/>
  <c r="U354" i="2"/>
  <c r="S354" i="2"/>
  <c r="R354" i="2"/>
  <c r="Q354" i="2"/>
  <c r="P354" i="2"/>
  <c r="O354" i="2"/>
  <c r="N354" i="2"/>
  <c r="M354" i="2"/>
  <c r="L354" i="2"/>
  <c r="K354" i="2"/>
  <c r="J354" i="2"/>
  <c r="I354" i="2"/>
  <c r="H354" i="2"/>
  <c r="G354" i="2"/>
  <c r="F354" i="2"/>
  <c r="E354" i="2"/>
  <c r="D354" i="2"/>
  <c r="C354" i="2"/>
  <c r="A354" i="2"/>
  <c r="AK353" i="2"/>
  <c r="AJ353" i="2"/>
  <c r="AI353" i="2"/>
  <c r="AH353" i="2"/>
  <c r="AG353" i="2"/>
  <c r="AF353" i="2"/>
  <c r="AE353" i="2"/>
  <c r="AD353" i="2"/>
  <c r="AC353" i="2"/>
  <c r="AB353" i="2"/>
  <c r="AA353" i="2"/>
  <c r="Y353" i="2"/>
  <c r="X353" i="2"/>
  <c r="W353" i="2"/>
  <c r="V353" i="2"/>
  <c r="U353" i="2"/>
  <c r="S353" i="2"/>
  <c r="R353" i="2"/>
  <c r="Q353" i="2"/>
  <c r="P353" i="2"/>
  <c r="O353" i="2"/>
  <c r="N353" i="2"/>
  <c r="M353" i="2"/>
  <c r="L353" i="2"/>
  <c r="K353" i="2"/>
  <c r="J353" i="2"/>
  <c r="I353" i="2"/>
  <c r="H353" i="2"/>
  <c r="G353" i="2"/>
  <c r="F353" i="2"/>
  <c r="E353" i="2"/>
  <c r="D353" i="2"/>
  <c r="C353" i="2"/>
  <c r="A353" i="2"/>
  <c r="AL352" i="2"/>
  <c r="AK352" i="2"/>
  <c r="AJ352" i="2"/>
  <c r="AI352" i="2"/>
  <c r="AH352" i="2"/>
  <c r="AG352" i="2"/>
  <c r="AF352" i="2"/>
  <c r="AE352" i="2"/>
  <c r="AD352" i="2"/>
  <c r="AC352" i="2"/>
  <c r="AB352" i="2"/>
  <c r="AA352" i="2"/>
  <c r="Y352" i="2"/>
  <c r="X352" i="2"/>
  <c r="W352" i="2"/>
  <c r="V352" i="2"/>
  <c r="U352" i="2"/>
  <c r="S352" i="2"/>
  <c r="R352" i="2"/>
  <c r="Q352" i="2"/>
  <c r="P352" i="2"/>
  <c r="O352" i="2"/>
  <c r="N352" i="2"/>
  <c r="M352" i="2"/>
  <c r="L352" i="2"/>
  <c r="K352" i="2"/>
  <c r="J352" i="2"/>
  <c r="I352" i="2"/>
  <c r="H352" i="2"/>
  <c r="G352" i="2"/>
  <c r="F352" i="2"/>
  <c r="E352" i="2"/>
  <c r="D352" i="2"/>
  <c r="C352" i="2"/>
  <c r="A352" i="2"/>
  <c r="AK351" i="2"/>
  <c r="AJ351" i="2"/>
  <c r="AI351" i="2"/>
  <c r="AH351" i="2"/>
  <c r="AG351" i="2"/>
  <c r="AF351" i="2"/>
  <c r="AE351" i="2"/>
  <c r="AD351" i="2"/>
  <c r="AC351" i="2"/>
  <c r="AB351" i="2"/>
  <c r="AA351" i="2"/>
  <c r="Z351" i="2"/>
  <c r="Y351" i="2"/>
  <c r="X351" i="2"/>
  <c r="W351" i="2"/>
  <c r="V351" i="2"/>
  <c r="U351" i="2"/>
  <c r="S351" i="2"/>
  <c r="R351" i="2"/>
  <c r="Q351" i="2"/>
  <c r="P351" i="2"/>
  <c r="O351" i="2"/>
  <c r="N351" i="2"/>
  <c r="M351" i="2"/>
  <c r="L351" i="2"/>
  <c r="K351" i="2"/>
  <c r="J351" i="2"/>
  <c r="I351" i="2"/>
  <c r="H351" i="2"/>
  <c r="G351" i="2"/>
  <c r="F351" i="2"/>
  <c r="E351" i="2"/>
  <c r="D351" i="2"/>
  <c r="C351" i="2"/>
  <c r="A351" i="2"/>
  <c r="AL350" i="2"/>
  <c r="AK350" i="2"/>
  <c r="AJ350" i="2"/>
  <c r="AI350" i="2"/>
  <c r="AG350" i="2"/>
  <c r="AF350" i="2"/>
  <c r="AE350" i="2"/>
  <c r="AC350" i="2"/>
  <c r="AB350" i="2"/>
  <c r="AA350" i="2"/>
  <c r="X350" i="2"/>
  <c r="W350" i="2"/>
  <c r="V350" i="2"/>
  <c r="U350" i="2"/>
  <c r="R350" i="2"/>
  <c r="Q350" i="2"/>
  <c r="P350" i="2"/>
  <c r="O350" i="2"/>
  <c r="N350" i="2"/>
  <c r="M350" i="2"/>
  <c r="L350" i="2"/>
  <c r="K350" i="2"/>
  <c r="J350" i="2"/>
  <c r="I350" i="2"/>
  <c r="H350" i="2"/>
  <c r="G350" i="2"/>
  <c r="F350" i="2"/>
  <c r="E350" i="2"/>
  <c r="D350" i="2"/>
  <c r="C350" i="2"/>
  <c r="B350" i="2"/>
  <c r="A350" i="2"/>
  <c r="AL349" i="2"/>
  <c r="AK349" i="2"/>
  <c r="AJ349" i="2"/>
  <c r="AI349" i="2"/>
  <c r="AH349" i="2"/>
  <c r="AG349" i="2"/>
  <c r="AF349" i="2"/>
  <c r="AE349" i="2"/>
  <c r="AD349" i="2"/>
  <c r="AC349" i="2"/>
  <c r="AB349" i="2"/>
  <c r="AA349" i="2"/>
  <c r="Z349" i="2"/>
  <c r="Y349" i="2"/>
  <c r="X349" i="2"/>
  <c r="W349" i="2"/>
  <c r="V349" i="2"/>
  <c r="U349" i="2"/>
  <c r="S349" i="2"/>
  <c r="R349" i="2"/>
  <c r="Q349" i="2"/>
  <c r="P349" i="2"/>
  <c r="O349" i="2"/>
  <c r="N349" i="2"/>
  <c r="M349" i="2"/>
  <c r="L349" i="2"/>
  <c r="K349" i="2"/>
  <c r="J349" i="2"/>
  <c r="I349" i="2"/>
  <c r="H349" i="2"/>
  <c r="G349" i="2"/>
  <c r="F349" i="2"/>
  <c r="E349" i="2"/>
  <c r="D349" i="2"/>
  <c r="C349" i="2"/>
  <c r="B349" i="2"/>
  <c r="A349" i="2"/>
  <c r="AL348" i="2"/>
  <c r="AK348" i="2"/>
  <c r="AJ348" i="2"/>
  <c r="AI348" i="2"/>
  <c r="AH348" i="2"/>
  <c r="AG348" i="2"/>
  <c r="AF348" i="2"/>
  <c r="AE348" i="2"/>
  <c r="AD348" i="2"/>
  <c r="AC348" i="2"/>
  <c r="AB348" i="2"/>
  <c r="AA348" i="2"/>
  <c r="Z348" i="2"/>
  <c r="Y348" i="2"/>
  <c r="X348" i="2"/>
  <c r="W348" i="2"/>
  <c r="V348" i="2"/>
  <c r="U348" i="2"/>
  <c r="S348" i="2"/>
  <c r="R348" i="2"/>
  <c r="Q348" i="2"/>
  <c r="P348" i="2"/>
  <c r="O348" i="2"/>
  <c r="N348" i="2"/>
  <c r="M348" i="2"/>
  <c r="L348" i="2"/>
  <c r="K348" i="2"/>
  <c r="J348" i="2"/>
  <c r="I348" i="2"/>
  <c r="H348" i="2"/>
  <c r="G348" i="2"/>
  <c r="F348" i="2"/>
  <c r="E348" i="2"/>
  <c r="D348" i="2"/>
  <c r="C348" i="2"/>
  <c r="B348" i="2"/>
  <c r="A348" i="2"/>
  <c r="AL347" i="2"/>
  <c r="AK347" i="2"/>
  <c r="AJ347" i="2"/>
  <c r="AI347" i="2"/>
  <c r="AH347" i="2"/>
  <c r="AG347" i="2"/>
  <c r="AF347" i="2"/>
  <c r="AE347" i="2"/>
  <c r="AD347" i="2"/>
  <c r="AC347" i="2"/>
  <c r="AB347" i="2"/>
  <c r="AA347" i="2"/>
  <c r="Z347" i="2"/>
  <c r="Y347" i="2"/>
  <c r="X347" i="2"/>
  <c r="W347" i="2"/>
  <c r="V347" i="2"/>
  <c r="U347" i="2"/>
  <c r="S347" i="2"/>
  <c r="R347" i="2"/>
  <c r="Q347" i="2"/>
  <c r="P347" i="2"/>
  <c r="O347" i="2"/>
  <c r="N347" i="2"/>
  <c r="M347" i="2"/>
  <c r="L347" i="2"/>
  <c r="K347" i="2"/>
  <c r="J347" i="2"/>
  <c r="I347" i="2"/>
  <c r="H347" i="2"/>
  <c r="G347" i="2"/>
  <c r="F347" i="2"/>
  <c r="E347" i="2"/>
  <c r="D347" i="2"/>
  <c r="C347" i="2"/>
  <c r="A347" i="2"/>
  <c r="AK346" i="2"/>
  <c r="AJ346" i="2"/>
  <c r="AI346" i="2"/>
  <c r="AH346" i="2"/>
  <c r="AG346" i="2"/>
  <c r="AF346" i="2"/>
  <c r="AE346" i="2"/>
  <c r="AD346" i="2"/>
  <c r="AC346" i="2"/>
  <c r="AB346" i="2"/>
  <c r="AA346" i="2"/>
  <c r="Z346" i="2"/>
  <c r="Y346" i="2"/>
  <c r="X346" i="2"/>
  <c r="W346" i="2"/>
  <c r="V346" i="2"/>
  <c r="U346" i="2"/>
  <c r="S346" i="2"/>
  <c r="R346" i="2"/>
  <c r="Q346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D346" i="2"/>
  <c r="C346" i="2"/>
  <c r="B346" i="2"/>
  <c r="A346" i="2"/>
  <c r="AL345" i="2"/>
  <c r="AK345" i="2"/>
  <c r="AJ345" i="2"/>
  <c r="AI345" i="2"/>
  <c r="AH345" i="2"/>
  <c r="AG345" i="2"/>
  <c r="AF345" i="2"/>
  <c r="AE345" i="2"/>
  <c r="AC345" i="2"/>
  <c r="AB345" i="2"/>
  <c r="AA345" i="2"/>
  <c r="Y345" i="2"/>
  <c r="X345" i="2"/>
  <c r="W345" i="2"/>
  <c r="V345" i="2"/>
  <c r="U345" i="2"/>
  <c r="S345" i="2"/>
  <c r="R345" i="2"/>
  <c r="Q345" i="2"/>
  <c r="P345" i="2"/>
  <c r="O345" i="2"/>
  <c r="N345" i="2"/>
  <c r="M345" i="2"/>
  <c r="L345" i="2"/>
  <c r="K345" i="2"/>
  <c r="J345" i="2"/>
  <c r="I345" i="2"/>
  <c r="H345" i="2"/>
  <c r="G345" i="2"/>
  <c r="F345" i="2"/>
  <c r="E345" i="2"/>
  <c r="D345" i="2"/>
  <c r="C345" i="2"/>
  <c r="A345" i="2"/>
  <c r="AL344" i="2"/>
  <c r="AK344" i="2"/>
  <c r="AJ344" i="2"/>
  <c r="AI344" i="2"/>
  <c r="AH344" i="2"/>
  <c r="AG344" i="2"/>
  <c r="AF344" i="2"/>
  <c r="AE344" i="2"/>
  <c r="AD344" i="2"/>
  <c r="AC344" i="2"/>
  <c r="AB344" i="2"/>
  <c r="AA344" i="2"/>
  <c r="Z344" i="2"/>
  <c r="Y344" i="2"/>
  <c r="X344" i="2"/>
  <c r="W344" i="2"/>
  <c r="V344" i="2"/>
  <c r="U344" i="2"/>
  <c r="S344" i="2"/>
  <c r="R344" i="2"/>
  <c r="Q344" i="2"/>
  <c r="P344" i="2"/>
  <c r="O344" i="2"/>
  <c r="N344" i="2"/>
  <c r="M344" i="2"/>
  <c r="L344" i="2"/>
  <c r="K344" i="2"/>
  <c r="J344" i="2"/>
  <c r="I344" i="2"/>
  <c r="H344" i="2"/>
  <c r="G344" i="2"/>
  <c r="F344" i="2"/>
  <c r="E344" i="2"/>
  <c r="D344" i="2"/>
  <c r="C344" i="2"/>
  <c r="B344" i="2"/>
  <c r="A344" i="2"/>
  <c r="AL343" i="2"/>
  <c r="AK343" i="2"/>
  <c r="AJ343" i="2"/>
  <c r="AI343" i="2"/>
  <c r="AH343" i="2"/>
  <c r="AG343" i="2"/>
  <c r="AF343" i="2"/>
  <c r="AE343" i="2"/>
  <c r="AD343" i="2"/>
  <c r="AC343" i="2"/>
  <c r="AB343" i="2"/>
  <c r="AA343" i="2"/>
  <c r="Z343" i="2"/>
  <c r="Y343" i="2"/>
  <c r="X343" i="2"/>
  <c r="W343" i="2"/>
  <c r="V343" i="2"/>
  <c r="U343" i="2"/>
  <c r="S343" i="2"/>
  <c r="R343" i="2"/>
  <c r="Q343" i="2"/>
  <c r="P343" i="2"/>
  <c r="O343" i="2"/>
  <c r="N343" i="2"/>
  <c r="M343" i="2"/>
  <c r="L343" i="2"/>
  <c r="K343" i="2"/>
  <c r="J343" i="2"/>
  <c r="I343" i="2"/>
  <c r="H343" i="2"/>
  <c r="G343" i="2"/>
  <c r="F343" i="2"/>
  <c r="E343" i="2"/>
  <c r="D343" i="2"/>
  <c r="C343" i="2"/>
  <c r="B343" i="2"/>
  <c r="A343" i="2"/>
  <c r="AL342" i="2"/>
  <c r="AK342" i="2"/>
  <c r="AJ342" i="2"/>
  <c r="AI342" i="2"/>
  <c r="AH342" i="2"/>
  <c r="AG342" i="2"/>
  <c r="AF342" i="2"/>
  <c r="AE342" i="2"/>
  <c r="AD342" i="2"/>
  <c r="AC342" i="2"/>
  <c r="AB342" i="2"/>
  <c r="AA342" i="2"/>
  <c r="Y342" i="2"/>
  <c r="X342" i="2"/>
  <c r="W342" i="2"/>
  <c r="V342" i="2"/>
  <c r="U342" i="2"/>
  <c r="S342" i="2"/>
  <c r="R342" i="2"/>
  <c r="Q342" i="2"/>
  <c r="P342" i="2"/>
  <c r="O342" i="2"/>
  <c r="N342" i="2"/>
  <c r="M342" i="2"/>
  <c r="L342" i="2"/>
  <c r="K342" i="2"/>
  <c r="J342" i="2"/>
  <c r="I342" i="2"/>
  <c r="H342" i="2"/>
  <c r="G342" i="2"/>
  <c r="F342" i="2"/>
  <c r="E342" i="2"/>
  <c r="D342" i="2"/>
  <c r="C342" i="2"/>
  <c r="B342" i="2"/>
  <c r="A342" i="2"/>
  <c r="AL341" i="2"/>
  <c r="AK341" i="2"/>
  <c r="AJ341" i="2"/>
  <c r="AI341" i="2"/>
  <c r="AH341" i="2"/>
  <c r="AG341" i="2"/>
  <c r="AF341" i="2"/>
  <c r="AE341" i="2"/>
  <c r="AD341" i="2"/>
  <c r="AC341" i="2"/>
  <c r="AB341" i="2"/>
  <c r="AA341" i="2"/>
  <c r="Y341" i="2"/>
  <c r="X341" i="2"/>
  <c r="W341" i="2"/>
  <c r="V341" i="2"/>
  <c r="U341" i="2"/>
  <c r="S341" i="2"/>
  <c r="R341" i="2"/>
  <c r="Q341" i="2"/>
  <c r="P341" i="2"/>
  <c r="O341" i="2"/>
  <c r="N341" i="2"/>
  <c r="M341" i="2"/>
  <c r="L341" i="2"/>
  <c r="K341" i="2"/>
  <c r="J341" i="2"/>
  <c r="I341" i="2"/>
  <c r="H341" i="2"/>
  <c r="G341" i="2"/>
  <c r="F341" i="2"/>
  <c r="E341" i="2"/>
  <c r="D341" i="2"/>
  <c r="C341" i="2"/>
  <c r="B341" i="2"/>
  <c r="A341" i="2"/>
  <c r="AL340" i="2"/>
  <c r="AK340" i="2"/>
  <c r="AJ340" i="2"/>
  <c r="AI340" i="2"/>
  <c r="AG340" i="2"/>
  <c r="AF340" i="2"/>
  <c r="AE340" i="2"/>
  <c r="AC340" i="2"/>
  <c r="AB340" i="2"/>
  <c r="AA340" i="2"/>
  <c r="X340" i="2"/>
  <c r="W340" i="2"/>
  <c r="V340" i="2"/>
  <c r="U340" i="2"/>
  <c r="R340" i="2"/>
  <c r="Q340" i="2"/>
  <c r="P340" i="2"/>
  <c r="O340" i="2"/>
  <c r="N340" i="2"/>
  <c r="M340" i="2"/>
  <c r="L340" i="2"/>
  <c r="K340" i="2"/>
  <c r="J340" i="2"/>
  <c r="I340" i="2"/>
  <c r="H340" i="2"/>
  <c r="G340" i="2"/>
  <c r="F340" i="2"/>
  <c r="E340" i="2"/>
  <c r="D340" i="2"/>
  <c r="C340" i="2"/>
  <c r="B340" i="2"/>
  <c r="A340" i="2"/>
  <c r="AK339" i="2"/>
  <c r="AJ339" i="2"/>
  <c r="AI339" i="2"/>
  <c r="AH339" i="2"/>
  <c r="AG339" i="2"/>
  <c r="AF339" i="2"/>
  <c r="AE339" i="2"/>
  <c r="AD339" i="2"/>
  <c r="AC339" i="2"/>
  <c r="AB339" i="2"/>
  <c r="AA339" i="2"/>
  <c r="Z339" i="2"/>
  <c r="Y339" i="2"/>
  <c r="X339" i="2"/>
  <c r="W339" i="2"/>
  <c r="V339" i="2"/>
  <c r="U339" i="2"/>
  <c r="S339" i="2"/>
  <c r="R339" i="2"/>
  <c r="Q339" i="2"/>
  <c r="P339" i="2"/>
  <c r="O339" i="2"/>
  <c r="N339" i="2"/>
  <c r="M339" i="2"/>
  <c r="L339" i="2"/>
  <c r="K339" i="2"/>
  <c r="J339" i="2"/>
  <c r="I339" i="2"/>
  <c r="H339" i="2"/>
  <c r="G339" i="2"/>
  <c r="F339" i="2"/>
  <c r="E339" i="2"/>
  <c r="D339" i="2"/>
  <c r="C339" i="2"/>
  <c r="B339" i="2"/>
  <c r="A339" i="2"/>
  <c r="AK338" i="2"/>
  <c r="AJ338" i="2"/>
  <c r="AI338" i="2"/>
  <c r="AH338" i="2"/>
  <c r="AG338" i="2"/>
  <c r="AF338" i="2"/>
  <c r="AE338" i="2"/>
  <c r="AD338" i="2"/>
  <c r="AC338" i="2"/>
  <c r="AB338" i="2"/>
  <c r="AA338" i="2"/>
  <c r="Z338" i="2"/>
  <c r="Y338" i="2"/>
  <c r="X338" i="2"/>
  <c r="W338" i="2"/>
  <c r="V338" i="2"/>
  <c r="U338" i="2"/>
  <c r="S338" i="2"/>
  <c r="R338" i="2"/>
  <c r="Q338" i="2"/>
  <c r="P338" i="2"/>
  <c r="O338" i="2"/>
  <c r="N338" i="2"/>
  <c r="M338" i="2"/>
  <c r="L338" i="2"/>
  <c r="K338" i="2"/>
  <c r="J338" i="2"/>
  <c r="I338" i="2"/>
  <c r="H338" i="2"/>
  <c r="G338" i="2"/>
  <c r="F338" i="2"/>
  <c r="E338" i="2"/>
  <c r="D338" i="2"/>
  <c r="C338" i="2"/>
  <c r="A338" i="2"/>
  <c r="AL337" i="2"/>
  <c r="AK337" i="2"/>
  <c r="AJ337" i="2"/>
  <c r="AI337" i="2"/>
  <c r="AH337" i="2"/>
  <c r="AG337" i="2"/>
  <c r="AF337" i="2"/>
  <c r="AE337" i="2"/>
  <c r="AC337" i="2"/>
  <c r="AB337" i="2"/>
  <c r="AA337" i="2"/>
  <c r="Z337" i="2"/>
  <c r="Y337" i="2"/>
  <c r="X337" i="2"/>
  <c r="W337" i="2"/>
  <c r="V337" i="2"/>
  <c r="U337" i="2"/>
  <c r="S337" i="2"/>
  <c r="R337" i="2"/>
  <c r="Q337" i="2"/>
  <c r="P337" i="2"/>
  <c r="O337" i="2"/>
  <c r="N337" i="2"/>
  <c r="M337" i="2"/>
  <c r="L337" i="2"/>
  <c r="K337" i="2"/>
  <c r="J337" i="2"/>
  <c r="I337" i="2"/>
  <c r="H337" i="2"/>
  <c r="G337" i="2"/>
  <c r="F337" i="2"/>
  <c r="E337" i="2"/>
  <c r="D337" i="2"/>
  <c r="C337" i="2"/>
  <c r="B337" i="2"/>
  <c r="A337" i="2"/>
  <c r="AL336" i="2"/>
  <c r="AK336" i="2"/>
  <c r="AJ336" i="2"/>
  <c r="AI336" i="2"/>
  <c r="AH336" i="2"/>
  <c r="AG336" i="2"/>
  <c r="AF336" i="2"/>
  <c r="AE336" i="2"/>
  <c r="AD336" i="2"/>
  <c r="AC336" i="2"/>
  <c r="AB336" i="2"/>
  <c r="AA336" i="2"/>
  <c r="Z336" i="2"/>
  <c r="Y336" i="2"/>
  <c r="X336" i="2"/>
  <c r="W336" i="2"/>
  <c r="V336" i="2"/>
  <c r="U336" i="2"/>
  <c r="S336" i="2"/>
  <c r="R336" i="2"/>
  <c r="Q336" i="2"/>
  <c r="P336" i="2"/>
  <c r="O336" i="2"/>
  <c r="N336" i="2"/>
  <c r="M336" i="2"/>
  <c r="L336" i="2"/>
  <c r="K336" i="2"/>
  <c r="J336" i="2"/>
  <c r="I336" i="2"/>
  <c r="H336" i="2"/>
  <c r="G336" i="2"/>
  <c r="F336" i="2"/>
  <c r="E336" i="2"/>
  <c r="D336" i="2"/>
  <c r="C336" i="2"/>
  <c r="A336" i="2"/>
  <c r="AL335" i="2"/>
  <c r="AK335" i="2"/>
  <c r="AJ335" i="2"/>
  <c r="AI335" i="2"/>
  <c r="AH335" i="2"/>
  <c r="AG335" i="2"/>
  <c r="AF335" i="2"/>
  <c r="AE335" i="2"/>
  <c r="AD335" i="2"/>
  <c r="AC335" i="2"/>
  <c r="AB335" i="2"/>
  <c r="AA335" i="2"/>
  <c r="Z335" i="2"/>
  <c r="Y335" i="2"/>
  <c r="X335" i="2"/>
  <c r="W335" i="2"/>
  <c r="V335" i="2"/>
  <c r="U335" i="2"/>
  <c r="S335" i="2"/>
  <c r="R335" i="2"/>
  <c r="Q335" i="2"/>
  <c r="P335" i="2"/>
  <c r="O335" i="2"/>
  <c r="N335" i="2"/>
  <c r="M335" i="2"/>
  <c r="L335" i="2"/>
  <c r="K335" i="2"/>
  <c r="J335" i="2"/>
  <c r="I335" i="2"/>
  <c r="H335" i="2"/>
  <c r="G335" i="2"/>
  <c r="F335" i="2"/>
  <c r="E335" i="2"/>
  <c r="D335" i="2"/>
  <c r="C335" i="2"/>
  <c r="A335" i="2"/>
  <c r="AK334" i="2"/>
  <c r="AJ334" i="2"/>
  <c r="AI334" i="2"/>
  <c r="AH334" i="2"/>
  <c r="AG334" i="2"/>
  <c r="AF334" i="2"/>
  <c r="AE334" i="2"/>
  <c r="AD334" i="2"/>
  <c r="AC334" i="2"/>
  <c r="AB334" i="2"/>
  <c r="AA334" i="2"/>
  <c r="Z334" i="2"/>
  <c r="Y334" i="2"/>
  <c r="X334" i="2"/>
  <c r="W334" i="2"/>
  <c r="V334" i="2"/>
  <c r="U334" i="2"/>
  <c r="S334" i="2"/>
  <c r="R334" i="2"/>
  <c r="Q334" i="2"/>
  <c r="P334" i="2"/>
  <c r="O334" i="2"/>
  <c r="N334" i="2"/>
  <c r="M334" i="2"/>
  <c r="L334" i="2"/>
  <c r="K334" i="2"/>
  <c r="J334" i="2"/>
  <c r="I334" i="2"/>
  <c r="H334" i="2"/>
  <c r="G334" i="2"/>
  <c r="F334" i="2"/>
  <c r="E334" i="2"/>
  <c r="D334" i="2"/>
  <c r="C334" i="2"/>
  <c r="B334" i="2"/>
  <c r="A334" i="2"/>
  <c r="AK333" i="2"/>
  <c r="AJ333" i="2"/>
  <c r="AI333" i="2"/>
  <c r="AH333" i="2"/>
  <c r="AG333" i="2"/>
  <c r="AF333" i="2"/>
  <c r="AE333" i="2"/>
  <c r="AD333" i="2"/>
  <c r="AC333" i="2"/>
  <c r="AB333" i="2"/>
  <c r="AA333" i="2"/>
  <c r="Z333" i="2"/>
  <c r="Y333" i="2"/>
  <c r="X333" i="2"/>
  <c r="W333" i="2"/>
  <c r="V333" i="2"/>
  <c r="U333" i="2"/>
  <c r="S333" i="2"/>
  <c r="R333" i="2"/>
  <c r="Q333" i="2"/>
  <c r="P333" i="2"/>
  <c r="O333" i="2"/>
  <c r="N333" i="2"/>
  <c r="M333" i="2"/>
  <c r="L333" i="2"/>
  <c r="K333" i="2"/>
  <c r="J333" i="2"/>
  <c r="I333" i="2"/>
  <c r="H333" i="2"/>
  <c r="G333" i="2"/>
  <c r="F333" i="2"/>
  <c r="E333" i="2"/>
  <c r="D333" i="2"/>
  <c r="C333" i="2"/>
  <c r="A333" i="2"/>
  <c r="AK332" i="2"/>
  <c r="AJ332" i="2"/>
  <c r="AI332" i="2"/>
  <c r="AH332" i="2"/>
  <c r="AG332" i="2"/>
  <c r="AF332" i="2"/>
  <c r="AE332" i="2"/>
  <c r="AD332" i="2"/>
  <c r="AC332" i="2"/>
  <c r="AB332" i="2"/>
  <c r="AA332" i="2"/>
  <c r="Z332" i="2"/>
  <c r="Y332" i="2"/>
  <c r="X332" i="2"/>
  <c r="W332" i="2"/>
  <c r="V332" i="2"/>
  <c r="U332" i="2"/>
  <c r="S332" i="2"/>
  <c r="R332" i="2"/>
  <c r="Q332" i="2"/>
  <c r="P332" i="2"/>
  <c r="O332" i="2"/>
  <c r="N332" i="2"/>
  <c r="M332" i="2"/>
  <c r="L332" i="2"/>
  <c r="K332" i="2"/>
  <c r="J332" i="2"/>
  <c r="I332" i="2"/>
  <c r="H332" i="2"/>
  <c r="G332" i="2"/>
  <c r="F332" i="2"/>
  <c r="E332" i="2"/>
  <c r="D332" i="2"/>
  <c r="C332" i="2"/>
  <c r="A332" i="2"/>
  <c r="AL331" i="2"/>
  <c r="AK331" i="2"/>
  <c r="AJ331" i="2"/>
  <c r="AI331" i="2"/>
  <c r="AH331" i="2"/>
  <c r="AG331" i="2"/>
  <c r="AF331" i="2"/>
  <c r="AE331" i="2"/>
  <c r="AD331" i="2"/>
  <c r="AC331" i="2"/>
  <c r="AB331" i="2"/>
  <c r="AA331" i="2"/>
  <c r="Z331" i="2"/>
  <c r="Y331" i="2"/>
  <c r="X331" i="2"/>
  <c r="W331" i="2"/>
  <c r="V331" i="2"/>
  <c r="U331" i="2"/>
  <c r="S331" i="2"/>
  <c r="R331" i="2"/>
  <c r="Q331" i="2"/>
  <c r="P331" i="2"/>
  <c r="O331" i="2"/>
  <c r="N331" i="2"/>
  <c r="M331" i="2"/>
  <c r="L331" i="2"/>
  <c r="K331" i="2"/>
  <c r="J331" i="2"/>
  <c r="I331" i="2"/>
  <c r="H331" i="2"/>
  <c r="G331" i="2"/>
  <c r="F331" i="2"/>
  <c r="E331" i="2"/>
  <c r="D331" i="2"/>
  <c r="C331" i="2"/>
  <c r="A331" i="2"/>
  <c r="AK330" i="2"/>
  <c r="AJ330" i="2"/>
  <c r="AI330" i="2"/>
  <c r="AG330" i="2"/>
  <c r="AF330" i="2"/>
  <c r="AE330" i="2"/>
  <c r="AC330" i="2"/>
  <c r="AB330" i="2"/>
  <c r="AA330" i="2"/>
  <c r="X330" i="2"/>
  <c r="W330" i="2"/>
  <c r="V330" i="2"/>
  <c r="U330" i="2"/>
  <c r="R330" i="2"/>
  <c r="Q330" i="2"/>
  <c r="P330" i="2"/>
  <c r="O330" i="2"/>
  <c r="N330" i="2"/>
  <c r="M330" i="2"/>
  <c r="L330" i="2"/>
  <c r="K330" i="2"/>
  <c r="J330" i="2"/>
  <c r="I330" i="2"/>
  <c r="H330" i="2"/>
  <c r="G330" i="2"/>
  <c r="F330" i="2"/>
  <c r="E330" i="2"/>
  <c r="D330" i="2"/>
  <c r="C330" i="2"/>
  <c r="B330" i="2"/>
  <c r="A330" i="2"/>
  <c r="AL329" i="2"/>
  <c r="AK329" i="2"/>
  <c r="AJ329" i="2"/>
  <c r="AI329" i="2"/>
  <c r="AH329" i="2"/>
  <c r="AG329" i="2"/>
  <c r="AF329" i="2"/>
  <c r="AE329" i="2"/>
  <c r="AD329" i="2"/>
  <c r="AC329" i="2"/>
  <c r="AB329" i="2"/>
  <c r="AA329" i="2"/>
  <c r="Z329" i="2"/>
  <c r="Y329" i="2"/>
  <c r="X329" i="2"/>
  <c r="W329" i="2"/>
  <c r="V329" i="2"/>
  <c r="U329" i="2"/>
  <c r="S329" i="2"/>
  <c r="R329" i="2"/>
  <c r="Q329" i="2"/>
  <c r="P329" i="2"/>
  <c r="O329" i="2"/>
  <c r="N329" i="2"/>
  <c r="M329" i="2"/>
  <c r="L329" i="2"/>
  <c r="K329" i="2"/>
  <c r="J329" i="2"/>
  <c r="I329" i="2"/>
  <c r="H329" i="2"/>
  <c r="G329" i="2"/>
  <c r="F329" i="2"/>
  <c r="E329" i="2"/>
  <c r="D329" i="2"/>
  <c r="C329" i="2"/>
  <c r="B329" i="2"/>
  <c r="A329" i="2"/>
  <c r="AL328" i="2"/>
  <c r="AK328" i="2"/>
  <c r="AJ328" i="2"/>
  <c r="AI328" i="2"/>
  <c r="AH328" i="2"/>
  <c r="AG328" i="2"/>
  <c r="AF328" i="2"/>
  <c r="AE328" i="2"/>
  <c r="AC328" i="2"/>
  <c r="AB328" i="2"/>
  <c r="AA328" i="2"/>
  <c r="Z328" i="2"/>
  <c r="Y328" i="2"/>
  <c r="X328" i="2"/>
  <c r="W328" i="2"/>
  <c r="V328" i="2"/>
  <c r="U328" i="2"/>
  <c r="S328" i="2"/>
  <c r="R328" i="2"/>
  <c r="Q328" i="2"/>
  <c r="P328" i="2"/>
  <c r="O328" i="2"/>
  <c r="N328" i="2"/>
  <c r="M328" i="2"/>
  <c r="L328" i="2"/>
  <c r="K328" i="2"/>
  <c r="J328" i="2"/>
  <c r="I328" i="2"/>
  <c r="H328" i="2"/>
  <c r="G328" i="2"/>
  <c r="F328" i="2"/>
  <c r="E328" i="2"/>
  <c r="D328" i="2"/>
  <c r="C328" i="2"/>
  <c r="B328" i="2"/>
  <c r="A328" i="2"/>
  <c r="AL327" i="2"/>
  <c r="AK327" i="2"/>
  <c r="AJ327" i="2"/>
  <c r="AI327" i="2"/>
  <c r="AG327" i="2"/>
  <c r="AF327" i="2"/>
  <c r="AE327" i="2"/>
  <c r="AC327" i="2"/>
  <c r="AB327" i="2"/>
  <c r="AA327" i="2"/>
  <c r="X327" i="2"/>
  <c r="W327" i="2"/>
  <c r="V327" i="2"/>
  <c r="U327" i="2"/>
  <c r="R327" i="2"/>
  <c r="Q327" i="2"/>
  <c r="P327" i="2"/>
  <c r="O327" i="2"/>
  <c r="N327" i="2"/>
  <c r="M327" i="2"/>
  <c r="L327" i="2"/>
  <c r="K327" i="2"/>
  <c r="J327" i="2"/>
  <c r="I327" i="2"/>
  <c r="H327" i="2"/>
  <c r="G327" i="2"/>
  <c r="F327" i="2"/>
  <c r="E327" i="2"/>
  <c r="D327" i="2"/>
  <c r="C327" i="2"/>
  <c r="B327" i="2"/>
  <c r="A327" i="2"/>
  <c r="AL326" i="2"/>
  <c r="AK326" i="2"/>
  <c r="AJ326" i="2"/>
  <c r="AI326" i="2"/>
  <c r="AG326" i="2"/>
  <c r="AF326" i="2"/>
  <c r="AE326" i="2"/>
  <c r="AC326" i="2"/>
  <c r="AB326" i="2"/>
  <c r="AA326" i="2"/>
  <c r="X326" i="2"/>
  <c r="W326" i="2"/>
  <c r="V326" i="2"/>
  <c r="U326" i="2"/>
  <c r="R326" i="2"/>
  <c r="Q326" i="2"/>
  <c r="P326" i="2"/>
  <c r="O326" i="2"/>
  <c r="N326" i="2"/>
  <c r="M326" i="2"/>
  <c r="L326" i="2"/>
  <c r="K326" i="2"/>
  <c r="J326" i="2"/>
  <c r="I326" i="2"/>
  <c r="H326" i="2"/>
  <c r="G326" i="2"/>
  <c r="F326" i="2"/>
  <c r="E326" i="2"/>
  <c r="D326" i="2"/>
  <c r="C326" i="2"/>
  <c r="B326" i="2"/>
  <c r="A326" i="2"/>
  <c r="AL325" i="2"/>
  <c r="AK325" i="2"/>
  <c r="AJ325" i="2"/>
  <c r="AI325" i="2"/>
  <c r="AH325" i="2"/>
  <c r="AG325" i="2"/>
  <c r="AF325" i="2"/>
  <c r="AE325" i="2"/>
  <c r="AD325" i="2"/>
  <c r="AC325" i="2"/>
  <c r="AB325" i="2"/>
  <c r="AA325" i="2"/>
  <c r="Z325" i="2"/>
  <c r="Y325" i="2"/>
  <c r="X325" i="2"/>
  <c r="W325" i="2"/>
  <c r="V325" i="2"/>
  <c r="U325" i="2"/>
  <c r="S325" i="2"/>
  <c r="R325" i="2"/>
  <c r="Q325" i="2"/>
  <c r="P325" i="2"/>
  <c r="O325" i="2"/>
  <c r="N325" i="2"/>
  <c r="M325" i="2"/>
  <c r="L325" i="2"/>
  <c r="K325" i="2"/>
  <c r="J325" i="2"/>
  <c r="I325" i="2"/>
  <c r="H325" i="2"/>
  <c r="G325" i="2"/>
  <c r="F325" i="2"/>
  <c r="E325" i="2"/>
  <c r="D325" i="2"/>
  <c r="C325" i="2"/>
  <c r="A325" i="2"/>
  <c r="AL324" i="2"/>
  <c r="AK324" i="2"/>
  <c r="AJ324" i="2"/>
  <c r="AI324" i="2"/>
  <c r="AG324" i="2"/>
  <c r="AF324" i="2"/>
  <c r="AE324" i="2"/>
  <c r="AC324" i="2"/>
  <c r="AB324" i="2"/>
  <c r="AA324" i="2"/>
  <c r="X324" i="2"/>
  <c r="W324" i="2"/>
  <c r="V324" i="2"/>
  <c r="U324" i="2"/>
  <c r="R324" i="2"/>
  <c r="Q324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D324" i="2"/>
  <c r="C324" i="2"/>
  <c r="A324" i="2"/>
  <c r="AK323" i="2"/>
  <c r="AJ323" i="2"/>
  <c r="AI323" i="2"/>
  <c r="AG323" i="2"/>
  <c r="AF323" i="2"/>
  <c r="AE323" i="2"/>
  <c r="AC323" i="2"/>
  <c r="AB323" i="2"/>
  <c r="AA323" i="2"/>
  <c r="X323" i="2"/>
  <c r="W323" i="2"/>
  <c r="V323" i="2"/>
  <c r="U323" i="2"/>
  <c r="R323" i="2"/>
  <c r="Q323" i="2"/>
  <c r="P323" i="2"/>
  <c r="O323" i="2"/>
  <c r="N323" i="2"/>
  <c r="M323" i="2"/>
  <c r="L323" i="2"/>
  <c r="K323" i="2"/>
  <c r="J323" i="2"/>
  <c r="I323" i="2"/>
  <c r="H323" i="2"/>
  <c r="G323" i="2"/>
  <c r="F323" i="2"/>
  <c r="E323" i="2"/>
  <c r="D323" i="2"/>
  <c r="C323" i="2"/>
  <c r="A323" i="2"/>
  <c r="AL322" i="2"/>
  <c r="AK322" i="2"/>
  <c r="AJ322" i="2"/>
  <c r="AI322" i="2"/>
  <c r="AH322" i="2"/>
  <c r="AG322" i="2"/>
  <c r="AF322" i="2"/>
  <c r="AE322" i="2"/>
  <c r="AD322" i="2"/>
  <c r="AC322" i="2"/>
  <c r="AB322" i="2"/>
  <c r="AA322" i="2"/>
  <c r="Z322" i="2"/>
  <c r="Y322" i="2"/>
  <c r="X322" i="2"/>
  <c r="W322" i="2"/>
  <c r="V322" i="2"/>
  <c r="U322" i="2"/>
  <c r="S322" i="2"/>
  <c r="R322" i="2"/>
  <c r="Q322" i="2"/>
  <c r="P322" i="2"/>
  <c r="O322" i="2"/>
  <c r="N322" i="2"/>
  <c r="M322" i="2"/>
  <c r="L322" i="2"/>
  <c r="K322" i="2"/>
  <c r="J322" i="2"/>
  <c r="I322" i="2"/>
  <c r="H322" i="2"/>
  <c r="G322" i="2"/>
  <c r="F322" i="2"/>
  <c r="E322" i="2"/>
  <c r="D322" i="2"/>
  <c r="C322" i="2"/>
  <c r="B322" i="2"/>
  <c r="A322" i="2"/>
  <c r="AK321" i="2"/>
  <c r="AJ321" i="2"/>
  <c r="AI321" i="2"/>
  <c r="AH321" i="2"/>
  <c r="AG321" i="2"/>
  <c r="AF321" i="2"/>
  <c r="AE321" i="2"/>
  <c r="AD321" i="2"/>
  <c r="AC321" i="2"/>
  <c r="AB321" i="2"/>
  <c r="AA321" i="2"/>
  <c r="Z321" i="2"/>
  <c r="Y321" i="2"/>
  <c r="X321" i="2"/>
  <c r="W321" i="2"/>
  <c r="V321" i="2"/>
  <c r="U321" i="2"/>
  <c r="S321" i="2"/>
  <c r="R321" i="2"/>
  <c r="Q321" i="2"/>
  <c r="P321" i="2"/>
  <c r="O321" i="2"/>
  <c r="N321" i="2"/>
  <c r="M321" i="2"/>
  <c r="L321" i="2"/>
  <c r="K321" i="2"/>
  <c r="J321" i="2"/>
  <c r="I321" i="2"/>
  <c r="H321" i="2"/>
  <c r="G321" i="2"/>
  <c r="F321" i="2"/>
  <c r="E321" i="2"/>
  <c r="D321" i="2"/>
  <c r="C321" i="2"/>
  <c r="B321" i="2"/>
  <c r="A321" i="2"/>
  <c r="AL320" i="2"/>
  <c r="AK320" i="2"/>
  <c r="AJ320" i="2"/>
  <c r="AI320" i="2"/>
  <c r="AH320" i="2"/>
  <c r="AG320" i="2"/>
  <c r="AF320" i="2"/>
  <c r="AE320" i="2"/>
  <c r="AC320" i="2"/>
  <c r="AB320" i="2"/>
  <c r="AA320" i="2"/>
  <c r="Z320" i="2"/>
  <c r="Y320" i="2"/>
  <c r="X320" i="2"/>
  <c r="W320" i="2"/>
  <c r="V320" i="2"/>
  <c r="U320" i="2"/>
  <c r="S320" i="2"/>
  <c r="R320" i="2"/>
  <c r="Q320" i="2"/>
  <c r="P320" i="2"/>
  <c r="O320" i="2"/>
  <c r="N320" i="2"/>
  <c r="M320" i="2"/>
  <c r="L320" i="2"/>
  <c r="K320" i="2"/>
  <c r="J320" i="2"/>
  <c r="I320" i="2"/>
  <c r="H320" i="2"/>
  <c r="G320" i="2"/>
  <c r="F320" i="2"/>
  <c r="E320" i="2"/>
  <c r="D320" i="2"/>
  <c r="C320" i="2"/>
  <c r="B320" i="2"/>
  <c r="A320" i="2"/>
  <c r="AK319" i="2"/>
  <c r="AJ319" i="2"/>
  <c r="AI319" i="2"/>
  <c r="AH319" i="2"/>
  <c r="AG319" i="2"/>
  <c r="AF319" i="2"/>
  <c r="AE319" i="2"/>
  <c r="AD319" i="2"/>
  <c r="AC319" i="2"/>
  <c r="AB319" i="2"/>
  <c r="AA319" i="2"/>
  <c r="Z319" i="2"/>
  <c r="Y319" i="2"/>
  <c r="X319" i="2"/>
  <c r="W319" i="2"/>
  <c r="V319" i="2"/>
  <c r="U319" i="2"/>
  <c r="S319" i="2"/>
  <c r="R319" i="2"/>
  <c r="Q319" i="2"/>
  <c r="P319" i="2"/>
  <c r="O319" i="2"/>
  <c r="N319" i="2"/>
  <c r="M319" i="2"/>
  <c r="L319" i="2"/>
  <c r="K319" i="2"/>
  <c r="J319" i="2"/>
  <c r="I319" i="2"/>
  <c r="H319" i="2"/>
  <c r="G319" i="2"/>
  <c r="F319" i="2"/>
  <c r="E319" i="2"/>
  <c r="D319" i="2"/>
  <c r="C319" i="2"/>
  <c r="A319" i="2"/>
  <c r="AK318" i="2"/>
  <c r="AJ318" i="2"/>
  <c r="AI318" i="2"/>
  <c r="AH318" i="2"/>
  <c r="AG318" i="2"/>
  <c r="AF318" i="2"/>
  <c r="AE318" i="2"/>
  <c r="AD318" i="2"/>
  <c r="AC318" i="2"/>
  <c r="AB318" i="2"/>
  <c r="AA318" i="2"/>
  <c r="Z318" i="2"/>
  <c r="Y318" i="2"/>
  <c r="X318" i="2"/>
  <c r="W318" i="2"/>
  <c r="V318" i="2"/>
  <c r="U318" i="2"/>
  <c r="S318" i="2"/>
  <c r="R318" i="2"/>
  <c r="Q318" i="2"/>
  <c r="P318" i="2"/>
  <c r="O318" i="2"/>
  <c r="N318" i="2"/>
  <c r="M318" i="2"/>
  <c r="L318" i="2"/>
  <c r="K318" i="2"/>
  <c r="J318" i="2"/>
  <c r="I318" i="2"/>
  <c r="H318" i="2"/>
  <c r="G318" i="2"/>
  <c r="F318" i="2"/>
  <c r="E318" i="2"/>
  <c r="D318" i="2"/>
  <c r="C318" i="2"/>
  <c r="A318" i="2"/>
  <c r="AL317" i="2"/>
  <c r="AK317" i="2"/>
  <c r="AJ317" i="2"/>
  <c r="AI317" i="2"/>
  <c r="AH317" i="2"/>
  <c r="AG317" i="2"/>
  <c r="AF317" i="2"/>
  <c r="AE317" i="2"/>
  <c r="AD317" i="2"/>
  <c r="AC317" i="2"/>
  <c r="AB317" i="2"/>
  <c r="AA317" i="2"/>
  <c r="Z317" i="2"/>
  <c r="Y317" i="2"/>
  <c r="X317" i="2"/>
  <c r="W317" i="2"/>
  <c r="V317" i="2"/>
  <c r="U317" i="2"/>
  <c r="S317" i="2"/>
  <c r="R317" i="2"/>
  <c r="Q317" i="2"/>
  <c r="P317" i="2"/>
  <c r="O317" i="2"/>
  <c r="N317" i="2"/>
  <c r="M317" i="2"/>
  <c r="L317" i="2"/>
  <c r="K317" i="2"/>
  <c r="J317" i="2"/>
  <c r="I317" i="2"/>
  <c r="H317" i="2"/>
  <c r="G317" i="2"/>
  <c r="F317" i="2"/>
  <c r="E317" i="2"/>
  <c r="D317" i="2"/>
  <c r="C317" i="2"/>
  <c r="A317" i="2"/>
  <c r="AK316" i="2"/>
  <c r="AJ316" i="2"/>
  <c r="AI316" i="2"/>
  <c r="AH316" i="2"/>
  <c r="AG316" i="2"/>
  <c r="AF316" i="2"/>
  <c r="AE316" i="2"/>
  <c r="AC316" i="2"/>
  <c r="AB316" i="2"/>
  <c r="AA316" i="2"/>
  <c r="Z316" i="2"/>
  <c r="Y316" i="2"/>
  <c r="X316" i="2"/>
  <c r="W316" i="2"/>
  <c r="V316" i="2"/>
  <c r="U316" i="2"/>
  <c r="S316" i="2"/>
  <c r="R316" i="2"/>
  <c r="Q316" i="2"/>
  <c r="P316" i="2"/>
  <c r="O316" i="2"/>
  <c r="N316" i="2"/>
  <c r="M316" i="2"/>
  <c r="L316" i="2"/>
  <c r="K316" i="2"/>
  <c r="J316" i="2"/>
  <c r="I316" i="2"/>
  <c r="H316" i="2"/>
  <c r="G316" i="2"/>
  <c r="F316" i="2"/>
  <c r="E316" i="2"/>
  <c r="D316" i="2"/>
  <c r="C316" i="2"/>
  <c r="B316" i="2"/>
  <c r="A316" i="2"/>
  <c r="AK315" i="2"/>
  <c r="AJ315" i="2"/>
  <c r="AI315" i="2"/>
  <c r="AH315" i="2"/>
  <c r="AG315" i="2"/>
  <c r="AF315" i="2"/>
  <c r="AE315" i="2"/>
  <c r="AD315" i="2"/>
  <c r="AC315" i="2"/>
  <c r="AB315" i="2"/>
  <c r="AA315" i="2"/>
  <c r="Z315" i="2"/>
  <c r="Y315" i="2"/>
  <c r="X315" i="2"/>
  <c r="W315" i="2"/>
  <c r="V315" i="2"/>
  <c r="U315" i="2"/>
  <c r="S315" i="2"/>
  <c r="R315" i="2"/>
  <c r="Q315" i="2"/>
  <c r="P315" i="2"/>
  <c r="O315" i="2"/>
  <c r="N315" i="2"/>
  <c r="M315" i="2"/>
  <c r="L315" i="2"/>
  <c r="K315" i="2"/>
  <c r="J315" i="2"/>
  <c r="I315" i="2"/>
  <c r="H315" i="2"/>
  <c r="G315" i="2"/>
  <c r="F315" i="2"/>
  <c r="E315" i="2"/>
  <c r="D315" i="2"/>
  <c r="C315" i="2"/>
  <c r="A315" i="2"/>
  <c r="AK314" i="2"/>
  <c r="AJ314" i="2"/>
  <c r="AI314" i="2"/>
  <c r="AH314" i="2"/>
  <c r="AG314" i="2"/>
  <c r="AF314" i="2"/>
  <c r="AE314" i="2"/>
  <c r="AD314" i="2"/>
  <c r="AC314" i="2"/>
  <c r="AB314" i="2"/>
  <c r="AA314" i="2"/>
  <c r="Z314" i="2"/>
  <c r="Y314" i="2"/>
  <c r="X314" i="2"/>
  <c r="W314" i="2"/>
  <c r="V314" i="2"/>
  <c r="U314" i="2"/>
  <c r="S314" i="2"/>
  <c r="R314" i="2"/>
  <c r="Q314" i="2"/>
  <c r="P314" i="2"/>
  <c r="O314" i="2"/>
  <c r="N314" i="2"/>
  <c r="M314" i="2"/>
  <c r="L314" i="2"/>
  <c r="K314" i="2"/>
  <c r="J314" i="2"/>
  <c r="I314" i="2"/>
  <c r="H314" i="2"/>
  <c r="G314" i="2"/>
  <c r="F314" i="2"/>
  <c r="E314" i="2"/>
  <c r="D314" i="2"/>
  <c r="C314" i="2"/>
  <c r="B314" i="2"/>
  <c r="A314" i="2"/>
  <c r="AK313" i="2"/>
  <c r="AJ313" i="2"/>
  <c r="AI313" i="2"/>
  <c r="AG313" i="2"/>
  <c r="AF313" i="2"/>
  <c r="AE313" i="2"/>
  <c r="AC313" i="2"/>
  <c r="AB313" i="2"/>
  <c r="AA313" i="2"/>
  <c r="X313" i="2"/>
  <c r="W313" i="2"/>
  <c r="V313" i="2"/>
  <c r="U313" i="2"/>
  <c r="R313" i="2"/>
  <c r="Q313" i="2"/>
  <c r="P313" i="2"/>
  <c r="O313" i="2"/>
  <c r="N313" i="2"/>
  <c r="M313" i="2"/>
  <c r="L313" i="2"/>
  <c r="K313" i="2"/>
  <c r="J313" i="2"/>
  <c r="I313" i="2"/>
  <c r="H313" i="2"/>
  <c r="G313" i="2"/>
  <c r="F313" i="2"/>
  <c r="E313" i="2"/>
  <c r="D313" i="2"/>
  <c r="C313" i="2"/>
  <c r="A313" i="2"/>
  <c r="AL312" i="2"/>
  <c r="AK312" i="2"/>
  <c r="AJ312" i="2"/>
  <c r="AI312" i="2"/>
  <c r="AH312" i="2"/>
  <c r="AG312" i="2"/>
  <c r="AF312" i="2"/>
  <c r="AE312" i="2"/>
  <c r="AD312" i="2"/>
  <c r="AC312" i="2"/>
  <c r="AB312" i="2"/>
  <c r="AA312" i="2"/>
  <c r="Z312" i="2"/>
  <c r="Y312" i="2"/>
  <c r="X312" i="2"/>
  <c r="W312" i="2"/>
  <c r="V312" i="2"/>
  <c r="U312" i="2"/>
  <c r="S312" i="2"/>
  <c r="R312" i="2"/>
  <c r="Q312" i="2"/>
  <c r="P312" i="2"/>
  <c r="O312" i="2"/>
  <c r="N312" i="2"/>
  <c r="M312" i="2"/>
  <c r="L312" i="2"/>
  <c r="K312" i="2"/>
  <c r="J312" i="2"/>
  <c r="I312" i="2"/>
  <c r="H312" i="2"/>
  <c r="G312" i="2"/>
  <c r="F312" i="2"/>
  <c r="E312" i="2"/>
  <c r="D312" i="2"/>
  <c r="C312" i="2"/>
  <c r="B312" i="2"/>
  <c r="A312" i="2"/>
  <c r="AK311" i="2"/>
  <c r="AJ311" i="2"/>
  <c r="AI311" i="2"/>
  <c r="AH311" i="2"/>
  <c r="AG311" i="2"/>
  <c r="AF311" i="2"/>
  <c r="AE311" i="2"/>
  <c r="AD311" i="2"/>
  <c r="AC311" i="2"/>
  <c r="AB311" i="2"/>
  <c r="AA311" i="2"/>
  <c r="Z311" i="2"/>
  <c r="Y311" i="2"/>
  <c r="X311" i="2"/>
  <c r="W311" i="2"/>
  <c r="V311" i="2"/>
  <c r="U311" i="2"/>
  <c r="S311" i="2"/>
  <c r="R311" i="2"/>
  <c r="Q311" i="2"/>
  <c r="P311" i="2"/>
  <c r="O311" i="2"/>
  <c r="N311" i="2"/>
  <c r="M311" i="2"/>
  <c r="L311" i="2"/>
  <c r="K311" i="2"/>
  <c r="J311" i="2"/>
  <c r="I311" i="2"/>
  <c r="H311" i="2"/>
  <c r="G311" i="2"/>
  <c r="F311" i="2"/>
  <c r="E311" i="2"/>
  <c r="D311" i="2"/>
  <c r="C311" i="2"/>
  <c r="B311" i="2"/>
  <c r="A311" i="2"/>
  <c r="AL310" i="2"/>
  <c r="AK310" i="2"/>
  <c r="AJ310" i="2"/>
  <c r="AI310" i="2"/>
  <c r="AH310" i="2"/>
  <c r="AG310" i="2"/>
  <c r="AF310" i="2"/>
  <c r="AE310" i="2"/>
  <c r="AD310" i="2"/>
  <c r="AC310" i="2"/>
  <c r="AB310" i="2"/>
  <c r="AA310" i="2"/>
  <c r="Z310" i="2"/>
  <c r="Y310" i="2"/>
  <c r="X310" i="2"/>
  <c r="W310" i="2"/>
  <c r="V310" i="2"/>
  <c r="U310" i="2"/>
  <c r="S310" i="2"/>
  <c r="R310" i="2"/>
  <c r="Q310" i="2"/>
  <c r="P310" i="2"/>
  <c r="O310" i="2"/>
  <c r="N310" i="2"/>
  <c r="M310" i="2"/>
  <c r="L310" i="2"/>
  <c r="K310" i="2"/>
  <c r="J310" i="2"/>
  <c r="I310" i="2"/>
  <c r="H310" i="2"/>
  <c r="G310" i="2"/>
  <c r="F310" i="2"/>
  <c r="E310" i="2"/>
  <c r="D310" i="2"/>
  <c r="C310" i="2"/>
  <c r="B310" i="2"/>
  <c r="A310" i="2"/>
  <c r="AL309" i="2"/>
  <c r="AK309" i="2"/>
  <c r="AJ309" i="2"/>
  <c r="AI309" i="2"/>
  <c r="AH309" i="2"/>
  <c r="AG309" i="2"/>
  <c r="AF309" i="2"/>
  <c r="AE309" i="2"/>
  <c r="AD309" i="2"/>
  <c r="AC309" i="2"/>
  <c r="AB309" i="2"/>
  <c r="AA309" i="2"/>
  <c r="Z309" i="2"/>
  <c r="Y309" i="2"/>
  <c r="X309" i="2"/>
  <c r="W309" i="2"/>
  <c r="V309" i="2"/>
  <c r="U309" i="2"/>
  <c r="S309" i="2"/>
  <c r="R309" i="2"/>
  <c r="Q309" i="2"/>
  <c r="P309" i="2"/>
  <c r="O309" i="2"/>
  <c r="N309" i="2"/>
  <c r="M309" i="2"/>
  <c r="L309" i="2"/>
  <c r="K309" i="2"/>
  <c r="J309" i="2"/>
  <c r="I309" i="2"/>
  <c r="H309" i="2"/>
  <c r="G309" i="2"/>
  <c r="F309" i="2"/>
  <c r="E309" i="2"/>
  <c r="D309" i="2"/>
  <c r="C309" i="2"/>
  <c r="B309" i="2"/>
  <c r="A309" i="2"/>
  <c r="AK308" i="2"/>
  <c r="AJ308" i="2"/>
  <c r="AI308" i="2"/>
  <c r="AH308" i="2"/>
  <c r="AG308" i="2"/>
  <c r="AF308" i="2"/>
  <c r="AE308" i="2"/>
  <c r="AD308" i="2"/>
  <c r="AC308" i="2"/>
  <c r="AB308" i="2"/>
  <c r="AA308" i="2"/>
  <c r="Y308" i="2"/>
  <c r="X308" i="2"/>
  <c r="W308" i="2"/>
  <c r="V308" i="2"/>
  <c r="U308" i="2"/>
  <c r="S308" i="2"/>
  <c r="R308" i="2"/>
  <c r="Q308" i="2"/>
  <c r="P308" i="2"/>
  <c r="O308" i="2"/>
  <c r="N308" i="2"/>
  <c r="M308" i="2"/>
  <c r="L308" i="2"/>
  <c r="K308" i="2"/>
  <c r="J308" i="2"/>
  <c r="I308" i="2"/>
  <c r="H308" i="2"/>
  <c r="G308" i="2"/>
  <c r="F308" i="2"/>
  <c r="E308" i="2"/>
  <c r="D308" i="2"/>
  <c r="C308" i="2"/>
  <c r="A308" i="2"/>
  <c r="AK307" i="2"/>
  <c r="AJ307" i="2"/>
  <c r="AI307" i="2"/>
  <c r="AH307" i="2"/>
  <c r="AG307" i="2"/>
  <c r="AF307" i="2"/>
  <c r="AE307" i="2"/>
  <c r="AD307" i="2"/>
  <c r="AC307" i="2"/>
  <c r="AB307" i="2"/>
  <c r="AA307" i="2"/>
  <c r="Z307" i="2"/>
  <c r="Y307" i="2"/>
  <c r="X307" i="2"/>
  <c r="W307" i="2"/>
  <c r="V307" i="2"/>
  <c r="U307" i="2"/>
  <c r="S307" i="2"/>
  <c r="R307" i="2"/>
  <c r="Q307" i="2"/>
  <c r="P307" i="2"/>
  <c r="O307" i="2"/>
  <c r="N307" i="2"/>
  <c r="M307" i="2"/>
  <c r="L307" i="2"/>
  <c r="K307" i="2"/>
  <c r="J307" i="2"/>
  <c r="I307" i="2"/>
  <c r="H307" i="2"/>
  <c r="G307" i="2"/>
  <c r="F307" i="2"/>
  <c r="E307" i="2"/>
  <c r="D307" i="2"/>
  <c r="C307" i="2"/>
  <c r="A307" i="2"/>
  <c r="AL306" i="2"/>
  <c r="AK306" i="2"/>
  <c r="AJ306" i="2"/>
  <c r="AI306" i="2"/>
  <c r="AH306" i="2"/>
  <c r="AG306" i="2"/>
  <c r="AF306" i="2"/>
  <c r="AE306" i="2"/>
  <c r="AC306" i="2"/>
  <c r="AB306" i="2"/>
  <c r="AA306" i="2"/>
  <c r="Z306" i="2"/>
  <c r="Y306" i="2"/>
  <c r="X306" i="2"/>
  <c r="W306" i="2"/>
  <c r="V306" i="2"/>
  <c r="U306" i="2"/>
  <c r="S306" i="2"/>
  <c r="R306" i="2"/>
  <c r="Q306" i="2"/>
  <c r="P306" i="2"/>
  <c r="O306" i="2"/>
  <c r="N306" i="2"/>
  <c r="M306" i="2"/>
  <c r="L306" i="2"/>
  <c r="K306" i="2"/>
  <c r="J306" i="2"/>
  <c r="I306" i="2"/>
  <c r="H306" i="2"/>
  <c r="G306" i="2"/>
  <c r="F306" i="2"/>
  <c r="E306" i="2"/>
  <c r="D306" i="2"/>
  <c r="C306" i="2"/>
  <c r="B306" i="2"/>
  <c r="A306" i="2"/>
  <c r="AL305" i="2"/>
  <c r="AK305" i="2"/>
  <c r="AJ305" i="2"/>
  <c r="AI305" i="2"/>
  <c r="AH305" i="2"/>
  <c r="AG305" i="2"/>
  <c r="AF305" i="2"/>
  <c r="AE305" i="2"/>
  <c r="AD305" i="2"/>
  <c r="AC305" i="2"/>
  <c r="AB305" i="2"/>
  <c r="AA305" i="2"/>
  <c r="Y305" i="2"/>
  <c r="X305" i="2"/>
  <c r="W305" i="2"/>
  <c r="V305" i="2"/>
  <c r="U305" i="2"/>
  <c r="S305" i="2"/>
  <c r="R305" i="2"/>
  <c r="Q305" i="2"/>
  <c r="P305" i="2"/>
  <c r="O305" i="2"/>
  <c r="N305" i="2"/>
  <c r="M305" i="2"/>
  <c r="L305" i="2"/>
  <c r="K305" i="2"/>
  <c r="J305" i="2"/>
  <c r="I305" i="2"/>
  <c r="H305" i="2"/>
  <c r="G305" i="2"/>
  <c r="F305" i="2"/>
  <c r="E305" i="2"/>
  <c r="D305" i="2"/>
  <c r="C305" i="2"/>
  <c r="A305" i="2"/>
  <c r="AL304" i="2"/>
  <c r="AK304" i="2"/>
  <c r="AJ304" i="2"/>
  <c r="AI304" i="2"/>
  <c r="AH304" i="2"/>
  <c r="AG304" i="2"/>
  <c r="AF304" i="2"/>
  <c r="AE304" i="2"/>
  <c r="AD304" i="2"/>
  <c r="AC304" i="2"/>
  <c r="AB304" i="2"/>
  <c r="AA304" i="2"/>
  <c r="Z304" i="2"/>
  <c r="Y304" i="2"/>
  <c r="X304" i="2"/>
  <c r="W304" i="2"/>
  <c r="V304" i="2"/>
  <c r="U304" i="2"/>
  <c r="S304" i="2"/>
  <c r="R304" i="2"/>
  <c r="Q304" i="2"/>
  <c r="P304" i="2"/>
  <c r="O304" i="2"/>
  <c r="N304" i="2"/>
  <c r="M304" i="2"/>
  <c r="L304" i="2"/>
  <c r="K304" i="2"/>
  <c r="J304" i="2"/>
  <c r="I304" i="2"/>
  <c r="H304" i="2"/>
  <c r="G304" i="2"/>
  <c r="F304" i="2"/>
  <c r="E304" i="2"/>
  <c r="D304" i="2"/>
  <c r="C304" i="2"/>
  <c r="A304" i="2"/>
  <c r="AL303" i="2"/>
  <c r="AK303" i="2"/>
  <c r="AJ303" i="2"/>
  <c r="AI303" i="2"/>
  <c r="AH303" i="2"/>
  <c r="AG303" i="2"/>
  <c r="AF303" i="2"/>
  <c r="AE303" i="2"/>
  <c r="AD303" i="2"/>
  <c r="AC303" i="2"/>
  <c r="AB303" i="2"/>
  <c r="AA303" i="2"/>
  <c r="Z303" i="2"/>
  <c r="Y303" i="2"/>
  <c r="X303" i="2"/>
  <c r="W303" i="2"/>
  <c r="V303" i="2"/>
  <c r="U303" i="2"/>
  <c r="S303" i="2"/>
  <c r="R303" i="2"/>
  <c r="Q303" i="2"/>
  <c r="P303" i="2"/>
  <c r="O303" i="2"/>
  <c r="N303" i="2"/>
  <c r="M303" i="2"/>
  <c r="L303" i="2"/>
  <c r="K303" i="2"/>
  <c r="J303" i="2"/>
  <c r="I303" i="2"/>
  <c r="H303" i="2"/>
  <c r="G303" i="2"/>
  <c r="F303" i="2"/>
  <c r="E303" i="2"/>
  <c r="D303" i="2"/>
  <c r="C303" i="2"/>
  <c r="A303" i="2"/>
  <c r="AK302" i="2"/>
  <c r="AJ302" i="2"/>
  <c r="AI302" i="2"/>
  <c r="AH302" i="2"/>
  <c r="AG302" i="2"/>
  <c r="AF302" i="2"/>
  <c r="AE302" i="2"/>
  <c r="AD302" i="2"/>
  <c r="AC302" i="2"/>
  <c r="AB302" i="2"/>
  <c r="AA302" i="2"/>
  <c r="Z302" i="2"/>
  <c r="Y302" i="2"/>
  <c r="X302" i="2"/>
  <c r="W302" i="2"/>
  <c r="V302" i="2"/>
  <c r="U302" i="2"/>
  <c r="S302" i="2"/>
  <c r="R302" i="2"/>
  <c r="Q302" i="2"/>
  <c r="P302" i="2"/>
  <c r="O302" i="2"/>
  <c r="N302" i="2"/>
  <c r="M302" i="2"/>
  <c r="L302" i="2"/>
  <c r="K302" i="2"/>
  <c r="J302" i="2"/>
  <c r="I302" i="2"/>
  <c r="H302" i="2"/>
  <c r="G302" i="2"/>
  <c r="F302" i="2"/>
  <c r="E302" i="2"/>
  <c r="D302" i="2"/>
  <c r="C302" i="2"/>
  <c r="B302" i="2"/>
  <c r="A302" i="2"/>
  <c r="AK301" i="2"/>
  <c r="AJ301" i="2"/>
  <c r="AI301" i="2"/>
  <c r="AH301" i="2"/>
  <c r="AG301" i="2"/>
  <c r="AF301" i="2"/>
  <c r="AE301" i="2"/>
  <c r="AD301" i="2"/>
  <c r="AC301" i="2"/>
  <c r="AB301" i="2"/>
  <c r="AA301" i="2"/>
  <c r="Z301" i="2"/>
  <c r="Y301" i="2"/>
  <c r="X301" i="2"/>
  <c r="W301" i="2"/>
  <c r="V301" i="2"/>
  <c r="U301" i="2"/>
  <c r="S301" i="2"/>
  <c r="R301" i="2"/>
  <c r="Q301" i="2"/>
  <c r="P301" i="2"/>
  <c r="O301" i="2"/>
  <c r="N301" i="2"/>
  <c r="M301" i="2"/>
  <c r="L301" i="2"/>
  <c r="K301" i="2"/>
  <c r="J301" i="2"/>
  <c r="I301" i="2"/>
  <c r="H301" i="2"/>
  <c r="G301" i="2"/>
  <c r="F301" i="2"/>
  <c r="E301" i="2"/>
  <c r="D301" i="2"/>
  <c r="C301" i="2"/>
  <c r="B301" i="2"/>
  <c r="A301" i="2"/>
  <c r="AL300" i="2"/>
  <c r="AK300" i="2"/>
  <c r="AJ300" i="2"/>
  <c r="AI300" i="2"/>
  <c r="AH300" i="2"/>
  <c r="AG300" i="2"/>
  <c r="AF300" i="2"/>
  <c r="AE300" i="2"/>
  <c r="AD300" i="2"/>
  <c r="AC300" i="2"/>
  <c r="AB300" i="2"/>
  <c r="AA300" i="2"/>
  <c r="Z300" i="2"/>
  <c r="Y300" i="2"/>
  <c r="X300" i="2"/>
  <c r="W300" i="2"/>
  <c r="V300" i="2"/>
  <c r="U300" i="2"/>
  <c r="S300" i="2"/>
  <c r="R300" i="2"/>
  <c r="Q300" i="2"/>
  <c r="P300" i="2"/>
  <c r="O300" i="2"/>
  <c r="N300" i="2"/>
  <c r="M300" i="2"/>
  <c r="L300" i="2"/>
  <c r="K300" i="2"/>
  <c r="J300" i="2"/>
  <c r="I300" i="2"/>
  <c r="H300" i="2"/>
  <c r="G300" i="2"/>
  <c r="F300" i="2"/>
  <c r="E300" i="2"/>
  <c r="D300" i="2"/>
  <c r="C300" i="2"/>
  <c r="B300" i="2"/>
  <c r="A300" i="2"/>
  <c r="AL299" i="2"/>
  <c r="AK299" i="2"/>
  <c r="AJ299" i="2"/>
  <c r="AI299" i="2"/>
  <c r="AH299" i="2"/>
  <c r="AG299" i="2"/>
  <c r="AF299" i="2"/>
  <c r="AE299" i="2"/>
  <c r="AD299" i="2"/>
  <c r="AC299" i="2"/>
  <c r="AB299" i="2"/>
  <c r="AA299" i="2"/>
  <c r="Z299" i="2"/>
  <c r="Y299" i="2"/>
  <c r="X299" i="2"/>
  <c r="W299" i="2"/>
  <c r="V299" i="2"/>
  <c r="U299" i="2"/>
  <c r="S299" i="2"/>
  <c r="R299" i="2"/>
  <c r="Q299" i="2"/>
  <c r="P299" i="2"/>
  <c r="O299" i="2"/>
  <c r="N299" i="2"/>
  <c r="M299" i="2"/>
  <c r="L299" i="2"/>
  <c r="K299" i="2"/>
  <c r="J299" i="2"/>
  <c r="I299" i="2"/>
  <c r="H299" i="2"/>
  <c r="G299" i="2"/>
  <c r="F299" i="2"/>
  <c r="E299" i="2"/>
  <c r="D299" i="2"/>
  <c r="C299" i="2"/>
  <c r="B299" i="2"/>
  <c r="A299" i="2"/>
  <c r="AL298" i="2"/>
  <c r="AK298" i="2"/>
  <c r="AJ298" i="2"/>
  <c r="AI298" i="2"/>
  <c r="AH298" i="2"/>
  <c r="AG298" i="2"/>
  <c r="AF298" i="2"/>
  <c r="AE298" i="2"/>
  <c r="AD298" i="2"/>
  <c r="AC298" i="2"/>
  <c r="AB298" i="2"/>
  <c r="AA298" i="2"/>
  <c r="Z298" i="2"/>
  <c r="Y298" i="2"/>
  <c r="X298" i="2"/>
  <c r="W298" i="2"/>
  <c r="V298" i="2"/>
  <c r="U298" i="2"/>
  <c r="S298" i="2"/>
  <c r="R298" i="2"/>
  <c r="Q298" i="2"/>
  <c r="P298" i="2"/>
  <c r="O298" i="2"/>
  <c r="N298" i="2"/>
  <c r="M298" i="2"/>
  <c r="L298" i="2"/>
  <c r="K298" i="2"/>
  <c r="J298" i="2"/>
  <c r="I298" i="2"/>
  <c r="H298" i="2"/>
  <c r="G298" i="2"/>
  <c r="F298" i="2"/>
  <c r="E298" i="2"/>
  <c r="D298" i="2"/>
  <c r="C298" i="2"/>
  <c r="B298" i="2"/>
  <c r="A298" i="2"/>
  <c r="AK297" i="2"/>
  <c r="AJ297" i="2"/>
  <c r="AI297" i="2"/>
  <c r="AH297" i="2"/>
  <c r="AG297" i="2"/>
  <c r="AF297" i="2"/>
  <c r="AE297" i="2"/>
  <c r="AC297" i="2"/>
  <c r="AB297" i="2"/>
  <c r="AA297" i="2"/>
  <c r="Z297" i="2"/>
  <c r="Y297" i="2"/>
  <c r="X297" i="2"/>
  <c r="W297" i="2"/>
  <c r="V297" i="2"/>
  <c r="U297" i="2"/>
  <c r="S297" i="2"/>
  <c r="R297" i="2"/>
  <c r="Q297" i="2"/>
  <c r="P297" i="2"/>
  <c r="O297" i="2"/>
  <c r="N297" i="2"/>
  <c r="M297" i="2"/>
  <c r="L297" i="2"/>
  <c r="K297" i="2"/>
  <c r="J297" i="2"/>
  <c r="I297" i="2"/>
  <c r="H297" i="2"/>
  <c r="G297" i="2"/>
  <c r="F297" i="2"/>
  <c r="E297" i="2"/>
  <c r="D297" i="2"/>
  <c r="C297" i="2"/>
  <c r="B297" i="2"/>
  <c r="A297" i="2"/>
  <c r="AL296" i="2"/>
  <c r="AK296" i="2"/>
  <c r="AJ296" i="2"/>
  <c r="AI296" i="2"/>
  <c r="AH296" i="2"/>
  <c r="AG296" i="2"/>
  <c r="AF296" i="2"/>
  <c r="AE296" i="2"/>
  <c r="AD296" i="2"/>
  <c r="AC296" i="2"/>
  <c r="AB296" i="2"/>
  <c r="AA296" i="2"/>
  <c r="Z296" i="2"/>
  <c r="Y296" i="2"/>
  <c r="X296" i="2"/>
  <c r="W296" i="2"/>
  <c r="V296" i="2"/>
  <c r="U296" i="2"/>
  <c r="S296" i="2"/>
  <c r="R296" i="2"/>
  <c r="Q296" i="2"/>
  <c r="P296" i="2"/>
  <c r="O296" i="2"/>
  <c r="N296" i="2"/>
  <c r="M296" i="2"/>
  <c r="L296" i="2"/>
  <c r="K296" i="2"/>
  <c r="J296" i="2"/>
  <c r="I296" i="2"/>
  <c r="H296" i="2"/>
  <c r="G296" i="2"/>
  <c r="F296" i="2"/>
  <c r="E296" i="2"/>
  <c r="D296" i="2"/>
  <c r="C296" i="2"/>
  <c r="B296" i="2"/>
  <c r="A296" i="2"/>
  <c r="AL295" i="2"/>
  <c r="AK295" i="2"/>
  <c r="AJ295" i="2"/>
  <c r="AI295" i="2"/>
  <c r="AH295" i="2"/>
  <c r="AG295" i="2"/>
  <c r="AF295" i="2"/>
  <c r="AE295" i="2"/>
  <c r="AC295" i="2"/>
  <c r="AB295" i="2"/>
  <c r="AA295" i="2"/>
  <c r="Z295" i="2"/>
  <c r="Y295" i="2"/>
  <c r="X295" i="2"/>
  <c r="W295" i="2"/>
  <c r="V295" i="2"/>
  <c r="U295" i="2"/>
  <c r="S295" i="2"/>
  <c r="R295" i="2"/>
  <c r="Q295" i="2"/>
  <c r="P295" i="2"/>
  <c r="O295" i="2"/>
  <c r="N295" i="2"/>
  <c r="M295" i="2"/>
  <c r="L295" i="2"/>
  <c r="K295" i="2"/>
  <c r="J295" i="2"/>
  <c r="I295" i="2"/>
  <c r="H295" i="2"/>
  <c r="G295" i="2"/>
  <c r="F295" i="2"/>
  <c r="E295" i="2"/>
  <c r="D295" i="2"/>
  <c r="C295" i="2"/>
  <c r="A295" i="2"/>
  <c r="AL294" i="2"/>
  <c r="AK294" i="2"/>
  <c r="AJ294" i="2"/>
  <c r="AI294" i="2"/>
  <c r="AH294" i="2"/>
  <c r="AG294" i="2"/>
  <c r="AF294" i="2"/>
  <c r="AE294" i="2"/>
  <c r="AD294" i="2"/>
  <c r="AC294" i="2"/>
  <c r="AB294" i="2"/>
  <c r="AA294" i="2"/>
  <c r="Z294" i="2"/>
  <c r="Y294" i="2"/>
  <c r="X294" i="2"/>
  <c r="W294" i="2"/>
  <c r="V294" i="2"/>
  <c r="U294" i="2"/>
  <c r="S294" i="2"/>
  <c r="R294" i="2"/>
  <c r="Q294" i="2"/>
  <c r="P294" i="2"/>
  <c r="O294" i="2"/>
  <c r="N294" i="2"/>
  <c r="M294" i="2"/>
  <c r="L294" i="2"/>
  <c r="K294" i="2"/>
  <c r="J294" i="2"/>
  <c r="I294" i="2"/>
  <c r="H294" i="2"/>
  <c r="G294" i="2"/>
  <c r="F294" i="2"/>
  <c r="E294" i="2"/>
  <c r="D294" i="2"/>
  <c r="C294" i="2"/>
  <c r="A294" i="2"/>
  <c r="AK293" i="2"/>
  <c r="AJ293" i="2"/>
  <c r="AI293" i="2"/>
  <c r="AH293" i="2"/>
  <c r="AG293" i="2"/>
  <c r="AF293" i="2"/>
  <c r="AE293" i="2"/>
  <c r="AD293" i="2"/>
  <c r="AC293" i="2"/>
  <c r="AB293" i="2"/>
  <c r="AA293" i="2"/>
  <c r="Z293" i="2"/>
  <c r="Y293" i="2"/>
  <c r="X293" i="2"/>
  <c r="W293" i="2"/>
  <c r="V293" i="2"/>
  <c r="U293" i="2"/>
  <c r="S293" i="2"/>
  <c r="R293" i="2"/>
  <c r="Q293" i="2"/>
  <c r="P293" i="2"/>
  <c r="O293" i="2"/>
  <c r="N293" i="2"/>
  <c r="M293" i="2"/>
  <c r="L293" i="2"/>
  <c r="K293" i="2"/>
  <c r="J293" i="2"/>
  <c r="I293" i="2"/>
  <c r="H293" i="2"/>
  <c r="G293" i="2"/>
  <c r="F293" i="2"/>
  <c r="E293" i="2"/>
  <c r="D293" i="2"/>
  <c r="C293" i="2"/>
  <c r="B293" i="2"/>
  <c r="A293" i="2"/>
  <c r="AK292" i="2"/>
  <c r="AJ292" i="2"/>
  <c r="AI292" i="2"/>
  <c r="AH292" i="2"/>
  <c r="AG292" i="2"/>
  <c r="AF292" i="2"/>
  <c r="AE292" i="2"/>
  <c r="AD292" i="2"/>
  <c r="AC292" i="2"/>
  <c r="AB292" i="2"/>
  <c r="AA292" i="2"/>
  <c r="Z292" i="2"/>
  <c r="Y292" i="2"/>
  <c r="X292" i="2"/>
  <c r="W292" i="2"/>
  <c r="V292" i="2"/>
  <c r="U292" i="2"/>
  <c r="S292" i="2"/>
  <c r="R292" i="2"/>
  <c r="Q292" i="2"/>
  <c r="P292" i="2"/>
  <c r="O292" i="2"/>
  <c r="N292" i="2"/>
  <c r="M292" i="2"/>
  <c r="L292" i="2"/>
  <c r="K292" i="2"/>
  <c r="J292" i="2"/>
  <c r="I292" i="2"/>
  <c r="H292" i="2"/>
  <c r="G292" i="2"/>
  <c r="F292" i="2"/>
  <c r="E292" i="2"/>
  <c r="D292" i="2"/>
  <c r="C292" i="2"/>
  <c r="A292" i="2"/>
  <c r="AL291" i="2"/>
  <c r="AK291" i="2"/>
  <c r="AJ291" i="2"/>
  <c r="AI291" i="2"/>
  <c r="AH291" i="2"/>
  <c r="AG291" i="2"/>
  <c r="AF291" i="2"/>
  <c r="AE291" i="2"/>
  <c r="AD291" i="2"/>
  <c r="AC291" i="2"/>
  <c r="AB291" i="2"/>
  <c r="AA291" i="2"/>
  <c r="Z291" i="2"/>
  <c r="Y291" i="2"/>
  <c r="X291" i="2"/>
  <c r="W291" i="2"/>
  <c r="V291" i="2"/>
  <c r="U291" i="2"/>
  <c r="S291" i="2"/>
  <c r="R291" i="2"/>
  <c r="Q291" i="2"/>
  <c r="P291" i="2"/>
  <c r="O291" i="2"/>
  <c r="N291" i="2"/>
  <c r="M291" i="2"/>
  <c r="L291" i="2"/>
  <c r="K291" i="2"/>
  <c r="J291" i="2"/>
  <c r="I291" i="2"/>
  <c r="H291" i="2"/>
  <c r="G291" i="2"/>
  <c r="F291" i="2"/>
  <c r="E291" i="2"/>
  <c r="D291" i="2"/>
  <c r="C291" i="2"/>
  <c r="B291" i="2"/>
  <c r="A291" i="2"/>
  <c r="AK290" i="2"/>
  <c r="AJ290" i="2"/>
  <c r="AI290" i="2"/>
  <c r="AH290" i="2"/>
  <c r="AG290" i="2"/>
  <c r="AF290" i="2"/>
  <c r="AE290" i="2"/>
  <c r="AD290" i="2"/>
  <c r="AC290" i="2"/>
  <c r="AB290" i="2"/>
  <c r="AA290" i="2"/>
  <c r="Z290" i="2"/>
  <c r="Y290" i="2"/>
  <c r="X290" i="2"/>
  <c r="W290" i="2"/>
  <c r="V290" i="2"/>
  <c r="U290" i="2"/>
  <c r="S290" i="2"/>
  <c r="R290" i="2"/>
  <c r="Q290" i="2"/>
  <c r="P290" i="2"/>
  <c r="O290" i="2"/>
  <c r="N290" i="2"/>
  <c r="M290" i="2"/>
  <c r="L290" i="2"/>
  <c r="K290" i="2"/>
  <c r="J290" i="2"/>
  <c r="I290" i="2"/>
  <c r="H290" i="2"/>
  <c r="G290" i="2"/>
  <c r="F290" i="2"/>
  <c r="E290" i="2"/>
  <c r="D290" i="2"/>
  <c r="C290" i="2"/>
  <c r="B290" i="2"/>
  <c r="A290" i="2"/>
  <c r="AL289" i="2"/>
  <c r="AK289" i="2"/>
  <c r="AJ289" i="2"/>
  <c r="AI289" i="2"/>
  <c r="AG289" i="2"/>
  <c r="AF289" i="2"/>
  <c r="AE289" i="2"/>
  <c r="AC289" i="2"/>
  <c r="AB289" i="2"/>
  <c r="AA289" i="2"/>
  <c r="X289" i="2"/>
  <c r="W289" i="2"/>
  <c r="V289" i="2"/>
  <c r="U289" i="2"/>
  <c r="R289" i="2"/>
  <c r="Q289" i="2"/>
  <c r="P289" i="2"/>
  <c r="O289" i="2"/>
  <c r="N289" i="2"/>
  <c r="M289" i="2"/>
  <c r="L289" i="2"/>
  <c r="K289" i="2"/>
  <c r="J289" i="2"/>
  <c r="I289" i="2"/>
  <c r="H289" i="2"/>
  <c r="G289" i="2"/>
  <c r="F289" i="2"/>
  <c r="E289" i="2"/>
  <c r="D289" i="2"/>
  <c r="C289" i="2"/>
  <c r="B289" i="2"/>
  <c r="A289" i="2"/>
  <c r="AL288" i="2"/>
  <c r="AK288" i="2"/>
  <c r="AJ288" i="2"/>
  <c r="AI288" i="2"/>
  <c r="AH288" i="2"/>
  <c r="AG288" i="2"/>
  <c r="AF288" i="2"/>
  <c r="AE288" i="2"/>
  <c r="AD288" i="2"/>
  <c r="AC288" i="2"/>
  <c r="AB288" i="2"/>
  <c r="AA288" i="2"/>
  <c r="Z288" i="2"/>
  <c r="Y288" i="2"/>
  <c r="X288" i="2"/>
  <c r="W288" i="2"/>
  <c r="V288" i="2"/>
  <c r="U288" i="2"/>
  <c r="S288" i="2"/>
  <c r="R288" i="2"/>
  <c r="Q288" i="2"/>
  <c r="P288" i="2"/>
  <c r="O288" i="2"/>
  <c r="N288" i="2"/>
  <c r="M288" i="2"/>
  <c r="L288" i="2"/>
  <c r="K288" i="2"/>
  <c r="J288" i="2"/>
  <c r="I288" i="2"/>
  <c r="H288" i="2"/>
  <c r="G288" i="2"/>
  <c r="F288" i="2"/>
  <c r="E288" i="2"/>
  <c r="D288" i="2"/>
  <c r="C288" i="2"/>
  <c r="B288" i="2"/>
  <c r="A288" i="2"/>
  <c r="AL287" i="2"/>
  <c r="AK287" i="2"/>
  <c r="AJ287" i="2"/>
  <c r="AI287" i="2"/>
  <c r="AH287" i="2"/>
  <c r="AG287" i="2"/>
  <c r="AF287" i="2"/>
  <c r="AE287" i="2"/>
  <c r="AC287" i="2"/>
  <c r="AB287" i="2"/>
  <c r="AA287" i="2"/>
  <c r="Z287" i="2"/>
  <c r="Y287" i="2"/>
  <c r="X287" i="2"/>
  <c r="W287" i="2"/>
  <c r="V287" i="2"/>
  <c r="U287" i="2"/>
  <c r="S287" i="2"/>
  <c r="R287" i="2"/>
  <c r="Q287" i="2"/>
  <c r="P287" i="2"/>
  <c r="O287" i="2"/>
  <c r="N287" i="2"/>
  <c r="M287" i="2"/>
  <c r="L287" i="2"/>
  <c r="K287" i="2"/>
  <c r="J287" i="2"/>
  <c r="I287" i="2"/>
  <c r="H287" i="2"/>
  <c r="G287" i="2"/>
  <c r="F287" i="2"/>
  <c r="E287" i="2"/>
  <c r="D287" i="2"/>
  <c r="C287" i="2"/>
  <c r="B287" i="2"/>
  <c r="A287" i="2"/>
  <c r="AK286" i="2"/>
  <c r="AJ286" i="2"/>
  <c r="AI286" i="2"/>
  <c r="AH286" i="2"/>
  <c r="AG286" i="2"/>
  <c r="AF286" i="2"/>
  <c r="AE286" i="2"/>
  <c r="AD286" i="2"/>
  <c r="AC286" i="2"/>
  <c r="AB286" i="2"/>
  <c r="AA286" i="2"/>
  <c r="Z286" i="2"/>
  <c r="Y286" i="2"/>
  <c r="X286" i="2"/>
  <c r="W286" i="2"/>
  <c r="V286" i="2"/>
  <c r="U286" i="2"/>
  <c r="S286" i="2"/>
  <c r="R286" i="2"/>
  <c r="Q286" i="2"/>
  <c r="P286" i="2"/>
  <c r="O286" i="2"/>
  <c r="N286" i="2"/>
  <c r="M286" i="2"/>
  <c r="L286" i="2"/>
  <c r="K286" i="2"/>
  <c r="J286" i="2"/>
  <c r="I286" i="2"/>
  <c r="H286" i="2"/>
  <c r="G286" i="2"/>
  <c r="F286" i="2"/>
  <c r="E286" i="2"/>
  <c r="D286" i="2"/>
  <c r="C286" i="2"/>
  <c r="B286" i="2"/>
  <c r="A286" i="2"/>
  <c r="AL285" i="2"/>
  <c r="AK285" i="2"/>
  <c r="AJ285" i="2"/>
  <c r="AI285" i="2"/>
  <c r="AH285" i="2"/>
  <c r="AG285" i="2"/>
  <c r="AF285" i="2"/>
  <c r="AE285" i="2"/>
  <c r="AD285" i="2"/>
  <c r="AC285" i="2"/>
  <c r="AB285" i="2"/>
  <c r="AA285" i="2"/>
  <c r="Z285" i="2"/>
  <c r="Y285" i="2"/>
  <c r="X285" i="2"/>
  <c r="W285" i="2"/>
  <c r="V285" i="2"/>
  <c r="U285" i="2"/>
  <c r="S285" i="2"/>
  <c r="R285" i="2"/>
  <c r="Q285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D285" i="2"/>
  <c r="C285" i="2"/>
  <c r="B285" i="2"/>
  <c r="A285" i="2"/>
  <c r="AL284" i="2"/>
  <c r="AK284" i="2"/>
  <c r="AJ284" i="2"/>
  <c r="AI284" i="2"/>
  <c r="AH284" i="2"/>
  <c r="AG284" i="2"/>
  <c r="AF284" i="2"/>
  <c r="AE284" i="2"/>
  <c r="AD284" i="2"/>
  <c r="AC284" i="2"/>
  <c r="AB284" i="2"/>
  <c r="AA284" i="2"/>
  <c r="Z284" i="2"/>
  <c r="Y284" i="2"/>
  <c r="X284" i="2"/>
  <c r="W284" i="2"/>
  <c r="V284" i="2"/>
  <c r="U284" i="2"/>
  <c r="S284" i="2"/>
  <c r="R284" i="2"/>
  <c r="Q284" i="2"/>
  <c r="P284" i="2"/>
  <c r="O284" i="2"/>
  <c r="N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A284" i="2"/>
  <c r="AL283" i="2"/>
  <c r="AK283" i="2"/>
  <c r="AJ283" i="2"/>
  <c r="AI283" i="2"/>
  <c r="AH283" i="2"/>
  <c r="AG283" i="2"/>
  <c r="AF283" i="2"/>
  <c r="AE283" i="2"/>
  <c r="AC283" i="2"/>
  <c r="AB283" i="2"/>
  <c r="AA283" i="2"/>
  <c r="Z283" i="2"/>
  <c r="Y283" i="2"/>
  <c r="X283" i="2"/>
  <c r="W283" i="2"/>
  <c r="V283" i="2"/>
  <c r="U283" i="2"/>
  <c r="S283" i="2"/>
  <c r="R283" i="2"/>
  <c r="Q283" i="2"/>
  <c r="P283" i="2"/>
  <c r="O283" i="2"/>
  <c r="N283" i="2"/>
  <c r="M283" i="2"/>
  <c r="L283" i="2"/>
  <c r="K283" i="2"/>
  <c r="J283" i="2"/>
  <c r="I283" i="2"/>
  <c r="H283" i="2"/>
  <c r="G283" i="2"/>
  <c r="F283" i="2"/>
  <c r="E283" i="2"/>
  <c r="D283" i="2"/>
  <c r="C283" i="2"/>
  <c r="A283" i="2"/>
  <c r="AL282" i="2"/>
  <c r="AK282" i="2"/>
  <c r="AJ282" i="2"/>
  <c r="AI282" i="2"/>
  <c r="AH282" i="2"/>
  <c r="AG282" i="2"/>
  <c r="AF282" i="2"/>
  <c r="AE282" i="2"/>
  <c r="AD282" i="2"/>
  <c r="AC282" i="2"/>
  <c r="AB282" i="2"/>
  <c r="AA282" i="2"/>
  <c r="Z282" i="2"/>
  <c r="Y282" i="2"/>
  <c r="X282" i="2"/>
  <c r="W282" i="2"/>
  <c r="V282" i="2"/>
  <c r="U282" i="2"/>
  <c r="S282" i="2"/>
  <c r="R282" i="2"/>
  <c r="Q282" i="2"/>
  <c r="P282" i="2"/>
  <c r="O282" i="2"/>
  <c r="N282" i="2"/>
  <c r="M282" i="2"/>
  <c r="L282" i="2"/>
  <c r="K282" i="2"/>
  <c r="J282" i="2"/>
  <c r="I282" i="2"/>
  <c r="H282" i="2"/>
  <c r="G282" i="2"/>
  <c r="F282" i="2"/>
  <c r="E282" i="2"/>
  <c r="D282" i="2"/>
  <c r="C282" i="2"/>
  <c r="B282" i="2"/>
  <c r="A282" i="2"/>
  <c r="AL281" i="2"/>
  <c r="AK281" i="2"/>
  <c r="AJ281" i="2"/>
  <c r="AI281" i="2"/>
  <c r="AH281" i="2"/>
  <c r="AG281" i="2"/>
  <c r="AF281" i="2"/>
  <c r="AE281" i="2"/>
  <c r="AD281" i="2"/>
  <c r="AC281" i="2"/>
  <c r="AB281" i="2"/>
  <c r="AA281" i="2"/>
  <c r="Z281" i="2"/>
  <c r="Y281" i="2"/>
  <c r="X281" i="2"/>
  <c r="W281" i="2"/>
  <c r="V281" i="2"/>
  <c r="U281" i="2"/>
  <c r="S281" i="2"/>
  <c r="R281" i="2"/>
  <c r="Q281" i="2"/>
  <c r="P281" i="2"/>
  <c r="O281" i="2"/>
  <c r="N281" i="2"/>
  <c r="M281" i="2"/>
  <c r="L281" i="2"/>
  <c r="K281" i="2"/>
  <c r="J281" i="2"/>
  <c r="I281" i="2"/>
  <c r="H281" i="2"/>
  <c r="G281" i="2"/>
  <c r="F281" i="2"/>
  <c r="E281" i="2"/>
  <c r="D281" i="2"/>
  <c r="C281" i="2"/>
  <c r="A281" i="2"/>
  <c r="AK280" i="2"/>
  <c r="AJ280" i="2"/>
  <c r="AI280" i="2"/>
  <c r="AH280" i="2"/>
  <c r="AG280" i="2"/>
  <c r="AF280" i="2"/>
  <c r="AE280" i="2"/>
  <c r="AD280" i="2"/>
  <c r="AC280" i="2"/>
  <c r="AB280" i="2"/>
  <c r="AA280" i="2"/>
  <c r="Z280" i="2"/>
  <c r="Y280" i="2"/>
  <c r="X280" i="2"/>
  <c r="W280" i="2"/>
  <c r="V280" i="2"/>
  <c r="U280" i="2"/>
  <c r="S280" i="2"/>
  <c r="R280" i="2"/>
  <c r="Q280" i="2"/>
  <c r="P280" i="2"/>
  <c r="O280" i="2"/>
  <c r="N280" i="2"/>
  <c r="M280" i="2"/>
  <c r="L280" i="2"/>
  <c r="K280" i="2"/>
  <c r="J280" i="2"/>
  <c r="I280" i="2"/>
  <c r="H280" i="2"/>
  <c r="G280" i="2"/>
  <c r="F280" i="2"/>
  <c r="E280" i="2"/>
  <c r="D280" i="2"/>
  <c r="C280" i="2"/>
  <c r="A280" i="2"/>
  <c r="AL279" i="2"/>
  <c r="AK279" i="2"/>
  <c r="AJ279" i="2"/>
  <c r="AI279" i="2"/>
  <c r="AH279" i="2"/>
  <c r="AG279" i="2"/>
  <c r="AF279" i="2"/>
  <c r="AE279" i="2"/>
  <c r="AD279" i="2"/>
  <c r="AC279" i="2"/>
  <c r="AB279" i="2"/>
  <c r="AA279" i="2"/>
  <c r="Z279" i="2"/>
  <c r="Y279" i="2"/>
  <c r="X279" i="2"/>
  <c r="W279" i="2"/>
  <c r="V279" i="2"/>
  <c r="U279" i="2"/>
  <c r="S279" i="2"/>
  <c r="R279" i="2"/>
  <c r="Q279" i="2"/>
  <c r="P279" i="2"/>
  <c r="O279" i="2"/>
  <c r="N279" i="2"/>
  <c r="M279" i="2"/>
  <c r="L279" i="2"/>
  <c r="K279" i="2"/>
  <c r="J279" i="2"/>
  <c r="I279" i="2"/>
  <c r="H279" i="2"/>
  <c r="G279" i="2"/>
  <c r="F279" i="2"/>
  <c r="E279" i="2"/>
  <c r="D279" i="2"/>
  <c r="C279" i="2"/>
  <c r="B279" i="2"/>
  <c r="A279" i="2"/>
  <c r="AK278" i="2"/>
  <c r="AJ278" i="2"/>
  <c r="AI278" i="2"/>
  <c r="AH278" i="2"/>
  <c r="AG278" i="2"/>
  <c r="AF278" i="2"/>
  <c r="AE278" i="2"/>
  <c r="AD278" i="2"/>
  <c r="AC278" i="2"/>
  <c r="AB278" i="2"/>
  <c r="AA278" i="2"/>
  <c r="Z278" i="2"/>
  <c r="Y278" i="2"/>
  <c r="X278" i="2"/>
  <c r="W278" i="2"/>
  <c r="V278" i="2"/>
  <c r="U278" i="2"/>
  <c r="S278" i="2"/>
  <c r="R278" i="2"/>
  <c r="Q278" i="2"/>
  <c r="P278" i="2"/>
  <c r="O278" i="2"/>
  <c r="N278" i="2"/>
  <c r="M278" i="2"/>
  <c r="L278" i="2"/>
  <c r="K278" i="2"/>
  <c r="J278" i="2"/>
  <c r="I278" i="2"/>
  <c r="H278" i="2"/>
  <c r="G278" i="2"/>
  <c r="F278" i="2"/>
  <c r="E278" i="2"/>
  <c r="D278" i="2"/>
  <c r="C278" i="2"/>
  <c r="A278" i="2"/>
  <c r="AK277" i="2"/>
  <c r="AJ277" i="2"/>
  <c r="AI277" i="2"/>
  <c r="AH277" i="2"/>
  <c r="AG277" i="2"/>
  <c r="AF277" i="2"/>
  <c r="AE277" i="2"/>
  <c r="AC277" i="2"/>
  <c r="AB277" i="2"/>
  <c r="AA277" i="2"/>
  <c r="Z277" i="2"/>
  <c r="Y277" i="2"/>
  <c r="X277" i="2"/>
  <c r="W277" i="2"/>
  <c r="V277" i="2"/>
  <c r="U277" i="2"/>
  <c r="S277" i="2"/>
  <c r="R277" i="2"/>
  <c r="Q277" i="2"/>
  <c r="P277" i="2"/>
  <c r="O277" i="2"/>
  <c r="N277" i="2"/>
  <c r="M277" i="2"/>
  <c r="L277" i="2"/>
  <c r="K277" i="2"/>
  <c r="J277" i="2"/>
  <c r="I277" i="2"/>
  <c r="H277" i="2"/>
  <c r="G277" i="2"/>
  <c r="F277" i="2"/>
  <c r="E277" i="2"/>
  <c r="D277" i="2"/>
  <c r="C277" i="2"/>
  <c r="A277" i="2"/>
  <c r="AK276" i="2"/>
  <c r="AJ276" i="2"/>
  <c r="AI276" i="2"/>
  <c r="AH276" i="2"/>
  <c r="AG276" i="2"/>
  <c r="AF276" i="2"/>
  <c r="AE276" i="2"/>
  <c r="AD276" i="2"/>
  <c r="AC276" i="2"/>
  <c r="AB276" i="2"/>
  <c r="AA276" i="2"/>
  <c r="Z276" i="2"/>
  <c r="Y276" i="2"/>
  <c r="X276" i="2"/>
  <c r="W276" i="2"/>
  <c r="V276" i="2"/>
  <c r="U276" i="2"/>
  <c r="S276" i="2"/>
  <c r="R276" i="2"/>
  <c r="Q276" i="2"/>
  <c r="P276" i="2"/>
  <c r="O276" i="2"/>
  <c r="N276" i="2"/>
  <c r="M276" i="2"/>
  <c r="L276" i="2"/>
  <c r="K276" i="2"/>
  <c r="J276" i="2"/>
  <c r="I276" i="2"/>
  <c r="H276" i="2"/>
  <c r="G276" i="2"/>
  <c r="F276" i="2"/>
  <c r="E276" i="2"/>
  <c r="D276" i="2"/>
  <c r="C276" i="2"/>
  <c r="B276" i="2"/>
  <c r="A276" i="2"/>
  <c r="AK275" i="2"/>
  <c r="AJ275" i="2"/>
  <c r="AI275" i="2"/>
  <c r="AH275" i="2"/>
  <c r="AG275" i="2"/>
  <c r="AF275" i="2"/>
  <c r="AE275" i="2"/>
  <c r="AD275" i="2"/>
  <c r="AC275" i="2"/>
  <c r="AB275" i="2"/>
  <c r="AA275" i="2"/>
  <c r="Z275" i="2"/>
  <c r="Y275" i="2"/>
  <c r="X275" i="2"/>
  <c r="W275" i="2"/>
  <c r="V275" i="2"/>
  <c r="U275" i="2"/>
  <c r="S275" i="2"/>
  <c r="R275" i="2"/>
  <c r="Q275" i="2"/>
  <c r="P275" i="2"/>
  <c r="O275" i="2"/>
  <c r="N275" i="2"/>
  <c r="M275" i="2"/>
  <c r="L275" i="2"/>
  <c r="K275" i="2"/>
  <c r="J275" i="2"/>
  <c r="I275" i="2"/>
  <c r="H275" i="2"/>
  <c r="G275" i="2"/>
  <c r="F275" i="2"/>
  <c r="E275" i="2"/>
  <c r="D275" i="2"/>
  <c r="C275" i="2"/>
  <c r="B275" i="2"/>
  <c r="A275" i="2"/>
  <c r="AL274" i="2"/>
  <c r="AK274" i="2"/>
  <c r="AJ274" i="2"/>
  <c r="AI274" i="2"/>
  <c r="AH274" i="2"/>
  <c r="AG274" i="2"/>
  <c r="AF274" i="2"/>
  <c r="AE274" i="2"/>
  <c r="AD274" i="2"/>
  <c r="AC274" i="2"/>
  <c r="AB274" i="2"/>
  <c r="AA274" i="2"/>
  <c r="Z274" i="2"/>
  <c r="Y274" i="2"/>
  <c r="X274" i="2"/>
  <c r="W274" i="2"/>
  <c r="V274" i="2"/>
  <c r="U274" i="2"/>
  <c r="S274" i="2"/>
  <c r="R274" i="2"/>
  <c r="Q274" i="2"/>
  <c r="P274" i="2"/>
  <c r="O274" i="2"/>
  <c r="N274" i="2"/>
  <c r="M274" i="2"/>
  <c r="L274" i="2"/>
  <c r="K274" i="2"/>
  <c r="J274" i="2"/>
  <c r="I274" i="2"/>
  <c r="H274" i="2"/>
  <c r="G274" i="2"/>
  <c r="F274" i="2"/>
  <c r="E274" i="2"/>
  <c r="D274" i="2"/>
  <c r="C274" i="2"/>
  <c r="B274" i="2"/>
  <c r="A274" i="2"/>
  <c r="AL273" i="2"/>
  <c r="AK273" i="2"/>
  <c r="AJ273" i="2"/>
  <c r="AI273" i="2"/>
  <c r="AH273" i="2"/>
  <c r="AG273" i="2"/>
  <c r="AF273" i="2"/>
  <c r="AE273" i="2"/>
  <c r="AD273" i="2"/>
  <c r="AC273" i="2"/>
  <c r="AB273" i="2"/>
  <c r="AA273" i="2"/>
  <c r="Z273" i="2"/>
  <c r="Y273" i="2"/>
  <c r="X273" i="2"/>
  <c r="W273" i="2"/>
  <c r="V273" i="2"/>
  <c r="U273" i="2"/>
  <c r="S273" i="2"/>
  <c r="R273" i="2"/>
  <c r="Q273" i="2"/>
  <c r="P273" i="2"/>
  <c r="O273" i="2"/>
  <c r="N273" i="2"/>
  <c r="M273" i="2"/>
  <c r="L273" i="2"/>
  <c r="K273" i="2"/>
  <c r="J273" i="2"/>
  <c r="I273" i="2"/>
  <c r="H273" i="2"/>
  <c r="G273" i="2"/>
  <c r="F273" i="2"/>
  <c r="E273" i="2"/>
  <c r="D273" i="2"/>
  <c r="C273" i="2"/>
  <c r="A273" i="2"/>
  <c r="AL272" i="2"/>
  <c r="AK272" i="2"/>
  <c r="AJ272" i="2"/>
  <c r="AI272" i="2"/>
  <c r="AH272" i="2"/>
  <c r="AG272" i="2"/>
  <c r="AF272" i="2"/>
  <c r="AE272" i="2"/>
  <c r="AC272" i="2"/>
  <c r="AB272" i="2"/>
  <c r="AA272" i="2"/>
  <c r="Z272" i="2"/>
  <c r="Y272" i="2"/>
  <c r="X272" i="2"/>
  <c r="W272" i="2"/>
  <c r="V272" i="2"/>
  <c r="U272" i="2"/>
  <c r="S272" i="2"/>
  <c r="R272" i="2"/>
  <c r="Q272" i="2"/>
  <c r="P272" i="2"/>
  <c r="O272" i="2"/>
  <c r="N272" i="2"/>
  <c r="M272" i="2"/>
  <c r="L272" i="2"/>
  <c r="K272" i="2"/>
  <c r="J272" i="2"/>
  <c r="I272" i="2"/>
  <c r="H272" i="2"/>
  <c r="G272" i="2"/>
  <c r="F272" i="2"/>
  <c r="E272" i="2"/>
  <c r="D272" i="2"/>
  <c r="C272" i="2"/>
  <c r="B272" i="2"/>
  <c r="A272" i="2"/>
  <c r="AL271" i="2"/>
  <c r="AK271" i="2"/>
  <c r="AJ271" i="2"/>
  <c r="AI271" i="2"/>
  <c r="AH271" i="2"/>
  <c r="AG271" i="2"/>
  <c r="AF271" i="2"/>
  <c r="AE271" i="2"/>
  <c r="AD271" i="2"/>
  <c r="AC271" i="2"/>
  <c r="AB271" i="2"/>
  <c r="AA271" i="2"/>
  <c r="Z271" i="2"/>
  <c r="Y271" i="2"/>
  <c r="X271" i="2"/>
  <c r="W271" i="2"/>
  <c r="V271" i="2"/>
  <c r="U271" i="2"/>
  <c r="S271" i="2"/>
  <c r="R271" i="2"/>
  <c r="Q271" i="2"/>
  <c r="P271" i="2"/>
  <c r="O271" i="2"/>
  <c r="N271" i="2"/>
  <c r="M271" i="2"/>
  <c r="L271" i="2"/>
  <c r="K271" i="2"/>
  <c r="J271" i="2"/>
  <c r="I271" i="2"/>
  <c r="H271" i="2"/>
  <c r="G271" i="2"/>
  <c r="F271" i="2"/>
  <c r="E271" i="2"/>
  <c r="D271" i="2"/>
  <c r="C271" i="2"/>
  <c r="A271" i="2"/>
  <c r="AK270" i="2"/>
  <c r="AJ270" i="2"/>
  <c r="AI270" i="2"/>
  <c r="AH270" i="2"/>
  <c r="AG270" i="2"/>
  <c r="AF270" i="2"/>
  <c r="AE270" i="2"/>
  <c r="AD270" i="2"/>
  <c r="AC270" i="2"/>
  <c r="AB270" i="2"/>
  <c r="AA270" i="2"/>
  <c r="Z270" i="2"/>
  <c r="Y270" i="2"/>
  <c r="X270" i="2"/>
  <c r="W270" i="2"/>
  <c r="V270" i="2"/>
  <c r="U270" i="2"/>
  <c r="S270" i="2"/>
  <c r="R270" i="2"/>
  <c r="Q270" i="2"/>
  <c r="P270" i="2"/>
  <c r="O270" i="2"/>
  <c r="N270" i="2"/>
  <c r="M270" i="2"/>
  <c r="L270" i="2"/>
  <c r="K270" i="2"/>
  <c r="J270" i="2"/>
  <c r="I270" i="2"/>
  <c r="H270" i="2"/>
  <c r="G270" i="2"/>
  <c r="F270" i="2"/>
  <c r="E270" i="2"/>
  <c r="D270" i="2"/>
  <c r="C270" i="2"/>
  <c r="B270" i="2"/>
  <c r="A270" i="2"/>
  <c r="AL269" i="2"/>
  <c r="AK269" i="2"/>
  <c r="AJ269" i="2"/>
  <c r="AI269" i="2"/>
  <c r="AG269" i="2"/>
  <c r="AF269" i="2"/>
  <c r="AE269" i="2"/>
  <c r="AC269" i="2"/>
  <c r="AB269" i="2"/>
  <c r="AA269" i="2"/>
  <c r="X269" i="2"/>
  <c r="W269" i="2"/>
  <c r="V269" i="2"/>
  <c r="U269" i="2"/>
  <c r="R269" i="2"/>
  <c r="Q269" i="2"/>
  <c r="P269" i="2"/>
  <c r="O269" i="2"/>
  <c r="N269" i="2"/>
  <c r="M269" i="2"/>
  <c r="L269" i="2"/>
  <c r="K269" i="2"/>
  <c r="J269" i="2"/>
  <c r="I269" i="2"/>
  <c r="H269" i="2"/>
  <c r="G269" i="2"/>
  <c r="F269" i="2"/>
  <c r="E269" i="2"/>
  <c r="D269" i="2"/>
  <c r="C269" i="2"/>
  <c r="B269" i="2"/>
  <c r="A269" i="2"/>
  <c r="AL268" i="2"/>
  <c r="AK268" i="2"/>
  <c r="AJ268" i="2"/>
  <c r="AI268" i="2"/>
  <c r="AH268" i="2"/>
  <c r="AG268" i="2"/>
  <c r="AF268" i="2"/>
  <c r="AE268" i="2"/>
  <c r="AD268" i="2"/>
  <c r="AC268" i="2"/>
  <c r="AB268" i="2"/>
  <c r="AA268" i="2"/>
  <c r="Z268" i="2"/>
  <c r="Y268" i="2"/>
  <c r="X268" i="2"/>
  <c r="W268" i="2"/>
  <c r="V268" i="2"/>
  <c r="U268" i="2"/>
  <c r="S268" i="2"/>
  <c r="R268" i="2"/>
  <c r="Q268" i="2"/>
  <c r="P268" i="2"/>
  <c r="O268" i="2"/>
  <c r="N268" i="2"/>
  <c r="M268" i="2"/>
  <c r="L268" i="2"/>
  <c r="K268" i="2"/>
  <c r="J268" i="2"/>
  <c r="I268" i="2"/>
  <c r="H268" i="2"/>
  <c r="G268" i="2"/>
  <c r="F268" i="2"/>
  <c r="E268" i="2"/>
  <c r="D268" i="2"/>
  <c r="C268" i="2"/>
  <c r="B268" i="2"/>
  <c r="A268" i="2"/>
  <c r="AK267" i="2"/>
  <c r="AJ267" i="2"/>
  <c r="AI267" i="2"/>
  <c r="AH267" i="2"/>
  <c r="AG267" i="2"/>
  <c r="AF267" i="2"/>
  <c r="AE267" i="2"/>
  <c r="AD267" i="2"/>
  <c r="AC267" i="2"/>
  <c r="AB267" i="2"/>
  <c r="AA267" i="2"/>
  <c r="Z267" i="2"/>
  <c r="Y267" i="2"/>
  <c r="X267" i="2"/>
  <c r="W267" i="2"/>
  <c r="V267" i="2"/>
  <c r="U267" i="2"/>
  <c r="S267" i="2"/>
  <c r="R267" i="2"/>
  <c r="Q267" i="2"/>
  <c r="P267" i="2"/>
  <c r="O267" i="2"/>
  <c r="N267" i="2"/>
  <c r="M267" i="2"/>
  <c r="L267" i="2"/>
  <c r="K267" i="2"/>
  <c r="J267" i="2"/>
  <c r="I267" i="2"/>
  <c r="H267" i="2"/>
  <c r="G267" i="2"/>
  <c r="F267" i="2"/>
  <c r="E267" i="2"/>
  <c r="D267" i="2"/>
  <c r="C267" i="2"/>
  <c r="A267" i="2"/>
  <c r="AL266" i="2"/>
  <c r="AK266" i="2"/>
  <c r="AJ266" i="2"/>
  <c r="AI266" i="2"/>
  <c r="AH266" i="2"/>
  <c r="AG266" i="2"/>
  <c r="AF266" i="2"/>
  <c r="AE266" i="2"/>
  <c r="AD266" i="2"/>
  <c r="AC266" i="2"/>
  <c r="AB266" i="2"/>
  <c r="AA266" i="2"/>
  <c r="Z266" i="2"/>
  <c r="Y266" i="2"/>
  <c r="X266" i="2"/>
  <c r="W266" i="2"/>
  <c r="V266" i="2"/>
  <c r="U266" i="2"/>
  <c r="S266" i="2"/>
  <c r="R266" i="2"/>
  <c r="Q266" i="2"/>
  <c r="P266" i="2"/>
  <c r="O266" i="2"/>
  <c r="N266" i="2"/>
  <c r="M266" i="2"/>
  <c r="L266" i="2"/>
  <c r="K266" i="2"/>
  <c r="J266" i="2"/>
  <c r="I266" i="2"/>
  <c r="H266" i="2"/>
  <c r="G266" i="2"/>
  <c r="F266" i="2"/>
  <c r="E266" i="2"/>
  <c r="D266" i="2"/>
  <c r="C266" i="2"/>
  <c r="A266" i="2"/>
  <c r="AL265" i="2"/>
  <c r="AK265" i="2"/>
  <c r="AJ265" i="2"/>
  <c r="AI265" i="2"/>
  <c r="AH265" i="2"/>
  <c r="AG265" i="2"/>
  <c r="AF265" i="2"/>
  <c r="AE265" i="2"/>
  <c r="AC265" i="2"/>
  <c r="AB265" i="2"/>
  <c r="AA265" i="2"/>
  <c r="Z265" i="2"/>
  <c r="Y265" i="2"/>
  <c r="X265" i="2"/>
  <c r="W265" i="2"/>
  <c r="V265" i="2"/>
  <c r="U265" i="2"/>
  <c r="S265" i="2"/>
  <c r="R265" i="2"/>
  <c r="Q265" i="2"/>
  <c r="P265" i="2"/>
  <c r="O265" i="2"/>
  <c r="N265" i="2"/>
  <c r="M265" i="2"/>
  <c r="L265" i="2"/>
  <c r="K265" i="2"/>
  <c r="J265" i="2"/>
  <c r="I265" i="2"/>
  <c r="H265" i="2"/>
  <c r="G265" i="2"/>
  <c r="F265" i="2"/>
  <c r="E265" i="2"/>
  <c r="D265" i="2"/>
  <c r="C265" i="2"/>
  <c r="B265" i="2"/>
  <c r="A265" i="2"/>
  <c r="AL264" i="2"/>
  <c r="AK264" i="2"/>
  <c r="AJ264" i="2"/>
  <c r="AI264" i="2"/>
  <c r="AH264" i="2"/>
  <c r="AG264" i="2"/>
  <c r="AF264" i="2"/>
  <c r="AE264" i="2"/>
  <c r="AD264" i="2"/>
  <c r="AC264" i="2"/>
  <c r="AB264" i="2"/>
  <c r="AA264" i="2"/>
  <c r="Y264" i="2"/>
  <c r="X264" i="2"/>
  <c r="W264" i="2"/>
  <c r="V264" i="2"/>
  <c r="U264" i="2"/>
  <c r="S264" i="2"/>
  <c r="R264" i="2"/>
  <c r="Q264" i="2"/>
  <c r="P264" i="2"/>
  <c r="O264" i="2"/>
  <c r="N264" i="2"/>
  <c r="M264" i="2"/>
  <c r="L264" i="2"/>
  <c r="K264" i="2"/>
  <c r="J264" i="2"/>
  <c r="I264" i="2"/>
  <c r="H264" i="2"/>
  <c r="G264" i="2"/>
  <c r="F264" i="2"/>
  <c r="E264" i="2"/>
  <c r="D264" i="2"/>
  <c r="C264" i="2"/>
  <c r="B264" i="2"/>
  <c r="A264" i="2"/>
  <c r="AL263" i="2"/>
  <c r="AK263" i="2"/>
  <c r="AJ263" i="2"/>
  <c r="AI263" i="2"/>
  <c r="AG263" i="2"/>
  <c r="AF263" i="2"/>
  <c r="AE263" i="2"/>
  <c r="AC263" i="2"/>
  <c r="AB263" i="2"/>
  <c r="AA263" i="2"/>
  <c r="X263" i="2"/>
  <c r="W263" i="2"/>
  <c r="V263" i="2"/>
  <c r="U263" i="2"/>
  <c r="R263" i="2"/>
  <c r="Q263" i="2"/>
  <c r="P263" i="2"/>
  <c r="O263" i="2"/>
  <c r="N263" i="2"/>
  <c r="M263" i="2"/>
  <c r="L263" i="2"/>
  <c r="K263" i="2"/>
  <c r="J263" i="2"/>
  <c r="I263" i="2"/>
  <c r="H263" i="2"/>
  <c r="G263" i="2"/>
  <c r="F263" i="2"/>
  <c r="E263" i="2"/>
  <c r="D263" i="2"/>
  <c r="C263" i="2"/>
  <c r="A263" i="2"/>
  <c r="AK262" i="2"/>
  <c r="AJ262" i="2"/>
  <c r="AI262" i="2"/>
  <c r="AH262" i="2"/>
  <c r="AG262" i="2"/>
  <c r="AF262" i="2"/>
  <c r="AE262" i="2"/>
  <c r="AD262" i="2"/>
  <c r="AC262" i="2"/>
  <c r="AB262" i="2"/>
  <c r="AA262" i="2"/>
  <c r="Z262" i="2"/>
  <c r="Y262" i="2"/>
  <c r="X262" i="2"/>
  <c r="W262" i="2"/>
  <c r="V262" i="2"/>
  <c r="U262" i="2"/>
  <c r="S262" i="2"/>
  <c r="R262" i="2"/>
  <c r="Q262" i="2"/>
  <c r="P262" i="2"/>
  <c r="O262" i="2"/>
  <c r="N262" i="2"/>
  <c r="M262" i="2"/>
  <c r="L262" i="2"/>
  <c r="K262" i="2"/>
  <c r="J262" i="2"/>
  <c r="I262" i="2"/>
  <c r="H262" i="2"/>
  <c r="G262" i="2"/>
  <c r="F262" i="2"/>
  <c r="E262" i="2"/>
  <c r="D262" i="2"/>
  <c r="C262" i="2"/>
  <c r="A262" i="2"/>
  <c r="AL261" i="2"/>
  <c r="AK261" i="2"/>
  <c r="AJ261" i="2"/>
  <c r="AI261" i="2"/>
  <c r="AH261" i="2"/>
  <c r="AG261" i="2"/>
  <c r="AF261" i="2"/>
  <c r="AE261" i="2"/>
  <c r="AD261" i="2"/>
  <c r="AC261" i="2"/>
  <c r="AB261" i="2"/>
  <c r="AA261" i="2"/>
  <c r="Z261" i="2"/>
  <c r="Y261" i="2"/>
  <c r="X261" i="2"/>
  <c r="W261" i="2"/>
  <c r="V261" i="2"/>
  <c r="U261" i="2"/>
  <c r="S261" i="2"/>
  <c r="R261" i="2"/>
  <c r="Q261" i="2"/>
  <c r="P261" i="2"/>
  <c r="O261" i="2"/>
  <c r="N261" i="2"/>
  <c r="M261" i="2"/>
  <c r="L261" i="2"/>
  <c r="K261" i="2"/>
  <c r="J261" i="2"/>
  <c r="I261" i="2"/>
  <c r="H261" i="2"/>
  <c r="G261" i="2"/>
  <c r="F261" i="2"/>
  <c r="E261" i="2"/>
  <c r="D261" i="2"/>
  <c r="C261" i="2"/>
  <c r="B261" i="2"/>
  <c r="A261" i="2"/>
  <c r="AL260" i="2"/>
  <c r="AK260" i="2"/>
  <c r="AJ260" i="2"/>
  <c r="AI260" i="2"/>
  <c r="AH260" i="2"/>
  <c r="AG260" i="2"/>
  <c r="AF260" i="2"/>
  <c r="AE260" i="2"/>
  <c r="AD260" i="2"/>
  <c r="AC260" i="2"/>
  <c r="AB260" i="2"/>
  <c r="AA260" i="2"/>
  <c r="Y260" i="2"/>
  <c r="X260" i="2"/>
  <c r="W260" i="2"/>
  <c r="V260" i="2"/>
  <c r="U260" i="2"/>
  <c r="S260" i="2"/>
  <c r="R260" i="2"/>
  <c r="Q260" i="2"/>
  <c r="P260" i="2"/>
  <c r="O260" i="2"/>
  <c r="N260" i="2"/>
  <c r="M260" i="2"/>
  <c r="L260" i="2"/>
  <c r="K260" i="2"/>
  <c r="J260" i="2"/>
  <c r="I260" i="2"/>
  <c r="H260" i="2"/>
  <c r="G260" i="2"/>
  <c r="F260" i="2"/>
  <c r="E260" i="2"/>
  <c r="D260" i="2"/>
  <c r="C260" i="2"/>
  <c r="A260" i="2"/>
  <c r="AK259" i="2"/>
  <c r="AJ259" i="2"/>
  <c r="AI259" i="2"/>
  <c r="AH259" i="2"/>
  <c r="AG259" i="2"/>
  <c r="AF259" i="2"/>
  <c r="AE259" i="2"/>
  <c r="AD259" i="2"/>
  <c r="AC259" i="2"/>
  <c r="AB259" i="2"/>
  <c r="AA259" i="2"/>
  <c r="Z259" i="2"/>
  <c r="Y259" i="2"/>
  <c r="X259" i="2"/>
  <c r="W259" i="2"/>
  <c r="V259" i="2"/>
  <c r="U259" i="2"/>
  <c r="S259" i="2"/>
  <c r="R259" i="2"/>
  <c r="Q259" i="2"/>
  <c r="P259" i="2"/>
  <c r="O259" i="2"/>
  <c r="N259" i="2"/>
  <c r="M259" i="2"/>
  <c r="L259" i="2"/>
  <c r="K259" i="2"/>
  <c r="J259" i="2"/>
  <c r="I259" i="2"/>
  <c r="H259" i="2"/>
  <c r="G259" i="2"/>
  <c r="F259" i="2"/>
  <c r="E259" i="2"/>
  <c r="D259" i="2"/>
  <c r="C259" i="2"/>
  <c r="A259" i="2"/>
  <c r="AK258" i="2"/>
  <c r="AJ258" i="2"/>
  <c r="AI258" i="2"/>
  <c r="AH258" i="2"/>
  <c r="AG258" i="2"/>
  <c r="AF258" i="2"/>
  <c r="AE258" i="2"/>
  <c r="AD258" i="2"/>
  <c r="AC258" i="2"/>
  <c r="AB258" i="2"/>
  <c r="AA258" i="2"/>
  <c r="Z258" i="2"/>
  <c r="Y258" i="2"/>
  <c r="X258" i="2"/>
  <c r="W258" i="2"/>
  <c r="V258" i="2"/>
  <c r="U258" i="2"/>
  <c r="S258" i="2"/>
  <c r="R258" i="2"/>
  <c r="Q258" i="2"/>
  <c r="P258" i="2"/>
  <c r="O258" i="2"/>
  <c r="N258" i="2"/>
  <c r="M258" i="2"/>
  <c r="L258" i="2"/>
  <c r="K258" i="2"/>
  <c r="J258" i="2"/>
  <c r="I258" i="2"/>
  <c r="H258" i="2"/>
  <c r="G258" i="2"/>
  <c r="F258" i="2"/>
  <c r="E258" i="2"/>
  <c r="D258" i="2"/>
  <c r="C258" i="2"/>
  <c r="A258" i="2"/>
  <c r="AK257" i="2"/>
  <c r="AJ257" i="2"/>
  <c r="AI257" i="2"/>
  <c r="AH257" i="2"/>
  <c r="AG257" i="2"/>
  <c r="AF257" i="2"/>
  <c r="AE257" i="2"/>
  <c r="AD257" i="2"/>
  <c r="AC257" i="2"/>
  <c r="AB257" i="2"/>
  <c r="AA257" i="2"/>
  <c r="Y257" i="2"/>
  <c r="X257" i="2"/>
  <c r="W257" i="2"/>
  <c r="V257" i="2"/>
  <c r="U257" i="2"/>
  <c r="S257" i="2"/>
  <c r="R257" i="2"/>
  <c r="Q257" i="2"/>
  <c r="P257" i="2"/>
  <c r="O257" i="2"/>
  <c r="N257" i="2"/>
  <c r="M257" i="2"/>
  <c r="L257" i="2"/>
  <c r="K257" i="2"/>
  <c r="J257" i="2"/>
  <c r="I257" i="2"/>
  <c r="H257" i="2"/>
  <c r="G257" i="2"/>
  <c r="F257" i="2"/>
  <c r="E257" i="2"/>
  <c r="D257" i="2"/>
  <c r="C257" i="2"/>
  <c r="A257" i="2"/>
  <c r="AK256" i="2"/>
  <c r="AJ256" i="2"/>
  <c r="AI256" i="2"/>
  <c r="AH256" i="2"/>
  <c r="AG256" i="2"/>
  <c r="AF256" i="2"/>
  <c r="AE256" i="2"/>
  <c r="AD256" i="2"/>
  <c r="AC256" i="2"/>
  <c r="AB256" i="2"/>
  <c r="AA256" i="2"/>
  <c r="Z256" i="2"/>
  <c r="Y256" i="2"/>
  <c r="X256" i="2"/>
  <c r="W256" i="2"/>
  <c r="V256" i="2"/>
  <c r="U256" i="2"/>
  <c r="S256" i="2"/>
  <c r="R256" i="2"/>
  <c r="Q256" i="2"/>
  <c r="P256" i="2"/>
  <c r="O256" i="2"/>
  <c r="N256" i="2"/>
  <c r="M256" i="2"/>
  <c r="L256" i="2"/>
  <c r="K256" i="2"/>
  <c r="J256" i="2"/>
  <c r="I256" i="2"/>
  <c r="H256" i="2"/>
  <c r="G256" i="2"/>
  <c r="F256" i="2"/>
  <c r="E256" i="2"/>
  <c r="D256" i="2"/>
  <c r="C256" i="2"/>
  <c r="B256" i="2"/>
  <c r="A256" i="2"/>
  <c r="AL255" i="2"/>
  <c r="AK255" i="2"/>
  <c r="AJ255" i="2"/>
  <c r="AI255" i="2"/>
  <c r="AH255" i="2"/>
  <c r="AG255" i="2"/>
  <c r="AF255" i="2"/>
  <c r="AE255" i="2"/>
  <c r="AC255" i="2"/>
  <c r="AB255" i="2"/>
  <c r="AA255" i="2"/>
  <c r="Z255" i="2"/>
  <c r="Y255" i="2"/>
  <c r="X255" i="2"/>
  <c r="W255" i="2"/>
  <c r="V255" i="2"/>
  <c r="U255" i="2"/>
  <c r="S255" i="2"/>
  <c r="R255" i="2"/>
  <c r="Q255" i="2"/>
  <c r="P255" i="2"/>
  <c r="O255" i="2"/>
  <c r="N255" i="2"/>
  <c r="M255" i="2"/>
  <c r="L255" i="2"/>
  <c r="K255" i="2"/>
  <c r="J255" i="2"/>
  <c r="I255" i="2"/>
  <c r="H255" i="2"/>
  <c r="G255" i="2"/>
  <c r="F255" i="2"/>
  <c r="E255" i="2"/>
  <c r="D255" i="2"/>
  <c r="C255" i="2"/>
  <c r="A255" i="2"/>
  <c r="AL254" i="2"/>
  <c r="AK254" i="2"/>
  <c r="AJ254" i="2"/>
  <c r="AI254" i="2"/>
  <c r="AH254" i="2"/>
  <c r="AG254" i="2"/>
  <c r="AF254" i="2"/>
  <c r="AE254" i="2"/>
  <c r="AD254" i="2"/>
  <c r="AC254" i="2"/>
  <c r="AB254" i="2"/>
  <c r="AA254" i="2"/>
  <c r="Z254" i="2"/>
  <c r="Y254" i="2"/>
  <c r="X254" i="2"/>
  <c r="W254" i="2"/>
  <c r="V254" i="2"/>
  <c r="U254" i="2"/>
  <c r="S254" i="2"/>
  <c r="R254" i="2"/>
  <c r="Q254" i="2"/>
  <c r="P254" i="2"/>
  <c r="O254" i="2"/>
  <c r="N254" i="2"/>
  <c r="M254" i="2"/>
  <c r="L254" i="2"/>
  <c r="K254" i="2"/>
  <c r="J254" i="2"/>
  <c r="I254" i="2"/>
  <c r="H254" i="2"/>
  <c r="G254" i="2"/>
  <c r="F254" i="2"/>
  <c r="E254" i="2"/>
  <c r="D254" i="2"/>
  <c r="C254" i="2"/>
  <c r="A254" i="2"/>
  <c r="AK253" i="2"/>
  <c r="AJ253" i="2"/>
  <c r="AI253" i="2"/>
  <c r="AH253" i="2"/>
  <c r="AG253" i="2"/>
  <c r="AF253" i="2"/>
  <c r="AE253" i="2"/>
  <c r="AD253" i="2"/>
  <c r="AC253" i="2"/>
  <c r="AB253" i="2"/>
  <c r="AA253" i="2"/>
  <c r="Y253" i="2"/>
  <c r="X253" i="2"/>
  <c r="W253" i="2"/>
  <c r="V253" i="2"/>
  <c r="U253" i="2"/>
  <c r="S253" i="2"/>
  <c r="R253" i="2"/>
  <c r="Q253" i="2"/>
  <c r="P253" i="2"/>
  <c r="O253" i="2"/>
  <c r="N253" i="2"/>
  <c r="M253" i="2"/>
  <c r="L253" i="2"/>
  <c r="K253" i="2"/>
  <c r="J253" i="2"/>
  <c r="I253" i="2"/>
  <c r="H253" i="2"/>
  <c r="G253" i="2"/>
  <c r="F253" i="2"/>
  <c r="E253" i="2"/>
  <c r="D253" i="2"/>
  <c r="C253" i="2"/>
  <c r="A253" i="2"/>
  <c r="AL252" i="2"/>
  <c r="AK252" i="2"/>
  <c r="AJ252" i="2"/>
  <c r="AI252" i="2"/>
  <c r="AH252" i="2"/>
  <c r="AG252" i="2"/>
  <c r="AF252" i="2"/>
  <c r="AE252" i="2"/>
  <c r="AD252" i="2"/>
  <c r="AC252" i="2"/>
  <c r="AB252" i="2"/>
  <c r="AA252" i="2"/>
  <c r="Z252" i="2"/>
  <c r="Y252" i="2"/>
  <c r="X252" i="2"/>
  <c r="W252" i="2"/>
  <c r="V252" i="2"/>
  <c r="U252" i="2"/>
  <c r="S252" i="2"/>
  <c r="R252" i="2"/>
  <c r="Q252" i="2"/>
  <c r="P252" i="2"/>
  <c r="O252" i="2"/>
  <c r="N252" i="2"/>
  <c r="M252" i="2"/>
  <c r="L252" i="2"/>
  <c r="K252" i="2"/>
  <c r="J252" i="2"/>
  <c r="I252" i="2"/>
  <c r="H252" i="2"/>
  <c r="G252" i="2"/>
  <c r="F252" i="2"/>
  <c r="E252" i="2"/>
  <c r="D252" i="2"/>
  <c r="C252" i="2"/>
  <c r="A252" i="2"/>
  <c r="AK251" i="2"/>
  <c r="AJ251" i="2"/>
  <c r="AI251" i="2"/>
  <c r="AH251" i="2"/>
  <c r="AG251" i="2"/>
  <c r="AF251" i="2"/>
  <c r="AE251" i="2"/>
  <c r="AD251" i="2"/>
  <c r="AC251" i="2"/>
  <c r="AB251" i="2"/>
  <c r="AA251" i="2"/>
  <c r="Z251" i="2"/>
  <c r="Y251" i="2"/>
  <c r="X251" i="2"/>
  <c r="W251" i="2"/>
  <c r="V251" i="2"/>
  <c r="U251" i="2"/>
  <c r="S251" i="2"/>
  <c r="R251" i="2"/>
  <c r="Q251" i="2"/>
  <c r="P251" i="2"/>
  <c r="O251" i="2"/>
  <c r="N251" i="2"/>
  <c r="M251" i="2"/>
  <c r="L251" i="2"/>
  <c r="K251" i="2"/>
  <c r="J251" i="2"/>
  <c r="I251" i="2"/>
  <c r="H251" i="2"/>
  <c r="G251" i="2"/>
  <c r="F251" i="2"/>
  <c r="E251" i="2"/>
  <c r="D251" i="2"/>
  <c r="C251" i="2"/>
  <c r="B251" i="2"/>
  <c r="A251" i="2"/>
  <c r="AK250" i="2"/>
  <c r="AJ250" i="2"/>
  <c r="AI250" i="2"/>
  <c r="AH250" i="2"/>
  <c r="AG250" i="2"/>
  <c r="AF250" i="2"/>
  <c r="AE250" i="2"/>
  <c r="AD250" i="2"/>
  <c r="AC250" i="2"/>
  <c r="AB250" i="2"/>
  <c r="AA250" i="2"/>
  <c r="Z250" i="2"/>
  <c r="Y250" i="2"/>
  <c r="X250" i="2"/>
  <c r="W250" i="2"/>
  <c r="V250" i="2"/>
  <c r="U250" i="2"/>
  <c r="S250" i="2"/>
  <c r="R250" i="2"/>
  <c r="Q250" i="2"/>
  <c r="P250" i="2"/>
  <c r="O250" i="2"/>
  <c r="N250" i="2"/>
  <c r="M250" i="2"/>
  <c r="L250" i="2"/>
  <c r="K250" i="2"/>
  <c r="J250" i="2"/>
  <c r="I250" i="2"/>
  <c r="H250" i="2"/>
  <c r="G250" i="2"/>
  <c r="F250" i="2"/>
  <c r="E250" i="2"/>
  <c r="D250" i="2"/>
  <c r="C250" i="2"/>
  <c r="B250" i="2"/>
  <c r="A250" i="2"/>
  <c r="AL249" i="2"/>
  <c r="AK249" i="2"/>
  <c r="AJ249" i="2"/>
  <c r="AI249" i="2"/>
  <c r="AH249" i="2"/>
  <c r="AG249" i="2"/>
  <c r="AF249" i="2"/>
  <c r="AE249" i="2"/>
  <c r="AD249" i="2"/>
  <c r="AC249" i="2"/>
  <c r="AB249" i="2"/>
  <c r="AA249" i="2"/>
  <c r="Z249" i="2"/>
  <c r="Y249" i="2"/>
  <c r="X249" i="2"/>
  <c r="W249" i="2"/>
  <c r="V249" i="2"/>
  <c r="U249" i="2"/>
  <c r="S249" i="2"/>
  <c r="R249" i="2"/>
  <c r="Q249" i="2"/>
  <c r="P249" i="2"/>
  <c r="O249" i="2"/>
  <c r="N249" i="2"/>
  <c r="M249" i="2"/>
  <c r="L249" i="2"/>
  <c r="K249" i="2"/>
  <c r="J249" i="2"/>
  <c r="I249" i="2"/>
  <c r="H249" i="2"/>
  <c r="G249" i="2"/>
  <c r="F249" i="2"/>
  <c r="E249" i="2"/>
  <c r="D249" i="2"/>
  <c r="C249" i="2"/>
  <c r="B249" i="2"/>
  <c r="A249" i="2"/>
  <c r="AL248" i="2"/>
  <c r="AK248" i="2"/>
  <c r="AJ248" i="2"/>
  <c r="AI248" i="2"/>
  <c r="AH248" i="2"/>
  <c r="AG248" i="2"/>
  <c r="AF248" i="2"/>
  <c r="AE248" i="2"/>
  <c r="AD248" i="2"/>
  <c r="AC248" i="2"/>
  <c r="AB248" i="2"/>
  <c r="AA248" i="2"/>
  <c r="Z248" i="2"/>
  <c r="Y248" i="2"/>
  <c r="X248" i="2"/>
  <c r="W248" i="2"/>
  <c r="V248" i="2"/>
  <c r="U248" i="2"/>
  <c r="S248" i="2"/>
  <c r="R248" i="2"/>
  <c r="Q248" i="2"/>
  <c r="P248" i="2"/>
  <c r="O248" i="2"/>
  <c r="N248" i="2"/>
  <c r="M248" i="2"/>
  <c r="L248" i="2"/>
  <c r="K248" i="2"/>
  <c r="J248" i="2"/>
  <c r="I248" i="2"/>
  <c r="H248" i="2"/>
  <c r="G248" i="2"/>
  <c r="F248" i="2"/>
  <c r="E248" i="2"/>
  <c r="D248" i="2"/>
  <c r="C248" i="2"/>
  <c r="B248" i="2"/>
  <c r="A248" i="2"/>
  <c r="AK247" i="2"/>
  <c r="AJ247" i="2"/>
  <c r="AI247" i="2"/>
  <c r="AH247" i="2"/>
  <c r="AG247" i="2"/>
  <c r="AF247" i="2"/>
  <c r="AE247" i="2"/>
  <c r="AD247" i="2"/>
  <c r="AC247" i="2"/>
  <c r="AB247" i="2"/>
  <c r="AA247" i="2"/>
  <c r="Z247" i="2"/>
  <c r="Y247" i="2"/>
  <c r="X247" i="2"/>
  <c r="W247" i="2"/>
  <c r="V247" i="2"/>
  <c r="U247" i="2"/>
  <c r="S247" i="2"/>
  <c r="R247" i="2"/>
  <c r="Q247" i="2"/>
  <c r="P247" i="2"/>
  <c r="O247" i="2"/>
  <c r="N247" i="2"/>
  <c r="M247" i="2"/>
  <c r="L247" i="2"/>
  <c r="K247" i="2"/>
  <c r="J247" i="2"/>
  <c r="I247" i="2"/>
  <c r="H247" i="2"/>
  <c r="G247" i="2"/>
  <c r="F247" i="2"/>
  <c r="E247" i="2"/>
  <c r="D247" i="2"/>
  <c r="C247" i="2"/>
  <c r="A247" i="2"/>
  <c r="AL246" i="2"/>
  <c r="AK246" i="2"/>
  <c r="AJ246" i="2"/>
  <c r="AI246" i="2"/>
  <c r="AH246" i="2"/>
  <c r="AG246" i="2"/>
  <c r="AF246" i="2"/>
  <c r="AE246" i="2"/>
  <c r="AD246" i="2"/>
  <c r="AC246" i="2"/>
  <c r="AB246" i="2"/>
  <c r="AA246" i="2"/>
  <c r="Z246" i="2"/>
  <c r="Y246" i="2"/>
  <c r="X246" i="2"/>
  <c r="W246" i="2"/>
  <c r="V246" i="2"/>
  <c r="U246" i="2"/>
  <c r="S246" i="2"/>
  <c r="R246" i="2"/>
  <c r="Q246" i="2"/>
  <c r="P246" i="2"/>
  <c r="O246" i="2"/>
  <c r="N246" i="2"/>
  <c r="M246" i="2"/>
  <c r="L246" i="2"/>
  <c r="K246" i="2"/>
  <c r="J246" i="2"/>
  <c r="I246" i="2"/>
  <c r="H246" i="2"/>
  <c r="G246" i="2"/>
  <c r="F246" i="2"/>
  <c r="E246" i="2"/>
  <c r="D246" i="2"/>
  <c r="C246" i="2"/>
  <c r="B246" i="2"/>
  <c r="A246" i="2"/>
  <c r="AL245" i="2"/>
  <c r="AK245" i="2"/>
  <c r="AJ245" i="2"/>
  <c r="AI245" i="2"/>
  <c r="AH245" i="2"/>
  <c r="AG245" i="2"/>
  <c r="AF245" i="2"/>
  <c r="AE245" i="2"/>
  <c r="AD245" i="2"/>
  <c r="AC245" i="2"/>
  <c r="AB245" i="2"/>
  <c r="AA245" i="2"/>
  <c r="Z245" i="2"/>
  <c r="Y245" i="2"/>
  <c r="X245" i="2"/>
  <c r="W245" i="2"/>
  <c r="V245" i="2"/>
  <c r="U245" i="2"/>
  <c r="S245" i="2"/>
  <c r="R245" i="2"/>
  <c r="Q245" i="2"/>
  <c r="P245" i="2"/>
  <c r="O245" i="2"/>
  <c r="N245" i="2"/>
  <c r="M245" i="2"/>
  <c r="L245" i="2"/>
  <c r="K245" i="2"/>
  <c r="J245" i="2"/>
  <c r="I245" i="2"/>
  <c r="H245" i="2"/>
  <c r="G245" i="2"/>
  <c r="F245" i="2"/>
  <c r="E245" i="2"/>
  <c r="D245" i="2"/>
  <c r="C245" i="2"/>
  <c r="B245" i="2"/>
  <c r="A245" i="2"/>
  <c r="AK244" i="2"/>
  <c r="AJ244" i="2"/>
  <c r="AI244" i="2"/>
  <c r="AH244" i="2"/>
  <c r="AG244" i="2"/>
  <c r="AF244" i="2"/>
  <c r="AE244" i="2"/>
  <c r="AC244" i="2"/>
  <c r="AB244" i="2"/>
  <c r="AA244" i="2"/>
  <c r="Z244" i="2"/>
  <c r="Y244" i="2"/>
  <c r="X244" i="2"/>
  <c r="W244" i="2"/>
  <c r="V244" i="2"/>
  <c r="U244" i="2"/>
  <c r="S244" i="2"/>
  <c r="R244" i="2"/>
  <c r="Q244" i="2"/>
  <c r="P244" i="2"/>
  <c r="O244" i="2"/>
  <c r="N244" i="2"/>
  <c r="M244" i="2"/>
  <c r="L244" i="2"/>
  <c r="K244" i="2"/>
  <c r="J244" i="2"/>
  <c r="I244" i="2"/>
  <c r="H244" i="2"/>
  <c r="G244" i="2"/>
  <c r="F244" i="2"/>
  <c r="E244" i="2"/>
  <c r="D244" i="2"/>
  <c r="C244" i="2"/>
  <c r="A244" i="2"/>
  <c r="AL243" i="2"/>
  <c r="AK243" i="2"/>
  <c r="AJ243" i="2"/>
  <c r="AI243" i="2"/>
  <c r="AH243" i="2"/>
  <c r="AG243" i="2"/>
  <c r="AF243" i="2"/>
  <c r="AE243" i="2"/>
  <c r="AD243" i="2"/>
  <c r="AC243" i="2"/>
  <c r="AB243" i="2"/>
  <c r="AA243" i="2"/>
  <c r="Z243" i="2"/>
  <c r="Y243" i="2"/>
  <c r="X243" i="2"/>
  <c r="W243" i="2"/>
  <c r="V243" i="2"/>
  <c r="U243" i="2"/>
  <c r="S243" i="2"/>
  <c r="R243" i="2"/>
  <c r="Q243" i="2"/>
  <c r="P243" i="2"/>
  <c r="O243" i="2"/>
  <c r="N243" i="2"/>
  <c r="M243" i="2"/>
  <c r="L243" i="2"/>
  <c r="K243" i="2"/>
  <c r="J243" i="2"/>
  <c r="I243" i="2"/>
  <c r="H243" i="2"/>
  <c r="G243" i="2"/>
  <c r="F243" i="2"/>
  <c r="E243" i="2"/>
  <c r="D243" i="2"/>
  <c r="C243" i="2"/>
  <c r="A243" i="2"/>
  <c r="AL242" i="2"/>
  <c r="AK242" i="2"/>
  <c r="AJ242" i="2"/>
  <c r="AI242" i="2"/>
  <c r="AH242" i="2"/>
  <c r="AG242" i="2"/>
  <c r="AF242" i="2"/>
  <c r="AE242" i="2"/>
  <c r="AD242" i="2"/>
  <c r="AC242" i="2"/>
  <c r="AB242" i="2"/>
  <c r="AA242" i="2"/>
  <c r="Z242" i="2"/>
  <c r="Y242" i="2"/>
  <c r="X242" i="2"/>
  <c r="W242" i="2"/>
  <c r="V242" i="2"/>
  <c r="U242" i="2"/>
  <c r="S242" i="2"/>
  <c r="R242" i="2"/>
  <c r="Q242" i="2"/>
  <c r="P242" i="2"/>
  <c r="O242" i="2"/>
  <c r="N242" i="2"/>
  <c r="M242" i="2"/>
  <c r="L242" i="2"/>
  <c r="K242" i="2"/>
  <c r="J242" i="2"/>
  <c r="I242" i="2"/>
  <c r="H242" i="2"/>
  <c r="G242" i="2"/>
  <c r="F242" i="2"/>
  <c r="E242" i="2"/>
  <c r="D242" i="2"/>
  <c r="C242" i="2"/>
  <c r="A242" i="2"/>
  <c r="AK241" i="2"/>
  <c r="AJ241" i="2"/>
  <c r="AI241" i="2"/>
  <c r="AH241" i="2"/>
  <c r="AG241" i="2"/>
  <c r="AF241" i="2"/>
  <c r="AE241" i="2"/>
  <c r="AC241" i="2"/>
  <c r="AB241" i="2"/>
  <c r="AA241" i="2"/>
  <c r="Z241" i="2"/>
  <c r="Y241" i="2"/>
  <c r="X241" i="2"/>
  <c r="W241" i="2"/>
  <c r="V241" i="2"/>
  <c r="U241" i="2"/>
  <c r="S241" i="2"/>
  <c r="R241" i="2"/>
  <c r="Q241" i="2"/>
  <c r="P241" i="2"/>
  <c r="O241" i="2"/>
  <c r="N241" i="2"/>
  <c r="M241" i="2"/>
  <c r="L241" i="2"/>
  <c r="K241" i="2"/>
  <c r="J241" i="2"/>
  <c r="I241" i="2"/>
  <c r="H241" i="2"/>
  <c r="G241" i="2"/>
  <c r="F241" i="2"/>
  <c r="E241" i="2"/>
  <c r="D241" i="2"/>
  <c r="C241" i="2"/>
  <c r="B241" i="2"/>
  <c r="A241" i="2"/>
  <c r="AK240" i="2"/>
  <c r="AJ240" i="2"/>
  <c r="AI240" i="2"/>
  <c r="AH240" i="2"/>
  <c r="AG240" i="2"/>
  <c r="AF240" i="2"/>
  <c r="AE240" i="2"/>
  <c r="AD240" i="2"/>
  <c r="AC240" i="2"/>
  <c r="AB240" i="2"/>
  <c r="AA240" i="2"/>
  <c r="Y240" i="2"/>
  <c r="X240" i="2"/>
  <c r="W240" i="2"/>
  <c r="V240" i="2"/>
  <c r="U240" i="2"/>
  <c r="S240" i="2"/>
  <c r="R240" i="2"/>
  <c r="Q240" i="2"/>
  <c r="P240" i="2"/>
  <c r="O240" i="2"/>
  <c r="N240" i="2"/>
  <c r="M240" i="2"/>
  <c r="L240" i="2"/>
  <c r="K240" i="2"/>
  <c r="J240" i="2"/>
  <c r="I240" i="2"/>
  <c r="H240" i="2"/>
  <c r="G240" i="2"/>
  <c r="F240" i="2"/>
  <c r="E240" i="2"/>
  <c r="D240" i="2"/>
  <c r="C240" i="2"/>
  <c r="B240" i="2"/>
  <c r="A240" i="2"/>
  <c r="AL239" i="2"/>
  <c r="AK239" i="2"/>
  <c r="AJ239" i="2"/>
  <c r="AI239" i="2"/>
  <c r="AH239" i="2"/>
  <c r="AG239" i="2"/>
  <c r="AF239" i="2"/>
  <c r="AE239" i="2"/>
  <c r="AD239" i="2"/>
  <c r="AC239" i="2"/>
  <c r="AB239" i="2"/>
  <c r="AA239" i="2"/>
  <c r="Y239" i="2"/>
  <c r="X239" i="2"/>
  <c r="W239" i="2"/>
  <c r="V239" i="2"/>
  <c r="U239" i="2"/>
  <c r="S239" i="2"/>
  <c r="R239" i="2"/>
  <c r="Q239" i="2"/>
  <c r="P239" i="2"/>
  <c r="O239" i="2"/>
  <c r="N239" i="2"/>
  <c r="M239" i="2"/>
  <c r="L239" i="2"/>
  <c r="K239" i="2"/>
  <c r="J239" i="2"/>
  <c r="I239" i="2"/>
  <c r="H239" i="2"/>
  <c r="G239" i="2"/>
  <c r="F239" i="2"/>
  <c r="E239" i="2"/>
  <c r="D239" i="2"/>
  <c r="C239" i="2"/>
  <c r="A239" i="2"/>
  <c r="AL238" i="2"/>
  <c r="AK238" i="2"/>
  <c r="AJ238" i="2"/>
  <c r="AI238" i="2"/>
  <c r="AH238" i="2"/>
  <c r="AG238" i="2"/>
  <c r="AF238" i="2"/>
  <c r="AE238" i="2"/>
  <c r="AD238" i="2"/>
  <c r="AC238" i="2"/>
  <c r="AB238" i="2"/>
  <c r="AA238" i="2"/>
  <c r="Z238" i="2"/>
  <c r="Y238" i="2"/>
  <c r="X238" i="2"/>
  <c r="W238" i="2"/>
  <c r="V238" i="2"/>
  <c r="U238" i="2"/>
  <c r="S238" i="2"/>
  <c r="R238" i="2"/>
  <c r="Q238" i="2"/>
  <c r="P238" i="2"/>
  <c r="O238" i="2"/>
  <c r="N238" i="2"/>
  <c r="M238" i="2"/>
  <c r="L238" i="2"/>
  <c r="K238" i="2"/>
  <c r="J238" i="2"/>
  <c r="I238" i="2"/>
  <c r="H238" i="2"/>
  <c r="G238" i="2"/>
  <c r="F238" i="2"/>
  <c r="E238" i="2"/>
  <c r="D238" i="2"/>
  <c r="C238" i="2"/>
  <c r="A238" i="2"/>
  <c r="AL237" i="2"/>
  <c r="AK237" i="2"/>
  <c r="AJ237" i="2"/>
  <c r="AI237" i="2"/>
  <c r="AG237" i="2"/>
  <c r="AF237" i="2"/>
  <c r="AE237" i="2"/>
  <c r="AC237" i="2"/>
  <c r="AB237" i="2"/>
  <c r="AA237" i="2"/>
  <c r="X237" i="2"/>
  <c r="W237" i="2"/>
  <c r="V237" i="2"/>
  <c r="U237" i="2"/>
  <c r="R237" i="2"/>
  <c r="Q237" i="2"/>
  <c r="P237" i="2"/>
  <c r="O237" i="2"/>
  <c r="N237" i="2"/>
  <c r="M237" i="2"/>
  <c r="L237" i="2"/>
  <c r="K237" i="2"/>
  <c r="J237" i="2"/>
  <c r="I237" i="2"/>
  <c r="H237" i="2"/>
  <c r="G237" i="2"/>
  <c r="F237" i="2"/>
  <c r="E237" i="2"/>
  <c r="D237" i="2"/>
  <c r="C237" i="2"/>
  <c r="A237" i="2"/>
  <c r="AL236" i="2"/>
  <c r="AK236" i="2"/>
  <c r="AJ236" i="2"/>
  <c r="AI236" i="2"/>
  <c r="AH236" i="2"/>
  <c r="AG236" i="2"/>
  <c r="AF236" i="2"/>
  <c r="AE236" i="2"/>
  <c r="AD236" i="2"/>
  <c r="AC236" i="2"/>
  <c r="AB236" i="2"/>
  <c r="AA236" i="2"/>
  <c r="Z236" i="2"/>
  <c r="Y236" i="2"/>
  <c r="X236" i="2"/>
  <c r="W236" i="2"/>
  <c r="V236" i="2"/>
  <c r="U236" i="2"/>
  <c r="S236" i="2"/>
  <c r="R236" i="2"/>
  <c r="Q236" i="2"/>
  <c r="P236" i="2"/>
  <c r="O236" i="2"/>
  <c r="N236" i="2"/>
  <c r="M236" i="2"/>
  <c r="L236" i="2"/>
  <c r="K236" i="2"/>
  <c r="J236" i="2"/>
  <c r="I236" i="2"/>
  <c r="H236" i="2"/>
  <c r="G236" i="2"/>
  <c r="F236" i="2"/>
  <c r="E236" i="2"/>
  <c r="D236" i="2"/>
  <c r="C236" i="2"/>
  <c r="B236" i="2"/>
  <c r="A236" i="2"/>
  <c r="AL235" i="2"/>
  <c r="AK235" i="2"/>
  <c r="AJ235" i="2"/>
  <c r="AI235" i="2"/>
  <c r="AH235" i="2"/>
  <c r="AG235" i="2"/>
  <c r="AF235" i="2"/>
  <c r="AE235" i="2"/>
  <c r="AD235" i="2"/>
  <c r="AC235" i="2"/>
  <c r="AB235" i="2"/>
  <c r="AA235" i="2"/>
  <c r="Z235" i="2"/>
  <c r="Y235" i="2"/>
  <c r="X235" i="2"/>
  <c r="W235" i="2"/>
  <c r="V235" i="2"/>
  <c r="U235" i="2"/>
  <c r="S235" i="2"/>
  <c r="R235" i="2"/>
  <c r="Q235" i="2"/>
  <c r="P235" i="2"/>
  <c r="O235" i="2"/>
  <c r="N235" i="2"/>
  <c r="M235" i="2"/>
  <c r="L235" i="2"/>
  <c r="K235" i="2"/>
  <c r="J235" i="2"/>
  <c r="I235" i="2"/>
  <c r="H235" i="2"/>
  <c r="G235" i="2"/>
  <c r="F235" i="2"/>
  <c r="E235" i="2"/>
  <c r="D235" i="2"/>
  <c r="C235" i="2"/>
  <c r="B235" i="2"/>
  <c r="A235" i="2"/>
  <c r="AK234" i="2"/>
  <c r="AJ234" i="2"/>
  <c r="AI234" i="2"/>
  <c r="AH234" i="2"/>
  <c r="AG234" i="2"/>
  <c r="AF234" i="2"/>
  <c r="AE234" i="2"/>
  <c r="AC234" i="2"/>
  <c r="AB234" i="2"/>
  <c r="AA234" i="2"/>
  <c r="Z234" i="2"/>
  <c r="Y234" i="2"/>
  <c r="X234" i="2"/>
  <c r="W234" i="2"/>
  <c r="V234" i="2"/>
  <c r="U234" i="2"/>
  <c r="S234" i="2"/>
  <c r="R234" i="2"/>
  <c r="Q234" i="2"/>
  <c r="P234" i="2"/>
  <c r="O234" i="2"/>
  <c r="N234" i="2"/>
  <c r="M234" i="2"/>
  <c r="L234" i="2"/>
  <c r="K234" i="2"/>
  <c r="J234" i="2"/>
  <c r="I234" i="2"/>
  <c r="H234" i="2"/>
  <c r="G234" i="2"/>
  <c r="F234" i="2"/>
  <c r="E234" i="2"/>
  <c r="D234" i="2"/>
  <c r="C234" i="2"/>
  <c r="A234" i="2"/>
  <c r="AK233" i="2"/>
  <c r="AJ233" i="2"/>
  <c r="AI233" i="2"/>
  <c r="AH233" i="2"/>
  <c r="AG233" i="2"/>
  <c r="AF233" i="2"/>
  <c r="AE233" i="2"/>
  <c r="AD233" i="2"/>
  <c r="AC233" i="2"/>
  <c r="AB233" i="2"/>
  <c r="AA233" i="2"/>
  <c r="Z233" i="2"/>
  <c r="Y233" i="2"/>
  <c r="X233" i="2"/>
  <c r="W233" i="2"/>
  <c r="V233" i="2"/>
  <c r="U233" i="2"/>
  <c r="S233" i="2"/>
  <c r="R233" i="2"/>
  <c r="Q233" i="2"/>
  <c r="P233" i="2"/>
  <c r="O233" i="2"/>
  <c r="N233" i="2"/>
  <c r="M233" i="2"/>
  <c r="L233" i="2"/>
  <c r="K233" i="2"/>
  <c r="J233" i="2"/>
  <c r="I233" i="2"/>
  <c r="H233" i="2"/>
  <c r="G233" i="2"/>
  <c r="F233" i="2"/>
  <c r="E233" i="2"/>
  <c r="D233" i="2"/>
  <c r="C233" i="2"/>
  <c r="B233" i="2"/>
  <c r="A233" i="2"/>
  <c r="AL232" i="2"/>
  <c r="AK232" i="2"/>
  <c r="AJ232" i="2"/>
  <c r="AI232" i="2"/>
  <c r="AH232" i="2"/>
  <c r="AG232" i="2"/>
  <c r="AF232" i="2"/>
  <c r="AE232" i="2"/>
  <c r="AD232" i="2"/>
  <c r="AC232" i="2"/>
  <c r="AB232" i="2"/>
  <c r="AA232" i="2"/>
  <c r="Z232" i="2"/>
  <c r="Y232" i="2"/>
  <c r="X232" i="2"/>
  <c r="W232" i="2"/>
  <c r="V232" i="2"/>
  <c r="U232" i="2"/>
  <c r="S232" i="2"/>
  <c r="R232" i="2"/>
  <c r="Q232" i="2"/>
  <c r="P232" i="2"/>
  <c r="O232" i="2"/>
  <c r="N232" i="2"/>
  <c r="M232" i="2"/>
  <c r="L232" i="2"/>
  <c r="K232" i="2"/>
  <c r="J232" i="2"/>
  <c r="I232" i="2"/>
  <c r="H232" i="2"/>
  <c r="G232" i="2"/>
  <c r="F232" i="2"/>
  <c r="E232" i="2"/>
  <c r="D232" i="2"/>
  <c r="C232" i="2"/>
  <c r="A232" i="2"/>
  <c r="AK231" i="2"/>
  <c r="AJ231" i="2"/>
  <c r="AI231" i="2"/>
  <c r="AH231" i="2"/>
  <c r="AG231" i="2"/>
  <c r="AF231" i="2"/>
  <c r="AE231" i="2"/>
  <c r="AD231" i="2"/>
  <c r="AC231" i="2"/>
  <c r="AB231" i="2"/>
  <c r="AA231" i="2"/>
  <c r="Y231" i="2"/>
  <c r="X231" i="2"/>
  <c r="W231" i="2"/>
  <c r="V231" i="2"/>
  <c r="U231" i="2"/>
  <c r="S231" i="2"/>
  <c r="R231" i="2"/>
  <c r="Q231" i="2"/>
  <c r="P231" i="2"/>
  <c r="O231" i="2"/>
  <c r="N231" i="2"/>
  <c r="M231" i="2"/>
  <c r="L231" i="2"/>
  <c r="K231" i="2"/>
  <c r="J231" i="2"/>
  <c r="I231" i="2"/>
  <c r="H231" i="2"/>
  <c r="G231" i="2"/>
  <c r="F231" i="2"/>
  <c r="E231" i="2"/>
  <c r="D231" i="2"/>
  <c r="C231" i="2"/>
  <c r="A231" i="2"/>
  <c r="AL230" i="2"/>
  <c r="AK230" i="2"/>
  <c r="AJ230" i="2"/>
  <c r="AI230" i="2"/>
  <c r="AH230" i="2"/>
  <c r="AG230" i="2"/>
  <c r="AF230" i="2"/>
  <c r="AE230" i="2"/>
  <c r="AC230" i="2"/>
  <c r="AB230" i="2"/>
  <c r="AA230" i="2"/>
  <c r="Z230" i="2"/>
  <c r="Y230" i="2"/>
  <c r="X230" i="2"/>
  <c r="W230" i="2"/>
  <c r="V230" i="2"/>
  <c r="U230" i="2"/>
  <c r="S230" i="2"/>
  <c r="R230" i="2"/>
  <c r="Q230" i="2"/>
  <c r="P230" i="2"/>
  <c r="O230" i="2"/>
  <c r="N230" i="2"/>
  <c r="M230" i="2"/>
  <c r="L230" i="2"/>
  <c r="K230" i="2"/>
  <c r="J230" i="2"/>
  <c r="I230" i="2"/>
  <c r="H230" i="2"/>
  <c r="G230" i="2"/>
  <c r="F230" i="2"/>
  <c r="E230" i="2"/>
  <c r="D230" i="2"/>
  <c r="C230" i="2"/>
  <c r="B230" i="2"/>
  <c r="A230" i="2"/>
  <c r="AK229" i="2"/>
  <c r="AJ229" i="2"/>
  <c r="AI229" i="2"/>
  <c r="AH229" i="2"/>
  <c r="AG229" i="2"/>
  <c r="AF229" i="2"/>
  <c r="AE229" i="2"/>
  <c r="AD229" i="2"/>
  <c r="AC229" i="2"/>
  <c r="AB229" i="2"/>
  <c r="AA229" i="2"/>
  <c r="Z229" i="2"/>
  <c r="Y229" i="2"/>
  <c r="X229" i="2"/>
  <c r="W229" i="2"/>
  <c r="V229" i="2"/>
  <c r="U229" i="2"/>
  <c r="S229" i="2"/>
  <c r="R229" i="2"/>
  <c r="Q229" i="2"/>
  <c r="P229" i="2"/>
  <c r="O229" i="2"/>
  <c r="N229" i="2"/>
  <c r="M229" i="2"/>
  <c r="L229" i="2"/>
  <c r="K229" i="2"/>
  <c r="J229" i="2"/>
  <c r="I229" i="2"/>
  <c r="H229" i="2"/>
  <c r="G229" i="2"/>
  <c r="F229" i="2"/>
  <c r="E229" i="2"/>
  <c r="D229" i="2"/>
  <c r="C229" i="2"/>
  <c r="A229" i="2"/>
  <c r="AL228" i="2"/>
  <c r="AK228" i="2"/>
  <c r="AJ228" i="2"/>
  <c r="AI228" i="2"/>
  <c r="AH228" i="2"/>
  <c r="AG228" i="2"/>
  <c r="AF228" i="2"/>
  <c r="AE228" i="2"/>
  <c r="AD228" i="2"/>
  <c r="AC228" i="2"/>
  <c r="AB228" i="2"/>
  <c r="AA228" i="2"/>
  <c r="Z228" i="2"/>
  <c r="Y228" i="2"/>
  <c r="X228" i="2"/>
  <c r="W228" i="2"/>
  <c r="V228" i="2"/>
  <c r="U228" i="2"/>
  <c r="S228" i="2"/>
  <c r="R228" i="2"/>
  <c r="Q228" i="2"/>
  <c r="P228" i="2"/>
  <c r="O228" i="2"/>
  <c r="N228" i="2"/>
  <c r="M228" i="2"/>
  <c r="L228" i="2"/>
  <c r="K228" i="2"/>
  <c r="J228" i="2"/>
  <c r="I228" i="2"/>
  <c r="H228" i="2"/>
  <c r="G228" i="2"/>
  <c r="F228" i="2"/>
  <c r="E228" i="2"/>
  <c r="D228" i="2"/>
  <c r="C228" i="2"/>
  <c r="A228" i="2"/>
  <c r="AL227" i="2"/>
  <c r="AK227" i="2"/>
  <c r="AJ227" i="2"/>
  <c r="AI227" i="2"/>
  <c r="AH227" i="2"/>
  <c r="AG227" i="2"/>
  <c r="AF227" i="2"/>
  <c r="AE227" i="2"/>
  <c r="AD227" i="2"/>
  <c r="AC227" i="2"/>
  <c r="AB227" i="2"/>
  <c r="AA227" i="2"/>
  <c r="Z227" i="2"/>
  <c r="Y227" i="2"/>
  <c r="X227" i="2"/>
  <c r="W227" i="2"/>
  <c r="V227" i="2"/>
  <c r="U227" i="2"/>
  <c r="S227" i="2"/>
  <c r="R227" i="2"/>
  <c r="Q227" i="2"/>
  <c r="P227" i="2"/>
  <c r="O227" i="2"/>
  <c r="N227" i="2"/>
  <c r="M227" i="2"/>
  <c r="L227" i="2"/>
  <c r="K227" i="2"/>
  <c r="J227" i="2"/>
  <c r="I227" i="2"/>
  <c r="H227" i="2"/>
  <c r="G227" i="2"/>
  <c r="F227" i="2"/>
  <c r="E227" i="2"/>
  <c r="D227" i="2"/>
  <c r="C227" i="2"/>
  <c r="A227" i="2"/>
  <c r="AK226" i="2"/>
  <c r="AJ226" i="2"/>
  <c r="AI226" i="2"/>
  <c r="AH226" i="2"/>
  <c r="AG226" i="2"/>
  <c r="AF226" i="2"/>
  <c r="AE226" i="2"/>
  <c r="AC226" i="2"/>
  <c r="AB226" i="2"/>
  <c r="AA226" i="2"/>
  <c r="Z226" i="2"/>
  <c r="Y226" i="2"/>
  <c r="X226" i="2"/>
  <c r="W226" i="2"/>
  <c r="V226" i="2"/>
  <c r="U226" i="2"/>
  <c r="S226" i="2"/>
  <c r="R226" i="2"/>
  <c r="Q226" i="2"/>
  <c r="P226" i="2"/>
  <c r="O226" i="2"/>
  <c r="N226" i="2"/>
  <c r="M226" i="2"/>
  <c r="L226" i="2"/>
  <c r="K226" i="2"/>
  <c r="J226" i="2"/>
  <c r="I226" i="2"/>
  <c r="H226" i="2"/>
  <c r="G226" i="2"/>
  <c r="F226" i="2"/>
  <c r="E226" i="2"/>
  <c r="D226" i="2"/>
  <c r="C226" i="2"/>
  <c r="B226" i="2"/>
  <c r="A226" i="2"/>
  <c r="AK225" i="2"/>
  <c r="AJ225" i="2"/>
  <c r="AI225" i="2"/>
  <c r="AH225" i="2"/>
  <c r="AG225" i="2"/>
  <c r="AF225" i="2"/>
  <c r="AE225" i="2"/>
  <c r="AD225" i="2"/>
  <c r="AC225" i="2"/>
  <c r="AB225" i="2"/>
  <c r="AA225" i="2"/>
  <c r="Z225" i="2"/>
  <c r="Y225" i="2"/>
  <c r="X225" i="2"/>
  <c r="W225" i="2"/>
  <c r="V225" i="2"/>
  <c r="U225" i="2"/>
  <c r="S225" i="2"/>
  <c r="R225" i="2"/>
  <c r="Q22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D225" i="2"/>
  <c r="C225" i="2"/>
  <c r="A225" i="2"/>
  <c r="AK224" i="2"/>
  <c r="AJ224" i="2"/>
  <c r="AI224" i="2"/>
  <c r="AH224" i="2"/>
  <c r="AG224" i="2"/>
  <c r="AF224" i="2"/>
  <c r="AE224" i="2"/>
  <c r="AD224" i="2"/>
  <c r="AC224" i="2"/>
  <c r="AB224" i="2"/>
  <c r="AA224" i="2"/>
  <c r="Z224" i="2"/>
  <c r="Y224" i="2"/>
  <c r="X224" i="2"/>
  <c r="W224" i="2"/>
  <c r="V224" i="2"/>
  <c r="U224" i="2"/>
  <c r="S224" i="2"/>
  <c r="R224" i="2"/>
  <c r="Q224" i="2"/>
  <c r="P224" i="2"/>
  <c r="O224" i="2"/>
  <c r="N224" i="2"/>
  <c r="M224" i="2"/>
  <c r="L224" i="2"/>
  <c r="K224" i="2"/>
  <c r="J224" i="2"/>
  <c r="I224" i="2"/>
  <c r="H224" i="2"/>
  <c r="G224" i="2"/>
  <c r="F224" i="2"/>
  <c r="E224" i="2"/>
  <c r="D224" i="2"/>
  <c r="C224" i="2"/>
  <c r="A224" i="2"/>
  <c r="AK223" i="2"/>
  <c r="AJ223" i="2"/>
  <c r="AI223" i="2"/>
  <c r="AH223" i="2"/>
  <c r="AG223" i="2"/>
  <c r="AF223" i="2"/>
  <c r="AE223" i="2"/>
  <c r="AD223" i="2"/>
  <c r="AC223" i="2"/>
  <c r="AB223" i="2"/>
  <c r="AA223" i="2"/>
  <c r="Z223" i="2"/>
  <c r="Y223" i="2"/>
  <c r="X223" i="2"/>
  <c r="W223" i="2"/>
  <c r="V223" i="2"/>
  <c r="U223" i="2"/>
  <c r="S223" i="2"/>
  <c r="R223" i="2"/>
  <c r="Q223" i="2"/>
  <c r="P223" i="2"/>
  <c r="O223" i="2"/>
  <c r="N223" i="2"/>
  <c r="M223" i="2"/>
  <c r="L223" i="2"/>
  <c r="K223" i="2"/>
  <c r="J223" i="2"/>
  <c r="I223" i="2"/>
  <c r="H223" i="2"/>
  <c r="G223" i="2"/>
  <c r="F223" i="2"/>
  <c r="E223" i="2"/>
  <c r="D223" i="2"/>
  <c r="C223" i="2"/>
  <c r="B223" i="2"/>
  <c r="A223" i="2"/>
  <c r="AK222" i="2"/>
  <c r="AJ222" i="2"/>
  <c r="AI222" i="2"/>
  <c r="AH222" i="2"/>
  <c r="AG222" i="2"/>
  <c r="AF222" i="2"/>
  <c r="AE222" i="2"/>
  <c r="AD222" i="2"/>
  <c r="AC222" i="2"/>
  <c r="AB222" i="2"/>
  <c r="AA222" i="2"/>
  <c r="Z222" i="2"/>
  <c r="Y222" i="2"/>
  <c r="X222" i="2"/>
  <c r="W222" i="2"/>
  <c r="V222" i="2"/>
  <c r="U222" i="2"/>
  <c r="S222" i="2"/>
  <c r="R222" i="2"/>
  <c r="Q222" i="2"/>
  <c r="P222" i="2"/>
  <c r="O222" i="2"/>
  <c r="N222" i="2"/>
  <c r="M222" i="2"/>
  <c r="L222" i="2"/>
  <c r="K222" i="2"/>
  <c r="J222" i="2"/>
  <c r="I222" i="2"/>
  <c r="H222" i="2"/>
  <c r="G222" i="2"/>
  <c r="F222" i="2"/>
  <c r="E222" i="2"/>
  <c r="D222" i="2"/>
  <c r="C222" i="2"/>
  <c r="B222" i="2"/>
  <c r="A222" i="2"/>
  <c r="AL221" i="2"/>
  <c r="AK221" i="2"/>
  <c r="AJ221" i="2"/>
  <c r="AI221" i="2"/>
  <c r="AG221" i="2"/>
  <c r="AF221" i="2"/>
  <c r="AE221" i="2"/>
  <c r="AC221" i="2"/>
  <c r="AB221" i="2"/>
  <c r="AA221" i="2"/>
  <c r="X221" i="2"/>
  <c r="W221" i="2"/>
  <c r="V221" i="2"/>
  <c r="U221" i="2"/>
  <c r="R221" i="2"/>
  <c r="Q221" i="2"/>
  <c r="P221" i="2"/>
  <c r="O221" i="2"/>
  <c r="N221" i="2"/>
  <c r="M221" i="2"/>
  <c r="L221" i="2"/>
  <c r="K221" i="2"/>
  <c r="J221" i="2"/>
  <c r="I221" i="2"/>
  <c r="H221" i="2"/>
  <c r="G221" i="2"/>
  <c r="F221" i="2"/>
  <c r="E221" i="2"/>
  <c r="D221" i="2"/>
  <c r="C221" i="2"/>
  <c r="B221" i="2"/>
  <c r="A221" i="2"/>
  <c r="AL220" i="2"/>
  <c r="AK220" i="2"/>
  <c r="AJ220" i="2"/>
  <c r="AI220" i="2"/>
  <c r="AH220" i="2"/>
  <c r="AG220" i="2"/>
  <c r="AF220" i="2"/>
  <c r="AE220" i="2"/>
  <c r="AC220" i="2"/>
  <c r="AB220" i="2"/>
  <c r="AA220" i="2"/>
  <c r="Z220" i="2"/>
  <c r="Y220" i="2"/>
  <c r="X220" i="2"/>
  <c r="W220" i="2"/>
  <c r="V220" i="2"/>
  <c r="U220" i="2"/>
  <c r="S220" i="2"/>
  <c r="R220" i="2"/>
  <c r="Q220" i="2"/>
  <c r="P220" i="2"/>
  <c r="O220" i="2"/>
  <c r="N220" i="2"/>
  <c r="M220" i="2"/>
  <c r="L220" i="2"/>
  <c r="K220" i="2"/>
  <c r="J220" i="2"/>
  <c r="I220" i="2"/>
  <c r="H220" i="2"/>
  <c r="G220" i="2"/>
  <c r="F220" i="2"/>
  <c r="E220" i="2"/>
  <c r="D220" i="2"/>
  <c r="C220" i="2"/>
  <c r="A220" i="2"/>
  <c r="AL219" i="2"/>
  <c r="AK219" i="2"/>
  <c r="AJ219" i="2"/>
  <c r="AI219" i="2"/>
  <c r="AH219" i="2"/>
  <c r="AG219" i="2"/>
  <c r="AF219" i="2"/>
  <c r="AE219" i="2"/>
  <c r="AD219" i="2"/>
  <c r="AC219" i="2"/>
  <c r="AB219" i="2"/>
  <c r="AA219" i="2"/>
  <c r="Z219" i="2"/>
  <c r="Y219" i="2"/>
  <c r="X219" i="2"/>
  <c r="W219" i="2"/>
  <c r="V219" i="2"/>
  <c r="U219" i="2"/>
  <c r="S219" i="2"/>
  <c r="R219" i="2"/>
  <c r="Q219" i="2"/>
  <c r="P219" i="2"/>
  <c r="O219" i="2"/>
  <c r="N219" i="2"/>
  <c r="M219" i="2"/>
  <c r="L219" i="2"/>
  <c r="K219" i="2"/>
  <c r="J219" i="2"/>
  <c r="I219" i="2"/>
  <c r="H219" i="2"/>
  <c r="G219" i="2"/>
  <c r="F219" i="2"/>
  <c r="E219" i="2"/>
  <c r="D219" i="2"/>
  <c r="C219" i="2"/>
  <c r="A219" i="2"/>
  <c r="AK218" i="2"/>
  <c r="AJ218" i="2"/>
  <c r="AI218" i="2"/>
  <c r="AH218" i="2"/>
  <c r="AG218" i="2"/>
  <c r="AF218" i="2"/>
  <c r="AE218" i="2"/>
  <c r="AC218" i="2"/>
  <c r="AB218" i="2"/>
  <c r="AA218" i="2"/>
  <c r="Y218" i="2"/>
  <c r="X218" i="2"/>
  <c r="W218" i="2"/>
  <c r="V218" i="2"/>
  <c r="U218" i="2"/>
  <c r="S218" i="2"/>
  <c r="R218" i="2"/>
  <c r="Q218" i="2"/>
  <c r="P218" i="2"/>
  <c r="O218" i="2"/>
  <c r="N218" i="2"/>
  <c r="M218" i="2"/>
  <c r="L218" i="2"/>
  <c r="K218" i="2"/>
  <c r="J218" i="2"/>
  <c r="I218" i="2"/>
  <c r="H218" i="2"/>
  <c r="G218" i="2"/>
  <c r="F218" i="2"/>
  <c r="E218" i="2"/>
  <c r="D218" i="2"/>
  <c r="C218" i="2"/>
  <c r="A218" i="2"/>
  <c r="AL217" i="2"/>
  <c r="AK217" i="2"/>
  <c r="AJ217" i="2"/>
  <c r="AI217" i="2"/>
  <c r="AH217" i="2"/>
  <c r="AG217" i="2"/>
  <c r="AF217" i="2"/>
  <c r="AE217" i="2"/>
  <c r="AD217" i="2"/>
  <c r="AC217" i="2"/>
  <c r="AB217" i="2"/>
  <c r="AA217" i="2"/>
  <c r="Z217" i="2"/>
  <c r="Y217" i="2"/>
  <c r="X217" i="2"/>
  <c r="W217" i="2"/>
  <c r="V217" i="2"/>
  <c r="U217" i="2"/>
  <c r="S217" i="2"/>
  <c r="R217" i="2"/>
  <c r="Q217" i="2"/>
  <c r="P217" i="2"/>
  <c r="O217" i="2"/>
  <c r="N217" i="2"/>
  <c r="M217" i="2"/>
  <c r="L217" i="2"/>
  <c r="K217" i="2"/>
  <c r="J217" i="2"/>
  <c r="I217" i="2"/>
  <c r="H217" i="2"/>
  <c r="G217" i="2"/>
  <c r="F217" i="2"/>
  <c r="E217" i="2"/>
  <c r="D217" i="2"/>
  <c r="C217" i="2"/>
  <c r="A217" i="2"/>
  <c r="AL216" i="2"/>
  <c r="AK216" i="2"/>
  <c r="AJ216" i="2"/>
  <c r="AI216" i="2"/>
  <c r="AH216" i="2"/>
  <c r="AG216" i="2"/>
  <c r="AF216" i="2"/>
  <c r="AE216" i="2"/>
  <c r="AC216" i="2"/>
  <c r="AB216" i="2"/>
  <c r="AA216" i="2"/>
  <c r="Z216" i="2"/>
  <c r="Y216" i="2"/>
  <c r="X216" i="2"/>
  <c r="W216" i="2"/>
  <c r="V216" i="2"/>
  <c r="U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216" i="2"/>
  <c r="A216" i="2"/>
  <c r="AL215" i="2"/>
  <c r="AK215" i="2"/>
  <c r="AJ215" i="2"/>
  <c r="AI215" i="2"/>
  <c r="AH215" i="2"/>
  <c r="AG215" i="2"/>
  <c r="AF215" i="2"/>
  <c r="AE215" i="2"/>
  <c r="AD215" i="2"/>
  <c r="AC215" i="2"/>
  <c r="AB215" i="2"/>
  <c r="AA215" i="2"/>
  <c r="Z215" i="2"/>
  <c r="Y215" i="2"/>
  <c r="X215" i="2"/>
  <c r="W215" i="2"/>
  <c r="V215" i="2"/>
  <c r="U215" i="2"/>
  <c r="S215" i="2"/>
  <c r="R215" i="2"/>
  <c r="Q21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D215" i="2"/>
  <c r="C215" i="2"/>
  <c r="A215" i="2"/>
  <c r="AL214" i="2"/>
  <c r="AK214" i="2"/>
  <c r="AJ214" i="2"/>
  <c r="AI214" i="2"/>
  <c r="AH214" i="2"/>
  <c r="AG214" i="2"/>
  <c r="AF214" i="2"/>
  <c r="AE214" i="2"/>
  <c r="AD214" i="2"/>
  <c r="AC214" i="2"/>
  <c r="AB214" i="2"/>
  <c r="AA214" i="2"/>
  <c r="Z214" i="2"/>
  <c r="Y214" i="2"/>
  <c r="X214" i="2"/>
  <c r="W214" i="2"/>
  <c r="V214" i="2"/>
  <c r="U214" i="2"/>
  <c r="S214" i="2"/>
  <c r="R214" i="2"/>
  <c r="Q214" i="2"/>
  <c r="P214" i="2"/>
  <c r="O214" i="2"/>
  <c r="N214" i="2"/>
  <c r="M214" i="2"/>
  <c r="L214" i="2"/>
  <c r="K214" i="2"/>
  <c r="J214" i="2"/>
  <c r="I214" i="2"/>
  <c r="H214" i="2"/>
  <c r="G214" i="2"/>
  <c r="F214" i="2"/>
  <c r="E214" i="2"/>
  <c r="D214" i="2"/>
  <c r="C214" i="2"/>
  <c r="A214" i="2"/>
  <c r="AL213" i="2"/>
  <c r="AK213" i="2"/>
  <c r="AJ213" i="2"/>
  <c r="AI213" i="2"/>
  <c r="AH213" i="2"/>
  <c r="AG213" i="2"/>
  <c r="AF213" i="2"/>
  <c r="AE213" i="2"/>
  <c r="AD213" i="2"/>
  <c r="AC213" i="2"/>
  <c r="AB213" i="2"/>
  <c r="AA213" i="2"/>
  <c r="Y213" i="2"/>
  <c r="X213" i="2"/>
  <c r="W213" i="2"/>
  <c r="V213" i="2"/>
  <c r="U213" i="2"/>
  <c r="S213" i="2"/>
  <c r="R213" i="2"/>
  <c r="Q213" i="2"/>
  <c r="P213" i="2"/>
  <c r="O213" i="2"/>
  <c r="N213" i="2"/>
  <c r="M213" i="2"/>
  <c r="L213" i="2"/>
  <c r="K213" i="2"/>
  <c r="J213" i="2"/>
  <c r="I213" i="2"/>
  <c r="H213" i="2"/>
  <c r="G213" i="2"/>
  <c r="F213" i="2"/>
  <c r="E213" i="2"/>
  <c r="D213" i="2"/>
  <c r="C213" i="2"/>
  <c r="A213" i="2"/>
  <c r="AK212" i="2"/>
  <c r="AJ212" i="2"/>
  <c r="AI212" i="2"/>
  <c r="AH212" i="2"/>
  <c r="AG212" i="2"/>
  <c r="AF212" i="2"/>
  <c r="AE212" i="2"/>
  <c r="AD212" i="2"/>
  <c r="AC212" i="2"/>
  <c r="AB212" i="2"/>
  <c r="AA212" i="2"/>
  <c r="Z212" i="2"/>
  <c r="Y212" i="2"/>
  <c r="X212" i="2"/>
  <c r="W212" i="2"/>
  <c r="V212" i="2"/>
  <c r="U212" i="2"/>
  <c r="S212" i="2"/>
  <c r="R212" i="2"/>
  <c r="Q212" i="2"/>
  <c r="P212" i="2"/>
  <c r="O212" i="2"/>
  <c r="N212" i="2"/>
  <c r="M212" i="2"/>
  <c r="L212" i="2"/>
  <c r="K212" i="2"/>
  <c r="J212" i="2"/>
  <c r="I212" i="2"/>
  <c r="H212" i="2"/>
  <c r="G212" i="2"/>
  <c r="F212" i="2"/>
  <c r="E212" i="2"/>
  <c r="D212" i="2"/>
  <c r="C212" i="2"/>
  <c r="A212" i="2"/>
  <c r="AL211" i="2"/>
  <c r="AK211" i="2"/>
  <c r="AJ211" i="2"/>
  <c r="AI211" i="2"/>
  <c r="AH211" i="2"/>
  <c r="AG211" i="2"/>
  <c r="AF211" i="2"/>
  <c r="AE211" i="2"/>
  <c r="AD211" i="2"/>
  <c r="AC211" i="2"/>
  <c r="AB211" i="2"/>
  <c r="AA211" i="2"/>
  <c r="Z211" i="2"/>
  <c r="Y211" i="2"/>
  <c r="X211" i="2"/>
  <c r="W211" i="2"/>
  <c r="V211" i="2"/>
  <c r="U211" i="2"/>
  <c r="S211" i="2"/>
  <c r="R211" i="2"/>
  <c r="Q211" i="2"/>
  <c r="P211" i="2"/>
  <c r="O211" i="2"/>
  <c r="N211" i="2"/>
  <c r="M211" i="2"/>
  <c r="L211" i="2"/>
  <c r="K211" i="2"/>
  <c r="J211" i="2"/>
  <c r="I211" i="2"/>
  <c r="H211" i="2"/>
  <c r="G211" i="2"/>
  <c r="F211" i="2"/>
  <c r="E211" i="2"/>
  <c r="D211" i="2"/>
  <c r="C211" i="2"/>
  <c r="B211" i="2"/>
  <c r="A211" i="2"/>
  <c r="AL210" i="2"/>
  <c r="AK210" i="2"/>
  <c r="AJ210" i="2"/>
  <c r="AI210" i="2"/>
  <c r="AH210" i="2"/>
  <c r="AG210" i="2"/>
  <c r="AF210" i="2"/>
  <c r="AE210" i="2"/>
  <c r="AD210" i="2"/>
  <c r="AC210" i="2"/>
  <c r="AB210" i="2"/>
  <c r="AA210" i="2"/>
  <c r="Z210" i="2"/>
  <c r="Y210" i="2"/>
  <c r="X210" i="2"/>
  <c r="W210" i="2"/>
  <c r="V210" i="2"/>
  <c r="U210" i="2"/>
  <c r="S210" i="2"/>
  <c r="R210" i="2"/>
  <c r="Q210" i="2"/>
  <c r="P210" i="2"/>
  <c r="O210" i="2"/>
  <c r="N210" i="2"/>
  <c r="M210" i="2"/>
  <c r="L210" i="2"/>
  <c r="K210" i="2"/>
  <c r="J210" i="2"/>
  <c r="I210" i="2"/>
  <c r="H210" i="2"/>
  <c r="G210" i="2"/>
  <c r="F210" i="2"/>
  <c r="E210" i="2"/>
  <c r="D210" i="2"/>
  <c r="C210" i="2"/>
  <c r="A210" i="2"/>
  <c r="AL209" i="2"/>
  <c r="AK209" i="2"/>
  <c r="AJ209" i="2"/>
  <c r="AI209" i="2"/>
  <c r="AH209" i="2"/>
  <c r="AG209" i="2"/>
  <c r="AF209" i="2"/>
  <c r="AE209" i="2"/>
  <c r="AD209" i="2"/>
  <c r="AC209" i="2"/>
  <c r="AB209" i="2"/>
  <c r="AA209" i="2"/>
  <c r="Z209" i="2"/>
  <c r="Y209" i="2"/>
  <c r="X209" i="2"/>
  <c r="W209" i="2"/>
  <c r="V209" i="2"/>
  <c r="U209" i="2"/>
  <c r="S209" i="2"/>
  <c r="R209" i="2"/>
  <c r="Q209" i="2"/>
  <c r="P209" i="2"/>
  <c r="O209" i="2"/>
  <c r="N209" i="2"/>
  <c r="M209" i="2"/>
  <c r="L209" i="2"/>
  <c r="K209" i="2"/>
  <c r="J209" i="2"/>
  <c r="I209" i="2"/>
  <c r="H209" i="2"/>
  <c r="G209" i="2"/>
  <c r="F209" i="2"/>
  <c r="E209" i="2"/>
  <c r="D209" i="2"/>
  <c r="C209" i="2"/>
  <c r="B209" i="2"/>
  <c r="A209" i="2"/>
  <c r="AL208" i="2"/>
  <c r="AK208" i="2"/>
  <c r="AJ208" i="2"/>
  <c r="AI208" i="2"/>
  <c r="AH208" i="2"/>
  <c r="AG208" i="2"/>
  <c r="AF208" i="2"/>
  <c r="AE208" i="2"/>
  <c r="AD208" i="2"/>
  <c r="AC208" i="2"/>
  <c r="AB208" i="2"/>
  <c r="AA208" i="2"/>
  <c r="Z208" i="2"/>
  <c r="Y208" i="2"/>
  <c r="X208" i="2"/>
  <c r="W208" i="2"/>
  <c r="V208" i="2"/>
  <c r="U208" i="2"/>
  <c r="S208" i="2"/>
  <c r="R208" i="2"/>
  <c r="Q208" i="2"/>
  <c r="P208" i="2"/>
  <c r="O208" i="2"/>
  <c r="N208" i="2"/>
  <c r="M208" i="2"/>
  <c r="L208" i="2"/>
  <c r="K208" i="2"/>
  <c r="J208" i="2"/>
  <c r="I208" i="2"/>
  <c r="H208" i="2"/>
  <c r="G208" i="2"/>
  <c r="F208" i="2"/>
  <c r="E208" i="2"/>
  <c r="D208" i="2"/>
  <c r="C208" i="2"/>
  <c r="B208" i="2"/>
  <c r="A208" i="2"/>
  <c r="AK207" i="2"/>
  <c r="AJ207" i="2"/>
  <c r="AI207" i="2"/>
  <c r="AG207" i="2"/>
  <c r="AF207" i="2"/>
  <c r="AE207" i="2"/>
  <c r="AC207" i="2"/>
  <c r="AB207" i="2"/>
  <c r="AA207" i="2"/>
  <c r="X207" i="2"/>
  <c r="W207" i="2"/>
  <c r="V207" i="2"/>
  <c r="U207" i="2"/>
  <c r="R207" i="2"/>
  <c r="Q207" i="2"/>
  <c r="P207" i="2"/>
  <c r="O207" i="2"/>
  <c r="N207" i="2"/>
  <c r="M207" i="2"/>
  <c r="L207" i="2"/>
  <c r="K207" i="2"/>
  <c r="J207" i="2"/>
  <c r="I207" i="2"/>
  <c r="H207" i="2"/>
  <c r="G207" i="2"/>
  <c r="F207" i="2"/>
  <c r="E207" i="2"/>
  <c r="D207" i="2"/>
  <c r="C207" i="2"/>
  <c r="A207" i="2"/>
  <c r="AL206" i="2"/>
  <c r="AK206" i="2"/>
  <c r="AJ206" i="2"/>
  <c r="AI206" i="2"/>
  <c r="AH206" i="2"/>
  <c r="AG206" i="2"/>
  <c r="AF206" i="2"/>
  <c r="AE206" i="2"/>
  <c r="AC206" i="2"/>
  <c r="AB206" i="2"/>
  <c r="AA206" i="2"/>
  <c r="Z206" i="2"/>
  <c r="Y206" i="2"/>
  <c r="X206" i="2"/>
  <c r="W206" i="2"/>
  <c r="V206" i="2"/>
  <c r="U206" i="2"/>
  <c r="S206" i="2"/>
  <c r="R206" i="2"/>
  <c r="Q206" i="2"/>
  <c r="P206" i="2"/>
  <c r="O206" i="2"/>
  <c r="N206" i="2"/>
  <c r="M206" i="2"/>
  <c r="L206" i="2"/>
  <c r="K206" i="2"/>
  <c r="J206" i="2"/>
  <c r="I206" i="2"/>
  <c r="H206" i="2"/>
  <c r="G206" i="2"/>
  <c r="F206" i="2"/>
  <c r="E206" i="2"/>
  <c r="D206" i="2"/>
  <c r="C206" i="2"/>
  <c r="A206" i="2"/>
  <c r="AK205" i="2"/>
  <c r="AJ205" i="2"/>
  <c r="AI205" i="2"/>
  <c r="AH205" i="2"/>
  <c r="AG205" i="2"/>
  <c r="AF205" i="2"/>
  <c r="AE205" i="2"/>
  <c r="AD205" i="2"/>
  <c r="AC205" i="2"/>
  <c r="AB205" i="2"/>
  <c r="AA205" i="2"/>
  <c r="Z205" i="2"/>
  <c r="Y205" i="2"/>
  <c r="X205" i="2"/>
  <c r="W205" i="2"/>
  <c r="V205" i="2"/>
  <c r="U205" i="2"/>
  <c r="S205" i="2"/>
  <c r="R205" i="2"/>
  <c r="Q205" i="2"/>
  <c r="P205" i="2"/>
  <c r="O205" i="2"/>
  <c r="N205" i="2"/>
  <c r="M205" i="2"/>
  <c r="L205" i="2"/>
  <c r="K205" i="2"/>
  <c r="J205" i="2"/>
  <c r="I205" i="2"/>
  <c r="H205" i="2"/>
  <c r="G205" i="2"/>
  <c r="F205" i="2"/>
  <c r="E205" i="2"/>
  <c r="D205" i="2"/>
  <c r="C205" i="2"/>
  <c r="A205" i="2"/>
  <c r="AK204" i="2"/>
  <c r="AJ204" i="2"/>
  <c r="AI204" i="2"/>
  <c r="AH204" i="2"/>
  <c r="AG204" i="2"/>
  <c r="AF204" i="2"/>
  <c r="AE204" i="2"/>
  <c r="AD204" i="2"/>
  <c r="AC204" i="2"/>
  <c r="AB204" i="2"/>
  <c r="AA204" i="2"/>
  <c r="Z204" i="2"/>
  <c r="Y204" i="2"/>
  <c r="X204" i="2"/>
  <c r="W204" i="2"/>
  <c r="V204" i="2"/>
  <c r="U204" i="2"/>
  <c r="S204" i="2"/>
  <c r="R204" i="2"/>
  <c r="Q204" i="2"/>
  <c r="P204" i="2"/>
  <c r="O204" i="2"/>
  <c r="N204" i="2"/>
  <c r="M204" i="2"/>
  <c r="L204" i="2"/>
  <c r="K204" i="2"/>
  <c r="J204" i="2"/>
  <c r="I204" i="2"/>
  <c r="H204" i="2"/>
  <c r="G204" i="2"/>
  <c r="F204" i="2"/>
  <c r="E204" i="2"/>
  <c r="D204" i="2"/>
  <c r="C204" i="2"/>
  <c r="A204" i="2"/>
  <c r="AL203" i="2"/>
  <c r="AK203" i="2"/>
  <c r="AJ203" i="2"/>
  <c r="AI203" i="2"/>
  <c r="AH203" i="2"/>
  <c r="AG203" i="2"/>
  <c r="AF203" i="2"/>
  <c r="AE203" i="2"/>
  <c r="AD203" i="2"/>
  <c r="AC203" i="2"/>
  <c r="AB203" i="2"/>
  <c r="AA203" i="2"/>
  <c r="Z203" i="2"/>
  <c r="Y203" i="2"/>
  <c r="X203" i="2"/>
  <c r="W203" i="2"/>
  <c r="V203" i="2"/>
  <c r="U203" i="2"/>
  <c r="S203" i="2"/>
  <c r="R203" i="2"/>
  <c r="Q203" i="2"/>
  <c r="P203" i="2"/>
  <c r="O203" i="2"/>
  <c r="N203" i="2"/>
  <c r="M203" i="2"/>
  <c r="L203" i="2"/>
  <c r="K203" i="2"/>
  <c r="J203" i="2"/>
  <c r="I203" i="2"/>
  <c r="H203" i="2"/>
  <c r="G203" i="2"/>
  <c r="F203" i="2"/>
  <c r="E203" i="2"/>
  <c r="D203" i="2"/>
  <c r="C203" i="2"/>
  <c r="B203" i="2"/>
  <c r="A203" i="2"/>
  <c r="AL202" i="2"/>
  <c r="AK202" i="2"/>
  <c r="AJ202" i="2"/>
  <c r="AI202" i="2"/>
  <c r="AH202" i="2"/>
  <c r="AG202" i="2"/>
  <c r="AF202" i="2"/>
  <c r="AE202" i="2"/>
  <c r="AD202" i="2"/>
  <c r="AC202" i="2"/>
  <c r="AB202" i="2"/>
  <c r="AA202" i="2"/>
  <c r="Z202" i="2"/>
  <c r="Y202" i="2"/>
  <c r="X202" i="2"/>
  <c r="W202" i="2"/>
  <c r="V202" i="2"/>
  <c r="U202" i="2"/>
  <c r="S202" i="2"/>
  <c r="R202" i="2"/>
  <c r="Q202" i="2"/>
  <c r="P202" i="2"/>
  <c r="O202" i="2"/>
  <c r="N202" i="2"/>
  <c r="M202" i="2"/>
  <c r="L202" i="2"/>
  <c r="K202" i="2"/>
  <c r="J202" i="2"/>
  <c r="I202" i="2"/>
  <c r="H202" i="2"/>
  <c r="G202" i="2"/>
  <c r="F202" i="2"/>
  <c r="E202" i="2"/>
  <c r="D202" i="2"/>
  <c r="C202" i="2"/>
  <c r="A202" i="2"/>
  <c r="AL201" i="2"/>
  <c r="AK201" i="2"/>
  <c r="AJ201" i="2"/>
  <c r="AI201" i="2"/>
  <c r="AH201" i="2"/>
  <c r="AG201" i="2"/>
  <c r="AF201" i="2"/>
  <c r="AE201" i="2"/>
  <c r="AD201" i="2"/>
  <c r="AC201" i="2"/>
  <c r="AB201" i="2"/>
  <c r="AA201" i="2"/>
  <c r="Z201" i="2"/>
  <c r="Y201" i="2"/>
  <c r="X201" i="2"/>
  <c r="W201" i="2"/>
  <c r="V201" i="2"/>
  <c r="U201" i="2"/>
  <c r="S201" i="2"/>
  <c r="R201" i="2"/>
  <c r="Q201" i="2"/>
  <c r="P201" i="2"/>
  <c r="O201" i="2"/>
  <c r="N201" i="2"/>
  <c r="M201" i="2"/>
  <c r="L201" i="2"/>
  <c r="K201" i="2"/>
  <c r="J201" i="2"/>
  <c r="I201" i="2"/>
  <c r="H201" i="2"/>
  <c r="G201" i="2"/>
  <c r="F201" i="2"/>
  <c r="E201" i="2"/>
  <c r="D201" i="2"/>
  <c r="C201" i="2"/>
  <c r="A201" i="2"/>
  <c r="AL200" i="2"/>
  <c r="AK200" i="2"/>
  <c r="AJ200" i="2"/>
  <c r="AI200" i="2"/>
  <c r="AH200" i="2"/>
  <c r="AG200" i="2"/>
  <c r="AF200" i="2"/>
  <c r="AE200" i="2"/>
  <c r="AD200" i="2"/>
  <c r="AC200" i="2"/>
  <c r="AB200" i="2"/>
  <c r="AA200" i="2"/>
  <c r="Z200" i="2"/>
  <c r="Y200" i="2"/>
  <c r="X200" i="2"/>
  <c r="W200" i="2"/>
  <c r="V200" i="2"/>
  <c r="U200" i="2"/>
  <c r="S200" i="2"/>
  <c r="R200" i="2"/>
  <c r="Q200" i="2"/>
  <c r="P200" i="2"/>
  <c r="O200" i="2"/>
  <c r="N200" i="2"/>
  <c r="M200" i="2"/>
  <c r="L200" i="2"/>
  <c r="K200" i="2"/>
  <c r="J200" i="2"/>
  <c r="I200" i="2"/>
  <c r="H200" i="2"/>
  <c r="G200" i="2"/>
  <c r="F200" i="2"/>
  <c r="E200" i="2"/>
  <c r="D200" i="2"/>
  <c r="C200" i="2"/>
  <c r="A200" i="2"/>
  <c r="AK199" i="2"/>
  <c r="AJ199" i="2"/>
  <c r="AI199" i="2"/>
  <c r="AH199" i="2"/>
  <c r="AG199" i="2"/>
  <c r="AF199" i="2"/>
  <c r="AE199" i="2"/>
  <c r="AD199" i="2"/>
  <c r="AC199" i="2"/>
  <c r="AB199" i="2"/>
  <c r="AA199" i="2"/>
  <c r="Z199" i="2"/>
  <c r="Y199" i="2"/>
  <c r="X199" i="2"/>
  <c r="W199" i="2"/>
  <c r="V199" i="2"/>
  <c r="U199" i="2"/>
  <c r="S199" i="2"/>
  <c r="R199" i="2"/>
  <c r="Q199" i="2"/>
  <c r="P199" i="2"/>
  <c r="O199" i="2"/>
  <c r="N199" i="2"/>
  <c r="M199" i="2"/>
  <c r="L199" i="2"/>
  <c r="K199" i="2"/>
  <c r="J199" i="2"/>
  <c r="I199" i="2"/>
  <c r="H199" i="2"/>
  <c r="G199" i="2"/>
  <c r="F199" i="2"/>
  <c r="E199" i="2"/>
  <c r="D199" i="2"/>
  <c r="C199" i="2"/>
  <c r="A199" i="2"/>
  <c r="AL198" i="2"/>
  <c r="AK198" i="2"/>
  <c r="AJ198" i="2"/>
  <c r="AI198" i="2"/>
  <c r="AH198" i="2"/>
  <c r="AG198" i="2"/>
  <c r="AF198" i="2"/>
  <c r="AE198" i="2"/>
  <c r="AD198" i="2"/>
  <c r="AC198" i="2"/>
  <c r="AB198" i="2"/>
  <c r="AA198" i="2"/>
  <c r="Z198" i="2"/>
  <c r="Y198" i="2"/>
  <c r="X198" i="2"/>
  <c r="W198" i="2"/>
  <c r="V198" i="2"/>
  <c r="U198" i="2"/>
  <c r="S198" i="2"/>
  <c r="R198" i="2"/>
  <c r="Q198" i="2"/>
  <c r="P198" i="2"/>
  <c r="O198" i="2"/>
  <c r="N198" i="2"/>
  <c r="M198" i="2"/>
  <c r="L198" i="2"/>
  <c r="K198" i="2"/>
  <c r="J198" i="2"/>
  <c r="I198" i="2"/>
  <c r="H198" i="2"/>
  <c r="G198" i="2"/>
  <c r="F198" i="2"/>
  <c r="E198" i="2"/>
  <c r="D198" i="2"/>
  <c r="C198" i="2"/>
  <c r="B198" i="2"/>
  <c r="A198" i="2"/>
  <c r="AK197" i="2"/>
  <c r="AJ197" i="2"/>
  <c r="AI197" i="2"/>
  <c r="AH197" i="2"/>
  <c r="AG197" i="2"/>
  <c r="AF197" i="2"/>
  <c r="AE197" i="2"/>
  <c r="AD197" i="2"/>
  <c r="AC197" i="2"/>
  <c r="AB197" i="2"/>
  <c r="AA197" i="2"/>
  <c r="Z197" i="2"/>
  <c r="Y197" i="2"/>
  <c r="X197" i="2"/>
  <c r="W197" i="2"/>
  <c r="V197" i="2"/>
  <c r="U197" i="2"/>
  <c r="S197" i="2"/>
  <c r="R197" i="2"/>
  <c r="Q197" i="2"/>
  <c r="P197" i="2"/>
  <c r="O197" i="2"/>
  <c r="N197" i="2"/>
  <c r="M197" i="2"/>
  <c r="L197" i="2"/>
  <c r="K197" i="2"/>
  <c r="J197" i="2"/>
  <c r="I197" i="2"/>
  <c r="H197" i="2"/>
  <c r="G197" i="2"/>
  <c r="F197" i="2"/>
  <c r="E197" i="2"/>
  <c r="D197" i="2"/>
  <c r="C197" i="2"/>
  <c r="A197" i="2"/>
  <c r="AL196" i="2"/>
  <c r="AK196" i="2"/>
  <c r="AJ196" i="2"/>
  <c r="AI196" i="2"/>
  <c r="AH196" i="2"/>
  <c r="AG196" i="2"/>
  <c r="AF196" i="2"/>
  <c r="AE196" i="2"/>
  <c r="AD196" i="2"/>
  <c r="AC196" i="2"/>
  <c r="AB196" i="2"/>
  <c r="AA196" i="2"/>
  <c r="Z196" i="2"/>
  <c r="Y196" i="2"/>
  <c r="X196" i="2"/>
  <c r="W196" i="2"/>
  <c r="V196" i="2"/>
  <c r="U196" i="2"/>
  <c r="S196" i="2"/>
  <c r="R196" i="2"/>
  <c r="Q196" i="2"/>
  <c r="P196" i="2"/>
  <c r="O196" i="2"/>
  <c r="N196" i="2"/>
  <c r="M196" i="2"/>
  <c r="L196" i="2"/>
  <c r="K196" i="2"/>
  <c r="J196" i="2"/>
  <c r="I196" i="2"/>
  <c r="H196" i="2"/>
  <c r="G196" i="2"/>
  <c r="F196" i="2"/>
  <c r="E196" i="2"/>
  <c r="D196" i="2"/>
  <c r="C196" i="2"/>
  <c r="A196" i="2"/>
  <c r="AK195" i="2"/>
  <c r="AJ195" i="2"/>
  <c r="AI195" i="2"/>
  <c r="AH195" i="2"/>
  <c r="AG195" i="2"/>
  <c r="AF195" i="2"/>
  <c r="AE195" i="2"/>
  <c r="AD195" i="2"/>
  <c r="AC195" i="2"/>
  <c r="AB195" i="2"/>
  <c r="AA195" i="2"/>
  <c r="Z195" i="2"/>
  <c r="Y195" i="2"/>
  <c r="X195" i="2"/>
  <c r="W195" i="2"/>
  <c r="V195" i="2"/>
  <c r="U195" i="2"/>
  <c r="S195" i="2"/>
  <c r="R195" i="2"/>
  <c r="Q195" i="2"/>
  <c r="P195" i="2"/>
  <c r="O195" i="2"/>
  <c r="N195" i="2"/>
  <c r="M195" i="2"/>
  <c r="L195" i="2"/>
  <c r="K195" i="2"/>
  <c r="J195" i="2"/>
  <c r="I195" i="2"/>
  <c r="H195" i="2"/>
  <c r="G195" i="2"/>
  <c r="F195" i="2"/>
  <c r="E195" i="2"/>
  <c r="D195" i="2"/>
  <c r="C195" i="2"/>
  <c r="B195" i="2"/>
  <c r="A195" i="2"/>
  <c r="AK194" i="2"/>
  <c r="AJ194" i="2"/>
  <c r="AI194" i="2"/>
  <c r="AH194" i="2"/>
  <c r="AG194" i="2"/>
  <c r="AF194" i="2"/>
  <c r="AE194" i="2"/>
  <c r="AD194" i="2"/>
  <c r="AC194" i="2"/>
  <c r="AB194" i="2"/>
  <c r="AA194" i="2"/>
  <c r="Z194" i="2"/>
  <c r="Y194" i="2"/>
  <c r="X194" i="2"/>
  <c r="W194" i="2"/>
  <c r="V194" i="2"/>
  <c r="U194" i="2"/>
  <c r="S194" i="2"/>
  <c r="R194" i="2"/>
  <c r="Q194" i="2"/>
  <c r="P194" i="2"/>
  <c r="O194" i="2"/>
  <c r="N194" i="2"/>
  <c r="M194" i="2"/>
  <c r="L194" i="2"/>
  <c r="K194" i="2"/>
  <c r="J194" i="2"/>
  <c r="I194" i="2"/>
  <c r="H194" i="2"/>
  <c r="G194" i="2"/>
  <c r="F194" i="2"/>
  <c r="E194" i="2"/>
  <c r="D194" i="2"/>
  <c r="C194" i="2"/>
  <c r="A194" i="2"/>
  <c r="AK193" i="2"/>
  <c r="AJ193" i="2"/>
  <c r="AI193" i="2"/>
  <c r="AH193" i="2"/>
  <c r="AG193" i="2"/>
  <c r="AF193" i="2"/>
  <c r="AE193" i="2"/>
  <c r="AD193" i="2"/>
  <c r="AC193" i="2"/>
  <c r="AB193" i="2"/>
  <c r="AA193" i="2"/>
  <c r="Z193" i="2"/>
  <c r="Y193" i="2"/>
  <c r="X193" i="2"/>
  <c r="W193" i="2"/>
  <c r="V193" i="2"/>
  <c r="U193" i="2"/>
  <c r="S193" i="2"/>
  <c r="R193" i="2"/>
  <c r="Q193" i="2"/>
  <c r="P193" i="2"/>
  <c r="O193" i="2"/>
  <c r="N193" i="2"/>
  <c r="M193" i="2"/>
  <c r="L193" i="2"/>
  <c r="K193" i="2"/>
  <c r="J193" i="2"/>
  <c r="I193" i="2"/>
  <c r="H193" i="2"/>
  <c r="G193" i="2"/>
  <c r="F193" i="2"/>
  <c r="E193" i="2"/>
  <c r="D193" i="2"/>
  <c r="C193" i="2"/>
  <c r="A193" i="2"/>
  <c r="AL192" i="2"/>
  <c r="AK192" i="2"/>
  <c r="AJ192" i="2"/>
  <c r="AI192" i="2"/>
  <c r="AH192" i="2"/>
  <c r="AG192" i="2"/>
  <c r="AF192" i="2"/>
  <c r="AE192" i="2"/>
  <c r="AD192" i="2"/>
  <c r="AC192" i="2"/>
  <c r="AB192" i="2"/>
  <c r="AA192" i="2"/>
  <c r="Z192" i="2"/>
  <c r="Y192" i="2"/>
  <c r="X192" i="2"/>
  <c r="W192" i="2"/>
  <c r="V192" i="2"/>
  <c r="U192" i="2"/>
  <c r="S192" i="2"/>
  <c r="R192" i="2"/>
  <c r="Q192" i="2"/>
  <c r="P192" i="2"/>
  <c r="O192" i="2"/>
  <c r="N192" i="2"/>
  <c r="M192" i="2"/>
  <c r="L192" i="2"/>
  <c r="K192" i="2"/>
  <c r="J192" i="2"/>
  <c r="I192" i="2"/>
  <c r="H192" i="2"/>
  <c r="G192" i="2"/>
  <c r="F192" i="2"/>
  <c r="E192" i="2"/>
  <c r="D192" i="2"/>
  <c r="C192" i="2"/>
  <c r="A192" i="2"/>
  <c r="AK191" i="2"/>
  <c r="AJ191" i="2"/>
  <c r="AI191" i="2"/>
  <c r="AH191" i="2"/>
  <c r="AG191" i="2"/>
  <c r="AF191" i="2"/>
  <c r="AE191" i="2"/>
  <c r="AD191" i="2"/>
  <c r="AC191" i="2"/>
  <c r="AB191" i="2"/>
  <c r="AA191" i="2"/>
  <c r="Z191" i="2"/>
  <c r="Y191" i="2"/>
  <c r="X191" i="2"/>
  <c r="W191" i="2"/>
  <c r="V191" i="2"/>
  <c r="U191" i="2"/>
  <c r="S191" i="2"/>
  <c r="R191" i="2"/>
  <c r="Q191" i="2"/>
  <c r="P191" i="2"/>
  <c r="O191" i="2"/>
  <c r="N191" i="2"/>
  <c r="M191" i="2"/>
  <c r="L191" i="2"/>
  <c r="K191" i="2"/>
  <c r="J191" i="2"/>
  <c r="I191" i="2"/>
  <c r="H191" i="2"/>
  <c r="G191" i="2"/>
  <c r="F191" i="2"/>
  <c r="E191" i="2"/>
  <c r="D191" i="2"/>
  <c r="C191" i="2"/>
  <c r="A191" i="2"/>
  <c r="AL190" i="2"/>
  <c r="AK190" i="2"/>
  <c r="AJ190" i="2"/>
  <c r="AI190" i="2"/>
  <c r="AH190" i="2"/>
  <c r="AG190" i="2"/>
  <c r="AF190" i="2"/>
  <c r="AE190" i="2"/>
  <c r="AC190" i="2"/>
  <c r="AB190" i="2"/>
  <c r="AA190" i="2"/>
  <c r="Z190" i="2"/>
  <c r="Y190" i="2"/>
  <c r="X190" i="2"/>
  <c r="W190" i="2"/>
  <c r="V190" i="2"/>
  <c r="U190" i="2"/>
  <c r="S190" i="2"/>
  <c r="R190" i="2"/>
  <c r="Q190" i="2"/>
  <c r="P190" i="2"/>
  <c r="O190" i="2"/>
  <c r="N190" i="2"/>
  <c r="M190" i="2"/>
  <c r="L190" i="2"/>
  <c r="K190" i="2"/>
  <c r="J190" i="2"/>
  <c r="I190" i="2"/>
  <c r="H190" i="2"/>
  <c r="G190" i="2"/>
  <c r="F190" i="2"/>
  <c r="E190" i="2"/>
  <c r="D190" i="2"/>
  <c r="C190" i="2"/>
  <c r="A190" i="2"/>
  <c r="AL189" i="2"/>
  <c r="AK189" i="2"/>
  <c r="AJ189" i="2"/>
  <c r="AI189" i="2"/>
  <c r="AH189" i="2"/>
  <c r="AG189" i="2"/>
  <c r="AF189" i="2"/>
  <c r="AE189" i="2"/>
  <c r="AD189" i="2"/>
  <c r="AC189" i="2"/>
  <c r="AB189" i="2"/>
  <c r="AA189" i="2"/>
  <c r="Z189" i="2"/>
  <c r="Y189" i="2"/>
  <c r="X189" i="2"/>
  <c r="W189" i="2"/>
  <c r="V189" i="2"/>
  <c r="U189" i="2"/>
  <c r="S189" i="2"/>
  <c r="R189" i="2"/>
  <c r="Q189" i="2"/>
  <c r="P189" i="2"/>
  <c r="O189" i="2"/>
  <c r="N189" i="2"/>
  <c r="M189" i="2"/>
  <c r="L189" i="2"/>
  <c r="K189" i="2"/>
  <c r="J189" i="2"/>
  <c r="I189" i="2"/>
  <c r="H189" i="2"/>
  <c r="G189" i="2"/>
  <c r="F189" i="2"/>
  <c r="E189" i="2"/>
  <c r="D189" i="2"/>
  <c r="C189" i="2"/>
  <c r="A189" i="2"/>
  <c r="AL188" i="2"/>
  <c r="AK188" i="2"/>
  <c r="AJ188" i="2"/>
  <c r="AI188" i="2"/>
  <c r="AH188" i="2"/>
  <c r="AG188" i="2"/>
  <c r="AF188" i="2"/>
  <c r="AE188" i="2"/>
  <c r="AD188" i="2"/>
  <c r="AC188" i="2"/>
  <c r="AB188" i="2"/>
  <c r="AA188" i="2"/>
  <c r="Z188" i="2"/>
  <c r="Y188" i="2"/>
  <c r="X188" i="2"/>
  <c r="W188" i="2"/>
  <c r="V188" i="2"/>
  <c r="U188" i="2"/>
  <c r="S188" i="2"/>
  <c r="R188" i="2"/>
  <c r="Q188" i="2"/>
  <c r="P188" i="2"/>
  <c r="O188" i="2"/>
  <c r="N188" i="2"/>
  <c r="M188" i="2"/>
  <c r="L188" i="2"/>
  <c r="K188" i="2"/>
  <c r="J188" i="2"/>
  <c r="I188" i="2"/>
  <c r="H188" i="2"/>
  <c r="G188" i="2"/>
  <c r="F188" i="2"/>
  <c r="E188" i="2"/>
  <c r="D188" i="2"/>
  <c r="C188" i="2"/>
  <c r="A188" i="2"/>
  <c r="AL187" i="2"/>
  <c r="AK187" i="2"/>
  <c r="AJ187" i="2"/>
  <c r="AI187" i="2"/>
  <c r="AH187" i="2"/>
  <c r="AG187" i="2"/>
  <c r="AF187" i="2"/>
  <c r="AE187" i="2"/>
  <c r="AD187" i="2"/>
  <c r="AC187" i="2"/>
  <c r="AB187" i="2"/>
  <c r="AA187" i="2"/>
  <c r="Z187" i="2"/>
  <c r="Y187" i="2"/>
  <c r="X187" i="2"/>
  <c r="W187" i="2"/>
  <c r="V187" i="2"/>
  <c r="U187" i="2"/>
  <c r="S187" i="2"/>
  <c r="R187" i="2"/>
  <c r="Q187" i="2"/>
  <c r="P187" i="2"/>
  <c r="O187" i="2"/>
  <c r="N187" i="2"/>
  <c r="M187" i="2"/>
  <c r="L187" i="2"/>
  <c r="K187" i="2"/>
  <c r="J187" i="2"/>
  <c r="I187" i="2"/>
  <c r="H187" i="2"/>
  <c r="G187" i="2"/>
  <c r="F187" i="2"/>
  <c r="E187" i="2"/>
  <c r="D187" i="2"/>
  <c r="C187" i="2"/>
  <c r="A187" i="2"/>
  <c r="AL186" i="2"/>
  <c r="AK186" i="2"/>
  <c r="AJ186" i="2"/>
  <c r="AI186" i="2"/>
  <c r="AG186" i="2"/>
  <c r="AF186" i="2"/>
  <c r="AE186" i="2"/>
  <c r="AC186" i="2"/>
  <c r="AB186" i="2"/>
  <c r="AA186" i="2"/>
  <c r="X186" i="2"/>
  <c r="W186" i="2"/>
  <c r="V186" i="2"/>
  <c r="U186" i="2"/>
  <c r="R186" i="2"/>
  <c r="Q186" i="2"/>
  <c r="P186" i="2"/>
  <c r="O186" i="2"/>
  <c r="N186" i="2"/>
  <c r="M186" i="2"/>
  <c r="L186" i="2"/>
  <c r="K186" i="2"/>
  <c r="J186" i="2"/>
  <c r="I186" i="2"/>
  <c r="H186" i="2"/>
  <c r="G186" i="2"/>
  <c r="F186" i="2"/>
  <c r="E186" i="2"/>
  <c r="D186" i="2"/>
  <c r="C186" i="2"/>
  <c r="B186" i="2"/>
  <c r="A186" i="2"/>
  <c r="AK185" i="2"/>
  <c r="AJ185" i="2"/>
  <c r="AI185" i="2"/>
  <c r="AH185" i="2"/>
  <c r="AG185" i="2"/>
  <c r="AF185" i="2"/>
  <c r="AE185" i="2"/>
  <c r="AD185" i="2"/>
  <c r="AC185" i="2"/>
  <c r="AB185" i="2"/>
  <c r="AA185" i="2"/>
  <c r="Z185" i="2"/>
  <c r="Y185" i="2"/>
  <c r="X185" i="2"/>
  <c r="W185" i="2"/>
  <c r="V185" i="2"/>
  <c r="U185" i="2"/>
  <c r="S185" i="2"/>
  <c r="R185" i="2"/>
  <c r="Q185" i="2"/>
  <c r="P185" i="2"/>
  <c r="O185" i="2"/>
  <c r="N185" i="2"/>
  <c r="M185" i="2"/>
  <c r="L185" i="2"/>
  <c r="K185" i="2"/>
  <c r="J185" i="2"/>
  <c r="I185" i="2"/>
  <c r="H185" i="2"/>
  <c r="G185" i="2"/>
  <c r="F185" i="2"/>
  <c r="E185" i="2"/>
  <c r="D185" i="2"/>
  <c r="C185" i="2"/>
  <c r="A185" i="2"/>
  <c r="AK184" i="2"/>
  <c r="AJ184" i="2"/>
  <c r="AI184" i="2"/>
  <c r="AH184" i="2"/>
  <c r="AG184" i="2"/>
  <c r="AF184" i="2"/>
  <c r="AE184" i="2"/>
  <c r="AD184" i="2"/>
  <c r="AC184" i="2"/>
  <c r="AB184" i="2"/>
  <c r="AA184" i="2"/>
  <c r="Z184" i="2"/>
  <c r="Y184" i="2"/>
  <c r="X184" i="2"/>
  <c r="W184" i="2"/>
  <c r="V184" i="2"/>
  <c r="U184" i="2"/>
  <c r="S184" i="2"/>
  <c r="R184" i="2"/>
  <c r="Q184" i="2"/>
  <c r="P184" i="2"/>
  <c r="O184" i="2"/>
  <c r="N184" i="2"/>
  <c r="M184" i="2"/>
  <c r="L184" i="2"/>
  <c r="K184" i="2"/>
  <c r="J184" i="2"/>
  <c r="I184" i="2"/>
  <c r="H184" i="2"/>
  <c r="G184" i="2"/>
  <c r="F184" i="2"/>
  <c r="E184" i="2"/>
  <c r="D184" i="2"/>
  <c r="C184" i="2"/>
  <c r="B184" i="2"/>
  <c r="A184" i="2"/>
  <c r="AL183" i="2"/>
  <c r="AK183" i="2"/>
  <c r="AJ183" i="2"/>
  <c r="AI183" i="2"/>
  <c r="AH183" i="2"/>
  <c r="AG183" i="2"/>
  <c r="AF183" i="2"/>
  <c r="AE183" i="2"/>
  <c r="AD183" i="2"/>
  <c r="AC183" i="2"/>
  <c r="AB183" i="2"/>
  <c r="AA183" i="2"/>
  <c r="Z183" i="2"/>
  <c r="Y183" i="2"/>
  <c r="X183" i="2"/>
  <c r="W183" i="2"/>
  <c r="V183" i="2"/>
  <c r="U183" i="2"/>
  <c r="S183" i="2"/>
  <c r="R183" i="2"/>
  <c r="Q183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D183" i="2"/>
  <c r="C183" i="2"/>
  <c r="B183" i="2"/>
  <c r="A183" i="2"/>
  <c r="AL182" i="2"/>
  <c r="AK182" i="2"/>
  <c r="AJ182" i="2"/>
  <c r="AI182" i="2"/>
  <c r="AG182" i="2"/>
  <c r="AF182" i="2"/>
  <c r="AE182" i="2"/>
  <c r="AC182" i="2"/>
  <c r="AB182" i="2"/>
  <c r="AA182" i="2"/>
  <c r="X182" i="2"/>
  <c r="W182" i="2"/>
  <c r="V182" i="2"/>
  <c r="U182" i="2"/>
  <c r="R182" i="2"/>
  <c r="Q182" i="2"/>
  <c r="P182" i="2"/>
  <c r="O182" i="2"/>
  <c r="N182" i="2"/>
  <c r="M182" i="2"/>
  <c r="L182" i="2"/>
  <c r="K182" i="2"/>
  <c r="J182" i="2"/>
  <c r="I182" i="2"/>
  <c r="H182" i="2"/>
  <c r="G182" i="2"/>
  <c r="F182" i="2"/>
  <c r="E182" i="2"/>
  <c r="D182" i="2"/>
  <c r="C182" i="2"/>
  <c r="B182" i="2"/>
  <c r="A182" i="2"/>
  <c r="AL181" i="2"/>
  <c r="AK181" i="2"/>
  <c r="AJ181" i="2"/>
  <c r="AI181" i="2"/>
  <c r="AH181" i="2"/>
  <c r="AG181" i="2"/>
  <c r="AF181" i="2"/>
  <c r="AE181" i="2"/>
  <c r="AD181" i="2"/>
  <c r="AC181" i="2"/>
  <c r="AB181" i="2"/>
  <c r="AA181" i="2"/>
  <c r="Z181" i="2"/>
  <c r="Y181" i="2"/>
  <c r="X181" i="2"/>
  <c r="W181" i="2"/>
  <c r="V181" i="2"/>
  <c r="U181" i="2"/>
  <c r="S181" i="2"/>
  <c r="R181" i="2"/>
  <c r="Q181" i="2"/>
  <c r="P181" i="2"/>
  <c r="O181" i="2"/>
  <c r="N181" i="2"/>
  <c r="M181" i="2"/>
  <c r="L181" i="2"/>
  <c r="K181" i="2"/>
  <c r="J181" i="2"/>
  <c r="I181" i="2"/>
  <c r="H181" i="2"/>
  <c r="G181" i="2"/>
  <c r="F181" i="2"/>
  <c r="E181" i="2"/>
  <c r="D181" i="2"/>
  <c r="C181" i="2"/>
  <c r="B181" i="2"/>
  <c r="A181" i="2"/>
  <c r="AK180" i="2"/>
  <c r="AJ180" i="2"/>
  <c r="AI180" i="2"/>
  <c r="AH180" i="2"/>
  <c r="AG180" i="2"/>
  <c r="AF180" i="2"/>
  <c r="AE180" i="2"/>
  <c r="AD180" i="2"/>
  <c r="AC180" i="2"/>
  <c r="AB180" i="2"/>
  <c r="AA180" i="2"/>
  <c r="Z180" i="2"/>
  <c r="Y180" i="2"/>
  <c r="X180" i="2"/>
  <c r="W180" i="2"/>
  <c r="V180" i="2"/>
  <c r="U180" i="2"/>
  <c r="S180" i="2"/>
  <c r="R180" i="2"/>
  <c r="Q180" i="2"/>
  <c r="P180" i="2"/>
  <c r="O180" i="2"/>
  <c r="N180" i="2"/>
  <c r="M180" i="2"/>
  <c r="L180" i="2"/>
  <c r="K180" i="2"/>
  <c r="J180" i="2"/>
  <c r="I180" i="2"/>
  <c r="H180" i="2"/>
  <c r="G180" i="2"/>
  <c r="F180" i="2"/>
  <c r="E180" i="2"/>
  <c r="D180" i="2"/>
  <c r="C180" i="2"/>
  <c r="A180" i="2"/>
  <c r="AL179" i="2"/>
  <c r="AK179" i="2"/>
  <c r="AJ179" i="2"/>
  <c r="AI179" i="2"/>
  <c r="AH179" i="2"/>
  <c r="AG179" i="2"/>
  <c r="AF179" i="2"/>
  <c r="AE179" i="2"/>
  <c r="AD179" i="2"/>
  <c r="AC179" i="2"/>
  <c r="AB179" i="2"/>
  <c r="AA179" i="2"/>
  <c r="Z179" i="2"/>
  <c r="Y179" i="2"/>
  <c r="X179" i="2"/>
  <c r="W179" i="2"/>
  <c r="V179" i="2"/>
  <c r="U179" i="2"/>
  <c r="S179" i="2"/>
  <c r="R179" i="2"/>
  <c r="Q179" i="2"/>
  <c r="P179" i="2"/>
  <c r="O179" i="2"/>
  <c r="N179" i="2"/>
  <c r="M179" i="2"/>
  <c r="L179" i="2"/>
  <c r="K179" i="2"/>
  <c r="J179" i="2"/>
  <c r="I179" i="2"/>
  <c r="H179" i="2"/>
  <c r="G179" i="2"/>
  <c r="F179" i="2"/>
  <c r="E179" i="2"/>
  <c r="D179" i="2"/>
  <c r="C179" i="2"/>
  <c r="A179" i="2"/>
  <c r="AK178" i="2"/>
  <c r="AJ178" i="2"/>
  <c r="AI178" i="2"/>
  <c r="AH178" i="2"/>
  <c r="AG178" i="2"/>
  <c r="AF178" i="2"/>
  <c r="AE178" i="2"/>
  <c r="AD178" i="2"/>
  <c r="AC178" i="2"/>
  <c r="AB178" i="2"/>
  <c r="AA178" i="2"/>
  <c r="Z178" i="2"/>
  <c r="Y178" i="2"/>
  <c r="X178" i="2"/>
  <c r="W178" i="2"/>
  <c r="V178" i="2"/>
  <c r="U178" i="2"/>
  <c r="S178" i="2"/>
  <c r="R178" i="2"/>
  <c r="Q178" i="2"/>
  <c r="P178" i="2"/>
  <c r="O178" i="2"/>
  <c r="N178" i="2"/>
  <c r="M178" i="2"/>
  <c r="L178" i="2"/>
  <c r="K178" i="2"/>
  <c r="J178" i="2"/>
  <c r="I178" i="2"/>
  <c r="H178" i="2"/>
  <c r="G178" i="2"/>
  <c r="F178" i="2"/>
  <c r="E178" i="2"/>
  <c r="D178" i="2"/>
  <c r="C178" i="2"/>
  <c r="A178" i="2"/>
  <c r="AK177" i="2"/>
  <c r="AJ177" i="2"/>
  <c r="AI177" i="2"/>
  <c r="AH177" i="2"/>
  <c r="AG177" i="2"/>
  <c r="AF177" i="2"/>
  <c r="AE177" i="2"/>
  <c r="AD177" i="2"/>
  <c r="AC177" i="2"/>
  <c r="AB177" i="2"/>
  <c r="AA177" i="2"/>
  <c r="Y177" i="2"/>
  <c r="X177" i="2"/>
  <c r="W177" i="2"/>
  <c r="V177" i="2"/>
  <c r="U177" i="2"/>
  <c r="S177" i="2"/>
  <c r="R177" i="2"/>
  <c r="Q177" i="2"/>
  <c r="P177" i="2"/>
  <c r="O177" i="2"/>
  <c r="N177" i="2"/>
  <c r="M177" i="2"/>
  <c r="L177" i="2"/>
  <c r="K177" i="2"/>
  <c r="J177" i="2"/>
  <c r="I177" i="2"/>
  <c r="H177" i="2"/>
  <c r="G177" i="2"/>
  <c r="F177" i="2"/>
  <c r="E177" i="2"/>
  <c r="D177" i="2"/>
  <c r="C177" i="2"/>
  <c r="A177" i="2"/>
  <c r="AK176" i="2"/>
  <c r="AJ176" i="2"/>
  <c r="AI176" i="2"/>
  <c r="AG176" i="2"/>
  <c r="AF176" i="2"/>
  <c r="AE176" i="2"/>
  <c r="AC176" i="2"/>
  <c r="AB176" i="2"/>
  <c r="AA176" i="2"/>
  <c r="X176" i="2"/>
  <c r="W176" i="2"/>
  <c r="V176" i="2"/>
  <c r="U176" i="2"/>
  <c r="R176" i="2"/>
  <c r="Q176" i="2"/>
  <c r="P176" i="2"/>
  <c r="O176" i="2"/>
  <c r="N176" i="2"/>
  <c r="M176" i="2"/>
  <c r="L176" i="2"/>
  <c r="K176" i="2"/>
  <c r="J176" i="2"/>
  <c r="I176" i="2"/>
  <c r="H176" i="2"/>
  <c r="G176" i="2"/>
  <c r="F176" i="2"/>
  <c r="E176" i="2"/>
  <c r="D176" i="2"/>
  <c r="C176" i="2"/>
  <c r="A176" i="2"/>
  <c r="AL175" i="2"/>
  <c r="AK175" i="2"/>
  <c r="AJ175" i="2"/>
  <c r="AI175" i="2"/>
  <c r="AH175" i="2"/>
  <c r="AG175" i="2"/>
  <c r="AF175" i="2"/>
  <c r="AE175" i="2"/>
  <c r="AD175" i="2"/>
  <c r="AC175" i="2"/>
  <c r="AB175" i="2"/>
  <c r="AA175" i="2"/>
  <c r="Z175" i="2"/>
  <c r="Y175" i="2"/>
  <c r="X175" i="2"/>
  <c r="W175" i="2"/>
  <c r="V175" i="2"/>
  <c r="U175" i="2"/>
  <c r="S175" i="2"/>
  <c r="R175" i="2"/>
  <c r="Q175" i="2"/>
  <c r="P175" i="2"/>
  <c r="O175" i="2"/>
  <c r="N175" i="2"/>
  <c r="M175" i="2"/>
  <c r="L175" i="2"/>
  <c r="K175" i="2"/>
  <c r="J175" i="2"/>
  <c r="I175" i="2"/>
  <c r="H175" i="2"/>
  <c r="G175" i="2"/>
  <c r="F175" i="2"/>
  <c r="E175" i="2"/>
  <c r="D175" i="2"/>
  <c r="C175" i="2"/>
  <c r="A175" i="2"/>
  <c r="AL174" i="2"/>
  <c r="AK174" i="2"/>
  <c r="AJ174" i="2"/>
  <c r="AI174" i="2"/>
  <c r="AH174" i="2"/>
  <c r="AG174" i="2"/>
  <c r="AF174" i="2"/>
  <c r="AE174" i="2"/>
  <c r="AD174" i="2"/>
  <c r="AC174" i="2"/>
  <c r="AB174" i="2"/>
  <c r="AA174" i="2"/>
  <c r="Z174" i="2"/>
  <c r="Y174" i="2"/>
  <c r="X174" i="2"/>
  <c r="W174" i="2"/>
  <c r="V174" i="2"/>
  <c r="U174" i="2"/>
  <c r="S174" i="2"/>
  <c r="R174" i="2"/>
  <c r="Q174" i="2"/>
  <c r="P174" i="2"/>
  <c r="O174" i="2"/>
  <c r="N174" i="2"/>
  <c r="M174" i="2"/>
  <c r="L174" i="2"/>
  <c r="K174" i="2"/>
  <c r="J174" i="2"/>
  <c r="I174" i="2"/>
  <c r="H174" i="2"/>
  <c r="G174" i="2"/>
  <c r="F174" i="2"/>
  <c r="E174" i="2"/>
  <c r="D174" i="2"/>
  <c r="C174" i="2"/>
  <c r="B174" i="2"/>
  <c r="A174" i="2"/>
  <c r="AK173" i="2"/>
  <c r="AJ173" i="2"/>
  <c r="AI173" i="2"/>
  <c r="AH173" i="2"/>
  <c r="AG173" i="2"/>
  <c r="AF173" i="2"/>
  <c r="AE173" i="2"/>
  <c r="AD173" i="2"/>
  <c r="AC173" i="2"/>
  <c r="AB173" i="2"/>
  <c r="AA173" i="2"/>
  <c r="Z173" i="2"/>
  <c r="Y173" i="2"/>
  <c r="X173" i="2"/>
  <c r="W173" i="2"/>
  <c r="V173" i="2"/>
  <c r="U173" i="2"/>
  <c r="S173" i="2"/>
  <c r="R173" i="2"/>
  <c r="Q173" i="2"/>
  <c r="P173" i="2"/>
  <c r="O173" i="2"/>
  <c r="N173" i="2"/>
  <c r="M173" i="2"/>
  <c r="L173" i="2"/>
  <c r="K173" i="2"/>
  <c r="J173" i="2"/>
  <c r="I173" i="2"/>
  <c r="H173" i="2"/>
  <c r="G173" i="2"/>
  <c r="F173" i="2"/>
  <c r="E173" i="2"/>
  <c r="D173" i="2"/>
  <c r="C173" i="2"/>
  <c r="A173" i="2"/>
  <c r="AL172" i="2"/>
  <c r="AK172" i="2"/>
  <c r="AJ172" i="2"/>
  <c r="AI172" i="2"/>
  <c r="AH172" i="2"/>
  <c r="AG172" i="2"/>
  <c r="AF172" i="2"/>
  <c r="AE172" i="2"/>
  <c r="AC172" i="2"/>
  <c r="AB172" i="2"/>
  <c r="AA172" i="2"/>
  <c r="Y172" i="2"/>
  <c r="X172" i="2"/>
  <c r="W172" i="2"/>
  <c r="V172" i="2"/>
  <c r="U172" i="2"/>
  <c r="S172" i="2"/>
  <c r="R172" i="2"/>
  <c r="Q172" i="2"/>
  <c r="P172" i="2"/>
  <c r="O172" i="2"/>
  <c r="N172" i="2"/>
  <c r="M172" i="2"/>
  <c r="L172" i="2"/>
  <c r="K172" i="2"/>
  <c r="J172" i="2"/>
  <c r="I172" i="2"/>
  <c r="H172" i="2"/>
  <c r="G172" i="2"/>
  <c r="F172" i="2"/>
  <c r="E172" i="2"/>
  <c r="D172" i="2"/>
  <c r="C172" i="2"/>
  <c r="A172" i="2"/>
  <c r="AL171" i="2"/>
  <c r="AK171" i="2"/>
  <c r="AJ171" i="2"/>
  <c r="AI171" i="2"/>
  <c r="AH171" i="2"/>
  <c r="AG171" i="2"/>
  <c r="AF171" i="2"/>
  <c r="AE171" i="2"/>
  <c r="AC171" i="2"/>
  <c r="AB171" i="2"/>
  <c r="AA171" i="2"/>
  <c r="Z171" i="2"/>
  <c r="Y171" i="2"/>
  <c r="X171" i="2"/>
  <c r="W171" i="2"/>
  <c r="V171" i="2"/>
  <c r="U171" i="2"/>
  <c r="S171" i="2"/>
  <c r="R171" i="2"/>
  <c r="Q171" i="2"/>
  <c r="P171" i="2"/>
  <c r="O171" i="2"/>
  <c r="N171" i="2"/>
  <c r="M171" i="2"/>
  <c r="L171" i="2"/>
  <c r="K171" i="2"/>
  <c r="J171" i="2"/>
  <c r="I171" i="2"/>
  <c r="H171" i="2"/>
  <c r="G171" i="2"/>
  <c r="F171" i="2"/>
  <c r="E171" i="2"/>
  <c r="D171" i="2"/>
  <c r="C171" i="2"/>
  <c r="B171" i="2"/>
  <c r="A171" i="2"/>
  <c r="AL170" i="2"/>
  <c r="AK170" i="2"/>
  <c r="AJ170" i="2"/>
  <c r="AI170" i="2"/>
  <c r="AH170" i="2"/>
  <c r="AG170" i="2"/>
  <c r="AF170" i="2"/>
  <c r="AE170" i="2"/>
  <c r="AD170" i="2"/>
  <c r="AC170" i="2"/>
  <c r="AB170" i="2"/>
  <c r="AA170" i="2"/>
  <c r="Z170" i="2"/>
  <c r="Y170" i="2"/>
  <c r="X170" i="2"/>
  <c r="W170" i="2"/>
  <c r="V170" i="2"/>
  <c r="U170" i="2"/>
  <c r="S170" i="2"/>
  <c r="R170" i="2"/>
  <c r="Q170" i="2"/>
  <c r="P170" i="2"/>
  <c r="O170" i="2"/>
  <c r="N170" i="2"/>
  <c r="M170" i="2"/>
  <c r="L170" i="2"/>
  <c r="K170" i="2"/>
  <c r="J170" i="2"/>
  <c r="I170" i="2"/>
  <c r="H170" i="2"/>
  <c r="G170" i="2"/>
  <c r="F170" i="2"/>
  <c r="E170" i="2"/>
  <c r="D170" i="2"/>
  <c r="C170" i="2"/>
  <c r="A170" i="2"/>
  <c r="AL169" i="2"/>
  <c r="AK169" i="2"/>
  <c r="AJ169" i="2"/>
  <c r="AI169" i="2"/>
  <c r="AH169" i="2"/>
  <c r="AG169" i="2"/>
  <c r="AF169" i="2"/>
  <c r="AE169" i="2"/>
  <c r="AD169" i="2"/>
  <c r="AC169" i="2"/>
  <c r="AB169" i="2"/>
  <c r="AA169" i="2"/>
  <c r="Z169" i="2"/>
  <c r="Y169" i="2"/>
  <c r="X169" i="2"/>
  <c r="W169" i="2"/>
  <c r="V169" i="2"/>
  <c r="U169" i="2"/>
  <c r="S169" i="2"/>
  <c r="R169" i="2"/>
  <c r="Q169" i="2"/>
  <c r="P169" i="2"/>
  <c r="O169" i="2"/>
  <c r="N169" i="2"/>
  <c r="M169" i="2"/>
  <c r="L169" i="2"/>
  <c r="K169" i="2"/>
  <c r="J169" i="2"/>
  <c r="I169" i="2"/>
  <c r="H169" i="2"/>
  <c r="G169" i="2"/>
  <c r="F169" i="2"/>
  <c r="E169" i="2"/>
  <c r="D169" i="2"/>
  <c r="C169" i="2"/>
  <c r="A169" i="2"/>
  <c r="AL168" i="2"/>
  <c r="AK168" i="2"/>
  <c r="AJ168" i="2"/>
  <c r="AI168" i="2"/>
  <c r="AG168" i="2"/>
  <c r="AF168" i="2"/>
  <c r="AE168" i="2"/>
  <c r="AC168" i="2"/>
  <c r="AB168" i="2"/>
  <c r="AA168" i="2"/>
  <c r="X168" i="2"/>
  <c r="W168" i="2"/>
  <c r="V168" i="2"/>
  <c r="U168" i="2"/>
  <c r="R168" i="2"/>
  <c r="Q168" i="2"/>
  <c r="P168" i="2"/>
  <c r="O168" i="2"/>
  <c r="N168" i="2"/>
  <c r="M168" i="2"/>
  <c r="L168" i="2"/>
  <c r="K168" i="2"/>
  <c r="J168" i="2"/>
  <c r="I168" i="2"/>
  <c r="H168" i="2"/>
  <c r="G168" i="2"/>
  <c r="F168" i="2"/>
  <c r="E168" i="2"/>
  <c r="D168" i="2"/>
  <c r="C168" i="2"/>
  <c r="B168" i="2"/>
  <c r="A168" i="2"/>
  <c r="AL167" i="2"/>
  <c r="AK167" i="2"/>
  <c r="AJ167" i="2"/>
  <c r="AI167" i="2"/>
  <c r="AH167" i="2"/>
  <c r="AG167" i="2"/>
  <c r="AF167" i="2"/>
  <c r="AE167" i="2"/>
  <c r="AD167" i="2"/>
  <c r="AC167" i="2"/>
  <c r="AB167" i="2"/>
  <c r="AA167" i="2"/>
  <c r="Z167" i="2"/>
  <c r="Y167" i="2"/>
  <c r="X167" i="2"/>
  <c r="W167" i="2"/>
  <c r="V167" i="2"/>
  <c r="U167" i="2"/>
  <c r="S167" i="2"/>
  <c r="R167" i="2"/>
  <c r="Q167" i="2"/>
  <c r="P167" i="2"/>
  <c r="O167" i="2"/>
  <c r="N167" i="2"/>
  <c r="M167" i="2"/>
  <c r="L167" i="2"/>
  <c r="K167" i="2"/>
  <c r="J167" i="2"/>
  <c r="I167" i="2"/>
  <c r="H167" i="2"/>
  <c r="G167" i="2"/>
  <c r="F167" i="2"/>
  <c r="E167" i="2"/>
  <c r="D167" i="2"/>
  <c r="C167" i="2"/>
  <c r="B167" i="2"/>
  <c r="A167" i="2"/>
  <c r="AL166" i="2"/>
  <c r="AK166" i="2"/>
  <c r="AJ166" i="2"/>
  <c r="AI166" i="2"/>
  <c r="AH166" i="2"/>
  <c r="AG166" i="2"/>
  <c r="AF166" i="2"/>
  <c r="AE166" i="2"/>
  <c r="AD166" i="2"/>
  <c r="AC166" i="2"/>
  <c r="AB166" i="2"/>
  <c r="AA166" i="2"/>
  <c r="Z166" i="2"/>
  <c r="Y166" i="2"/>
  <c r="X166" i="2"/>
  <c r="W166" i="2"/>
  <c r="V166" i="2"/>
  <c r="U166" i="2"/>
  <c r="S166" i="2"/>
  <c r="R166" i="2"/>
  <c r="Q166" i="2"/>
  <c r="P166" i="2"/>
  <c r="O166" i="2"/>
  <c r="N166" i="2"/>
  <c r="M166" i="2"/>
  <c r="L166" i="2"/>
  <c r="K166" i="2"/>
  <c r="J166" i="2"/>
  <c r="I166" i="2"/>
  <c r="H166" i="2"/>
  <c r="G166" i="2"/>
  <c r="F166" i="2"/>
  <c r="E166" i="2"/>
  <c r="D166" i="2"/>
  <c r="C166" i="2"/>
  <c r="A166" i="2"/>
  <c r="AK165" i="2"/>
  <c r="AJ165" i="2"/>
  <c r="AI165" i="2"/>
  <c r="AH165" i="2"/>
  <c r="AG165" i="2"/>
  <c r="AF165" i="2"/>
  <c r="AE165" i="2"/>
  <c r="AC165" i="2"/>
  <c r="AB165" i="2"/>
  <c r="AA165" i="2"/>
  <c r="Z165" i="2"/>
  <c r="Y165" i="2"/>
  <c r="X165" i="2"/>
  <c r="W165" i="2"/>
  <c r="V165" i="2"/>
  <c r="U165" i="2"/>
  <c r="S165" i="2"/>
  <c r="R165" i="2"/>
  <c r="Q165" i="2"/>
  <c r="P165" i="2"/>
  <c r="O165" i="2"/>
  <c r="N165" i="2"/>
  <c r="M165" i="2"/>
  <c r="L165" i="2"/>
  <c r="K165" i="2"/>
  <c r="J165" i="2"/>
  <c r="I165" i="2"/>
  <c r="H165" i="2"/>
  <c r="G165" i="2"/>
  <c r="F165" i="2"/>
  <c r="E165" i="2"/>
  <c r="D165" i="2"/>
  <c r="C165" i="2"/>
  <c r="A165" i="2"/>
  <c r="AK164" i="2"/>
  <c r="AJ164" i="2"/>
  <c r="AI164" i="2"/>
  <c r="AH164" i="2"/>
  <c r="AG164" i="2"/>
  <c r="AF164" i="2"/>
  <c r="AE164" i="2"/>
  <c r="AD164" i="2"/>
  <c r="AC164" i="2"/>
  <c r="AB164" i="2"/>
  <c r="AA164" i="2"/>
  <c r="Z164" i="2"/>
  <c r="Y164" i="2"/>
  <c r="X164" i="2"/>
  <c r="W164" i="2"/>
  <c r="V164" i="2"/>
  <c r="U164" i="2"/>
  <c r="S164" i="2"/>
  <c r="R164" i="2"/>
  <c r="Q164" i="2"/>
  <c r="P164" i="2"/>
  <c r="O164" i="2"/>
  <c r="N164" i="2"/>
  <c r="M164" i="2"/>
  <c r="L164" i="2"/>
  <c r="K164" i="2"/>
  <c r="J164" i="2"/>
  <c r="I164" i="2"/>
  <c r="H164" i="2"/>
  <c r="G164" i="2"/>
  <c r="F164" i="2"/>
  <c r="E164" i="2"/>
  <c r="D164" i="2"/>
  <c r="C164" i="2"/>
  <c r="B164" i="2"/>
  <c r="A164" i="2"/>
  <c r="AL163" i="2"/>
  <c r="AK163" i="2"/>
  <c r="AJ163" i="2"/>
  <c r="AI163" i="2"/>
  <c r="AH163" i="2"/>
  <c r="AG163" i="2"/>
  <c r="AF163" i="2"/>
  <c r="AE163" i="2"/>
  <c r="AC163" i="2"/>
  <c r="AB163" i="2"/>
  <c r="AA163" i="2"/>
  <c r="Z163" i="2"/>
  <c r="Y163" i="2"/>
  <c r="X163" i="2"/>
  <c r="W163" i="2"/>
  <c r="V163" i="2"/>
  <c r="U163" i="2"/>
  <c r="S163" i="2"/>
  <c r="R163" i="2"/>
  <c r="Q163" i="2"/>
  <c r="P163" i="2"/>
  <c r="O163" i="2"/>
  <c r="N163" i="2"/>
  <c r="M163" i="2"/>
  <c r="L163" i="2"/>
  <c r="K163" i="2"/>
  <c r="J163" i="2"/>
  <c r="I163" i="2"/>
  <c r="H163" i="2"/>
  <c r="G163" i="2"/>
  <c r="F163" i="2"/>
  <c r="E163" i="2"/>
  <c r="D163" i="2"/>
  <c r="C163" i="2"/>
  <c r="A163" i="2"/>
  <c r="AK162" i="2"/>
  <c r="AJ162" i="2"/>
  <c r="AI162" i="2"/>
  <c r="AH162" i="2"/>
  <c r="AG162" i="2"/>
  <c r="AF162" i="2"/>
  <c r="AE162" i="2"/>
  <c r="AD162" i="2"/>
  <c r="AC162" i="2"/>
  <c r="AB162" i="2"/>
  <c r="AA162" i="2"/>
  <c r="Z162" i="2"/>
  <c r="Y162" i="2"/>
  <c r="X162" i="2"/>
  <c r="W162" i="2"/>
  <c r="V162" i="2"/>
  <c r="U162" i="2"/>
  <c r="S162" i="2"/>
  <c r="R162" i="2"/>
  <c r="Q162" i="2"/>
  <c r="P162" i="2"/>
  <c r="O162" i="2"/>
  <c r="N162" i="2"/>
  <c r="M162" i="2"/>
  <c r="L162" i="2"/>
  <c r="K162" i="2"/>
  <c r="J162" i="2"/>
  <c r="I162" i="2"/>
  <c r="H162" i="2"/>
  <c r="G162" i="2"/>
  <c r="F162" i="2"/>
  <c r="E162" i="2"/>
  <c r="D162" i="2"/>
  <c r="C162" i="2"/>
  <c r="B162" i="2"/>
  <c r="A162" i="2"/>
  <c r="AL161" i="2"/>
  <c r="AK161" i="2"/>
  <c r="AJ161" i="2"/>
  <c r="AI161" i="2"/>
  <c r="AH161" i="2"/>
  <c r="AG161" i="2"/>
  <c r="AF161" i="2"/>
  <c r="AE161" i="2"/>
  <c r="AD161" i="2"/>
  <c r="AC161" i="2"/>
  <c r="AB161" i="2"/>
  <c r="AA161" i="2"/>
  <c r="Z161" i="2"/>
  <c r="Y161" i="2"/>
  <c r="X161" i="2"/>
  <c r="W161" i="2"/>
  <c r="V161" i="2"/>
  <c r="U161" i="2"/>
  <c r="S161" i="2"/>
  <c r="R161" i="2"/>
  <c r="Q161" i="2"/>
  <c r="P161" i="2"/>
  <c r="O161" i="2"/>
  <c r="N161" i="2"/>
  <c r="M161" i="2"/>
  <c r="L161" i="2"/>
  <c r="K161" i="2"/>
  <c r="J161" i="2"/>
  <c r="I161" i="2"/>
  <c r="H161" i="2"/>
  <c r="G161" i="2"/>
  <c r="F161" i="2"/>
  <c r="E161" i="2"/>
  <c r="D161" i="2"/>
  <c r="C161" i="2"/>
  <c r="A161" i="2"/>
  <c r="AL160" i="2"/>
  <c r="AK160" i="2"/>
  <c r="AJ160" i="2"/>
  <c r="AI160" i="2"/>
  <c r="AG160" i="2"/>
  <c r="AF160" i="2"/>
  <c r="AE160" i="2"/>
  <c r="AC160" i="2"/>
  <c r="AB160" i="2"/>
  <c r="AA160" i="2"/>
  <c r="X160" i="2"/>
  <c r="W160" i="2"/>
  <c r="V160" i="2"/>
  <c r="U160" i="2"/>
  <c r="R160" i="2"/>
  <c r="Q160" i="2"/>
  <c r="P160" i="2"/>
  <c r="O160" i="2"/>
  <c r="N160" i="2"/>
  <c r="M160" i="2"/>
  <c r="L160" i="2"/>
  <c r="K160" i="2"/>
  <c r="J160" i="2"/>
  <c r="I160" i="2"/>
  <c r="H160" i="2"/>
  <c r="G160" i="2"/>
  <c r="F160" i="2"/>
  <c r="E160" i="2"/>
  <c r="D160" i="2"/>
  <c r="C160" i="2"/>
  <c r="B160" i="2"/>
  <c r="A160" i="2"/>
  <c r="AK159" i="2"/>
  <c r="AJ159" i="2"/>
  <c r="AI159" i="2"/>
  <c r="AH159" i="2"/>
  <c r="AG159" i="2"/>
  <c r="AF159" i="2"/>
  <c r="AE159" i="2"/>
  <c r="AD159" i="2"/>
  <c r="AC159" i="2"/>
  <c r="AB159" i="2"/>
  <c r="AA159" i="2"/>
  <c r="Z159" i="2"/>
  <c r="Y159" i="2"/>
  <c r="X159" i="2"/>
  <c r="W159" i="2"/>
  <c r="V159" i="2"/>
  <c r="U159" i="2"/>
  <c r="S159" i="2"/>
  <c r="R159" i="2"/>
  <c r="Q159" i="2"/>
  <c r="P159" i="2"/>
  <c r="O159" i="2"/>
  <c r="N159" i="2"/>
  <c r="M159" i="2"/>
  <c r="L159" i="2"/>
  <c r="K159" i="2"/>
  <c r="J159" i="2"/>
  <c r="I159" i="2"/>
  <c r="H159" i="2"/>
  <c r="G159" i="2"/>
  <c r="F159" i="2"/>
  <c r="E159" i="2"/>
  <c r="D159" i="2"/>
  <c r="C159" i="2"/>
  <c r="B159" i="2"/>
  <c r="A159" i="2"/>
  <c r="AL158" i="2"/>
  <c r="AK158" i="2"/>
  <c r="AJ158" i="2"/>
  <c r="AI158" i="2"/>
  <c r="AH158" i="2"/>
  <c r="AG158" i="2"/>
  <c r="AF158" i="2"/>
  <c r="AE158" i="2"/>
  <c r="AD158" i="2"/>
  <c r="AC158" i="2"/>
  <c r="AB158" i="2"/>
  <c r="AA158" i="2"/>
  <c r="Z158" i="2"/>
  <c r="Y158" i="2"/>
  <c r="X158" i="2"/>
  <c r="W158" i="2"/>
  <c r="V158" i="2"/>
  <c r="U158" i="2"/>
  <c r="S158" i="2"/>
  <c r="R158" i="2"/>
  <c r="Q158" i="2"/>
  <c r="P158" i="2"/>
  <c r="O158" i="2"/>
  <c r="N158" i="2"/>
  <c r="M158" i="2"/>
  <c r="L158" i="2"/>
  <c r="K158" i="2"/>
  <c r="J158" i="2"/>
  <c r="I158" i="2"/>
  <c r="H158" i="2"/>
  <c r="G158" i="2"/>
  <c r="F158" i="2"/>
  <c r="E158" i="2"/>
  <c r="D158" i="2"/>
  <c r="C158" i="2"/>
  <c r="B158" i="2"/>
  <c r="A158" i="2"/>
  <c r="AL157" i="2"/>
  <c r="AK157" i="2"/>
  <c r="AJ157" i="2"/>
  <c r="AI157" i="2"/>
  <c r="AH157" i="2"/>
  <c r="AG157" i="2"/>
  <c r="AF157" i="2"/>
  <c r="AE157" i="2"/>
  <c r="AD157" i="2"/>
  <c r="AC157" i="2"/>
  <c r="AB157" i="2"/>
  <c r="AA157" i="2"/>
  <c r="Z157" i="2"/>
  <c r="Y157" i="2"/>
  <c r="X157" i="2"/>
  <c r="W157" i="2"/>
  <c r="V157" i="2"/>
  <c r="U157" i="2"/>
  <c r="S157" i="2"/>
  <c r="R157" i="2"/>
  <c r="Q157" i="2"/>
  <c r="P157" i="2"/>
  <c r="O157" i="2"/>
  <c r="N157" i="2"/>
  <c r="M157" i="2"/>
  <c r="L157" i="2"/>
  <c r="K157" i="2"/>
  <c r="J157" i="2"/>
  <c r="I157" i="2"/>
  <c r="H157" i="2"/>
  <c r="G157" i="2"/>
  <c r="F157" i="2"/>
  <c r="E157" i="2"/>
  <c r="D157" i="2"/>
  <c r="C157" i="2"/>
  <c r="A157" i="2"/>
  <c r="AK156" i="2"/>
  <c r="AJ156" i="2"/>
  <c r="AI156" i="2"/>
  <c r="AH156" i="2"/>
  <c r="AG156" i="2"/>
  <c r="AF156" i="2"/>
  <c r="AE156" i="2"/>
  <c r="AD156" i="2"/>
  <c r="AC156" i="2"/>
  <c r="AB156" i="2"/>
  <c r="AA156" i="2"/>
  <c r="Z156" i="2"/>
  <c r="Y156" i="2"/>
  <c r="X156" i="2"/>
  <c r="W156" i="2"/>
  <c r="V156" i="2"/>
  <c r="U156" i="2"/>
  <c r="S156" i="2"/>
  <c r="R156" i="2"/>
  <c r="Q156" i="2"/>
  <c r="P156" i="2"/>
  <c r="O156" i="2"/>
  <c r="N156" i="2"/>
  <c r="M156" i="2"/>
  <c r="L156" i="2"/>
  <c r="K156" i="2"/>
  <c r="J156" i="2"/>
  <c r="I156" i="2"/>
  <c r="H156" i="2"/>
  <c r="G156" i="2"/>
  <c r="F156" i="2"/>
  <c r="E156" i="2"/>
  <c r="D156" i="2"/>
  <c r="C156" i="2"/>
  <c r="A156" i="2"/>
  <c r="AL155" i="2"/>
  <c r="AK155" i="2"/>
  <c r="AJ155" i="2"/>
  <c r="AI155" i="2"/>
  <c r="AH155" i="2"/>
  <c r="AG155" i="2"/>
  <c r="AF155" i="2"/>
  <c r="AE155" i="2"/>
  <c r="AD155" i="2"/>
  <c r="AC155" i="2"/>
  <c r="AB155" i="2"/>
  <c r="AA155" i="2"/>
  <c r="Z155" i="2"/>
  <c r="Y155" i="2"/>
  <c r="X155" i="2"/>
  <c r="W155" i="2"/>
  <c r="V155" i="2"/>
  <c r="U155" i="2"/>
  <c r="S155" i="2"/>
  <c r="R155" i="2"/>
  <c r="Q155" i="2"/>
  <c r="P155" i="2"/>
  <c r="O155" i="2"/>
  <c r="N155" i="2"/>
  <c r="M155" i="2"/>
  <c r="L155" i="2"/>
  <c r="K155" i="2"/>
  <c r="J155" i="2"/>
  <c r="I155" i="2"/>
  <c r="H155" i="2"/>
  <c r="G155" i="2"/>
  <c r="F155" i="2"/>
  <c r="E155" i="2"/>
  <c r="D155" i="2"/>
  <c r="C155" i="2"/>
  <c r="A155" i="2"/>
  <c r="AL154" i="2"/>
  <c r="AK154" i="2"/>
  <c r="AJ154" i="2"/>
  <c r="AI154" i="2"/>
  <c r="AH154" i="2"/>
  <c r="AG154" i="2"/>
  <c r="AF154" i="2"/>
  <c r="AE154" i="2"/>
  <c r="AD154" i="2"/>
  <c r="AC154" i="2"/>
  <c r="AB154" i="2"/>
  <c r="AA154" i="2"/>
  <c r="Z154" i="2"/>
  <c r="Y154" i="2"/>
  <c r="X154" i="2"/>
  <c r="W154" i="2"/>
  <c r="V154" i="2"/>
  <c r="U154" i="2"/>
  <c r="S154" i="2"/>
  <c r="R154" i="2"/>
  <c r="Q154" i="2"/>
  <c r="P154" i="2"/>
  <c r="O154" i="2"/>
  <c r="N154" i="2"/>
  <c r="M154" i="2"/>
  <c r="L154" i="2"/>
  <c r="K154" i="2"/>
  <c r="J154" i="2"/>
  <c r="I154" i="2"/>
  <c r="H154" i="2"/>
  <c r="G154" i="2"/>
  <c r="F154" i="2"/>
  <c r="E154" i="2"/>
  <c r="D154" i="2"/>
  <c r="C154" i="2"/>
  <c r="A154" i="2"/>
  <c r="AL153" i="2"/>
  <c r="AK153" i="2"/>
  <c r="AJ153" i="2"/>
  <c r="AI153" i="2"/>
  <c r="AH153" i="2"/>
  <c r="AG153" i="2"/>
  <c r="AF153" i="2"/>
  <c r="AE153" i="2"/>
  <c r="AD153" i="2"/>
  <c r="AC153" i="2"/>
  <c r="AB153" i="2"/>
  <c r="AA153" i="2"/>
  <c r="Z153" i="2"/>
  <c r="Y153" i="2"/>
  <c r="X153" i="2"/>
  <c r="W153" i="2"/>
  <c r="V153" i="2"/>
  <c r="U153" i="2"/>
  <c r="S153" i="2"/>
  <c r="R153" i="2"/>
  <c r="Q153" i="2"/>
  <c r="P153" i="2"/>
  <c r="O153" i="2"/>
  <c r="N153" i="2"/>
  <c r="M153" i="2"/>
  <c r="L153" i="2"/>
  <c r="K153" i="2"/>
  <c r="J153" i="2"/>
  <c r="I153" i="2"/>
  <c r="H153" i="2"/>
  <c r="G153" i="2"/>
  <c r="F153" i="2"/>
  <c r="E153" i="2"/>
  <c r="D153" i="2"/>
  <c r="C153" i="2"/>
  <c r="A153" i="2"/>
  <c r="AK152" i="2"/>
  <c r="AJ152" i="2"/>
  <c r="AI152" i="2"/>
  <c r="AH152" i="2"/>
  <c r="AG152" i="2"/>
  <c r="AF152" i="2"/>
  <c r="AE152" i="2"/>
  <c r="AD152" i="2"/>
  <c r="AC152" i="2"/>
  <c r="AB152" i="2"/>
  <c r="AA152" i="2"/>
  <c r="Z152" i="2"/>
  <c r="Y152" i="2"/>
  <c r="X152" i="2"/>
  <c r="W152" i="2"/>
  <c r="V152" i="2"/>
  <c r="U152" i="2"/>
  <c r="S152" i="2"/>
  <c r="R152" i="2"/>
  <c r="Q152" i="2"/>
  <c r="P152" i="2"/>
  <c r="O152" i="2"/>
  <c r="N152" i="2"/>
  <c r="M152" i="2"/>
  <c r="L152" i="2"/>
  <c r="K152" i="2"/>
  <c r="J152" i="2"/>
  <c r="I152" i="2"/>
  <c r="H152" i="2"/>
  <c r="G152" i="2"/>
  <c r="F152" i="2"/>
  <c r="E152" i="2"/>
  <c r="D152" i="2"/>
  <c r="C152" i="2"/>
  <c r="B152" i="2"/>
  <c r="A152" i="2"/>
  <c r="AK151" i="2"/>
  <c r="AJ151" i="2"/>
  <c r="AI151" i="2"/>
  <c r="AG151" i="2"/>
  <c r="AF151" i="2"/>
  <c r="AE151" i="2"/>
  <c r="AC151" i="2"/>
  <c r="AB151" i="2"/>
  <c r="AA151" i="2"/>
  <c r="X151" i="2"/>
  <c r="W151" i="2"/>
  <c r="V151" i="2"/>
  <c r="U151" i="2"/>
  <c r="R151" i="2"/>
  <c r="Q151" i="2"/>
  <c r="P151" i="2"/>
  <c r="O151" i="2"/>
  <c r="N151" i="2"/>
  <c r="M151" i="2"/>
  <c r="L151" i="2"/>
  <c r="K151" i="2"/>
  <c r="J151" i="2"/>
  <c r="I151" i="2"/>
  <c r="H151" i="2"/>
  <c r="G151" i="2"/>
  <c r="F151" i="2"/>
  <c r="E151" i="2"/>
  <c r="D151" i="2"/>
  <c r="C151" i="2"/>
  <c r="B151" i="2"/>
  <c r="A151" i="2"/>
  <c r="AL150" i="2"/>
  <c r="AK150" i="2"/>
  <c r="AJ150" i="2"/>
  <c r="AI150" i="2"/>
  <c r="AH150" i="2"/>
  <c r="AG150" i="2"/>
  <c r="AF150" i="2"/>
  <c r="AE150" i="2"/>
  <c r="AD150" i="2"/>
  <c r="AC150" i="2"/>
  <c r="AB150" i="2"/>
  <c r="AA150" i="2"/>
  <c r="Z150" i="2"/>
  <c r="Y150" i="2"/>
  <c r="X150" i="2"/>
  <c r="W150" i="2"/>
  <c r="V150" i="2"/>
  <c r="U150" i="2"/>
  <c r="S150" i="2"/>
  <c r="R150" i="2"/>
  <c r="Q150" i="2"/>
  <c r="P150" i="2"/>
  <c r="O150" i="2"/>
  <c r="N150" i="2"/>
  <c r="M150" i="2"/>
  <c r="L150" i="2"/>
  <c r="K150" i="2"/>
  <c r="J150" i="2"/>
  <c r="I150" i="2"/>
  <c r="H150" i="2"/>
  <c r="G150" i="2"/>
  <c r="F150" i="2"/>
  <c r="E150" i="2"/>
  <c r="D150" i="2"/>
  <c r="C150" i="2"/>
  <c r="B150" i="2"/>
  <c r="A150" i="2"/>
  <c r="AK149" i="2"/>
  <c r="AJ149" i="2"/>
  <c r="AI149" i="2"/>
  <c r="AH149" i="2"/>
  <c r="AG149" i="2"/>
  <c r="AF149" i="2"/>
  <c r="AE149" i="2"/>
  <c r="AC149" i="2"/>
  <c r="AB149" i="2"/>
  <c r="AA149" i="2"/>
  <c r="Z149" i="2"/>
  <c r="Y149" i="2"/>
  <c r="X149" i="2"/>
  <c r="W149" i="2"/>
  <c r="V149" i="2"/>
  <c r="U149" i="2"/>
  <c r="S149" i="2"/>
  <c r="R149" i="2"/>
  <c r="Q149" i="2"/>
  <c r="P149" i="2"/>
  <c r="O149" i="2"/>
  <c r="N149" i="2"/>
  <c r="M149" i="2"/>
  <c r="L149" i="2"/>
  <c r="K149" i="2"/>
  <c r="J149" i="2"/>
  <c r="I149" i="2"/>
  <c r="H149" i="2"/>
  <c r="G149" i="2"/>
  <c r="F149" i="2"/>
  <c r="E149" i="2"/>
  <c r="D149" i="2"/>
  <c r="C149" i="2"/>
  <c r="A149" i="2"/>
  <c r="AL148" i="2"/>
  <c r="AK148" i="2"/>
  <c r="AJ148" i="2"/>
  <c r="AI148" i="2"/>
  <c r="AG148" i="2"/>
  <c r="AF148" i="2"/>
  <c r="AE148" i="2"/>
  <c r="AC148" i="2"/>
  <c r="AB148" i="2"/>
  <c r="AA148" i="2"/>
  <c r="X148" i="2"/>
  <c r="W148" i="2"/>
  <c r="V148" i="2"/>
  <c r="U148" i="2"/>
  <c r="R148" i="2"/>
  <c r="Q148" i="2"/>
  <c r="P148" i="2"/>
  <c r="O148" i="2"/>
  <c r="N148" i="2"/>
  <c r="M148" i="2"/>
  <c r="L148" i="2"/>
  <c r="K148" i="2"/>
  <c r="J148" i="2"/>
  <c r="I148" i="2"/>
  <c r="H148" i="2"/>
  <c r="G148" i="2"/>
  <c r="F148" i="2"/>
  <c r="E148" i="2"/>
  <c r="D148" i="2"/>
  <c r="C148" i="2"/>
  <c r="B148" i="2"/>
  <c r="A148" i="2"/>
  <c r="AL147" i="2"/>
  <c r="AK147" i="2"/>
  <c r="AJ147" i="2"/>
  <c r="AI147" i="2"/>
  <c r="AH147" i="2"/>
  <c r="AG147" i="2"/>
  <c r="AF147" i="2"/>
  <c r="AE147" i="2"/>
  <c r="AD147" i="2"/>
  <c r="AC147" i="2"/>
  <c r="AB147" i="2"/>
  <c r="AA147" i="2"/>
  <c r="Z147" i="2"/>
  <c r="Y147" i="2"/>
  <c r="X147" i="2"/>
  <c r="W147" i="2"/>
  <c r="V147" i="2"/>
  <c r="U147" i="2"/>
  <c r="S147" i="2"/>
  <c r="R147" i="2"/>
  <c r="Q147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D147" i="2"/>
  <c r="C147" i="2"/>
  <c r="B147" i="2"/>
  <c r="A147" i="2"/>
  <c r="AK146" i="2"/>
  <c r="AJ146" i="2"/>
  <c r="AI146" i="2"/>
  <c r="AH146" i="2"/>
  <c r="AG146" i="2"/>
  <c r="AF146" i="2"/>
  <c r="AE146" i="2"/>
  <c r="AD146" i="2"/>
  <c r="AC146" i="2"/>
  <c r="AB146" i="2"/>
  <c r="AA146" i="2"/>
  <c r="Z146" i="2"/>
  <c r="Y146" i="2"/>
  <c r="X146" i="2"/>
  <c r="W146" i="2"/>
  <c r="V146" i="2"/>
  <c r="U146" i="2"/>
  <c r="S146" i="2"/>
  <c r="R146" i="2"/>
  <c r="Q146" i="2"/>
  <c r="P146" i="2"/>
  <c r="O146" i="2"/>
  <c r="N146" i="2"/>
  <c r="M146" i="2"/>
  <c r="L146" i="2"/>
  <c r="K146" i="2"/>
  <c r="J146" i="2"/>
  <c r="I146" i="2"/>
  <c r="H146" i="2"/>
  <c r="G146" i="2"/>
  <c r="F146" i="2"/>
  <c r="E146" i="2"/>
  <c r="D146" i="2"/>
  <c r="C146" i="2"/>
  <c r="B146" i="2"/>
  <c r="A146" i="2"/>
  <c r="AK145" i="2"/>
  <c r="AJ145" i="2"/>
  <c r="AI145" i="2"/>
  <c r="AH145" i="2"/>
  <c r="AG145" i="2"/>
  <c r="AF145" i="2"/>
  <c r="AE145" i="2"/>
  <c r="AD145" i="2"/>
  <c r="AC145" i="2"/>
  <c r="AB145" i="2"/>
  <c r="AA145" i="2"/>
  <c r="Z145" i="2"/>
  <c r="Y145" i="2"/>
  <c r="X145" i="2"/>
  <c r="W145" i="2"/>
  <c r="V145" i="2"/>
  <c r="U145" i="2"/>
  <c r="S145" i="2"/>
  <c r="R145" i="2"/>
  <c r="Q145" i="2"/>
  <c r="P145" i="2"/>
  <c r="O145" i="2"/>
  <c r="N145" i="2"/>
  <c r="M145" i="2"/>
  <c r="L145" i="2"/>
  <c r="K145" i="2"/>
  <c r="J145" i="2"/>
  <c r="I145" i="2"/>
  <c r="H145" i="2"/>
  <c r="G145" i="2"/>
  <c r="F145" i="2"/>
  <c r="E145" i="2"/>
  <c r="D145" i="2"/>
  <c r="C145" i="2"/>
  <c r="B145" i="2"/>
  <c r="A145" i="2"/>
  <c r="AL144" i="2"/>
  <c r="AK144" i="2"/>
  <c r="AJ144" i="2"/>
  <c r="AI144" i="2"/>
  <c r="AH144" i="2"/>
  <c r="AG144" i="2"/>
  <c r="AF144" i="2"/>
  <c r="AE144" i="2"/>
  <c r="AD144" i="2"/>
  <c r="AC144" i="2"/>
  <c r="AB144" i="2"/>
  <c r="AA144" i="2"/>
  <c r="Z144" i="2"/>
  <c r="Y144" i="2"/>
  <c r="X144" i="2"/>
  <c r="W144" i="2"/>
  <c r="V144" i="2"/>
  <c r="U144" i="2"/>
  <c r="S144" i="2"/>
  <c r="R144" i="2"/>
  <c r="Q144" i="2"/>
  <c r="P144" i="2"/>
  <c r="O144" i="2"/>
  <c r="N144" i="2"/>
  <c r="M144" i="2"/>
  <c r="L144" i="2"/>
  <c r="K144" i="2"/>
  <c r="J144" i="2"/>
  <c r="I144" i="2"/>
  <c r="H144" i="2"/>
  <c r="G144" i="2"/>
  <c r="F144" i="2"/>
  <c r="E144" i="2"/>
  <c r="D144" i="2"/>
  <c r="C144" i="2"/>
  <c r="A144" i="2"/>
  <c r="AL143" i="2"/>
  <c r="AK143" i="2"/>
  <c r="AJ143" i="2"/>
  <c r="AI143" i="2"/>
  <c r="AG143" i="2"/>
  <c r="AF143" i="2"/>
  <c r="AE143" i="2"/>
  <c r="AC143" i="2"/>
  <c r="AB143" i="2"/>
  <c r="AA143" i="2"/>
  <c r="X143" i="2"/>
  <c r="W143" i="2"/>
  <c r="V143" i="2"/>
  <c r="U143" i="2"/>
  <c r="R143" i="2"/>
  <c r="Q143" i="2"/>
  <c r="P143" i="2"/>
  <c r="O143" i="2"/>
  <c r="N143" i="2"/>
  <c r="M143" i="2"/>
  <c r="L143" i="2"/>
  <c r="K143" i="2"/>
  <c r="J143" i="2"/>
  <c r="I143" i="2"/>
  <c r="H143" i="2"/>
  <c r="G143" i="2"/>
  <c r="F143" i="2"/>
  <c r="E143" i="2"/>
  <c r="D143" i="2"/>
  <c r="C143" i="2"/>
  <c r="B143" i="2"/>
  <c r="A143" i="2"/>
  <c r="AL142" i="2"/>
  <c r="AK142" i="2"/>
  <c r="AJ142" i="2"/>
  <c r="AI142" i="2"/>
  <c r="AH142" i="2"/>
  <c r="AG142" i="2"/>
  <c r="AF142" i="2"/>
  <c r="AE142" i="2"/>
  <c r="AD142" i="2"/>
  <c r="AC142" i="2"/>
  <c r="AB142" i="2"/>
  <c r="AA142" i="2"/>
  <c r="Z142" i="2"/>
  <c r="Y142" i="2"/>
  <c r="X142" i="2"/>
  <c r="W142" i="2"/>
  <c r="V142" i="2"/>
  <c r="U142" i="2"/>
  <c r="S142" i="2"/>
  <c r="R142" i="2"/>
  <c r="Q142" i="2"/>
  <c r="P142" i="2"/>
  <c r="O142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A142" i="2"/>
  <c r="AK141" i="2"/>
  <c r="AJ141" i="2"/>
  <c r="AI141" i="2"/>
  <c r="AH141" i="2"/>
  <c r="AG141" i="2"/>
  <c r="AF141" i="2"/>
  <c r="AE141" i="2"/>
  <c r="AD141" i="2"/>
  <c r="AC141" i="2"/>
  <c r="AB141" i="2"/>
  <c r="AA141" i="2"/>
  <c r="Z141" i="2"/>
  <c r="Y141" i="2"/>
  <c r="X141" i="2"/>
  <c r="W141" i="2"/>
  <c r="V141" i="2"/>
  <c r="U141" i="2"/>
  <c r="S141" i="2"/>
  <c r="R141" i="2"/>
  <c r="Q141" i="2"/>
  <c r="P141" i="2"/>
  <c r="O141" i="2"/>
  <c r="N141" i="2"/>
  <c r="M141" i="2"/>
  <c r="L141" i="2"/>
  <c r="K141" i="2"/>
  <c r="J141" i="2"/>
  <c r="I141" i="2"/>
  <c r="H141" i="2"/>
  <c r="G141" i="2"/>
  <c r="F141" i="2"/>
  <c r="E141" i="2"/>
  <c r="D141" i="2"/>
  <c r="C141" i="2"/>
  <c r="A141" i="2"/>
  <c r="AL140" i="2"/>
  <c r="AK140" i="2"/>
  <c r="AJ140" i="2"/>
  <c r="AI140" i="2"/>
  <c r="AH140" i="2"/>
  <c r="AG140" i="2"/>
  <c r="AF140" i="2"/>
  <c r="AE140" i="2"/>
  <c r="AD140" i="2"/>
  <c r="AC140" i="2"/>
  <c r="AB140" i="2"/>
  <c r="AA140" i="2"/>
  <c r="Z140" i="2"/>
  <c r="Y140" i="2"/>
  <c r="X140" i="2"/>
  <c r="W140" i="2"/>
  <c r="V140" i="2"/>
  <c r="U140" i="2"/>
  <c r="S140" i="2"/>
  <c r="R140" i="2"/>
  <c r="Q140" i="2"/>
  <c r="P140" i="2"/>
  <c r="O140" i="2"/>
  <c r="N140" i="2"/>
  <c r="M140" i="2"/>
  <c r="L140" i="2"/>
  <c r="K140" i="2"/>
  <c r="J140" i="2"/>
  <c r="I140" i="2"/>
  <c r="H140" i="2"/>
  <c r="G140" i="2"/>
  <c r="F140" i="2"/>
  <c r="E140" i="2"/>
  <c r="D140" i="2"/>
  <c r="C140" i="2"/>
  <c r="A140" i="2"/>
  <c r="AK139" i="2"/>
  <c r="AJ139" i="2"/>
  <c r="AI139" i="2"/>
  <c r="AH139" i="2"/>
  <c r="AG139" i="2"/>
  <c r="AF139" i="2"/>
  <c r="AE139" i="2"/>
  <c r="AD139" i="2"/>
  <c r="AC139" i="2"/>
  <c r="AB139" i="2"/>
  <c r="AA139" i="2"/>
  <c r="Z139" i="2"/>
  <c r="Y139" i="2"/>
  <c r="X139" i="2"/>
  <c r="W139" i="2"/>
  <c r="V139" i="2"/>
  <c r="U139" i="2"/>
  <c r="S139" i="2"/>
  <c r="R139" i="2"/>
  <c r="Q139" i="2"/>
  <c r="P139" i="2"/>
  <c r="O139" i="2"/>
  <c r="N139" i="2"/>
  <c r="M139" i="2"/>
  <c r="L139" i="2"/>
  <c r="K139" i="2"/>
  <c r="J139" i="2"/>
  <c r="I139" i="2"/>
  <c r="H139" i="2"/>
  <c r="G139" i="2"/>
  <c r="F139" i="2"/>
  <c r="E139" i="2"/>
  <c r="D139" i="2"/>
  <c r="C139" i="2"/>
  <c r="B139" i="2"/>
  <c r="A139" i="2"/>
  <c r="AL138" i="2"/>
  <c r="AK138" i="2"/>
  <c r="AJ138" i="2"/>
  <c r="AI138" i="2"/>
  <c r="AG138" i="2"/>
  <c r="AF138" i="2"/>
  <c r="AE138" i="2"/>
  <c r="AC138" i="2"/>
  <c r="AB138" i="2"/>
  <c r="AA138" i="2"/>
  <c r="X138" i="2"/>
  <c r="W138" i="2"/>
  <c r="V138" i="2"/>
  <c r="U138" i="2"/>
  <c r="R138" i="2"/>
  <c r="Q138" i="2"/>
  <c r="P138" i="2"/>
  <c r="O138" i="2"/>
  <c r="N138" i="2"/>
  <c r="M138" i="2"/>
  <c r="L138" i="2"/>
  <c r="K138" i="2"/>
  <c r="J138" i="2"/>
  <c r="I138" i="2"/>
  <c r="H138" i="2"/>
  <c r="G138" i="2"/>
  <c r="F138" i="2"/>
  <c r="E138" i="2"/>
  <c r="D138" i="2"/>
  <c r="C138" i="2"/>
  <c r="A138" i="2"/>
  <c r="AL137" i="2"/>
  <c r="AK137" i="2"/>
  <c r="AJ137" i="2"/>
  <c r="AI137" i="2"/>
  <c r="AH137" i="2"/>
  <c r="AG137" i="2"/>
  <c r="AF137" i="2"/>
  <c r="AE137" i="2"/>
  <c r="AD137" i="2"/>
  <c r="AC137" i="2"/>
  <c r="AB137" i="2"/>
  <c r="AA137" i="2"/>
  <c r="Z137" i="2"/>
  <c r="Y137" i="2"/>
  <c r="X137" i="2"/>
  <c r="W137" i="2"/>
  <c r="V137" i="2"/>
  <c r="U137" i="2"/>
  <c r="S137" i="2"/>
  <c r="R137" i="2"/>
  <c r="Q137" i="2"/>
  <c r="P137" i="2"/>
  <c r="O137" i="2"/>
  <c r="N137" i="2"/>
  <c r="M137" i="2"/>
  <c r="L137" i="2"/>
  <c r="K137" i="2"/>
  <c r="J137" i="2"/>
  <c r="I137" i="2"/>
  <c r="H137" i="2"/>
  <c r="G137" i="2"/>
  <c r="F137" i="2"/>
  <c r="E137" i="2"/>
  <c r="D137" i="2"/>
  <c r="C137" i="2"/>
  <c r="A137" i="2"/>
  <c r="AL136" i="2"/>
  <c r="AK136" i="2"/>
  <c r="AJ136" i="2"/>
  <c r="AI136" i="2"/>
  <c r="AH136" i="2"/>
  <c r="AG136" i="2"/>
  <c r="AF136" i="2"/>
  <c r="AE136" i="2"/>
  <c r="AC136" i="2"/>
  <c r="AB136" i="2"/>
  <c r="AA136" i="2"/>
  <c r="Z136" i="2"/>
  <c r="Y136" i="2"/>
  <c r="X136" i="2"/>
  <c r="W136" i="2"/>
  <c r="V136" i="2"/>
  <c r="U136" i="2"/>
  <c r="S136" i="2"/>
  <c r="R136" i="2"/>
  <c r="Q136" i="2"/>
  <c r="P136" i="2"/>
  <c r="O136" i="2"/>
  <c r="N136" i="2"/>
  <c r="M136" i="2"/>
  <c r="L136" i="2"/>
  <c r="K136" i="2"/>
  <c r="J136" i="2"/>
  <c r="I136" i="2"/>
  <c r="H136" i="2"/>
  <c r="G136" i="2"/>
  <c r="F136" i="2"/>
  <c r="E136" i="2"/>
  <c r="D136" i="2"/>
  <c r="C136" i="2"/>
  <c r="B136" i="2"/>
  <c r="A136" i="2"/>
  <c r="AK135" i="2"/>
  <c r="AJ135" i="2"/>
  <c r="AI135" i="2"/>
  <c r="AH135" i="2"/>
  <c r="AG135" i="2"/>
  <c r="AF135" i="2"/>
  <c r="AE135" i="2"/>
  <c r="AC135" i="2"/>
  <c r="AB135" i="2"/>
  <c r="AA135" i="2"/>
  <c r="Y135" i="2"/>
  <c r="X135" i="2"/>
  <c r="W135" i="2"/>
  <c r="V135" i="2"/>
  <c r="U135" i="2"/>
  <c r="S135" i="2"/>
  <c r="R135" i="2"/>
  <c r="Q135" i="2"/>
  <c r="P135" i="2"/>
  <c r="O135" i="2"/>
  <c r="N135" i="2"/>
  <c r="M135" i="2"/>
  <c r="L135" i="2"/>
  <c r="K135" i="2"/>
  <c r="J135" i="2"/>
  <c r="I135" i="2"/>
  <c r="H135" i="2"/>
  <c r="G135" i="2"/>
  <c r="F135" i="2"/>
  <c r="E135" i="2"/>
  <c r="D135" i="2"/>
  <c r="C135" i="2"/>
  <c r="B135" i="2"/>
  <c r="A135" i="2"/>
  <c r="AL134" i="2"/>
  <c r="AK134" i="2"/>
  <c r="AJ134" i="2"/>
  <c r="AI134" i="2"/>
  <c r="AH134" i="2"/>
  <c r="AG134" i="2"/>
  <c r="AF134" i="2"/>
  <c r="AE134" i="2"/>
  <c r="AD134" i="2"/>
  <c r="AC134" i="2"/>
  <c r="AB134" i="2"/>
  <c r="AA134" i="2"/>
  <c r="Z134" i="2"/>
  <c r="Y134" i="2"/>
  <c r="X134" i="2"/>
  <c r="W134" i="2"/>
  <c r="V134" i="2"/>
  <c r="U134" i="2"/>
  <c r="S134" i="2"/>
  <c r="R134" i="2"/>
  <c r="Q134" i="2"/>
  <c r="P134" i="2"/>
  <c r="O134" i="2"/>
  <c r="N134" i="2"/>
  <c r="M134" i="2"/>
  <c r="L134" i="2"/>
  <c r="K134" i="2"/>
  <c r="J134" i="2"/>
  <c r="I134" i="2"/>
  <c r="H134" i="2"/>
  <c r="G134" i="2"/>
  <c r="F134" i="2"/>
  <c r="E134" i="2"/>
  <c r="D134" i="2"/>
  <c r="C134" i="2"/>
  <c r="B134" i="2"/>
  <c r="A134" i="2"/>
  <c r="AK133" i="2"/>
  <c r="AJ133" i="2"/>
  <c r="AI133" i="2"/>
  <c r="AG133" i="2"/>
  <c r="AF133" i="2"/>
  <c r="AE133" i="2"/>
  <c r="AC133" i="2"/>
  <c r="AB133" i="2"/>
  <c r="AA133" i="2"/>
  <c r="X133" i="2"/>
  <c r="W133" i="2"/>
  <c r="V133" i="2"/>
  <c r="U133" i="2"/>
  <c r="R133" i="2"/>
  <c r="Q133" i="2"/>
  <c r="P133" i="2"/>
  <c r="O133" i="2"/>
  <c r="N133" i="2"/>
  <c r="M133" i="2"/>
  <c r="L133" i="2"/>
  <c r="K133" i="2"/>
  <c r="J133" i="2"/>
  <c r="I133" i="2"/>
  <c r="H133" i="2"/>
  <c r="G133" i="2"/>
  <c r="F133" i="2"/>
  <c r="E133" i="2"/>
  <c r="D133" i="2"/>
  <c r="C133" i="2"/>
  <c r="B133" i="2"/>
  <c r="A133" i="2"/>
  <c r="AK132" i="2"/>
  <c r="AJ132" i="2"/>
  <c r="AI132" i="2"/>
  <c r="AH132" i="2"/>
  <c r="AG132" i="2"/>
  <c r="AF132" i="2"/>
  <c r="AE132" i="2"/>
  <c r="AD132" i="2"/>
  <c r="AC132" i="2"/>
  <c r="AB132" i="2"/>
  <c r="AA132" i="2"/>
  <c r="Z132" i="2"/>
  <c r="Y132" i="2"/>
  <c r="X132" i="2"/>
  <c r="W132" i="2"/>
  <c r="V132" i="2"/>
  <c r="U132" i="2"/>
  <c r="S132" i="2"/>
  <c r="R132" i="2"/>
  <c r="Q132" i="2"/>
  <c r="P132" i="2"/>
  <c r="O132" i="2"/>
  <c r="N132" i="2"/>
  <c r="M132" i="2"/>
  <c r="L132" i="2"/>
  <c r="K132" i="2"/>
  <c r="J132" i="2"/>
  <c r="I132" i="2"/>
  <c r="H132" i="2"/>
  <c r="G132" i="2"/>
  <c r="F132" i="2"/>
  <c r="E132" i="2"/>
  <c r="D132" i="2"/>
  <c r="C132" i="2"/>
  <c r="A132" i="2"/>
  <c r="AL131" i="2"/>
  <c r="AK131" i="2"/>
  <c r="AJ131" i="2"/>
  <c r="AI131" i="2"/>
  <c r="AH131" i="2"/>
  <c r="AG131" i="2"/>
  <c r="AF131" i="2"/>
  <c r="AE131" i="2"/>
  <c r="AD131" i="2"/>
  <c r="AC131" i="2"/>
  <c r="AB131" i="2"/>
  <c r="AA131" i="2"/>
  <c r="Z131" i="2"/>
  <c r="Y131" i="2"/>
  <c r="X131" i="2"/>
  <c r="W131" i="2"/>
  <c r="V131" i="2"/>
  <c r="U131" i="2"/>
  <c r="S131" i="2"/>
  <c r="R131" i="2"/>
  <c r="Q131" i="2"/>
  <c r="P131" i="2"/>
  <c r="O131" i="2"/>
  <c r="N131" i="2"/>
  <c r="M131" i="2"/>
  <c r="L131" i="2"/>
  <c r="K131" i="2"/>
  <c r="J131" i="2"/>
  <c r="I131" i="2"/>
  <c r="H131" i="2"/>
  <c r="G131" i="2"/>
  <c r="F131" i="2"/>
  <c r="E131" i="2"/>
  <c r="D131" i="2"/>
  <c r="C131" i="2"/>
  <c r="A131" i="2"/>
  <c r="AL130" i="2"/>
  <c r="AK130" i="2"/>
  <c r="AJ130" i="2"/>
  <c r="AI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S130" i="2"/>
  <c r="R130" i="2"/>
  <c r="Q130" i="2"/>
  <c r="P130" i="2"/>
  <c r="O130" i="2"/>
  <c r="N130" i="2"/>
  <c r="M130" i="2"/>
  <c r="L130" i="2"/>
  <c r="K130" i="2"/>
  <c r="J130" i="2"/>
  <c r="I130" i="2"/>
  <c r="H130" i="2"/>
  <c r="G130" i="2"/>
  <c r="F130" i="2"/>
  <c r="E130" i="2"/>
  <c r="D130" i="2"/>
  <c r="C130" i="2"/>
  <c r="B130" i="2"/>
  <c r="A130" i="2"/>
  <c r="AK129" i="2"/>
  <c r="AJ129" i="2"/>
  <c r="AI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S129" i="2"/>
  <c r="R129" i="2"/>
  <c r="Q129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D129" i="2"/>
  <c r="C129" i="2"/>
  <c r="A129" i="2"/>
  <c r="AL128" i="2"/>
  <c r="AK128" i="2"/>
  <c r="AJ128" i="2"/>
  <c r="AI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S128" i="2"/>
  <c r="R128" i="2"/>
  <c r="Q128" i="2"/>
  <c r="P128" i="2"/>
  <c r="O128" i="2"/>
  <c r="N128" i="2"/>
  <c r="M128" i="2"/>
  <c r="L128" i="2"/>
  <c r="K128" i="2"/>
  <c r="J128" i="2"/>
  <c r="I128" i="2"/>
  <c r="H128" i="2"/>
  <c r="G128" i="2"/>
  <c r="F128" i="2"/>
  <c r="E128" i="2"/>
  <c r="D128" i="2"/>
  <c r="C128" i="2"/>
  <c r="A128" i="2"/>
  <c r="AL127" i="2"/>
  <c r="AK127" i="2"/>
  <c r="AJ127" i="2"/>
  <c r="AI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S127" i="2"/>
  <c r="R127" i="2"/>
  <c r="Q127" i="2"/>
  <c r="P127" i="2"/>
  <c r="O127" i="2"/>
  <c r="N127" i="2"/>
  <c r="M127" i="2"/>
  <c r="L127" i="2"/>
  <c r="K127" i="2"/>
  <c r="J127" i="2"/>
  <c r="I127" i="2"/>
  <c r="H127" i="2"/>
  <c r="G127" i="2"/>
  <c r="F127" i="2"/>
  <c r="E127" i="2"/>
  <c r="D127" i="2"/>
  <c r="C127" i="2"/>
  <c r="B127" i="2"/>
  <c r="A127" i="2"/>
  <c r="AL126" i="2"/>
  <c r="AK126" i="2"/>
  <c r="AJ126" i="2"/>
  <c r="AI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S126" i="2"/>
  <c r="R126" i="2"/>
  <c r="Q126" i="2"/>
  <c r="P126" i="2"/>
  <c r="O126" i="2"/>
  <c r="N126" i="2"/>
  <c r="M126" i="2"/>
  <c r="L126" i="2"/>
  <c r="K126" i="2"/>
  <c r="J126" i="2"/>
  <c r="I126" i="2"/>
  <c r="H126" i="2"/>
  <c r="G126" i="2"/>
  <c r="F126" i="2"/>
  <c r="E126" i="2"/>
  <c r="D126" i="2"/>
  <c r="C126" i="2"/>
  <c r="B126" i="2"/>
  <c r="A126" i="2"/>
  <c r="AK125" i="2"/>
  <c r="AJ125" i="2"/>
  <c r="AI125" i="2"/>
  <c r="AH125" i="2"/>
  <c r="AG125" i="2"/>
  <c r="AF125" i="2"/>
  <c r="AE125" i="2"/>
  <c r="AD125" i="2"/>
  <c r="AC125" i="2"/>
  <c r="AB125" i="2"/>
  <c r="AA125" i="2"/>
  <c r="Y125" i="2"/>
  <c r="X125" i="2"/>
  <c r="W125" i="2"/>
  <c r="V125" i="2"/>
  <c r="U125" i="2"/>
  <c r="S125" i="2"/>
  <c r="R125" i="2"/>
  <c r="Q125" i="2"/>
  <c r="P125" i="2"/>
  <c r="O125" i="2"/>
  <c r="N125" i="2"/>
  <c r="M125" i="2"/>
  <c r="L125" i="2"/>
  <c r="K125" i="2"/>
  <c r="J125" i="2"/>
  <c r="I125" i="2"/>
  <c r="H125" i="2"/>
  <c r="G125" i="2"/>
  <c r="F125" i="2"/>
  <c r="E125" i="2"/>
  <c r="D125" i="2"/>
  <c r="C125" i="2"/>
  <c r="B125" i="2"/>
  <c r="A125" i="2"/>
  <c r="AK124" i="2"/>
  <c r="AJ124" i="2"/>
  <c r="AI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U124" i="2"/>
  <c r="S124" i="2"/>
  <c r="R124" i="2"/>
  <c r="Q124" i="2"/>
  <c r="P124" i="2"/>
  <c r="O124" i="2"/>
  <c r="N124" i="2"/>
  <c r="M124" i="2"/>
  <c r="L124" i="2"/>
  <c r="K124" i="2"/>
  <c r="J124" i="2"/>
  <c r="I124" i="2"/>
  <c r="H124" i="2"/>
  <c r="G124" i="2"/>
  <c r="F124" i="2"/>
  <c r="E124" i="2"/>
  <c r="D124" i="2"/>
  <c r="C124" i="2"/>
  <c r="A124" i="2"/>
  <c r="AK123" i="2"/>
  <c r="AJ123" i="2"/>
  <c r="AI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S123" i="2"/>
  <c r="R123" i="2"/>
  <c r="Q123" i="2"/>
  <c r="P123" i="2"/>
  <c r="O123" i="2"/>
  <c r="N123" i="2"/>
  <c r="M123" i="2"/>
  <c r="L123" i="2"/>
  <c r="K123" i="2"/>
  <c r="J123" i="2"/>
  <c r="I123" i="2"/>
  <c r="H123" i="2"/>
  <c r="G123" i="2"/>
  <c r="F123" i="2"/>
  <c r="E123" i="2"/>
  <c r="D123" i="2"/>
  <c r="C123" i="2"/>
  <c r="B123" i="2"/>
  <c r="A123" i="2"/>
  <c r="AL122" i="2"/>
  <c r="AK122" i="2"/>
  <c r="AJ122" i="2"/>
  <c r="AI122" i="2"/>
  <c r="AG122" i="2"/>
  <c r="AF122" i="2"/>
  <c r="AE122" i="2"/>
  <c r="AC122" i="2"/>
  <c r="AB122" i="2"/>
  <c r="AA122" i="2"/>
  <c r="X122" i="2"/>
  <c r="W122" i="2"/>
  <c r="V122" i="2"/>
  <c r="U122" i="2"/>
  <c r="R122" i="2"/>
  <c r="Q122" i="2"/>
  <c r="P122" i="2"/>
  <c r="O122" i="2"/>
  <c r="N122" i="2"/>
  <c r="M122" i="2"/>
  <c r="L122" i="2"/>
  <c r="K122" i="2"/>
  <c r="J122" i="2"/>
  <c r="I122" i="2"/>
  <c r="H122" i="2"/>
  <c r="G122" i="2"/>
  <c r="F122" i="2"/>
  <c r="E122" i="2"/>
  <c r="D122" i="2"/>
  <c r="C122" i="2"/>
  <c r="B122" i="2"/>
  <c r="A122" i="2"/>
  <c r="AL121" i="2"/>
  <c r="AK121" i="2"/>
  <c r="AJ121" i="2"/>
  <c r="AI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S121" i="2"/>
  <c r="R121" i="2"/>
  <c r="Q121" i="2"/>
  <c r="P121" i="2"/>
  <c r="O121" i="2"/>
  <c r="N121" i="2"/>
  <c r="M121" i="2"/>
  <c r="L121" i="2"/>
  <c r="K121" i="2"/>
  <c r="J121" i="2"/>
  <c r="I121" i="2"/>
  <c r="H121" i="2"/>
  <c r="G121" i="2"/>
  <c r="F121" i="2"/>
  <c r="E121" i="2"/>
  <c r="D121" i="2"/>
  <c r="C121" i="2"/>
  <c r="A121" i="2"/>
  <c r="AK120" i="2"/>
  <c r="AJ120" i="2"/>
  <c r="AI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U120" i="2"/>
  <c r="S120" i="2"/>
  <c r="R120" i="2"/>
  <c r="Q120" i="2"/>
  <c r="P120" i="2"/>
  <c r="O120" i="2"/>
  <c r="N120" i="2"/>
  <c r="M120" i="2"/>
  <c r="L120" i="2"/>
  <c r="K120" i="2"/>
  <c r="J120" i="2"/>
  <c r="I120" i="2"/>
  <c r="H120" i="2"/>
  <c r="G120" i="2"/>
  <c r="F120" i="2"/>
  <c r="E120" i="2"/>
  <c r="D120" i="2"/>
  <c r="C120" i="2"/>
  <c r="A120" i="2"/>
  <c r="AK119" i="2"/>
  <c r="AJ119" i="2"/>
  <c r="AI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S119" i="2"/>
  <c r="R119" i="2"/>
  <c r="Q119" i="2"/>
  <c r="P119" i="2"/>
  <c r="O119" i="2"/>
  <c r="N119" i="2"/>
  <c r="M119" i="2"/>
  <c r="L119" i="2"/>
  <c r="K119" i="2"/>
  <c r="J119" i="2"/>
  <c r="I119" i="2"/>
  <c r="H119" i="2"/>
  <c r="G119" i="2"/>
  <c r="F119" i="2"/>
  <c r="E119" i="2"/>
  <c r="D119" i="2"/>
  <c r="C119" i="2"/>
  <c r="B119" i="2"/>
  <c r="A119" i="2"/>
  <c r="AL118" i="2"/>
  <c r="AK118" i="2"/>
  <c r="AJ118" i="2"/>
  <c r="AI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U118" i="2"/>
  <c r="S118" i="2"/>
  <c r="R118" i="2"/>
  <c r="Q118" i="2"/>
  <c r="P118" i="2"/>
  <c r="O118" i="2"/>
  <c r="N118" i="2"/>
  <c r="M118" i="2"/>
  <c r="L118" i="2"/>
  <c r="K118" i="2"/>
  <c r="J118" i="2"/>
  <c r="I118" i="2"/>
  <c r="H118" i="2"/>
  <c r="G118" i="2"/>
  <c r="F118" i="2"/>
  <c r="E118" i="2"/>
  <c r="D118" i="2"/>
  <c r="C118" i="2"/>
  <c r="B118" i="2"/>
  <c r="A118" i="2"/>
  <c r="AL117" i="2"/>
  <c r="AK117" i="2"/>
  <c r="AJ117" i="2"/>
  <c r="AI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S117" i="2"/>
  <c r="R117" i="2"/>
  <c r="Q117" i="2"/>
  <c r="P117" i="2"/>
  <c r="O117" i="2"/>
  <c r="N117" i="2"/>
  <c r="M117" i="2"/>
  <c r="L117" i="2"/>
  <c r="K117" i="2"/>
  <c r="J117" i="2"/>
  <c r="I117" i="2"/>
  <c r="H117" i="2"/>
  <c r="G117" i="2"/>
  <c r="F117" i="2"/>
  <c r="E117" i="2"/>
  <c r="D117" i="2"/>
  <c r="C117" i="2"/>
  <c r="B117" i="2"/>
  <c r="A117" i="2"/>
  <c r="AL116" i="2"/>
  <c r="AK116" i="2"/>
  <c r="AJ116" i="2"/>
  <c r="AI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S116" i="2"/>
  <c r="R116" i="2"/>
  <c r="Q116" i="2"/>
  <c r="P116" i="2"/>
  <c r="O116" i="2"/>
  <c r="N116" i="2"/>
  <c r="M116" i="2"/>
  <c r="L116" i="2"/>
  <c r="K116" i="2"/>
  <c r="J116" i="2"/>
  <c r="I116" i="2"/>
  <c r="H116" i="2"/>
  <c r="G116" i="2"/>
  <c r="F116" i="2"/>
  <c r="E116" i="2"/>
  <c r="D116" i="2"/>
  <c r="C116" i="2"/>
  <c r="B116" i="2"/>
  <c r="A116" i="2"/>
  <c r="AL115" i="2"/>
  <c r="AK115" i="2"/>
  <c r="AJ115" i="2"/>
  <c r="AI115" i="2"/>
  <c r="AH115" i="2"/>
  <c r="AG115" i="2"/>
  <c r="AF115" i="2"/>
  <c r="AE115" i="2"/>
  <c r="AC115" i="2"/>
  <c r="AB115" i="2"/>
  <c r="AA115" i="2"/>
  <c r="Z115" i="2"/>
  <c r="Y115" i="2"/>
  <c r="X115" i="2"/>
  <c r="W115" i="2"/>
  <c r="V115" i="2"/>
  <c r="U115" i="2"/>
  <c r="S115" i="2"/>
  <c r="R115" i="2"/>
  <c r="Q115" i="2"/>
  <c r="P115" i="2"/>
  <c r="O115" i="2"/>
  <c r="N115" i="2"/>
  <c r="M115" i="2"/>
  <c r="L115" i="2"/>
  <c r="K115" i="2"/>
  <c r="J115" i="2"/>
  <c r="I115" i="2"/>
  <c r="H115" i="2"/>
  <c r="G115" i="2"/>
  <c r="F115" i="2"/>
  <c r="E115" i="2"/>
  <c r="D115" i="2"/>
  <c r="C115" i="2"/>
  <c r="B115" i="2"/>
  <c r="A115" i="2"/>
  <c r="AL114" i="2"/>
  <c r="AK114" i="2"/>
  <c r="AJ114" i="2"/>
  <c r="AI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S114" i="2"/>
  <c r="R114" i="2"/>
  <c r="Q114" i="2"/>
  <c r="P114" i="2"/>
  <c r="O114" i="2"/>
  <c r="N114" i="2"/>
  <c r="M114" i="2"/>
  <c r="L114" i="2"/>
  <c r="K114" i="2"/>
  <c r="J114" i="2"/>
  <c r="I114" i="2"/>
  <c r="H114" i="2"/>
  <c r="G114" i="2"/>
  <c r="F114" i="2"/>
  <c r="E114" i="2"/>
  <c r="D114" i="2"/>
  <c r="C114" i="2"/>
  <c r="A114" i="2"/>
  <c r="AL113" i="2"/>
  <c r="AK113" i="2"/>
  <c r="AJ113" i="2"/>
  <c r="AI113" i="2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S113" i="2"/>
  <c r="R113" i="2"/>
  <c r="Q113" i="2"/>
  <c r="P113" i="2"/>
  <c r="O113" i="2"/>
  <c r="N113" i="2"/>
  <c r="M113" i="2"/>
  <c r="L113" i="2"/>
  <c r="K113" i="2"/>
  <c r="J113" i="2"/>
  <c r="I113" i="2"/>
  <c r="H113" i="2"/>
  <c r="G113" i="2"/>
  <c r="F113" i="2"/>
  <c r="E113" i="2"/>
  <c r="D113" i="2"/>
  <c r="C113" i="2"/>
  <c r="A113" i="2"/>
  <c r="AK112" i="2"/>
  <c r="AJ112" i="2"/>
  <c r="AI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S112" i="2"/>
  <c r="R112" i="2"/>
  <c r="Q112" i="2"/>
  <c r="P112" i="2"/>
  <c r="O112" i="2"/>
  <c r="N112" i="2"/>
  <c r="M112" i="2"/>
  <c r="L112" i="2"/>
  <c r="K112" i="2"/>
  <c r="J112" i="2"/>
  <c r="I112" i="2"/>
  <c r="H112" i="2"/>
  <c r="G112" i="2"/>
  <c r="F112" i="2"/>
  <c r="E112" i="2"/>
  <c r="D112" i="2"/>
  <c r="C112" i="2"/>
  <c r="A112" i="2"/>
  <c r="AL111" i="2"/>
  <c r="AK111" i="2"/>
  <c r="AJ111" i="2"/>
  <c r="AI111" i="2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S111" i="2"/>
  <c r="R111" i="2"/>
  <c r="Q111" i="2"/>
  <c r="P111" i="2"/>
  <c r="O111" i="2"/>
  <c r="N111" i="2"/>
  <c r="M111" i="2"/>
  <c r="L111" i="2"/>
  <c r="K111" i="2"/>
  <c r="J111" i="2"/>
  <c r="I111" i="2"/>
  <c r="H111" i="2"/>
  <c r="G111" i="2"/>
  <c r="F111" i="2"/>
  <c r="E111" i="2"/>
  <c r="D111" i="2"/>
  <c r="C111" i="2"/>
  <c r="B111" i="2"/>
  <c r="A111" i="2"/>
  <c r="AK110" i="2"/>
  <c r="AJ110" i="2"/>
  <c r="AI110" i="2"/>
  <c r="AH110" i="2"/>
  <c r="AG110" i="2"/>
  <c r="AF110" i="2"/>
  <c r="AE110" i="2"/>
  <c r="AC110" i="2"/>
  <c r="AB110" i="2"/>
  <c r="AA110" i="2"/>
  <c r="Z110" i="2"/>
  <c r="Y110" i="2"/>
  <c r="X110" i="2"/>
  <c r="W110" i="2"/>
  <c r="V110" i="2"/>
  <c r="U110" i="2"/>
  <c r="S110" i="2"/>
  <c r="R110" i="2"/>
  <c r="Q110" i="2"/>
  <c r="P110" i="2"/>
  <c r="O110" i="2"/>
  <c r="N110" i="2"/>
  <c r="M110" i="2"/>
  <c r="L110" i="2"/>
  <c r="K110" i="2"/>
  <c r="J110" i="2"/>
  <c r="I110" i="2"/>
  <c r="H110" i="2"/>
  <c r="G110" i="2"/>
  <c r="F110" i="2"/>
  <c r="E110" i="2"/>
  <c r="D110" i="2"/>
  <c r="C110" i="2"/>
  <c r="A110" i="2"/>
  <c r="AL109" i="2"/>
  <c r="AK109" i="2"/>
  <c r="AJ109" i="2"/>
  <c r="AI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S109" i="2"/>
  <c r="R109" i="2"/>
  <c r="Q109" i="2"/>
  <c r="P109" i="2"/>
  <c r="O109" i="2"/>
  <c r="N109" i="2"/>
  <c r="M109" i="2"/>
  <c r="L109" i="2"/>
  <c r="K109" i="2"/>
  <c r="J109" i="2"/>
  <c r="I109" i="2"/>
  <c r="H109" i="2"/>
  <c r="G109" i="2"/>
  <c r="F109" i="2"/>
  <c r="E109" i="2"/>
  <c r="D109" i="2"/>
  <c r="C109" i="2"/>
  <c r="B109" i="2"/>
  <c r="A109" i="2"/>
  <c r="AK108" i="2"/>
  <c r="AJ108" i="2"/>
  <c r="AI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S108" i="2"/>
  <c r="R108" i="2"/>
  <c r="Q108" i="2"/>
  <c r="P108" i="2"/>
  <c r="O108" i="2"/>
  <c r="N108" i="2"/>
  <c r="M108" i="2"/>
  <c r="L108" i="2"/>
  <c r="K108" i="2"/>
  <c r="J108" i="2"/>
  <c r="I108" i="2"/>
  <c r="H108" i="2"/>
  <c r="G108" i="2"/>
  <c r="F108" i="2"/>
  <c r="E108" i="2"/>
  <c r="D108" i="2"/>
  <c r="C108" i="2"/>
  <c r="B108" i="2"/>
  <c r="A108" i="2"/>
  <c r="AL107" i="2"/>
  <c r="AK107" i="2"/>
  <c r="AJ107" i="2"/>
  <c r="AI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S107" i="2"/>
  <c r="R107" i="2"/>
  <c r="Q107" i="2"/>
  <c r="P107" i="2"/>
  <c r="O107" i="2"/>
  <c r="N107" i="2"/>
  <c r="M107" i="2"/>
  <c r="L107" i="2"/>
  <c r="K107" i="2"/>
  <c r="J107" i="2"/>
  <c r="I107" i="2"/>
  <c r="H107" i="2"/>
  <c r="G107" i="2"/>
  <c r="F107" i="2"/>
  <c r="E107" i="2"/>
  <c r="D107" i="2"/>
  <c r="C107" i="2"/>
  <c r="A107" i="2"/>
  <c r="AL106" i="2"/>
  <c r="AK106" i="2"/>
  <c r="AJ106" i="2"/>
  <c r="AI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S106" i="2"/>
  <c r="R106" i="2"/>
  <c r="Q106" i="2"/>
  <c r="P106" i="2"/>
  <c r="O106" i="2"/>
  <c r="N106" i="2"/>
  <c r="M106" i="2"/>
  <c r="L106" i="2"/>
  <c r="K106" i="2"/>
  <c r="J106" i="2"/>
  <c r="I106" i="2"/>
  <c r="H106" i="2"/>
  <c r="G106" i="2"/>
  <c r="F106" i="2"/>
  <c r="E106" i="2"/>
  <c r="D106" i="2"/>
  <c r="C106" i="2"/>
  <c r="A106" i="2"/>
  <c r="AK105" i="2"/>
  <c r="AJ105" i="2"/>
  <c r="AI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S105" i="2"/>
  <c r="R105" i="2"/>
  <c r="Q105" i="2"/>
  <c r="P105" i="2"/>
  <c r="O105" i="2"/>
  <c r="N105" i="2"/>
  <c r="M105" i="2"/>
  <c r="L105" i="2"/>
  <c r="K105" i="2"/>
  <c r="J105" i="2"/>
  <c r="I105" i="2"/>
  <c r="H105" i="2"/>
  <c r="G105" i="2"/>
  <c r="F105" i="2"/>
  <c r="E105" i="2"/>
  <c r="D105" i="2"/>
  <c r="C105" i="2"/>
  <c r="B105" i="2"/>
  <c r="A105" i="2"/>
  <c r="AL104" i="2"/>
  <c r="AK104" i="2"/>
  <c r="AJ104" i="2"/>
  <c r="AI104" i="2"/>
  <c r="AH104" i="2"/>
  <c r="AG104" i="2"/>
  <c r="AF104" i="2"/>
  <c r="AE104" i="2"/>
  <c r="AD104" i="2"/>
  <c r="AC104" i="2"/>
  <c r="AB104" i="2"/>
  <c r="AA104" i="2"/>
  <c r="Y104" i="2"/>
  <c r="X104" i="2"/>
  <c r="W104" i="2"/>
  <c r="V104" i="2"/>
  <c r="U104" i="2"/>
  <c r="S104" i="2"/>
  <c r="R104" i="2"/>
  <c r="Q104" i="2"/>
  <c r="P104" i="2"/>
  <c r="O104" i="2"/>
  <c r="N104" i="2"/>
  <c r="M104" i="2"/>
  <c r="L104" i="2"/>
  <c r="K104" i="2"/>
  <c r="J104" i="2"/>
  <c r="I104" i="2"/>
  <c r="H104" i="2"/>
  <c r="G104" i="2"/>
  <c r="F104" i="2"/>
  <c r="E104" i="2"/>
  <c r="D104" i="2"/>
  <c r="C104" i="2"/>
  <c r="A104" i="2"/>
  <c r="AL103" i="2"/>
  <c r="AK103" i="2"/>
  <c r="AJ103" i="2"/>
  <c r="AI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S103" i="2"/>
  <c r="R103" i="2"/>
  <c r="Q103" i="2"/>
  <c r="P103" i="2"/>
  <c r="O103" i="2"/>
  <c r="N103" i="2"/>
  <c r="M103" i="2"/>
  <c r="L103" i="2"/>
  <c r="K103" i="2"/>
  <c r="J103" i="2"/>
  <c r="I103" i="2"/>
  <c r="H103" i="2"/>
  <c r="G103" i="2"/>
  <c r="F103" i="2"/>
  <c r="E103" i="2"/>
  <c r="D103" i="2"/>
  <c r="C103" i="2"/>
  <c r="A103" i="2"/>
  <c r="AL102" i="2"/>
  <c r="AK102" i="2"/>
  <c r="AJ102" i="2"/>
  <c r="AI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S102" i="2"/>
  <c r="R102" i="2"/>
  <c r="Q102" i="2"/>
  <c r="P102" i="2"/>
  <c r="O102" i="2"/>
  <c r="N102" i="2"/>
  <c r="M102" i="2"/>
  <c r="L102" i="2"/>
  <c r="K102" i="2"/>
  <c r="J102" i="2"/>
  <c r="I102" i="2"/>
  <c r="H102" i="2"/>
  <c r="G102" i="2"/>
  <c r="F102" i="2"/>
  <c r="E102" i="2"/>
  <c r="D102" i="2"/>
  <c r="C102" i="2"/>
  <c r="B102" i="2"/>
  <c r="A102" i="2"/>
  <c r="AL101" i="2"/>
  <c r="AK101" i="2"/>
  <c r="AJ101" i="2"/>
  <c r="AI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S101" i="2"/>
  <c r="R101" i="2"/>
  <c r="Q101" i="2"/>
  <c r="P101" i="2"/>
  <c r="O101" i="2"/>
  <c r="N101" i="2"/>
  <c r="M101" i="2"/>
  <c r="L101" i="2"/>
  <c r="K101" i="2"/>
  <c r="J101" i="2"/>
  <c r="I101" i="2"/>
  <c r="H101" i="2"/>
  <c r="G101" i="2"/>
  <c r="F101" i="2"/>
  <c r="E101" i="2"/>
  <c r="D101" i="2"/>
  <c r="C101" i="2"/>
  <c r="A101" i="2"/>
  <c r="AL100" i="2"/>
  <c r="AK100" i="2"/>
  <c r="AJ100" i="2"/>
  <c r="AI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S100" i="2"/>
  <c r="R100" i="2"/>
  <c r="Q100" i="2"/>
  <c r="P100" i="2"/>
  <c r="O100" i="2"/>
  <c r="N100" i="2"/>
  <c r="M100" i="2"/>
  <c r="L100" i="2"/>
  <c r="K100" i="2"/>
  <c r="J100" i="2"/>
  <c r="I100" i="2"/>
  <c r="H100" i="2"/>
  <c r="G100" i="2"/>
  <c r="F100" i="2"/>
  <c r="E100" i="2"/>
  <c r="D100" i="2"/>
  <c r="C100" i="2"/>
  <c r="B100" i="2"/>
  <c r="A100" i="2"/>
  <c r="AL99" i="2"/>
  <c r="AK99" i="2"/>
  <c r="AJ99" i="2"/>
  <c r="AI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S99" i="2"/>
  <c r="R99" i="2"/>
  <c r="Q99" i="2"/>
  <c r="P99" i="2"/>
  <c r="O99" i="2"/>
  <c r="N99" i="2"/>
  <c r="M99" i="2"/>
  <c r="L99" i="2"/>
  <c r="K99" i="2"/>
  <c r="J99" i="2"/>
  <c r="I99" i="2"/>
  <c r="H99" i="2"/>
  <c r="G99" i="2"/>
  <c r="F99" i="2"/>
  <c r="E99" i="2"/>
  <c r="D99" i="2"/>
  <c r="C99" i="2"/>
  <c r="B99" i="2"/>
  <c r="A99" i="2"/>
  <c r="AL98" i="2"/>
  <c r="AK98" i="2"/>
  <c r="AJ98" i="2"/>
  <c r="AI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S98" i="2"/>
  <c r="R98" i="2"/>
  <c r="Q98" i="2"/>
  <c r="P98" i="2"/>
  <c r="O98" i="2"/>
  <c r="N98" i="2"/>
  <c r="M98" i="2"/>
  <c r="L98" i="2"/>
  <c r="K98" i="2"/>
  <c r="J98" i="2"/>
  <c r="I98" i="2"/>
  <c r="H98" i="2"/>
  <c r="G98" i="2"/>
  <c r="F98" i="2"/>
  <c r="E98" i="2"/>
  <c r="D98" i="2"/>
  <c r="C98" i="2"/>
  <c r="B98" i="2"/>
  <c r="A98" i="2"/>
  <c r="AL97" i="2"/>
  <c r="AK97" i="2"/>
  <c r="AJ97" i="2"/>
  <c r="AI97" i="2"/>
  <c r="AH97" i="2"/>
  <c r="AG97" i="2"/>
  <c r="AF97" i="2"/>
  <c r="AE97" i="2"/>
  <c r="AC97" i="2"/>
  <c r="AB97" i="2"/>
  <c r="AA97" i="2"/>
  <c r="Z97" i="2"/>
  <c r="Y97" i="2"/>
  <c r="X97" i="2"/>
  <c r="W97" i="2"/>
  <c r="V97" i="2"/>
  <c r="U97" i="2"/>
  <c r="S97" i="2"/>
  <c r="R97" i="2"/>
  <c r="Q97" i="2"/>
  <c r="P97" i="2"/>
  <c r="O97" i="2"/>
  <c r="N97" i="2"/>
  <c r="M97" i="2"/>
  <c r="L97" i="2"/>
  <c r="K97" i="2"/>
  <c r="J97" i="2"/>
  <c r="I97" i="2"/>
  <c r="H97" i="2"/>
  <c r="G97" i="2"/>
  <c r="F97" i="2"/>
  <c r="E97" i="2"/>
  <c r="D97" i="2"/>
  <c r="C97" i="2"/>
  <c r="B97" i="2"/>
  <c r="A97" i="2"/>
  <c r="AL96" i="2"/>
  <c r="AK96" i="2"/>
  <c r="AJ96" i="2"/>
  <c r="AI96" i="2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S96" i="2"/>
  <c r="R96" i="2"/>
  <c r="Q96" i="2"/>
  <c r="P96" i="2"/>
  <c r="O96" i="2"/>
  <c r="N96" i="2"/>
  <c r="M96" i="2"/>
  <c r="L96" i="2"/>
  <c r="K96" i="2"/>
  <c r="J96" i="2"/>
  <c r="I96" i="2"/>
  <c r="H96" i="2"/>
  <c r="G96" i="2"/>
  <c r="F96" i="2"/>
  <c r="E96" i="2"/>
  <c r="D96" i="2"/>
  <c r="C96" i="2"/>
  <c r="A96" i="2"/>
  <c r="AL95" i="2"/>
  <c r="AK95" i="2"/>
  <c r="AJ95" i="2"/>
  <c r="AI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S95" i="2"/>
  <c r="R95" i="2"/>
  <c r="Q95" i="2"/>
  <c r="P95" i="2"/>
  <c r="O95" i="2"/>
  <c r="N95" i="2"/>
  <c r="M95" i="2"/>
  <c r="L95" i="2"/>
  <c r="K95" i="2"/>
  <c r="J95" i="2"/>
  <c r="I95" i="2"/>
  <c r="H95" i="2"/>
  <c r="G95" i="2"/>
  <c r="F95" i="2"/>
  <c r="E95" i="2"/>
  <c r="D95" i="2"/>
  <c r="C95" i="2"/>
  <c r="A95" i="2"/>
  <c r="AL94" i="2"/>
  <c r="AK94" i="2"/>
  <c r="AJ94" i="2"/>
  <c r="AI94" i="2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S94" i="2"/>
  <c r="R94" i="2"/>
  <c r="Q94" i="2"/>
  <c r="P94" i="2"/>
  <c r="O94" i="2"/>
  <c r="N94" i="2"/>
  <c r="M94" i="2"/>
  <c r="L94" i="2"/>
  <c r="K94" i="2"/>
  <c r="J94" i="2"/>
  <c r="I94" i="2"/>
  <c r="H94" i="2"/>
  <c r="G94" i="2"/>
  <c r="F94" i="2"/>
  <c r="E94" i="2"/>
  <c r="D94" i="2"/>
  <c r="C94" i="2"/>
  <c r="A94" i="2"/>
  <c r="AK93" i="2"/>
  <c r="AJ93" i="2"/>
  <c r="AI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S93" i="2"/>
  <c r="R93" i="2"/>
  <c r="Q93" i="2"/>
  <c r="P93" i="2"/>
  <c r="O93" i="2"/>
  <c r="N93" i="2"/>
  <c r="M93" i="2"/>
  <c r="L93" i="2"/>
  <c r="K93" i="2"/>
  <c r="J93" i="2"/>
  <c r="I93" i="2"/>
  <c r="H93" i="2"/>
  <c r="G93" i="2"/>
  <c r="F93" i="2"/>
  <c r="E93" i="2"/>
  <c r="D93" i="2"/>
  <c r="C93" i="2"/>
  <c r="A93" i="2"/>
  <c r="AK92" i="2"/>
  <c r="AJ92" i="2"/>
  <c r="AI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S92" i="2"/>
  <c r="R92" i="2"/>
  <c r="Q92" i="2"/>
  <c r="P92" i="2"/>
  <c r="O92" i="2"/>
  <c r="N92" i="2"/>
  <c r="M92" i="2"/>
  <c r="L92" i="2"/>
  <c r="K92" i="2"/>
  <c r="J92" i="2"/>
  <c r="I92" i="2"/>
  <c r="H92" i="2"/>
  <c r="G92" i="2"/>
  <c r="F92" i="2"/>
  <c r="E92" i="2"/>
  <c r="D92" i="2"/>
  <c r="C92" i="2"/>
  <c r="A92" i="2"/>
  <c r="AK91" i="2"/>
  <c r="AJ91" i="2"/>
  <c r="AI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U91" i="2"/>
  <c r="S91" i="2"/>
  <c r="R91" i="2"/>
  <c r="Q91" i="2"/>
  <c r="P91" i="2"/>
  <c r="O91" i="2"/>
  <c r="N91" i="2"/>
  <c r="M91" i="2"/>
  <c r="L91" i="2"/>
  <c r="K91" i="2"/>
  <c r="J91" i="2"/>
  <c r="I91" i="2"/>
  <c r="H91" i="2"/>
  <c r="G91" i="2"/>
  <c r="F91" i="2"/>
  <c r="E91" i="2"/>
  <c r="D91" i="2"/>
  <c r="C91" i="2"/>
  <c r="B91" i="2"/>
  <c r="A91" i="2"/>
  <c r="AL90" i="2"/>
  <c r="AK90" i="2"/>
  <c r="AJ90" i="2"/>
  <c r="AI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S90" i="2"/>
  <c r="R90" i="2"/>
  <c r="Q90" i="2"/>
  <c r="P90" i="2"/>
  <c r="O90" i="2"/>
  <c r="N90" i="2"/>
  <c r="M90" i="2"/>
  <c r="L90" i="2"/>
  <c r="K90" i="2"/>
  <c r="J90" i="2"/>
  <c r="I90" i="2"/>
  <c r="H90" i="2"/>
  <c r="G90" i="2"/>
  <c r="F90" i="2"/>
  <c r="E90" i="2"/>
  <c r="D90" i="2"/>
  <c r="C90" i="2"/>
  <c r="A90" i="2"/>
  <c r="AL89" i="2"/>
  <c r="AK89" i="2"/>
  <c r="AJ89" i="2"/>
  <c r="AI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S89" i="2"/>
  <c r="R89" i="2"/>
  <c r="Q89" i="2"/>
  <c r="P89" i="2"/>
  <c r="O89" i="2"/>
  <c r="N89" i="2"/>
  <c r="M89" i="2"/>
  <c r="L89" i="2"/>
  <c r="K89" i="2"/>
  <c r="J89" i="2"/>
  <c r="I89" i="2"/>
  <c r="H89" i="2"/>
  <c r="G89" i="2"/>
  <c r="F89" i="2"/>
  <c r="E89" i="2"/>
  <c r="D89" i="2"/>
  <c r="C89" i="2"/>
  <c r="B89" i="2"/>
  <c r="A89" i="2"/>
  <c r="AL88" i="2"/>
  <c r="AK88" i="2"/>
  <c r="AJ88" i="2"/>
  <c r="AI88" i="2"/>
  <c r="AH88" i="2"/>
  <c r="AG88" i="2"/>
  <c r="AF88" i="2"/>
  <c r="AE88" i="2"/>
  <c r="AC88" i="2"/>
  <c r="AB88" i="2"/>
  <c r="AA88" i="2"/>
  <c r="Z88" i="2"/>
  <c r="Y88" i="2"/>
  <c r="X88" i="2"/>
  <c r="W88" i="2"/>
  <c r="V88" i="2"/>
  <c r="U88" i="2"/>
  <c r="S88" i="2"/>
  <c r="R88" i="2"/>
  <c r="Q88" i="2"/>
  <c r="P88" i="2"/>
  <c r="O88" i="2"/>
  <c r="N88" i="2"/>
  <c r="M88" i="2"/>
  <c r="L88" i="2"/>
  <c r="K88" i="2"/>
  <c r="J88" i="2"/>
  <c r="I88" i="2"/>
  <c r="H88" i="2"/>
  <c r="G88" i="2"/>
  <c r="F88" i="2"/>
  <c r="E88" i="2"/>
  <c r="D88" i="2"/>
  <c r="C88" i="2"/>
  <c r="B88" i="2"/>
  <c r="A88" i="2"/>
  <c r="AK87" i="2"/>
  <c r="AJ87" i="2"/>
  <c r="AI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U87" i="2"/>
  <c r="S87" i="2"/>
  <c r="R87" i="2"/>
  <c r="Q87" i="2"/>
  <c r="P87" i="2"/>
  <c r="O87" i="2"/>
  <c r="N87" i="2"/>
  <c r="M87" i="2"/>
  <c r="L87" i="2"/>
  <c r="K87" i="2"/>
  <c r="J87" i="2"/>
  <c r="I87" i="2"/>
  <c r="H87" i="2"/>
  <c r="G87" i="2"/>
  <c r="F87" i="2"/>
  <c r="E87" i="2"/>
  <c r="D87" i="2"/>
  <c r="C87" i="2"/>
  <c r="B87" i="2"/>
  <c r="A87" i="2"/>
  <c r="AL86" i="2"/>
  <c r="AK86" i="2"/>
  <c r="AJ86" i="2"/>
  <c r="AI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V86" i="2"/>
  <c r="U86" i="2"/>
  <c r="S86" i="2"/>
  <c r="R86" i="2"/>
  <c r="Q86" i="2"/>
  <c r="P86" i="2"/>
  <c r="O86" i="2"/>
  <c r="N86" i="2"/>
  <c r="M86" i="2"/>
  <c r="L86" i="2"/>
  <c r="K86" i="2"/>
  <c r="J86" i="2"/>
  <c r="I86" i="2"/>
  <c r="H86" i="2"/>
  <c r="G86" i="2"/>
  <c r="F86" i="2"/>
  <c r="E86" i="2"/>
  <c r="D86" i="2"/>
  <c r="C86" i="2"/>
  <c r="A86" i="2"/>
  <c r="AK85" i="2"/>
  <c r="AJ85" i="2"/>
  <c r="AI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U85" i="2"/>
  <c r="S85" i="2"/>
  <c r="R85" i="2"/>
  <c r="Q85" i="2"/>
  <c r="P85" i="2"/>
  <c r="O85" i="2"/>
  <c r="N85" i="2"/>
  <c r="M85" i="2"/>
  <c r="L85" i="2"/>
  <c r="K85" i="2"/>
  <c r="J85" i="2"/>
  <c r="I85" i="2"/>
  <c r="H85" i="2"/>
  <c r="G85" i="2"/>
  <c r="F85" i="2"/>
  <c r="E85" i="2"/>
  <c r="D85" i="2"/>
  <c r="C85" i="2"/>
  <c r="B85" i="2"/>
  <c r="A85" i="2"/>
  <c r="AK84" i="2"/>
  <c r="AJ84" i="2"/>
  <c r="AI84" i="2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S84" i="2"/>
  <c r="R84" i="2"/>
  <c r="Q84" i="2"/>
  <c r="P84" i="2"/>
  <c r="O84" i="2"/>
  <c r="N84" i="2"/>
  <c r="M84" i="2"/>
  <c r="L84" i="2"/>
  <c r="K84" i="2"/>
  <c r="J84" i="2"/>
  <c r="I84" i="2"/>
  <c r="H84" i="2"/>
  <c r="G84" i="2"/>
  <c r="F84" i="2"/>
  <c r="E84" i="2"/>
  <c r="D84" i="2"/>
  <c r="C84" i="2"/>
  <c r="A84" i="2"/>
  <c r="AL83" i="2"/>
  <c r="AK83" i="2"/>
  <c r="AJ83" i="2"/>
  <c r="AI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S83" i="2"/>
  <c r="R83" i="2"/>
  <c r="Q83" i="2"/>
  <c r="P83" i="2"/>
  <c r="O83" i="2"/>
  <c r="N83" i="2"/>
  <c r="M83" i="2"/>
  <c r="L83" i="2"/>
  <c r="K83" i="2"/>
  <c r="J83" i="2"/>
  <c r="I83" i="2"/>
  <c r="H83" i="2"/>
  <c r="G83" i="2"/>
  <c r="F83" i="2"/>
  <c r="E83" i="2"/>
  <c r="D83" i="2"/>
  <c r="C83" i="2"/>
  <c r="B83" i="2"/>
  <c r="A83" i="2"/>
  <c r="AL82" i="2"/>
  <c r="AK82" i="2"/>
  <c r="AJ82" i="2"/>
  <c r="AI82" i="2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S82" i="2"/>
  <c r="R82" i="2"/>
  <c r="Q82" i="2"/>
  <c r="P82" i="2"/>
  <c r="O82" i="2"/>
  <c r="N82" i="2"/>
  <c r="M82" i="2"/>
  <c r="L82" i="2"/>
  <c r="K82" i="2"/>
  <c r="J82" i="2"/>
  <c r="I82" i="2"/>
  <c r="H82" i="2"/>
  <c r="G82" i="2"/>
  <c r="F82" i="2"/>
  <c r="E82" i="2"/>
  <c r="D82" i="2"/>
  <c r="C82" i="2"/>
  <c r="A82" i="2"/>
  <c r="AL81" i="2"/>
  <c r="AK81" i="2"/>
  <c r="AJ81" i="2"/>
  <c r="AI81" i="2"/>
  <c r="AH81" i="2"/>
  <c r="AG81" i="2"/>
  <c r="AF81" i="2"/>
  <c r="AE81" i="2"/>
  <c r="AC81" i="2"/>
  <c r="AB81" i="2"/>
  <c r="AA81" i="2"/>
  <c r="Z81" i="2"/>
  <c r="Y81" i="2"/>
  <c r="X81" i="2"/>
  <c r="W81" i="2"/>
  <c r="V81" i="2"/>
  <c r="U81" i="2"/>
  <c r="S81" i="2"/>
  <c r="R81" i="2"/>
  <c r="Q81" i="2"/>
  <c r="P81" i="2"/>
  <c r="O81" i="2"/>
  <c r="N81" i="2"/>
  <c r="M81" i="2"/>
  <c r="L81" i="2"/>
  <c r="K81" i="2"/>
  <c r="J81" i="2"/>
  <c r="I81" i="2"/>
  <c r="H81" i="2"/>
  <c r="G81" i="2"/>
  <c r="F81" i="2"/>
  <c r="E81" i="2"/>
  <c r="D81" i="2"/>
  <c r="C81" i="2"/>
  <c r="A81" i="2"/>
  <c r="AK80" i="2"/>
  <c r="AJ80" i="2"/>
  <c r="AI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S80" i="2"/>
  <c r="R80" i="2"/>
  <c r="Q80" i="2"/>
  <c r="P80" i="2"/>
  <c r="O80" i="2"/>
  <c r="N80" i="2"/>
  <c r="M80" i="2"/>
  <c r="L80" i="2"/>
  <c r="K80" i="2"/>
  <c r="J80" i="2"/>
  <c r="I80" i="2"/>
  <c r="H80" i="2"/>
  <c r="G80" i="2"/>
  <c r="F80" i="2"/>
  <c r="E80" i="2"/>
  <c r="D80" i="2"/>
  <c r="C80" i="2"/>
  <c r="A80" i="2"/>
  <c r="AL79" i="2"/>
  <c r="AK79" i="2"/>
  <c r="AJ79" i="2"/>
  <c r="AI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U79" i="2"/>
  <c r="S79" i="2"/>
  <c r="R79" i="2"/>
  <c r="Q79" i="2"/>
  <c r="P79" i="2"/>
  <c r="O79" i="2"/>
  <c r="N79" i="2"/>
  <c r="M79" i="2"/>
  <c r="L79" i="2"/>
  <c r="K79" i="2"/>
  <c r="J79" i="2"/>
  <c r="I79" i="2"/>
  <c r="H79" i="2"/>
  <c r="G79" i="2"/>
  <c r="F79" i="2"/>
  <c r="E79" i="2"/>
  <c r="D79" i="2"/>
  <c r="C79" i="2"/>
  <c r="A79" i="2"/>
  <c r="AL78" i="2"/>
  <c r="AK78" i="2"/>
  <c r="AJ78" i="2"/>
  <c r="AI78" i="2"/>
  <c r="AG78" i="2"/>
  <c r="AF78" i="2"/>
  <c r="AE78" i="2"/>
  <c r="AC78" i="2"/>
  <c r="AB78" i="2"/>
  <c r="AA78" i="2"/>
  <c r="X78" i="2"/>
  <c r="W78" i="2"/>
  <c r="V78" i="2"/>
  <c r="U78" i="2"/>
  <c r="R78" i="2"/>
  <c r="Q78" i="2"/>
  <c r="P78" i="2"/>
  <c r="O78" i="2"/>
  <c r="N78" i="2"/>
  <c r="M78" i="2"/>
  <c r="L78" i="2"/>
  <c r="K78" i="2"/>
  <c r="J78" i="2"/>
  <c r="I78" i="2"/>
  <c r="H78" i="2"/>
  <c r="G78" i="2"/>
  <c r="F78" i="2"/>
  <c r="E78" i="2"/>
  <c r="D78" i="2"/>
  <c r="C78" i="2"/>
  <c r="B78" i="2"/>
  <c r="A78" i="2"/>
  <c r="AL77" i="2"/>
  <c r="AK77" i="2"/>
  <c r="AJ77" i="2"/>
  <c r="AI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S77" i="2"/>
  <c r="R77" i="2"/>
  <c r="Q77" i="2"/>
  <c r="P77" i="2"/>
  <c r="O77" i="2"/>
  <c r="N77" i="2"/>
  <c r="M77" i="2"/>
  <c r="L77" i="2"/>
  <c r="K77" i="2"/>
  <c r="J77" i="2"/>
  <c r="I77" i="2"/>
  <c r="H77" i="2"/>
  <c r="G77" i="2"/>
  <c r="F77" i="2"/>
  <c r="E77" i="2"/>
  <c r="D77" i="2"/>
  <c r="C77" i="2"/>
  <c r="B77" i="2"/>
  <c r="A77" i="2"/>
  <c r="AK76" i="2"/>
  <c r="AJ76" i="2"/>
  <c r="AI76" i="2"/>
  <c r="AH76" i="2"/>
  <c r="AG76" i="2"/>
  <c r="AF76" i="2"/>
  <c r="AE76" i="2"/>
  <c r="AC76" i="2"/>
  <c r="AB76" i="2"/>
  <c r="AA76" i="2"/>
  <c r="Z76" i="2"/>
  <c r="Y76" i="2"/>
  <c r="X76" i="2"/>
  <c r="W76" i="2"/>
  <c r="V76" i="2"/>
  <c r="U76" i="2"/>
  <c r="S76" i="2"/>
  <c r="R76" i="2"/>
  <c r="Q76" i="2"/>
  <c r="P76" i="2"/>
  <c r="O76" i="2"/>
  <c r="N76" i="2"/>
  <c r="M76" i="2"/>
  <c r="L76" i="2"/>
  <c r="K76" i="2"/>
  <c r="J76" i="2"/>
  <c r="I76" i="2"/>
  <c r="H76" i="2"/>
  <c r="G76" i="2"/>
  <c r="F76" i="2"/>
  <c r="E76" i="2"/>
  <c r="D76" i="2"/>
  <c r="C76" i="2"/>
  <c r="A76" i="2"/>
  <c r="AL75" i="2"/>
  <c r="AK75" i="2"/>
  <c r="AJ75" i="2"/>
  <c r="AI75" i="2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U75" i="2"/>
  <c r="S75" i="2"/>
  <c r="R75" i="2"/>
  <c r="Q75" i="2"/>
  <c r="P75" i="2"/>
  <c r="O75" i="2"/>
  <c r="N75" i="2"/>
  <c r="M75" i="2"/>
  <c r="L75" i="2"/>
  <c r="K75" i="2"/>
  <c r="J75" i="2"/>
  <c r="I75" i="2"/>
  <c r="H75" i="2"/>
  <c r="G75" i="2"/>
  <c r="F75" i="2"/>
  <c r="E75" i="2"/>
  <c r="D75" i="2"/>
  <c r="C75" i="2"/>
  <c r="A75" i="2"/>
  <c r="AK74" i="2"/>
  <c r="AJ74" i="2"/>
  <c r="AI74" i="2"/>
  <c r="AH74" i="2"/>
  <c r="AG74" i="2"/>
  <c r="AF74" i="2"/>
  <c r="AE74" i="2"/>
  <c r="AC74" i="2"/>
  <c r="AB74" i="2"/>
  <c r="AA74" i="2"/>
  <c r="Z74" i="2"/>
  <c r="Y74" i="2"/>
  <c r="X74" i="2"/>
  <c r="W74" i="2"/>
  <c r="V74" i="2"/>
  <c r="U74" i="2"/>
  <c r="S74" i="2"/>
  <c r="R74" i="2"/>
  <c r="Q74" i="2"/>
  <c r="P74" i="2"/>
  <c r="O74" i="2"/>
  <c r="N74" i="2"/>
  <c r="M74" i="2"/>
  <c r="L74" i="2"/>
  <c r="K74" i="2"/>
  <c r="J74" i="2"/>
  <c r="I74" i="2"/>
  <c r="H74" i="2"/>
  <c r="G74" i="2"/>
  <c r="F74" i="2"/>
  <c r="E74" i="2"/>
  <c r="D74" i="2"/>
  <c r="C74" i="2"/>
  <c r="A74" i="2"/>
  <c r="AK73" i="2"/>
  <c r="AJ73" i="2"/>
  <c r="AI73" i="2"/>
  <c r="AH73" i="2"/>
  <c r="AG73" i="2"/>
  <c r="AF73" i="2"/>
  <c r="AE73" i="2"/>
  <c r="AC73" i="2"/>
  <c r="AB73" i="2"/>
  <c r="AA73" i="2"/>
  <c r="Z73" i="2"/>
  <c r="Y73" i="2"/>
  <c r="X73" i="2"/>
  <c r="W73" i="2"/>
  <c r="V73" i="2"/>
  <c r="U73" i="2"/>
  <c r="S73" i="2"/>
  <c r="R73" i="2"/>
  <c r="Q73" i="2"/>
  <c r="P73" i="2"/>
  <c r="O73" i="2"/>
  <c r="N73" i="2"/>
  <c r="M73" i="2"/>
  <c r="L73" i="2"/>
  <c r="K73" i="2"/>
  <c r="J73" i="2"/>
  <c r="I73" i="2"/>
  <c r="H73" i="2"/>
  <c r="G73" i="2"/>
  <c r="F73" i="2"/>
  <c r="E73" i="2"/>
  <c r="D73" i="2"/>
  <c r="C73" i="2"/>
  <c r="A73" i="2"/>
  <c r="AL72" i="2"/>
  <c r="AK72" i="2"/>
  <c r="AJ72" i="2"/>
  <c r="AI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S72" i="2"/>
  <c r="R72" i="2"/>
  <c r="Q72" i="2"/>
  <c r="P72" i="2"/>
  <c r="O72" i="2"/>
  <c r="N72" i="2"/>
  <c r="M72" i="2"/>
  <c r="L72" i="2"/>
  <c r="K72" i="2"/>
  <c r="J72" i="2"/>
  <c r="I72" i="2"/>
  <c r="H72" i="2"/>
  <c r="G72" i="2"/>
  <c r="F72" i="2"/>
  <c r="E72" i="2"/>
  <c r="D72" i="2"/>
  <c r="C72" i="2"/>
  <c r="A72" i="2"/>
  <c r="AK71" i="2"/>
  <c r="AJ71" i="2"/>
  <c r="AI71" i="2"/>
  <c r="AH71" i="2"/>
  <c r="AG71" i="2"/>
  <c r="AF71" i="2"/>
  <c r="AE71" i="2"/>
  <c r="AD71" i="2"/>
  <c r="AC71" i="2"/>
  <c r="AB71" i="2"/>
  <c r="AA71" i="2"/>
  <c r="Y71" i="2"/>
  <c r="X71" i="2"/>
  <c r="W71" i="2"/>
  <c r="V71" i="2"/>
  <c r="U71" i="2"/>
  <c r="S71" i="2"/>
  <c r="R71" i="2"/>
  <c r="Q71" i="2"/>
  <c r="P71" i="2"/>
  <c r="O71" i="2"/>
  <c r="N71" i="2"/>
  <c r="M71" i="2"/>
  <c r="L71" i="2"/>
  <c r="K71" i="2"/>
  <c r="J71" i="2"/>
  <c r="I71" i="2"/>
  <c r="H71" i="2"/>
  <c r="G71" i="2"/>
  <c r="F71" i="2"/>
  <c r="E71" i="2"/>
  <c r="D71" i="2"/>
  <c r="C71" i="2"/>
  <c r="B71" i="2"/>
  <c r="A71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B70" i="2"/>
  <c r="A70" i="2"/>
  <c r="AK69" i="2"/>
  <c r="AJ69" i="2"/>
  <c r="AI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S69" i="2"/>
  <c r="R69" i="2"/>
  <c r="Q69" i="2"/>
  <c r="P69" i="2"/>
  <c r="O69" i="2"/>
  <c r="N69" i="2"/>
  <c r="M69" i="2"/>
  <c r="L69" i="2"/>
  <c r="K69" i="2"/>
  <c r="J69" i="2"/>
  <c r="I69" i="2"/>
  <c r="H69" i="2"/>
  <c r="G69" i="2"/>
  <c r="F69" i="2"/>
  <c r="E69" i="2"/>
  <c r="D69" i="2"/>
  <c r="C69" i="2"/>
  <c r="A69" i="2"/>
  <c r="AK68" i="2"/>
  <c r="AJ68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S68" i="2"/>
  <c r="R68" i="2"/>
  <c r="Q68" i="2"/>
  <c r="P68" i="2"/>
  <c r="O68" i="2"/>
  <c r="N68" i="2"/>
  <c r="M68" i="2"/>
  <c r="L68" i="2"/>
  <c r="K68" i="2"/>
  <c r="J68" i="2"/>
  <c r="I68" i="2"/>
  <c r="H68" i="2"/>
  <c r="G68" i="2"/>
  <c r="F68" i="2"/>
  <c r="E68" i="2"/>
  <c r="D68" i="2"/>
  <c r="C68" i="2"/>
  <c r="A68" i="2"/>
  <c r="AL67" i="2"/>
  <c r="AK67" i="2"/>
  <c r="AJ67" i="2"/>
  <c r="AI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S67" i="2"/>
  <c r="R67" i="2"/>
  <c r="Q67" i="2"/>
  <c r="P67" i="2"/>
  <c r="O67" i="2"/>
  <c r="N67" i="2"/>
  <c r="M67" i="2"/>
  <c r="L67" i="2"/>
  <c r="K67" i="2"/>
  <c r="J67" i="2"/>
  <c r="I67" i="2"/>
  <c r="H67" i="2"/>
  <c r="G67" i="2"/>
  <c r="F67" i="2"/>
  <c r="E67" i="2"/>
  <c r="D67" i="2"/>
  <c r="C67" i="2"/>
  <c r="A67" i="2"/>
  <c r="AL66" i="2"/>
  <c r="AK66" i="2"/>
  <c r="AJ66" i="2"/>
  <c r="AI66" i="2"/>
  <c r="AH66" i="2"/>
  <c r="AG66" i="2"/>
  <c r="AF66" i="2"/>
  <c r="AE66" i="2"/>
  <c r="AD66" i="2"/>
  <c r="AC66" i="2"/>
  <c r="AB66" i="2"/>
  <c r="AA66" i="2"/>
  <c r="Z66" i="2"/>
  <c r="Y66" i="2"/>
  <c r="X66" i="2"/>
  <c r="W66" i="2"/>
  <c r="V66" i="2"/>
  <c r="U66" i="2"/>
  <c r="S66" i="2"/>
  <c r="R66" i="2"/>
  <c r="Q66" i="2"/>
  <c r="P66" i="2"/>
  <c r="O66" i="2"/>
  <c r="N66" i="2"/>
  <c r="M66" i="2"/>
  <c r="L66" i="2"/>
  <c r="K66" i="2"/>
  <c r="J66" i="2"/>
  <c r="I66" i="2"/>
  <c r="H66" i="2"/>
  <c r="G66" i="2"/>
  <c r="F66" i="2"/>
  <c r="E66" i="2"/>
  <c r="D66" i="2"/>
  <c r="C66" i="2"/>
  <c r="B66" i="2"/>
  <c r="A66" i="2"/>
  <c r="AL65" i="2"/>
  <c r="AK65" i="2"/>
  <c r="AJ65" i="2"/>
  <c r="AI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S65" i="2"/>
  <c r="R65" i="2"/>
  <c r="Q65" i="2"/>
  <c r="P65" i="2"/>
  <c r="O65" i="2"/>
  <c r="N65" i="2"/>
  <c r="M65" i="2"/>
  <c r="L65" i="2"/>
  <c r="K65" i="2"/>
  <c r="J65" i="2"/>
  <c r="I65" i="2"/>
  <c r="H65" i="2"/>
  <c r="G65" i="2"/>
  <c r="F65" i="2"/>
  <c r="E65" i="2"/>
  <c r="D65" i="2"/>
  <c r="C65" i="2"/>
  <c r="A65" i="2"/>
  <c r="AL64" i="2"/>
  <c r="AK64" i="2"/>
  <c r="AJ64" i="2"/>
  <c r="AI64" i="2"/>
  <c r="AH64" i="2"/>
  <c r="AG64" i="2"/>
  <c r="AF64" i="2"/>
  <c r="AE64" i="2"/>
  <c r="AD64" i="2"/>
  <c r="AC64" i="2"/>
  <c r="AB64" i="2"/>
  <c r="AA64" i="2"/>
  <c r="Y64" i="2"/>
  <c r="X64" i="2"/>
  <c r="W64" i="2"/>
  <c r="V64" i="2"/>
  <c r="U64" i="2"/>
  <c r="S64" i="2"/>
  <c r="R64" i="2"/>
  <c r="Q64" i="2"/>
  <c r="P64" i="2"/>
  <c r="O64" i="2"/>
  <c r="N64" i="2"/>
  <c r="M64" i="2"/>
  <c r="L64" i="2"/>
  <c r="K64" i="2"/>
  <c r="J64" i="2"/>
  <c r="I64" i="2"/>
  <c r="H64" i="2"/>
  <c r="G64" i="2"/>
  <c r="F64" i="2"/>
  <c r="E64" i="2"/>
  <c r="D64" i="2"/>
  <c r="C64" i="2"/>
  <c r="A64" i="2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63" i="2"/>
  <c r="AL62" i="2"/>
  <c r="AK62" i="2"/>
  <c r="AJ62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F62" i="2"/>
  <c r="E62" i="2"/>
  <c r="D62" i="2"/>
  <c r="C62" i="2"/>
  <c r="B62" i="2"/>
  <c r="A62" i="2"/>
  <c r="AL61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A61" i="2"/>
  <c r="AL60" i="2"/>
  <c r="AK60" i="2"/>
  <c r="AJ60" i="2"/>
  <c r="AI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U60" i="2"/>
  <c r="S60" i="2"/>
  <c r="R60" i="2"/>
  <c r="Q60" i="2"/>
  <c r="P60" i="2"/>
  <c r="O60" i="2"/>
  <c r="N60" i="2"/>
  <c r="M60" i="2"/>
  <c r="L60" i="2"/>
  <c r="K60" i="2"/>
  <c r="J60" i="2"/>
  <c r="I60" i="2"/>
  <c r="H60" i="2"/>
  <c r="G60" i="2"/>
  <c r="F60" i="2"/>
  <c r="E60" i="2"/>
  <c r="D60" i="2"/>
  <c r="C60" i="2"/>
  <c r="B60" i="2"/>
  <c r="A60" i="2"/>
  <c r="AL59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D59" i="2"/>
  <c r="C59" i="2"/>
  <c r="B59" i="2"/>
  <c r="A59" i="2"/>
  <c r="AL58" i="2"/>
  <c r="AK58" i="2"/>
  <c r="AJ58" i="2"/>
  <c r="AI58" i="2"/>
  <c r="AH58" i="2"/>
  <c r="AG58" i="2"/>
  <c r="AF58" i="2"/>
  <c r="AE58" i="2"/>
  <c r="AD58" i="2"/>
  <c r="AC58" i="2"/>
  <c r="AB58" i="2"/>
  <c r="AA58" i="2"/>
  <c r="Y58" i="2"/>
  <c r="X58" i="2"/>
  <c r="W58" i="2"/>
  <c r="V58" i="2"/>
  <c r="U58" i="2"/>
  <c r="S58" i="2"/>
  <c r="R58" i="2"/>
  <c r="Q58" i="2"/>
  <c r="P58" i="2"/>
  <c r="O58" i="2"/>
  <c r="N58" i="2"/>
  <c r="M58" i="2"/>
  <c r="L58" i="2"/>
  <c r="K58" i="2"/>
  <c r="J58" i="2"/>
  <c r="I58" i="2"/>
  <c r="H58" i="2"/>
  <c r="G58" i="2"/>
  <c r="F58" i="2"/>
  <c r="E58" i="2"/>
  <c r="D58" i="2"/>
  <c r="C58" i="2"/>
  <c r="A58" i="2"/>
  <c r="AK57" i="2"/>
  <c r="AJ57" i="2"/>
  <c r="AI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S57" i="2"/>
  <c r="R57" i="2"/>
  <c r="Q57" i="2"/>
  <c r="P57" i="2"/>
  <c r="O57" i="2"/>
  <c r="N57" i="2"/>
  <c r="M57" i="2"/>
  <c r="L57" i="2"/>
  <c r="K57" i="2"/>
  <c r="J57" i="2"/>
  <c r="I57" i="2"/>
  <c r="H57" i="2"/>
  <c r="G57" i="2"/>
  <c r="F57" i="2"/>
  <c r="E57" i="2"/>
  <c r="D57" i="2"/>
  <c r="C57" i="2"/>
  <c r="A57" i="2"/>
  <c r="AL56" i="2"/>
  <c r="AK56" i="2"/>
  <c r="AJ56" i="2"/>
  <c r="AI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S56" i="2"/>
  <c r="R56" i="2"/>
  <c r="Q56" i="2"/>
  <c r="P56" i="2"/>
  <c r="O56" i="2"/>
  <c r="N56" i="2"/>
  <c r="M56" i="2"/>
  <c r="L56" i="2"/>
  <c r="K56" i="2"/>
  <c r="J56" i="2"/>
  <c r="I56" i="2"/>
  <c r="H56" i="2"/>
  <c r="G56" i="2"/>
  <c r="F56" i="2"/>
  <c r="E56" i="2"/>
  <c r="D56" i="2"/>
  <c r="C56" i="2"/>
  <c r="B56" i="2"/>
  <c r="A56" i="2"/>
  <c r="AL55" i="2"/>
  <c r="AK55" i="2"/>
  <c r="AJ55" i="2"/>
  <c r="AI55" i="2"/>
  <c r="AG55" i="2"/>
  <c r="AF55" i="2"/>
  <c r="AE55" i="2"/>
  <c r="AC55" i="2"/>
  <c r="AB55" i="2"/>
  <c r="AA55" i="2"/>
  <c r="X55" i="2"/>
  <c r="W55" i="2"/>
  <c r="V55" i="2"/>
  <c r="U55" i="2"/>
  <c r="R55" i="2"/>
  <c r="Q55" i="2"/>
  <c r="P55" i="2"/>
  <c r="O55" i="2"/>
  <c r="N55" i="2"/>
  <c r="M55" i="2"/>
  <c r="L55" i="2"/>
  <c r="K55" i="2"/>
  <c r="J55" i="2"/>
  <c r="I55" i="2"/>
  <c r="H55" i="2"/>
  <c r="G55" i="2"/>
  <c r="F55" i="2"/>
  <c r="E55" i="2"/>
  <c r="D55" i="2"/>
  <c r="C55" i="2"/>
  <c r="B55" i="2"/>
  <c r="A55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S54" i="2"/>
  <c r="R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B54" i="2"/>
  <c r="A54" i="2"/>
  <c r="AK53" i="2"/>
  <c r="AJ53" i="2"/>
  <c r="AI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S53" i="2"/>
  <c r="R53" i="2"/>
  <c r="Q53" i="2"/>
  <c r="P53" i="2"/>
  <c r="O53" i="2"/>
  <c r="N53" i="2"/>
  <c r="M53" i="2"/>
  <c r="L53" i="2"/>
  <c r="K53" i="2"/>
  <c r="J53" i="2"/>
  <c r="I53" i="2"/>
  <c r="H53" i="2"/>
  <c r="G53" i="2"/>
  <c r="F53" i="2"/>
  <c r="E53" i="2"/>
  <c r="D53" i="2"/>
  <c r="C53" i="2"/>
  <c r="A53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S52" i="2"/>
  <c r="R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B52" i="2"/>
  <c r="A52" i="2"/>
  <c r="AL51" i="2"/>
  <c r="AK51" i="2"/>
  <c r="AJ51" i="2"/>
  <c r="AI51" i="2"/>
  <c r="AG51" i="2"/>
  <c r="AF51" i="2"/>
  <c r="AE51" i="2"/>
  <c r="AC51" i="2"/>
  <c r="AB51" i="2"/>
  <c r="AA51" i="2"/>
  <c r="X51" i="2"/>
  <c r="W51" i="2"/>
  <c r="V51" i="2"/>
  <c r="U51" i="2"/>
  <c r="R51" i="2"/>
  <c r="Q51" i="2"/>
  <c r="P51" i="2"/>
  <c r="O51" i="2"/>
  <c r="N51" i="2"/>
  <c r="M51" i="2"/>
  <c r="L51" i="2"/>
  <c r="K51" i="2"/>
  <c r="J51" i="2"/>
  <c r="I51" i="2"/>
  <c r="H51" i="2"/>
  <c r="G51" i="2"/>
  <c r="F51" i="2"/>
  <c r="E51" i="2"/>
  <c r="D51" i="2"/>
  <c r="C51" i="2"/>
  <c r="B51" i="2"/>
  <c r="A51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S50" i="2"/>
  <c r="R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A50" i="2"/>
  <c r="AL49" i="2"/>
  <c r="AK49" i="2"/>
  <c r="AJ49" i="2"/>
  <c r="AI49" i="2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S49" i="2"/>
  <c r="R49" i="2"/>
  <c r="Q49" i="2"/>
  <c r="P49" i="2"/>
  <c r="O49" i="2"/>
  <c r="N49" i="2"/>
  <c r="M49" i="2"/>
  <c r="L49" i="2"/>
  <c r="K49" i="2"/>
  <c r="J49" i="2"/>
  <c r="I49" i="2"/>
  <c r="H49" i="2"/>
  <c r="G49" i="2"/>
  <c r="F49" i="2"/>
  <c r="E49" i="2"/>
  <c r="D49" i="2"/>
  <c r="C49" i="2"/>
  <c r="A49" i="2"/>
  <c r="AK48" i="2"/>
  <c r="AJ48" i="2"/>
  <c r="AI48" i="2"/>
  <c r="AH48" i="2"/>
  <c r="AG48" i="2"/>
  <c r="AF48" i="2"/>
  <c r="AE48" i="2"/>
  <c r="AC48" i="2"/>
  <c r="AB48" i="2"/>
  <c r="AA48" i="2"/>
  <c r="Z48" i="2"/>
  <c r="Y48" i="2"/>
  <c r="X48" i="2"/>
  <c r="W48" i="2"/>
  <c r="V48" i="2"/>
  <c r="U48" i="2"/>
  <c r="S48" i="2"/>
  <c r="R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A48" i="2"/>
  <c r="AL47" i="2"/>
  <c r="AK47" i="2"/>
  <c r="AJ47" i="2"/>
  <c r="AI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S47" i="2"/>
  <c r="R47" i="2"/>
  <c r="Q47" i="2"/>
  <c r="P47" i="2"/>
  <c r="O47" i="2"/>
  <c r="N47" i="2"/>
  <c r="M47" i="2"/>
  <c r="L47" i="2"/>
  <c r="K47" i="2"/>
  <c r="J47" i="2"/>
  <c r="I47" i="2"/>
  <c r="H47" i="2"/>
  <c r="G47" i="2"/>
  <c r="F47" i="2"/>
  <c r="E47" i="2"/>
  <c r="D47" i="2"/>
  <c r="C47" i="2"/>
  <c r="B47" i="2"/>
  <c r="A47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S46" i="2"/>
  <c r="R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B46" i="2"/>
  <c r="A46" i="2"/>
  <c r="AL45" i="2"/>
  <c r="AK45" i="2"/>
  <c r="AJ45" i="2"/>
  <c r="AI45" i="2"/>
  <c r="AH45" i="2"/>
  <c r="AG45" i="2"/>
  <c r="AF45" i="2"/>
  <c r="AE45" i="2"/>
  <c r="AC45" i="2"/>
  <c r="AB45" i="2"/>
  <c r="AA45" i="2"/>
  <c r="Z45" i="2"/>
  <c r="Y45" i="2"/>
  <c r="X45" i="2"/>
  <c r="W45" i="2"/>
  <c r="V45" i="2"/>
  <c r="U45" i="2"/>
  <c r="S45" i="2"/>
  <c r="R45" i="2"/>
  <c r="Q45" i="2"/>
  <c r="P45" i="2"/>
  <c r="O45" i="2"/>
  <c r="N45" i="2"/>
  <c r="M45" i="2"/>
  <c r="L45" i="2"/>
  <c r="K45" i="2"/>
  <c r="J45" i="2"/>
  <c r="I45" i="2"/>
  <c r="H45" i="2"/>
  <c r="G45" i="2"/>
  <c r="F45" i="2"/>
  <c r="E45" i="2"/>
  <c r="D45" i="2"/>
  <c r="C45" i="2"/>
  <c r="A45" i="2"/>
  <c r="AL44" i="2"/>
  <c r="AK44" i="2"/>
  <c r="AJ44" i="2"/>
  <c r="AI44" i="2"/>
  <c r="AH44" i="2"/>
  <c r="AG44" i="2"/>
  <c r="AF44" i="2"/>
  <c r="AE44" i="2"/>
  <c r="AC44" i="2"/>
  <c r="AB44" i="2"/>
  <c r="AA44" i="2"/>
  <c r="Z44" i="2"/>
  <c r="Y44" i="2"/>
  <c r="X44" i="2"/>
  <c r="W44" i="2"/>
  <c r="V44" i="2"/>
  <c r="U44" i="2"/>
  <c r="S44" i="2"/>
  <c r="R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A44" i="2"/>
  <c r="AL43" i="2"/>
  <c r="AK43" i="2"/>
  <c r="AJ43" i="2"/>
  <c r="AI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S43" i="2"/>
  <c r="R43" i="2"/>
  <c r="Q43" i="2"/>
  <c r="P43" i="2"/>
  <c r="O43" i="2"/>
  <c r="N43" i="2"/>
  <c r="M43" i="2"/>
  <c r="L43" i="2"/>
  <c r="K43" i="2"/>
  <c r="J43" i="2"/>
  <c r="I43" i="2"/>
  <c r="H43" i="2"/>
  <c r="G43" i="2"/>
  <c r="F43" i="2"/>
  <c r="E43" i="2"/>
  <c r="D43" i="2"/>
  <c r="C43" i="2"/>
  <c r="A43" i="2"/>
  <c r="AL42" i="2"/>
  <c r="AK42" i="2"/>
  <c r="AJ42" i="2"/>
  <c r="AI42" i="2"/>
  <c r="AG42" i="2"/>
  <c r="AF42" i="2"/>
  <c r="AE42" i="2"/>
  <c r="AC42" i="2"/>
  <c r="AB42" i="2"/>
  <c r="AA42" i="2"/>
  <c r="X42" i="2"/>
  <c r="W42" i="2"/>
  <c r="V42" i="2"/>
  <c r="U42" i="2"/>
  <c r="R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B42" i="2"/>
  <c r="A42" i="2"/>
  <c r="AL41" i="2"/>
  <c r="AK41" i="2"/>
  <c r="AJ41" i="2"/>
  <c r="AI41" i="2"/>
  <c r="AH41" i="2"/>
  <c r="AG41" i="2"/>
  <c r="AF41" i="2"/>
  <c r="AE41" i="2"/>
  <c r="AC41" i="2"/>
  <c r="AB41" i="2"/>
  <c r="AA41" i="2"/>
  <c r="Z41" i="2"/>
  <c r="Y41" i="2"/>
  <c r="X41" i="2"/>
  <c r="W41" i="2"/>
  <c r="V41" i="2"/>
  <c r="U41" i="2"/>
  <c r="S41" i="2"/>
  <c r="R41" i="2"/>
  <c r="Q41" i="2"/>
  <c r="P41" i="2"/>
  <c r="O41" i="2"/>
  <c r="N41" i="2"/>
  <c r="M41" i="2"/>
  <c r="L41" i="2"/>
  <c r="K41" i="2"/>
  <c r="J41" i="2"/>
  <c r="I41" i="2"/>
  <c r="H41" i="2"/>
  <c r="G41" i="2"/>
  <c r="F41" i="2"/>
  <c r="E41" i="2"/>
  <c r="D41" i="2"/>
  <c r="C41" i="2"/>
  <c r="B41" i="2"/>
  <c r="A41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S40" i="2"/>
  <c r="R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B40" i="2"/>
  <c r="A40" i="2"/>
  <c r="AL3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39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U38" i="2"/>
  <c r="S38" i="2"/>
  <c r="R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A38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37" i="2"/>
  <c r="AL36" i="2"/>
  <c r="AK36" i="2"/>
  <c r="AJ36" i="2"/>
  <c r="AI36" i="2"/>
  <c r="AG36" i="2"/>
  <c r="AF36" i="2"/>
  <c r="AE36" i="2"/>
  <c r="AC36" i="2"/>
  <c r="AB36" i="2"/>
  <c r="AA36" i="2"/>
  <c r="X36" i="2"/>
  <c r="W36" i="2"/>
  <c r="V36" i="2"/>
  <c r="U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B36" i="2"/>
  <c r="A36" i="2"/>
  <c r="AK35" i="2"/>
  <c r="AJ35" i="2"/>
  <c r="AI35" i="2"/>
  <c r="AH35" i="2"/>
  <c r="AG35" i="2"/>
  <c r="AF35" i="2"/>
  <c r="AE35" i="2"/>
  <c r="AC35" i="2"/>
  <c r="AB35" i="2"/>
  <c r="AA35" i="2"/>
  <c r="Z35" i="2"/>
  <c r="Y35" i="2"/>
  <c r="X35" i="2"/>
  <c r="W35" i="2"/>
  <c r="V35" i="2"/>
  <c r="U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A35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34" i="2"/>
  <c r="AL33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D33" i="2"/>
  <c r="C33" i="2"/>
  <c r="A33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A32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A31" i="2"/>
  <c r="AL30" i="2"/>
  <c r="AK30" i="2"/>
  <c r="AJ30" i="2"/>
  <c r="AI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U30" i="2"/>
  <c r="S30" i="2"/>
  <c r="R30" i="2"/>
  <c r="Q30" i="2"/>
  <c r="P30" i="2"/>
  <c r="O30" i="2"/>
  <c r="N30" i="2"/>
  <c r="M30" i="2"/>
  <c r="L30" i="2"/>
  <c r="K30" i="2"/>
  <c r="J30" i="2"/>
  <c r="I30" i="2"/>
  <c r="H30" i="2"/>
  <c r="G30" i="2"/>
  <c r="F30" i="2"/>
  <c r="E30" i="2"/>
  <c r="D30" i="2"/>
  <c r="C30" i="2"/>
  <c r="B30" i="2"/>
  <c r="A30" i="2"/>
  <c r="AL29" i="2"/>
  <c r="AK29" i="2"/>
  <c r="AJ29" i="2"/>
  <c r="AI29" i="2"/>
  <c r="AH29" i="2"/>
  <c r="AG29" i="2"/>
  <c r="AF29" i="2"/>
  <c r="AE29" i="2"/>
  <c r="AC29" i="2"/>
  <c r="AB29" i="2"/>
  <c r="AA29" i="2"/>
  <c r="Z29" i="2"/>
  <c r="Y29" i="2"/>
  <c r="X29" i="2"/>
  <c r="W29" i="2"/>
  <c r="V29" i="2"/>
  <c r="U29" i="2"/>
  <c r="S29" i="2"/>
  <c r="R29" i="2"/>
  <c r="Q29" i="2"/>
  <c r="P29" i="2"/>
  <c r="O29" i="2"/>
  <c r="N29" i="2"/>
  <c r="M29" i="2"/>
  <c r="L29" i="2"/>
  <c r="K29" i="2"/>
  <c r="J29" i="2"/>
  <c r="I29" i="2"/>
  <c r="H29" i="2"/>
  <c r="G29" i="2"/>
  <c r="F29" i="2"/>
  <c r="E29" i="2"/>
  <c r="D29" i="2"/>
  <c r="C29" i="2"/>
  <c r="A29" i="2"/>
  <c r="AK28" i="2"/>
  <c r="AJ28" i="2"/>
  <c r="AI28" i="2"/>
  <c r="AH28" i="2"/>
  <c r="AG28" i="2"/>
  <c r="AF28" i="2"/>
  <c r="AE28" i="2"/>
  <c r="AC28" i="2"/>
  <c r="AB28" i="2"/>
  <c r="AA28" i="2"/>
  <c r="Z28" i="2"/>
  <c r="Y28" i="2"/>
  <c r="X28" i="2"/>
  <c r="W28" i="2"/>
  <c r="V28" i="2"/>
  <c r="U28" i="2"/>
  <c r="S28" i="2"/>
  <c r="R28" i="2"/>
  <c r="Q28" i="2"/>
  <c r="P28" i="2"/>
  <c r="O28" i="2"/>
  <c r="N28" i="2"/>
  <c r="M28" i="2"/>
  <c r="L28" i="2"/>
  <c r="K28" i="2"/>
  <c r="J28" i="2"/>
  <c r="I28" i="2"/>
  <c r="H28" i="2"/>
  <c r="G28" i="2"/>
  <c r="F28" i="2"/>
  <c r="E28" i="2"/>
  <c r="D28" i="2"/>
  <c r="C28" i="2"/>
  <c r="A28" i="2"/>
  <c r="AK27" i="2"/>
  <c r="AJ27" i="2"/>
  <c r="AI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U27" i="2"/>
  <c r="S27" i="2"/>
  <c r="R27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A27" i="2"/>
  <c r="AL26" i="2"/>
  <c r="AK26" i="2"/>
  <c r="AJ26" i="2"/>
  <c r="AI26" i="2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S26" i="2"/>
  <c r="R26" i="2"/>
  <c r="Q26" i="2"/>
  <c r="P26" i="2"/>
  <c r="O26" i="2"/>
  <c r="N26" i="2"/>
  <c r="M26" i="2"/>
  <c r="L26" i="2"/>
  <c r="K26" i="2"/>
  <c r="J26" i="2"/>
  <c r="I26" i="2"/>
  <c r="H26" i="2"/>
  <c r="G26" i="2"/>
  <c r="F26" i="2"/>
  <c r="E26" i="2"/>
  <c r="D26" i="2"/>
  <c r="C26" i="2"/>
  <c r="B26" i="2"/>
  <c r="A26" i="2"/>
  <c r="AL25" i="2"/>
  <c r="AK25" i="2"/>
  <c r="AJ25" i="2"/>
  <c r="AI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S25" i="2"/>
  <c r="R25" i="2"/>
  <c r="Q25" i="2"/>
  <c r="P25" i="2"/>
  <c r="O25" i="2"/>
  <c r="N25" i="2"/>
  <c r="M25" i="2"/>
  <c r="L25" i="2"/>
  <c r="K25" i="2"/>
  <c r="J25" i="2"/>
  <c r="I25" i="2"/>
  <c r="H25" i="2"/>
  <c r="G25" i="2"/>
  <c r="F25" i="2"/>
  <c r="E25" i="2"/>
  <c r="D25" i="2"/>
  <c r="C25" i="2"/>
  <c r="A25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B24" i="2"/>
  <c r="A24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B23" i="2"/>
  <c r="A23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B22" i="2"/>
  <c r="A22" i="2"/>
  <c r="AK21" i="2"/>
  <c r="AJ21" i="2"/>
  <c r="AI21" i="2"/>
  <c r="AH21" i="2"/>
  <c r="AG21" i="2"/>
  <c r="AF21" i="2"/>
  <c r="AE21" i="2"/>
  <c r="AC21" i="2"/>
  <c r="AB21" i="2"/>
  <c r="AA21" i="2"/>
  <c r="Z21" i="2"/>
  <c r="Y21" i="2"/>
  <c r="X21" i="2"/>
  <c r="W21" i="2"/>
  <c r="V21" i="2"/>
  <c r="U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A21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A20" i="2"/>
  <c r="AK19" i="2"/>
  <c r="AJ19" i="2"/>
  <c r="AI19" i="2"/>
  <c r="AH19" i="2"/>
  <c r="AG19" i="2"/>
  <c r="AF19" i="2"/>
  <c r="AE19" i="2"/>
  <c r="AC19" i="2"/>
  <c r="AB19" i="2"/>
  <c r="AA19" i="2"/>
  <c r="Z19" i="2"/>
  <c r="Y19" i="2"/>
  <c r="X19" i="2"/>
  <c r="W19" i="2"/>
  <c r="V19" i="2"/>
  <c r="U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A19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B18" i="2"/>
  <c r="A18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A17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B16" i="2"/>
  <c r="A16" i="2"/>
  <c r="AK15" i="2"/>
  <c r="AJ15" i="2"/>
  <c r="AI15" i="2"/>
  <c r="AG15" i="2"/>
  <c r="AF15" i="2"/>
  <c r="AE15" i="2"/>
  <c r="AC15" i="2"/>
  <c r="AB15" i="2"/>
  <c r="AA15" i="2"/>
  <c r="X15" i="2"/>
  <c r="W15" i="2"/>
  <c r="V15" i="2"/>
  <c r="U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B15" i="2"/>
  <c r="A15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A14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A13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12" i="2"/>
  <c r="A12" i="2"/>
  <c r="AK11" i="2"/>
  <c r="AJ11" i="2"/>
  <c r="AI11" i="2"/>
  <c r="AG11" i="2"/>
  <c r="AF11" i="2"/>
  <c r="AE11" i="2"/>
  <c r="AC11" i="2"/>
  <c r="AB11" i="2"/>
  <c r="AA11" i="2"/>
  <c r="X11" i="2"/>
  <c r="W11" i="2"/>
  <c r="V11" i="2"/>
  <c r="U11" i="2"/>
  <c r="R11" i="2"/>
  <c r="Q11" i="2"/>
  <c r="P11" i="2"/>
  <c r="O11" i="2"/>
  <c r="N11" i="2"/>
  <c r="M11" i="2"/>
  <c r="L11" i="2"/>
  <c r="K11" i="2"/>
  <c r="J11" i="2"/>
  <c r="I11" i="2"/>
  <c r="H11" i="2"/>
  <c r="G11" i="2"/>
  <c r="F11" i="2"/>
  <c r="E11" i="2"/>
  <c r="D11" i="2"/>
  <c r="C11" i="2"/>
  <c r="B11" i="2"/>
  <c r="A11" i="2"/>
  <c r="AL10" i="2"/>
  <c r="AK10" i="2"/>
  <c r="AJ10" i="2"/>
  <c r="AI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U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C10" i="2"/>
  <c r="A10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S9" i="2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B9" i="2"/>
  <c r="A9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S8" i="2"/>
  <c r="R8" i="2"/>
  <c r="Q8" i="2"/>
  <c r="P8" i="2"/>
  <c r="O8" i="2"/>
  <c r="N8" i="2"/>
  <c r="M8" i="2"/>
  <c r="L8" i="2"/>
  <c r="K8" i="2"/>
  <c r="J8" i="2"/>
  <c r="I8" i="2"/>
  <c r="H8" i="2"/>
  <c r="G8" i="2"/>
  <c r="F8" i="2"/>
  <c r="E8" i="2"/>
  <c r="D8" i="2"/>
  <c r="C8" i="2"/>
  <c r="B8" i="2"/>
  <c r="A8" i="2"/>
  <c r="AL7" i="2"/>
  <c r="AK7" i="2"/>
  <c r="AJ7" i="2"/>
  <c r="AI7" i="2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S7" i="2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D7" i="2"/>
  <c r="C7" i="2"/>
  <c r="B7" i="2"/>
  <c r="A7" i="2"/>
  <c r="AL6" i="2"/>
  <c r="AK6" i="2"/>
  <c r="AJ6" i="2"/>
  <c r="AI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S6" i="2"/>
  <c r="R6" i="2"/>
  <c r="Q6" i="2"/>
  <c r="P6" i="2"/>
  <c r="O6" i="2"/>
  <c r="N6" i="2"/>
  <c r="M6" i="2"/>
  <c r="L6" i="2"/>
  <c r="K6" i="2"/>
  <c r="J6" i="2"/>
  <c r="I6" i="2"/>
  <c r="H6" i="2"/>
  <c r="G6" i="2"/>
  <c r="F6" i="2"/>
  <c r="E6" i="2"/>
  <c r="D6" i="2"/>
  <c r="C6" i="2"/>
  <c r="B6" i="2"/>
  <c r="A6" i="2"/>
  <c r="AK5" i="2"/>
  <c r="AJ5" i="2"/>
  <c r="AI5" i="2"/>
  <c r="AH5" i="2"/>
  <c r="AG5" i="2"/>
  <c r="AF5" i="2"/>
  <c r="AE5" i="2"/>
  <c r="AC5" i="2"/>
  <c r="AB5" i="2"/>
  <c r="AA5" i="2"/>
  <c r="Z5" i="2"/>
  <c r="Y5" i="2"/>
  <c r="X5" i="2"/>
  <c r="W5" i="2"/>
  <c r="V5" i="2"/>
  <c r="U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C5" i="2"/>
  <c r="A5" i="2"/>
  <c r="AK4" i="2"/>
  <c r="AJ4" i="2"/>
  <c r="AI4" i="2"/>
  <c r="AH4" i="2"/>
  <c r="AG4" i="2"/>
  <c r="AF4" i="2"/>
  <c r="AE4" i="2"/>
  <c r="AD4" i="2"/>
  <c r="AC4" i="2"/>
  <c r="AB4" i="2"/>
  <c r="AA4" i="2"/>
  <c r="Z4" i="2"/>
  <c r="Y4" i="2"/>
  <c r="X4" i="2"/>
  <c r="W4" i="2"/>
  <c r="V4" i="2"/>
  <c r="U4" i="2"/>
  <c r="S4" i="2"/>
  <c r="R4" i="2"/>
  <c r="Q4" i="2"/>
  <c r="P4" i="2"/>
  <c r="O4" i="2"/>
  <c r="N4" i="2"/>
  <c r="M4" i="2"/>
  <c r="L4" i="2"/>
  <c r="K4" i="2"/>
  <c r="J4" i="2"/>
  <c r="I4" i="2"/>
  <c r="H4" i="2"/>
  <c r="G4" i="2"/>
  <c r="F4" i="2"/>
  <c r="E4" i="2"/>
  <c r="D4" i="2"/>
  <c r="C4" i="2"/>
  <c r="B4" i="2"/>
  <c r="A4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S3" i="2"/>
  <c r="R3" i="2"/>
  <c r="Q3" i="2"/>
  <c r="P3" i="2"/>
  <c r="O3" i="2"/>
  <c r="N3" i="2"/>
  <c r="M3" i="2"/>
  <c r="L3" i="2"/>
  <c r="K3" i="2"/>
  <c r="J3" i="2"/>
  <c r="I3" i="2"/>
  <c r="H3" i="2"/>
  <c r="G3" i="2"/>
  <c r="F3" i="2"/>
  <c r="E3" i="2"/>
  <c r="D3" i="2"/>
  <c r="C3" i="2"/>
  <c r="A3" i="2"/>
  <c r="AL2" i="2"/>
  <c r="AK2" i="2"/>
  <c r="AJ2" i="2"/>
  <c r="AI2" i="2"/>
  <c r="AG2" i="2"/>
  <c r="AF2" i="2"/>
  <c r="AE2" i="2"/>
  <c r="AC2" i="2"/>
  <c r="AB2" i="2"/>
  <c r="AA2" i="2"/>
  <c r="X2" i="2"/>
  <c r="W2" i="2"/>
  <c r="V2" i="2"/>
  <c r="U2" i="2"/>
  <c r="R2" i="2"/>
  <c r="Q2" i="2"/>
  <c r="P2" i="2"/>
  <c r="O2" i="2"/>
  <c r="N2" i="2"/>
  <c r="M2" i="2"/>
  <c r="L2" i="2"/>
  <c r="K2" i="2"/>
  <c r="J2" i="2"/>
  <c r="I2" i="2"/>
  <c r="H2" i="2"/>
  <c r="G2" i="2"/>
  <c r="F2" i="2"/>
  <c r="E2" i="2"/>
  <c r="D2" i="2"/>
  <c r="C2" i="2"/>
  <c r="B2" i="2"/>
  <c r="A2" i="2"/>
  <c r="AL1" i="2"/>
  <c r="AK1" i="2"/>
  <c r="AJ1" i="2"/>
  <c r="AI1" i="2"/>
  <c r="AH1" i="2"/>
  <c r="AG1" i="2"/>
  <c r="AF1" i="2"/>
  <c r="AE1" i="2"/>
  <c r="AD1" i="2"/>
  <c r="AC1" i="2"/>
  <c r="AB1" i="2"/>
  <c r="AA1" i="2"/>
  <c r="Z1" i="2"/>
  <c r="Y1" i="2"/>
  <c r="X1" i="2"/>
  <c r="W1" i="2"/>
  <c r="V1" i="2"/>
  <c r="U1" i="2"/>
  <c r="T1" i="2"/>
  <c r="S1" i="2"/>
  <c r="R1" i="2"/>
  <c r="Q1" i="2"/>
  <c r="P1" i="2"/>
  <c r="O1" i="2"/>
  <c r="N1" i="2"/>
  <c r="M1" i="2"/>
  <c r="L1" i="2"/>
  <c r="K1" i="2"/>
  <c r="J1" i="2"/>
  <c r="I1" i="2"/>
  <c r="H1" i="2"/>
  <c r="G1" i="2"/>
  <c r="F1" i="2"/>
  <c r="E1" i="2"/>
  <c r="D1" i="2"/>
  <c r="C1" i="2"/>
  <c r="B1" i="2"/>
  <c r="A1" i="2"/>
  <c r="V1205" i="1"/>
  <c r="AM2" i="1"/>
  <c r="B2" i="5" l="1"/>
  <c r="D2" i="5"/>
  <c r="E2" i="5" s="1"/>
  <c r="E4" i="5" s="1"/>
  <c r="I2" i="4" a="1"/>
  <c r="I965" i="4" s="1"/>
  <c r="Z1202" i="2"/>
  <c r="A3" i="5"/>
  <c r="B9" i="3"/>
  <c r="B22" i="3"/>
  <c r="H2" i="4"/>
  <c r="V1206" i="1"/>
  <c r="V1207" i="1" s="1"/>
  <c r="B25" i="3"/>
  <c r="B23" i="3"/>
  <c r="B24" i="3"/>
  <c r="B10" i="3"/>
  <c r="B11" i="3"/>
  <c r="L52" i="4"/>
  <c r="AA52" i="4" s="1"/>
  <c r="P51" i="4"/>
  <c r="R48" i="4"/>
  <c r="L46" i="4"/>
  <c r="AA46" i="4" s="1"/>
  <c r="P40" i="4"/>
  <c r="Q39" i="4"/>
  <c r="S36" i="4"/>
  <c r="H33" i="4"/>
  <c r="H32" i="4"/>
  <c r="Q28" i="4"/>
  <c r="H26" i="4"/>
  <c r="L21" i="4"/>
  <c r="AA21" i="4" s="1"/>
  <c r="H52" i="4"/>
  <c r="Q48" i="4"/>
  <c r="L40" i="4"/>
  <c r="AA40" i="4" s="1"/>
  <c r="R36" i="4"/>
  <c r="P28" i="4"/>
  <c r="S24" i="4"/>
  <c r="H20" i="4"/>
  <c r="P48" i="4"/>
  <c r="S44" i="4"/>
  <c r="H40" i="4"/>
  <c r="Q36" i="4"/>
  <c r="L28" i="4"/>
  <c r="AA28" i="4" s="1"/>
  <c r="R24" i="4"/>
  <c r="Q53" i="4"/>
  <c r="Q52" i="4"/>
  <c r="R51" i="4"/>
  <c r="S46" i="4"/>
  <c r="L44" i="4"/>
  <c r="AA44" i="4" s="1"/>
  <c r="R40" i="4"/>
  <c r="S39" i="4"/>
  <c r="L38" i="4"/>
  <c r="AA38" i="4" s="1"/>
  <c r="P33" i="4"/>
  <c r="P32" i="4"/>
  <c r="Q31" i="4"/>
  <c r="P55" i="4"/>
  <c r="P53" i="4"/>
  <c r="H45" i="4"/>
  <c r="H38" i="4"/>
  <c r="L33" i="4"/>
  <c r="AA33" i="4" s="1"/>
  <c r="P31" i="4"/>
  <c r="Q24" i="4"/>
  <c r="P21" i="4"/>
  <c r="R44" i="4"/>
  <c r="H42" i="4"/>
  <c r="P37" i="4"/>
  <c r="S32" i="4"/>
  <c r="R30" i="4"/>
  <c r="S26" i="4"/>
  <c r="P24" i="4"/>
  <c r="S52" i="4"/>
  <c r="S48" i="4"/>
  <c r="Q44" i="4"/>
  <c r="S40" i="4"/>
  <c r="L37" i="4"/>
  <c r="AA37" i="4" s="1"/>
  <c r="R32" i="4"/>
  <c r="L30" i="4"/>
  <c r="AA30" i="4" s="1"/>
  <c r="R26" i="4"/>
  <c r="L24" i="4"/>
  <c r="AA24" i="4" s="1"/>
  <c r="R6" i="4"/>
  <c r="R55" i="4"/>
  <c r="S51" i="4"/>
  <c r="Q45" i="4"/>
  <c r="S38" i="4"/>
  <c r="Q35" i="4"/>
  <c r="S31" i="4"/>
  <c r="H28" i="4"/>
  <c r="P20" i="4"/>
  <c r="P19" i="4"/>
  <c r="S28" i="4"/>
  <c r="L25" i="4"/>
  <c r="AA25" i="4" s="1"/>
  <c r="S19" i="4"/>
  <c r="Q6" i="4"/>
  <c r="Q55" i="4"/>
  <c r="P45" i="4"/>
  <c r="P44" i="4"/>
  <c r="Q33" i="4"/>
  <c r="Q32" i="4"/>
  <c r="R31" i="4"/>
  <c r="H30" i="4"/>
  <c r="R28" i="4"/>
  <c r="R19" i="4"/>
  <c r="L17" i="4"/>
  <c r="AA17" i="4" s="1"/>
  <c r="R16" i="4"/>
  <c r="L6" i="4"/>
  <c r="AA6" i="4" s="1"/>
  <c r="R46" i="4"/>
  <c r="H44" i="4"/>
  <c r="R43" i="4"/>
  <c r="L32" i="4"/>
  <c r="AA32" i="4" s="1"/>
  <c r="Q19" i="4"/>
  <c r="H17" i="4"/>
  <c r="S15" i="4"/>
  <c r="H6" i="4"/>
  <c r="L48" i="4"/>
  <c r="AA48" i="4" s="1"/>
  <c r="H48" i="4"/>
  <c r="R52" i="4"/>
  <c r="Q51" i="4"/>
  <c r="R38" i="4"/>
  <c r="H37" i="4"/>
  <c r="L36" i="4"/>
  <c r="AA36" i="4" s="1"/>
  <c r="P35" i="4"/>
  <c r="Q20" i="4"/>
  <c r="H13" i="4"/>
  <c r="Q11" i="4"/>
  <c r="P9" i="4"/>
  <c r="R7" i="4"/>
  <c r="L4" i="4"/>
  <c r="AA4" i="4" s="1"/>
  <c r="P52" i="4"/>
  <c r="Q40" i="4"/>
  <c r="H36" i="4"/>
  <c r="R4" i="4"/>
  <c r="Q25" i="4"/>
  <c r="Q21" i="4"/>
  <c r="S20" i="4"/>
  <c r="P7" i="4"/>
  <c r="Q4" i="4"/>
  <c r="N2" i="4" a="1"/>
  <c r="R20" i="4"/>
  <c r="P11" i="4"/>
  <c r="L26" i="4"/>
  <c r="AA26" i="4" s="1"/>
  <c r="S14" i="4"/>
  <c r="S27" i="4"/>
  <c r="P36" i="4"/>
  <c r="Q5" i="4"/>
  <c r="S12" i="4"/>
  <c r="S13" i="4"/>
  <c r="L9" i="4"/>
  <c r="AA9" i="4" s="1"/>
  <c r="L13" i="4"/>
  <c r="AA13" i="4" s="1"/>
  <c r="R23" i="4"/>
  <c r="H24" i="4"/>
  <c r="Q2" i="4"/>
  <c r="K2" i="4" a="1"/>
  <c r="P15" i="4"/>
  <c r="R39" i="4"/>
  <c r="R2" i="4"/>
  <c r="J2" i="4" a="1"/>
  <c r="L15" i="4"/>
  <c r="AA15" i="4" s="1"/>
  <c r="L20" i="4"/>
  <c r="AA20" i="4" s="1"/>
  <c r="L2" i="4"/>
  <c r="M2" i="4" a="1"/>
  <c r="B12" i="3"/>
  <c r="B18" i="3" a="1"/>
  <c r="B18" i="3" s="1"/>
  <c r="H3" i="4"/>
  <c r="L3" i="4"/>
  <c r="S3" i="4"/>
  <c r="R3" i="4"/>
  <c r="Q3" i="4"/>
  <c r="P3" i="4"/>
  <c r="S8" i="4"/>
  <c r="R8" i="4"/>
  <c r="Q8" i="4"/>
  <c r="P8" i="4"/>
  <c r="L8" i="4"/>
  <c r="AA8" i="4" s="1"/>
  <c r="H8" i="4"/>
  <c r="S43" i="4"/>
  <c r="L47" i="4"/>
  <c r="AA47" i="4" s="1"/>
  <c r="H47" i="4"/>
  <c r="S47" i="4"/>
  <c r="R47" i="4"/>
  <c r="Q47" i="4"/>
  <c r="X24" i="4"/>
  <c r="P47" i="4"/>
  <c r="Q34" i="4"/>
  <c r="P34" i="4"/>
  <c r="R34" i="4"/>
  <c r="L34" i="4"/>
  <c r="AA34" i="4" s="1"/>
  <c r="H34" i="4"/>
  <c r="S34" i="4"/>
  <c r="Q50" i="4"/>
  <c r="P50" i="4"/>
  <c r="H50" i="4"/>
  <c r="S50" i="4"/>
  <c r="R50" i="4"/>
  <c r="L50" i="4"/>
  <c r="AA50" i="4" s="1"/>
  <c r="P4" i="4"/>
  <c r="R5" i="4"/>
  <c r="S5" i="4"/>
  <c r="P5" i="4"/>
  <c r="L5" i="4"/>
  <c r="AA5" i="4" s="1"/>
  <c r="X29" i="4"/>
  <c r="S49" i="4"/>
  <c r="R49" i="4"/>
  <c r="Q49" i="4"/>
  <c r="P49" i="4"/>
  <c r="L49" i="4"/>
  <c r="AA49" i="4" s="1"/>
  <c r="H49" i="4"/>
  <c r="P2" i="4"/>
  <c r="S2" i="4"/>
  <c r="O2" i="4" a="1"/>
  <c r="H5" i="4"/>
  <c r="P10" i="4"/>
  <c r="S10" i="4"/>
  <c r="R10" i="4"/>
  <c r="Q10" i="4"/>
  <c r="L10" i="4"/>
  <c r="AA10" i="4" s="1"/>
  <c r="H10" i="4"/>
  <c r="R12" i="4"/>
  <c r="Q12" i="4"/>
  <c r="P12" i="4"/>
  <c r="L12" i="4"/>
  <c r="AA12" i="4" s="1"/>
  <c r="H12" i="4"/>
  <c r="Q22" i="4"/>
  <c r="P22" i="4"/>
  <c r="S22" i="4"/>
  <c r="R22" i="4"/>
  <c r="L22" i="4"/>
  <c r="AA22" i="4" s="1"/>
  <c r="H22" i="4"/>
  <c r="X41" i="4"/>
  <c r="S16" i="4"/>
  <c r="Q18" i="4"/>
  <c r="P18" i="4"/>
  <c r="S18" i="4"/>
  <c r="R18" i="4"/>
  <c r="L18" i="4"/>
  <c r="AA18" i="4" s="1"/>
  <c r="H18" i="4"/>
  <c r="L23" i="4"/>
  <c r="AA23" i="4" s="1"/>
  <c r="H23" i="4"/>
  <c r="S23" i="4"/>
  <c r="P23" i="4"/>
  <c r="P25" i="4"/>
  <c r="S29" i="4"/>
  <c r="R29" i="4"/>
  <c r="Q29" i="4"/>
  <c r="P29" i="4"/>
  <c r="L29" i="4"/>
  <c r="AA29" i="4" s="1"/>
  <c r="B3" i="5"/>
  <c r="B4" i="5" s="1"/>
  <c r="L3" i="5"/>
  <c r="Q7" i="4"/>
  <c r="R9" i="4"/>
  <c r="S9" i="4"/>
  <c r="Q9" i="4"/>
  <c r="H9" i="4"/>
  <c r="H11" i="4"/>
  <c r="S11" i="4"/>
  <c r="R11" i="4"/>
  <c r="L11" i="4"/>
  <c r="AA11" i="4" s="1"/>
  <c r="Q23" i="4"/>
  <c r="H29" i="4"/>
  <c r="P6" i="4"/>
  <c r="S6" i="4"/>
  <c r="R13" i="4"/>
  <c r="Q13" i="4"/>
  <c r="P13" i="4"/>
  <c r="X14" i="4"/>
  <c r="H15" i="4"/>
  <c r="R15" i="4"/>
  <c r="Q15" i="4"/>
  <c r="S17" i="4"/>
  <c r="R17" i="4"/>
  <c r="Q17" i="4"/>
  <c r="P17" i="4"/>
  <c r="X21" i="4"/>
  <c r="X27" i="4"/>
  <c r="X33" i="4"/>
  <c r="P14" i="4"/>
  <c r="R14" i="4"/>
  <c r="Q14" i="4"/>
  <c r="Q16" i="4"/>
  <c r="P16" i="4"/>
  <c r="Q42" i="4"/>
  <c r="P42" i="4"/>
  <c r="S42" i="4"/>
  <c r="R42" i="4"/>
  <c r="S4" i="4"/>
  <c r="H7" i="4"/>
  <c r="S7" i="4"/>
  <c r="H14" i="4"/>
  <c r="H16" i="4"/>
  <c r="S25" i="4"/>
  <c r="R25" i="4"/>
  <c r="S41" i="4"/>
  <c r="R41" i="4"/>
  <c r="P41" i="4"/>
  <c r="L41" i="4"/>
  <c r="AA41" i="4" s="1"/>
  <c r="H41" i="4"/>
  <c r="L43" i="4"/>
  <c r="AA43" i="4" s="1"/>
  <c r="H43" i="4"/>
  <c r="P43" i="4"/>
  <c r="L45" i="4"/>
  <c r="AA45" i="4" s="1"/>
  <c r="Q54" i="4"/>
  <c r="P54" i="4"/>
  <c r="S54" i="4"/>
  <c r="R54" i="4"/>
  <c r="L54" i="4"/>
  <c r="AA54" i="4" s="1"/>
  <c r="H2" i="5"/>
  <c r="I2" i="5" s="1"/>
  <c r="H3" i="5"/>
  <c r="I3" i="5" s="1"/>
  <c r="H4" i="4"/>
  <c r="L7" i="4"/>
  <c r="AA7" i="4" s="1"/>
  <c r="L14" i="4"/>
  <c r="AA14" i="4" s="1"/>
  <c r="L16" i="4"/>
  <c r="AA16" i="4" s="1"/>
  <c r="H25" i="4"/>
  <c r="X26" i="4"/>
  <c r="L27" i="4"/>
  <c r="AA27" i="4" s="1"/>
  <c r="H27" i="4"/>
  <c r="R27" i="4"/>
  <c r="Q27" i="4"/>
  <c r="P27" i="4"/>
  <c r="L35" i="4"/>
  <c r="AA35" i="4" s="1"/>
  <c r="H35" i="4"/>
  <c r="S35" i="4"/>
  <c r="R35" i="4"/>
  <c r="Q41" i="4"/>
  <c r="L42" i="4"/>
  <c r="AA42" i="4" s="1"/>
  <c r="Q43" i="4"/>
  <c r="H54" i="4"/>
  <c r="K3" i="5"/>
  <c r="K2" i="5"/>
  <c r="Q30" i="4"/>
  <c r="P30" i="4"/>
  <c r="X34" i="4"/>
  <c r="S37" i="4"/>
  <c r="R37" i="4"/>
  <c r="L55" i="4"/>
  <c r="AA55" i="4" s="1"/>
  <c r="H55" i="4"/>
  <c r="X2" i="4"/>
  <c r="X18" i="4"/>
  <c r="Y54" i="4" s="1"/>
  <c r="S21" i="4"/>
  <c r="R21" i="4"/>
  <c r="S30" i="4"/>
  <c r="Q37" i="4"/>
  <c r="L39" i="4"/>
  <c r="AA39" i="4" s="1"/>
  <c r="H39" i="4"/>
  <c r="Q46" i="4"/>
  <c r="P46" i="4"/>
  <c r="X50" i="4"/>
  <c r="S53" i="4"/>
  <c r="R53" i="4"/>
  <c r="S55" i="4"/>
  <c r="F2" i="8" a="1"/>
  <c r="X6" i="4"/>
  <c r="L19" i="4"/>
  <c r="AA19" i="4" s="1"/>
  <c r="H19" i="4"/>
  <c r="H21" i="4"/>
  <c r="Q26" i="4"/>
  <c r="P26" i="4"/>
  <c r="X30" i="4"/>
  <c r="S33" i="4"/>
  <c r="R33" i="4"/>
  <c r="P39" i="4"/>
  <c r="H46" i="4"/>
  <c r="L51" i="4"/>
  <c r="AA51" i="4" s="1"/>
  <c r="H51" i="4"/>
  <c r="H53" i="4"/>
  <c r="L31" i="4"/>
  <c r="AA31" i="4" s="1"/>
  <c r="H31" i="4"/>
  <c r="Q38" i="4"/>
  <c r="P38" i="4"/>
  <c r="X42" i="4"/>
  <c r="Y42" i="4" s="1"/>
  <c r="S45" i="4"/>
  <c r="R45" i="4"/>
  <c r="L53" i="4"/>
  <c r="AA53" i="4" s="1"/>
  <c r="I863" i="4" l="1"/>
  <c r="I708" i="4"/>
  <c r="I157" i="4"/>
  <c r="I526" i="4"/>
  <c r="I51" i="4"/>
  <c r="I408" i="4"/>
  <c r="I922" i="4"/>
  <c r="I45" i="4"/>
  <c r="I274" i="4"/>
  <c r="I347" i="4"/>
  <c r="I946" i="4"/>
  <c r="I312" i="4"/>
  <c r="I722" i="4"/>
  <c r="I179" i="4"/>
  <c r="I578" i="4"/>
  <c r="I840" i="4"/>
  <c r="I165" i="4"/>
  <c r="I719" i="4"/>
  <c r="I108" i="4"/>
  <c r="I479" i="4"/>
  <c r="I963" i="4"/>
  <c r="I338" i="4"/>
  <c r="I779" i="4"/>
  <c r="I32" i="4"/>
  <c r="I310" i="4"/>
  <c r="I565" i="4"/>
  <c r="I185" i="4"/>
  <c r="I588" i="4"/>
  <c r="I64" i="4"/>
  <c r="I443" i="4"/>
  <c r="I932" i="4"/>
  <c r="I484" i="4"/>
  <c r="I242" i="4"/>
  <c r="I667" i="4"/>
  <c r="I130" i="4"/>
  <c r="I507" i="4"/>
  <c r="I24" i="4"/>
  <c r="I150" i="4"/>
  <c r="I503" i="4"/>
  <c r="I59" i="4"/>
  <c r="I414" i="4"/>
  <c r="I889" i="4"/>
  <c r="I273" i="4"/>
  <c r="I700" i="4"/>
  <c r="I168" i="4"/>
  <c r="I294" i="4"/>
  <c r="I680" i="4"/>
  <c r="I348" i="4"/>
  <c r="I795" i="4"/>
  <c r="I192" i="4"/>
  <c r="I625" i="4"/>
  <c r="I101" i="4"/>
  <c r="I536" i="4"/>
  <c r="I657" i="4"/>
  <c r="I618" i="4"/>
  <c r="I518" i="4"/>
  <c r="I29" i="4"/>
  <c r="I353" i="4"/>
  <c r="I834" i="4"/>
  <c r="I236" i="4"/>
  <c r="I755" i="4"/>
  <c r="I842" i="4"/>
  <c r="I897" i="4"/>
  <c r="I106" i="4"/>
  <c r="I241" i="4"/>
  <c r="I411" i="4"/>
  <c r="I587" i="4"/>
  <c r="I792" i="4"/>
  <c r="I28" i="4"/>
  <c r="I156" i="4"/>
  <c r="I306" i="4"/>
  <c r="I476" i="4"/>
  <c r="I664" i="4"/>
  <c r="I883" i="4"/>
  <c r="I76" i="4"/>
  <c r="I206" i="4"/>
  <c r="I377" i="4"/>
  <c r="I544" i="4"/>
  <c r="I740" i="4"/>
  <c r="I1000" i="4"/>
  <c r="I112" i="4"/>
  <c r="I251" i="4"/>
  <c r="I419" i="4"/>
  <c r="I596" i="4"/>
  <c r="I798" i="4"/>
  <c r="I50" i="4"/>
  <c r="I178" i="4"/>
  <c r="I337" i="4"/>
  <c r="I506" i="4"/>
  <c r="I698" i="4"/>
  <c r="I931" i="4"/>
  <c r="I99" i="4"/>
  <c r="I234" i="4"/>
  <c r="I402" i="4"/>
  <c r="I576" i="4"/>
  <c r="I778" i="4"/>
  <c r="I22" i="4"/>
  <c r="I148" i="4"/>
  <c r="I298" i="4"/>
  <c r="I472" i="4"/>
  <c r="I652" i="4"/>
  <c r="I871" i="4"/>
  <c r="I73" i="4"/>
  <c r="I220" i="4"/>
  <c r="I410" i="4"/>
  <c r="I609" i="4"/>
  <c r="I873" i="4"/>
  <c r="I996" i="4"/>
  <c r="I915" i="4"/>
  <c r="I67" i="4"/>
  <c r="I187" i="4"/>
  <c r="I371" i="4"/>
  <c r="I531" i="4"/>
  <c r="I713" i="4"/>
  <c r="I935" i="4"/>
  <c r="I82" i="4"/>
  <c r="I201" i="4"/>
  <c r="I390" i="4"/>
  <c r="I548" i="4"/>
  <c r="I735" i="4"/>
  <c r="I956" i="4"/>
  <c r="I660" i="4"/>
  <c r="I17" i="4"/>
  <c r="I399" i="4"/>
  <c r="I844" i="4"/>
  <c r="I425" i="4"/>
  <c r="I760" i="4"/>
  <c r="I89" i="4"/>
  <c r="I407" i="4"/>
  <c r="I742" i="4"/>
  <c r="I55" i="4"/>
  <c r="I327" i="4"/>
  <c r="I619" i="4"/>
  <c r="I912" i="4"/>
  <c r="I381" i="4"/>
  <c r="I637" i="4"/>
  <c r="I893" i="4"/>
  <c r="I122" i="4"/>
  <c r="I265" i="4"/>
  <c r="I432" i="4"/>
  <c r="I611" i="4"/>
  <c r="I818" i="4"/>
  <c r="I42" i="4"/>
  <c r="I170" i="4"/>
  <c r="I330" i="4"/>
  <c r="I497" i="4"/>
  <c r="I686" i="4"/>
  <c r="I913" i="4"/>
  <c r="I94" i="4"/>
  <c r="I224" i="4"/>
  <c r="I395" i="4"/>
  <c r="I569" i="4"/>
  <c r="I764" i="4"/>
  <c r="I2" i="4"/>
  <c r="I126" i="4"/>
  <c r="I270" i="4"/>
  <c r="I442" i="4"/>
  <c r="I617" i="4"/>
  <c r="I832" i="4"/>
  <c r="I65" i="4"/>
  <c r="I193" i="4"/>
  <c r="I360" i="4"/>
  <c r="I527" i="4"/>
  <c r="I723" i="4"/>
  <c r="I964" i="4"/>
  <c r="I114" i="4"/>
  <c r="I255" i="4"/>
  <c r="I424" i="4"/>
  <c r="I599" i="4"/>
  <c r="I809" i="4"/>
  <c r="I38" i="4"/>
  <c r="I166" i="4"/>
  <c r="I320" i="4"/>
  <c r="I492" i="4"/>
  <c r="I681" i="4"/>
  <c r="I905" i="4"/>
  <c r="I86" i="4"/>
  <c r="I239" i="4"/>
  <c r="I431" i="4"/>
  <c r="I654" i="4"/>
  <c r="I907" i="4"/>
  <c r="I767" i="4"/>
  <c r="I934" i="4"/>
  <c r="I81" i="4"/>
  <c r="I228" i="4"/>
  <c r="I388" i="4"/>
  <c r="I547" i="4"/>
  <c r="I768" i="4"/>
  <c r="I954" i="4"/>
  <c r="I93" i="4"/>
  <c r="I247" i="4"/>
  <c r="I406" i="4"/>
  <c r="I568" i="4"/>
  <c r="I790" i="4"/>
  <c r="I975" i="4"/>
  <c r="I673" i="4"/>
  <c r="I90" i="4"/>
  <c r="I496" i="4"/>
  <c r="I943" i="4"/>
  <c r="I498" i="4"/>
  <c r="I833" i="4"/>
  <c r="I153" i="4"/>
  <c r="I480" i="4"/>
  <c r="I815" i="4"/>
  <c r="I111" i="4"/>
  <c r="I391" i="4"/>
  <c r="I683" i="4"/>
  <c r="I976" i="4"/>
  <c r="I437" i="4"/>
  <c r="I693" i="4"/>
  <c r="I949" i="4"/>
  <c r="I11" i="4"/>
  <c r="I137" i="4"/>
  <c r="I284" i="4"/>
  <c r="I456" i="4"/>
  <c r="I633" i="4"/>
  <c r="I850" i="4"/>
  <c r="I60" i="4"/>
  <c r="I186" i="4"/>
  <c r="I350" i="4"/>
  <c r="I521" i="4"/>
  <c r="I712" i="4"/>
  <c r="I950" i="4"/>
  <c r="I109" i="4"/>
  <c r="I249" i="4"/>
  <c r="I416" i="4"/>
  <c r="I591" i="4"/>
  <c r="I796" i="4"/>
  <c r="I14" i="4"/>
  <c r="I145" i="4"/>
  <c r="I291" i="4"/>
  <c r="I462" i="4"/>
  <c r="I643" i="4"/>
  <c r="I858" i="4"/>
  <c r="I83" i="4"/>
  <c r="I210" i="4"/>
  <c r="I379" i="4"/>
  <c r="I550" i="4"/>
  <c r="I745" i="4"/>
  <c r="I3" i="4"/>
  <c r="I132" i="4"/>
  <c r="I275" i="4"/>
  <c r="I444" i="4"/>
  <c r="I627" i="4"/>
  <c r="I836" i="4"/>
  <c r="I53" i="4"/>
  <c r="I181" i="4"/>
  <c r="I346" i="4"/>
  <c r="I513" i="4"/>
  <c r="I704" i="4"/>
  <c r="I944" i="4"/>
  <c r="I102" i="4"/>
  <c r="I257" i="4"/>
  <c r="I474" i="4"/>
  <c r="I682" i="4"/>
  <c r="I945" i="4"/>
  <c r="I785" i="4"/>
  <c r="I952" i="4"/>
  <c r="I92" i="4"/>
  <c r="I243" i="4"/>
  <c r="I403" i="4"/>
  <c r="I566" i="4"/>
  <c r="I787" i="4"/>
  <c r="I974" i="4"/>
  <c r="I105" i="4"/>
  <c r="I264" i="4"/>
  <c r="I422" i="4"/>
  <c r="I586" i="4"/>
  <c r="I808" i="4"/>
  <c r="I993" i="4"/>
  <c r="I688" i="4"/>
  <c r="I100" i="4"/>
  <c r="I511" i="4"/>
  <c r="I955" i="4"/>
  <c r="I508" i="4"/>
  <c r="I843" i="4"/>
  <c r="I162" i="4"/>
  <c r="I490" i="4"/>
  <c r="I825" i="4"/>
  <c r="I119" i="4"/>
  <c r="I400" i="4"/>
  <c r="I692" i="4"/>
  <c r="I985" i="4"/>
  <c r="I445" i="4"/>
  <c r="I701" i="4"/>
  <c r="I957" i="4"/>
  <c r="I26" i="4"/>
  <c r="I155" i="4"/>
  <c r="I305" i="4"/>
  <c r="I475" i="4"/>
  <c r="I662" i="4"/>
  <c r="I876" i="4"/>
  <c r="I75" i="4"/>
  <c r="I203" i="4"/>
  <c r="I369" i="4"/>
  <c r="I542" i="4"/>
  <c r="I737" i="4"/>
  <c r="I987" i="4"/>
  <c r="I124" i="4"/>
  <c r="I267" i="4"/>
  <c r="I440" i="4"/>
  <c r="I615" i="4"/>
  <c r="I828" i="4"/>
  <c r="I30" i="4"/>
  <c r="I158" i="4"/>
  <c r="I314" i="4"/>
  <c r="I481" i="4"/>
  <c r="I670" i="4"/>
  <c r="I890" i="4"/>
  <c r="I97" i="4"/>
  <c r="I233" i="4"/>
  <c r="I401" i="4"/>
  <c r="I572" i="4"/>
  <c r="I777" i="4"/>
  <c r="I19" i="4"/>
  <c r="I147" i="4"/>
  <c r="I297" i="4"/>
  <c r="I465" i="4"/>
  <c r="I651" i="4"/>
  <c r="I868" i="4"/>
  <c r="I72" i="4"/>
  <c r="I196" i="4"/>
  <c r="I364" i="4"/>
  <c r="I535" i="4"/>
  <c r="I726" i="4"/>
  <c r="I978" i="4"/>
  <c r="I120" i="4"/>
  <c r="I304" i="4"/>
  <c r="I494" i="4"/>
  <c r="I706" i="4"/>
  <c r="I983" i="4"/>
  <c r="I806" i="4"/>
  <c r="I972" i="4"/>
  <c r="I128" i="4"/>
  <c r="I262" i="4"/>
  <c r="I420" i="4"/>
  <c r="I620" i="4"/>
  <c r="I807" i="4"/>
  <c r="I991" i="4"/>
  <c r="I140" i="4"/>
  <c r="I278" i="4"/>
  <c r="I438" i="4"/>
  <c r="I641" i="4"/>
  <c r="I826" i="4"/>
  <c r="I562" i="4"/>
  <c r="I786" i="4"/>
  <c r="I173" i="4"/>
  <c r="I608" i="4"/>
  <c r="I248" i="4"/>
  <c r="I582" i="4"/>
  <c r="I916" i="4"/>
  <c r="I230" i="4"/>
  <c r="I563" i="4"/>
  <c r="I898" i="4"/>
  <c r="I175" i="4"/>
  <c r="I464" i="4"/>
  <c r="I756" i="4"/>
  <c r="I245" i="4"/>
  <c r="I501" i="4"/>
  <c r="I757" i="4"/>
  <c r="I41" i="4"/>
  <c r="I169" i="4"/>
  <c r="I328" i="4"/>
  <c r="I495" i="4"/>
  <c r="I684" i="4"/>
  <c r="I910" i="4"/>
  <c r="I91" i="4"/>
  <c r="I223" i="4"/>
  <c r="I393" i="4"/>
  <c r="I560" i="4"/>
  <c r="I763" i="4"/>
  <c r="I13" i="4"/>
  <c r="I142" i="4"/>
  <c r="I288" i="4"/>
  <c r="I460" i="4"/>
  <c r="I642" i="4"/>
  <c r="I852" i="4"/>
  <c r="I49" i="4"/>
  <c r="I174" i="4"/>
  <c r="I335" i="4"/>
  <c r="I505" i="4"/>
  <c r="I694" i="4"/>
  <c r="I926" i="4"/>
  <c r="I113" i="4"/>
  <c r="I252" i="4"/>
  <c r="I423" i="4"/>
  <c r="I598" i="4"/>
  <c r="I800" i="4"/>
  <c r="I36" i="4"/>
  <c r="I161" i="4"/>
  <c r="I319" i="4"/>
  <c r="I489" i="4"/>
  <c r="I672" i="4"/>
  <c r="I892" i="4"/>
  <c r="I85" i="4"/>
  <c r="I215" i="4"/>
  <c r="I383" i="4"/>
  <c r="I556" i="4"/>
  <c r="I754" i="4"/>
  <c r="I8" i="4"/>
  <c r="I149" i="4"/>
  <c r="I322" i="4"/>
  <c r="I514" i="4"/>
  <c r="I727" i="4"/>
  <c r="I904" i="4"/>
  <c r="I822" i="4"/>
  <c r="I988" i="4"/>
  <c r="I139" i="4"/>
  <c r="I276" i="4"/>
  <c r="I434" i="4"/>
  <c r="I640" i="4"/>
  <c r="I824" i="4"/>
  <c r="I10" i="4"/>
  <c r="I154" i="4"/>
  <c r="I295" i="4"/>
  <c r="I452" i="4"/>
  <c r="I659" i="4"/>
  <c r="I847" i="4"/>
  <c r="I577" i="4"/>
  <c r="I799" i="4"/>
  <c r="I184" i="4"/>
  <c r="I622" i="4"/>
  <c r="I258" i="4"/>
  <c r="I593" i="4"/>
  <c r="I927" i="4"/>
  <c r="I240" i="4"/>
  <c r="I575" i="4"/>
  <c r="I908" i="4"/>
  <c r="I183" i="4"/>
  <c r="I473" i="4"/>
  <c r="I766" i="4"/>
  <c r="I253" i="4"/>
  <c r="I509" i="4"/>
  <c r="I765" i="4"/>
  <c r="I74" i="4"/>
  <c r="I202" i="4"/>
  <c r="I368" i="4"/>
  <c r="I539" i="4"/>
  <c r="I736" i="4"/>
  <c r="I986" i="4"/>
  <c r="I123" i="4"/>
  <c r="I266" i="4"/>
  <c r="I433" i="4"/>
  <c r="I612" i="4"/>
  <c r="I819" i="4"/>
  <c r="I46" i="4"/>
  <c r="I172" i="4"/>
  <c r="I332" i="4"/>
  <c r="I504" i="4"/>
  <c r="I690" i="4"/>
  <c r="I923" i="4"/>
  <c r="I77" i="4"/>
  <c r="I207" i="4"/>
  <c r="I378" i="4"/>
  <c r="I545" i="4"/>
  <c r="I743" i="4"/>
  <c r="I18" i="4"/>
  <c r="I146" i="4"/>
  <c r="I296" i="4"/>
  <c r="I463" i="4"/>
  <c r="I649" i="4"/>
  <c r="I865" i="4"/>
  <c r="I66" i="4"/>
  <c r="I195" i="4"/>
  <c r="I361" i="4"/>
  <c r="I529" i="4"/>
  <c r="I724" i="4"/>
  <c r="I968" i="4"/>
  <c r="I118" i="4"/>
  <c r="I256" i="4"/>
  <c r="I430" i="4"/>
  <c r="I607" i="4"/>
  <c r="I810" i="4"/>
  <c r="I40" i="4"/>
  <c r="I182" i="4"/>
  <c r="I367" i="4"/>
  <c r="I558" i="4"/>
  <c r="I782" i="4"/>
  <c r="I942" i="4"/>
  <c r="I879" i="4"/>
  <c r="I44" i="4"/>
  <c r="I164" i="4"/>
  <c r="I307" i="4"/>
  <c r="I499" i="4"/>
  <c r="I675" i="4"/>
  <c r="I862" i="4"/>
  <c r="I57" i="4"/>
  <c r="I177" i="4"/>
  <c r="I326" i="4"/>
  <c r="I516" i="4"/>
  <c r="I696" i="4"/>
  <c r="I881" i="4"/>
  <c r="I632" i="4"/>
  <c r="I911" i="4"/>
  <c r="I287" i="4"/>
  <c r="I734" i="4"/>
  <c r="I342" i="4"/>
  <c r="I676" i="4"/>
  <c r="I16" i="4"/>
  <c r="I323" i="4"/>
  <c r="I658" i="4"/>
  <c r="I992" i="4"/>
  <c r="I254" i="4"/>
  <c r="I546" i="4"/>
  <c r="I839" i="4"/>
  <c r="I317" i="4"/>
  <c r="I573" i="4"/>
  <c r="I829" i="4"/>
  <c r="I331" i="4"/>
  <c r="I666" i="4"/>
  <c r="I6" i="4"/>
  <c r="I313" i="4"/>
  <c r="I648" i="4"/>
  <c r="I982" i="4"/>
  <c r="I244" i="4"/>
  <c r="I537" i="4"/>
  <c r="I830" i="4"/>
  <c r="I309" i="4"/>
  <c r="I821" i="4"/>
  <c r="I88" i="4"/>
  <c r="I222" i="4"/>
  <c r="I392" i="4"/>
  <c r="I559" i="4"/>
  <c r="I759" i="4"/>
  <c r="I12" i="4"/>
  <c r="I138" i="4"/>
  <c r="I286" i="4"/>
  <c r="I458" i="4"/>
  <c r="I639" i="4"/>
  <c r="I851" i="4"/>
  <c r="I62" i="4"/>
  <c r="I190" i="4"/>
  <c r="I351" i="4"/>
  <c r="I523" i="4"/>
  <c r="I716" i="4"/>
  <c r="I962" i="4"/>
  <c r="I96" i="4"/>
  <c r="I225" i="4"/>
  <c r="I398" i="4"/>
  <c r="I570" i="4"/>
  <c r="I774" i="4"/>
  <c r="I35" i="4"/>
  <c r="I160" i="4"/>
  <c r="I316" i="4"/>
  <c r="I487" i="4"/>
  <c r="I671" i="4"/>
  <c r="I891" i="4"/>
  <c r="I84" i="4"/>
  <c r="I211" i="4"/>
  <c r="I380" i="4"/>
  <c r="I554" i="4"/>
  <c r="I748" i="4"/>
  <c r="I4" i="4"/>
  <c r="I133" i="4"/>
  <c r="I280" i="4"/>
  <c r="I448" i="4"/>
  <c r="I630" i="4"/>
  <c r="I838" i="4"/>
  <c r="I54" i="4"/>
  <c r="I197" i="4"/>
  <c r="I387" i="4"/>
  <c r="I580" i="4"/>
  <c r="I816" i="4"/>
  <c r="I977" i="4"/>
  <c r="I895" i="4"/>
  <c r="I56" i="4"/>
  <c r="I176" i="4"/>
  <c r="I356" i="4"/>
  <c r="I515" i="4"/>
  <c r="I695" i="4"/>
  <c r="I918" i="4"/>
  <c r="I69" i="4"/>
  <c r="I188" i="4"/>
  <c r="I375" i="4"/>
  <c r="I534" i="4"/>
  <c r="I714" i="4"/>
  <c r="I936" i="4"/>
  <c r="I646" i="4"/>
  <c r="I5" i="4"/>
  <c r="I385" i="4"/>
  <c r="I831" i="4"/>
  <c r="I415" i="4"/>
  <c r="I750" i="4"/>
  <c r="I80" i="4"/>
  <c r="I396" i="4"/>
  <c r="I731" i="4"/>
  <c r="I47" i="4"/>
  <c r="I318" i="4"/>
  <c r="I610" i="4"/>
  <c r="I903" i="4"/>
  <c r="I373" i="4"/>
  <c r="I629" i="4"/>
  <c r="I885" i="4"/>
  <c r="AB46" i="4"/>
  <c r="I20" i="4"/>
  <c r="I115" i="4"/>
  <c r="I212" i="4"/>
  <c r="I339" i="4"/>
  <c r="I466" i="4"/>
  <c r="I600" i="4"/>
  <c r="I751" i="4"/>
  <c r="I899" i="4"/>
  <c r="I33" i="4"/>
  <c r="I129" i="4"/>
  <c r="I231" i="4"/>
  <c r="I359" i="4"/>
  <c r="I486" i="4"/>
  <c r="I623" i="4"/>
  <c r="I769" i="4"/>
  <c r="I920" i="4"/>
  <c r="I604" i="4"/>
  <c r="I715" i="4"/>
  <c r="I827" i="4"/>
  <c r="I938" i="4"/>
  <c r="I37" i="4"/>
  <c r="I121" i="4"/>
  <c r="I204" i="4"/>
  <c r="I315" i="4"/>
  <c r="I426" i="4"/>
  <c r="I538" i="4"/>
  <c r="I650" i="4"/>
  <c r="I761" i="4"/>
  <c r="I872" i="4"/>
  <c r="I984" i="4"/>
  <c r="I279" i="4"/>
  <c r="I362" i="4"/>
  <c r="I447" i="4"/>
  <c r="I530" i="4"/>
  <c r="I614" i="4"/>
  <c r="I697" i="4"/>
  <c r="I780" i="4"/>
  <c r="I864" i="4"/>
  <c r="I947" i="4"/>
  <c r="I34" i="4"/>
  <c r="I107" i="4"/>
  <c r="I180" i="4"/>
  <c r="I260" i="4"/>
  <c r="I344" i="4"/>
  <c r="I428" i="4"/>
  <c r="I512" i="4"/>
  <c r="I595" i="4"/>
  <c r="I679" i="4"/>
  <c r="I762" i="4"/>
  <c r="I846" i="4"/>
  <c r="I929" i="4"/>
  <c r="I7" i="4"/>
  <c r="I71" i="4"/>
  <c r="I135" i="4"/>
  <c r="I199" i="4"/>
  <c r="I272" i="4"/>
  <c r="I345" i="4"/>
  <c r="I418" i="4"/>
  <c r="I491" i="4"/>
  <c r="I564" i="4"/>
  <c r="I638" i="4"/>
  <c r="I711" i="4"/>
  <c r="I784" i="4"/>
  <c r="I857" i="4"/>
  <c r="I930" i="4"/>
  <c r="I205" i="4"/>
  <c r="I269" i="4"/>
  <c r="I333" i="4"/>
  <c r="I397" i="4"/>
  <c r="I461" i="4"/>
  <c r="I525" i="4"/>
  <c r="I589" i="4"/>
  <c r="I653" i="4"/>
  <c r="I717" i="4"/>
  <c r="I781" i="4"/>
  <c r="I845" i="4"/>
  <c r="I909" i="4"/>
  <c r="I973" i="4"/>
  <c r="I730" i="4"/>
  <c r="I841" i="4"/>
  <c r="I953" i="4"/>
  <c r="I48" i="4"/>
  <c r="I131" i="4"/>
  <c r="I218" i="4"/>
  <c r="I329" i="4"/>
  <c r="I441" i="4"/>
  <c r="I552" i="4"/>
  <c r="I663" i="4"/>
  <c r="I776" i="4"/>
  <c r="I887" i="4"/>
  <c r="I999" i="4"/>
  <c r="I289" i="4"/>
  <c r="I374" i="4"/>
  <c r="I457" i="4"/>
  <c r="I540" i="4"/>
  <c r="I624" i="4"/>
  <c r="I707" i="4"/>
  <c r="I791" i="4"/>
  <c r="I874" i="4"/>
  <c r="I959" i="4"/>
  <c r="I43" i="4"/>
  <c r="I116" i="4"/>
  <c r="I189" i="4"/>
  <c r="I271" i="4"/>
  <c r="I355" i="4"/>
  <c r="I439" i="4"/>
  <c r="I522" i="4"/>
  <c r="I606" i="4"/>
  <c r="I689" i="4"/>
  <c r="I772" i="4"/>
  <c r="I856" i="4"/>
  <c r="I940" i="4"/>
  <c r="I15" i="4"/>
  <c r="I79" i="4"/>
  <c r="I143" i="4"/>
  <c r="I208" i="4"/>
  <c r="I281" i="4"/>
  <c r="I354" i="4"/>
  <c r="I427" i="4"/>
  <c r="I500" i="4"/>
  <c r="I574" i="4"/>
  <c r="I647" i="4"/>
  <c r="I720" i="4"/>
  <c r="I793" i="4"/>
  <c r="I866" i="4"/>
  <c r="I939" i="4"/>
  <c r="I213" i="4"/>
  <c r="I277" i="4"/>
  <c r="I341" i="4"/>
  <c r="I405" i="4"/>
  <c r="I469" i="4"/>
  <c r="I533" i="4"/>
  <c r="I597" i="4"/>
  <c r="I661" i="4"/>
  <c r="I725" i="4"/>
  <c r="I789" i="4"/>
  <c r="I853" i="4"/>
  <c r="I917" i="4"/>
  <c r="I981" i="4"/>
  <c r="I744" i="4"/>
  <c r="I855" i="4"/>
  <c r="I966" i="4"/>
  <c r="I58" i="4"/>
  <c r="I141" i="4"/>
  <c r="I232" i="4"/>
  <c r="I343" i="4"/>
  <c r="I454" i="4"/>
  <c r="I567" i="4"/>
  <c r="I678" i="4"/>
  <c r="I788" i="4"/>
  <c r="I900" i="4"/>
  <c r="I216" i="4"/>
  <c r="I300" i="4"/>
  <c r="I384" i="4"/>
  <c r="I467" i="4"/>
  <c r="I551" i="4"/>
  <c r="I634" i="4"/>
  <c r="I718" i="4"/>
  <c r="I801" i="4"/>
  <c r="I886" i="4"/>
  <c r="I969" i="4"/>
  <c r="I52" i="4"/>
  <c r="I125" i="4"/>
  <c r="I198" i="4"/>
  <c r="I282" i="4"/>
  <c r="I366" i="4"/>
  <c r="I449" i="4"/>
  <c r="I532" i="4"/>
  <c r="I616" i="4"/>
  <c r="I699" i="4"/>
  <c r="I783" i="4"/>
  <c r="I867" i="4"/>
  <c r="I951" i="4"/>
  <c r="I23" i="4"/>
  <c r="I87" i="4"/>
  <c r="I151" i="4"/>
  <c r="I217" i="4"/>
  <c r="I290" i="4"/>
  <c r="I363" i="4"/>
  <c r="I436" i="4"/>
  <c r="I510" i="4"/>
  <c r="I583" i="4"/>
  <c r="I656" i="4"/>
  <c r="I729" i="4"/>
  <c r="I802" i="4"/>
  <c r="I875" i="4"/>
  <c r="I948" i="4"/>
  <c r="I221" i="4"/>
  <c r="I285" i="4"/>
  <c r="I349" i="4"/>
  <c r="I413" i="4"/>
  <c r="I477" i="4"/>
  <c r="I541" i="4"/>
  <c r="I605" i="4"/>
  <c r="I669" i="4"/>
  <c r="I733" i="4"/>
  <c r="I797" i="4"/>
  <c r="I861" i="4"/>
  <c r="I925" i="4"/>
  <c r="I989" i="4"/>
  <c r="I758" i="4"/>
  <c r="I870" i="4"/>
  <c r="I980" i="4"/>
  <c r="I68" i="4"/>
  <c r="I152" i="4"/>
  <c r="I246" i="4"/>
  <c r="I358" i="4"/>
  <c r="I468" i="4"/>
  <c r="I579" i="4"/>
  <c r="I691" i="4"/>
  <c r="I803" i="4"/>
  <c r="I914" i="4"/>
  <c r="I227" i="4"/>
  <c r="I311" i="4"/>
  <c r="I394" i="4"/>
  <c r="I478" i="4"/>
  <c r="I561" i="4"/>
  <c r="I644" i="4"/>
  <c r="I728" i="4"/>
  <c r="I812" i="4"/>
  <c r="I896" i="4"/>
  <c r="I979" i="4"/>
  <c r="I61" i="4"/>
  <c r="I134" i="4"/>
  <c r="I209" i="4"/>
  <c r="I292" i="4"/>
  <c r="I376" i="4"/>
  <c r="I459" i="4"/>
  <c r="I543" i="4"/>
  <c r="I626" i="4"/>
  <c r="I710" i="4"/>
  <c r="I794" i="4"/>
  <c r="I878" i="4"/>
  <c r="I961" i="4"/>
  <c r="I31" i="4"/>
  <c r="I95" i="4"/>
  <c r="I159" i="4"/>
  <c r="I226" i="4"/>
  <c r="I299" i="4"/>
  <c r="I372" i="4"/>
  <c r="I446" i="4"/>
  <c r="I519" i="4"/>
  <c r="I592" i="4"/>
  <c r="I665" i="4"/>
  <c r="I738" i="4"/>
  <c r="I811" i="4"/>
  <c r="I884" i="4"/>
  <c r="I958" i="4"/>
  <c r="I229" i="4"/>
  <c r="I293" i="4"/>
  <c r="I357" i="4"/>
  <c r="I421" i="4"/>
  <c r="I485" i="4"/>
  <c r="I549" i="4"/>
  <c r="I613" i="4"/>
  <c r="I677" i="4"/>
  <c r="I741" i="4"/>
  <c r="I805" i="4"/>
  <c r="I869" i="4"/>
  <c r="I933" i="4"/>
  <c r="I997" i="4"/>
  <c r="I771" i="4"/>
  <c r="I882" i="4"/>
  <c r="I995" i="4"/>
  <c r="I78" i="4"/>
  <c r="I163" i="4"/>
  <c r="I259" i="4"/>
  <c r="I370" i="4"/>
  <c r="I483" i="4"/>
  <c r="I594" i="4"/>
  <c r="I705" i="4"/>
  <c r="I817" i="4"/>
  <c r="I928" i="4"/>
  <c r="I238" i="4"/>
  <c r="I321" i="4"/>
  <c r="I404" i="4"/>
  <c r="I488" i="4"/>
  <c r="I571" i="4"/>
  <c r="I655" i="4"/>
  <c r="I739" i="4"/>
  <c r="I823" i="4"/>
  <c r="I906" i="4"/>
  <c r="I990" i="4"/>
  <c r="I70" i="4"/>
  <c r="I144" i="4"/>
  <c r="I219" i="4"/>
  <c r="I303" i="4"/>
  <c r="I386" i="4"/>
  <c r="I470" i="4"/>
  <c r="I553" i="4"/>
  <c r="I636" i="4"/>
  <c r="I721" i="4"/>
  <c r="I804" i="4"/>
  <c r="I888" i="4"/>
  <c r="I971" i="4"/>
  <c r="I39" i="4"/>
  <c r="I103" i="4"/>
  <c r="I167" i="4"/>
  <c r="I235" i="4"/>
  <c r="I308" i="4"/>
  <c r="I382" i="4"/>
  <c r="I455" i="4"/>
  <c r="I528" i="4"/>
  <c r="I601" i="4"/>
  <c r="I674" i="4"/>
  <c r="I747" i="4"/>
  <c r="I820" i="4"/>
  <c r="I894" i="4"/>
  <c r="I967" i="4"/>
  <c r="I237" i="4"/>
  <c r="I301" i="4"/>
  <c r="I365" i="4"/>
  <c r="I429" i="4"/>
  <c r="I493" i="4"/>
  <c r="I557" i="4"/>
  <c r="I621" i="4"/>
  <c r="I685" i="4"/>
  <c r="I749" i="4"/>
  <c r="I813" i="4"/>
  <c r="I877" i="4"/>
  <c r="I941" i="4"/>
  <c r="I136" i="4"/>
  <c r="I283" i="4"/>
  <c r="I450" i="4"/>
  <c r="I631" i="4"/>
  <c r="I849" i="4"/>
  <c r="I960" i="4"/>
  <c r="I860" i="4"/>
  <c r="I9" i="4"/>
  <c r="I104" i="4"/>
  <c r="I200" i="4"/>
  <c r="I324" i="4"/>
  <c r="I451" i="4"/>
  <c r="I584" i="4"/>
  <c r="I732" i="4"/>
  <c r="I880" i="4"/>
  <c r="I21" i="4"/>
  <c r="I117" i="4"/>
  <c r="I214" i="4"/>
  <c r="I340" i="4"/>
  <c r="I471" i="4"/>
  <c r="I602" i="4"/>
  <c r="I753" i="4"/>
  <c r="I902" i="4"/>
  <c r="I590" i="4"/>
  <c r="I703" i="4"/>
  <c r="I814" i="4"/>
  <c r="I924" i="4"/>
  <c r="I27" i="4"/>
  <c r="I110" i="4"/>
  <c r="I194" i="4"/>
  <c r="I302" i="4"/>
  <c r="I412" i="4"/>
  <c r="I524" i="4"/>
  <c r="I635" i="4"/>
  <c r="I746" i="4"/>
  <c r="I859" i="4"/>
  <c r="I970" i="4"/>
  <c r="I268" i="4"/>
  <c r="I352" i="4"/>
  <c r="I435" i="4"/>
  <c r="I520" i="4"/>
  <c r="I603" i="4"/>
  <c r="I687" i="4"/>
  <c r="I770" i="4"/>
  <c r="I854" i="4"/>
  <c r="I937" i="4"/>
  <c r="I25" i="4"/>
  <c r="I98" i="4"/>
  <c r="I171" i="4"/>
  <c r="I250" i="4"/>
  <c r="I334" i="4"/>
  <c r="I417" i="4"/>
  <c r="I502" i="4"/>
  <c r="I585" i="4"/>
  <c r="I668" i="4"/>
  <c r="I752" i="4"/>
  <c r="I835" i="4"/>
  <c r="I919" i="4"/>
  <c r="I998" i="4"/>
  <c r="I63" i="4"/>
  <c r="I127" i="4"/>
  <c r="I191" i="4"/>
  <c r="I263" i="4"/>
  <c r="I336" i="4"/>
  <c r="I409" i="4"/>
  <c r="I482" i="4"/>
  <c r="I555" i="4"/>
  <c r="I628" i="4"/>
  <c r="I702" i="4"/>
  <c r="I775" i="4"/>
  <c r="I848" i="4"/>
  <c r="I921" i="4"/>
  <c r="I994" i="4"/>
  <c r="I261" i="4"/>
  <c r="I325" i="4"/>
  <c r="I389" i="4"/>
  <c r="I453" i="4"/>
  <c r="I517" i="4"/>
  <c r="I581" i="4"/>
  <c r="I645" i="4"/>
  <c r="I709" i="4"/>
  <c r="I773" i="4"/>
  <c r="I837" i="4"/>
  <c r="I901" i="4"/>
  <c r="Y11" i="4"/>
  <c r="AB38" i="4"/>
  <c r="Y43" i="4"/>
  <c r="Y40" i="4"/>
  <c r="Y44" i="4"/>
  <c r="Y20" i="4"/>
  <c r="Y19" i="4"/>
  <c r="Y2" i="4"/>
  <c r="Y21" i="4"/>
  <c r="Y14" i="4"/>
  <c r="Y31" i="4"/>
  <c r="Y36" i="4"/>
  <c r="Y8" i="4"/>
  <c r="Y24" i="4"/>
  <c r="Y13" i="4"/>
  <c r="Y4" i="4"/>
  <c r="AB26" i="4"/>
  <c r="Y15" i="4"/>
  <c r="Y55" i="4"/>
  <c r="AB22" i="4"/>
  <c r="Y34" i="4"/>
  <c r="AB43" i="4"/>
  <c r="Y28" i="4"/>
  <c r="AB14" i="4"/>
  <c r="AB6" i="4"/>
  <c r="Y23" i="4"/>
  <c r="Y47" i="4"/>
  <c r="Y29" i="4"/>
  <c r="Y17" i="4"/>
  <c r="Y49" i="4"/>
  <c r="Y5" i="4"/>
  <c r="AA3" i="4"/>
  <c r="E4" i="7"/>
  <c r="Y50" i="4"/>
  <c r="AB30" i="4"/>
  <c r="Y33" i="4"/>
  <c r="Y48" i="4"/>
  <c r="Y52" i="4"/>
  <c r="AB25" i="4"/>
  <c r="Y41" i="4"/>
  <c r="Y16" i="4"/>
  <c r="D3" i="7"/>
  <c r="AB2" i="4"/>
  <c r="Y12" i="4"/>
  <c r="AB4" i="4"/>
  <c r="Y38" i="4"/>
  <c r="AB47" i="4"/>
  <c r="Y3" i="4"/>
  <c r="AB11" i="4"/>
  <c r="AB37" i="4"/>
  <c r="N1000" i="4"/>
  <c r="N992" i="4"/>
  <c r="N984" i="4"/>
  <c r="N976" i="4"/>
  <c r="N968" i="4"/>
  <c r="N960" i="4"/>
  <c r="N952" i="4"/>
  <c r="N944" i="4"/>
  <c r="N936" i="4"/>
  <c r="N928" i="4"/>
  <c r="N920" i="4"/>
  <c r="N912" i="4"/>
  <c r="N904" i="4"/>
  <c r="N896" i="4"/>
  <c r="N888" i="4"/>
  <c r="N880" i="4"/>
  <c r="N872" i="4"/>
  <c r="N864" i="4"/>
  <c r="N856" i="4"/>
  <c r="N848" i="4"/>
  <c r="N840" i="4"/>
  <c r="N832" i="4"/>
  <c r="N824" i="4"/>
  <c r="N816" i="4"/>
  <c r="N808" i="4"/>
  <c r="N800" i="4"/>
  <c r="N792" i="4"/>
  <c r="N784" i="4"/>
  <c r="N776" i="4"/>
  <c r="N768" i="4"/>
  <c r="N760" i="4"/>
  <c r="N752" i="4"/>
  <c r="N744" i="4"/>
  <c r="N736" i="4"/>
  <c r="N728" i="4"/>
  <c r="N720" i="4"/>
  <c r="N712" i="4"/>
  <c r="N704" i="4"/>
  <c r="N696" i="4"/>
  <c r="N688" i="4"/>
  <c r="N680" i="4"/>
  <c r="N672" i="4"/>
  <c r="N664" i="4"/>
  <c r="N656" i="4"/>
  <c r="N648" i="4"/>
  <c r="N640" i="4"/>
  <c r="N632" i="4"/>
  <c r="N624" i="4"/>
  <c r="N616" i="4"/>
  <c r="N608" i="4"/>
  <c r="N600" i="4"/>
  <c r="N592" i="4"/>
  <c r="N584" i="4"/>
  <c r="N576" i="4"/>
  <c r="N568" i="4"/>
  <c r="N560" i="4"/>
  <c r="N552" i="4"/>
  <c r="N544" i="4"/>
  <c r="N536" i="4"/>
  <c r="N528" i="4"/>
  <c r="N520" i="4"/>
  <c r="N512" i="4"/>
  <c r="N504" i="4"/>
  <c r="N496" i="4"/>
  <c r="N488" i="4"/>
  <c r="N480" i="4"/>
  <c r="N472" i="4"/>
  <c r="N464" i="4"/>
  <c r="N456" i="4"/>
  <c r="N448" i="4"/>
  <c r="N440" i="4"/>
  <c r="N432" i="4"/>
  <c r="N424" i="4"/>
  <c r="N416" i="4"/>
  <c r="N408" i="4"/>
  <c r="N400" i="4"/>
  <c r="N392" i="4"/>
  <c r="N384" i="4"/>
  <c r="N376" i="4"/>
  <c r="N368" i="4"/>
  <c r="N360" i="4"/>
  <c r="N352" i="4"/>
  <c r="N344" i="4"/>
  <c r="N336" i="4"/>
  <c r="N328" i="4"/>
  <c r="N320" i="4"/>
  <c r="N312" i="4"/>
  <c r="N304" i="4"/>
  <c r="N296" i="4"/>
  <c r="N288" i="4"/>
  <c r="N280" i="4"/>
  <c r="N272" i="4"/>
  <c r="N264" i="4"/>
  <c r="N256" i="4"/>
  <c r="N248" i="4"/>
  <c r="N240" i="4"/>
  <c r="N232" i="4"/>
  <c r="N224" i="4"/>
  <c r="N216" i="4"/>
  <c r="N208" i="4"/>
  <c r="N200" i="4"/>
  <c r="N192" i="4"/>
  <c r="N184" i="4"/>
  <c r="N176" i="4"/>
  <c r="N168" i="4"/>
  <c r="N160" i="4"/>
  <c r="N152" i="4"/>
  <c r="N144" i="4"/>
  <c r="N136" i="4"/>
  <c r="N128" i="4"/>
  <c r="N120" i="4"/>
  <c r="N112" i="4"/>
  <c r="N104" i="4"/>
  <c r="N96" i="4"/>
  <c r="N88" i="4"/>
  <c r="N80" i="4"/>
  <c r="N72" i="4"/>
  <c r="N64" i="4"/>
  <c r="N56" i="4"/>
  <c r="N48" i="4"/>
  <c r="N40" i="4"/>
  <c r="N32" i="4"/>
  <c r="N24" i="4"/>
  <c r="N16" i="4"/>
  <c r="N8" i="4"/>
  <c r="N991" i="4"/>
  <c r="N982" i="4"/>
  <c r="N973" i="4"/>
  <c r="N964" i="4"/>
  <c r="N955" i="4"/>
  <c r="N946" i="4"/>
  <c r="N937" i="4"/>
  <c r="N927" i="4"/>
  <c r="N918" i="4"/>
  <c r="N909" i="4"/>
  <c r="N900" i="4"/>
  <c r="N891" i="4"/>
  <c r="N882" i="4"/>
  <c r="N873" i="4"/>
  <c r="N863" i="4"/>
  <c r="N854" i="4"/>
  <c r="N845" i="4"/>
  <c r="N836" i="4"/>
  <c r="N827" i="4"/>
  <c r="N818" i="4"/>
  <c r="N809" i="4"/>
  <c r="N799" i="4"/>
  <c r="N790" i="4"/>
  <c r="N781" i="4"/>
  <c r="N772" i="4"/>
  <c r="N763" i="4"/>
  <c r="N754" i="4"/>
  <c r="N745" i="4"/>
  <c r="N735" i="4"/>
  <c r="N726" i="4"/>
  <c r="N717" i="4"/>
  <c r="N708" i="4"/>
  <c r="N699" i="4"/>
  <c r="N690" i="4"/>
  <c r="N681" i="4"/>
  <c r="N671" i="4"/>
  <c r="N662" i="4"/>
  <c r="N653" i="4"/>
  <c r="N644" i="4"/>
  <c r="N635" i="4"/>
  <c r="N626" i="4"/>
  <c r="N617" i="4"/>
  <c r="N607" i="4"/>
  <c r="N598" i="4"/>
  <c r="N589" i="4"/>
  <c r="N580" i="4"/>
  <c r="N571" i="4"/>
  <c r="N562" i="4"/>
  <c r="N553" i="4"/>
  <c r="N543" i="4"/>
  <c r="N534" i="4"/>
  <c r="N525" i="4"/>
  <c r="N516" i="4"/>
  <c r="N507" i="4"/>
  <c r="N498" i="4"/>
  <c r="N489" i="4"/>
  <c r="N479" i="4"/>
  <c r="N470" i="4"/>
  <c r="N461" i="4"/>
  <c r="N452" i="4"/>
  <c r="N443" i="4"/>
  <c r="N434" i="4"/>
  <c r="N425" i="4"/>
  <c r="N415" i="4"/>
  <c r="N406" i="4"/>
  <c r="N397" i="4"/>
  <c r="N388" i="4"/>
  <c r="N379" i="4"/>
  <c r="N370" i="4"/>
  <c r="N361" i="4"/>
  <c r="N351" i="4"/>
  <c r="N342" i="4"/>
  <c r="N333" i="4"/>
  <c r="N324" i="4"/>
  <c r="N315" i="4"/>
  <c r="N306" i="4"/>
  <c r="N297" i="4"/>
  <c r="N287" i="4"/>
  <c r="N278" i="4"/>
  <c r="N269" i="4"/>
  <c r="N260" i="4"/>
  <c r="N251" i="4"/>
  <c r="N242" i="4"/>
  <c r="N233" i="4"/>
  <c r="N223" i="4"/>
  <c r="N214" i="4"/>
  <c r="N205" i="4"/>
  <c r="N196" i="4"/>
  <c r="N187" i="4"/>
  <c r="N178" i="4"/>
  <c r="N169" i="4"/>
  <c r="N159" i="4"/>
  <c r="N150" i="4"/>
  <c r="N141" i="4"/>
  <c r="N132" i="4"/>
  <c r="N123" i="4"/>
  <c r="N114" i="4"/>
  <c r="N105" i="4"/>
  <c r="N95" i="4"/>
  <c r="N86" i="4"/>
  <c r="N77" i="4"/>
  <c r="N68" i="4"/>
  <c r="N59" i="4"/>
  <c r="N50" i="4"/>
  <c r="N41" i="4"/>
  <c r="N31" i="4"/>
  <c r="N22" i="4"/>
  <c r="N13" i="4"/>
  <c r="N4" i="4"/>
  <c r="N996" i="4"/>
  <c r="N986" i="4"/>
  <c r="N975" i="4"/>
  <c r="N965" i="4"/>
  <c r="N954" i="4"/>
  <c r="N943" i="4"/>
  <c r="N933" i="4"/>
  <c r="N923" i="4"/>
  <c r="N913" i="4"/>
  <c r="N902" i="4"/>
  <c r="N892" i="4"/>
  <c r="N881" i="4"/>
  <c r="N870" i="4"/>
  <c r="N860" i="4"/>
  <c r="N850" i="4"/>
  <c r="N839" i="4"/>
  <c r="N829" i="4"/>
  <c r="N819" i="4"/>
  <c r="N807" i="4"/>
  <c r="N797" i="4"/>
  <c r="N787" i="4"/>
  <c r="N777" i="4"/>
  <c r="N766" i="4"/>
  <c r="N756" i="4"/>
  <c r="N746" i="4"/>
  <c r="N734" i="4"/>
  <c r="N724" i="4"/>
  <c r="N714" i="4"/>
  <c r="N703" i="4"/>
  <c r="N693" i="4"/>
  <c r="N683" i="4"/>
  <c r="N673" i="4"/>
  <c r="N661" i="4"/>
  <c r="N651" i="4"/>
  <c r="N641" i="4"/>
  <c r="N630" i="4"/>
  <c r="N620" i="4"/>
  <c r="N610" i="4"/>
  <c r="N599" i="4"/>
  <c r="N588" i="4"/>
  <c r="N578" i="4"/>
  <c r="N567" i="4"/>
  <c r="N557" i="4"/>
  <c r="N547" i="4"/>
  <c r="N537" i="4"/>
  <c r="N526" i="4"/>
  <c r="N515" i="4"/>
  <c r="N505" i="4"/>
  <c r="N494" i="4"/>
  <c r="N484" i="4"/>
  <c r="N474" i="4"/>
  <c r="N463" i="4"/>
  <c r="N453" i="4"/>
  <c r="N442" i="4"/>
  <c r="N431" i="4"/>
  <c r="N421" i="4"/>
  <c r="N411" i="4"/>
  <c r="N401" i="4"/>
  <c r="N390" i="4"/>
  <c r="N380" i="4"/>
  <c r="N369" i="4"/>
  <c r="N358" i="4"/>
  <c r="N348" i="4"/>
  <c r="N338" i="4"/>
  <c r="N327" i="4"/>
  <c r="N317" i="4"/>
  <c r="N307" i="4"/>
  <c r="N295" i="4"/>
  <c r="N285" i="4"/>
  <c r="N275" i="4"/>
  <c r="N265" i="4"/>
  <c r="N254" i="4"/>
  <c r="N244" i="4"/>
  <c r="N234" i="4"/>
  <c r="N222" i="4"/>
  <c r="N212" i="4"/>
  <c r="N202" i="4"/>
  <c r="N191" i="4"/>
  <c r="N181" i="4"/>
  <c r="N171" i="4"/>
  <c r="N161" i="4"/>
  <c r="N149" i="4"/>
  <c r="N139" i="4"/>
  <c r="N129" i="4"/>
  <c r="N118" i="4"/>
  <c r="N108" i="4"/>
  <c r="N98" i="4"/>
  <c r="N87" i="4"/>
  <c r="N76" i="4"/>
  <c r="N66" i="4"/>
  <c r="N55" i="4"/>
  <c r="N45" i="4"/>
  <c r="N35" i="4"/>
  <c r="N25" i="4"/>
  <c r="N14" i="4"/>
  <c r="N3" i="4"/>
  <c r="N995" i="4"/>
  <c r="N985" i="4"/>
  <c r="N974" i="4"/>
  <c r="N963" i="4"/>
  <c r="N953" i="4"/>
  <c r="N942" i="4"/>
  <c r="N932" i="4"/>
  <c r="N922" i="4"/>
  <c r="N911" i="4"/>
  <c r="N901" i="4"/>
  <c r="N890" i="4"/>
  <c r="N879" i="4"/>
  <c r="N869" i="4"/>
  <c r="N859" i="4"/>
  <c r="N849" i="4"/>
  <c r="N838" i="4"/>
  <c r="N828" i="4"/>
  <c r="N817" i="4"/>
  <c r="N806" i="4"/>
  <c r="N796" i="4"/>
  <c r="N786" i="4"/>
  <c r="N775" i="4"/>
  <c r="N765" i="4"/>
  <c r="N755" i="4"/>
  <c r="N743" i="4"/>
  <c r="N733" i="4"/>
  <c r="N723" i="4"/>
  <c r="N713" i="4"/>
  <c r="N702" i="4"/>
  <c r="N692" i="4"/>
  <c r="N682" i="4"/>
  <c r="N670" i="4"/>
  <c r="N660" i="4"/>
  <c r="N650" i="4"/>
  <c r="N639" i="4"/>
  <c r="N629" i="4"/>
  <c r="N619" i="4"/>
  <c r="N609" i="4"/>
  <c r="N597" i="4"/>
  <c r="N587" i="4"/>
  <c r="N577" i="4"/>
  <c r="N566" i="4"/>
  <c r="N556" i="4"/>
  <c r="N546" i="4"/>
  <c r="N535" i="4"/>
  <c r="N524" i="4"/>
  <c r="N514" i="4"/>
  <c r="N503" i="4"/>
  <c r="N493" i="4"/>
  <c r="N483" i="4"/>
  <c r="N473" i="4"/>
  <c r="N462" i="4"/>
  <c r="N451" i="4"/>
  <c r="N441" i="4"/>
  <c r="N430" i="4"/>
  <c r="N420" i="4"/>
  <c r="N410" i="4"/>
  <c r="N399" i="4"/>
  <c r="N389" i="4"/>
  <c r="N378" i="4"/>
  <c r="N367" i="4"/>
  <c r="N357" i="4"/>
  <c r="N347" i="4"/>
  <c r="N337" i="4"/>
  <c r="N326" i="4"/>
  <c r="N316" i="4"/>
  <c r="N305" i="4"/>
  <c r="N294" i="4"/>
  <c r="N284" i="4"/>
  <c r="N274" i="4"/>
  <c r="N263" i="4"/>
  <c r="N253" i="4"/>
  <c r="N243" i="4"/>
  <c r="N231" i="4"/>
  <c r="N221" i="4"/>
  <c r="N211" i="4"/>
  <c r="N201" i="4"/>
  <c r="N190" i="4"/>
  <c r="N180" i="4"/>
  <c r="N170" i="4"/>
  <c r="N158" i="4"/>
  <c r="N148" i="4"/>
  <c r="N138" i="4"/>
  <c r="N127" i="4"/>
  <c r="N117" i="4"/>
  <c r="N107" i="4"/>
  <c r="N97" i="4"/>
  <c r="N85" i="4"/>
  <c r="N75" i="4"/>
  <c r="N65" i="4"/>
  <c r="N54" i="4"/>
  <c r="N44" i="4"/>
  <c r="N34" i="4"/>
  <c r="N23" i="4"/>
  <c r="N12" i="4"/>
  <c r="N994" i="4"/>
  <c r="N983" i="4"/>
  <c r="N972" i="4"/>
  <c r="N962" i="4"/>
  <c r="N951" i="4"/>
  <c r="N941" i="4"/>
  <c r="N931" i="4"/>
  <c r="N921" i="4"/>
  <c r="N910" i="4"/>
  <c r="N899" i="4"/>
  <c r="N889" i="4"/>
  <c r="N878" i="4"/>
  <c r="N868" i="4"/>
  <c r="N858" i="4"/>
  <c r="N847" i="4"/>
  <c r="N837" i="4"/>
  <c r="N826" i="4"/>
  <c r="N815" i="4"/>
  <c r="N805" i="4"/>
  <c r="N795" i="4"/>
  <c r="N785" i="4"/>
  <c r="N774" i="4"/>
  <c r="N764" i="4"/>
  <c r="N753" i="4"/>
  <c r="N742" i="4"/>
  <c r="N732" i="4"/>
  <c r="N722" i="4"/>
  <c r="N711" i="4"/>
  <c r="N701" i="4"/>
  <c r="N691" i="4"/>
  <c r="N679" i="4"/>
  <c r="N669" i="4"/>
  <c r="N659" i="4"/>
  <c r="N649" i="4"/>
  <c r="N638" i="4"/>
  <c r="N628" i="4"/>
  <c r="N618" i="4"/>
  <c r="N606" i="4"/>
  <c r="N596" i="4"/>
  <c r="N586" i="4"/>
  <c r="N575" i="4"/>
  <c r="N565" i="4"/>
  <c r="N555" i="4"/>
  <c r="N545" i="4"/>
  <c r="N533" i="4"/>
  <c r="N523" i="4"/>
  <c r="N513" i="4"/>
  <c r="N502" i="4"/>
  <c r="N492" i="4"/>
  <c r="N482" i="4"/>
  <c r="N471" i="4"/>
  <c r="N460" i="4"/>
  <c r="N450" i="4"/>
  <c r="N439" i="4"/>
  <c r="N429" i="4"/>
  <c r="N419" i="4"/>
  <c r="N409" i="4"/>
  <c r="N398" i="4"/>
  <c r="N387" i="4"/>
  <c r="N377" i="4"/>
  <c r="N366" i="4"/>
  <c r="N356" i="4"/>
  <c r="N346" i="4"/>
  <c r="N335" i="4"/>
  <c r="N325" i="4"/>
  <c r="N314" i="4"/>
  <c r="N303" i="4"/>
  <c r="N293" i="4"/>
  <c r="N283" i="4"/>
  <c r="N273" i="4"/>
  <c r="N262" i="4"/>
  <c r="N252" i="4"/>
  <c r="N241" i="4"/>
  <c r="N230" i="4"/>
  <c r="N220" i="4"/>
  <c r="N210" i="4"/>
  <c r="N199" i="4"/>
  <c r="N189" i="4"/>
  <c r="N179" i="4"/>
  <c r="N167" i="4"/>
  <c r="N157" i="4"/>
  <c r="N147" i="4"/>
  <c r="N137" i="4"/>
  <c r="N126" i="4"/>
  <c r="N116" i="4"/>
  <c r="N106" i="4"/>
  <c r="N94" i="4"/>
  <c r="N84" i="4"/>
  <c r="N74" i="4"/>
  <c r="N989" i="4"/>
  <c r="N971" i="4"/>
  <c r="N957" i="4"/>
  <c r="N939" i="4"/>
  <c r="N924" i="4"/>
  <c r="N906" i="4"/>
  <c r="N887" i="4"/>
  <c r="N874" i="4"/>
  <c r="N855" i="4"/>
  <c r="N841" i="4"/>
  <c r="N822" i="4"/>
  <c r="N804" i="4"/>
  <c r="N789" i="4"/>
  <c r="N771" i="4"/>
  <c r="N757" i="4"/>
  <c r="N739" i="4"/>
  <c r="N721" i="4"/>
  <c r="N706" i="4"/>
  <c r="N687" i="4"/>
  <c r="N674" i="4"/>
  <c r="N655" i="4"/>
  <c r="N637" i="4"/>
  <c r="N622" i="4"/>
  <c r="N604" i="4"/>
  <c r="N590" i="4"/>
  <c r="N572" i="4"/>
  <c r="N554" i="4"/>
  <c r="N539" i="4"/>
  <c r="N521" i="4"/>
  <c r="N506" i="4"/>
  <c r="N487" i="4"/>
  <c r="N469" i="4"/>
  <c r="N455" i="4"/>
  <c r="N437" i="4"/>
  <c r="N422" i="4"/>
  <c r="N404" i="4"/>
  <c r="N386" i="4"/>
  <c r="N372" i="4"/>
  <c r="N354" i="4"/>
  <c r="N339" i="4"/>
  <c r="N321" i="4"/>
  <c r="N302" i="4"/>
  <c r="N289" i="4"/>
  <c r="N270" i="4"/>
  <c r="N255" i="4"/>
  <c r="N237" i="4"/>
  <c r="N219" i="4"/>
  <c r="N204" i="4"/>
  <c r="N186" i="4"/>
  <c r="N172" i="4"/>
  <c r="N154" i="4"/>
  <c r="N135" i="4"/>
  <c r="N121" i="4"/>
  <c r="N102" i="4"/>
  <c r="N89" i="4"/>
  <c r="N70" i="4"/>
  <c r="N57" i="4"/>
  <c r="N42" i="4"/>
  <c r="N28" i="4"/>
  <c r="N15" i="4"/>
  <c r="N987" i="4"/>
  <c r="N969" i="4"/>
  <c r="N950" i="4"/>
  <c r="N935" i="4"/>
  <c r="N917" i="4"/>
  <c r="N903" i="4"/>
  <c r="N885" i="4"/>
  <c r="N867" i="4"/>
  <c r="N852" i="4"/>
  <c r="N834" i="4"/>
  <c r="N820" i="4"/>
  <c r="N802" i="4"/>
  <c r="N783" i="4"/>
  <c r="N999" i="4"/>
  <c r="N981" i="4"/>
  <c r="N967" i="4"/>
  <c r="N949" i="4"/>
  <c r="N934" i="4"/>
  <c r="N916" i="4"/>
  <c r="N898" i="4"/>
  <c r="N884" i="4"/>
  <c r="N866" i="4"/>
  <c r="N851" i="4"/>
  <c r="N833" i="4"/>
  <c r="N814" i="4"/>
  <c r="N801" i="4"/>
  <c r="N782" i="4"/>
  <c r="N767" i="4"/>
  <c r="N749" i="4"/>
  <c r="N731" i="4"/>
  <c r="N716" i="4"/>
  <c r="N698" i="4"/>
  <c r="N684" i="4"/>
  <c r="N666" i="4"/>
  <c r="N647" i="4"/>
  <c r="N633" i="4"/>
  <c r="N614" i="4"/>
  <c r="N601" i="4"/>
  <c r="N582" i="4"/>
  <c r="N564" i="4"/>
  <c r="N549" i="4"/>
  <c r="N531" i="4"/>
  <c r="N517" i="4"/>
  <c r="N499" i="4"/>
  <c r="N481" i="4"/>
  <c r="N466" i="4"/>
  <c r="N447" i="4"/>
  <c r="N433" i="4"/>
  <c r="N414" i="4"/>
  <c r="N396" i="4"/>
  <c r="N980" i="4"/>
  <c r="N958" i="4"/>
  <c r="N929" i="4"/>
  <c r="N905" i="4"/>
  <c r="N876" i="4"/>
  <c r="N846" i="4"/>
  <c r="N823" i="4"/>
  <c r="N794" i="4"/>
  <c r="N770" i="4"/>
  <c r="N748" i="4"/>
  <c r="N727" i="4"/>
  <c r="N705" i="4"/>
  <c r="N678" i="4"/>
  <c r="N658" i="4"/>
  <c r="N636" i="4"/>
  <c r="N613" i="4"/>
  <c r="N593" i="4"/>
  <c r="N570" i="4"/>
  <c r="N548" i="4"/>
  <c r="N527" i="4"/>
  <c r="N501" i="4"/>
  <c r="N478" i="4"/>
  <c r="N458" i="4"/>
  <c r="N436" i="4"/>
  <c r="N413" i="4"/>
  <c r="N393" i="4"/>
  <c r="N373" i="4"/>
  <c r="N353" i="4"/>
  <c r="N332" i="4"/>
  <c r="N313" i="4"/>
  <c r="N298" i="4"/>
  <c r="N277" i="4"/>
  <c r="N258" i="4"/>
  <c r="N238" i="4"/>
  <c r="N218" i="4"/>
  <c r="N198" i="4"/>
  <c r="N182" i="4"/>
  <c r="N163" i="4"/>
  <c r="N143" i="4"/>
  <c r="N124" i="4"/>
  <c r="N103" i="4"/>
  <c r="N83" i="4"/>
  <c r="N67" i="4"/>
  <c r="N51" i="4"/>
  <c r="N36" i="4"/>
  <c r="N19" i="4"/>
  <c r="N5" i="4"/>
  <c r="N979" i="4"/>
  <c r="N956" i="4"/>
  <c r="N926" i="4"/>
  <c r="N897" i="4"/>
  <c r="N875" i="4"/>
  <c r="N844" i="4"/>
  <c r="N821" i="4"/>
  <c r="N793" i="4"/>
  <c r="N769" i="4"/>
  <c r="N747" i="4"/>
  <c r="N725" i="4"/>
  <c r="N700" i="4"/>
  <c r="N677" i="4"/>
  <c r="N657" i="4"/>
  <c r="N634" i="4"/>
  <c r="N612" i="4"/>
  <c r="N591" i="4"/>
  <c r="N569" i="4"/>
  <c r="N542" i="4"/>
  <c r="N522" i="4"/>
  <c r="N500" i="4"/>
  <c r="N477" i="4"/>
  <c r="N457" i="4"/>
  <c r="N435" i="4"/>
  <c r="N412" i="4"/>
  <c r="N391" i="4"/>
  <c r="N371" i="4"/>
  <c r="N350" i="4"/>
  <c r="N331" i="4"/>
  <c r="N311" i="4"/>
  <c r="N292" i="4"/>
  <c r="N276" i="4"/>
  <c r="N257" i="4"/>
  <c r="N236" i="4"/>
  <c r="N217" i="4"/>
  <c r="N197" i="4"/>
  <c r="N177" i="4"/>
  <c r="N162" i="4"/>
  <c r="N142" i="4"/>
  <c r="N122" i="4"/>
  <c r="N101" i="4"/>
  <c r="N82" i="4"/>
  <c r="N63" i="4"/>
  <c r="N49" i="4"/>
  <c r="N33" i="4"/>
  <c r="N18" i="4"/>
  <c r="N2" i="4"/>
  <c r="N993" i="4"/>
  <c r="N959" i="4"/>
  <c r="N919" i="4"/>
  <c r="N886" i="4"/>
  <c r="N853" i="4"/>
  <c r="N812" i="4"/>
  <c r="N779" i="4"/>
  <c r="N750" i="4"/>
  <c r="N718" i="4"/>
  <c r="N689" i="4"/>
  <c r="N663" i="4"/>
  <c r="N627" i="4"/>
  <c r="N602" i="4"/>
  <c r="N573" i="4"/>
  <c r="N540" i="4"/>
  <c r="N510" i="4"/>
  <c r="N485" i="4"/>
  <c r="N449" i="4"/>
  <c r="N423" i="4"/>
  <c r="N394" i="4"/>
  <c r="N364" i="4"/>
  <c r="N341" i="4"/>
  <c r="N318" i="4"/>
  <c r="N290" i="4"/>
  <c r="N266" i="4"/>
  <c r="N239" i="4"/>
  <c r="N213" i="4"/>
  <c r="N188" i="4"/>
  <c r="N164" i="4"/>
  <c r="N134" i="4"/>
  <c r="N111" i="4"/>
  <c r="N90" i="4"/>
  <c r="N61" i="4"/>
  <c r="N39" i="4"/>
  <c r="N20" i="4"/>
  <c r="N990" i="4"/>
  <c r="N948" i="4"/>
  <c r="N915" i="4"/>
  <c r="N883" i="4"/>
  <c r="N843" i="4"/>
  <c r="N811" i="4"/>
  <c r="N778" i="4"/>
  <c r="N741" i="4"/>
  <c r="N715" i="4"/>
  <c r="N686" i="4"/>
  <c r="N654" i="4"/>
  <c r="N625" i="4"/>
  <c r="N595" i="4"/>
  <c r="N563" i="4"/>
  <c r="N538" i="4"/>
  <c r="N509" i="4"/>
  <c r="N476" i="4"/>
  <c r="N446" i="4"/>
  <c r="N418" i="4"/>
  <c r="N385" i="4"/>
  <c r="N363" i="4"/>
  <c r="N340" i="4"/>
  <c r="N310" i="4"/>
  <c r="N286" i="4"/>
  <c r="N261" i="4"/>
  <c r="N235" i="4"/>
  <c r="N209" i="4"/>
  <c r="N185" i="4"/>
  <c r="N156" i="4"/>
  <c r="N133" i="4"/>
  <c r="N110" i="4"/>
  <c r="N81" i="4"/>
  <c r="N60" i="4"/>
  <c r="N38" i="4"/>
  <c r="N17" i="4"/>
  <c r="N988" i="4"/>
  <c r="N947" i="4"/>
  <c r="N914" i="4"/>
  <c r="N877" i="4"/>
  <c r="N842" i="4"/>
  <c r="N810" i="4"/>
  <c r="N773" i="4"/>
  <c r="N740" i="4"/>
  <c r="N710" i="4"/>
  <c r="N685" i="4"/>
  <c r="N652" i="4"/>
  <c r="N623" i="4"/>
  <c r="N594" i="4"/>
  <c r="N561" i="4"/>
  <c r="N532" i="4"/>
  <c r="N508" i="4"/>
  <c r="N475" i="4"/>
  <c r="N445" i="4"/>
  <c r="N417" i="4"/>
  <c r="N383" i="4"/>
  <c r="N362" i="4"/>
  <c r="N334" i="4"/>
  <c r="N309" i="4"/>
  <c r="N282" i="4"/>
  <c r="N259" i="4"/>
  <c r="N229" i="4"/>
  <c r="N207" i="4"/>
  <c r="N183" i="4"/>
  <c r="N155" i="4"/>
  <c r="N131" i="4"/>
  <c r="N109" i="4"/>
  <c r="N79" i="4"/>
  <c r="N58" i="4"/>
  <c r="N37" i="4"/>
  <c r="N11" i="4"/>
  <c r="N977" i="4"/>
  <c r="N940" i="4"/>
  <c r="N907" i="4"/>
  <c r="N865" i="4"/>
  <c r="N831" i="4"/>
  <c r="N798" i="4"/>
  <c r="N761" i="4"/>
  <c r="N737" i="4"/>
  <c r="N707" i="4"/>
  <c r="N675" i="4"/>
  <c r="N645" i="4"/>
  <c r="N615" i="4"/>
  <c r="N583" i="4"/>
  <c r="N558" i="4"/>
  <c r="N529" i="4"/>
  <c r="N495" i="4"/>
  <c r="N467" i="4"/>
  <c r="N438" i="4"/>
  <c r="N405" i="4"/>
  <c r="N381" i="4"/>
  <c r="N355" i="4"/>
  <c r="N329" i="4"/>
  <c r="N301" i="4"/>
  <c r="N279" i="4"/>
  <c r="N249" i="4"/>
  <c r="N227" i="4"/>
  <c r="N203" i="4"/>
  <c r="N174" i="4"/>
  <c r="N151" i="4"/>
  <c r="N125" i="4"/>
  <c r="N99" i="4"/>
  <c r="N73" i="4"/>
  <c r="N52" i="4"/>
  <c r="N970" i="4"/>
  <c r="N938" i="4"/>
  <c r="N895" i="4"/>
  <c r="N862" i="4"/>
  <c r="N830" i="4"/>
  <c r="N791" i="4"/>
  <c r="N759" i="4"/>
  <c r="N730" i="4"/>
  <c r="N697" i="4"/>
  <c r="N668" i="4"/>
  <c r="N643" i="4"/>
  <c r="N611" i="4"/>
  <c r="N581" i="4"/>
  <c r="N551" i="4"/>
  <c r="N519" i="4"/>
  <c r="N491" i="4"/>
  <c r="N465" i="4"/>
  <c r="N428" i="4"/>
  <c r="N403" i="4"/>
  <c r="N375" i="4"/>
  <c r="N349" i="4"/>
  <c r="N323" i="4"/>
  <c r="N300" i="4"/>
  <c r="N271" i="4"/>
  <c r="N247" i="4"/>
  <c r="N226" i="4"/>
  <c r="N195" i="4"/>
  <c r="N173" i="4"/>
  <c r="N146" i="4"/>
  <c r="N119" i="4"/>
  <c r="N93" i="4"/>
  <c r="N71" i="4"/>
  <c r="N47" i="4"/>
  <c r="N998" i="4"/>
  <c r="N966" i="4"/>
  <c r="N930" i="4"/>
  <c r="N894" i="4"/>
  <c r="N861" i="4"/>
  <c r="N825" i="4"/>
  <c r="N788" i="4"/>
  <c r="N758" i="4"/>
  <c r="N729" i="4"/>
  <c r="N695" i="4"/>
  <c r="N667" i="4"/>
  <c r="N642" i="4"/>
  <c r="N605" i="4"/>
  <c r="N579" i="4"/>
  <c r="N550" i="4"/>
  <c r="N518" i="4"/>
  <c r="N490" i="4"/>
  <c r="N459" i="4"/>
  <c r="N427" i="4"/>
  <c r="N402" i="4"/>
  <c r="N374" i="4"/>
  <c r="N345" i="4"/>
  <c r="N322" i="4"/>
  <c r="N299" i="4"/>
  <c r="N268" i="4"/>
  <c r="N246" i="4"/>
  <c r="N225" i="4"/>
  <c r="N194" i="4"/>
  <c r="N166" i="4"/>
  <c r="N145" i="4"/>
  <c r="N115" i="4"/>
  <c r="N92" i="4"/>
  <c r="N69" i="4"/>
  <c r="N46" i="4"/>
  <c r="N26" i="4"/>
  <c r="N6" i="4"/>
  <c r="N978" i="4"/>
  <c r="N835" i="4"/>
  <c r="N709" i="4"/>
  <c r="N585" i="4"/>
  <c r="N468" i="4"/>
  <c r="N359" i="4"/>
  <c r="N250" i="4"/>
  <c r="N153" i="4"/>
  <c r="N53" i="4"/>
  <c r="N7" i="4"/>
  <c r="N961" i="4"/>
  <c r="N813" i="4"/>
  <c r="N694" i="4"/>
  <c r="N574" i="4"/>
  <c r="N454" i="4"/>
  <c r="N343" i="4"/>
  <c r="N245" i="4"/>
  <c r="N140" i="4"/>
  <c r="N43" i="4"/>
  <c r="N945" i="4"/>
  <c r="N803" i="4"/>
  <c r="N676" i="4"/>
  <c r="N559" i="4"/>
  <c r="N444" i="4"/>
  <c r="N330" i="4"/>
  <c r="N228" i="4"/>
  <c r="N130" i="4"/>
  <c r="N30" i="4"/>
  <c r="N925" i="4"/>
  <c r="N780" i="4"/>
  <c r="N665" i="4"/>
  <c r="N541" i="4"/>
  <c r="N426" i="4"/>
  <c r="N319" i="4"/>
  <c r="N215" i="4"/>
  <c r="N113" i="4"/>
  <c r="N29" i="4"/>
  <c r="N908" i="4"/>
  <c r="N762" i="4"/>
  <c r="N646" i="4"/>
  <c r="N530" i="4"/>
  <c r="N407" i="4"/>
  <c r="N871" i="4"/>
  <c r="N738" i="4"/>
  <c r="N621" i="4"/>
  <c r="N497" i="4"/>
  <c r="N382" i="4"/>
  <c r="N997" i="4"/>
  <c r="N857" i="4"/>
  <c r="N719" i="4"/>
  <c r="N603" i="4"/>
  <c r="N486" i="4"/>
  <c r="N365" i="4"/>
  <c r="N751" i="4"/>
  <c r="N206" i="4"/>
  <c r="N27" i="4"/>
  <c r="N631" i="4"/>
  <c r="N193" i="4"/>
  <c r="N21" i="4"/>
  <c r="N511" i="4"/>
  <c r="N175" i="4"/>
  <c r="N10" i="4"/>
  <c r="N395" i="4"/>
  <c r="N165" i="4"/>
  <c r="N9" i="4"/>
  <c r="N308" i="4"/>
  <c r="N100" i="4"/>
  <c r="N291" i="4"/>
  <c r="N91" i="4"/>
  <c r="N281" i="4"/>
  <c r="N78" i="4"/>
  <c r="N893" i="4"/>
  <c r="N267" i="4"/>
  <c r="N62" i="4"/>
  <c r="AB35" i="4"/>
  <c r="AB19" i="4"/>
  <c r="AB53" i="4"/>
  <c r="Y18" i="4"/>
  <c r="Y26" i="4"/>
  <c r="AB42" i="4"/>
  <c r="Y27" i="4"/>
  <c r="Y45" i="4"/>
  <c r="Y46" i="4"/>
  <c r="AB23" i="4"/>
  <c r="Y39" i="4"/>
  <c r="Y35" i="4"/>
  <c r="Y37" i="4"/>
  <c r="Y22" i="4"/>
  <c r="Y9" i="4"/>
  <c r="AB39" i="4"/>
  <c r="AB15" i="4"/>
  <c r="Y6" i="4"/>
  <c r="AB16" i="4"/>
  <c r="AB17" i="4"/>
  <c r="AB13" i="4"/>
  <c r="AB18" i="4"/>
  <c r="AB12" i="4"/>
  <c r="AB10" i="4"/>
  <c r="AB49" i="4"/>
  <c r="Y51" i="4"/>
  <c r="Y7" i="4"/>
  <c r="D4" i="7"/>
  <c r="AB3" i="4"/>
  <c r="M1000" i="4"/>
  <c r="M992" i="4"/>
  <c r="M984" i="4"/>
  <c r="M976" i="4"/>
  <c r="M968" i="4"/>
  <c r="M960" i="4"/>
  <c r="M952" i="4"/>
  <c r="M944" i="4"/>
  <c r="M936" i="4"/>
  <c r="M928" i="4"/>
  <c r="M920" i="4"/>
  <c r="M912" i="4"/>
  <c r="M904" i="4"/>
  <c r="M896" i="4"/>
  <c r="M888" i="4"/>
  <c r="M880" i="4"/>
  <c r="M872" i="4"/>
  <c r="M864" i="4"/>
  <c r="M856" i="4"/>
  <c r="M848" i="4"/>
  <c r="M840" i="4"/>
  <c r="M832" i="4"/>
  <c r="M824" i="4"/>
  <c r="M816" i="4"/>
  <c r="M808" i="4"/>
  <c r="M800" i="4"/>
  <c r="M792" i="4"/>
  <c r="M784" i="4"/>
  <c r="M776" i="4"/>
  <c r="M768" i="4"/>
  <c r="M760" i="4"/>
  <c r="M752" i="4"/>
  <c r="M744" i="4"/>
  <c r="M736" i="4"/>
  <c r="M728" i="4"/>
  <c r="M720" i="4"/>
  <c r="M712" i="4"/>
  <c r="M704" i="4"/>
  <c r="M696" i="4"/>
  <c r="M688" i="4"/>
  <c r="M680" i="4"/>
  <c r="M672" i="4"/>
  <c r="M664" i="4"/>
  <c r="M656" i="4"/>
  <c r="M648" i="4"/>
  <c r="M640" i="4"/>
  <c r="M632" i="4"/>
  <c r="M624" i="4"/>
  <c r="M995" i="4"/>
  <c r="M986" i="4"/>
  <c r="M977" i="4"/>
  <c r="M967" i="4"/>
  <c r="M958" i="4"/>
  <c r="M949" i="4"/>
  <c r="M940" i="4"/>
  <c r="M931" i="4"/>
  <c r="M922" i="4"/>
  <c r="M913" i="4"/>
  <c r="M903" i="4"/>
  <c r="M894" i="4"/>
  <c r="M885" i="4"/>
  <c r="M876" i="4"/>
  <c r="M867" i="4"/>
  <c r="M858" i="4"/>
  <c r="M849" i="4"/>
  <c r="M839" i="4"/>
  <c r="M830" i="4"/>
  <c r="M821" i="4"/>
  <c r="M812" i="4"/>
  <c r="M803" i="4"/>
  <c r="M794" i="4"/>
  <c r="M785" i="4"/>
  <c r="M775" i="4"/>
  <c r="M766" i="4"/>
  <c r="M757" i="4"/>
  <c r="M748" i="4"/>
  <c r="M739" i="4"/>
  <c r="M730" i="4"/>
  <c r="M721" i="4"/>
  <c r="M711" i="4"/>
  <c r="M702" i="4"/>
  <c r="M693" i="4"/>
  <c r="M684" i="4"/>
  <c r="M675" i="4"/>
  <c r="M666" i="4"/>
  <c r="M657" i="4"/>
  <c r="M647" i="4"/>
  <c r="M638" i="4"/>
  <c r="M629" i="4"/>
  <c r="M620" i="4"/>
  <c r="M612" i="4"/>
  <c r="M604" i="4"/>
  <c r="M596" i="4"/>
  <c r="M588" i="4"/>
  <c r="M580" i="4"/>
  <c r="M572" i="4"/>
  <c r="M564" i="4"/>
  <c r="M556" i="4"/>
  <c r="M548" i="4"/>
  <c r="M540" i="4"/>
  <c r="M532" i="4"/>
  <c r="M524" i="4"/>
  <c r="M516" i="4"/>
  <c r="M508" i="4"/>
  <c r="M500" i="4"/>
  <c r="M492" i="4"/>
  <c r="M484" i="4"/>
  <c r="M476" i="4"/>
  <c r="M468" i="4"/>
  <c r="M460" i="4"/>
  <c r="M452" i="4"/>
  <c r="M444" i="4"/>
  <c r="M436" i="4"/>
  <c r="M428" i="4"/>
  <c r="M420" i="4"/>
  <c r="M412" i="4"/>
  <c r="M404" i="4"/>
  <c r="M396" i="4"/>
  <c r="M388" i="4"/>
  <c r="M380" i="4"/>
  <c r="M372" i="4"/>
  <c r="M364" i="4"/>
  <c r="M356" i="4"/>
  <c r="M348" i="4"/>
  <c r="M340" i="4"/>
  <c r="M332" i="4"/>
  <c r="M324" i="4"/>
  <c r="M316" i="4"/>
  <c r="M308" i="4"/>
  <c r="M300" i="4"/>
  <c r="M292" i="4"/>
  <c r="M284" i="4"/>
  <c r="M276" i="4"/>
  <c r="M268" i="4"/>
  <c r="M260" i="4"/>
  <c r="M252" i="4"/>
  <c r="M244" i="4"/>
  <c r="M236" i="4"/>
  <c r="M228" i="4"/>
  <c r="M220" i="4"/>
  <c r="M212" i="4"/>
  <c r="M204" i="4"/>
  <c r="M196" i="4"/>
  <c r="M188" i="4"/>
  <c r="M180" i="4"/>
  <c r="M172" i="4"/>
  <c r="M164" i="4"/>
  <c r="M156" i="4"/>
  <c r="M148" i="4"/>
  <c r="M140" i="4"/>
  <c r="M132" i="4"/>
  <c r="M124" i="4"/>
  <c r="M116" i="4"/>
  <c r="M108" i="4"/>
  <c r="M100" i="4"/>
  <c r="M92" i="4"/>
  <c r="M84" i="4"/>
  <c r="M76" i="4"/>
  <c r="M68" i="4"/>
  <c r="M60" i="4"/>
  <c r="M52" i="4"/>
  <c r="M44" i="4"/>
  <c r="M36" i="4"/>
  <c r="M28" i="4"/>
  <c r="M20" i="4"/>
  <c r="M12" i="4"/>
  <c r="M4" i="4"/>
  <c r="M993" i="4"/>
  <c r="M982" i="4"/>
  <c r="M972" i="4"/>
  <c r="M962" i="4"/>
  <c r="M951" i="4"/>
  <c r="M941" i="4"/>
  <c r="M930" i="4"/>
  <c r="M919" i="4"/>
  <c r="M909" i="4"/>
  <c r="M899" i="4"/>
  <c r="M889" i="4"/>
  <c r="M878" i="4"/>
  <c r="M868" i="4"/>
  <c r="M857" i="4"/>
  <c r="M846" i="4"/>
  <c r="M836" i="4"/>
  <c r="M826" i="4"/>
  <c r="M815" i="4"/>
  <c r="M805" i="4"/>
  <c r="M795" i="4"/>
  <c r="M783" i="4"/>
  <c r="M773" i="4"/>
  <c r="M763" i="4"/>
  <c r="M753" i="4"/>
  <c r="M742" i="4"/>
  <c r="M732" i="4"/>
  <c r="M722" i="4"/>
  <c r="M710" i="4"/>
  <c r="M700" i="4"/>
  <c r="M690" i="4"/>
  <c r="M679" i="4"/>
  <c r="M669" i="4"/>
  <c r="M659" i="4"/>
  <c r="M649" i="4"/>
  <c r="M637" i="4"/>
  <c r="M627" i="4"/>
  <c r="M617" i="4"/>
  <c r="M608" i="4"/>
  <c r="M599" i="4"/>
  <c r="M590" i="4"/>
  <c r="M581" i="4"/>
  <c r="M571" i="4"/>
  <c r="M562" i="4"/>
  <c r="M553" i="4"/>
  <c r="M544" i="4"/>
  <c r="M535" i="4"/>
  <c r="M526" i="4"/>
  <c r="M517" i="4"/>
  <c r="M507" i="4"/>
  <c r="M498" i="4"/>
  <c r="M489" i="4"/>
  <c r="M480" i="4"/>
  <c r="M471" i="4"/>
  <c r="M462" i="4"/>
  <c r="M453" i="4"/>
  <c r="M443" i="4"/>
  <c r="M434" i="4"/>
  <c r="M425" i="4"/>
  <c r="M416" i="4"/>
  <c r="M407" i="4"/>
  <c r="M398" i="4"/>
  <c r="M389" i="4"/>
  <c r="M379" i="4"/>
  <c r="M370" i="4"/>
  <c r="M361" i="4"/>
  <c r="M352" i="4"/>
  <c r="M343" i="4"/>
  <c r="M334" i="4"/>
  <c r="M325" i="4"/>
  <c r="M315" i="4"/>
  <c r="M306" i="4"/>
  <c r="M297" i="4"/>
  <c r="M288" i="4"/>
  <c r="M279" i="4"/>
  <c r="M270" i="4"/>
  <c r="M261" i="4"/>
  <c r="M251" i="4"/>
  <c r="M242" i="4"/>
  <c r="M233" i="4"/>
  <c r="M224" i="4"/>
  <c r="M215" i="4"/>
  <c r="M206" i="4"/>
  <c r="M197" i="4"/>
  <c r="M187" i="4"/>
  <c r="M178" i="4"/>
  <c r="M169" i="4"/>
  <c r="M160" i="4"/>
  <c r="M151" i="4"/>
  <c r="M142" i="4"/>
  <c r="M133" i="4"/>
  <c r="M123" i="4"/>
  <c r="M114" i="4"/>
  <c r="M105" i="4"/>
  <c r="M96" i="4"/>
  <c r="M87" i="4"/>
  <c r="M78" i="4"/>
  <c r="M69" i="4"/>
  <c r="M59" i="4"/>
  <c r="M50" i="4"/>
  <c r="M41" i="4"/>
  <c r="M32" i="4"/>
  <c r="M23" i="4"/>
  <c r="M14" i="4"/>
  <c r="M5" i="4"/>
  <c r="M999" i="4"/>
  <c r="M988" i="4"/>
  <c r="M975" i="4"/>
  <c r="M964" i="4"/>
  <c r="M953" i="4"/>
  <c r="M939" i="4"/>
  <c r="M927" i="4"/>
  <c r="M916" i="4"/>
  <c r="M905" i="4"/>
  <c r="M892" i="4"/>
  <c r="M881" i="4"/>
  <c r="M869" i="4"/>
  <c r="M855" i="4"/>
  <c r="M844" i="4"/>
  <c r="M833" i="4"/>
  <c r="M820" i="4"/>
  <c r="M809" i="4"/>
  <c r="M797" i="4"/>
  <c r="M786" i="4"/>
  <c r="M772" i="4"/>
  <c r="M761" i="4"/>
  <c r="M749" i="4"/>
  <c r="M737" i="4"/>
  <c r="M725" i="4"/>
  <c r="M714" i="4"/>
  <c r="M701" i="4"/>
  <c r="M689" i="4"/>
  <c r="M677" i="4"/>
  <c r="M665" i="4"/>
  <c r="M653" i="4"/>
  <c r="M642" i="4"/>
  <c r="M630" i="4"/>
  <c r="M618" i="4"/>
  <c r="M607" i="4"/>
  <c r="M597" i="4"/>
  <c r="M586" i="4"/>
  <c r="M576" i="4"/>
  <c r="M566" i="4"/>
  <c r="M555" i="4"/>
  <c r="M545" i="4"/>
  <c r="M534" i="4"/>
  <c r="M523" i="4"/>
  <c r="M513" i="4"/>
  <c r="M503" i="4"/>
  <c r="M493" i="4"/>
  <c r="M482" i="4"/>
  <c r="M472" i="4"/>
  <c r="M461" i="4"/>
  <c r="M450" i="4"/>
  <c r="M440" i="4"/>
  <c r="M430" i="4"/>
  <c r="M419" i="4"/>
  <c r="M409" i="4"/>
  <c r="M399" i="4"/>
  <c r="M387" i="4"/>
  <c r="M377" i="4"/>
  <c r="M367" i="4"/>
  <c r="M357" i="4"/>
  <c r="M346" i="4"/>
  <c r="M336" i="4"/>
  <c r="M326" i="4"/>
  <c r="M314" i="4"/>
  <c r="M304" i="4"/>
  <c r="M294" i="4"/>
  <c r="M283" i="4"/>
  <c r="M273" i="4"/>
  <c r="M263" i="4"/>
  <c r="M253" i="4"/>
  <c r="M241" i="4"/>
  <c r="M231" i="4"/>
  <c r="M221" i="4"/>
  <c r="M210" i="4"/>
  <c r="M200" i="4"/>
  <c r="M190" i="4"/>
  <c r="M179" i="4"/>
  <c r="M168" i="4"/>
  <c r="M158" i="4"/>
  <c r="M147" i="4"/>
  <c r="M137" i="4"/>
  <c r="M127" i="4"/>
  <c r="M117" i="4"/>
  <c r="M106" i="4"/>
  <c r="M95" i="4"/>
  <c r="M85" i="4"/>
  <c r="M74" i="4"/>
  <c r="M64" i="4"/>
  <c r="M54" i="4"/>
  <c r="M43" i="4"/>
  <c r="M33" i="4"/>
  <c r="M22" i="4"/>
  <c r="M11" i="4"/>
  <c r="M2" i="4"/>
  <c r="M989" i="4"/>
  <c r="M974" i="4"/>
  <c r="M961" i="4"/>
  <c r="M947" i="4"/>
  <c r="M934" i="4"/>
  <c r="M921" i="4"/>
  <c r="M907" i="4"/>
  <c r="M893" i="4"/>
  <c r="M879" i="4"/>
  <c r="M865" i="4"/>
  <c r="M852" i="4"/>
  <c r="M838" i="4"/>
  <c r="M825" i="4"/>
  <c r="M811" i="4"/>
  <c r="M798" i="4"/>
  <c r="M782" i="4"/>
  <c r="M770" i="4"/>
  <c r="M756" i="4"/>
  <c r="M743" i="4"/>
  <c r="M729" i="4"/>
  <c r="M716" i="4"/>
  <c r="M703" i="4"/>
  <c r="M687" i="4"/>
  <c r="M674" i="4"/>
  <c r="M661" i="4"/>
  <c r="M646" i="4"/>
  <c r="M634" i="4"/>
  <c r="M621" i="4"/>
  <c r="M609" i="4"/>
  <c r="M595" i="4"/>
  <c r="M584" i="4"/>
  <c r="M573" i="4"/>
  <c r="M560" i="4"/>
  <c r="M549" i="4"/>
  <c r="M537" i="4"/>
  <c r="M525" i="4"/>
  <c r="M512" i="4"/>
  <c r="M501" i="4"/>
  <c r="M488" i="4"/>
  <c r="M477" i="4"/>
  <c r="M465" i="4"/>
  <c r="M454" i="4"/>
  <c r="M441" i="4"/>
  <c r="M429" i="4"/>
  <c r="M417" i="4"/>
  <c r="M405" i="4"/>
  <c r="M393" i="4"/>
  <c r="M382" i="4"/>
  <c r="M369" i="4"/>
  <c r="M358" i="4"/>
  <c r="M345" i="4"/>
  <c r="M333" i="4"/>
  <c r="M321" i="4"/>
  <c r="M310" i="4"/>
  <c r="M298" i="4"/>
  <c r="M286" i="4"/>
  <c r="M274" i="4"/>
  <c r="M262" i="4"/>
  <c r="M249" i="4"/>
  <c r="M238" i="4"/>
  <c r="M226" i="4"/>
  <c r="M214" i="4"/>
  <c r="M202" i="4"/>
  <c r="M191" i="4"/>
  <c r="M177" i="4"/>
  <c r="M166" i="4"/>
  <c r="M154" i="4"/>
  <c r="M143" i="4"/>
  <c r="M130" i="4"/>
  <c r="M119" i="4"/>
  <c r="M107" i="4"/>
  <c r="M94" i="4"/>
  <c r="M82" i="4"/>
  <c r="M71" i="4"/>
  <c r="M58" i="4"/>
  <c r="M47" i="4"/>
  <c r="M35" i="4"/>
  <c r="M24" i="4"/>
  <c r="M10" i="4"/>
  <c r="M987" i="4"/>
  <c r="M973" i="4"/>
  <c r="M959" i="4"/>
  <c r="M946" i="4"/>
  <c r="M933" i="4"/>
  <c r="M918" i="4"/>
  <c r="M906" i="4"/>
  <c r="M891" i="4"/>
  <c r="M877" i="4"/>
  <c r="M863" i="4"/>
  <c r="M851" i="4"/>
  <c r="M837" i="4"/>
  <c r="M823" i="4"/>
  <c r="M810" i="4"/>
  <c r="M796" i="4"/>
  <c r="M781" i="4"/>
  <c r="M769" i="4"/>
  <c r="M755" i="4"/>
  <c r="M741" i="4"/>
  <c r="M727" i="4"/>
  <c r="M715" i="4"/>
  <c r="M699" i="4"/>
  <c r="M686" i="4"/>
  <c r="M673" i="4"/>
  <c r="M660" i="4"/>
  <c r="M645" i="4"/>
  <c r="M633" i="4"/>
  <c r="M619" i="4"/>
  <c r="M606" i="4"/>
  <c r="M594" i="4"/>
  <c r="M583" i="4"/>
  <c r="M570" i="4"/>
  <c r="M559" i="4"/>
  <c r="M547" i="4"/>
  <c r="M536" i="4"/>
  <c r="M522" i="4"/>
  <c r="M511" i="4"/>
  <c r="M499" i="4"/>
  <c r="M487" i="4"/>
  <c r="M475" i="4"/>
  <c r="M464" i="4"/>
  <c r="M451" i="4"/>
  <c r="M439" i="4"/>
  <c r="M427" i="4"/>
  <c r="M415" i="4"/>
  <c r="M403" i="4"/>
  <c r="M392" i="4"/>
  <c r="M381" i="4"/>
  <c r="M368" i="4"/>
  <c r="M355" i="4"/>
  <c r="M344" i="4"/>
  <c r="M331" i="4"/>
  <c r="M320" i="4"/>
  <c r="M309" i="4"/>
  <c r="M296" i="4"/>
  <c r="M285" i="4"/>
  <c r="M272" i="4"/>
  <c r="M259" i="4"/>
  <c r="M248" i="4"/>
  <c r="M237" i="4"/>
  <c r="M225" i="4"/>
  <c r="M213" i="4"/>
  <c r="M201" i="4"/>
  <c r="M189" i="4"/>
  <c r="M176" i="4"/>
  <c r="M165" i="4"/>
  <c r="M153" i="4"/>
  <c r="M141" i="4"/>
  <c r="M129" i="4"/>
  <c r="M118" i="4"/>
  <c r="M104" i="4"/>
  <c r="M93" i="4"/>
  <c r="M81" i="4"/>
  <c r="M70" i="4"/>
  <c r="M57" i="4"/>
  <c r="M46" i="4"/>
  <c r="M34" i="4"/>
  <c r="M21" i="4"/>
  <c r="M9" i="4"/>
  <c r="M997" i="4"/>
  <c r="M980" i="4"/>
  <c r="M963" i="4"/>
  <c r="M943" i="4"/>
  <c r="M925" i="4"/>
  <c r="M908" i="4"/>
  <c r="M887" i="4"/>
  <c r="M871" i="4"/>
  <c r="M853" i="4"/>
  <c r="M834" i="4"/>
  <c r="M817" i="4"/>
  <c r="M799" i="4"/>
  <c r="M779" i="4"/>
  <c r="M762" i="4"/>
  <c r="M745" i="4"/>
  <c r="M724" i="4"/>
  <c r="M707" i="4"/>
  <c r="M691" i="4"/>
  <c r="M670" i="4"/>
  <c r="M652" i="4"/>
  <c r="M635" i="4"/>
  <c r="M615" i="4"/>
  <c r="M601" i="4"/>
  <c r="M585" i="4"/>
  <c r="M568" i="4"/>
  <c r="M552" i="4"/>
  <c r="M538" i="4"/>
  <c r="M520" i="4"/>
  <c r="M505" i="4"/>
  <c r="M490" i="4"/>
  <c r="M473" i="4"/>
  <c r="M457" i="4"/>
  <c r="M442" i="4"/>
  <c r="M424" i="4"/>
  <c r="M410" i="4"/>
  <c r="M394" i="4"/>
  <c r="M376" i="4"/>
  <c r="M362" i="4"/>
  <c r="M347" i="4"/>
  <c r="M329" i="4"/>
  <c r="M313" i="4"/>
  <c r="M299" i="4"/>
  <c r="M281" i="4"/>
  <c r="M266" i="4"/>
  <c r="M250" i="4"/>
  <c r="M234" i="4"/>
  <c r="M218" i="4"/>
  <c r="M203" i="4"/>
  <c r="M185" i="4"/>
  <c r="M171" i="4"/>
  <c r="M155" i="4"/>
  <c r="M138" i="4"/>
  <c r="M122" i="4"/>
  <c r="M109" i="4"/>
  <c r="M90" i="4"/>
  <c r="M75" i="4"/>
  <c r="M61" i="4"/>
  <c r="M42" i="4"/>
  <c r="M27" i="4"/>
  <c r="M13" i="4"/>
  <c r="M996" i="4"/>
  <c r="M979" i="4"/>
  <c r="M957" i="4"/>
  <c r="M942" i="4"/>
  <c r="M924" i="4"/>
  <c r="M902" i="4"/>
  <c r="M886" i="4"/>
  <c r="M870" i="4"/>
  <c r="M850" i="4"/>
  <c r="M831" i="4"/>
  <c r="M814" i="4"/>
  <c r="M793" i="4"/>
  <c r="M778" i="4"/>
  <c r="M759" i="4"/>
  <c r="M740" i="4"/>
  <c r="M723" i="4"/>
  <c r="M706" i="4"/>
  <c r="M685" i="4"/>
  <c r="M668" i="4"/>
  <c r="M651" i="4"/>
  <c r="M631" i="4"/>
  <c r="M614" i="4"/>
  <c r="M600" i="4"/>
  <c r="M582" i="4"/>
  <c r="M567" i="4"/>
  <c r="M551" i="4"/>
  <c r="M533" i="4"/>
  <c r="M519" i="4"/>
  <c r="M504" i="4"/>
  <c r="M486" i="4"/>
  <c r="M470" i="4"/>
  <c r="M456" i="4"/>
  <c r="M438" i="4"/>
  <c r="M423" i="4"/>
  <c r="M408" i="4"/>
  <c r="M391" i="4"/>
  <c r="M375" i="4"/>
  <c r="M360" i="4"/>
  <c r="M342" i="4"/>
  <c r="M328" i="4"/>
  <c r="M312" i="4"/>
  <c r="M295" i="4"/>
  <c r="M280" i="4"/>
  <c r="M265" i="4"/>
  <c r="M247" i="4"/>
  <c r="M232" i="4"/>
  <c r="M217" i="4"/>
  <c r="M199" i="4"/>
  <c r="M184" i="4"/>
  <c r="M170" i="4"/>
  <c r="M152" i="4"/>
  <c r="M136" i="4"/>
  <c r="M121" i="4"/>
  <c r="M103" i="4"/>
  <c r="M89" i="4"/>
  <c r="M73" i="4"/>
  <c r="M56" i="4"/>
  <c r="M40" i="4"/>
  <c r="M26" i="4"/>
  <c r="M8" i="4"/>
  <c r="M994" i="4"/>
  <c r="M978" i="4"/>
  <c r="M956" i="4"/>
  <c r="M938" i="4"/>
  <c r="M923" i="4"/>
  <c r="M901" i="4"/>
  <c r="M884" i="4"/>
  <c r="M866" i="4"/>
  <c r="M847" i="4"/>
  <c r="M829" i="4"/>
  <c r="M813" i="4"/>
  <c r="M791" i="4"/>
  <c r="M777" i="4"/>
  <c r="M758" i="4"/>
  <c r="M738" i="4"/>
  <c r="M719" i="4"/>
  <c r="M705" i="4"/>
  <c r="M683" i="4"/>
  <c r="M667" i="4"/>
  <c r="M650" i="4"/>
  <c r="M628" i="4"/>
  <c r="M613" i="4"/>
  <c r="M598" i="4"/>
  <c r="M579" i="4"/>
  <c r="M565" i="4"/>
  <c r="M550" i="4"/>
  <c r="M531" i="4"/>
  <c r="M518" i="4"/>
  <c r="M502" i="4"/>
  <c r="M485" i="4"/>
  <c r="M469" i="4"/>
  <c r="M455" i="4"/>
  <c r="M437" i="4"/>
  <c r="M422" i="4"/>
  <c r="M406" i="4"/>
  <c r="M390" i="4"/>
  <c r="M374" i="4"/>
  <c r="M359" i="4"/>
  <c r="M341" i="4"/>
  <c r="M327" i="4"/>
  <c r="M311" i="4"/>
  <c r="M293" i="4"/>
  <c r="M278" i="4"/>
  <c r="M264" i="4"/>
  <c r="M246" i="4"/>
  <c r="M230" i="4"/>
  <c r="M216" i="4"/>
  <c r="M198" i="4"/>
  <c r="M183" i="4"/>
  <c r="M167" i="4"/>
  <c r="M150" i="4"/>
  <c r="M135" i="4"/>
  <c r="M120" i="4"/>
  <c r="M102" i="4"/>
  <c r="M88" i="4"/>
  <c r="M72" i="4"/>
  <c r="M55" i="4"/>
  <c r="M39" i="4"/>
  <c r="M25" i="4"/>
  <c r="M7" i="4"/>
  <c r="M983" i="4"/>
  <c r="M966" i="4"/>
  <c r="M948" i="4"/>
  <c r="M929" i="4"/>
  <c r="M911" i="4"/>
  <c r="M895" i="4"/>
  <c r="M874" i="4"/>
  <c r="M859" i="4"/>
  <c r="M841" i="4"/>
  <c r="M819" i="4"/>
  <c r="M802" i="4"/>
  <c r="M787" i="4"/>
  <c r="M765" i="4"/>
  <c r="M747" i="4"/>
  <c r="M731" i="4"/>
  <c r="M709" i="4"/>
  <c r="M694" i="4"/>
  <c r="M676" i="4"/>
  <c r="M655" i="4"/>
  <c r="M639" i="4"/>
  <c r="M622" i="4"/>
  <c r="M603" i="4"/>
  <c r="M589" i="4"/>
  <c r="M574" i="4"/>
  <c r="M557" i="4"/>
  <c r="M541" i="4"/>
  <c r="M527" i="4"/>
  <c r="M509" i="4"/>
  <c r="M494" i="4"/>
  <c r="M478" i="4"/>
  <c r="M459" i="4"/>
  <c r="M446" i="4"/>
  <c r="M431" i="4"/>
  <c r="M413" i="4"/>
  <c r="M397" i="4"/>
  <c r="M383" i="4"/>
  <c r="M365" i="4"/>
  <c r="M350" i="4"/>
  <c r="M335" i="4"/>
  <c r="M318" i="4"/>
  <c r="M302" i="4"/>
  <c r="M287" i="4"/>
  <c r="M269" i="4"/>
  <c r="M255" i="4"/>
  <c r="M239" i="4"/>
  <c r="M222" i="4"/>
  <c r="M207" i="4"/>
  <c r="M192" i="4"/>
  <c r="M174" i="4"/>
  <c r="M159" i="4"/>
  <c r="M144" i="4"/>
  <c r="M126" i="4"/>
  <c r="M111" i="4"/>
  <c r="M97" i="4"/>
  <c r="M79" i="4"/>
  <c r="M63" i="4"/>
  <c r="M48" i="4"/>
  <c r="M30" i="4"/>
  <c r="M16" i="4"/>
  <c r="M969" i="4"/>
  <c r="M932" i="4"/>
  <c r="M897" i="4"/>
  <c r="M860" i="4"/>
  <c r="M822" i="4"/>
  <c r="M788" i="4"/>
  <c r="M750" i="4"/>
  <c r="M713" i="4"/>
  <c r="M678" i="4"/>
  <c r="M641" i="4"/>
  <c r="M605" i="4"/>
  <c r="M575" i="4"/>
  <c r="M542" i="4"/>
  <c r="M510" i="4"/>
  <c r="M479" i="4"/>
  <c r="M447" i="4"/>
  <c r="M414" i="4"/>
  <c r="M384" i="4"/>
  <c r="M351" i="4"/>
  <c r="M319" i="4"/>
  <c r="M289" i="4"/>
  <c r="M256" i="4"/>
  <c r="M223" i="4"/>
  <c r="M193" i="4"/>
  <c r="M161" i="4"/>
  <c r="M128" i="4"/>
  <c r="M98" i="4"/>
  <c r="M65" i="4"/>
  <c r="M31" i="4"/>
  <c r="M998" i="4"/>
  <c r="M965" i="4"/>
  <c r="M926" i="4"/>
  <c r="M890" i="4"/>
  <c r="M854" i="4"/>
  <c r="M818" i="4"/>
  <c r="M780" i="4"/>
  <c r="M746" i="4"/>
  <c r="M708" i="4"/>
  <c r="M671" i="4"/>
  <c r="M636" i="4"/>
  <c r="M602" i="4"/>
  <c r="M569" i="4"/>
  <c r="M539" i="4"/>
  <c r="M506" i="4"/>
  <c r="M474" i="4"/>
  <c r="M445" i="4"/>
  <c r="M411" i="4"/>
  <c r="M378" i="4"/>
  <c r="M349" i="4"/>
  <c r="M317" i="4"/>
  <c r="M282" i="4"/>
  <c r="M254" i="4"/>
  <c r="M219" i="4"/>
  <c r="M186" i="4"/>
  <c r="M157" i="4"/>
  <c r="M125" i="4"/>
  <c r="M91" i="4"/>
  <c r="M62" i="4"/>
  <c r="M29" i="4"/>
  <c r="M991" i="4"/>
  <c r="M955" i="4"/>
  <c r="M917" i="4"/>
  <c r="M883" i="4"/>
  <c r="M845" i="4"/>
  <c r="M807" i="4"/>
  <c r="M774" i="4"/>
  <c r="M735" i="4"/>
  <c r="M698" i="4"/>
  <c r="M663" i="4"/>
  <c r="M626" i="4"/>
  <c r="M593" i="4"/>
  <c r="M563" i="4"/>
  <c r="M530" i="4"/>
  <c r="M497" i="4"/>
  <c r="M467" i="4"/>
  <c r="M435" i="4"/>
  <c r="M402" i="4"/>
  <c r="M373" i="4"/>
  <c r="M339" i="4"/>
  <c r="M307" i="4"/>
  <c r="M277" i="4"/>
  <c r="M245" i="4"/>
  <c r="M211" i="4"/>
  <c r="M182" i="4"/>
  <c r="M149" i="4"/>
  <c r="M115" i="4"/>
  <c r="M86" i="4"/>
  <c r="M53" i="4"/>
  <c r="M19" i="4"/>
  <c r="M990" i="4"/>
  <c r="M954" i="4"/>
  <c r="M915" i="4"/>
  <c r="M882" i="4"/>
  <c r="M843" i="4"/>
  <c r="M806" i="4"/>
  <c r="M771" i="4"/>
  <c r="M734" i="4"/>
  <c r="M697" i="4"/>
  <c r="M662" i="4"/>
  <c r="M625" i="4"/>
  <c r="M592" i="4"/>
  <c r="M561" i="4"/>
  <c r="M529" i="4"/>
  <c r="M496" i="4"/>
  <c r="M466" i="4"/>
  <c r="M433" i="4"/>
  <c r="M401" i="4"/>
  <c r="M371" i="4"/>
  <c r="M338" i="4"/>
  <c r="M305" i="4"/>
  <c r="M275" i="4"/>
  <c r="M243" i="4"/>
  <c r="M209" i="4"/>
  <c r="M181" i="4"/>
  <c r="M146" i="4"/>
  <c r="M113" i="4"/>
  <c r="M83" i="4"/>
  <c r="M51" i="4"/>
  <c r="M18" i="4"/>
  <c r="M950" i="4"/>
  <c r="M875" i="4"/>
  <c r="M804" i="4"/>
  <c r="M733" i="4"/>
  <c r="M658" i="4"/>
  <c r="M591" i="4"/>
  <c r="M528" i="4"/>
  <c r="M463" i="4"/>
  <c r="M400" i="4"/>
  <c r="M337" i="4"/>
  <c r="M271" i="4"/>
  <c r="M208" i="4"/>
  <c r="M145" i="4"/>
  <c r="M80" i="4"/>
  <c r="M17" i="4"/>
  <c r="M945" i="4"/>
  <c r="M873" i="4"/>
  <c r="M801" i="4"/>
  <c r="M726" i="4"/>
  <c r="M654" i="4"/>
  <c r="M587" i="4"/>
  <c r="M521" i="4"/>
  <c r="M458" i="4"/>
  <c r="M395" i="4"/>
  <c r="M330" i="4"/>
  <c r="M267" i="4"/>
  <c r="M205" i="4"/>
  <c r="M139" i="4"/>
  <c r="M77" i="4"/>
  <c r="M15" i="4"/>
  <c r="M937" i="4"/>
  <c r="M862" i="4"/>
  <c r="M790" i="4"/>
  <c r="M718" i="4"/>
  <c r="M644" i="4"/>
  <c r="M578" i="4"/>
  <c r="M515" i="4"/>
  <c r="M449" i="4"/>
  <c r="M386" i="4"/>
  <c r="M323" i="4"/>
  <c r="M258" i="4"/>
  <c r="M195" i="4"/>
  <c r="M134" i="4"/>
  <c r="M67" i="4"/>
  <c r="M6" i="4"/>
  <c r="M935" i="4"/>
  <c r="M861" i="4"/>
  <c r="M789" i="4"/>
  <c r="M717" i="4"/>
  <c r="M643" i="4"/>
  <c r="M577" i="4"/>
  <c r="M514" i="4"/>
  <c r="M448" i="4"/>
  <c r="M385" i="4"/>
  <c r="M322" i="4"/>
  <c r="M257" i="4"/>
  <c r="M194" i="4"/>
  <c r="M131" i="4"/>
  <c r="M66" i="4"/>
  <c r="M3" i="4"/>
  <c r="M985" i="4"/>
  <c r="M914" i="4"/>
  <c r="M842" i="4"/>
  <c r="M767" i="4"/>
  <c r="M695" i="4"/>
  <c r="M623" i="4"/>
  <c r="M558" i="4"/>
  <c r="M495" i="4"/>
  <c r="M432" i="4"/>
  <c r="M366" i="4"/>
  <c r="M303" i="4"/>
  <c r="M240" i="4"/>
  <c r="M175" i="4"/>
  <c r="M112" i="4"/>
  <c r="M49" i="4"/>
  <c r="M981" i="4"/>
  <c r="M910" i="4"/>
  <c r="M835" i="4"/>
  <c r="M764" i="4"/>
  <c r="M692" i="4"/>
  <c r="M616" i="4"/>
  <c r="M554" i="4"/>
  <c r="M491" i="4"/>
  <c r="M426" i="4"/>
  <c r="M363" i="4"/>
  <c r="M301" i="4"/>
  <c r="M235" i="4"/>
  <c r="M173" i="4"/>
  <c r="M110" i="4"/>
  <c r="M45" i="4"/>
  <c r="M971" i="4"/>
  <c r="M900" i="4"/>
  <c r="M828" i="4"/>
  <c r="M754" i="4"/>
  <c r="M682" i="4"/>
  <c r="M611" i="4"/>
  <c r="M546" i="4"/>
  <c r="M483" i="4"/>
  <c r="M421" i="4"/>
  <c r="M354" i="4"/>
  <c r="M291" i="4"/>
  <c r="M229" i="4"/>
  <c r="M163" i="4"/>
  <c r="M101" i="4"/>
  <c r="M38" i="4"/>
  <c r="M970" i="4"/>
  <c r="M898" i="4"/>
  <c r="M827" i="4"/>
  <c r="M751" i="4"/>
  <c r="M681" i="4"/>
  <c r="M610" i="4"/>
  <c r="M543" i="4"/>
  <c r="M481" i="4"/>
  <c r="M418" i="4"/>
  <c r="M353" i="4"/>
  <c r="M290" i="4"/>
  <c r="M227" i="4"/>
  <c r="M162" i="4"/>
  <c r="M99" i="4"/>
  <c r="M37" i="4"/>
  <c r="F38" i="8"/>
  <c r="F30" i="8"/>
  <c r="F22" i="8"/>
  <c r="F14" i="8"/>
  <c r="F6" i="8"/>
  <c r="F40" i="8"/>
  <c r="F31" i="8"/>
  <c r="F21" i="8"/>
  <c r="F12" i="8"/>
  <c r="F3" i="8"/>
  <c r="F34" i="8"/>
  <c r="F24" i="8"/>
  <c r="F13" i="8"/>
  <c r="F33" i="8"/>
  <c r="F23" i="8"/>
  <c r="F11" i="8"/>
  <c r="F2" i="8"/>
  <c r="F32" i="8"/>
  <c r="F20" i="8"/>
  <c r="F10" i="8"/>
  <c r="F36" i="8"/>
  <c r="F26" i="8"/>
  <c r="F16" i="8"/>
  <c r="F5" i="8"/>
  <c r="F27" i="8"/>
  <c r="F7" i="8"/>
  <c r="F25" i="8"/>
  <c r="F4" i="8"/>
  <c r="F41" i="8"/>
  <c r="F19" i="8"/>
  <c r="F29" i="8"/>
  <c r="F9" i="8"/>
  <c r="F35" i="8"/>
  <c r="F28" i="8"/>
  <c r="F18" i="8"/>
  <c r="F39" i="8"/>
  <c r="F37" i="8"/>
  <c r="F17" i="8"/>
  <c r="F15" i="8"/>
  <c r="F8" i="8"/>
  <c r="AB27" i="4"/>
  <c r="K997" i="4"/>
  <c r="K989" i="4"/>
  <c r="K981" i="4"/>
  <c r="K973" i="4"/>
  <c r="K965" i="4"/>
  <c r="K957" i="4"/>
  <c r="K949" i="4"/>
  <c r="K941" i="4"/>
  <c r="K933" i="4"/>
  <c r="K925" i="4"/>
  <c r="K917" i="4"/>
  <c r="K909" i="4"/>
  <c r="K901" i="4"/>
  <c r="K893" i="4"/>
  <c r="K885" i="4"/>
  <c r="K877" i="4"/>
  <c r="K869" i="4"/>
  <c r="K861" i="4"/>
  <c r="K853" i="4"/>
  <c r="K845" i="4"/>
  <c r="K837" i="4"/>
  <c r="K829" i="4"/>
  <c r="K821" i="4"/>
  <c r="K813" i="4"/>
  <c r="K805" i="4"/>
  <c r="K797" i="4"/>
  <c r="K789" i="4"/>
  <c r="K781" i="4"/>
  <c r="K773" i="4"/>
  <c r="K765" i="4"/>
  <c r="K757" i="4"/>
  <c r="K749" i="4"/>
  <c r="K741" i="4"/>
  <c r="K733" i="4"/>
  <c r="K725" i="4"/>
  <c r="K717" i="4"/>
  <c r="K709" i="4"/>
  <c r="K701" i="4"/>
  <c r="K693" i="4"/>
  <c r="K685" i="4"/>
  <c r="K677" i="4"/>
  <c r="K669" i="4"/>
  <c r="K661" i="4"/>
  <c r="K653" i="4"/>
  <c r="K645" i="4"/>
  <c r="K637" i="4"/>
  <c r="K629" i="4"/>
  <c r="K621" i="4"/>
  <c r="K613" i="4"/>
  <c r="K605" i="4"/>
  <c r="K597" i="4"/>
  <c r="K589" i="4"/>
  <c r="K581" i="4"/>
  <c r="K573" i="4"/>
  <c r="K565" i="4"/>
  <c r="K557" i="4"/>
  <c r="K549" i="4"/>
  <c r="K541" i="4"/>
  <c r="K533" i="4"/>
  <c r="K525" i="4"/>
  <c r="K517" i="4"/>
  <c r="K509" i="4"/>
  <c r="K501" i="4"/>
  <c r="K493" i="4"/>
  <c r="K485" i="4"/>
  <c r="K477" i="4"/>
  <c r="K469" i="4"/>
  <c r="K461" i="4"/>
  <c r="K453" i="4"/>
  <c r="K445" i="4"/>
  <c r="K437" i="4"/>
  <c r="K429" i="4"/>
  <c r="K421" i="4"/>
  <c r="K413" i="4"/>
  <c r="K405" i="4"/>
  <c r="K397" i="4"/>
  <c r="K389" i="4"/>
  <c r="K381" i="4"/>
  <c r="K373" i="4"/>
  <c r="K365" i="4"/>
  <c r="K357" i="4"/>
  <c r="K349" i="4"/>
  <c r="K341" i="4"/>
  <c r="K333" i="4"/>
  <c r="K325" i="4"/>
  <c r="K317" i="4"/>
  <c r="K309" i="4"/>
  <c r="K301" i="4"/>
  <c r="K293" i="4"/>
  <c r="K285" i="4"/>
  <c r="K277" i="4"/>
  <c r="K269" i="4"/>
  <c r="K261" i="4"/>
  <c r="K253" i="4"/>
  <c r="K245" i="4"/>
  <c r="K237" i="4"/>
  <c r="K229" i="4"/>
  <c r="K221" i="4"/>
  <c r="K213" i="4"/>
  <c r="K205" i="4"/>
  <c r="K197" i="4"/>
  <c r="K189" i="4"/>
  <c r="K181" i="4"/>
  <c r="K173" i="4"/>
  <c r="K165" i="4"/>
  <c r="K157" i="4"/>
  <c r="K149" i="4"/>
  <c r="K141" i="4"/>
  <c r="K133" i="4"/>
  <c r="K125" i="4"/>
  <c r="K117" i="4"/>
  <c r="K109" i="4"/>
  <c r="K101" i="4"/>
  <c r="K93" i="4"/>
  <c r="K85" i="4"/>
  <c r="K77" i="4"/>
  <c r="K69" i="4"/>
  <c r="K61" i="4"/>
  <c r="K53" i="4"/>
  <c r="K45" i="4"/>
  <c r="K37" i="4"/>
  <c r="K29" i="4"/>
  <c r="K21" i="4"/>
  <c r="K13" i="4"/>
  <c r="K5" i="4"/>
  <c r="K996" i="4"/>
  <c r="K987" i="4"/>
  <c r="K978" i="4"/>
  <c r="K969" i="4"/>
  <c r="K960" i="4"/>
  <c r="K951" i="4"/>
  <c r="K942" i="4"/>
  <c r="K932" i="4"/>
  <c r="K923" i="4"/>
  <c r="K914" i="4"/>
  <c r="K905" i="4"/>
  <c r="K896" i="4"/>
  <c r="K887" i="4"/>
  <c r="K878" i="4"/>
  <c r="K868" i="4"/>
  <c r="K859" i="4"/>
  <c r="K850" i="4"/>
  <c r="K841" i="4"/>
  <c r="K832" i="4"/>
  <c r="K823" i="4"/>
  <c r="K814" i="4"/>
  <c r="K804" i="4"/>
  <c r="K795" i="4"/>
  <c r="K786" i="4"/>
  <c r="K777" i="4"/>
  <c r="K768" i="4"/>
  <c r="K759" i="4"/>
  <c r="K750" i="4"/>
  <c r="K740" i="4"/>
  <c r="K731" i="4"/>
  <c r="K722" i="4"/>
  <c r="K713" i="4"/>
  <c r="K704" i="4"/>
  <c r="K695" i="4"/>
  <c r="K686" i="4"/>
  <c r="K676" i="4"/>
  <c r="K667" i="4"/>
  <c r="K658" i="4"/>
  <c r="K649" i="4"/>
  <c r="K640" i="4"/>
  <c r="K631" i="4"/>
  <c r="K622" i="4"/>
  <c r="K612" i="4"/>
  <c r="K603" i="4"/>
  <c r="K594" i="4"/>
  <c r="K585" i="4"/>
  <c r="K576" i="4"/>
  <c r="K567" i="4"/>
  <c r="K558" i="4"/>
  <c r="K548" i="4"/>
  <c r="K539" i="4"/>
  <c r="K530" i="4"/>
  <c r="K521" i="4"/>
  <c r="K512" i="4"/>
  <c r="K503" i="4"/>
  <c r="K494" i="4"/>
  <c r="K484" i="4"/>
  <c r="K475" i="4"/>
  <c r="K466" i="4"/>
  <c r="K457" i="4"/>
  <c r="K448" i="4"/>
  <c r="K439" i="4"/>
  <c r="K430" i="4"/>
  <c r="K420" i="4"/>
  <c r="K411" i="4"/>
  <c r="K402" i="4"/>
  <c r="K393" i="4"/>
  <c r="K384" i="4"/>
  <c r="K375" i="4"/>
  <c r="K366" i="4"/>
  <c r="K356" i="4"/>
  <c r="K347" i="4"/>
  <c r="K338" i="4"/>
  <c r="K329" i="4"/>
  <c r="K320" i="4"/>
  <c r="K311" i="4"/>
  <c r="K302" i="4"/>
  <c r="K292" i="4"/>
  <c r="K283" i="4"/>
  <c r="K274" i="4"/>
  <c r="K265" i="4"/>
  <c r="K256" i="4"/>
  <c r="K247" i="4"/>
  <c r="K238" i="4"/>
  <c r="K228" i="4"/>
  <c r="K219" i="4"/>
  <c r="K210" i="4"/>
  <c r="K201" i="4"/>
  <c r="K192" i="4"/>
  <c r="K183" i="4"/>
  <c r="K174" i="4"/>
  <c r="K164" i="4"/>
  <c r="K155" i="4"/>
  <c r="K146" i="4"/>
  <c r="K137" i="4"/>
  <c r="K128" i="4"/>
  <c r="K119" i="4"/>
  <c r="K110" i="4"/>
  <c r="K100" i="4"/>
  <c r="K91" i="4"/>
  <c r="K82" i="4"/>
  <c r="K73" i="4"/>
  <c r="K64" i="4"/>
  <c r="K55" i="4"/>
  <c r="K46" i="4"/>
  <c r="K36" i="4"/>
  <c r="K27" i="4"/>
  <c r="K18" i="4"/>
  <c r="K9" i="4"/>
  <c r="K992" i="4"/>
  <c r="K982" i="4"/>
  <c r="K971" i="4"/>
  <c r="K961" i="4"/>
  <c r="K950" i="4"/>
  <c r="K939" i="4"/>
  <c r="K929" i="4"/>
  <c r="K919" i="4"/>
  <c r="K908" i="4"/>
  <c r="K898" i="4"/>
  <c r="K888" i="4"/>
  <c r="K876" i="4"/>
  <c r="K866" i="4"/>
  <c r="K856" i="4"/>
  <c r="K846" i="4"/>
  <c r="K835" i="4"/>
  <c r="K825" i="4"/>
  <c r="K815" i="4"/>
  <c r="K803" i="4"/>
  <c r="K793" i="4"/>
  <c r="K783" i="4"/>
  <c r="K772" i="4"/>
  <c r="K762" i="4"/>
  <c r="K752" i="4"/>
  <c r="K742" i="4"/>
  <c r="K730" i="4"/>
  <c r="K720" i="4"/>
  <c r="K710" i="4"/>
  <c r="K699" i="4"/>
  <c r="K689" i="4"/>
  <c r="K679" i="4"/>
  <c r="K668" i="4"/>
  <c r="K657" i="4"/>
  <c r="K647" i="4"/>
  <c r="K636" i="4"/>
  <c r="K626" i="4"/>
  <c r="K616" i="4"/>
  <c r="K606" i="4"/>
  <c r="K595" i="4"/>
  <c r="K584" i="4"/>
  <c r="K574" i="4"/>
  <c r="K563" i="4"/>
  <c r="K553" i="4"/>
  <c r="K543" i="4"/>
  <c r="K532" i="4"/>
  <c r="K522" i="4"/>
  <c r="K511" i="4"/>
  <c r="K500" i="4"/>
  <c r="K490" i="4"/>
  <c r="K480" i="4"/>
  <c r="K470" i="4"/>
  <c r="K459" i="4"/>
  <c r="K1000" i="4"/>
  <c r="K988" i="4"/>
  <c r="K976" i="4"/>
  <c r="K964" i="4"/>
  <c r="K953" i="4"/>
  <c r="K940" i="4"/>
  <c r="K928" i="4"/>
  <c r="K916" i="4"/>
  <c r="K904" i="4"/>
  <c r="K892" i="4"/>
  <c r="K881" i="4"/>
  <c r="K870" i="4"/>
  <c r="K857" i="4"/>
  <c r="K844" i="4"/>
  <c r="K833" i="4"/>
  <c r="K820" i="4"/>
  <c r="K809" i="4"/>
  <c r="K798" i="4"/>
  <c r="K785" i="4"/>
  <c r="K774" i="4"/>
  <c r="K761" i="4"/>
  <c r="K748" i="4"/>
  <c r="K737" i="4"/>
  <c r="K726" i="4"/>
  <c r="K714" i="4"/>
  <c r="K702" i="4"/>
  <c r="K690" i="4"/>
  <c r="K678" i="4"/>
  <c r="K665" i="4"/>
  <c r="K654" i="4"/>
  <c r="K642" i="4"/>
  <c r="K630" i="4"/>
  <c r="K618" i="4"/>
  <c r="K607" i="4"/>
  <c r="K593" i="4"/>
  <c r="K582" i="4"/>
  <c r="K570" i="4"/>
  <c r="K559" i="4"/>
  <c r="K546" i="4"/>
  <c r="K535" i="4"/>
  <c r="K523" i="4"/>
  <c r="K510" i="4"/>
  <c r="K498" i="4"/>
  <c r="K487" i="4"/>
  <c r="K474" i="4"/>
  <c r="K463" i="4"/>
  <c r="K451" i="4"/>
  <c r="K441" i="4"/>
  <c r="K431" i="4"/>
  <c r="K419" i="4"/>
  <c r="K409" i="4"/>
  <c r="K399" i="4"/>
  <c r="K388" i="4"/>
  <c r="K378" i="4"/>
  <c r="K368" i="4"/>
  <c r="K358" i="4"/>
  <c r="K346" i="4"/>
  <c r="K336" i="4"/>
  <c r="K326" i="4"/>
  <c r="K315" i="4"/>
  <c r="K305" i="4"/>
  <c r="K295" i="4"/>
  <c r="K284" i="4"/>
  <c r="K273" i="4"/>
  <c r="K263" i="4"/>
  <c r="K252" i="4"/>
  <c r="K242" i="4"/>
  <c r="K232" i="4"/>
  <c r="K222" i="4"/>
  <c r="K211" i="4"/>
  <c r="K200" i="4"/>
  <c r="K190" i="4"/>
  <c r="K179" i="4"/>
  <c r="K169" i="4"/>
  <c r="K159" i="4"/>
  <c r="K148" i="4"/>
  <c r="K138" i="4"/>
  <c r="K127" i="4"/>
  <c r="K116" i="4"/>
  <c r="K106" i="4"/>
  <c r="K96" i="4"/>
  <c r="K86" i="4"/>
  <c r="K75" i="4"/>
  <c r="K65" i="4"/>
  <c r="K54" i="4"/>
  <c r="K43" i="4"/>
  <c r="K33" i="4"/>
  <c r="K23" i="4"/>
  <c r="K12" i="4"/>
  <c r="K999" i="4"/>
  <c r="K986" i="4"/>
  <c r="K975" i="4"/>
  <c r="K963" i="4"/>
  <c r="K952" i="4"/>
  <c r="K938" i="4"/>
  <c r="K927" i="4"/>
  <c r="K915" i="4"/>
  <c r="K903" i="4"/>
  <c r="K891" i="4"/>
  <c r="K880" i="4"/>
  <c r="K867" i="4"/>
  <c r="K855" i="4"/>
  <c r="K843" i="4"/>
  <c r="K831" i="4"/>
  <c r="K819" i="4"/>
  <c r="K808" i="4"/>
  <c r="K796" i="4"/>
  <c r="K784" i="4"/>
  <c r="K771" i="4"/>
  <c r="K760" i="4"/>
  <c r="K747" i="4"/>
  <c r="K736" i="4"/>
  <c r="K724" i="4"/>
  <c r="K712" i="4"/>
  <c r="K700" i="4"/>
  <c r="K688" i="4"/>
  <c r="K675" i="4"/>
  <c r="K664" i="4"/>
  <c r="K652" i="4"/>
  <c r="K641" i="4"/>
  <c r="K628" i="4"/>
  <c r="K617" i="4"/>
  <c r="K604" i="4"/>
  <c r="K592" i="4"/>
  <c r="K580" i="4"/>
  <c r="K569" i="4"/>
  <c r="K556" i="4"/>
  <c r="K545" i="4"/>
  <c r="K534" i="4"/>
  <c r="K520" i="4"/>
  <c r="K508" i="4"/>
  <c r="K497" i="4"/>
  <c r="K486" i="4"/>
  <c r="K473" i="4"/>
  <c r="K462" i="4"/>
  <c r="K450" i="4"/>
  <c r="K440" i="4"/>
  <c r="K428" i="4"/>
  <c r="K418" i="4"/>
  <c r="K408" i="4"/>
  <c r="K398" i="4"/>
  <c r="K387" i="4"/>
  <c r="K377" i="4"/>
  <c r="K367" i="4"/>
  <c r="K355" i="4"/>
  <c r="K345" i="4"/>
  <c r="K335" i="4"/>
  <c r="K324" i="4"/>
  <c r="K314" i="4"/>
  <c r="K304" i="4"/>
  <c r="K294" i="4"/>
  <c r="K282" i="4"/>
  <c r="K272" i="4"/>
  <c r="K262" i="4"/>
  <c r="K251" i="4"/>
  <c r="K241" i="4"/>
  <c r="K231" i="4"/>
  <c r="K220" i="4"/>
  <c r="K209" i="4"/>
  <c r="K199" i="4"/>
  <c r="K188" i="4"/>
  <c r="K178" i="4"/>
  <c r="K168" i="4"/>
  <c r="K158" i="4"/>
  <c r="K147" i="4"/>
  <c r="K136" i="4"/>
  <c r="K126" i="4"/>
  <c r="K115" i="4"/>
  <c r="K105" i="4"/>
  <c r="K95" i="4"/>
  <c r="K84" i="4"/>
  <c r="K74" i="4"/>
  <c r="K63" i="4"/>
  <c r="K52" i="4"/>
  <c r="K42" i="4"/>
  <c r="K32" i="4"/>
  <c r="K22" i="4"/>
  <c r="K11" i="4"/>
  <c r="K2" i="4"/>
  <c r="K995" i="4"/>
  <c r="K980" i="4"/>
  <c r="K966" i="4"/>
  <c r="K947" i="4"/>
  <c r="K934" i="4"/>
  <c r="K918" i="4"/>
  <c r="K900" i="4"/>
  <c r="K884" i="4"/>
  <c r="K871" i="4"/>
  <c r="K852" i="4"/>
  <c r="K838" i="4"/>
  <c r="K822" i="4"/>
  <c r="K806" i="4"/>
  <c r="K790" i="4"/>
  <c r="K775" i="4"/>
  <c r="K756" i="4"/>
  <c r="K743" i="4"/>
  <c r="K727" i="4"/>
  <c r="K708" i="4"/>
  <c r="K694" i="4"/>
  <c r="K680" i="4"/>
  <c r="K662" i="4"/>
  <c r="K646" i="4"/>
  <c r="K632" i="4"/>
  <c r="K614" i="4"/>
  <c r="K599" i="4"/>
  <c r="K583" i="4"/>
  <c r="K566" i="4"/>
  <c r="K551" i="4"/>
  <c r="K536" i="4"/>
  <c r="K518" i="4"/>
  <c r="K504" i="4"/>
  <c r="K488" i="4"/>
  <c r="K471" i="4"/>
  <c r="K455" i="4"/>
  <c r="K442" i="4"/>
  <c r="K426" i="4"/>
  <c r="K414" i="4"/>
  <c r="K400" i="4"/>
  <c r="K385" i="4"/>
  <c r="K371" i="4"/>
  <c r="K359" i="4"/>
  <c r="K343" i="4"/>
  <c r="K330" i="4"/>
  <c r="K316" i="4"/>
  <c r="K300" i="4"/>
  <c r="K288" i="4"/>
  <c r="K275" i="4"/>
  <c r="K259" i="4"/>
  <c r="K246" i="4"/>
  <c r="K233" i="4"/>
  <c r="K217" i="4"/>
  <c r="K204" i="4"/>
  <c r="K191" i="4"/>
  <c r="K176" i="4"/>
  <c r="K162" i="4"/>
  <c r="K150" i="4"/>
  <c r="K134" i="4"/>
  <c r="K121" i="4"/>
  <c r="K107" i="4"/>
  <c r="K92" i="4"/>
  <c r="K79" i="4"/>
  <c r="K66" i="4"/>
  <c r="K50" i="4"/>
  <c r="K38" i="4"/>
  <c r="K24" i="4"/>
  <c r="K8" i="4"/>
  <c r="K994" i="4"/>
  <c r="K979" i="4"/>
  <c r="K962" i="4"/>
  <c r="K946" i="4"/>
  <c r="K931" i="4"/>
  <c r="K913" i="4"/>
  <c r="K899" i="4"/>
  <c r="K883" i="4"/>
  <c r="K865" i="4"/>
  <c r="K851" i="4"/>
  <c r="K836" i="4"/>
  <c r="K818" i="4"/>
  <c r="K802" i="4"/>
  <c r="K788" i="4"/>
  <c r="K770" i="4"/>
  <c r="K755" i="4"/>
  <c r="K739" i="4"/>
  <c r="K723" i="4"/>
  <c r="K707" i="4"/>
  <c r="K692" i="4"/>
  <c r="K674" i="4"/>
  <c r="K660" i="4"/>
  <c r="K644" i="4"/>
  <c r="K627" i="4"/>
  <c r="K611" i="4"/>
  <c r="K598" i="4"/>
  <c r="K579" i="4"/>
  <c r="K564" i="4"/>
  <c r="K550" i="4"/>
  <c r="K531" i="4"/>
  <c r="K516" i="4"/>
  <c r="K502" i="4"/>
  <c r="K483" i="4"/>
  <c r="K468" i="4"/>
  <c r="K454" i="4"/>
  <c r="K438" i="4"/>
  <c r="K425" i="4"/>
  <c r="K412" i="4"/>
  <c r="K396" i="4"/>
  <c r="K383" i="4"/>
  <c r="K370" i="4"/>
  <c r="K354" i="4"/>
  <c r="K342" i="4"/>
  <c r="K328" i="4"/>
  <c r="K313" i="4"/>
  <c r="K299" i="4"/>
  <c r="K287" i="4"/>
  <c r="K271" i="4"/>
  <c r="K258" i="4"/>
  <c r="K244" i="4"/>
  <c r="K230" i="4"/>
  <c r="K216" i="4"/>
  <c r="K203" i="4"/>
  <c r="K187" i="4"/>
  <c r="K175" i="4"/>
  <c r="K161" i="4"/>
  <c r="K145" i="4"/>
  <c r="K132" i="4"/>
  <c r="K120" i="4"/>
  <c r="K104" i="4"/>
  <c r="K90" i="4"/>
  <c r="K78" i="4"/>
  <c r="K62" i="4"/>
  <c r="K49" i="4"/>
  <c r="K35" i="4"/>
  <c r="K20" i="4"/>
  <c r="K7" i="4"/>
  <c r="K993" i="4"/>
  <c r="K977" i="4"/>
  <c r="K959" i="4"/>
  <c r="K945" i="4"/>
  <c r="K930" i="4"/>
  <c r="K912" i="4"/>
  <c r="K897" i="4"/>
  <c r="K882" i="4"/>
  <c r="K864" i="4"/>
  <c r="K849" i="4"/>
  <c r="K834" i="4"/>
  <c r="K817" i="4"/>
  <c r="K801" i="4"/>
  <c r="K787" i="4"/>
  <c r="K769" i="4"/>
  <c r="K754" i="4"/>
  <c r="K738" i="4"/>
  <c r="K721" i="4"/>
  <c r="K706" i="4"/>
  <c r="K691" i="4"/>
  <c r="K673" i="4"/>
  <c r="K659" i="4"/>
  <c r="K643" i="4"/>
  <c r="K625" i="4"/>
  <c r="K610" i="4"/>
  <c r="K596" i="4"/>
  <c r="K578" i="4"/>
  <c r="K562" i="4"/>
  <c r="K547" i="4"/>
  <c r="K529" i="4"/>
  <c r="K515" i="4"/>
  <c r="K499" i="4"/>
  <c r="K482" i="4"/>
  <c r="K467" i="4"/>
  <c r="K452" i="4"/>
  <c r="K436" i="4"/>
  <c r="K424" i="4"/>
  <c r="K410" i="4"/>
  <c r="K395" i="4"/>
  <c r="K382" i="4"/>
  <c r="K369" i="4"/>
  <c r="K353" i="4"/>
  <c r="K340" i="4"/>
  <c r="K327" i="4"/>
  <c r="K312" i="4"/>
  <c r="K298" i="4"/>
  <c r="K286" i="4"/>
  <c r="K270" i="4"/>
  <c r="K257" i="4"/>
  <c r="K243" i="4"/>
  <c r="K227" i="4"/>
  <c r="K215" i="4"/>
  <c r="K202" i="4"/>
  <c r="K186" i="4"/>
  <c r="K172" i="4"/>
  <c r="K160" i="4"/>
  <c r="K144" i="4"/>
  <c r="K131" i="4"/>
  <c r="K118" i="4"/>
  <c r="K103" i="4"/>
  <c r="K89" i="4"/>
  <c r="K76" i="4"/>
  <c r="K60" i="4"/>
  <c r="K48" i="4"/>
  <c r="K34" i="4"/>
  <c r="K19" i="4"/>
  <c r="K6" i="4"/>
  <c r="K998" i="4"/>
  <c r="K970" i="4"/>
  <c r="K944" i="4"/>
  <c r="K921" i="4"/>
  <c r="K894" i="4"/>
  <c r="K872" i="4"/>
  <c r="K842" i="4"/>
  <c r="K816" i="4"/>
  <c r="K792" i="4"/>
  <c r="K766" i="4"/>
  <c r="K744" i="4"/>
  <c r="K716" i="4"/>
  <c r="K687" i="4"/>
  <c r="K666" i="4"/>
  <c r="K638" i="4"/>
  <c r="K615" i="4"/>
  <c r="K588" i="4"/>
  <c r="K561" i="4"/>
  <c r="K538" i="4"/>
  <c r="K513" i="4"/>
  <c r="K489" i="4"/>
  <c r="K460" i="4"/>
  <c r="K435" i="4"/>
  <c r="K416" i="4"/>
  <c r="K392" i="4"/>
  <c r="K372" i="4"/>
  <c r="K350" i="4"/>
  <c r="K323" i="4"/>
  <c r="K306" i="4"/>
  <c r="K280" i="4"/>
  <c r="K260" i="4"/>
  <c r="K236" i="4"/>
  <c r="K214" i="4"/>
  <c r="K194" i="4"/>
  <c r="K170" i="4"/>
  <c r="K151" i="4"/>
  <c r="K124" i="4"/>
  <c r="K102" i="4"/>
  <c r="K81" i="4"/>
  <c r="K58" i="4"/>
  <c r="K39" i="4"/>
  <c r="K15" i="4"/>
  <c r="K991" i="4"/>
  <c r="K968" i="4"/>
  <c r="K943" i="4"/>
  <c r="K920" i="4"/>
  <c r="K890" i="4"/>
  <c r="K863" i="4"/>
  <c r="K840" i="4"/>
  <c r="K812" i="4"/>
  <c r="K791" i="4"/>
  <c r="K764" i="4"/>
  <c r="K735" i="4"/>
  <c r="K715" i="4"/>
  <c r="K684" i="4"/>
  <c r="K663" i="4"/>
  <c r="K635" i="4"/>
  <c r="K609" i="4"/>
  <c r="K587" i="4"/>
  <c r="K560" i="4"/>
  <c r="K537" i="4"/>
  <c r="K507" i="4"/>
  <c r="K481" i="4"/>
  <c r="K458" i="4"/>
  <c r="K434" i="4"/>
  <c r="K415" i="4"/>
  <c r="K391" i="4"/>
  <c r="K364" i="4"/>
  <c r="K348" i="4"/>
  <c r="K322" i="4"/>
  <c r="K303" i="4"/>
  <c r="K279" i="4"/>
  <c r="K255" i="4"/>
  <c r="K235" i="4"/>
  <c r="K212" i="4"/>
  <c r="K193" i="4"/>
  <c r="K167" i="4"/>
  <c r="K143" i="4"/>
  <c r="K123" i="4"/>
  <c r="K99" i="4"/>
  <c r="K80" i="4"/>
  <c r="K57" i="4"/>
  <c r="K31" i="4"/>
  <c r="K14" i="4"/>
  <c r="K990" i="4"/>
  <c r="K967" i="4"/>
  <c r="K937" i="4"/>
  <c r="K911" i="4"/>
  <c r="K889" i="4"/>
  <c r="K862" i="4"/>
  <c r="K839" i="4"/>
  <c r="K811" i="4"/>
  <c r="K782" i="4"/>
  <c r="K763" i="4"/>
  <c r="K734" i="4"/>
  <c r="K711" i="4"/>
  <c r="K683" i="4"/>
  <c r="K656" i="4"/>
  <c r="K634" i="4"/>
  <c r="K608" i="4"/>
  <c r="K586" i="4"/>
  <c r="K555" i="4"/>
  <c r="K528" i="4"/>
  <c r="K506" i="4"/>
  <c r="K479" i="4"/>
  <c r="K456" i="4"/>
  <c r="K433" i="4"/>
  <c r="K407" i="4"/>
  <c r="K390" i="4"/>
  <c r="K363" i="4"/>
  <c r="K344" i="4"/>
  <c r="K321" i="4"/>
  <c r="K297" i="4"/>
  <c r="K278" i="4"/>
  <c r="K254" i="4"/>
  <c r="K234" i="4"/>
  <c r="K208" i="4"/>
  <c r="K185" i="4"/>
  <c r="K166" i="4"/>
  <c r="K142" i="4"/>
  <c r="K122" i="4"/>
  <c r="K98" i="4"/>
  <c r="K72" i="4"/>
  <c r="K56" i="4"/>
  <c r="K30" i="4"/>
  <c r="K10" i="4"/>
  <c r="K972" i="4"/>
  <c r="K926" i="4"/>
  <c r="K886" i="4"/>
  <c r="K848" i="4"/>
  <c r="K807" i="4"/>
  <c r="K767" i="4"/>
  <c r="K728" i="4"/>
  <c r="K682" i="4"/>
  <c r="K648" i="4"/>
  <c r="K601" i="4"/>
  <c r="K568" i="4"/>
  <c r="K524" i="4"/>
  <c r="K478" i="4"/>
  <c r="K444" i="4"/>
  <c r="K404" i="4"/>
  <c r="K374" i="4"/>
  <c r="K334" i="4"/>
  <c r="K296" i="4"/>
  <c r="K266" i="4"/>
  <c r="K225" i="4"/>
  <c r="K195" i="4"/>
  <c r="K154" i="4"/>
  <c r="K114" i="4"/>
  <c r="K87" i="4"/>
  <c r="K47" i="4"/>
  <c r="K16" i="4"/>
  <c r="K958" i="4"/>
  <c r="K924" i="4"/>
  <c r="K879" i="4"/>
  <c r="K847" i="4"/>
  <c r="K800" i="4"/>
  <c r="K758" i="4"/>
  <c r="K719" i="4"/>
  <c r="K681" i="4"/>
  <c r="K639" i="4"/>
  <c r="K600" i="4"/>
  <c r="K554" i="4"/>
  <c r="K519" i="4"/>
  <c r="K476" i="4"/>
  <c r="K443" i="4"/>
  <c r="K403" i="4"/>
  <c r="K362" i="4"/>
  <c r="K332" i="4"/>
  <c r="K291" i="4"/>
  <c r="K264" i="4"/>
  <c r="K224" i="4"/>
  <c r="K184" i="4"/>
  <c r="K153" i="4"/>
  <c r="K113" i="4"/>
  <c r="K83" i="4"/>
  <c r="K44" i="4"/>
  <c r="K4" i="4"/>
  <c r="K956" i="4"/>
  <c r="K922" i="4"/>
  <c r="K875" i="4"/>
  <c r="K830" i="4"/>
  <c r="K799" i="4"/>
  <c r="K753" i="4"/>
  <c r="K718" i="4"/>
  <c r="K672" i="4"/>
  <c r="K633" i="4"/>
  <c r="K591" i="4"/>
  <c r="K552" i="4"/>
  <c r="K514" i="4"/>
  <c r="K472" i="4"/>
  <c r="K432" i="4"/>
  <c r="K401" i="4"/>
  <c r="K361" i="4"/>
  <c r="K331" i="4"/>
  <c r="K290" i="4"/>
  <c r="K250" i="4"/>
  <c r="K223" i="4"/>
  <c r="K182" i="4"/>
  <c r="K152" i="4"/>
  <c r="K112" i="4"/>
  <c r="K71" i="4"/>
  <c r="K41" i="4"/>
  <c r="K3" i="4"/>
  <c r="K955" i="4"/>
  <c r="K910" i="4"/>
  <c r="K874" i="4"/>
  <c r="K828" i="4"/>
  <c r="K794" i="4"/>
  <c r="K751" i="4"/>
  <c r="K705" i="4"/>
  <c r="K671" i="4"/>
  <c r="K624" i="4"/>
  <c r="K590" i="4"/>
  <c r="K544" i="4"/>
  <c r="K985" i="4"/>
  <c r="K954" i="4"/>
  <c r="K907" i="4"/>
  <c r="K873" i="4"/>
  <c r="K827" i="4"/>
  <c r="K780" i="4"/>
  <c r="K746" i="4"/>
  <c r="K703" i="4"/>
  <c r="K670" i="4"/>
  <c r="K623" i="4"/>
  <c r="K577" i="4"/>
  <c r="K542" i="4"/>
  <c r="K983" i="4"/>
  <c r="K936" i="4"/>
  <c r="K902" i="4"/>
  <c r="K858" i="4"/>
  <c r="K824" i="4"/>
  <c r="K778" i="4"/>
  <c r="K732" i="4"/>
  <c r="K697" i="4"/>
  <c r="K651" i="4"/>
  <c r="K619" i="4"/>
  <c r="K572" i="4"/>
  <c r="K527" i="4"/>
  <c r="K974" i="4"/>
  <c r="K935" i="4"/>
  <c r="K895" i="4"/>
  <c r="K854" i="4"/>
  <c r="K810" i="4"/>
  <c r="K776" i="4"/>
  <c r="K729" i="4"/>
  <c r="K696" i="4"/>
  <c r="K650" i="4"/>
  <c r="K602" i="4"/>
  <c r="K571" i="4"/>
  <c r="K526" i="4"/>
  <c r="K491" i="4"/>
  <c r="K446" i="4"/>
  <c r="K406" i="4"/>
  <c r="K376" i="4"/>
  <c r="K337" i="4"/>
  <c r="K307" i="4"/>
  <c r="K267" i="4"/>
  <c r="K226" i="4"/>
  <c r="K196" i="4"/>
  <c r="K156" i="4"/>
  <c r="K129" i="4"/>
  <c r="K88" i="4"/>
  <c r="K51" i="4"/>
  <c r="K17" i="4"/>
  <c r="K745" i="4"/>
  <c r="K495" i="4"/>
  <c r="K422" i="4"/>
  <c r="K351" i="4"/>
  <c r="K276" i="4"/>
  <c r="K206" i="4"/>
  <c r="K135" i="4"/>
  <c r="K67" i="4"/>
  <c r="K698" i="4"/>
  <c r="K492" i="4"/>
  <c r="K417" i="4"/>
  <c r="K339" i="4"/>
  <c r="K268" i="4"/>
  <c r="K198" i="4"/>
  <c r="K130" i="4"/>
  <c r="K59" i="4"/>
  <c r="K984" i="4"/>
  <c r="K655" i="4"/>
  <c r="K465" i="4"/>
  <c r="K394" i="4"/>
  <c r="K319" i="4"/>
  <c r="K249" i="4"/>
  <c r="K180" i="4"/>
  <c r="K111" i="4"/>
  <c r="K40" i="4"/>
  <c r="K948" i="4"/>
  <c r="K620" i="4"/>
  <c r="K464" i="4"/>
  <c r="K386" i="4"/>
  <c r="K318" i="4"/>
  <c r="K248" i="4"/>
  <c r="K177" i="4"/>
  <c r="K108" i="4"/>
  <c r="K28" i="4"/>
  <c r="K906" i="4"/>
  <c r="K575" i="4"/>
  <c r="K449" i="4"/>
  <c r="K380" i="4"/>
  <c r="K310" i="4"/>
  <c r="K240" i="4"/>
  <c r="K171" i="4"/>
  <c r="K97" i="4"/>
  <c r="K26" i="4"/>
  <c r="K860" i="4"/>
  <c r="K540" i="4"/>
  <c r="K447" i="4"/>
  <c r="K379" i="4"/>
  <c r="K308" i="4"/>
  <c r="K239" i="4"/>
  <c r="K163" i="4"/>
  <c r="K94" i="4"/>
  <c r="K25" i="4"/>
  <c r="K826" i="4"/>
  <c r="K505" i="4"/>
  <c r="K427" i="4"/>
  <c r="K360" i="4"/>
  <c r="K289" i="4"/>
  <c r="K218" i="4"/>
  <c r="K140" i="4"/>
  <c r="K70" i="4"/>
  <c r="K779" i="4"/>
  <c r="K496" i="4"/>
  <c r="K423" i="4"/>
  <c r="K352" i="4"/>
  <c r="K281" i="4"/>
  <c r="K207" i="4"/>
  <c r="K139" i="4"/>
  <c r="K68" i="4"/>
  <c r="AB52" i="4"/>
  <c r="AB44" i="4"/>
  <c r="AB20" i="4"/>
  <c r="AB55" i="4"/>
  <c r="AB40" i="4"/>
  <c r="AB54" i="4"/>
  <c r="AB41" i="4"/>
  <c r="AB29" i="4"/>
  <c r="Y53" i="4"/>
  <c r="AB5" i="4"/>
  <c r="Y25" i="4"/>
  <c r="E3" i="7"/>
  <c r="AA2" i="4"/>
  <c r="AB36" i="4"/>
  <c r="AB7" i="4"/>
  <c r="AB45" i="4"/>
  <c r="AB21" i="4"/>
  <c r="AB48" i="4"/>
  <c r="Y30" i="4"/>
  <c r="AB34" i="4"/>
  <c r="AB8" i="4"/>
  <c r="Y32" i="4"/>
  <c r="AB24" i="4"/>
  <c r="AB32" i="4"/>
  <c r="O993" i="4"/>
  <c r="O985" i="4"/>
  <c r="O977" i="4"/>
  <c r="O969" i="4"/>
  <c r="O961" i="4"/>
  <c r="O953" i="4"/>
  <c r="O945" i="4"/>
  <c r="O937" i="4"/>
  <c r="O929" i="4"/>
  <c r="O921" i="4"/>
  <c r="O913" i="4"/>
  <c r="O905" i="4"/>
  <c r="O897" i="4"/>
  <c r="O889" i="4"/>
  <c r="O881" i="4"/>
  <c r="O873" i="4"/>
  <c r="O865" i="4"/>
  <c r="O857" i="4"/>
  <c r="O849" i="4"/>
  <c r="O841" i="4"/>
  <c r="O833" i="4"/>
  <c r="O825" i="4"/>
  <c r="O817" i="4"/>
  <c r="O809" i="4"/>
  <c r="O801" i="4"/>
  <c r="O793" i="4"/>
  <c r="O785" i="4"/>
  <c r="O777" i="4"/>
  <c r="O769" i="4"/>
  <c r="O761" i="4"/>
  <c r="O753" i="4"/>
  <c r="O745" i="4"/>
  <c r="O737" i="4"/>
  <c r="O729" i="4"/>
  <c r="O721" i="4"/>
  <c r="O713" i="4"/>
  <c r="O705" i="4"/>
  <c r="O697" i="4"/>
  <c r="O689" i="4"/>
  <c r="O681" i="4"/>
  <c r="O673" i="4"/>
  <c r="O665" i="4"/>
  <c r="O657" i="4"/>
  <c r="O649" i="4"/>
  <c r="O641" i="4"/>
  <c r="O633" i="4"/>
  <c r="O625" i="4"/>
  <c r="O617" i="4"/>
  <c r="O609" i="4"/>
  <c r="O601" i="4"/>
  <c r="O996" i="4"/>
  <c r="O987" i="4"/>
  <c r="O995" i="4"/>
  <c r="O984" i="4"/>
  <c r="O975" i="4"/>
  <c r="O966" i="4"/>
  <c r="O957" i="4"/>
  <c r="O948" i="4"/>
  <c r="O939" i="4"/>
  <c r="O930" i="4"/>
  <c r="O920" i="4"/>
  <c r="O911" i="4"/>
  <c r="O902" i="4"/>
  <c r="O893" i="4"/>
  <c r="O884" i="4"/>
  <c r="O875" i="4"/>
  <c r="O866" i="4"/>
  <c r="O856" i="4"/>
  <c r="O847" i="4"/>
  <c r="O838" i="4"/>
  <c r="O829" i="4"/>
  <c r="O820" i="4"/>
  <c r="O811" i="4"/>
  <c r="O802" i="4"/>
  <c r="O792" i="4"/>
  <c r="O783" i="4"/>
  <c r="O774" i="4"/>
  <c r="O765" i="4"/>
  <c r="O756" i="4"/>
  <c r="O747" i="4"/>
  <c r="O738" i="4"/>
  <c r="O728" i="4"/>
  <c r="O719" i="4"/>
  <c r="O710" i="4"/>
  <c r="O701" i="4"/>
  <c r="O692" i="4"/>
  <c r="O683" i="4"/>
  <c r="O674" i="4"/>
  <c r="O664" i="4"/>
  <c r="O655" i="4"/>
  <c r="O646" i="4"/>
  <c r="O637" i="4"/>
  <c r="O628" i="4"/>
  <c r="O619" i="4"/>
  <c r="O610" i="4"/>
  <c r="O600" i="4"/>
  <c r="O592" i="4"/>
  <c r="O584" i="4"/>
  <c r="O576" i="4"/>
  <c r="O568" i="4"/>
  <c r="O560" i="4"/>
  <c r="O552" i="4"/>
  <c r="O544" i="4"/>
  <c r="O536" i="4"/>
  <c r="O528" i="4"/>
  <c r="O520" i="4"/>
  <c r="O512" i="4"/>
  <c r="O504" i="4"/>
  <c r="O496" i="4"/>
  <c r="O488" i="4"/>
  <c r="O480" i="4"/>
  <c r="O472" i="4"/>
  <c r="O464" i="4"/>
  <c r="O456" i="4"/>
  <c r="O448" i="4"/>
  <c r="O440" i="4"/>
  <c r="O432" i="4"/>
  <c r="O424" i="4"/>
  <c r="O416" i="4"/>
  <c r="O408" i="4"/>
  <c r="O400" i="4"/>
  <c r="O392" i="4"/>
  <c r="O384" i="4"/>
  <c r="O376" i="4"/>
  <c r="O368" i="4"/>
  <c r="O360" i="4"/>
  <c r="O352" i="4"/>
  <c r="O344" i="4"/>
  <c r="O336" i="4"/>
  <c r="O328" i="4"/>
  <c r="O320" i="4"/>
  <c r="O312" i="4"/>
  <c r="O304" i="4"/>
  <c r="O296" i="4"/>
  <c r="O288" i="4"/>
  <c r="O280" i="4"/>
  <c r="O272" i="4"/>
  <c r="O264" i="4"/>
  <c r="O256" i="4"/>
  <c r="O248" i="4"/>
  <c r="O240" i="4"/>
  <c r="O232" i="4"/>
  <c r="O224" i="4"/>
  <c r="O216" i="4"/>
  <c r="O208" i="4"/>
  <c r="O200" i="4"/>
  <c r="O192" i="4"/>
  <c r="O184" i="4"/>
  <c r="O176" i="4"/>
  <c r="O168" i="4"/>
  <c r="O160" i="4"/>
  <c r="O152" i="4"/>
  <c r="O144" i="4"/>
  <c r="O136" i="4"/>
  <c r="O128" i="4"/>
  <c r="O120" i="4"/>
  <c r="O112" i="4"/>
  <c r="O104" i="4"/>
  <c r="O96" i="4"/>
  <c r="O88" i="4"/>
  <c r="O80" i="4"/>
  <c r="O72" i="4"/>
  <c r="O64" i="4"/>
  <c r="O56" i="4"/>
  <c r="O48" i="4"/>
  <c r="O40" i="4"/>
  <c r="O32" i="4"/>
  <c r="O24" i="4"/>
  <c r="O16" i="4"/>
  <c r="O8" i="4"/>
  <c r="O994" i="4"/>
  <c r="O983" i="4"/>
  <c r="O974" i="4"/>
  <c r="O965" i="4"/>
  <c r="O956" i="4"/>
  <c r="O947" i="4"/>
  <c r="O938" i="4"/>
  <c r="O928" i="4"/>
  <c r="O919" i="4"/>
  <c r="O910" i="4"/>
  <c r="O901" i="4"/>
  <c r="O892" i="4"/>
  <c r="O883" i="4"/>
  <c r="O874" i="4"/>
  <c r="O864" i="4"/>
  <c r="O855" i="4"/>
  <c r="O846" i="4"/>
  <c r="O837" i="4"/>
  <c r="O828" i="4"/>
  <c r="O819" i="4"/>
  <c r="O810" i="4"/>
  <c r="O800" i="4"/>
  <c r="O791" i="4"/>
  <c r="O782" i="4"/>
  <c r="O773" i="4"/>
  <c r="O764" i="4"/>
  <c r="O755" i="4"/>
  <c r="O746" i="4"/>
  <c r="O736" i="4"/>
  <c r="O727" i="4"/>
  <c r="O718" i="4"/>
  <c r="O709" i="4"/>
  <c r="O700" i="4"/>
  <c r="O691" i="4"/>
  <c r="O682" i="4"/>
  <c r="O672" i="4"/>
  <c r="O663" i="4"/>
  <c r="O654" i="4"/>
  <c r="O645" i="4"/>
  <c r="O636" i="4"/>
  <c r="O627" i="4"/>
  <c r="O618" i="4"/>
  <c r="O608" i="4"/>
  <c r="O599" i="4"/>
  <c r="O591" i="4"/>
  <c r="O583" i="4"/>
  <c r="O575" i="4"/>
  <c r="O567" i="4"/>
  <c r="O559" i="4"/>
  <c r="O551" i="4"/>
  <c r="O543" i="4"/>
  <c r="O535" i="4"/>
  <c r="O527" i="4"/>
  <c r="O519" i="4"/>
  <c r="O511" i="4"/>
  <c r="O503" i="4"/>
  <c r="O495" i="4"/>
  <c r="O487" i="4"/>
  <c r="O479" i="4"/>
  <c r="O471" i="4"/>
  <c r="O998" i="4"/>
  <c r="O988" i="4"/>
  <c r="O978" i="4"/>
  <c r="O968" i="4"/>
  <c r="O959" i="4"/>
  <c r="O950" i="4"/>
  <c r="O941" i="4"/>
  <c r="O932" i="4"/>
  <c r="O923" i="4"/>
  <c r="O914" i="4"/>
  <c r="O904" i="4"/>
  <c r="O895" i="4"/>
  <c r="O886" i="4"/>
  <c r="O877" i="4"/>
  <c r="O868" i="4"/>
  <c r="O859" i="4"/>
  <c r="O850" i="4"/>
  <c r="O840" i="4"/>
  <c r="O831" i="4"/>
  <c r="O822" i="4"/>
  <c r="O813" i="4"/>
  <c r="O804" i="4"/>
  <c r="O795" i="4"/>
  <c r="O786" i="4"/>
  <c r="O776" i="4"/>
  <c r="O767" i="4"/>
  <c r="O758" i="4"/>
  <c r="O749" i="4"/>
  <c r="O740" i="4"/>
  <c r="O731" i="4"/>
  <c r="O722" i="4"/>
  <c r="O712" i="4"/>
  <c r="O703" i="4"/>
  <c r="O694" i="4"/>
  <c r="O685" i="4"/>
  <c r="O676" i="4"/>
  <c r="O667" i="4"/>
  <c r="O658" i="4"/>
  <c r="O648" i="4"/>
  <c r="O639" i="4"/>
  <c r="O630" i="4"/>
  <c r="O621" i="4"/>
  <c r="O612" i="4"/>
  <c r="O603" i="4"/>
  <c r="O594" i="4"/>
  <c r="O586" i="4"/>
  <c r="O578" i="4"/>
  <c r="O570" i="4"/>
  <c r="O562" i="4"/>
  <c r="O554" i="4"/>
  <c r="O546" i="4"/>
  <c r="O538" i="4"/>
  <c r="O530" i="4"/>
  <c r="O522" i="4"/>
  <c r="O514" i="4"/>
  <c r="O506" i="4"/>
  <c r="O498" i="4"/>
  <c r="O490" i="4"/>
  <c r="O482" i="4"/>
  <c r="O474" i="4"/>
  <c r="O466" i="4"/>
  <c r="O458" i="4"/>
  <c r="O450" i="4"/>
  <c r="O442" i="4"/>
  <c r="O434" i="4"/>
  <c r="O426" i="4"/>
  <c r="O418" i="4"/>
  <c r="O410" i="4"/>
  <c r="O402" i="4"/>
  <c r="O394" i="4"/>
  <c r="O386" i="4"/>
  <c r="O378" i="4"/>
  <c r="O370" i="4"/>
  <c r="O362" i="4"/>
  <c r="O354" i="4"/>
  <c r="O346" i="4"/>
  <c r="O338" i="4"/>
  <c r="O330" i="4"/>
  <c r="O322" i="4"/>
  <c r="O314" i="4"/>
  <c r="O306" i="4"/>
  <c r="O298" i="4"/>
  <c r="O290" i="4"/>
  <c r="O282" i="4"/>
  <c r="O274" i="4"/>
  <c r="O266" i="4"/>
  <c r="O258" i="4"/>
  <c r="O250" i="4"/>
  <c r="O242" i="4"/>
  <c r="O234" i="4"/>
  <c r="O226" i="4"/>
  <c r="O218" i="4"/>
  <c r="O210" i="4"/>
  <c r="O202" i="4"/>
  <c r="O194" i="4"/>
  <c r="O186" i="4"/>
  <c r="O178" i="4"/>
  <c r="O170" i="4"/>
  <c r="O162" i="4"/>
  <c r="O154" i="4"/>
  <c r="O146" i="4"/>
  <c r="O138" i="4"/>
  <c r="O130" i="4"/>
  <c r="O122" i="4"/>
  <c r="O114" i="4"/>
  <c r="O106" i="4"/>
  <c r="O98" i="4"/>
  <c r="O90" i="4"/>
  <c r="O82" i="4"/>
  <c r="O74" i="4"/>
  <c r="O66" i="4"/>
  <c r="O58" i="4"/>
  <c r="O50" i="4"/>
  <c r="O42" i="4"/>
  <c r="O34" i="4"/>
  <c r="O26" i="4"/>
  <c r="O18" i="4"/>
  <c r="O10" i="4"/>
  <c r="O997" i="4"/>
  <c r="O980" i="4"/>
  <c r="O964" i="4"/>
  <c r="O951" i="4"/>
  <c r="O935" i="4"/>
  <c r="O922" i="4"/>
  <c r="O907" i="4"/>
  <c r="O891" i="4"/>
  <c r="O878" i="4"/>
  <c r="O862" i="4"/>
  <c r="O848" i="4"/>
  <c r="O834" i="4"/>
  <c r="O818" i="4"/>
  <c r="O805" i="4"/>
  <c r="O789" i="4"/>
  <c r="O775" i="4"/>
  <c r="O760" i="4"/>
  <c r="O744" i="4"/>
  <c r="O732" i="4"/>
  <c r="O716" i="4"/>
  <c r="O702" i="4"/>
  <c r="O687" i="4"/>
  <c r="O671" i="4"/>
  <c r="O659" i="4"/>
  <c r="O643" i="4"/>
  <c r="O629" i="4"/>
  <c r="O614" i="4"/>
  <c r="O598" i="4"/>
  <c r="O587" i="4"/>
  <c r="O573" i="4"/>
  <c r="O561" i="4"/>
  <c r="O548" i="4"/>
  <c r="O534" i="4"/>
  <c r="O523" i="4"/>
  <c r="O509" i="4"/>
  <c r="O497" i="4"/>
  <c r="O484" i="4"/>
  <c r="O470" i="4"/>
  <c r="O460" i="4"/>
  <c r="O449" i="4"/>
  <c r="O438" i="4"/>
  <c r="O428" i="4"/>
  <c r="O417" i="4"/>
  <c r="O406" i="4"/>
  <c r="O396" i="4"/>
  <c r="O385" i="4"/>
  <c r="O374" i="4"/>
  <c r="O364" i="4"/>
  <c r="O353" i="4"/>
  <c r="O342" i="4"/>
  <c r="O332" i="4"/>
  <c r="O321" i="4"/>
  <c r="O310" i="4"/>
  <c r="O300" i="4"/>
  <c r="O289" i="4"/>
  <c r="O278" i="4"/>
  <c r="O268" i="4"/>
  <c r="O257" i="4"/>
  <c r="O246" i="4"/>
  <c r="O236" i="4"/>
  <c r="O225" i="4"/>
  <c r="O214" i="4"/>
  <c r="O204" i="4"/>
  <c r="O193" i="4"/>
  <c r="O182" i="4"/>
  <c r="O172" i="4"/>
  <c r="O161" i="4"/>
  <c r="O150" i="4"/>
  <c r="O140" i="4"/>
  <c r="O129" i="4"/>
  <c r="O118" i="4"/>
  <c r="O108" i="4"/>
  <c r="O97" i="4"/>
  <c r="O86" i="4"/>
  <c r="O76" i="4"/>
  <c r="O65" i="4"/>
  <c r="O54" i="4"/>
  <c r="O44" i="4"/>
  <c r="O33" i="4"/>
  <c r="O22" i="4"/>
  <c r="O12" i="4"/>
  <c r="O2" i="4"/>
  <c r="O992" i="4"/>
  <c r="O990" i="4"/>
  <c r="O972" i="4"/>
  <c r="O955" i="4"/>
  <c r="O940" i="4"/>
  <c r="O924" i="4"/>
  <c r="O906" i="4"/>
  <c r="O888" i="4"/>
  <c r="O871" i="4"/>
  <c r="O854" i="4"/>
  <c r="O839" i="4"/>
  <c r="O823" i="4"/>
  <c r="O806" i="4"/>
  <c r="O788" i="4"/>
  <c r="O771" i="4"/>
  <c r="O754" i="4"/>
  <c r="O739" i="4"/>
  <c r="O723" i="4"/>
  <c r="O706" i="4"/>
  <c r="O688" i="4"/>
  <c r="O670" i="4"/>
  <c r="O653" i="4"/>
  <c r="O638" i="4"/>
  <c r="O622" i="4"/>
  <c r="O605" i="4"/>
  <c r="O589" i="4"/>
  <c r="O574" i="4"/>
  <c r="O558" i="4"/>
  <c r="O545" i="4"/>
  <c r="O531" i="4"/>
  <c r="O516" i="4"/>
  <c r="O501" i="4"/>
  <c r="O486" i="4"/>
  <c r="O473" i="4"/>
  <c r="O459" i="4"/>
  <c r="O446" i="4"/>
  <c r="O435" i="4"/>
  <c r="O422" i="4"/>
  <c r="O411" i="4"/>
  <c r="O398" i="4"/>
  <c r="O387" i="4"/>
  <c r="O373" i="4"/>
  <c r="O361" i="4"/>
  <c r="O349" i="4"/>
  <c r="O337" i="4"/>
  <c r="O325" i="4"/>
  <c r="O313" i="4"/>
  <c r="O301" i="4"/>
  <c r="O287" i="4"/>
  <c r="O276" i="4"/>
  <c r="O263" i="4"/>
  <c r="O252" i="4"/>
  <c r="O239" i="4"/>
  <c r="O228" i="4"/>
  <c r="O215" i="4"/>
  <c r="O203" i="4"/>
  <c r="O190" i="4"/>
  <c r="O179" i="4"/>
  <c r="O166" i="4"/>
  <c r="O155" i="4"/>
  <c r="O142" i="4"/>
  <c r="O131" i="4"/>
  <c r="O117" i="4"/>
  <c r="O105" i="4"/>
  <c r="O93" i="4"/>
  <c r="O81" i="4"/>
  <c r="O69" i="4"/>
  <c r="O57" i="4"/>
  <c r="O45" i="4"/>
  <c r="O31" i="4"/>
  <c r="O20" i="4"/>
  <c r="O7" i="4"/>
  <c r="O989" i="4"/>
  <c r="O971" i="4"/>
  <c r="O954" i="4"/>
  <c r="O936" i="4"/>
  <c r="O918" i="4"/>
  <c r="O903" i="4"/>
  <c r="O887" i="4"/>
  <c r="O870" i="4"/>
  <c r="O853" i="4"/>
  <c r="O836" i="4"/>
  <c r="O821" i="4"/>
  <c r="O803" i="4"/>
  <c r="O787" i="4"/>
  <c r="O770" i="4"/>
  <c r="O752" i="4"/>
  <c r="O735" i="4"/>
  <c r="O720" i="4"/>
  <c r="O704" i="4"/>
  <c r="O686" i="4"/>
  <c r="O669" i="4"/>
  <c r="O652" i="4"/>
  <c r="O635" i="4"/>
  <c r="O620" i="4"/>
  <c r="O604" i="4"/>
  <c r="O588" i="4"/>
  <c r="O572" i="4"/>
  <c r="O557" i="4"/>
  <c r="O542" i="4"/>
  <c r="O529" i="4"/>
  <c r="O515" i="4"/>
  <c r="O500" i="4"/>
  <c r="O485" i="4"/>
  <c r="O469" i="4"/>
  <c r="O457" i="4"/>
  <c r="O445" i="4"/>
  <c r="O433" i="4"/>
  <c r="O421" i="4"/>
  <c r="O409" i="4"/>
  <c r="O397" i="4"/>
  <c r="O383" i="4"/>
  <c r="O372" i="4"/>
  <c r="O359" i="4"/>
  <c r="O348" i="4"/>
  <c r="O335" i="4"/>
  <c r="O324" i="4"/>
  <c r="O311" i="4"/>
  <c r="O299" i="4"/>
  <c r="O286" i="4"/>
  <c r="O275" i="4"/>
  <c r="O262" i="4"/>
  <c r="O251" i="4"/>
  <c r="O238" i="4"/>
  <c r="O227" i="4"/>
  <c r="O213" i="4"/>
  <c r="O201" i="4"/>
  <c r="O189" i="4"/>
  <c r="O177" i="4"/>
  <c r="O165" i="4"/>
  <c r="O153" i="4"/>
  <c r="O141" i="4"/>
  <c r="O127" i="4"/>
  <c r="O116" i="4"/>
  <c r="O103" i="4"/>
  <c r="O92" i="4"/>
  <c r="O79" i="4"/>
  <c r="O68" i="4"/>
  <c r="O55" i="4"/>
  <c r="O43" i="4"/>
  <c r="O30" i="4"/>
  <c r="O19" i="4"/>
  <c r="O6" i="4"/>
  <c r="O986" i="4"/>
  <c r="O970" i="4"/>
  <c r="O952" i="4"/>
  <c r="O934" i="4"/>
  <c r="O917" i="4"/>
  <c r="O900" i="4"/>
  <c r="O885" i="4"/>
  <c r="O869" i="4"/>
  <c r="O852" i="4"/>
  <c r="O835" i="4"/>
  <c r="O816" i="4"/>
  <c r="O799" i="4"/>
  <c r="O784" i="4"/>
  <c r="O768" i="4"/>
  <c r="O751" i="4"/>
  <c r="O734" i="4"/>
  <c r="O717" i="4"/>
  <c r="O699" i="4"/>
  <c r="O684" i="4"/>
  <c r="O668" i="4"/>
  <c r="O651" i="4"/>
  <c r="O634" i="4"/>
  <c r="O616" i="4"/>
  <c r="O602" i="4"/>
  <c r="O585" i="4"/>
  <c r="O571" i="4"/>
  <c r="O556" i="4"/>
  <c r="O541" i="4"/>
  <c r="O526" i="4"/>
  <c r="O513" i="4"/>
  <c r="O499" i="4"/>
  <c r="O483" i="4"/>
  <c r="O468" i="4"/>
  <c r="O455" i="4"/>
  <c r="O444" i="4"/>
  <c r="O431" i="4"/>
  <c r="O420" i="4"/>
  <c r="O407" i="4"/>
  <c r="O395" i="4"/>
  <c r="O382" i="4"/>
  <c r="O371" i="4"/>
  <c r="O358" i="4"/>
  <c r="O347" i="4"/>
  <c r="O334" i="4"/>
  <c r="O323" i="4"/>
  <c r="O309" i="4"/>
  <c r="O297" i="4"/>
  <c r="O285" i="4"/>
  <c r="O273" i="4"/>
  <c r="O261" i="4"/>
  <c r="O249" i="4"/>
  <c r="O237" i="4"/>
  <c r="O223" i="4"/>
  <c r="O212" i="4"/>
  <c r="O199" i="4"/>
  <c r="O188" i="4"/>
  <c r="O175" i="4"/>
  <c r="O164" i="4"/>
  <c r="O151" i="4"/>
  <c r="O139" i="4"/>
  <c r="O126" i="4"/>
  <c r="O115" i="4"/>
  <c r="O102" i="4"/>
  <c r="O91" i="4"/>
  <c r="O78" i="4"/>
  <c r="O67" i="4"/>
  <c r="O53" i="4"/>
  <c r="O41" i="4"/>
  <c r="O29" i="4"/>
  <c r="O17" i="4"/>
  <c r="O5" i="4"/>
  <c r="O1000" i="4"/>
  <c r="O967" i="4"/>
  <c r="O943" i="4"/>
  <c r="O915" i="4"/>
  <c r="O890" i="4"/>
  <c r="O861" i="4"/>
  <c r="O832" i="4"/>
  <c r="O808" i="4"/>
  <c r="O780" i="4"/>
  <c r="O757" i="4"/>
  <c r="O726" i="4"/>
  <c r="O698" i="4"/>
  <c r="O677" i="4"/>
  <c r="O647" i="4"/>
  <c r="O623" i="4"/>
  <c r="O595" i="4"/>
  <c r="O569" i="4"/>
  <c r="O549" i="4"/>
  <c r="O524" i="4"/>
  <c r="O502" i="4"/>
  <c r="O477" i="4"/>
  <c r="O454" i="4"/>
  <c r="O437" i="4"/>
  <c r="O415" i="4"/>
  <c r="O399" i="4"/>
  <c r="O379" i="4"/>
  <c r="O357" i="4"/>
  <c r="O340" i="4"/>
  <c r="O318" i="4"/>
  <c r="O302" i="4"/>
  <c r="O281" i="4"/>
  <c r="O260" i="4"/>
  <c r="O243" i="4"/>
  <c r="O221" i="4"/>
  <c r="O205" i="4"/>
  <c r="O183" i="4"/>
  <c r="O163" i="4"/>
  <c r="O145" i="4"/>
  <c r="O124" i="4"/>
  <c r="O107" i="4"/>
  <c r="O85" i="4"/>
  <c r="O63" i="4"/>
  <c r="O47" i="4"/>
  <c r="O27" i="4"/>
  <c r="O9" i="4"/>
  <c r="O991" i="4"/>
  <c r="O962" i="4"/>
  <c r="O933" i="4"/>
  <c r="O909" i="4"/>
  <c r="O880" i="4"/>
  <c r="O858" i="4"/>
  <c r="O827" i="4"/>
  <c r="O798" i="4"/>
  <c r="O778" i="4"/>
  <c r="O748" i="4"/>
  <c r="O724" i="4"/>
  <c r="O695" i="4"/>
  <c r="O666" i="4"/>
  <c r="O642" i="4"/>
  <c r="O613" i="4"/>
  <c r="O590" i="4"/>
  <c r="O565" i="4"/>
  <c r="O540" i="4"/>
  <c r="O518" i="4"/>
  <c r="O493" i="4"/>
  <c r="O475" i="4"/>
  <c r="O452" i="4"/>
  <c r="O430" i="4"/>
  <c r="O413" i="4"/>
  <c r="O391" i="4"/>
  <c r="O375" i="4"/>
  <c r="O355" i="4"/>
  <c r="O333" i="4"/>
  <c r="O316" i="4"/>
  <c r="O294" i="4"/>
  <c r="O277" i="4"/>
  <c r="O255" i="4"/>
  <c r="O235" i="4"/>
  <c r="O219" i="4"/>
  <c r="O197" i="4"/>
  <c r="O180" i="4"/>
  <c r="O158" i="4"/>
  <c r="O137" i="4"/>
  <c r="O121" i="4"/>
  <c r="O100" i="4"/>
  <c r="O83" i="4"/>
  <c r="O61" i="4"/>
  <c r="O39" i="4"/>
  <c r="O23" i="4"/>
  <c r="O3" i="4"/>
  <c r="O982" i="4"/>
  <c r="O960" i="4"/>
  <c r="O931" i="4"/>
  <c r="O908" i="4"/>
  <c r="O879" i="4"/>
  <c r="O851" i="4"/>
  <c r="O826" i="4"/>
  <c r="O797" i="4"/>
  <c r="O772" i="4"/>
  <c r="O743" i="4"/>
  <c r="O715" i="4"/>
  <c r="O693" i="4"/>
  <c r="O662" i="4"/>
  <c r="O640" i="4"/>
  <c r="O611" i="4"/>
  <c r="O582" i="4"/>
  <c r="O564" i="4"/>
  <c r="O539" i="4"/>
  <c r="O517" i="4"/>
  <c r="O492" i="4"/>
  <c r="O467" i="4"/>
  <c r="O451" i="4"/>
  <c r="O429" i="4"/>
  <c r="O412" i="4"/>
  <c r="O390" i="4"/>
  <c r="O369" i="4"/>
  <c r="O351" i="4"/>
  <c r="O331" i="4"/>
  <c r="O315" i="4"/>
  <c r="O293" i="4"/>
  <c r="O271" i="4"/>
  <c r="O254" i="4"/>
  <c r="O233" i="4"/>
  <c r="O217" i="4"/>
  <c r="O196" i="4"/>
  <c r="O174" i="4"/>
  <c r="O157" i="4"/>
  <c r="O135" i="4"/>
  <c r="O119" i="4"/>
  <c r="O99" i="4"/>
  <c r="O77" i="4"/>
  <c r="O60" i="4"/>
  <c r="O38" i="4"/>
  <c r="O21" i="4"/>
  <c r="O973" i="4"/>
  <c r="O944" i="4"/>
  <c r="O916" i="4"/>
  <c r="O894" i="4"/>
  <c r="O863" i="4"/>
  <c r="O842" i="4"/>
  <c r="O812" i="4"/>
  <c r="O976" i="4"/>
  <c r="O925" i="4"/>
  <c r="O867" i="4"/>
  <c r="O814" i="4"/>
  <c r="O763" i="4"/>
  <c r="O725" i="4"/>
  <c r="O679" i="4"/>
  <c r="O632" i="4"/>
  <c r="O596" i="4"/>
  <c r="O555" i="4"/>
  <c r="O521" i="4"/>
  <c r="O481" i="4"/>
  <c r="O447" i="4"/>
  <c r="O419" i="4"/>
  <c r="O388" i="4"/>
  <c r="O356" i="4"/>
  <c r="O326" i="4"/>
  <c r="O292" i="4"/>
  <c r="O265" i="4"/>
  <c r="O230" i="4"/>
  <c r="O198" i="4"/>
  <c r="O169" i="4"/>
  <c r="O134" i="4"/>
  <c r="O109" i="4"/>
  <c r="O73" i="4"/>
  <c r="O46" i="4"/>
  <c r="O13" i="4"/>
  <c r="O963" i="4"/>
  <c r="O912" i="4"/>
  <c r="O860" i="4"/>
  <c r="O807" i="4"/>
  <c r="O762" i="4"/>
  <c r="O714" i="4"/>
  <c r="O678" i="4"/>
  <c r="O631" i="4"/>
  <c r="O593" i="4"/>
  <c r="O553" i="4"/>
  <c r="O510" i="4"/>
  <c r="O478" i="4"/>
  <c r="O443" i="4"/>
  <c r="O414" i="4"/>
  <c r="O381" i="4"/>
  <c r="O350" i="4"/>
  <c r="O319" i="4"/>
  <c r="O291" i="4"/>
  <c r="O259" i="4"/>
  <c r="O229" i="4"/>
  <c r="O195" i="4"/>
  <c r="O167" i="4"/>
  <c r="O133" i="4"/>
  <c r="O101" i="4"/>
  <c r="O71" i="4"/>
  <c r="O37" i="4"/>
  <c r="O11" i="4"/>
  <c r="O949" i="4"/>
  <c r="O898" i="4"/>
  <c r="O844" i="4"/>
  <c r="O794" i="4"/>
  <c r="O750" i="4"/>
  <c r="O708" i="4"/>
  <c r="O661" i="4"/>
  <c r="O624" i="4"/>
  <c r="O580" i="4"/>
  <c r="O547" i="4"/>
  <c r="O507" i="4"/>
  <c r="O465" i="4"/>
  <c r="O927" i="4"/>
  <c r="O843" i="4"/>
  <c r="O766" i="4"/>
  <c r="O696" i="4"/>
  <c r="O626" i="4"/>
  <c r="O566" i="4"/>
  <c r="O505" i="4"/>
  <c r="O453" i="4"/>
  <c r="O404" i="4"/>
  <c r="O366" i="4"/>
  <c r="O327" i="4"/>
  <c r="O283" i="4"/>
  <c r="O244" i="4"/>
  <c r="O206" i="4"/>
  <c r="O156" i="4"/>
  <c r="O113" i="4"/>
  <c r="O75" i="4"/>
  <c r="O35" i="4"/>
  <c r="O926" i="4"/>
  <c r="O830" i="4"/>
  <c r="O759" i="4"/>
  <c r="O690" i="4"/>
  <c r="O615" i="4"/>
  <c r="O563" i="4"/>
  <c r="O494" i="4"/>
  <c r="O441" i="4"/>
  <c r="O403" i="4"/>
  <c r="O365" i="4"/>
  <c r="O317" i="4"/>
  <c r="O279" i="4"/>
  <c r="O241" i="4"/>
  <c r="O191" i="4"/>
  <c r="O149" i="4"/>
  <c r="O111" i="4"/>
  <c r="O70" i="4"/>
  <c r="O28" i="4"/>
  <c r="O999" i="4"/>
  <c r="O899" i="4"/>
  <c r="O824" i="4"/>
  <c r="O742" i="4"/>
  <c r="O680" i="4"/>
  <c r="O607" i="4"/>
  <c r="O550" i="4"/>
  <c r="O491" i="4"/>
  <c r="O439" i="4"/>
  <c r="O401" i="4"/>
  <c r="O363" i="4"/>
  <c r="O308" i="4"/>
  <c r="O270" i="4"/>
  <c r="O231" i="4"/>
  <c r="O187" i="4"/>
  <c r="O148" i="4"/>
  <c r="O110" i="4"/>
  <c r="O62" i="4"/>
  <c r="O25" i="4"/>
  <c r="O979" i="4"/>
  <c r="O882" i="4"/>
  <c r="O796" i="4"/>
  <c r="O733" i="4"/>
  <c r="O660" i="4"/>
  <c r="O597" i="4"/>
  <c r="O533" i="4"/>
  <c r="O476" i="4"/>
  <c r="O427" i="4"/>
  <c r="O389" i="4"/>
  <c r="O343" i="4"/>
  <c r="O305" i="4"/>
  <c r="O267" i="4"/>
  <c r="O220" i="4"/>
  <c r="O181" i="4"/>
  <c r="O143" i="4"/>
  <c r="O94" i="4"/>
  <c r="O52" i="4"/>
  <c r="O14" i="4"/>
  <c r="O958" i="4"/>
  <c r="O876" i="4"/>
  <c r="O790" i="4"/>
  <c r="O730" i="4"/>
  <c r="O656" i="4"/>
  <c r="O581" i="4"/>
  <c r="O532" i="4"/>
  <c r="O463" i="4"/>
  <c r="O425" i="4"/>
  <c r="O380" i="4"/>
  <c r="O341" i="4"/>
  <c r="O303" i="4"/>
  <c r="O253" i="4"/>
  <c r="O211" i="4"/>
  <c r="O173" i="4"/>
  <c r="O132" i="4"/>
  <c r="O89" i="4"/>
  <c r="O51" i="4"/>
  <c r="O4" i="4"/>
  <c r="O946" i="4"/>
  <c r="O872" i="4"/>
  <c r="O781" i="4"/>
  <c r="O711" i="4"/>
  <c r="O650" i="4"/>
  <c r="O579" i="4"/>
  <c r="O525" i="4"/>
  <c r="O462" i="4"/>
  <c r="O423" i="4"/>
  <c r="O377" i="4"/>
  <c r="O339" i="4"/>
  <c r="O295" i="4"/>
  <c r="O247" i="4"/>
  <c r="O209" i="4"/>
  <c r="O171" i="4"/>
  <c r="O125" i="4"/>
  <c r="O87" i="4"/>
  <c r="O49" i="4"/>
  <c r="O741" i="4"/>
  <c r="O489" i="4"/>
  <c r="O307" i="4"/>
  <c r="O147" i="4"/>
  <c r="O707" i="4"/>
  <c r="O461" i="4"/>
  <c r="O284" i="4"/>
  <c r="O123" i="4"/>
  <c r="O981" i="4"/>
  <c r="O675" i="4"/>
  <c r="O436" i="4"/>
  <c r="O269" i="4"/>
  <c r="O95" i="4"/>
  <c r="O942" i="4"/>
  <c r="O644" i="4"/>
  <c r="O405" i="4"/>
  <c r="O245" i="4"/>
  <c r="O84" i="4"/>
  <c r="O896" i="4"/>
  <c r="O606" i="4"/>
  <c r="O393" i="4"/>
  <c r="O222" i="4"/>
  <c r="O59" i="4"/>
  <c r="O815" i="4"/>
  <c r="O537" i="4"/>
  <c r="O345" i="4"/>
  <c r="O185" i="4"/>
  <c r="O15" i="4"/>
  <c r="O779" i="4"/>
  <c r="O508" i="4"/>
  <c r="O329" i="4"/>
  <c r="O159" i="4"/>
  <c r="O845" i="4"/>
  <c r="O577" i="4"/>
  <c r="O367" i="4"/>
  <c r="O207" i="4"/>
  <c r="O36" i="4"/>
  <c r="AB50" i="4"/>
  <c r="Y10" i="4"/>
  <c r="AB9" i="4"/>
  <c r="AB31" i="4"/>
  <c r="AB33" i="4"/>
  <c r="AB51" i="4"/>
  <c r="J997" i="4"/>
  <c r="J989" i="4"/>
  <c r="J981" i="4"/>
  <c r="J973" i="4"/>
  <c r="J965" i="4"/>
  <c r="J957" i="4"/>
  <c r="J949" i="4"/>
  <c r="J941" i="4"/>
  <c r="J933" i="4"/>
  <c r="J925" i="4"/>
  <c r="J917" i="4"/>
  <c r="J909" i="4"/>
  <c r="J901" i="4"/>
  <c r="J893" i="4"/>
  <c r="J885" i="4"/>
  <c r="J877" i="4"/>
  <c r="J869" i="4"/>
  <c r="J861" i="4"/>
  <c r="J853" i="4"/>
  <c r="J845" i="4"/>
  <c r="J837" i="4"/>
  <c r="J829" i="4"/>
  <c r="J821" i="4"/>
  <c r="J813" i="4"/>
  <c r="J805" i="4"/>
  <c r="J797" i="4"/>
  <c r="J789" i="4"/>
  <c r="J781" i="4"/>
  <c r="J773" i="4"/>
  <c r="J765" i="4"/>
  <c r="J757" i="4"/>
  <c r="J749" i="4"/>
  <c r="J741" i="4"/>
  <c r="J733" i="4"/>
  <c r="J725" i="4"/>
  <c r="J717" i="4"/>
  <c r="J709" i="4"/>
  <c r="J701" i="4"/>
  <c r="J693" i="4"/>
  <c r="J685" i="4"/>
  <c r="J677" i="4"/>
  <c r="J669" i="4"/>
  <c r="J661" i="4"/>
  <c r="J653" i="4"/>
  <c r="J645" i="4"/>
  <c r="J637" i="4"/>
  <c r="J629" i="4"/>
  <c r="J621" i="4"/>
  <c r="J613" i="4"/>
  <c r="J605" i="4"/>
  <c r="J597" i="4"/>
  <c r="J589" i="4"/>
  <c r="J581" i="4"/>
  <c r="J573" i="4"/>
  <c r="J565" i="4"/>
  <c r="J557" i="4"/>
  <c r="J549" i="4"/>
  <c r="J541" i="4"/>
  <c r="J533" i="4"/>
  <c r="J525" i="4"/>
  <c r="J517" i="4"/>
  <c r="J509" i="4"/>
  <c r="J501" i="4"/>
  <c r="J493" i="4"/>
  <c r="J485" i="4"/>
  <c r="J477" i="4"/>
  <c r="J469" i="4"/>
  <c r="J461" i="4"/>
  <c r="J453" i="4"/>
  <c r="J445" i="4"/>
  <c r="J437" i="4"/>
  <c r="J429" i="4"/>
  <c r="J421" i="4"/>
  <c r="J413" i="4"/>
  <c r="J405" i="4"/>
  <c r="J397" i="4"/>
  <c r="J389" i="4"/>
  <c r="J381" i="4"/>
  <c r="J373" i="4"/>
  <c r="J365" i="4"/>
  <c r="J357" i="4"/>
  <c r="J349" i="4"/>
  <c r="J341" i="4"/>
  <c r="J333" i="4"/>
  <c r="J325" i="4"/>
  <c r="J317" i="4"/>
  <c r="J309" i="4"/>
  <c r="J301" i="4"/>
  <c r="J293" i="4"/>
  <c r="J285" i="4"/>
  <c r="J277" i="4"/>
  <c r="J269" i="4"/>
  <c r="J261" i="4"/>
  <c r="J253" i="4"/>
  <c r="J245" i="4"/>
  <c r="J237" i="4"/>
  <c r="J229" i="4"/>
  <c r="J221" i="4"/>
  <c r="J213" i="4"/>
  <c r="J205" i="4"/>
  <c r="J197" i="4"/>
  <c r="J189" i="4"/>
  <c r="J181" i="4"/>
  <c r="J173" i="4"/>
  <c r="J165" i="4"/>
  <c r="J157" i="4"/>
  <c r="J149" i="4"/>
  <c r="J141" i="4"/>
  <c r="J133" i="4"/>
  <c r="J125" i="4"/>
  <c r="J117" i="4"/>
  <c r="J109" i="4"/>
  <c r="J101" i="4"/>
  <c r="J93" i="4"/>
  <c r="J85" i="4"/>
  <c r="J77" i="4"/>
  <c r="J69" i="4"/>
  <c r="J61" i="4"/>
  <c r="J53" i="4"/>
  <c r="Z53" i="4" s="1"/>
  <c r="J45" i="4"/>
  <c r="Z45" i="4" s="1"/>
  <c r="J37" i="4"/>
  <c r="Z37" i="4" s="1"/>
  <c r="AC37" i="4" s="1"/>
  <c r="J29" i="4"/>
  <c r="Z29" i="4" s="1"/>
  <c r="J21" i="4"/>
  <c r="Z21" i="4" s="1"/>
  <c r="J13" i="4"/>
  <c r="Z13" i="4" s="1"/>
  <c r="J5" i="4"/>
  <c r="Z5" i="4" s="1"/>
  <c r="J1000" i="4"/>
  <c r="J991" i="4"/>
  <c r="J982" i="4"/>
  <c r="J972" i="4"/>
  <c r="J963" i="4"/>
  <c r="J954" i="4"/>
  <c r="J945" i="4"/>
  <c r="J936" i="4"/>
  <c r="J927" i="4"/>
  <c r="J918" i="4"/>
  <c r="J908" i="4"/>
  <c r="J899" i="4"/>
  <c r="J890" i="4"/>
  <c r="J881" i="4"/>
  <c r="J872" i="4"/>
  <c r="J863" i="4"/>
  <c r="J854" i="4"/>
  <c r="J844" i="4"/>
  <c r="J835" i="4"/>
  <c r="J826" i="4"/>
  <c r="J817" i="4"/>
  <c r="J808" i="4"/>
  <c r="J799" i="4"/>
  <c r="J790" i="4"/>
  <c r="J780" i="4"/>
  <c r="J771" i="4"/>
  <c r="J762" i="4"/>
  <c r="J753" i="4"/>
  <c r="J744" i="4"/>
  <c r="J735" i="4"/>
  <c r="J726" i="4"/>
  <c r="J716" i="4"/>
  <c r="J707" i="4"/>
  <c r="J698" i="4"/>
  <c r="J689" i="4"/>
  <c r="J680" i="4"/>
  <c r="J671" i="4"/>
  <c r="J662" i="4"/>
  <c r="J652" i="4"/>
  <c r="J643" i="4"/>
  <c r="J634" i="4"/>
  <c r="J625" i="4"/>
  <c r="J616" i="4"/>
  <c r="J607" i="4"/>
  <c r="J598" i="4"/>
  <c r="J588" i="4"/>
  <c r="J579" i="4"/>
  <c r="J570" i="4"/>
  <c r="J561" i="4"/>
  <c r="J552" i="4"/>
  <c r="J543" i="4"/>
  <c r="J534" i="4"/>
  <c r="J524" i="4"/>
  <c r="J515" i="4"/>
  <c r="J506" i="4"/>
  <c r="J497" i="4"/>
  <c r="J488" i="4"/>
  <c r="J479" i="4"/>
  <c r="J470" i="4"/>
  <c r="J460" i="4"/>
  <c r="J451" i="4"/>
  <c r="J442" i="4"/>
  <c r="J433" i="4"/>
  <c r="J424" i="4"/>
  <c r="J415" i="4"/>
  <c r="J406" i="4"/>
  <c r="J396" i="4"/>
  <c r="J387" i="4"/>
  <c r="J378" i="4"/>
  <c r="J369" i="4"/>
  <c r="J360" i="4"/>
  <c r="J351" i="4"/>
  <c r="J342" i="4"/>
  <c r="J332" i="4"/>
  <c r="J323" i="4"/>
  <c r="J314" i="4"/>
  <c r="J305" i="4"/>
  <c r="J296" i="4"/>
  <c r="J287" i="4"/>
  <c r="J278" i="4"/>
  <c r="J268" i="4"/>
  <c r="J259" i="4"/>
  <c r="J250" i="4"/>
  <c r="J241" i="4"/>
  <c r="J232" i="4"/>
  <c r="J223" i="4"/>
  <c r="J214" i="4"/>
  <c r="J204" i="4"/>
  <c r="J195" i="4"/>
  <c r="J186" i="4"/>
  <c r="J177" i="4"/>
  <c r="J168" i="4"/>
  <c r="J159" i="4"/>
  <c r="J150" i="4"/>
  <c r="J140" i="4"/>
  <c r="J131" i="4"/>
  <c r="J122" i="4"/>
  <c r="J113" i="4"/>
  <c r="J104" i="4"/>
  <c r="J95" i="4"/>
  <c r="J86" i="4"/>
  <c r="J76" i="4"/>
  <c r="J67" i="4"/>
  <c r="J58" i="4"/>
  <c r="J49" i="4"/>
  <c r="Z49" i="4" s="1"/>
  <c r="AC49" i="4" s="1"/>
  <c r="J40" i="4"/>
  <c r="Z40" i="4" s="1"/>
  <c r="AC40" i="4" s="1"/>
  <c r="J31" i="4"/>
  <c r="Z31" i="4" s="1"/>
  <c r="J22" i="4"/>
  <c r="Z22" i="4" s="1"/>
  <c r="AC22" i="4" s="1"/>
  <c r="J12" i="4"/>
  <c r="Z12" i="4" s="1"/>
  <c r="J3" i="4"/>
  <c r="Z3" i="4" s="1"/>
  <c r="J990" i="4"/>
  <c r="J979" i="4"/>
  <c r="J969" i="4"/>
  <c r="J959" i="4"/>
  <c r="J948" i="4"/>
  <c r="J938" i="4"/>
  <c r="J928" i="4"/>
  <c r="J916" i="4"/>
  <c r="J906" i="4"/>
  <c r="J896" i="4"/>
  <c r="J886" i="4"/>
  <c r="J875" i="4"/>
  <c r="J865" i="4"/>
  <c r="J855" i="4"/>
  <c r="J843" i="4"/>
  <c r="J833" i="4"/>
  <c r="J823" i="4"/>
  <c r="J812" i="4"/>
  <c r="J802" i="4"/>
  <c r="J792" i="4"/>
  <c r="J782" i="4"/>
  <c r="J770" i="4"/>
  <c r="J760" i="4"/>
  <c r="J750" i="4"/>
  <c r="J739" i="4"/>
  <c r="J729" i="4"/>
  <c r="J719" i="4"/>
  <c r="J708" i="4"/>
  <c r="J697" i="4"/>
  <c r="J687" i="4"/>
  <c r="J676" i="4"/>
  <c r="J666" i="4"/>
  <c r="J656" i="4"/>
  <c r="J646" i="4"/>
  <c r="J635" i="4"/>
  <c r="J624" i="4"/>
  <c r="J614" i="4"/>
  <c r="J603" i="4"/>
  <c r="J593" i="4"/>
  <c r="J583" i="4"/>
  <c r="J572" i="4"/>
  <c r="J562" i="4"/>
  <c r="J551" i="4"/>
  <c r="J540" i="4"/>
  <c r="J530" i="4"/>
  <c r="J520" i="4"/>
  <c r="J510" i="4"/>
  <c r="J499" i="4"/>
  <c r="J489" i="4"/>
  <c r="J478" i="4"/>
  <c r="J467" i="4"/>
  <c r="J457" i="4"/>
  <c r="J447" i="4"/>
  <c r="J436" i="4"/>
  <c r="J426" i="4"/>
  <c r="J416" i="4"/>
  <c r="J404" i="4"/>
  <c r="J394" i="4"/>
  <c r="J384" i="4"/>
  <c r="J374" i="4"/>
  <c r="J363" i="4"/>
  <c r="J353" i="4"/>
  <c r="J343" i="4"/>
  <c r="J331" i="4"/>
  <c r="J321" i="4"/>
  <c r="J311" i="4"/>
  <c r="J300" i="4"/>
  <c r="J290" i="4"/>
  <c r="J280" i="4"/>
  <c r="J270" i="4"/>
  <c r="J258" i="4"/>
  <c r="J248" i="4"/>
  <c r="J238" i="4"/>
  <c r="J227" i="4"/>
  <c r="J217" i="4"/>
  <c r="J207" i="4"/>
  <c r="J196" i="4"/>
  <c r="J185" i="4"/>
  <c r="J175" i="4"/>
  <c r="J164" i="4"/>
  <c r="J154" i="4"/>
  <c r="J144" i="4"/>
  <c r="J134" i="4"/>
  <c r="J123" i="4"/>
  <c r="J112" i="4"/>
  <c r="J102" i="4"/>
  <c r="J91" i="4"/>
  <c r="J81" i="4"/>
  <c r="J71" i="4"/>
  <c r="J60" i="4"/>
  <c r="J50" i="4"/>
  <c r="Z50" i="4" s="1"/>
  <c r="J39" i="4"/>
  <c r="Z39" i="4" s="1"/>
  <c r="AC39" i="4" s="1"/>
  <c r="J28" i="4"/>
  <c r="Z28" i="4" s="1"/>
  <c r="J18" i="4"/>
  <c r="Z18" i="4" s="1"/>
  <c r="J8" i="4"/>
  <c r="Z8" i="4" s="1"/>
  <c r="J995" i="4"/>
  <c r="J984" i="4"/>
  <c r="J971" i="4"/>
  <c r="J960" i="4"/>
  <c r="J947" i="4"/>
  <c r="J935" i="4"/>
  <c r="J923" i="4"/>
  <c r="J912" i="4"/>
  <c r="J900" i="4"/>
  <c r="J888" i="4"/>
  <c r="J876" i="4"/>
  <c r="J864" i="4"/>
  <c r="J851" i="4"/>
  <c r="J840" i="4"/>
  <c r="J828" i="4"/>
  <c r="J816" i="4"/>
  <c r="J804" i="4"/>
  <c r="J793" i="4"/>
  <c r="J779" i="4"/>
  <c r="J768" i="4"/>
  <c r="J756" i="4"/>
  <c r="J745" i="4"/>
  <c r="J732" i="4"/>
  <c r="J721" i="4"/>
  <c r="J710" i="4"/>
  <c r="J696" i="4"/>
  <c r="J684" i="4"/>
  <c r="J673" i="4"/>
  <c r="J660" i="4"/>
  <c r="J649" i="4"/>
  <c r="J638" i="4"/>
  <c r="J626" i="4"/>
  <c r="J612" i="4"/>
  <c r="J601" i="4"/>
  <c r="J590" i="4"/>
  <c r="J577" i="4"/>
  <c r="J566" i="4"/>
  <c r="J554" i="4"/>
  <c r="J542" i="4"/>
  <c r="J529" i="4"/>
  <c r="J518" i="4"/>
  <c r="J505" i="4"/>
  <c r="J494" i="4"/>
  <c r="J482" i="4"/>
  <c r="J471" i="4"/>
  <c r="J458" i="4"/>
  <c r="J446" i="4"/>
  <c r="J434" i="4"/>
  <c r="J422" i="4"/>
  <c r="J410" i="4"/>
  <c r="J399" i="4"/>
  <c r="J386" i="4"/>
  <c r="J375" i="4"/>
  <c r="J362" i="4"/>
  <c r="J350" i="4"/>
  <c r="J338" i="4"/>
  <c r="J327" i="4"/>
  <c r="J315" i="4"/>
  <c r="J303" i="4"/>
  <c r="J291" i="4"/>
  <c r="J279" i="4"/>
  <c r="J266" i="4"/>
  <c r="J255" i="4"/>
  <c r="J243" i="4"/>
  <c r="J231" i="4"/>
  <c r="J219" i="4"/>
  <c r="J208" i="4"/>
  <c r="J194" i="4"/>
  <c r="J183" i="4"/>
  <c r="J171" i="4"/>
  <c r="J160" i="4"/>
  <c r="J147" i="4"/>
  <c r="J136" i="4"/>
  <c r="J124" i="4"/>
  <c r="J111" i="4"/>
  <c r="J99" i="4"/>
  <c r="J88" i="4"/>
  <c r="J75" i="4"/>
  <c r="J64" i="4"/>
  <c r="J52" i="4"/>
  <c r="Z52" i="4" s="1"/>
  <c r="J41" i="4"/>
  <c r="Z41" i="4" s="1"/>
  <c r="J27" i="4"/>
  <c r="Z27" i="4" s="1"/>
  <c r="J16" i="4"/>
  <c r="Z16" i="4" s="1"/>
  <c r="J4" i="4"/>
  <c r="Z4" i="4" s="1"/>
  <c r="AC4" i="4" s="1"/>
  <c r="J994" i="4"/>
  <c r="J983" i="4"/>
  <c r="J970" i="4"/>
  <c r="J958" i="4"/>
  <c r="J946" i="4"/>
  <c r="J934" i="4"/>
  <c r="J922" i="4"/>
  <c r="J911" i="4"/>
  <c r="J898" i="4"/>
  <c r="J887" i="4"/>
  <c r="J874" i="4"/>
  <c r="J862" i="4"/>
  <c r="J850" i="4"/>
  <c r="J839" i="4"/>
  <c r="J827" i="4"/>
  <c r="J815" i="4"/>
  <c r="J803" i="4"/>
  <c r="J791" i="4"/>
  <c r="J778" i="4"/>
  <c r="J767" i="4"/>
  <c r="J755" i="4"/>
  <c r="J743" i="4"/>
  <c r="J731" i="4"/>
  <c r="J720" i="4"/>
  <c r="J706" i="4"/>
  <c r="J695" i="4"/>
  <c r="J683" i="4"/>
  <c r="J672" i="4"/>
  <c r="J659" i="4"/>
  <c r="J648" i="4"/>
  <c r="J636" i="4"/>
  <c r="J623" i="4"/>
  <c r="J611" i="4"/>
  <c r="J600" i="4"/>
  <c r="J587" i="4"/>
  <c r="J576" i="4"/>
  <c r="J564" i="4"/>
  <c r="J553" i="4"/>
  <c r="J539" i="4"/>
  <c r="J528" i="4"/>
  <c r="J516" i="4"/>
  <c r="J504" i="4"/>
  <c r="J492" i="4"/>
  <c r="J481" i="4"/>
  <c r="J468" i="4"/>
  <c r="J456" i="4"/>
  <c r="J444" i="4"/>
  <c r="J432" i="4"/>
  <c r="J420" i="4"/>
  <c r="J409" i="4"/>
  <c r="J398" i="4"/>
  <c r="J385" i="4"/>
  <c r="J372" i="4"/>
  <c r="J361" i="4"/>
  <c r="J348" i="4"/>
  <c r="J337" i="4"/>
  <c r="J326" i="4"/>
  <c r="J313" i="4"/>
  <c r="J302" i="4"/>
  <c r="J289" i="4"/>
  <c r="J276" i="4"/>
  <c r="J265" i="4"/>
  <c r="J254" i="4"/>
  <c r="J242" i="4"/>
  <c r="J230" i="4"/>
  <c r="J218" i="4"/>
  <c r="J206" i="4"/>
  <c r="J193" i="4"/>
  <c r="J182" i="4"/>
  <c r="J170" i="4"/>
  <c r="J158" i="4"/>
  <c r="J146" i="4"/>
  <c r="J135" i="4"/>
  <c r="J121" i="4"/>
  <c r="J110" i="4"/>
  <c r="J98" i="4"/>
  <c r="J87" i="4"/>
  <c r="J74" i="4"/>
  <c r="J63" i="4"/>
  <c r="J51" i="4"/>
  <c r="Z51" i="4" s="1"/>
  <c r="J38" i="4"/>
  <c r="Z38" i="4" s="1"/>
  <c r="AC38" i="4" s="1"/>
  <c r="J26" i="4"/>
  <c r="Z26" i="4" s="1"/>
  <c r="AC26" i="4" s="1"/>
  <c r="J15" i="4"/>
  <c r="Z15" i="4" s="1"/>
  <c r="AC15" i="4" s="1"/>
  <c r="J993" i="4"/>
  <c r="J980" i="4"/>
  <c r="J968" i="4"/>
  <c r="J956" i="4"/>
  <c r="J944" i="4"/>
  <c r="J932" i="4"/>
  <c r="J921" i="4"/>
  <c r="J910" i="4"/>
  <c r="J897" i="4"/>
  <c r="J884" i="4"/>
  <c r="J873" i="4"/>
  <c r="J860" i="4"/>
  <c r="J849" i="4"/>
  <c r="J838" i="4"/>
  <c r="J825" i="4"/>
  <c r="J814" i="4"/>
  <c r="J801" i="4"/>
  <c r="J788" i="4"/>
  <c r="J777" i="4"/>
  <c r="J766" i="4"/>
  <c r="J754" i="4"/>
  <c r="J742" i="4"/>
  <c r="J730" i="4"/>
  <c r="J718" i="4"/>
  <c r="J705" i="4"/>
  <c r="J694" i="4"/>
  <c r="J682" i="4"/>
  <c r="J670" i="4"/>
  <c r="J658" i="4"/>
  <c r="J647" i="4"/>
  <c r="J633" i="4"/>
  <c r="J622" i="4"/>
  <c r="J610" i="4"/>
  <c r="J599" i="4"/>
  <c r="J586" i="4"/>
  <c r="J575" i="4"/>
  <c r="J563" i="4"/>
  <c r="J550" i="4"/>
  <c r="J538" i="4"/>
  <c r="J527" i="4"/>
  <c r="J514" i="4"/>
  <c r="J503" i="4"/>
  <c r="J491" i="4"/>
  <c r="J480" i="4"/>
  <c r="J466" i="4"/>
  <c r="J455" i="4"/>
  <c r="J443" i="4"/>
  <c r="J431" i="4"/>
  <c r="J419" i="4"/>
  <c r="J408" i="4"/>
  <c r="J395" i="4"/>
  <c r="J383" i="4"/>
  <c r="J371" i="4"/>
  <c r="J359" i="4"/>
  <c r="J347" i="4"/>
  <c r="J336" i="4"/>
  <c r="J324" i="4"/>
  <c r="J312" i="4"/>
  <c r="J299" i="4"/>
  <c r="J288" i="4"/>
  <c r="J275" i="4"/>
  <c r="J264" i="4"/>
  <c r="J252" i="4"/>
  <c r="J240" i="4"/>
  <c r="J228" i="4"/>
  <c r="J216" i="4"/>
  <c r="J203" i="4"/>
  <c r="J192" i="4"/>
  <c r="J180" i="4"/>
  <c r="J169" i="4"/>
  <c r="J156" i="4"/>
  <c r="J145" i="4"/>
  <c r="J132" i="4"/>
  <c r="J120" i="4"/>
  <c r="J108" i="4"/>
  <c r="J97" i="4"/>
  <c r="J84" i="4"/>
  <c r="J73" i="4"/>
  <c r="J62" i="4"/>
  <c r="J48" i="4"/>
  <c r="Z48" i="4" s="1"/>
  <c r="J36" i="4"/>
  <c r="Z36" i="4" s="1"/>
  <c r="J25" i="4"/>
  <c r="Z25" i="4" s="1"/>
  <c r="AC25" i="4" s="1"/>
  <c r="J14" i="4"/>
  <c r="Z14" i="4" s="1"/>
  <c r="AC14" i="4" s="1"/>
  <c r="J2" i="4"/>
  <c r="Z2" i="4" s="1"/>
  <c r="AC2" i="4" s="1"/>
  <c r="J992" i="4"/>
  <c r="J975" i="4"/>
  <c r="J953" i="4"/>
  <c r="J937" i="4"/>
  <c r="J915" i="4"/>
  <c r="J895" i="4"/>
  <c r="J879" i="4"/>
  <c r="J858" i="4"/>
  <c r="J841" i="4"/>
  <c r="J820" i="4"/>
  <c r="J800" i="4"/>
  <c r="J784" i="4"/>
  <c r="J763" i="4"/>
  <c r="J746" i="4"/>
  <c r="J724" i="4"/>
  <c r="J704" i="4"/>
  <c r="J688" i="4"/>
  <c r="J667" i="4"/>
  <c r="J650" i="4"/>
  <c r="J630" i="4"/>
  <c r="J609" i="4"/>
  <c r="J592" i="4"/>
  <c r="J571" i="4"/>
  <c r="J555" i="4"/>
  <c r="J535" i="4"/>
  <c r="J513" i="4"/>
  <c r="J496" i="4"/>
  <c r="J475" i="4"/>
  <c r="J459" i="4"/>
  <c r="J439" i="4"/>
  <c r="J418" i="4"/>
  <c r="J401" i="4"/>
  <c r="J380" i="4"/>
  <c r="J364" i="4"/>
  <c r="J344" i="4"/>
  <c r="J322" i="4"/>
  <c r="J306" i="4"/>
  <c r="J284" i="4"/>
  <c r="J267" i="4"/>
  <c r="J247" i="4"/>
  <c r="J226" i="4"/>
  <c r="J210" i="4"/>
  <c r="J190" i="4"/>
  <c r="J172" i="4"/>
  <c r="J152" i="4"/>
  <c r="J130" i="4"/>
  <c r="J115" i="4"/>
  <c r="J94" i="4"/>
  <c r="J78" i="4"/>
  <c r="J56" i="4"/>
  <c r="J35" i="4"/>
  <c r="Z35" i="4" s="1"/>
  <c r="AC35" i="4" s="1"/>
  <c r="J19" i="4"/>
  <c r="Z19" i="4" s="1"/>
  <c r="AC19" i="4" s="1"/>
  <c r="J988" i="4"/>
  <c r="J974" i="4"/>
  <c r="J952" i="4"/>
  <c r="J931" i="4"/>
  <c r="J914" i="4"/>
  <c r="J894" i="4"/>
  <c r="J878" i="4"/>
  <c r="J857" i="4"/>
  <c r="J836" i="4"/>
  <c r="J819" i="4"/>
  <c r="J798" i="4"/>
  <c r="J783" i="4"/>
  <c r="J761" i="4"/>
  <c r="J740" i="4"/>
  <c r="J723" i="4"/>
  <c r="J703" i="4"/>
  <c r="J686" i="4"/>
  <c r="J665" i="4"/>
  <c r="J644" i="4"/>
  <c r="J628" i="4"/>
  <c r="J608" i="4"/>
  <c r="J591" i="4"/>
  <c r="J569" i="4"/>
  <c r="J548" i="4"/>
  <c r="J532" i="4"/>
  <c r="J512" i="4"/>
  <c r="J495" i="4"/>
  <c r="J474" i="4"/>
  <c r="J454" i="4"/>
  <c r="J438" i="4"/>
  <c r="J417" i="4"/>
  <c r="J987" i="4"/>
  <c r="J967" i="4"/>
  <c r="J951" i="4"/>
  <c r="J930" i="4"/>
  <c r="J913" i="4"/>
  <c r="J892" i="4"/>
  <c r="J871" i="4"/>
  <c r="J856" i="4"/>
  <c r="J834" i="4"/>
  <c r="J818" i="4"/>
  <c r="J796" i="4"/>
  <c r="J776" i="4"/>
  <c r="J759" i="4"/>
  <c r="J738" i="4"/>
  <c r="J722" i="4"/>
  <c r="J702" i="4"/>
  <c r="J681" i="4"/>
  <c r="J664" i="4"/>
  <c r="J642" i="4"/>
  <c r="J627" i="4"/>
  <c r="J606" i="4"/>
  <c r="J585" i="4"/>
  <c r="J568" i="4"/>
  <c r="J547" i="4"/>
  <c r="J531" i="4"/>
  <c r="J511" i="4"/>
  <c r="J490" i="4"/>
  <c r="J473" i="4"/>
  <c r="J452" i="4"/>
  <c r="J435" i="4"/>
  <c r="J414" i="4"/>
  <c r="J393" i="4"/>
  <c r="J377" i="4"/>
  <c r="J356" i="4"/>
  <c r="J339" i="4"/>
  <c r="J319" i="4"/>
  <c r="J298" i="4"/>
  <c r="J282" i="4"/>
  <c r="J262" i="4"/>
  <c r="J244" i="4"/>
  <c r="J224" i="4"/>
  <c r="J202" i="4"/>
  <c r="J187" i="4"/>
  <c r="J166" i="4"/>
  <c r="J148" i="4"/>
  <c r="J128" i="4"/>
  <c r="J107" i="4"/>
  <c r="J90" i="4"/>
  <c r="J70" i="4"/>
  <c r="J54" i="4"/>
  <c r="Z54" i="4" s="1"/>
  <c r="J33" i="4"/>
  <c r="Z33" i="4" s="1"/>
  <c r="J11" i="4"/>
  <c r="Z11" i="4" s="1"/>
  <c r="AC11" i="4" s="1"/>
  <c r="J978" i="4"/>
  <c r="J950" i="4"/>
  <c r="J920" i="4"/>
  <c r="J889" i="4"/>
  <c r="J859" i="4"/>
  <c r="J830" i="4"/>
  <c r="J795" i="4"/>
  <c r="J769" i="4"/>
  <c r="J736" i="4"/>
  <c r="J711" i="4"/>
  <c r="J675" i="4"/>
  <c r="J641" i="4"/>
  <c r="J617" i="4"/>
  <c r="J582" i="4"/>
  <c r="J556" i="4"/>
  <c r="J522" i="4"/>
  <c r="J487" i="4"/>
  <c r="J463" i="4"/>
  <c r="J428" i="4"/>
  <c r="J402" i="4"/>
  <c r="J376" i="4"/>
  <c r="J352" i="4"/>
  <c r="J328" i="4"/>
  <c r="J297" i="4"/>
  <c r="J273" i="4"/>
  <c r="J249" i="4"/>
  <c r="J222" i="4"/>
  <c r="J199" i="4"/>
  <c r="J174" i="4"/>
  <c r="J143" i="4"/>
  <c r="J119" i="4"/>
  <c r="J96" i="4"/>
  <c r="J68" i="4"/>
  <c r="J44" i="4"/>
  <c r="Z44" i="4" s="1"/>
  <c r="J20" i="4"/>
  <c r="Z20" i="4" s="1"/>
  <c r="J977" i="4"/>
  <c r="J943" i="4"/>
  <c r="J919" i="4"/>
  <c r="J883" i="4"/>
  <c r="J852" i="4"/>
  <c r="J824" i="4"/>
  <c r="J794" i="4"/>
  <c r="J764" i="4"/>
  <c r="J734" i="4"/>
  <c r="J700" i="4"/>
  <c r="J674" i="4"/>
  <c r="J640" i="4"/>
  <c r="J615" i="4"/>
  <c r="J580" i="4"/>
  <c r="J546" i="4"/>
  <c r="J521" i="4"/>
  <c r="J486" i="4"/>
  <c r="J462" i="4"/>
  <c r="J427" i="4"/>
  <c r="J400" i="4"/>
  <c r="J370" i="4"/>
  <c r="J346" i="4"/>
  <c r="J320" i="4"/>
  <c r="J295" i="4"/>
  <c r="J272" i="4"/>
  <c r="J246" i="4"/>
  <c r="J220" i="4"/>
  <c r="J198" i="4"/>
  <c r="J167" i="4"/>
  <c r="J142" i="4"/>
  <c r="J118" i="4"/>
  <c r="J92" i="4"/>
  <c r="J66" i="4"/>
  <c r="J43" i="4"/>
  <c r="Z43" i="4" s="1"/>
  <c r="J17" i="4"/>
  <c r="Z17" i="4" s="1"/>
  <c r="J976" i="4"/>
  <c r="J942" i="4"/>
  <c r="J907" i="4"/>
  <c r="J882" i="4"/>
  <c r="J848" i="4"/>
  <c r="J822" i="4"/>
  <c r="J787" i="4"/>
  <c r="J758" i="4"/>
  <c r="J728" i="4"/>
  <c r="J699" i="4"/>
  <c r="J668" i="4"/>
  <c r="J639" i="4"/>
  <c r="J604" i="4"/>
  <c r="J578" i="4"/>
  <c r="J545" i="4"/>
  <c r="J519" i="4"/>
  <c r="J484" i="4"/>
  <c r="J450" i="4"/>
  <c r="J425" i="4"/>
  <c r="J392" i="4"/>
  <c r="J368" i="4"/>
  <c r="J345" i="4"/>
  <c r="J318" i="4"/>
  <c r="J294" i="4"/>
  <c r="J271" i="4"/>
  <c r="J239" i="4"/>
  <c r="J215" i="4"/>
  <c r="J191" i="4"/>
  <c r="J163" i="4"/>
  <c r="J139" i="4"/>
  <c r="J116" i="4"/>
  <c r="J89" i="4"/>
  <c r="J65" i="4"/>
  <c r="J42" i="4"/>
  <c r="Z42" i="4" s="1"/>
  <c r="J10" i="4"/>
  <c r="Z10" i="4" s="1"/>
  <c r="AC10" i="4" s="1"/>
  <c r="J985" i="4"/>
  <c r="J955" i="4"/>
  <c r="J924" i="4"/>
  <c r="J891" i="4"/>
  <c r="J866" i="4"/>
  <c r="J831" i="4"/>
  <c r="J806" i="4"/>
  <c r="J772" i="4"/>
  <c r="J737" i="4"/>
  <c r="J712" i="4"/>
  <c r="J678" i="4"/>
  <c r="J651" i="4"/>
  <c r="J618" i="4"/>
  <c r="J584" i="4"/>
  <c r="J558" i="4"/>
  <c r="J523" i="4"/>
  <c r="J498" i="4"/>
  <c r="J464" i="4"/>
  <c r="J430" i="4"/>
  <c r="J403" i="4"/>
  <c r="J379" i="4"/>
  <c r="J354" i="4"/>
  <c r="J329" i="4"/>
  <c r="J304" i="4"/>
  <c r="J274" i="4"/>
  <c r="J251" i="4"/>
  <c r="J225" i="4"/>
  <c r="J200" i="4"/>
  <c r="J176" i="4"/>
  <c r="J151" i="4"/>
  <c r="J126" i="4"/>
  <c r="J100" i="4"/>
  <c r="J72" i="4"/>
  <c r="J46" i="4"/>
  <c r="Z46" i="4" s="1"/>
  <c r="AC46" i="4" s="1"/>
  <c r="J23" i="4"/>
  <c r="Z23" i="4" s="1"/>
  <c r="AC23" i="4" s="1"/>
  <c r="J996" i="4"/>
  <c r="J929" i="4"/>
  <c r="J868" i="4"/>
  <c r="J809" i="4"/>
  <c r="J748" i="4"/>
  <c r="J690" i="4"/>
  <c r="J620" i="4"/>
  <c r="J560" i="4"/>
  <c r="J502" i="4"/>
  <c r="J441" i="4"/>
  <c r="J388" i="4"/>
  <c r="J334" i="4"/>
  <c r="J283" i="4"/>
  <c r="J234" i="4"/>
  <c r="J179" i="4"/>
  <c r="J129" i="4"/>
  <c r="J80" i="4"/>
  <c r="J30" i="4"/>
  <c r="Z30" i="4" s="1"/>
  <c r="AC30" i="4" s="1"/>
  <c r="J986" i="4"/>
  <c r="J926" i="4"/>
  <c r="J867" i="4"/>
  <c r="J807" i="4"/>
  <c r="J747" i="4"/>
  <c r="J679" i="4"/>
  <c r="J619" i="4"/>
  <c r="J559" i="4"/>
  <c r="J500" i="4"/>
  <c r="J440" i="4"/>
  <c r="J382" i="4"/>
  <c r="J330" i="4"/>
  <c r="J281" i="4"/>
  <c r="J233" i="4"/>
  <c r="J178" i="4"/>
  <c r="J127" i="4"/>
  <c r="J79" i="4"/>
  <c r="J24" i="4"/>
  <c r="Z24" i="4" s="1"/>
  <c r="J966" i="4"/>
  <c r="J905" i="4"/>
  <c r="J847" i="4"/>
  <c r="J786" i="4"/>
  <c r="J727" i="4"/>
  <c r="J663" i="4"/>
  <c r="J602" i="4"/>
  <c r="J544" i="4"/>
  <c r="J483" i="4"/>
  <c r="J423" i="4"/>
  <c r="J367" i="4"/>
  <c r="J316" i="4"/>
  <c r="J263" i="4"/>
  <c r="J212" i="4"/>
  <c r="J162" i="4"/>
  <c r="J114" i="4"/>
  <c r="J59" i="4"/>
  <c r="J9" i="4"/>
  <c r="Z9" i="4" s="1"/>
  <c r="J964" i="4"/>
  <c r="J904" i="4"/>
  <c r="J846" i="4"/>
  <c r="J785" i="4"/>
  <c r="J715" i="4"/>
  <c r="J657" i="4"/>
  <c r="J596" i="4"/>
  <c r="J537" i="4"/>
  <c r="J476" i="4"/>
  <c r="J412" i="4"/>
  <c r="J366" i="4"/>
  <c r="J310" i="4"/>
  <c r="J260" i="4"/>
  <c r="J211" i="4"/>
  <c r="J161" i="4"/>
  <c r="J106" i="4"/>
  <c r="J57" i="4"/>
  <c r="J7" i="4"/>
  <c r="Z7" i="4" s="1"/>
  <c r="J962" i="4"/>
  <c r="J903" i="4"/>
  <c r="J842" i="4"/>
  <c r="J775" i="4"/>
  <c r="J714" i="4"/>
  <c r="J655" i="4"/>
  <c r="J595" i="4"/>
  <c r="J536" i="4"/>
  <c r="J472" i="4"/>
  <c r="J411" i="4"/>
  <c r="J358" i="4"/>
  <c r="J308" i="4"/>
  <c r="J257" i="4"/>
  <c r="J209" i="4"/>
  <c r="J155" i="4"/>
  <c r="J105" i="4"/>
  <c r="J55" i="4"/>
  <c r="Z55" i="4" s="1"/>
  <c r="AC55" i="4" s="1"/>
  <c r="J6" i="4"/>
  <c r="Z6" i="4" s="1"/>
  <c r="AC6" i="4" s="1"/>
  <c r="J961" i="4"/>
  <c r="J902" i="4"/>
  <c r="J832" i="4"/>
  <c r="J774" i="4"/>
  <c r="J713" i="4"/>
  <c r="J654" i="4"/>
  <c r="J594" i="4"/>
  <c r="J526" i="4"/>
  <c r="J465" i="4"/>
  <c r="J407" i="4"/>
  <c r="J355" i="4"/>
  <c r="J307" i="4"/>
  <c r="J256" i="4"/>
  <c r="J201" i="4"/>
  <c r="J153" i="4"/>
  <c r="J103" i="4"/>
  <c r="J47" i="4"/>
  <c r="Z47" i="4" s="1"/>
  <c r="AC47" i="4" s="1"/>
  <c r="J999" i="4"/>
  <c r="J940" i="4"/>
  <c r="J880" i="4"/>
  <c r="J811" i="4"/>
  <c r="J752" i="4"/>
  <c r="J692" i="4"/>
  <c r="J632" i="4"/>
  <c r="J574" i="4"/>
  <c r="J508" i="4"/>
  <c r="J449" i="4"/>
  <c r="J391" i="4"/>
  <c r="J340" i="4"/>
  <c r="J292" i="4"/>
  <c r="J236" i="4"/>
  <c r="J188" i="4"/>
  <c r="J138" i="4"/>
  <c r="J83" i="4"/>
  <c r="J34" i="4"/>
  <c r="Z34" i="4" s="1"/>
  <c r="AC34" i="4" s="1"/>
  <c r="J998" i="4"/>
  <c r="J939" i="4"/>
  <c r="J870" i="4"/>
  <c r="J810" i="4"/>
  <c r="J751" i="4"/>
  <c r="J691" i="4"/>
  <c r="J631" i="4"/>
  <c r="J567" i="4"/>
  <c r="J507" i="4"/>
  <c r="J448" i="4"/>
  <c r="J390" i="4"/>
  <c r="J335" i="4"/>
  <c r="J286" i="4"/>
  <c r="J235" i="4"/>
  <c r="J184" i="4"/>
  <c r="J137" i="4"/>
  <c r="J82" i="4"/>
  <c r="J32" i="4"/>
  <c r="Z32" i="4" s="1"/>
  <c r="AB28" i="4"/>
  <c r="AC21" i="4" l="1"/>
  <c r="AC17" i="4"/>
  <c r="AC12" i="4"/>
  <c r="AC9" i="4"/>
  <c r="AC43" i="4"/>
  <c r="AC48" i="4"/>
  <c r="AC18" i="4"/>
  <c r="AC20" i="4"/>
  <c r="AC53" i="4"/>
  <c r="AC32" i="4"/>
  <c r="AC44" i="4"/>
  <c r="AC50" i="4"/>
  <c r="AC16" i="4"/>
  <c r="AC5" i="4"/>
  <c r="AC51" i="4"/>
  <c r="AC7" i="4"/>
  <c r="AC28" i="4"/>
  <c r="AC31" i="4"/>
  <c r="AC45" i="4"/>
  <c r="AC42" i="4"/>
  <c r="AC27" i="4"/>
  <c r="AC13" i="4"/>
  <c r="AC3" i="4"/>
  <c r="AC54" i="4"/>
  <c r="AC36" i="4"/>
  <c r="AC52" i="4"/>
  <c r="AC8" i="4"/>
  <c r="AC29" i="4"/>
  <c r="AC24" i="4"/>
  <c r="AC33" i="4"/>
  <c r="C3" i="7"/>
  <c r="C4" i="7"/>
  <c r="AC41" i="4"/>
  <c r="AD30" i="4" l="1"/>
  <c r="AD9" i="4"/>
  <c r="AD32" i="4"/>
  <c r="AD33" i="4"/>
  <c r="AD55" i="4"/>
  <c r="AD27" i="4"/>
  <c r="AD4" i="4"/>
  <c r="AD2" i="4"/>
  <c r="AD40" i="4"/>
  <c r="AD43" i="4"/>
  <c r="AD6" i="4"/>
  <c r="AD12" i="4"/>
  <c r="AD14" i="4"/>
  <c r="AD51" i="4"/>
  <c r="AD31" i="4"/>
  <c r="AD10" i="4"/>
  <c r="AD28" i="4"/>
  <c r="AD48" i="4"/>
  <c r="AD41" i="4"/>
  <c r="AD7" i="4"/>
  <c r="AD13" i="4"/>
  <c r="AD53" i="4"/>
  <c r="AD3" i="4"/>
  <c r="AD20" i="4"/>
  <c r="AD25" i="4"/>
  <c r="AD38" i="4"/>
  <c r="AD34" i="4"/>
  <c r="AD22" i="4"/>
  <c r="AD52" i="4"/>
  <c r="AD42" i="4"/>
  <c r="AD15" i="4"/>
  <c r="AD24" i="4"/>
  <c r="AD23" i="4"/>
  <c r="AD49" i="4"/>
  <c r="AD17" i="4"/>
  <c r="AD26" i="4"/>
  <c r="AD19" i="4"/>
  <c r="AD50" i="4"/>
  <c r="AD35" i="4"/>
  <c r="AD29" i="4"/>
  <c r="AD5" i="4"/>
  <c r="AD39" i="4"/>
  <c r="AD54" i="4"/>
  <c r="AD37" i="4"/>
  <c r="AD8" i="4"/>
  <c r="AD11" i="4"/>
  <c r="AD44" i="4"/>
  <c r="AD21" i="4"/>
  <c r="AD46" i="4"/>
  <c r="AD45" i="4"/>
  <c r="AD18" i="4"/>
  <c r="AD36" i="4"/>
  <c r="AD16" i="4"/>
  <c r="AD47" i="4"/>
</calcChain>
</file>

<file path=xl/sharedStrings.xml><?xml version="1.0" encoding="utf-8"?>
<sst xmlns="http://schemas.openxmlformats.org/spreadsheetml/2006/main" count="20245" uniqueCount="14250">
  <si>
    <t>DELIVERY_NAME</t>
  </si>
  <si>
    <t>DELIVERY_RATING</t>
  </si>
  <si>
    <t>MARKET_NUMBER</t>
  </si>
  <si>
    <t>MARKET_NAME</t>
  </si>
  <si>
    <t>TIMEZONE</t>
  </si>
  <si>
    <t>DASHER</t>
  </si>
  <si>
    <t>IS_FIRST_DELIVERY</t>
  </si>
  <si>
    <t>VEHICLE</t>
  </si>
  <si>
    <t>CREATED_AT</t>
  </si>
  <si>
    <t>QUOTED_DELIVERY_TIME</t>
  </si>
  <si>
    <t>ESTIMATED_DELIVERY_TIME</t>
  </si>
  <si>
    <t>ASAP</t>
  </si>
  <si>
    <t>FRAUDULENT</t>
  </si>
  <si>
    <t>ACTUAL_PICKUP_TIME</t>
  </si>
  <si>
    <t>ACTUAL_DELIVERY_TIME</t>
  </si>
  <si>
    <t>DASHER_ASSIGNED_TIME</t>
  </si>
  <si>
    <t>MANUALLY_ASSIGNED</t>
  </si>
  <si>
    <t>DASHER_CONFIRMED_TIME</t>
  </si>
  <si>
    <t>DASHER_AT_STORE_TIME</t>
  </si>
  <si>
    <t>CANCELLED_AT</t>
  </si>
  <si>
    <t>ACTIVE_DATE</t>
  </si>
  <si>
    <t>COMPOSITE_SCORE</t>
  </si>
  <si>
    <t>SUBTOTAL</t>
  </si>
  <si>
    <t>CONFIRM_TO_DELIVER_DURATION</t>
  </si>
  <si>
    <t>DASHER_TO_RESTAURANT_DURATION</t>
  </si>
  <si>
    <t>DASHER_WAIT_DURATION</t>
  </si>
  <si>
    <t>RESTAURANT_TO_CUSTOMER_DURATION</t>
  </si>
  <si>
    <t>WAS_BATCHED</t>
  </si>
  <si>
    <t>TOTAL_ITEM_COUNT</t>
  </si>
  <si>
    <t>DASHER_TO_STORE_TIME_CATEGORY</t>
  </si>
  <si>
    <t>ACTUAL_PICKUP_TIME_GALAXY_A</t>
  </si>
  <si>
    <t>ACTUAL_DELIVERY_TIME_GALAXY_A</t>
  </si>
  <si>
    <t>DASHER_ASSIGNED_TIME_GALAXY_A</t>
  </si>
  <si>
    <t>DASHER_AT_STORE_TIME_GALAXY_A</t>
  </si>
  <si>
    <t>COMPOSITE_STAR_RATING</t>
  </si>
  <si>
    <t>NUM_FIVE_STARS</t>
  </si>
  <si>
    <t>NUM_DELIVERIES</t>
  </si>
  <si>
    <t>NUM_ON_TIME_DELIVERIES</t>
  </si>
  <si>
    <t>Doorlanta</t>
  </si>
  <si>
    <t>Galaxy A</t>
  </si>
  <si>
    <t>Katelynn</t>
  </si>
  <si>
    <t>car</t>
  </si>
  <si>
    <t>2055-06-08T14:40:31.776158Z</t>
  </si>
  <si>
    <t>2055-06-08T16:30:00Z</t>
  </si>
  <si>
    <t>2055-06-08T16:27:25.447059Z</t>
  </si>
  <si>
    <t>2055-06-08T16:43:26.092195Z</t>
  </si>
  <si>
    <t>2055-06-08T15:24:32.128072Z</t>
  </si>
  <si>
    <t>2055-06-08T15:24:56.562443Z</t>
  </si>
  <si>
    <t>2055-06-08T12:27:25.447059Z</t>
  </si>
  <si>
    <t>2055-06-08T12:43:26.092195Z</t>
  </si>
  <si>
    <t>2055-06-08T11:24:32.128072Z</t>
  </si>
  <si>
    <t>Dashattan</t>
  </si>
  <si>
    <t>Arya</t>
  </si>
  <si>
    <t>bicycle</t>
  </si>
  <si>
    <t>2055-06-03T23:55:23.345361Z</t>
  </si>
  <si>
    <t>2055-06-04T02:10:19.438Z</t>
  </si>
  <si>
    <t>2055-06-04T01:42:06.438Z</t>
  </si>
  <si>
    <t>2055-06-04T00:43:45.908174Z</t>
  </si>
  <si>
    <t>2055-06-04T01:08:26.640633Z</t>
  </si>
  <si>
    <t>2055-06-04T00:30:14.629493Z</t>
  </si>
  <si>
    <t>2055-06-04T00:30:30.006106Z</t>
  </si>
  <si>
    <t>2055-06-04T00:38:02.90308Z</t>
  </si>
  <si>
    <t>early</t>
  </si>
  <si>
    <t>2055-06-03T20:43:45.908174Z</t>
  </si>
  <si>
    <t>2055-06-03T21:08:26.640633Z</t>
  </si>
  <si>
    <t>2055-06-03T20:30:14.629493Z</t>
  </si>
  <si>
    <t>2055-06-03T20:38:02.90308Z</t>
  </si>
  <si>
    <t>Bret</t>
  </si>
  <si>
    <t>2055-06-09T13:45:44.022432Z</t>
  </si>
  <si>
    <t>2055-06-09T15:29:57.082Z</t>
  </si>
  <si>
    <t>2055-06-09T15:01:44.082Z</t>
  </si>
  <si>
    <t>2055-06-09T15:11:25.372168Z</t>
  </si>
  <si>
    <t>2055-06-09T15:13:35.539122Z</t>
  </si>
  <si>
    <t>2055-06-09T14:04:34.144994Z</t>
  </si>
  <si>
    <t>2055-06-09T14:05:28.008027Z</t>
  </si>
  <si>
    <t>2055-06-09T14:19:12.351423Z</t>
  </si>
  <si>
    <t>late</t>
  </si>
  <si>
    <t>2055-06-09T11:11:25.372168Z</t>
  </si>
  <si>
    <t>2055-06-09T11:13:35.539122Z</t>
  </si>
  <si>
    <t>2055-06-09T10:04:34.144994Z</t>
  </si>
  <si>
    <t>2055-06-09T10:19:12.351423Z</t>
  </si>
  <si>
    <t>2055-06-06T22:14:59.221376Z</t>
  </si>
  <si>
    <t>2055-06-07T15:45:00Z</t>
  </si>
  <si>
    <t>2055-06-07T15:35:32.652626Z</t>
  </si>
  <si>
    <t>2055-06-07T15:50:01.734136Z</t>
  </si>
  <si>
    <t>2055-06-07T14:40:24.824381Z</t>
  </si>
  <si>
    <t>2055-06-07T14:41:19.172553Z</t>
  </si>
  <si>
    <t>2055-06-07T15:33:47.403919Z</t>
  </si>
  <si>
    <t>2055-06-07T11:35:32.652626Z</t>
  </si>
  <si>
    <t>2055-06-07T11:50:01.734136Z</t>
  </si>
  <si>
    <t>2055-06-07T10:40:24.824381Z</t>
  </si>
  <si>
    <t>2055-06-07T11:33:47.403919Z</t>
  </si>
  <si>
    <t>Samm</t>
  </si>
  <si>
    <t>2055-06-04T16:09:11.472458Z</t>
  </si>
  <si>
    <t>2055-06-04T18:20:18.559Z</t>
  </si>
  <si>
    <t>2055-06-04T18:12:59.656413Z</t>
  </si>
  <si>
    <t>2055-06-04T18:35:17.08753Z</t>
  </si>
  <si>
    <t>2055-06-04T17:41:54.272943Z</t>
  </si>
  <si>
    <t>2055-06-04T17:42:13.505934Z</t>
  </si>
  <si>
    <t>2055-06-04T17:58:03.42043Z</t>
  </si>
  <si>
    <t>2055-06-04T14:12:59.656413Z</t>
  </si>
  <si>
    <t>2055-06-04T14:35:17.08753Z</t>
  </si>
  <si>
    <t>2055-06-04T13:41:54.272943Z</t>
  </si>
  <si>
    <t>2055-06-04T13:58:03.42043Z</t>
  </si>
  <si>
    <t>Carlee</t>
  </si>
  <si>
    <t>2055-06-09T19:49:41.693256Z</t>
  </si>
  <si>
    <t>2055-06-10T15:45:00Z</t>
  </si>
  <si>
    <t>2055-06-10T15:18:09.540509Z</t>
  </si>
  <si>
    <t>2055-06-10T15:23:08.754428Z</t>
  </si>
  <si>
    <t>2055-06-10T14:47:54.187365Z</t>
  </si>
  <si>
    <t>2055-06-10T14:48:06.628086Z</t>
  </si>
  <si>
    <t>2055-06-10T15:10:46.951495Z</t>
  </si>
  <si>
    <t>2055-06-10T11:18:09.540509Z</t>
  </si>
  <si>
    <t>2055-06-10T11:23:08.754428Z</t>
  </si>
  <si>
    <t>2055-06-10T10:47:54.187365Z</t>
  </si>
  <si>
    <t>2055-06-10T11:10:46.951495Z</t>
  </si>
  <si>
    <t>Jagar</t>
  </si>
  <si>
    <t>2055-06-01T14:26:36.995622Z</t>
  </si>
  <si>
    <t>2055-06-01T16:00:00Z</t>
  </si>
  <si>
    <t>2055-06-01T15:41:52.41593Z</t>
  </si>
  <si>
    <t>2055-06-01T15:52:44.442115Z</t>
  </si>
  <si>
    <t>2055-06-01T15:00:07.376028Z</t>
  </si>
  <si>
    <t>2055-06-01T15:00:16.289572Z</t>
  </si>
  <si>
    <t>2055-06-01T15:11:29.739589Z</t>
  </si>
  <si>
    <t>2055-06-01T11:41:52.41593Z</t>
  </si>
  <si>
    <t>2055-06-01T11:52:44.442115Z</t>
  </si>
  <si>
    <t>2055-06-01T11:00:07.376028Z</t>
  </si>
  <si>
    <t>2055-06-01T11:11:29.739589Z</t>
  </si>
  <si>
    <t>2055-06-07T12:29:58.490584Z</t>
  </si>
  <si>
    <t>2055-06-07T23:15:00Z</t>
  </si>
  <si>
    <t>2055-06-07T23:06:49.039195Z</t>
  </si>
  <si>
    <t>2055-06-07T23:07:04.529095Z</t>
  </si>
  <si>
    <t>2055-06-07T22:18:34.346697Z</t>
  </si>
  <si>
    <t>2055-06-07T22:18:39.784875Z</t>
  </si>
  <si>
    <t>2055-06-07T22:33:52.326656Z</t>
  </si>
  <si>
    <t>2055-06-07T19:06:49.039195Z</t>
  </si>
  <si>
    <t>2055-06-07T19:07:04.529095Z</t>
  </si>
  <si>
    <t>2055-06-07T18:18:34.346697Z</t>
  </si>
  <si>
    <t>2055-06-07T18:33:52.326656Z</t>
  </si>
  <si>
    <t>2055-06-03T15:49:29.798239Z</t>
  </si>
  <si>
    <t>2055-06-03T17:14:45.888Z</t>
  </si>
  <si>
    <t>2055-06-03T17:01:32.888Z</t>
  </si>
  <si>
    <t>2055-06-03T16:37:12.215405Z</t>
  </si>
  <si>
    <t>2055-06-03T16:51:15.79938Z</t>
  </si>
  <si>
    <t>2055-06-03T16:05:14.936934Z</t>
  </si>
  <si>
    <t>2055-06-03T16:05:22.620426Z</t>
  </si>
  <si>
    <t>2055-06-03T16:32:42.302357Z</t>
  </si>
  <si>
    <t>2055-06-03T12:37:12.215405Z</t>
  </si>
  <si>
    <t>2055-06-03T12:51:15.79938Z</t>
  </si>
  <si>
    <t>2055-06-03T12:05:14.936934Z</t>
  </si>
  <si>
    <t>2055-06-03T12:32:42.302357Z</t>
  </si>
  <si>
    <t>Sal</t>
  </si>
  <si>
    <t>2055-06-01T14:19:19.004452Z</t>
  </si>
  <si>
    <t>2055-06-01T15:54:40.489099Z</t>
  </si>
  <si>
    <t>2055-06-01T16:10:40.273128Z</t>
  </si>
  <si>
    <t>2055-06-01T15:00:07.351144Z</t>
  </si>
  <si>
    <t>2055-06-01T15:00:15.282234Z</t>
  </si>
  <si>
    <t>2055-06-01T11:54:40.489099Z</t>
  </si>
  <si>
    <t>2055-06-01T12:10:40.273128Z</t>
  </si>
  <si>
    <t>2055-06-01T11:00:07.351144Z</t>
  </si>
  <si>
    <t>Kev</t>
  </si>
  <si>
    <t>2055-06-05T20:29:49.293908Z</t>
  </si>
  <si>
    <t>2055-06-05T21:57:03.367Z</t>
  </si>
  <si>
    <t>2055-06-05T21:36:56.367Z</t>
  </si>
  <si>
    <t>2055-06-05T21:00:53.690836Z</t>
  </si>
  <si>
    <t>2055-06-05T21:25:21.417903Z</t>
  </si>
  <si>
    <t>2055-06-05T20:47:07.290523Z</t>
  </si>
  <si>
    <t>2055-06-05T20:47:13.383317Z</t>
  </si>
  <si>
    <t>2055-06-05T20:55:06.423426Z</t>
  </si>
  <si>
    <t>2055-06-05T17:00:53.690836Z</t>
  </si>
  <si>
    <t>2055-06-05T17:25:21.417903Z</t>
  </si>
  <si>
    <t>2055-06-05T16:47:07.290523Z</t>
  </si>
  <si>
    <t>2055-06-05T16:55:06.423426Z</t>
  </si>
  <si>
    <t>Matt</t>
  </si>
  <si>
    <t>2055-06-06T01:27:59.301958Z</t>
  </si>
  <si>
    <t>2055-06-06T16:00:00Z</t>
  </si>
  <si>
    <t>2055-06-06T15:49:55.135794Z</t>
  </si>
  <si>
    <t>2055-06-06T16:03:24.394424Z</t>
  </si>
  <si>
    <t>2055-06-06T15:00:07.288126Z</t>
  </si>
  <si>
    <t>2055-06-06T15:00:26.211274Z</t>
  </si>
  <si>
    <t>2055-06-06T15:12:18.023155Z</t>
  </si>
  <si>
    <t>2055-06-06T11:49:55.135794Z</t>
  </si>
  <si>
    <t>2055-06-06T12:03:24.394424Z</t>
  </si>
  <si>
    <t>2055-06-06T11:00:07.288126Z</t>
  </si>
  <si>
    <t>2055-06-06T11:12:18.023155Z</t>
  </si>
  <si>
    <t>2055-06-08T14:23:46.742847Z</t>
  </si>
  <si>
    <t>2055-06-08T16:02:19.598742Z</t>
  </si>
  <si>
    <t>2055-06-08T16:11:42.561344Z</t>
  </si>
  <si>
    <t>2055-06-08T15:30:27.401737Z</t>
  </si>
  <si>
    <t>2055-06-08T15:30:38.403377Z</t>
  </si>
  <si>
    <t>2055-06-08T15:39:54.411513Z</t>
  </si>
  <si>
    <t>2055-06-08T12:02:19.598742Z</t>
  </si>
  <si>
    <t>2055-06-08T12:11:42.561344Z</t>
  </si>
  <si>
    <t>2055-06-08T11:30:27.401737Z</t>
  </si>
  <si>
    <t>2055-06-08T11:39:54.411513Z</t>
  </si>
  <si>
    <t>Ash</t>
  </si>
  <si>
    <t>2055-06-03T16:25:31.409567Z</t>
  </si>
  <si>
    <t>2055-06-03T17:38:49.501Z</t>
  </si>
  <si>
    <t>2055-06-03T17:19:10.501Z</t>
  </si>
  <si>
    <t>2055-06-03T16:59:05.379588Z</t>
  </si>
  <si>
    <t>2055-06-03T17:35:42.669252Z</t>
  </si>
  <si>
    <t>2055-06-03T16:31:27.371306Z</t>
  </si>
  <si>
    <t>2055-06-03T16:31:36.262896Z</t>
  </si>
  <si>
    <t>2055-06-03T12:59:05.379588Z</t>
  </si>
  <si>
    <t>2055-06-03T13:35:42.669252Z</t>
  </si>
  <si>
    <t>2055-06-03T12:31:27.371306Z</t>
  </si>
  <si>
    <t>Codee</t>
  </si>
  <si>
    <t>2055-06-02T00:15:53.163656Z</t>
  </si>
  <si>
    <t>2055-06-02T01:08:11.244Z</t>
  </si>
  <si>
    <t>2055-06-02T01:07:32.244Z</t>
  </si>
  <si>
    <t>2055-06-02T00:38:51.274164Z</t>
  </si>
  <si>
    <t>2055-06-02T01:03:19.778995Z</t>
  </si>
  <si>
    <t>2055-06-02T00:16:07.373744Z</t>
  </si>
  <si>
    <t>2055-06-02T00:16:34.50453Z</t>
  </si>
  <si>
    <t>2055-06-02T00:29:31.141773Z</t>
  </si>
  <si>
    <t>on time</t>
  </si>
  <si>
    <t>2055-06-01T20:38:51.274164Z</t>
  </si>
  <si>
    <t>2055-06-01T21:03:19.778995Z</t>
  </si>
  <si>
    <t>2055-06-01T20:16:07.373744Z</t>
  </si>
  <si>
    <t>2055-06-01T20:29:31.141773Z</t>
  </si>
  <si>
    <t>Lauran</t>
  </si>
  <si>
    <t>2055-06-02T14:14:13.014128Z</t>
  </si>
  <si>
    <t>2055-06-02T21:15:00Z</t>
  </si>
  <si>
    <t>2055-06-02T21:02:45.912741Z</t>
  </si>
  <si>
    <t>2055-06-02T21:18:03.029991Z</t>
  </si>
  <si>
    <t>2055-06-02T20:18:47.339647Z</t>
  </si>
  <si>
    <t>2055-06-02T20:18:56.228585Z</t>
  </si>
  <si>
    <t>2055-06-02T20:44:38.50371Z</t>
  </si>
  <si>
    <t>2055-06-02T17:02:45.912741Z</t>
  </si>
  <si>
    <t>2055-06-02T17:18:03.029991Z</t>
  </si>
  <si>
    <t>2055-06-02T16:18:47.339647Z</t>
  </si>
  <si>
    <t>2055-06-02T16:44:38.50371Z</t>
  </si>
  <si>
    <t>Ron</t>
  </si>
  <si>
    <t>2055-06-02T23:27:56.045622Z</t>
  </si>
  <si>
    <t>2055-06-03T00:30:14.101Z</t>
  </si>
  <si>
    <t>2055-06-03T00:10:35.101Z</t>
  </si>
  <si>
    <t>2055-06-03T00:05:32.024913Z</t>
  </si>
  <si>
    <t>2055-06-03T00:25:35.591672Z</t>
  </si>
  <si>
    <t>2055-06-02T23:32:55.244404Z</t>
  </si>
  <si>
    <t>2055-06-02T23:33:18.91934Z</t>
  </si>
  <si>
    <t>2055-06-02T23:50:54.342973Z</t>
  </si>
  <si>
    <t>2055-06-02T20:05:32.024913Z</t>
  </si>
  <si>
    <t>2055-06-02T20:25:35.591672Z</t>
  </si>
  <si>
    <t>2055-06-02T19:32:55.244404Z</t>
  </si>
  <si>
    <t>2055-06-02T19:50:54.342973Z</t>
  </si>
  <si>
    <t>2055-06-08T22:02:05.357188Z</t>
  </si>
  <si>
    <t>2055-06-09T16:00:00Z</t>
  </si>
  <si>
    <t>2055-06-09T15:44:54.492375Z</t>
  </si>
  <si>
    <t>2055-06-09T16:01:06.092165Z</t>
  </si>
  <si>
    <t>2055-06-09T15:13:54.322888Z</t>
  </si>
  <si>
    <t>2055-06-09T15:14:40.504938Z</t>
  </si>
  <si>
    <t>2055-06-09T15:41:42.317635Z</t>
  </si>
  <si>
    <t>2055-06-09T11:44:54.492375Z</t>
  </si>
  <si>
    <t>2055-06-09T12:01:06.092165Z</t>
  </si>
  <si>
    <t>2055-06-09T11:13:54.322888Z</t>
  </si>
  <si>
    <t>2055-06-09T11:41:42.317635Z</t>
  </si>
  <si>
    <t>2055-06-04T23:16:19.806926Z</t>
  </si>
  <si>
    <t>2055-06-05T00:13:30.868Z</t>
  </si>
  <si>
    <t>2055-06-04T23:58:51.868Z</t>
  </si>
  <si>
    <t>2055-06-04T23:55:02.638822Z</t>
  </si>
  <si>
    <t>2055-06-05T00:05:54.873885Z</t>
  </si>
  <si>
    <t>2055-06-04T23:16:27.662725Z</t>
  </si>
  <si>
    <t>2055-06-04T23:17:04.516324Z</t>
  </si>
  <si>
    <t>2055-06-04T23:24:47.340345Z</t>
  </si>
  <si>
    <t>2055-06-04T19:55:02.638822Z</t>
  </si>
  <si>
    <t>2055-06-04T20:05:54.873885Z</t>
  </si>
  <si>
    <t>2055-06-04T19:16:27.662725Z</t>
  </si>
  <si>
    <t>2055-06-04T19:24:47.340345Z</t>
  </si>
  <si>
    <t>2055-06-07T13:50:11.106486Z</t>
  </si>
  <si>
    <t>2055-06-07T14:30:17.169Z</t>
  </si>
  <si>
    <t>2055-06-07T14:21:24.169Z</t>
  </si>
  <si>
    <t>2055-06-07T14:33:35.994888Z</t>
  </si>
  <si>
    <t>2055-06-07T14:57:30.713153Z</t>
  </si>
  <si>
    <t>2055-06-07T13:50:14.118263Z</t>
  </si>
  <si>
    <t>2055-06-07T13:50:18.103263Z</t>
  </si>
  <si>
    <t>2055-06-07T13:50:33.323279Z</t>
  </si>
  <si>
    <t>2055-06-07T10:33:35.994888Z</t>
  </si>
  <si>
    <t>2055-06-07T10:57:30.713153Z</t>
  </si>
  <si>
    <t>2055-06-07T09:50:14.118263Z</t>
  </si>
  <si>
    <t>2055-06-07T09:50:33.323279Z</t>
  </si>
  <si>
    <t>Cate</t>
  </si>
  <si>
    <t>2055-06-08T17:03:58.423933Z</t>
  </si>
  <si>
    <t>2055-06-08T17:58:58.49Z</t>
  </si>
  <si>
    <t>2055-06-08T17:31:17.49Z</t>
  </si>
  <si>
    <t>2055-06-08T17:30:42.284657Z</t>
  </si>
  <si>
    <t>2055-06-08T17:40:38.362483Z</t>
  </si>
  <si>
    <t>2055-06-08T17:04:07.323219Z</t>
  </si>
  <si>
    <t>2055-06-08T17:04:15.588968Z</t>
  </si>
  <si>
    <t>2055-06-08T17:19:16.893874Z</t>
  </si>
  <si>
    <t>2055-06-08T13:30:42.284657Z</t>
  </si>
  <si>
    <t>2055-06-08T13:40:38.362483Z</t>
  </si>
  <si>
    <t>2055-06-08T13:04:07.323219Z</t>
  </si>
  <si>
    <t>2055-06-08T13:19:16.893874Z</t>
  </si>
  <si>
    <t>2055-06-01T14:23:25.582144Z</t>
  </si>
  <si>
    <t>2055-06-01T15:18:25.659Z</t>
  </si>
  <si>
    <t>2055-06-01T14:56:28.659Z</t>
  </si>
  <si>
    <t>2055-06-01T15:42:29.641268Z</t>
  </si>
  <si>
    <t>2055-06-01T15:57:28.896504Z</t>
  </si>
  <si>
    <t>2055-06-01T14:25:07.246323Z</t>
  </si>
  <si>
    <t>2055-06-01T14:25:22.663283Z</t>
  </si>
  <si>
    <t>2055-06-01T15:31:06.908633Z</t>
  </si>
  <si>
    <t>2055-06-01T11:42:29.641268Z</t>
  </si>
  <si>
    <t>2055-06-01T11:57:28.896504Z</t>
  </si>
  <si>
    <t>2055-06-01T10:25:07.246323Z</t>
  </si>
  <si>
    <t>2055-06-01T11:31:06.908633Z</t>
  </si>
  <si>
    <t>Sean</t>
  </si>
  <si>
    <t>2055-06-13T14:37:39.095965Z</t>
  </si>
  <si>
    <t>2055-06-13T16:15:00Z</t>
  </si>
  <si>
    <t>2055-06-13T15:31:18.826114Z</t>
  </si>
  <si>
    <t>2055-06-13T15:36:20.851883Z</t>
  </si>
  <si>
    <t>2055-06-13T15:15:34.266911Z</t>
  </si>
  <si>
    <t>2055-06-13T15:16:02.345147Z</t>
  </si>
  <si>
    <t>2055-06-13T15:20:48.907935Z</t>
  </si>
  <si>
    <t>2055-06-13T11:31:18.826114Z</t>
  </si>
  <si>
    <t>2055-06-13T11:36:20.851883Z</t>
  </si>
  <si>
    <t>2055-06-13T11:15:34.266911Z</t>
  </si>
  <si>
    <t>2055-06-13T11:20:48.907935Z</t>
  </si>
  <si>
    <t>2055-06-06T16:41:15.731402Z</t>
  </si>
  <si>
    <t>2055-06-06T17:46:09.803Z</t>
  </si>
  <si>
    <t>2055-06-06T17:24:15.803Z</t>
  </si>
  <si>
    <t>2055-06-06T17:22:53.925846Z</t>
  </si>
  <si>
    <t>2055-06-06T17:44:01.921308Z</t>
  </si>
  <si>
    <t>2055-06-06T16:51:07.274373Z</t>
  </si>
  <si>
    <t>2055-06-06T16:51:11.550738Z</t>
  </si>
  <si>
    <t>2055-06-06T17:08:32.499641Z</t>
  </si>
  <si>
    <t>2055-06-06T13:22:53.925846Z</t>
  </si>
  <si>
    <t>2055-06-06T13:44:01.921308Z</t>
  </si>
  <si>
    <t>2055-06-06T12:51:07.274373Z</t>
  </si>
  <si>
    <t>2055-06-06T13:08:32.499641Z</t>
  </si>
  <si>
    <t>2055-06-03T23:15:25.883303Z</t>
  </si>
  <si>
    <t>2055-06-04T00:16:53.959Z</t>
  </si>
  <si>
    <t>2055-06-03T23:58:00.959Z</t>
  </si>
  <si>
    <t>2055-06-03T23:59:19.549565Z</t>
  </si>
  <si>
    <t>2055-06-04T00:15:50.983126Z</t>
  </si>
  <si>
    <t>2055-06-03T23:15:47.365112Z</t>
  </si>
  <si>
    <t>2055-06-03T23:15:52.523686Z</t>
  </si>
  <si>
    <t>2055-06-03T23:21:10.238683Z</t>
  </si>
  <si>
    <t>2055-06-03T19:59:19.549565Z</t>
  </si>
  <si>
    <t>2055-06-03T20:15:50.983126Z</t>
  </si>
  <si>
    <t>2055-06-03T19:15:47.365112Z</t>
  </si>
  <si>
    <t>2055-06-03T19:21:10.238683Z</t>
  </si>
  <si>
    <t>KC</t>
  </si>
  <si>
    <t>2055-06-01T21:01:04.209755Z</t>
  </si>
  <si>
    <t>2055-06-02T15:30:00Z</t>
  </si>
  <si>
    <t>2055-06-02T14:48:48.937943Z</t>
  </si>
  <si>
    <t>2055-06-02T15:08:40.224318Z</t>
  </si>
  <si>
    <t>2055-06-02T14:30:14.230927Z</t>
  </si>
  <si>
    <t>2055-06-02T14:30:28.58113Z</t>
  </si>
  <si>
    <t>2055-06-02T14:41:27.462278Z</t>
  </si>
  <si>
    <t>2055-06-02T10:48:48.937943Z</t>
  </si>
  <si>
    <t>2055-06-02T11:08:40.224318Z</t>
  </si>
  <si>
    <t>2055-06-02T10:30:14.230927Z</t>
  </si>
  <si>
    <t>2055-06-02T10:41:27.462278Z</t>
  </si>
  <si>
    <t>2055-06-03T15:44:35.396375Z</t>
  </si>
  <si>
    <t>2055-06-03T16:22:42.451Z</t>
  </si>
  <si>
    <t>2055-06-03T16:13:49.451Z</t>
  </si>
  <si>
    <t>2055-06-03T17:27:07.724355Z</t>
  </si>
  <si>
    <t>2055-06-03T17:39:52.518053Z</t>
  </si>
  <si>
    <t>2055-06-03T17:09:14.942128Z</t>
  </si>
  <si>
    <t>2055-06-03T17:09:44.546634Z</t>
  </si>
  <si>
    <t>2055-06-03T17:11:59.817956Z</t>
  </si>
  <si>
    <t>2055-06-03T13:27:07.724355Z</t>
  </si>
  <si>
    <t>2055-06-03T13:39:52.518053Z</t>
  </si>
  <si>
    <t>2055-06-03T13:09:14.942128Z</t>
  </si>
  <si>
    <t>2055-06-03T13:11:59.817956Z</t>
  </si>
  <si>
    <t>Josh</t>
  </si>
  <si>
    <t>2055-06-04T23:56:30.589599Z</t>
  </si>
  <si>
    <t>2055-06-05T00:50:13.651Z</t>
  </si>
  <si>
    <t>2055-06-05T00:35:32.651Z</t>
  </si>
  <si>
    <t>2055-06-05T00:26:50.434556Z</t>
  </si>
  <si>
    <t>2055-06-05T00:39:33.904762Z</t>
  </si>
  <si>
    <t>2055-06-05T00:06:07.281382Z</t>
  </si>
  <si>
    <t>2055-06-05T00:06:15.726482Z</t>
  </si>
  <si>
    <t>2055-06-05T00:14:42.058012Z</t>
  </si>
  <si>
    <t>2055-06-04T20:26:50.434556Z</t>
  </si>
  <si>
    <t>2055-06-04T20:39:33.904762Z</t>
  </si>
  <si>
    <t>2055-06-04T20:06:07.281382Z</t>
  </si>
  <si>
    <t>2055-06-04T20:14:42.058012Z</t>
  </si>
  <si>
    <t>2055-06-06T15:49:17.745982Z</t>
  </si>
  <si>
    <t>2055-06-06T16:44:17.827Z</t>
  </si>
  <si>
    <t>2055-06-06T16:21:45.827Z</t>
  </si>
  <si>
    <t>2055-06-06T16:26:31.887028Z</t>
  </si>
  <si>
    <t>2055-06-06T16:34:36.268071Z</t>
  </si>
  <si>
    <t>2055-06-06T15:49:27.327972Z</t>
  </si>
  <si>
    <t>2055-06-06T15:49:37.74976Z</t>
  </si>
  <si>
    <t>2055-06-06T15:53:49.370735Z</t>
  </si>
  <si>
    <t>2055-06-06T12:26:31.887028Z</t>
  </si>
  <si>
    <t>2055-06-06T12:34:36.268071Z</t>
  </si>
  <si>
    <t>2055-06-06T11:49:27.327972Z</t>
  </si>
  <si>
    <t>2055-06-06T11:53:49.370735Z</t>
  </si>
  <si>
    <t>Abhai</t>
  </si>
  <si>
    <t>2055-06-05T22:05:58.809237Z</t>
  </si>
  <si>
    <t>2055-06-05T22:58:56.877Z</t>
  </si>
  <si>
    <t>2055-06-05T22:48:49.877Z</t>
  </si>
  <si>
    <t>2055-06-05T22:25:00.638806Z</t>
  </si>
  <si>
    <t>2055-06-05T22:40:12.579445Z</t>
  </si>
  <si>
    <t>2055-06-05T22:06:07.487224Z</t>
  </si>
  <si>
    <t>2055-06-05T22:06:14.092196Z</t>
  </si>
  <si>
    <t>2055-06-05T22:08:57.772749Z</t>
  </si>
  <si>
    <t>2055-06-05T18:25:00.638806Z</t>
  </si>
  <si>
    <t>2055-06-05T18:40:12.579445Z</t>
  </si>
  <si>
    <t>2055-06-05T18:06:07.487224Z</t>
  </si>
  <si>
    <t>2055-06-05T18:08:57.772749Z</t>
  </si>
  <si>
    <t>2055-06-03T13:56:31.072849Z</t>
  </si>
  <si>
    <t>2055-06-03T15:45:00Z</t>
  </si>
  <si>
    <t>2055-06-03T15:26:48.122122Z</t>
  </si>
  <si>
    <t>2055-06-03T15:34:24.487833Z</t>
  </si>
  <si>
    <t>2055-06-03T14:50:14.204932Z</t>
  </si>
  <si>
    <t>2055-06-03T14:50:52.366967Z</t>
  </si>
  <si>
    <t>2055-06-03T14:56:31.525702Z</t>
  </si>
  <si>
    <t>2055-06-03T11:26:48.122122Z</t>
  </si>
  <si>
    <t>2055-06-03T11:34:24.487833Z</t>
  </si>
  <si>
    <t>2055-06-03T10:50:14.204932Z</t>
  </si>
  <si>
    <t>2055-06-03T10:56:31.525702Z</t>
  </si>
  <si>
    <t>Rojan</t>
  </si>
  <si>
    <t>2055-06-08T21:23:31.277345Z</t>
  </si>
  <si>
    <t>2055-06-08T22:00:49.324Z</t>
  </si>
  <si>
    <t>2055-06-08T21:55:42.324Z</t>
  </si>
  <si>
    <t>2055-06-08T21:57:43.670453Z</t>
  </si>
  <si>
    <t>2055-06-08T22:15:15.322664Z</t>
  </si>
  <si>
    <t>2055-06-08T21:29:34.38399Z</t>
  </si>
  <si>
    <t>2055-06-08T21:29:57.51361Z</t>
  </si>
  <si>
    <t>2055-06-08T21:46:00.732833Z</t>
  </si>
  <si>
    <t>2055-06-08T17:57:43.670453Z</t>
  </si>
  <si>
    <t>2055-06-08T18:15:15.322664Z</t>
  </si>
  <si>
    <t>2055-06-08T17:29:34.38399Z</t>
  </si>
  <si>
    <t>2055-06-08T17:46:00.732833Z</t>
  </si>
  <si>
    <t>2055-06-12T20:55:40.497868Z</t>
  </si>
  <si>
    <t>2055-06-12T21:58:09.551Z</t>
  </si>
  <si>
    <t>2055-06-12T21:39:16.551Z</t>
  </si>
  <si>
    <t>2055-06-12T21:30:24.37677Z</t>
  </si>
  <si>
    <t>2055-06-12T21:37:36.409707Z</t>
  </si>
  <si>
    <t>2055-06-12T20:55:54.415667Z</t>
  </si>
  <si>
    <t>2055-06-12T20:56:21.054655Z</t>
  </si>
  <si>
    <t>2055-06-12T21:00:45.112963Z</t>
  </si>
  <si>
    <t>2055-06-12T17:30:24.37677Z</t>
  </si>
  <si>
    <t>2055-06-12T17:37:36.409707Z</t>
  </si>
  <si>
    <t>2055-06-12T16:55:54.415667Z</t>
  </si>
  <si>
    <t>2055-06-12T17:00:45.112963Z</t>
  </si>
  <si>
    <t>2055-06-03T13:53:40.299682Z</t>
  </si>
  <si>
    <t>2055-06-03T14:35:59.38Z</t>
  </si>
  <si>
    <t>2055-06-03T14:26:20.38Z</t>
  </si>
  <si>
    <t>2055-06-03T14:24:22.267753Z</t>
  </si>
  <si>
    <t>2055-06-03T14:41:08.49135Z</t>
  </si>
  <si>
    <t>2055-06-03T14:00:19.017871Z</t>
  </si>
  <si>
    <t>2055-06-03T14:00:36.072249Z</t>
  </si>
  <si>
    <t>2055-06-03T14:11:10.316031Z</t>
  </si>
  <si>
    <t>2055-06-03T10:24:22.267753Z</t>
  </si>
  <si>
    <t>2055-06-03T10:41:08.49135Z</t>
  </si>
  <si>
    <t>2055-06-03T10:00:19.017871Z</t>
  </si>
  <si>
    <t>2055-06-03T10:11:10.316031Z</t>
  </si>
  <si>
    <t>Anisha</t>
  </si>
  <si>
    <t>2055-06-03T22:33:56.344997Z</t>
  </si>
  <si>
    <t>2055-06-03T23:36:22.418Z</t>
  </si>
  <si>
    <t>2055-06-03T23:17:29.418Z</t>
  </si>
  <si>
    <t>2055-06-03T22:56:12.623884Z</t>
  </si>
  <si>
    <t>2055-06-03T23:12:59.845577Z</t>
  </si>
  <si>
    <t>2055-06-03T22:34:07.37549Z</t>
  </si>
  <si>
    <t>2055-06-03T22:34:12.598085Z</t>
  </si>
  <si>
    <t>2055-06-03T18:56:12.623884Z</t>
  </si>
  <si>
    <t>2055-06-03T19:12:59.845577Z</t>
  </si>
  <si>
    <t>2055-06-03T18:34:07.37549Z</t>
  </si>
  <si>
    <t>2055-06-05T01:34:44.099926Z</t>
  </si>
  <si>
    <t>2055-06-05T02:29:44.21Z</t>
  </si>
  <si>
    <t>2055-06-05T02:08:26.21Z</t>
  </si>
  <si>
    <t>2055-06-05T02:11:24.746754Z</t>
  </si>
  <si>
    <t>2055-06-05T02:23:03.370921Z</t>
  </si>
  <si>
    <t>2055-06-05T01:44:47.367076Z</t>
  </si>
  <si>
    <t>2055-06-05T01:44:51.191099Z</t>
  </si>
  <si>
    <t>2055-06-05T02:05:03.516913Z</t>
  </si>
  <si>
    <t>2055-06-04T22:11:24.746754Z</t>
  </si>
  <si>
    <t>2055-06-04T22:23:03.370921Z</t>
  </si>
  <si>
    <t>2055-06-04T21:44:47.367076Z</t>
  </si>
  <si>
    <t>2055-06-04T22:05:03.516913Z</t>
  </si>
  <si>
    <t>2055-06-02T01:20:42.291878Z</t>
  </si>
  <si>
    <t>2055-06-02T02:10:22.35Z</t>
  </si>
  <si>
    <t>2055-06-02T01:55:43.35Z</t>
  </si>
  <si>
    <t>2055-06-02T01:43:03.031108Z</t>
  </si>
  <si>
    <t>2055-06-02T01:51:41.123571Z</t>
  </si>
  <si>
    <t>2055-06-02T01:26:54.526136Z</t>
  </si>
  <si>
    <t>2055-06-02T01:27:36.185254Z</t>
  </si>
  <si>
    <t>2055-06-02T01:38:52.584896Z</t>
  </si>
  <si>
    <t>2055-06-01T21:43:03.031108Z</t>
  </si>
  <si>
    <t>2055-06-01T21:51:41.123571Z</t>
  </si>
  <si>
    <t>2055-06-01T21:26:54.526136Z</t>
  </si>
  <si>
    <t>2055-06-01T21:38:52.584896Z</t>
  </si>
  <si>
    <t>Hersh</t>
  </si>
  <si>
    <t>2055-06-02T22:48:18.7991Z</t>
  </si>
  <si>
    <t>2055-06-02T23:43:19.081Z</t>
  </si>
  <si>
    <t>2055-06-02T23:22:19.081Z</t>
  </si>
  <si>
    <t>2055-06-02T23:17:56.920722Z</t>
  </si>
  <si>
    <t>2055-06-02T23:32:21.439285Z</t>
  </si>
  <si>
    <t>2055-06-02T22:48:27.483323Z</t>
  </si>
  <si>
    <t>2055-06-02T22:48:38.091622Z</t>
  </si>
  <si>
    <t>2055-06-02T23:02:03.903694Z</t>
  </si>
  <si>
    <t>2055-06-02T19:17:56.920722Z</t>
  </si>
  <si>
    <t>2055-06-02T19:32:21.439285Z</t>
  </si>
  <si>
    <t>2055-06-02T18:48:27.483323Z</t>
  </si>
  <si>
    <t>2055-06-02T19:02:03.903694Z</t>
  </si>
  <si>
    <t>2055-06-06T16:05:07.268663Z</t>
  </si>
  <si>
    <t>2055-06-10T15:30:00Z</t>
  </si>
  <si>
    <t>2055-06-10T14:44:52.018664Z</t>
  </si>
  <si>
    <t>2055-06-10T14:55:28.739002Z</t>
  </si>
  <si>
    <t>2055-06-10T14:31:54.182274Z</t>
  </si>
  <si>
    <t>2055-06-10T14:32:02.882878Z</t>
  </si>
  <si>
    <t>2055-06-10T14:36:50.807189Z</t>
  </si>
  <si>
    <t>2055-06-10T10:44:52.018664Z</t>
  </si>
  <si>
    <t>2055-06-10T10:55:28.739002Z</t>
  </si>
  <si>
    <t>2055-06-10T10:31:54.182274Z</t>
  </si>
  <si>
    <t>2055-06-10T10:36:50.807189Z</t>
  </si>
  <si>
    <t>Elon</t>
  </si>
  <si>
    <t>2055-06-05T00:56:04.766366Z</t>
  </si>
  <si>
    <t>2055-06-05T01:54:06.849Z</t>
  </si>
  <si>
    <t>2055-06-05T01:47:12.849Z</t>
  </si>
  <si>
    <t>2055-06-05T02:00:51.837178Z</t>
  </si>
  <si>
    <t>2055-06-05T02:20:03.635668Z</t>
  </si>
  <si>
    <t>2055-06-05T01:09:07.411357Z</t>
  </si>
  <si>
    <t>2055-06-05T01:09:25.078358Z</t>
  </si>
  <si>
    <t>2055-06-05T01:15:39.081256Z</t>
  </si>
  <si>
    <t>2055-06-04T22:00:51.837178Z</t>
  </si>
  <si>
    <t>2055-06-04T22:20:03.635668Z</t>
  </si>
  <si>
    <t>2055-06-04T21:09:07.411357Z</t>
  </si>
  <si>
    <t>2055-06-04T21:15:39.081256Z</t>
  </si>
  <si>
    <t>2055-06-07T13:35:40.476432Z</t>
  </si>
  <si>
    <t>2055-06-07T16:00:00Z</t>
  </si>
  <si>
    <t>2055-06-07T15:42:08.992546Z</t>
  </si>
  <si>
    <t>2055-06-07T15:58:15.312059Z</t>
  </si>
  <si>
    <t>2055-06-07T15:00:07.364067Z</t>
  </si>
  <si>
    <t>2055-06-07T15:00:22.114565Z</t>
  </si>
  <si>
    <t>2055-06-07T11:42:08.992546Z</t>
  </si>
  <si>
    <t>2055-06-07T11:58:15.312059Z</t>
  </si>
  <si>
    <t>2055-06-07T11:00:07.364067Z</t>
  </si>
  <si>
    <t>Benn</t>
  </si>
  <si>
    <t>2055-06-05T21:33:17.842122Z</t>
  </si>
  <si>
    <t>2055-06-05T22:23:17.897Z</t>
  </si>
  <si>
    <t>2055-06-05T22:03:40.897Z</t>
  </si>
  <si>
    <t>2055-06-05T22:02:11.765254Z</t>
  </si>
  <si>
    <t>2055-06-05T22:09:08.000665Z</t>
  </si>
  <si>
    <t>2055-06-05T21:33:27.372403Z</t>
  </si>
  <si>
    <t>2055-06-05T21:33:39.281602Z</t>
  </si>
  <si>
    <t>2055-06-05T21:41:07.424411Z</t>
  </si>
  <si>
    <t>2055-06-05T18:02:11.765254Z</t>
  </si>
  <si>
    <t>2055-06-05T18:09:08.000665Z</t>
  </si>
  <si>
    <t>2055-06-05T17:33:27.372403Z</t>
  </si>
  <si>
    <t>2055-06-05T17:41:07.424411Z</t>
  </si>
  <si>
    <t>2055-06-05T18:25:57.59864Z</t>
  </si>
  <si>
    <t>2055-06-05T19:29:46.673Z</t>
  </si>
  <si>
    <t>2055-06-05T19:06:28.673Z</t>
  </si>
  <si>
    <t>2055-06-05T18:49:53.659536Z</t>
  </si>
  <si>
    <t>2055-06-05T19:15:19.46806Z</t>
  </si>
  <si>
    <t>2055-06-05T18:30:27.341135Z</t>
  </si>
  <si>
    <t>2055-06-05T18:30:34.123529Z</t>
  </si>
  <si>
    <t>2055-06-05T18:41:22.058908Z</t>
  </si>
  <si>
    <t>2055-06-05T14:49:53.659536Z</t>
  </si>
  <si>
    <t>2055-06-05T15:15:19.46806Z</t>
  </si>
  <si>
    <t>2055-06-05T14:30:27.341135Z</t>
  </si>
  <si>
    <t>2055-06-05T14:41:22.058908Z</t>
  </si>
  <si>
    <t>2055-06-05T14:45:11.325945Z</t>
  </si>
  <si>
    <t>2055-06-05T16:15:00Z</t>
  </si>
  <si>
    <t>2055-06-05T15:57:07.738264Z</t>
  </si>
  <si>
    <t>2055-06-05T16:09:02.354991Z</t>
  </si>
  <si>
    <t>2055-06-05T15:15:34.245712Z</t>
  </si>
  <si>
    <t>2055-06-05T15:15:38.415009Z</t>
  </si>
  <si>
    <t>2055-06-05T15:24:05.299638Z</t>
  </si>
  <si>
    <t>2055-06-05T11:57:07.738264Z</t>
  </si>
  <si>
    <t>2055-06-05T12:09:02.354991Z</t>
  </si>
  <si>
    <t>2055-06-05T11:15:34.245712Z</t>
  </si>
  <si>
    <t>2055-06-05T11:24:05.299638Z</t>
  </si>
  <si>
    <t>2055-06-08T13:04:45.506723Z</t>
  </si>
  <si>
    <t>2055-06-08T16:08:56.447868Z</t>
  </si>
  <si>
    <t>2055-06-08T16:28:32.697856Z</t>
  </si>
  <si>
    <t>2055-06-08T15:30:27.489897Z</t>
  </si>
  <si>
    <t>2055-06-08T15:30:43.671048Z</t>
  </si>
  <si>
    <t>2055-06-08T15:51:07.390628Z</t>
  </si>
  <si>
    <t>2055-06-08T12:08:56.447868Z</t>
  </si>
  <si>
    <t>2055-06-08T12:28:32.697856Z</t>
  </si>
  <si>
    <t>2055-06-08T11:30:27.489897Z</t>
  </si>
  <si>
    <t>2055-06-08T11:51:07.390628Z</t>
  </si>
  <si>
    <t>2055-06-02T16:23:39.870178Z</t>
  </si>
  <si>
    <t>2055-06-02T17:18:39.948Z</t>
  </si>
  <si>
    <t>2055-06-02T16:53:15.948Z</t>
  </si>
  <si>
    <t>2055-06-02T17:06:00.894237Z</t>
  </si>
  <si>
    <t>2055-06-02T17:19:58.643543Z</t>
  </si>
  <si>
    <t>2055-06-02T16:23:47.45849Z</t>
  </si>
  <si>
    <t>2055-06-02T16:23:55.564945Z</t>
  </si>
  <si>
    <t>2055-06-02T16:30:32.20049Z</t>
  </si>
  <si>
    <t>2055-06-02T13:06:00.894237Z</t>
  </si>
  <si>
    <t>2055-06-02T13:19:58.643543Z</t>
  </si>
  <si>
    <t>2055-06-02T12:23:47.45849Z</t>
  </si>
  <si>
    <t>2055-06-02T12:30:32.20049Z</t>
  </si>
  <si>
    <t>2055-06-06T00:11:13.372932Z</t>
  </si>
  <si>
    <t>2055-06-06T01:24:29.438Z</t>
  </si>
  <si>
    <t>2055-06-06T01:02:35.438Z</t>
  </si>
  <si>
    <t>2055-06-06T01:18:10.892174Z</t>
  </si>
  <si>
    <t>2055-06-06T01:32:00.23386Z</t>
  </si>
  <si>
    <t>2055-06-06T00:50:34.154514Z</t>
  </si>
  <si>
    <t>2055-06-06T00:50:52.746002Z</t>
  </si>
  <si>
    <t>2055-06-06T01:03:11.792284Z</t>
  </si>
  <si>
    <t>2055-06-05T21:18:10.892174Z</t>
  </si>
  <si>
    <t>2055-06-05T21:32:00.23386Z</t>
  </si>
  <si>
    <t>2055-06-05T20:50:34.154514Z</t>
  </si>
  <si>
    <t>2055-06-05T21:03:11.792284Z</t>
  </si>
  <si>
    <t>2055-06-01T22:46:47.260546Z</t>
  </si>
  <si>
    <t>2055-06-01T23:51:33.343Z</t>
  </si>
  <si>
    <t>2055-06-01T23:31:26.343Z</t>
  </si>
  <si>
    <t>2055-06-01T23:18:06.706964Z</t>
  </si>
  <si>
    <t>2055-06-01T23:26:54.876894Z</t>
  </si>
  <si>
    <t>2055-06-01T22:47:07.507745Z</t>
  </si>
  <si>
    <t>2055-06-01T22:47:10.792787Z</t>
  </si>
  <si>
    <t>2055-06-01T23:11:06.637286Z</t>
  </si>
  <si>
    <t>2055-06-01T19:18:06.706964Z</t>
  </si>
  <si>
    <t>2055-06-01T19:26:54.876894Z</t>
  </si>
  <si>
    <t>2055-06-01T18:47:07.507745Z</t>
  </si>
  <si>
    <t>2055-06-01T19:11:06.637286Z</t>
  </si>
  <si>
    <t>2055-06-04T01:02:02.615636Z</t>
  </si>
  <si>
    <t>2055-06-04T02:14:04.68Z</t>
  </si>
  <si>
    <t>2055-06-04T01:49:23.68Z</t>
  </si>
  <si>
    <t>2055-06-04T01:35:57.380742Z</t>
  </si>
  <si>
    <t>2055-06-04T01:53:38.08847Z</t>
  </si>
  <si>
    <t>2055-06-04T01:19:35.240112Z</t>
  </si>
  <si>
    <t>2055-06-04T01:19:53.428989Z</t>
  </si>
  <si>
    <t>2055-06-04T01:32:45.020154Z</t>
  </si>
  <si>
    <t>2055-06-03T21:35:57.380742Z</t>
  </si>
  <si>
    <t>2055-06-03T21:53:38.08847Z</t>
  </si>
  <si>
    <t>2055-06-03T21:19:35.240112Z</t>
  </si>
  <si>
    <t>2055-06-03T21:32:45.020154Z</t>
  </si>
  <si>
    <t>2055-06-02T00:13:23.522925Z</t>
  </si>
  <si>
    <t>2055-06-02T01:49:37.605Z</t>
  </si>
  <si>
    <t>2055-06-02T01:21:24.605Z</t>
  </si>
  <si>
    <t>2055-06-02T01:08:21.293046Z</t>
  </si>
  <si>
    <t>2055-06-02T01:25:05.126543Z</t>
  </si>
  <si>
    <t>2055-06-02T00:20:52.44522Z</t>
  </si>
  <si>
    <t>2055-06-02T00:21:34.869675Z</t>
  </si>
  <si>
    <t>2055-06-01T21:08:21.293046Z</t>
  </si>
  <si>
    <t>2055-06-01T21:25:05.126543Z</t>
  </si>
  <si>
    <t>2055-06-01T20:20:52.44522Z</t>
  </si>
  <si>
    <t>2055-06-01T16:32:00.190923Z</t>
  </si>
  <si>
    <t>2055-06-01T17:27:00.276Z</t>
  </si>
  <si>
    <t>2055-06-01T17:05:25.276Z</t>
  </si>
  <si>
    <t>2055-06-01T17:15:31.839159Z</t>
  </si>
  <si>
    <t>2055-06-01T17:23:02.296878Z</t>
  </si>
  <si>
    <t>2055-06-01T16:32:07.34231Z</t>
  </si>
  <si>
    <t>2055-06-01T16:32:25.467439Z</t>
  </si>
  <si>
    <t>2055-06-01T16:37:43.124217Z</t>
  </si>
  <si>
    <t>2055-06-01T13:15:31.839159Z</t>
  </si>
  <si>
    <t>2055-06-01T13:23:02.296878Z</t>
  </si>
  <si>
    <t>2055-06-01T12:32:07.34231Z</t>
  </si>
  <si>
    <t>2055-06-01T12:37:43.124217Z</t>
  </si>
  <si>
    <t>Bunje</t>
  </si>
  <si>
    <t>2055-06-06T00:16:13.64433Z</t>
  </si>
  <si>
    <t>2055-06-06T01:12:24.715Z</t>
  </si>
  <si>
    <t>2055-06-06T00:55:30.715Z</t>
  </si>
  <si>
    <t>2055-06-06T00:54:10.764549Z</t>
  </si>
  <si>
    <t>2055-06-06T01:21:05.214767Z</t>
  </si>
  <si>
    <t>2055-06-06T00:27:58.105895Z</t>
  </si>
  <si>
    <t>2055-06-06T00:29:37.628435Z</t>
  </si>
  <si>
    <t>2055-06-06T00:38:14.733136Z</t>
  </si>
  <si>
    <t>2055-06-05T20:54:10.764549Z</t>
  </si>
  <si>
    <t>2055-06-05T21:21:05.214767Z</t>
  </si>
  <si>
    <t>2055-06-05T20:27:58.105895Z</t>
  </si>
  <si>
    <t>2055-06-05T20:38:14.733136Z</t>
  </si>
  <si>
    <t>2055-06-08T02:44:18.970564Z</t>
  </si>
  <si>
    <t>2055-06-08T03:37:05.035Z</t>
  </si>
  <si>
    <t>2055-06-08T03:18:12.035Z</t>
  </si>
  <si>
    <t>2055-06-08T03:09:29.209757Z</t>
  </si>
  <si>
    <t>2055-06-08T03:17:19.207427Z</t>
  </si>
  <si>
    <t>2055-06-08T02:47:54.153946Z</t>
  </si>
  <si>
    <t>2055-06-08T02:48:11.617319Z</t>
  </si>
  <si>
    <t>2055-06-08T02:54:48.401737Z</t>
  </si>
  <si>
    <t>2055-06-07T23:09:29.209757Z</t>
  </si>
  <si>
    <t>2055-06-07T23:17:19.207427Z</t>
  </si>
  <si>
    <t>2055-06-07T22:47:54.153946Z</t>
  </si>
  <si>
    <t>2055-06-07T22:54:48.401737Z</t>
  </si>
  <si>
    <t>2055-06-08T00:10:35.39634Z</t>
  </si>
  <si>
    <t>2055-06-08T01:05:35.44Z</t>
  </si>
  <si>
    <t>2055-06-08T00:44:20.44Z</t>
  </si>
  <si>
    <t>2055-06-08T00:49:05.761166Z</t>
  </si>
  <si>
    <t>2055-06-08T01:02:08.762098Z</t>
  </si>
  <si>
    <t>2055-06-08T00:32:07.271057Z</t>
  </si>
  <si>
    <t>2055-06-08T00:32:10.941452Z</t>
  </si>
  <si>
    <t>2055-06-07T20:49:05.761166Z</t>
  </si>
  <si>
    <t>2055-06-07T21:02:08.762098Z</t>
  </si>
  <si>
    <t>2055-06-07T20:32:07.271057Z</t>
  </si>
  <si>
    <t>2055-06-07T23:36:57.164888Z</t>
  </si>
  <si>
    <t>2055-06-08T00:36:38.229Z</t>
  </si>
  <si>
    <t>2055-06-08T00:14:44.229Z</t>
  </si>
  <si>
    <t>2055-06-08T00:08:25.479719Z</t>
  </si>
  <si>
    <t>2055-06-08T00:16:00.92842Z</t>
  </si>
  <si>
    <t>2055-06-07T23:46:47.460743Z</t>
  </si>
  <si>
    <t>2055-06-07T23:47:20.889143Z</t>
  </si>
  <si>
    <t>2055-06-08T00:03:43.859043Z</t>
  </si>
  <si>
    <t>2055-06-07T20:08:25.479719Z</t>
  </si>
  <si>
    <t>2055-06-07T20:16:00.92842Z</t>
  </si>
  <si>
    <t>2055-06-07T19:46:47.460743Z</t>
  </si>
  <si>
    <t>2055-06-07T20:03:43.859043Z</t>
  </si>
  <si>
    <t>Joe</t>
  </si>
  <si>
    <t>2055-06-04T21:40:13.542469Z</t>
  </si>
  <si>
    <t>2055-06-04T22:55:20.61Z</t>
  </si>
  <si>
    <t>2055-06-04T22:35:13.61Z</t>
  </si>
  <si>
    <t>2055-06-04T22:14:20.425752Z</t>
  </si>
  <si>
    <t>2055-06-04T22:36:53.361516Z</t>
  </si>
  <si>
    <t>2055-06-04T21:44:27.324717Z</t>
  </si>
  <si>
    <t>2055-06-04T21:44:30.62756Z</t>
  </si>
  <si>
    <t>2055-06-04T21:55:31.979825Z</t>
  </si>
  <si>
    <t>2055-06-04T18:14:20.425752Z</t>
  </si>
  <si>
    <t>2055-06-04T18:36:53.361516Z</t>
  </si>
  <si>
    <t>2055-06-04T17:44:27.324717Z</t>
  </si>
  <si>
    <t>2055-06-04T17:55:31.979825Z</t>
  </si>
  <si>
    <t>J</t>
  </si>
  <si>
    <t>2055-06-02T22:19:38.751271Z</t>
  </si>
  <si>
    <t>2055-06-02T23:10:59.817Z</t>
  </si>
  <si>
    <t>2055-06-02T22:51:20.817Z</t>
  </si>
  <si>
    <t>2055-06-02T22:40:48.981626Z</t>
  </si>
  <si>
    <t>2055-06-02T23:19:03.298803Z</t>
  </si>
  <si>
    <t>2055-06-02T22:23:14.505442Z</t>
  </si>
  <si>
    <t>2055-06-02T22:23:40.398542Z</t>
  </si>
  <si>
    <t>2055-06-02T22:43:11.100575Z</t>
  </si>
  <si>
    <t>2055-06-02T18:40:48.981626Z</t>
  </si>
  <si>
    <t>2055-06-02T19:19:03.298803Z</t>
  </si>
  <si>
    <t>2055-06-02T18:23:14.505442Z</t>
  </si>
  <si>
    <t>2055-06-02T18:43:11.100575Z</t>
  </si>
  <si>
    <t>2055-06-02T23:31:03.720495Z</t>
  </si>
  <si>
    <t>2055-06-03T00:39:45.782Z</t>
  </si>
  <si>
    <t>2055-06-03T00:17:51.782Z</t>
  </si>
  <si>
    <t>2055-06-02T23:47:19.005997Z</t>
  </si>
  <si>
    <t>2055-06-03T00:04:57.736102Z</t>
  </si>
  <si>
    <t>2055-06-02T23:40:07.512635Z</t>
  </si>
  <si>
    <t>2055-06-02T23:40:44.932591Z</t>
  </si>
  <si>
    <t>2055-06-02T23:43:57.310416Z</t>
  </si>
  <si>
    <t>2055-06-02T19:47:19.005997Z</t>
  </si>
  <si>
    <t>2055-06-02T20:04:57.736102Z</t>
  </si>
  <si>
    <t>2055-06-02T19:40:07.512635Z</t>
  </si>
  <si>
    <t>2055-06-02T19:43:57.310416Z</t>
  </si>
  <si>
    <t>2055-06-05T22:15:37.478049Z</t>
  </si>
  <si>
    <t>2055-06-05T23:20:59.534Z</t>
  </si>
  <si>
    <t>2055-06-05T23:00:52.534Z</t>
  </si>
  <si>
    <t>2055-06-05T23:07:16.550032Z</t>
  </si>
  <si>
    <t>2055-06-05T23:17:03.021023Z</t>
  </si>
  <si>
    <t>2055-06-05T22:48:07.357576Z</t>
  </si>
  <si>
    <t>2055-06-05T22:48:16.502791Z</t>
  </si>
  <si>
    <t>2055-06-05T22:58:34.13283Z</t>
  </si>
  <si>
    <t>2055-06-05T19:07:16.550032Z</t>
  </si>
  <si>
    <t>2055-06-05T19:17:03.021023Z</t>
  </si>
  <si>
    <t>2055-06-05T18:48:07.357576Z</t>
  </si>
  <si>
    <t>2055-06-05T18:58:34.13283Z</t>
  </si>
  <si>
    <t>Barry</t>
  </si>
  <si>
    <t>2055-06-10T18:43:25.348342Z</t>
  </si>
  <si>
    <t>2055-06-10T19:55:02.407Z</t>
  </si>
  <si>
    <t>2055-06-10T19:35:23.407Z</t>
  </si>
  <si>
    <t>2055-06-10T19:22:32.264328Z</t>
  </si>
  <si>
    <t>2055-06-10T19:22:43.512395Z</t>
  </si>
  <si>
    <t>2055-06-10T18:43:34.280761Z</t>
  </si>
  <si>
    <t>2055-06-10T18:44:19.462451Z</t>
  </si>
  <si>
    <t>2055-06-10T18:54:58.647007Z</t>
  </si>
  <si>
    <t>2055-06-10T15:22:32.264328Z</t>
  </si>
  <si>
    <t>2055-06-10T15:22:43.512395Z</t>
  </si>
  <si>
    <t>2055-06-10T14:43:34.280761Z</t>
  </si>
  <si>
    <t>2055-06-10T14:54:58.647007Z</t>
  </si>
  <si>
    <t>2055-06-06T17:59:10.761118Z</t>
  </si>
  <si>
    <t>2055-06-06T18:51:49.854Z</t>
  </si>
  <si>
    <t>2055-06-06T18:42:56.854Z</t>
  </si>
  <si>
    <t>2055-06-06T18:19:42.450215Z</t>
  </si>
  <si>
    <t>2055-06-06T18:34:13.622679Z</t>
  </si>
  <si>
    <t>2055-06-06T17:59:27.389191Z</t>
  </si>
  <si>
    <t>2055-06-06T17:59:33.336408Z</t>
  </si>
  <si>
    <t>2055-06-06T18:04:16.345205Z</t>
  </si>
  <si>
    <t>2055-06-06T14:19:42.450215Z</t>
  </si>
  <si>
    <t>2055-06-06T14:34:13.622679Z</t>
  </si>
  <si>
    <t>2055-06-06T13:59:27.389191Z</t>
  </si>
  <si>
    <t>2055-06-06T14:04:16.345205Z</t>
  </si>
  <si>
    <t>2055-06-01T21:52:30.784067Z</t>
  </si>
  <si>
    <t>2055-06-01T22:33:13.848Z</t>
  </si>
  <si>
    <t>2055-06-01T22:28:06.848Z</t>
  </si>
  <si>
    <t>2055-06-01T22:11:13.91143Z</t>
  </si>
  <si>
    <t>2055-06-01T22:23:01.162074Z</t>
  </si>
  <si>
    <t>2055-06-01T21:54:54.481371Z</t>
  </si>
  <si>
    <t>2055-06-01T21:55:01.292138Z</t>
  </si>
  <si>
    <t>2055-06-01T22:08:12.056468Z</t>
  </si>
  <si>
    <t>2055-06-01T18:11:13.91143Z</t>
  </si>
  <si>
    <t>2055-06-01T18:23:01.162074Z</t>
  </si>
  <si>
    <t>2055-06-01T17:54:54.481371Z</t>
  </si>
  <si>
    <t>2055-06-01T18:08:12.056468Z</t>
  </si>
  <si>
    <t>2055-06-04T23:36:52.842591Z</t>
  </si>
  <si>
    <t>2055-06-05T00:35:00.886Z</t>
  </si>
  <si>
    <t>2055-06-05T00:15:21.886Z</t>
  </si>
  <si>
    <t>2055-06-04T23:55:27.598237Z</t>
  </si>
  <si>
    <t>2055-06-05T00:02:08.20302Z</t>
  </si>
  <si>
    <t>2055-06-04T23:45:55.271653Z</t>
  </si>
  <si>
    <t>2055-06-04T23:46:13.836097Z</t>
  </si>
  <si>
    <t>2055-06-04T23:55:30.301966Z</t>
  </si>
  <si>
    <t>2055-06-04T19:55:27.598237Z</t>
  </si>
  <si>
    <t>2055-06-04T20:02:08.20302Z</t>
  </si>
  <si>
    <t>2055-06-04T19:45:55.271653Z</t>
  </si>
  <si>
    <t>2055-06-04T19:55:30.301966Z</t>
  </si>
  <si>
    <t>2055-06-04T20:59:55.521685Z</t>
  </si>
  <si>
    <t>2055-06-04T22:00:16.604Z</t>
  </si>
  <si>
    <t>2055-06-04T21:40:37.604Z</t>
  </si>
  <si>
    <t>2055-06-04T21:25:11.982236Z</t>
  </si>
  <si>
    <t>2055-06-04T21:37:01.356024Z</t>
  </si>
  <si>
    <t>2055-06-04T21:00:07.307776Z</t>
  </si>
  <si>
    <t>2055-06-04T21:00:25.314855Z</t>
  </si>
  <si>
    <t>2055-06-04T21:06:42.01144Z</t>
  </si>
  <si>
    <t>2055-06-04T17:25:11.982236Z</t>
  </si>
  <si>
    <t>2055-06-04T17:37:01.356024Z</t>
  </si>
  <si>
    <t>2055-06-04T17:00:07.307776Z</t>
  </si>
  <si>
    <t>2055-06-04T17:06:42.01144Z</t>
  </si>
  <si>
    <t>2055-06-06T15:05:25.459475Z</t>
  </si>
  <si>
    <t>2055-06-06T16:00:14.544Z</t>
  </si>
  <si>
    <t>2055-06-06T15:46:21.544Z</t>
  </si>
  <si>
    <t>2055-06-06T15:44:30.468484Z</t>
  </si>
  <si>
    <t>2055-06-06T16:10:46.236266Z</t>
  </si>
  <si>
    <t>2055-06-06T15:07:47.313751Z</t>
  </si>
  <si>
    <t>2055-06-06T15:07:52.64183Z</t>
  </si>
  <si>
    <t>2055-06-06T15:15:41.307219Z</t>
  </si>
  <si>
    <t>2055-06-06T11:44:30.468484Z</t>
  </si>
  <si>
    <t>2055-06-06T12:10:46.236266Z</t>
  </si>
  <si>
    <t>2055-06-06T11:07:47.313751Z</t>
  </si>
  <si>
    <t>2055-06-06T11:15:41.307219Z</t>
  </si>
  <si>
    <t>2055-06-04T22:25:30.06828Z</t>
  </si>
  <si>
    <t>2055-06-04T23:15:30.133Z</t>
  </si>
  <si>
    <t>2055-06-04T22:58:27.133Z</t>
  </si>
  <si>
    <t>2055-06-04T22:57:32.563339Z</t>
  </si>
  <si>
    <t>2055-06-04T23:11:43.406425Z</t>
  </si>
  <si>
    <t>2055-06-04T22:34:07.414821Z</t>
  </si>
  <si>
    <t>2055-06-04T22:34:17.332937Z</t>
  </si>
  <si>
    <t>2055-06-04T22:43:37.708015Z</t>
  </si>
  <si>
    <t>2055-06-04T18:57:32.563339Z</t>
  </si>
  <si>
    <t>2055-06-04T19:11:43.406425Z</t>
  </si>
  <si>
    <t>2055-06-04T18:34:07.414821Z</t>
  </si>
  <si>
    <t>2055-06-04T18:43:37.708015Z</t>
  </si>
  <si>
    <t>2055-06-02T15:36:46.463127Z</t>
  </si>
  <si>
    <t>2055-06-02T16:42:38.538Z</t>
  </si>
  <si>
    <t>2055-06-02T16:23:45.538Z</t>
  </si>
  <si>
    <t>2055-06-02T16:30:57.686404Z</t>
  </si>
  <si>
    <t>2055-06-02T16:49:39.244719Z</t>
  </si>
  <si>
    <t>2055-06-02T15:39:07.319652Z</t>
  </si>
  <si>
    <t>2055-06-02T15:39:19.588675Z</t>
  </si>
  <si>
    <t>2055-06-02T16:28:17.831141Z</t>
  </si>
  <si>
    <t>2055-06-02T12:30:57.686404Z</t>
  </si>
  <si>
    <t>2055-06-02T12:49:39.244719Z</t>
  </si>
  <si>
    <t>2055-06-02T11:39:07.319652Z</t>
  </si>
  <si>
    <t>2055-06-02T12:28:17.831141Z</t>
  </si>
  <si>
    <t>2055-06-02T18:40:01.798815Z</t>
  </si>
  <si>
    <t>2055-06-02T19:35:01.899Z</t>
  </si>
  <si>
    <t>2055-06-02T19:14:37.899Z</t>
  </si>
  <si>
    <t>2055-06-02T19:09:43.849404Z</t>
  </si>
  <si>
    <t>2055-06-02T19:40:11.024336Z</t>
  </si>
  <si>
    <t>2055-06-02T18:46:07.706514Z</t>
  </si>
  <si>
    <t>2055-06-02T18:46:47.014582Z</t>
  </si>
  <si>
    <t>2055-06-02T18:59:15.836887Z</t>
  </si>
  <si>
    <t>2055-06-02T15:09:43.849404Z</t>
  </si>
  <si>
    <t>2055-06-02T15:40:11.024336Z</t>
  </si>
  <si>
    <t>2055-06-02T14:46:07.706514Z</t>
  </si>
  <si>
    <t>2055-06-02T14:59:15.836887Z</t>
  </si>
  <si>
    <t>2055-06-06T23:13:15.08235Z</t>
  </si>
  <si>
    <t>2055-06-07T00:08:15.171Z</t>
  </si>
  <si>
    <t>2055-06-06T23:47:51.171Z</t>
  </si>
  <si>
    <t>2055-06-06T23:44:10.208021Z</t>
  </si>
  <si>
    <t>2055-06-06T23:50:42.185436Z</t>
  </si>
  <si>
    <t>2055-06-06T23:13:27.306472Z</t>
  </si>
  <si>
    <t>2055-06-06T23:13:33.752246Z</t>
  </si>
  <si>
    <t>2055-06-06T23:23:05.402662Z</t>
  </si>
  <si>
    <t>2055-06-06T19:44:10.208021Z</t>
  </si>
  <si>
    <t>2055-06-06T19:50:42.185436Z</t>
  </si>
  <si>
    <t>2055-06-06T19:13:27.306472Z</t>
  </si>
  <si>
    <t>2055-06-06T19:23:05.402662Z</t>
  </si>
  <si>
    <t>2055-06-01T23:15:59.890797Z</t>
  </si>
  <si>
    <t>2055-06-02T00:19:49.946Z</t>
  </si>
  <si>
    <t>2055-06-01T23:59:42.946Z</t>
  </si>
  <si>
    <t>2055-06-01T23:46:23.616337Z</t>
  </si>
  <si>
    <t>2055-06-01T23:58:09.315998Z</t>
  </si>
  <si>
    <t>2055-06-01T23:19:35.69061Z</t>
  </si>
  <si>
    <t>2055-06-01T23:19:47.150457Z</t>
  </si>
  <si>
    <t>2055-06-01T23:46:56.031314Z</t>
  </si>
  <si>
    <t>2055-06-01T19:46:23.616337Z</t>
  </si>
  <si>
    <t>2055-06-01T19:58:09.315998Z</t>
  </si>
  <si>
    <t>2055-06-01T19:19:35.69061Z</t>
  </si>
  <si>
    <t>2055-06-01T19:46:56.031314Z</t>
  </si>
  <si>
    <t>2055-06-05T20:55:41.089433Z</t>
  </si>
  <si>
    <t>2055-06-05T21:50:37.156Z</t>
  </si>
  <si>
    <t>2055-06-05T21:31:44.156Z</t>
  </si>
  <si>
    <t>2055-06-05T21:17:44.687828Z</t>
  </si>
  <si>
    <t>2055-06-05T21:23:57.42603Z</t>
  </si>
  <si>
    <t>2055-06-05T21:03:34.368469Z</t>
  </si>
  <si>
    <t>2055-06-05T21:03:40.919625Z</t>
  </si>
  <si>
    <t>2055-06-05T21:09:12.455718Z</t>
  </si>
  <si>
    <t>2055-06-05T17:17:44.687828Z</t>
  </si>
  <si>
    <t>2055-06-05T17:23:57.42603Z</t>
  </si>
  <si>
    <t>2055-06-05T17:03:34.368469Z</t>
  </si>
  <si>
    <t>2055-06-05T17:09:12.455718Z</t>
  </si>
  <si>
    <t>2055-06-01T16:26:07.096308Z</t>
  </si>
  <si>
    <t>2055-06-01T17:26:41.146Z</t>
  </si>
  <si>
    <t>2055-06-01T17:04:47.146Z</t>
  </si>
  <si>
    <t>2055-06-01T18:03:27.81939Z</t>
  </si>
  <si>
    <t>2055-06-01T18:19:22.204981Z</t>
  </si>
  <si>
    <t>2055-06-01T16:38:55.511824Z</t>
  </si>
  <si>
    <t>2055-06-01T16:39:06.498299Z</t>
  </si>
  <si>
    <t>2055-06-01T17:11:34.812866Z</t>
  </si>
  <si>
    <t>2055-06-01T14:03:27.81939Z</t>
  </si>
  <si>
    <t>2055-06-01T14:19:22.204981Z</t>
  </si>
  <si>
    <t>2055-06-01T12:38:55.511824Z</t>
  </si>
  <si>
    <t>2055-06-01T13:11:34.812866Z</t>
  </si>
  <si>
    <t>2055-06-05T22:14:17.455412Z</t>
  </si>
  <si>
    <t>2055-06-05T23:07:12.515Z</t>
  </si>
  <si>
    <t>2055-06-05T22:47:33.515Z</t>
  </si>
  <si>
    <t>2055-06-05T23:18:38.663598Z</t>
  </si>
  <si>
    <t>2055-06-05T23:25:46.410021Z</t>
  </si>
  <si>
    <t>2055-06-05T22:18:35.809313Z</t>
  </si>
  <si>
    <t>2055-06-05T22:19:12.417821Z</t>
  </si>
  <si>
    <t>2055-06-05T23:12:22.922442Z</t>
  </si>
  <si>
    <t>2055-06-05T19:18:38.663598Z</t>
  </si>
  <si>
    <t>2055-06-05T19:25:46.410021Z</t>
  </si>
  <si>
    <t>2055-06-05T18:18:35.809313Z</t>
  </si>
  <si>
    <t>2055-06-05T19:12:22.922442Z</t>
  </si>
  <si>
    <t>Faud</t>
  </si>
  <si>
    <t>2055-06-06T16:42:01.659635Z</t>
  </si>
  <si>
    <t>2055-06-06T17:33:01.728Z</t>
  </si>
  <si>
    <t>2055-06-06T17:22:54.728Z</t>
  </si>
  <si>
    <t>2055-06-06T17:10:45.204604Z</t>
  </si>
  <si>
    <t>2055-06-06T17:21:18.831052Z</t>
  </si>
  <si>
    <t>2055-06-06T16:57:07.413112Z</t>
  </si>
  <si>
    <t>2055-06-06T16:57:11.108298Z</t>
  </si>
  <si>
    <t>2055-06-06T17:04:02.343801Z</t>
  </si>
  <si>
    <t>2055-06-06T13:10:45.204604Z</t>
  </si>
  <si>
    <t>2055-06-06T13:21:18.831052Z</t>
  </si>
  <si>
    <t>2055-06-06T12:57:07.413112Z</t>
  </si>
  <si>
    <t>2055-06-06T13:04:02.343801Z</t>
  </si>
  <si>
    <t>2055-06-01T16:03:57.270853Z</t>
  </si>
  <si>
    <t>2055-06-01T16:56:06.338Z</t>
  </si>
  <si>
    <t>2055-06-01T16:34:12.338Z</t>
  </si>
  <si>
    <t>2055-06-01T16:42:21.801244Z</t>
  </si>
  <si>
    <t>2055-06-01T16:52:03.676656Z</t>
  </si>
  <si>
    <t>2055-06-01T16:10:14.647744Z</t>
  </si>
  <si>
    <t>2055-06-01T16:10:37.752565Z</t>
  </si>
  <si>
    <t>2055-06-01T16:15:20.487827Z</t>
  </si>
  <si>
    <t>2055-06-01T12:42:21.801244Z</t>
  </si>
  <si>
    <t>2055-06-01T12:52:03.676656Z</t>
  </si>
  <si>
    <t>2055-06-01T12:10:14.647744Z</t>
  </si>
  <si>
    <t>2055-06-01T12:15:20.487827Z</t>
  </si>
  <si>
    <t>2055-06-10T15:12:44.618252Z</t>
  </si>
  <si>
    <t>2055-06-10T16:41:48.665Z</t>
  </si>
  <si>
    <t>2055-06-10T16:13:35.665Z</t>
  </si>
  <si>
    <t>2055-06-10T16:07:02.395178Z</t>
  </si>
  <si>
    <t>2055-06-10T16:26:22.39051Z</t>
  </si>
  <si>
    <t>2055-06-10T15:23:14.122303Z</t>
  </si>
  <si>
    <t>2055-06-10T15:23:18.343454Z</t>
  </si>
  <si>
    <t>2055-06-10T16:02:52.008517Z</t>
  </si>
  <si>
    <t>2055-06-10T12:07:02.395178Z</t>
  </si>
  <si>
    <t>2055-06-10T12:26:22.39051Z</t>
  </si>
  <si>
    <t>2055-06-10T11:23:14.122303Z</t>
  </si>
  <si>
    <t>2055-06-10T12:02:52.008517Z</t>
  </si>
  <si>
    <t>2055-06-04T21:41:35.097466Z</t>
  </si>
  <si>
    <t>2055-06-04T22:38:43.189Z</t>
  </si>
  <si>
    <t>2055-06-04T22:24:04.189Z</t>
  </si>
  <si>
    <t>2055-06-04T22:30:39.623979Z</t>
  </si>
  <si>
    <t>2055-06-04T22:43:47.558985Z</t>
  </si>
  <si>
    <t>2055-06-04T21:41:47.310566Z</t>
  </si>
  <si>
    <t>2055-06-04T21:42:19.721688Z</t>
  </si>
  <si>
    <t>2055-06-04T18:30:39.623979Z</t>
  </si>
  <si>
    <t>2055-06-04T18:43:47.558985Z</t>
  </si>
  <si>
    <t>2055-06-04T17:41:47.310566Z</t>
  </si>
  <si>
    <t>2055-06-02T21:12:14.633153Z</t>
  </si>
  <si>
    <t>2055-06-02T22:30:00Z</t>
  </si>
  <si>
    <t>2055-06-02T21:55:01.028191Z</t>
  </si>
  <si>
    <t>2055-06-02T22:07:08.445261Z</t>
  </si>
  <si>
    <t>2055-06-02T21:30:07.640702Z</t>
  </si>
  <si>
    <t>2055-06-02T21:30:15.711985Z</t>
  </si>
  <si>
    <t>2055-06-02T21:50:00.97786Z</t>
  </si>
  <si>
    <t>2055-06-02T17:55:01.028191Z</t>
  </si>
  <si>
    <t>2055-06-02T18:07:08.445261Z</t>
  </si>
  <si>
    <t>2055-06-02T17:30:07.640702Z</t>
  </si>
  <si>
    <t>2055-06-02T17:50:00.97786Z</t>
  </si>
  <si>
    <t>2055-06-06T13:26:51.484022Z</t>
  </si>
  <si>
    <t>2055-06-06T14:13:01.561Z</t>
  </si>
  <si>
    <t>2055-06-06T13:54:08.561Z</t>
  </si>
  <si>
    <t>2055-06-06T13:51:01.921669Z</t>
  </si>
  <si>
    <t>2055-06-06T14:10:54.429466Z</t>
  </si>
  <si>
    <t>2055-06-06T13:30:14.047324Z</t>
  </si>
  <si>
    <t>2055-06-06T13:30:24.703652Z</t>
  </si>
  <si>
    <t>2055-06-06T13:47:41.317624Z</t>
  </si>
  <si>
    <t>2055-06-06T09:51:01.921669Z</t>
  </si>
  <si>
    <t>2055-06-06T10:10:54.429466Z</t>
  </si>
  <si>
    <t>2055-06-06T09:30:14.047324Z</t>
  </si>
  <si>
    <t>2055-06-06T09:47:41.317624Z</t>
  </si>
  <si>
    <t>2055-06-04T21:54:24.669617Z</t>
  </si>
  <si>
    <t>2055-06-04T22:46:05.837Z</t>
  </si>
  <si>
    <t>2055-06-04T22:40:58.837Z</t>
  </si>
  <si>
    <t>2055-06-04T22:37:53.78409Z</t>
  </si>
  <si>
    <t>2055-06-04T22:52:21.009141Z</t>
  </si>
  <si>
    <t>2055-06-04T21:57:47.458752Z</t>
  </si>
  <si>
    <t>2055-06-04T21:57:52.247268Z</t>
  </si>
  <si>
    <t>2055-06-04T22:11:08.016923Z</t>
  </si>
  <si>
    <t>2055-06-04T18:37:53.78409Z</t>
  </si>
  <si>
    <t>2055-06-04T18:52:21.009141Z</t>
  </si>
  <si>
    <t>2055-06-04T17:57:47.458752Z</t>
  </si>
  <si>
    <t>2055-06-04T18:11:08.016923Z</t>
  </si>
  <si>
    <t>2055-06-01T20:29:40.389601Z</t>
  </si>
  <si>
    <t>2055-06-01T21:24:40.493Z</t>
  </si>
  <si>
    <t>2055-06-01T21:03:45.493Z</t>
  </si>
  <si>
    <t>2055-06-01T21:03:38.050259Z</t>
  </si>
  <si>
    <t>2055-06-01T21:14:48.736467Z</t>
  </si>
  <si>
    <t>2055-06-01T20:42:27.253365Z</t>
  </si>
  <si>
    <t>2055-06-01T20:42:33.476748Z</t>
  </si>
  <si>
    <t>2055-06-01T20:51:35.758237Z</t>
  </si>
  <si>
    <t>2055-06-01T17:03:38.050259Z</t>
  </si>
  <si>
    <t>2055-06-01T17:14:48.736467Z</t>
  </si>
  <si>
    <t>2055-06-01T16:42:27.253365Z</t>
  </si>
  <si>
    <t>2055-06-01T16:51:35.758237Z</t>
  </si>
  <si>
    <t>2055-06-04T16:43:25.725311Z</t>
  </si>
  <si>
    <t>2055-06-04T17:38:25.807Z</t>
  </si>
  <si>
    <t>2055-06-04T17:15:11.807Z</t>
  </si>
  <si>
    <t>2055-06-04T17:24:50.579363Z</t>
  </si>
  <si>
    <t>2055-06-04T17:30:54.998668Z</t>
  </si>
  <si>
    <t>2055-06-04T16:45:07.312242Z</t>
  </si>
  <si>
    <t>2055-06-04T16:45:17.751296Z</t>
  </si>
  <si>
    <t>2055-06-04T16:59:42.206765Z</t>
  </si>
  <si>
    <t>2055-06-04T13:24:50.579363Z</t>
  </si>
  <si>
    <t>2055-06-04T13:30:54.998668Z</t>
  </si>
  <si>
    <t>2055-06-04T12:45:07.312242Z</t>
  </si>
  <si>
    <t>2055-06-04T12:59:42.206765Z</t>
  </si>
  <si>
    <t>2055-06-02T22:49:02.29243Z</t>
  </si>
  <si>
    <t>2055-06-02T23:39:55.374Z</t>
  </si>
  <si>
    <t>2055-06-02T23:20:16.374Z</t>
  </si>
  <si>
    <t>2055-06-02T23:06:13.716498Z</t>
  </si>
  <si>
    <t>2055-06-02T23:27:31.402897Z</t>
  </si>
  <si>
    <t>2055-06-02T22:55:14.498803Z</t>
  </si>
  <si>
    <t>2055-06-02T22:55:32.369286Z</t>
  </si>
  <si>
    <t>2055-06-02T23:05:54.267789Z</t>
  </si>
  <si>
    <t>2055-06-02T19:06:13.716498Z</t>
  </si>
  <si>
    <t>2055-06-02T19:27:31.402897Z</t>
  </si>
  <si>
    <t>2055-06-02T18:55:14.498803Z</t>
  </si>
  <si>
    <t>2055-06-02T19:05:54.267789Z</t>
  </si>
  <si>
    <t>2055-06-09T00:47:54.354437Z</t>
  </si>
  <si>
    <t>2055-06-09T01:51:10.41Z</t>
  </si>
  <si>
    <t>2055-06-09T01:27:52.41Z</t>
  </si>
  <si>
    <t>2055-06-09T01:16:48.852422Z</t>
  </si>
  <si>
    <t>2055-06-09T01:24:38.259111Z</t>
  </si>
  <si>
    <t>2055-06-09T00:54:14.973868Z</t>
  </si>
  <si>
    <t>2055-06-09T00:54:21.171139Z</t>
  </si>
  <si>
    <t>2055-06-09T00:58:55.897909Z</t>
  </si>
  <si>
    <t>2055-06-08T21:16:48.852422Z</t>
  </si>
  <si>
    <t>2055-06-08T21:24:38.259111Z</t>
  </si>
  <si>
    <t>2055-06-08T20:54:14.973868Z</t>
  </si>
  <si>
    <t>2055-06-08T20:58:55.897909Z</t>
  </si>
  <si>
    <t>2055-06-09T22:20:53.356567Z</t>
  </si>
  <si>
    <t>2055-06-09T23:07:13.422Z</t>
  </si>
  <si>
    <t>2055-06-09T22:48:20.422Z</t>
  </si>
  <si>
    <t>2055-06-09T23:03:33.031039Z</t>
  </si>
  <si>
    <t>2055-06-09T23:03:48.762053Z</t>
  </si>
  <si>
    <t>2055-06-09T22:27:14.287625Z</t>
  </si>
  <si>
    <t>2055-06-09T22:27:21.409371Z</t>
  </si>
  <si>
    <t>2055-06-09T22:38:29.264796Z</t>
  </si>
  <si>
    <t>2055-06-09T19:03:33.031039Z</t>
  </si>
  <si>
    <t>2055-06-09T19:03:48.762053Z</t>
  </si>
  <si>
    <t>2055-06-09T18:27:14.287625Z</t>
  </si>
  <si>
    <t>2055-06-09T18:38:29.264796Z</t>
  </si>
  <si>
    <t>2055-06-03T15:11:41.7242Z</t>
  </si>
  <si>
    <t>2055-06-03T16:06:41.826Z</t>
  </si>
  <si>
    <t>2055-06-03T15:46:23.826Z</t>
  </si>
  <si>
    <t>2055-06-03T15:39:58.93752Z</t>
  </si>
  <si>
    <t>2055-06-03T15:55:41.506248Z</t>
  </si>
  <si>
    <t>2055-06-03T15:11:47.32699Z</t>
  </si>
  <si>
    <t>2055-06-03T15:12:05.235882Z</t>
  </si>
  <si>
    <t>2055-06-03T15:33:13.363801Z</t>
  </si>
  <si>
    <t>2055-06-03T11:39:58.93752Z</t>
  </si>
  <si>
    <t>2055-06-03T11:55:41.506248Z</t>
  </si>
  <si>
    <t>2055-06-03T11:11:47.32699Z</t>
  </si>
  <si>
    <t>2055-06-03T11:33:13.363801Z</t>
  </si>
  <si>
    <t>2055-06-06T16:34:33.204977Z</t>
  </si>
  <si>
    <t>2055-06-06T17:36:36.266Z</t>
  </si>
  <si>
    <t>2055-06-06T17:26:29.266Z</t>
  </si>
  <si>
    <t>2055-06-06T17:18:50.467822Z</t>
  </si>
  <si>
    <t>2055-06-06T17:30:06.138833Z</t>
  </si>
  <si>
    <t>2055-06-06T16:34:47.321813Z</t>
  </si>
  <si>
    <t>2055-06-06T16:34:53.747295Z</t>
  </si>
  <si>
    <t>2055-06-06T16:44:50.339895Z</t>
  </si>
  <si>
    <t>2055-06-06T13:18:50.467822Z</t>
  </si>
  <si>
    <t>2055-06-06T13:30:06.138833Z</t>
  </si>
  <si>
    <t>2055-06-06T12:34:47.321813Z</t>
  </si>
  <si>
    <t>2055-06-06T12:44:50.339895Z</t>
  </si>
  <si>
    <t>2055-06-08T22:50:15.85403Z</t>
  </si>
  <si>
    <t>2055-06-08T23:39:09.92Z</t>
  </si>
  <si>
    <t>2055-06-08T23:20:16.92Z</t>
  </si>
  <si>
    <t>2055-06-08T23:28:44.448367Z</t>
  </si>
  <si>
    <t>2055-06-08T23:38:00.82599Z</t>
  </si>
  <si>
    <t>2055-06-08T22:53:34.473415Z</t>
  </si>
  <si>
    <t>2055-06-08T22:53:47.28334Z</t>
  </si>
  <si>
    <t>2055-06-08T23:25:49.429144Z</t>
  </si>
  <si>
    <t>2055-06-08T19:28:44.448367Z</t>
  </si>
  <si>
    <t>2055-06-08T19:38:00.82599Z</t>
  </si>
  <si>
    <t>2055-06-08T18:53:34.473415Z</t>
  </si>
  <si>
    <t>2055-06-08T19:25:49.429144Z</t>
  </si>
  <si>
    <t>Erinn</t>
  </si>
  <si>
    <t>2055-06-05T00:24:51.482376Z</t>
  </si>
  <si>
    <t>2055-06-05T01:30:00Z</t>
  </si>
  <si>
    <t>2055-06-05T00:53:17.553517Z</t>
  </si>
  <si>
    <t>2055-06-05T01:07:54.453115Z</t>
  </si>
  <si>
    <t>2055-06-05T00:32:07.712462Z</t>
  </si>
  <si>
    <t>2055-06-05T00:32:14.48865Z</t>
  </si>
  <si>
    <t>2055-06-05T00:50:48.5898Z</t>
  </si>
  <si>
    <t>2055-06-04T20:53:17.553517Z</t>
  </si>
  <si>
    <t>2055-06-04T21:07:54.453115Z</t>
  </si>
  <si>
    <t>2055-06-04T20:32:07.712462Z</t>
  </si>
  <si>
    <t>2055-06-04T20:50:48.5898Z</t>
  </si>
  <si>
    <t>Bill</t>
  </si>
  <si>
    <t>2055-06-06T00:17:20.304922Z</t>
  </si>
  <si>
    <t>2055-06-06T01:15:35.365Z</t>
  </si>
  <si>
    <t>2055-06-06T00:53:41.365Z</t>
  </si>
  <si>
    <t>2055-06-06T00:59:32.880764Z</t>
  </si>
  <si>
    <t>2055-06-06T01:13:53.954677Z</t>
  </si>
  <si>
    <t>2055-06-06T00:24:37.460278Z</t>
  </si>
  <si>
    <t>2055-06-06T00:24:50.298784Z</t>
  </si>
  <si>
    <t>2055-06-06T00:37:03.658785Z</t>
  </si>
  <si>
    <t>2055-06-05T20:59:32.880764Z</t>
  </si>
  <si>
    <t>2055-06-05T21:13:53.954677Z</t>
  </si>
  <si>
    <t>2055-06-05T20:24:37.460278Z</t>
  </si>
  <si>
    <t>2055-06-05T20:37:03.658785Z</t>
  </si>
  <si>
    <t>2055-06-05T15:16:16.291279Z</t>
  </si>
  <si>
    <t>2055-06-05T16:05:19.359Z</t>
  </si>
  <si>
    <t>2055-06-05T15:46:26.359Z</t>
  </si>
  <si>
    <t>2055-06-05T15:27:31.750519Z</t>
  </si>
  <si>
    <t>2055-06-05T15:37:25.533136Z</t>
  </si>
  <si>
    <t>2055-06-05T15:18:54.400667Z</t>
  </si>
  <si>
    <t>2055-06-05T15:19:34.501953Z</t>
  </si>
  <si>
    <t>2055-06-05T15:24:59.902946Z</t>
  </si>
  <si>
    <t>2055-06-05T11:27:31.750519Z</t>
  </si>
  <si>
    <t>2055-06-05T11:37:25.533136Z</t>
  </si>
  <si>
    <t>2055-06-05T11:18:54.400667Z</t>
  </si>
  <si>
    <t>2055-06-05T11:24:59.902946Z</t>
  </si>
  <si>
    <t>2055-06-05T22:42:09.977528Z</t>
  </si>
  <si>
    <t>2055-06-05T23:39:49.076Z</t>
  </si>
  <si>
    <t>2055-06-05T23:21:31.076Z</t>
  </si>
  <si>
    <t>2055-06-05T23:54:11.488914Z</t>
  </si>
  <si>
    <t>2055-06-06T00:08:28.058072Z</t>
  </si>
  <si>
    <t>2055-06-05T23:06:18.463116Z</t>
  </si>
  <si>
    <t>2055-06-05T23:06:46.682488Z</t>
  </si>
  <si>
    <t>2055-06-05T23:18:34.340609Z</t>
  </si>
  <si>
    <t>2055-06-05T19:54:11.488914Z</t>
  </si>
  <si>
    <t>2055-06-05T20:08:28.058072Z</t>
  </si>
  <si>
    <t>2055-06-05T19:06:18.463116Z</t>
  </si>
  <si>
    <t>2055-06-05T19:18:34.340609Z</t>
  </si>
  <si>
    <t>2055-06-04T23:36:11.850948Z</t>
  </si>
  <si>
    <t>2055-06-05T00:17:26.913Z</t>
  </si>
  <si>
    <t>2055-06-05T00:13:33.913Z</t>
  </si>
  <si>
    <t>2055-06-04T23:57:32.195833Z</t>
  </si>
  <si>
    <t>2055-06-05T00:06:08.639866Z</t>
  </si>
  <si>
    <t>2055-06-04T23:36:27.64622Z</t>
  </si>
  <si>
    <t>2055-06-04T23:36:32.116005Z</t>
  </si>
  <si>
    <t>2055-06-04T23:39:41.777001Z</t>
  </si>
  <si>
    <t>2055-06-04T19:57:32.195833Z</t>
  </si>
  <si>
    <t>2055-06-04T20:06:08.639866Z</t>
  </si>
  <si>
    <t>2055-06-04T19:36:27.64622Z</t>
  </si>
  <si>
    <t>2055-06-04T19:39:41.777001Z</t>
  </si>
  <si>
    <t>Merissa</t>
  </si>
  <si>
    <t>2055-06-05T21:46:35.68882Z</t>
  </si>
  <si>
    <t>2055-06-05T23:12:17.762Z</t>
  </si>
  <si>
    <t>2055-06-05T22:53:24.762Z</t>
  </si>
  <si>
    <t>2055-06-05T23:11:57.011055Z</t>
  </si>
  <si>
    <t>2055-06-05T23:32:07.935291Z</t>
  </si>
  <si>
    <t>2055-06-05T21:53:27.301059Z</t>
  </si>
  <si>
    <t>2055-06-05T21:53:31.781651Z</t>
  </si>
  <si>
    <t>2055-06-05T21:55:30.592296Z</t>
  </si>
  <si>
    <t>2055-06-05T19:11:57.011055Z</t>
  </si>
  <si>
    <t>2055-06-05T19:32:07.935291Z</t>
  </si>
  <si>
    <t>2055-06-05T17:53:27.301059Z</t>
  </si>
  <si>
    <t>2055-06-05T17:55:30.592296Z</t>
  </si>
  <si>
    <t>2055-06-04T21:24:01.912783Z</t>
  </si>
  <si>
    <t>2055-06-04T22:37:13.985Z</t>
  </si>
  <si>
    <t>2055-06-04T22:12:32.985Z</t>
  </si>
  <si>
    <t>2055-06-04T21:45:19.004385Z</t>
  </si>
  <si>
    <t>2055-06-04T22:05:44.06585Z</t>
  </si>
  <si>
    <t>2055-06-04T21:30:07.513155Z</t>
  </si>
  <si>
    <t>2055-06-04T21:30:23.037129Z</t>
  </si>
  <si>
    <t>2055-06-04T21:41:44.412595Z</t>
  </si>
  <si>
    <t>2055-06-04T17:45:19.004385Z</t>
  </si>
  <si>
    <t>2055-06-04T18:05:44.06585Z</t>
  </si>
  <si>
    <t>2055-06-04T17:30:07.513155Z</t>
  </si>
  <si>
    <t>2055-06-04T17:41:44.412595Z</t>
  </si>
  <si>
    <t>2055-06-04T23:53:23.568025Z</t>
  </si>
  <si>
    <t>2055-06-05T00:54:30.647Z</t>
  </si>
  <si>
    <t>2055-06-05T00:34:49.647Z</t>
  </si>
  <si>
    <t>2055-06-05T00:26:25.216Z</t>
  </si>
  <si>
    <t>2055-06-05T00:48:56.183332Z</t>
  </si>
  <si>
    <t>2055-06-05T00:05:47.464463Z</t>
  </si>
  <si>
    <t>2055-06-05T00:06:14.668705Z</t>
  </si>
  <si>
    <t>2055-06-05T00:14:41.553427Z</t>
  </si>
  <si>
    <t>2055-06-04T20:26:25.216Z</t>
  </si>
  <si>
    <t>2055-06-04T20:48:56.183332Z</t>
  </si>
  <si>
    <t>2055-06-04T20:05:47.464463Z</t>
  </si>
  <si>
    <t>2055-06-04T20:14:41.553427Z</t>
  </si>
  <si>
    <t>2055-06-03T17:59:38.163232Z</t>
  </si>
  <si>
    <t>2055-06-03T18:47:03.33Z</t>
  </si>
  <si>
    <t>2055-06-03T18:37:24.33Z</t>
  </si>
  <si>
    <t>2055-06-03T18:33:05.396005Z</t>
  </si>
  <si>
    <t>2055-06-03T18:44:08.741925Z</t>
  </si>
  <si>
    <t>2055-06-03T17:59:47.279147Z</t>
  </si>
  <si>
    <t>2055-06-03T17:59:53.741557Z</t>
  </si>
  <si>
    <t>2055-06-03T18:11:09.271521Z</t>
  </si>
  <si>
    <t>2055-06-03T14:33:05.396005Z</t>
  </si>
  <si>
    <t>2055-06-03T14:44:08.741925Z</t>
  </si>
  <si>
    <t>2055-06-03T13:59:47.279147Z</t>
  </si>
  <si>
    <t>2055-06-03T14:11:09.271521Z</t>
  </si>
  <si>
    <t>2055-06-03T00:44:46.91976Z</t>
  </si>
  <si>
    <t>2055-06-03T01:39:47.005Z</t>
  </si>
  <si>
    <t>2055-06-03T01:12:35.005Z</t>
  </si>
  <si>
    <t>2055-06-03T01:05:37.118816Z</t>
  </si>
  <si>
    <t>2055-06-03T01:11:32.534821Z</t>
  </si>
  <si>
    <t>2055-06-03T00:45:07.366353Z</t>
  </si>
  <si>
    <t>2055-06-03T00:45:19.597136Z</t>
  </si>
  <si>
    <t>2055-06-03T00:51:51.409094Z</t>
  </si>
  <si>
    <t>2055-06-02T21:05:37.118816Z</t>
  </si>
  <si>
    <t>2055-06-02T21:11:32.534821Z</t>
  </si>
  <si>
    <t>2055-06-02T20:45:07.366353Z</t>
  </si>
  <si>
    <t>2055-06-02T20:51:51.409094Z</t>
  </si>
  <si>
    <t>2055-06-04T20:38:49.347697Z</t>
  </si>
  <si>
    <t>2055-06-04T21:37:40.426Z</t>
  </si>
  <si>
    <t>2055-06-04T21:17:33.426Z</t>
  </si>
  <si>
    <t>2055-06-04T21:17:33.589932Z</t>
  </si>
  <si>
    <t>2055-06-04T21:26:28.313295Z</t>
  </si>
  <si>
    <t>2055-06-04T21:00:47.291109Z</t>
  </si>
  <si>
    <t>2055-06-04T21:00:50.343667Z</t>
  </si>
  <si>
    <t>2055-06-04T21:17:12.02676Z</t>
  </si>
  <si>
    <t>2055-06-04T17:17:33.589932Z</t>
  </si>
  <si>
    <t>2055-06-04T17:26:28.313295Z</t>
  </si>
  <si>
    <t>2055-06-04T17:00:47.291109Z</t>
  </si>
  <si>
    <t>2055-06-04T17:17:12.02676Z</t>
  </si>
  <si>
    <t>2055-06-02T18:28:38.466201Z</t>
  </si>
  <si>
    <t>2055-06-02T19:08:38.525Z</t>
  </si>
  <si>
    <t>2055-06-02T19:05:03.525Z</t>
  </si>
  <si>
    <t>2055-06-02T18:57:22.50192Z</t>
  </si>
  <si>
    <t>2055-06-02T19:04:54.358644Z</t>
  </si>
  <si>
    <t>2055-06-02T18:28:47.273227Z</t>
  </si>
  <si>
    <t>2055-06-02T18:28:55.59378Z</t>
  </si>
  <si>
    <t>2055-06-02T18:39:31.233195Z</t>
  </si>
  <si>
    <t>2055-06-02T14:57:22.50192Z</t>
  </si>
  <si>
    <t>2055-06-02T15:04:54.358644Z</t>
  </si>
  <si>
    <t>2055-06-02T14:28:47.273227Z</t>
  </si>
  <si>
    <t>2055-06-02T14:39:31.233195Z</t>
  </si>
  <si>
    <t>Andy</t>
  </si>
  <si>
    <t>2055-06-03T22:53:55.29326Z</t>
  </si>
  <si>
    <t>2055-06-03T23:45:04.375Z</t>
  </si>
  <si>
    <t>2055-06-03T23:34:25.375Z</t>
  </si>
  <si>
    <t>2055-06-03T23:19:44.351805Z</t>
  </si>
  <si>
    <t>2055-06-03T23:36:37.407492Z</t>
  </si>
  <si>
    <t>2055-06-03T22:58:47.381781Z</t>
  </si>
  <si>
    <t>2055-06-03T22:58:54.393618Z</t>
  </si>
  <si>
    <t>2055-06-03T23:07:34.289577Z</t>
  </si>
  <si>
    <t>2055-06-03T19:19:44.351805Z</t>
  </si>
  <si>
    <t>2055-06-03T19:36:37.407492Z</t>
  </si>
  <si>
    <t>2055-06-03T18:58:47.381781Z</t>
  </si>
  <si>
    <t>2055-06-03T19:07:34.289577Z</t>
  </si>
  <si>
    <t>2055-06-11T16:14:39.024922Z</t>
  </si>
  <si>
    <t>2055-06-11T17:10:05.089Z</t>
  </si>
  <si>
    <t>2055-06-11T16:48:11.089Z</t>
  </si>
  <si>
    <t>2055-06-11T16:30:03.808774Z</t>
  </si>
  <si>
    <t>2055-06-11T16:37:42.746869Z</t>
  </si>
  <si>
    <t>2055-06-11T16:19:34.407824Z</t>
  </si>
  <si>
    <t>2055-06-11T16:19:39.785473Z</t>
  </si>
  <si>
    <t>2055-06-11T16:22:15.579517Z</t>
  </si>
  <si>
    <t>2055-06-11T12:30:03.808774Z</t>
  </si>
  <si>
    <t>2055-06-11T12:37:42.746869Z</t>
  </si>
  <si>
    <t>2055-06-11T12:19:34.407824Z</t>
  </si>
  <si>
    <t>2055-06-11T12:22:15.579517Z</t>
  </si>
  <si>
    <t>2055-06-02T21:40:29.044283Z</t>
  </si>
  <si>
    <t>2055-06-02T22:37:04.136Z</t>
  </si>
  <si>
    <t>2055-06-02T22:21:57.136Z</t>
  </si>
  <si>
    <t>2055-06-02T22:03:55.702913Z</t>
  </si>
  <si>
    <t>2055-06-02T22:19:11.091273Z</t>
  </si>
  <si>
    <t>2055-06-02T21:44:34.301953Z</t>
  </si>
  <si>
    <t>2055-06-02T21:44:50.641138Z</t>
  </si>
  <si>
    <t>2055-06-02T22:03:58.519157Z</t>
  </si>
  <si>
    <t>2055-06-02T18:03:55.702913Z</t>
  </si>
  <si>
    <t>2055-06-02T18:19:11.091273Z</t>
  </si>
  <si>
    <t>2055-06-02T17:44:34.301953Z</t>
  </si>
  <si>
    <t>2055-06-02T18:03:58.519157Z</t>
  </si>
  <si>
    <t>2055-06-02T13:38:34.480962Z</t>
  </si>
  <si>
    <t>2055-06-02T14:40:15.583Z</t>
  </si>
  <si>
    <t>2055-06-02T14:21:22.583Z</t>
  </si>
  <si>
    <t>2055-06-02T13:59:12.101057Z</t>
  </si>
  <si>
    <t>2055-06-02T14:20:13.612675Z</t>
  </si>
  <si>
    <t>2055-06-02T13:49:54.112259Z</t>
  </si>
  <si>
    <t>2055-06-02T13:50:05.089485Z</t>
  </si>
  <si>
    <t>2055-06-02T13:57:01.526504Z</t>
  </si>
  <si>
    <t>2055-06-02T09:59:12.101057Z</t>
  </si>
  <si>
    <t>2055-06-02T10:20:13.612675Z</t>
  </si>
  <si>
    <t>2055-06-02T09:49:54.112259Z</t>
  </si>
  <si>
    <t>2055-06-02T09:57:01.526504Z</t>
  </si>
  <si>
    <t>2055-06-02T23:59:02.546511Z</t>
  </si>
  <si>
    <t>2055-06-03T00:59:32.674Z</t>
  </si>
  <si>
    <t>2055-06-03T00:54:53.674Z</t>
  </si>
  <si>
    <t>2055-06-03T00:51:09.921502Z</t>
  </si>
  <si>
    <t>2055-06-03T01:08:37.83528Z</t>
  </si>
  <si>
    <t>2055-06-03T00:01:07.385929Z</t>
  </si>
  <si>
    <t>2055-06-03T00:01:17.76054Z</t>
  </si>
  <si>
    <t>2055-06-03T00:33:03.14056Z</t>
  </si>
  <si>
    <t>2055-06-02T20:51:09.921502Z</t>
  </si>
  <si>
    <t>2055-06-02T21:08:37.83528Z</t>
  </si>
  <si>
    <t>2055-06-02T20:01:07.385929Z</t>
  </si>
  <si>
    <t>2055-06-02T20:33:03.14056Z</t>
  </si>
  <si>
    <t>2055-06-12T18:05:20.961202Z</t>
  </si>
  <si>
    <t>2055-06-12T18:56:20.034Z</t>
  </si>
  <si>
    <t>2055-06-12T18:47:27.034Z</t>
  </si>
  <si>
    <t>2055-06-12T18:30:16.691753Z</t>
  </si>
  <si>
    <t>2055-06-12T18:44:24.47304Z</t>
  </si>
  <si>
    <t>2055-06-12T18:12:14.233469Z</t>
  </si>
  <si>
    <t>2055-06-12T18:12:17.737959Z</t>
  </si>
  <si>
    <t>2055-06-12T18:17:56.270282Z</t>
  </si>
  <si>
    <t>2055-06-12T14:30:16.691753Z</t>
  </si>
  <si>
    <t>2055-06-12T14:44:24.47304Z</t>
  </si>
  <si>
    <t>2055-06-12T14:12:14.233469Z</t>
  </si>
  <si>
    <t>2055-06-12T14:17:56.270282Z</t>
  </si>
  <si>
    <t>2055-06-01T23:22:37.160415Z</t>
  </si>
  <si>
    <t>2055-06-02T00:14:33.223Z</t>
  </si>
  <si>
    <t>2055-06-01T23:54:26.223Z</t>
  </si>
  <si>
    <t>2055-06-01T23:43:55.835768Z</t>
  </si>
  <si>
    <t>2055-06-01T23:59:29.623061Z</t>
  </si>
  <si>
    <t>2055-06-01T23:28:55.348492Z</t>
  </si>
  <si>
    <t>2055-06-01T23:29:03.530428Z</t>
  </si>
  <si>
    <t>2055-06-01T23:33:25.917072Z</t>
  </si>
  <si>
    <t>2055-06-01T19:43:55.835768Z</t>
  </si>
  <si>
    <t>2055-06-01T19:59:29.623061Z</t>
  </si>
  <si>
    <t>2055-06-01T19:28:55.348492Z</t>
  </si>
  <si>
    <t>2055-06-01T19:33:25.917072Z</t>
  </si>
  <si>
    <t>Ajay</t>
  </si>
  <si>
    <t>2055-06-05T23:39:02.892585Z</t>
  </si>
  <si>
    <t>2055-06-06T00:29:08.965Z</t>
  </si>
  <si>
    <t>2055-06-06T00:19:01.965Z</t>
  </si>
  <si>
    <t>2055-06-06T00:04:16.218247Z</t>
  </si>
  <si>
    <t>2055-06-06T00:22:25.736405Z</t>
  </si>
  <si>
    <t>2055-06-05T23:50:47.366859Z</t>
  </si>
  <si>
    <t>2055-06-05T23:50:50.939241Z</t>
  </si>
  <si>
    <t>2055-06-05T23:58:18.378145Z</t>
  </si>
  <si>
    <t>2055-06-05T20:04:16.218247Z</t>
  </si>
  <si>
    <t>2055-06-05T20:22:25.736405Z</t>
  </si>
  <si>
    <t>2055-06-05T19:50:47.366859Z</t>
  </si>
  <si>
    <t>2055-06-05T19:58:18.378145Z</t>
  </si>
  <si>
    <t>2055-06-10T15:45:04.740467Z</t>
  </si>
  <si>
    <t>2055-06-10T16:29:14.806Z</t>
  </si>
  <si>
    <t>2055-06-10T16:10:21.806Z</t>
  </si>
  <si>
    <t>2055-06-10T16:01:28.911579Z</t>
  </si>
  <si>
    <t>2055-06-10T16:20:04.794772Z</t>
  </si>
  <si>
    <t>2055-06-10T15:51:14.509363Z</t>
  </si>
  <si>
    <t>2055-06-10T15:51:27.279258Z</t>
  </si>
  <si>
    <t>2055-06-10T15:51:33.584112Z</t>
  </si>
  <si>
    <t>2055-06-10T12:01:28.911579Z</t>
  </si>
  <si>
    <t>2055-06-10T12:20:04.794772Z</t>
  </si>
  <si>
    <t>2055-06-10T11:51:14.509363Z</t>
  </si>
  <si>
    <t>2055-06-10T11:51:33.584112Z</t>
  </si>
  <si>
    <t>Hanna</t>
  </si>
  <si>
    <t>2055-06-08T14:43:35.234473Z</t>
  </si>
  <si>
    <t>2055-06-08T15:45:00Z</t>
  </si>
  <si>
    <t>2055-06-08T15:16:42.36028Z</t>
  </si>
  <si>
    <t>2055-06-08T15:26:51.366311Z</t>
  </si>
  <si>
    <t>2055-06-08T14:46:47.338362Z</t>
  </si>
  <si>
    <t>2055-06-08T14:47:08.358794Z</t>
  </si>
  <si>
    <t>2055-06-08T14:51:54.546552Z</t>
  </si>
  <si>
    <t>2055-06-08T11:16:42.36028Z</t>
  </si>
  <si>
    <t>2055-06-08T11:26:51.366311Z</t>
  </si>
  <si>
    <t>2055-06-08T10:46:47.338362Z</t>
  </si>
  <si>
    <t>2055-06-08T10:51:54.546552Z</t>
  </si>
  <si>
    <t>2055-06-05T22:19:31.807132Z</t>
  </si>
  <si>
    <t>2055-06-05T23:07:32.857Z</t>
  </si>
  <si>
    <t>2055-06-05T22:47:25.857Z</t>
  </si>
  <si>
    <t>2055-06-05T22:38:05.050297Z</t>
  </si>
  <si>
    <t>2055-06-05T22:49:11.993844Z</t>
  </si>
  <si>
    <t>2055-06-05T22:25:35.987127Z</t>
  </si>
  <si>
    <t>2055-06-05T22:25:55.44397Z</t>
  </si>
  <si>
    <t>2055-06-05T22:30:38.362566Z</t>
  </si>
  <si>
    <t>2055-06-05T18:38:05.050297Z</t>
  </si>
  <si>
    <t>2055-06-05T18:49:11.993844Z</t>
  </si>
  <si>
    <t>2055-06-05T18:25:35.987127Z</t>
  </si>
  <si>
    <t>2055-06-05T18:30:38.362566Z</t>
  </si>
  <si>
    <t>Matthew</t>
  </si>
  <si>
    <t>2055-06-06T23:14:53.630933Z</t>
  </si>
  <si>
    <t>2055-06-07T00:16:48.714Z</t>
  </si>
  <si>
    <t>2055-06-06T23:57:09.714Z</t>
  </si>
  <si>
    <t>2055-06-07T00:16:48.356958Z</t>
  </si>
  <si>
    <t>2055-06-07T00:37:15.078507Z</t>
  </si>
  <si>
    <t>2055-06-06T23:15:07.371846Z</t>
  </si>
  <si>
    <t>2055-06-06T23:16:29.905633Z</t>
  </si>
  <si>
    <t>2055-06-07T00:13:31.714778Z</t>
  </si>
  <si>
    <t>2055-06-06T20:16:48.356958Z</t>
  </si>
  <si>
    <t>2055-06-06T20:37:15.078507Z</t>
  </si>
  <si>
    <t>2055-06-06T19:15:07.371846Z</t>
  </si>
  <si>
    <t>2055-06-06T20:13:31.714778Z</t>
  </si>
  <si>
    <t>2055-06-06T23:55:58.592694Z</t>
  </si>
  <si>
    <t>2055-06-07T01:02:00.681Z</t>
  </si>
  <si>
    <t>2055-06-07T00:40:06.681Z</t>
  </si>
  <si>
    <t>2055-06-07T00:27:24.229542Z</t>
  </si>
  <si>
    <t>2055-06-07T00:35:52.462272Z</t>
  </si>
  <si>
    <t>2055-06-07T00:04:27.374364Z</t>
  </si>
  <si>
    <t>2055-06-07T00:04:50.021924Z</t>
  </si>
  <si>
    <t>2055-06-07T00:25:42.583708Z</t>
  </si>
  <si>
    <t>2055-06-06T20:27:24.229542Z</t>
  </si>
  <si>
    <t>2055-06-06T20:35:52.462272Z</t>
  </si>
  <si>
    <t>2055-06-06T20:04:27.374364Z</t>
  </si>
  <si>
    <t>2055-06-06T20:25:42.583708Z</t>
  </si>
  <si>
    <t>2055-06-07T23:01:30.877878Z</t>
  </si>
  <si>
    <t>2055-06-07T23:51:37.927Z</t>
  </si>
  <si>
    <t>2055-06-07T23:36:30.927Z</t>
  </si>
  <si>
    <t>2055-06-07T23:27:12.996879Z</t>
  </si>
  <si>
    <t>2055-06-07T23:44:59.387326Z</t>
  </si>
  <si>
    <t>2055-06-07T23:01:47.549339Z</t>
  </si>
  <si>
    <t>2055-06-07T23:01:52.95316Z</t>
  </si>
  <si>
    <t>2055-06-07T23:11:50.85644Z</t>
  </si>
  <si>
    <t>2055-06-07T19:27:12.996879Z</t>
  </si>
  <si>
    <t>2055-06-07T19:44:59.387326Z</t>
  </si>
  <si>
    <t>2055-06-07T19:01:47.549339Z</t>
  </si>
  <si>
    <t>2055-06-07T19:11:50.85644Z</t>
  </si>
  <si>
    <t>2055-06-06T23:59:40.103801Z</t>
  </si>
  <si>
    <t>2055-06-07T01:04:48.184Z</t>
  </si>
  <si>
    <t>2055-06-07T00:44:41.184Z</t>
  </si>
  <si>
    <t>2055-06-07T00:29:45.861828Z</t>
  </si>
  <si>
    <t>2055-06-07T00:44:04.795501Z</t>
  </si>
  <si>
    <t>2055-06-07T00:05:07.295934Z</t>
  </si>
  <si>
    <t>2055-06-07T00:05:25.49283Z</t>
  </si>
  <si>
    <t>2055-06-07T00:18:32.725815Z</t>
  </si>
  <si>
    <t>2055-06-06T20:29:45.861828Z</t>
  </si>
  <si>
    <t>2055-06-06T20:44:04.795501Z</t>
  </si>
  <si>
    <t>2055-06-06T20:05:07.295934Z</t>
  </si>
  <si>
    <t>2055-06-06T20:18:32.725815Z</t>
  </si>
  <si>
    <t>2055-06-06T23:10:17.57477Z</t>
  </si>
  <si>
    <t>2055-06-07T00:11:33.659Z</t>
  </si>
  <si>
    <t>2055-06-06T23:52:40.659Z</t>
  </si>
  <si>
    <t>2055-06-06T23:38:59.681758Z</t>
  </si>
  <si>
    <t>2055-06-06T23:57:19.738379Z</t>
  </si>
  <si>
    <t>2055-06-06T23:10:27.333043Z</t>
  </si>
  <si>
    <t>2055-06-06T23:10:31.184767Z</t>
  </si>
  <si>
    <t>2055-06-06T23:18:32.590449Z</t>
  </si>
  <si>
    <t>2055-06-06T19:38:59.681758Z</t>
  </si>
  <si>
    <t>2055-06-06T19:57:19.738379Z</t>
  </si>
  <si>
    <t>2055-06-06T19:10:27.333043Z</t>
  </si>
  <si>
    <t>2055-06-06T19:18:32.590449Z</t>
  </si>
  <si>
    <t>2055-06-04T04:14:19.119065Z</t>
  </si>
  <si>
    <t>2055-06-04T16:00:00Z</t>
  </si>
  <si>
    <t>2055-06-04T15:29:53.363701Z</t>
  </si>
  <si>
    <t>2055-06-04T15:39:30.545189Z</t>
  </si>
  <si>
    <t>2055-06-04T15:00:07.430829Z</t>
  </si>
  <si>
    <t>2055-06-04T15:00:41.844795Z</t>
  </si>
  <si>
    <t>2055-06-04T15:25:06.151403Z</t>
  </si>
  <si>
    <t>2055-06-04T11:29:53.363701Z</t>
  </si>
  <si>
    <t>2055-06-04T11:39:30.545189Z</t>
  </si>
  <si>
    <t>2055-06-04T11:00:07.430829Z</t>
  </si>
  <si>
    <t>2055-06-04T11:25:06.151403Z</t>
  </si>
  <si>
    <t>2055-06-03T00:59:16.332188Z</t>
  </si>
  <si>
    <t>2055-06-03T01:54:16.43Z</t>
  </si>
  <si>
    <t>2055-06-03T01:30:09.43Z</t>
  </si>
  <si>
    <t>2055-06-03T01:35:57.067667Z</t>
  </si>
  <si>
    <t>2055-06-03T01:51:05.949171Z</t>
  </si>
  <si>
    <t>2055-06-03T01:00:47.39877Z</t>
  </si>
  <si>
    <t>2055-06-03T01:01:35.261272Z</t>
  </si>
  <si>
    <t>2055-06-03T01:34:51.912926Z</t>
  </si>
  <si>
    <t>2055-06-02T21:35:57.067667Z</t>
  </si>
  <si>
    <t>2055-06-02T21:51:05.949171Z</t>
  </si>
  <si>
    <t>2055-06-02T21:00:47.39877Z</t>
  </si>
  <si>
    <t>2055-06-02T21:34:51.912926Z</t>
  </si>
  <si>
    <t>Awstin</t>
  </si>
  <si>
    <t>2055-06-12T01:32:09.41571Z</t>
  </si>
  <si>
    <t>2055-06-12T02:31:39.477Z</t>
  </si>
  <si>
    <t>2055-06-12T02:08:21.477Z</t>
  </si>
  <si>
    <t>2055-06-12T01:50:07.203776Z</t>
  </si>
  <si>
    <t>2055-06-12T01:54:03.299579Z</t>
  </si>
  <si>
    <t>2055-06-12T01:38:14.359511Z</t>
  </si>
  <si>
    <t>2055-06-12T01:38:24.336727Z</t>
  </si>
  <si>
    <t>2055-06-12T01:48:15.971687Z</t>
  </si>
  <si>
    <t>2055-06-11T21:50:07.203776Z</t>
  </si>
  <si>
    <t>2055-06-11T21:54:03.299579Z</t>
  </si>
  <si>
    <t>2055-06-11T21:38:14.359511Z</t>
  </si>
  <si>
    <t>2055-06-11T21:48:15.971687Z</t>
  </si>
  <si>
    <t>2055-06-08T23:17:56.381692Z</t>
  </si>
  <si>
    <t>2055-06-09T00:03:10.466Z</t>
  </si>
  <si>
    <t>2055-06-08T23:58:03.466Z</t>
  </si>
  <si>
    <t>2055-06-08T23:59:56.999794Z</t>
  </si>
  <si>
    <t>2055-06-09T00:16:57.327592Z</t>
  </si>
  <si>
    <t>2055-06-08T23:34:14.457198Z</t>
  </si>
  <si>
    <t>2055-06-08T23:34:34.769418Z</t>
  </si>
  <si>
    <t>2055-06-08T23:50:31.221136Z</t>
  </si>
  <si>
    <t>2055-06-08T19:59:56.999794Z</t>
  </si>
  <si>
    <t>2055-06-08T20:16:57.327592Z</t>
  </si>
  <si>
    <t>2055-06-08T19:34:14.457198Z</t>
  </si>
  <si>
    <t>2055-06-08T19:50:31.221136Z</t>
  </si>
  <si>
    <t>2055-06-04T22:53:29.225936Z</t>
  </si>
  <si>
    <t>2055-06-04T23:45:24.291Z</t>
  </si>
  <si>
    <t>2055-06-04T23:35:17.291Z</t>
  </si>
  <si>
    <t>2055-06-04T23:22:14.224408Z</t>
  </si>
  <si>
    <t>2055-06-04T23:38:15.879127Z</t>
  </si>
  <si>
    <t>2055-06-04T22:53:47.380088Z</t>
  </si>
  <si>
    <t>2055-06-04T22:53:56.138205Z</t>
  </si>
  <si>
    <t>2055-06-04T19:22:14.224408Z</t>
  </si>
  <si>
    <t>2055-06-04T19:38:15.879127Z</t>
  </si>
  <si>
    <t>2055-06-04T18:53:47.380088Z</t>
  </si>
  <si>
    <t>2055-06-01T22:18:14.72359Z</t>
  </si>
  <si>
    <t>2055-06-01T23:21:17.8Z</t>
  </si>
  <si>
    <t>2055-06-01T23:01:10.8Z</t>
  </si>
  <si>
    <t>2055-06-01T22:37:34.648046Z</t>
  </si>
  <si>
    <t>2055-06-01T23:01:00.181728Z</t>
  </si>
  <si>
    <t>2055-06-01T22:23:14.377826Z</t>
  </si>
  <si>
    <t>2055-06-01T22:23:27.250147Z</t>
  </si>
  <si>
    <t>2055-06-01T22:32:47.224811Z</t>
  </si>
  <si>
    <t>2055-06-01T18:37:34.648046Z</t>
  </si>
  <si>
    <t>2055-06-01T19:01:00.181728Z</t>
  </si>
  <si>
    <t>2055-06-01T18:23:14.377826Z</t>
  </si>
  <si>
    <t>2055-06-01T18:32:47.224811Z</t>
  </si>
  <si>
    <t>2055-06-12T17:32:29.140132Z</t>
  </si>
  <si>
    <t>2055-06-12T18:06:40.213Z</t>
  </si>
  <si>
    <t>2055-06-12T17:57:47.213Z</t>
  </si>
  <si>
    <t>2055-06-12T17:49:08.462134Z</t>
  </si>
  <si>
    <t>2055-06-12T17:55:44.881132Z</t>
  </si>
  <si>
    <t>2055-06-12T17:38:54.358352Z</t>
  </si>
  <si>
    <t>2055-06-12T17:39:08.545274Z</t>
  </si>
  <si>
    <t>2055-06-12T17:39:16.468648Z</t>
  </si>
  <si>
    <t>2055-06-12T13:49:08.462134Z</t>
  </si>
  <si>
    <t>2055-06-12T13:55:44.881132Z</t>
  </si>
  <si>
    <t>2055-06-12T13:38:54.358352Z</t>
  </si>
  <si>
    <t>2055-06-12T13:39:16.468648Z</t>
  </si>
  <si>
    <t>2055-06-05T00:35:53.178014Z</t>
  </si>
  <si>
    <t>2055-06-05T01:36:32.256Z</t>
  </si>
  <si>
    <t>2055-06-05T01:14:38.256Z</t>
  </si>
  <si>
    <t>2055-06-05T01:17:07.016412Z</t>
  </si>
  <si>
    <t>2055-06-05T01:28:27.924183Z</t>
  </si>
  <si>
    <t>2055-06-05T00:47:07.387014Z</t>
  </si>
  <si>
    <t>2055-06-05T00:47:10.715512Z</t>
  </si>
  <si>
    <t>2055-06-05T01:17:51.509643Z</t>
  </si>
  <si>
    <t>2055-06-04T21:17:07.016412Z</t>
  </si>
  <si>
    <t>2055-06-04T21:28:27.924183Z</t>
  </si>
  <si>
    <t>2055-06-04T20:47:07.387014Z</t>
  </si>
  <si>
    <t>2055-06-04T21:17:51.509643Z</t>
  </si>
  <si>
    <t>2055-06-01T21:12:34.704997Z</t>
  </si>
  <si>
    <t>2055-06-01T22:22:30.807Z</t>
  </si>
  <si>
    <t>2055-06-01T22:01:41.807Z</t>
  </si>
  <si>
    <t>2055-06-01T21:35:07.849071Z</t>
  </si>
  <si>
    <t>2055-06-01T22:10:38.281827Z</t>
  </si>
  <si>
    <t>2055-06-01T21:15:54.04816Z</t>
  </si>
  <si>
    <t>2055-06-01T21:15:55.819564Z</t>
  </si>
  <si>
    <t>2055-06-01T21:30:27.382546Z</t>
  </si>
  <si>
    <t>2055-06-01T17:35:07.849071Z</t>
  </si>
  <si>
    <t>2055-06-01T18:10:38.281827Z</t>
  </si>
  <si>
    <t>2055-06-01T17:15:54.04816Z</t>
  </si>
  <si>
    <t>2055-06-01T17:30:27.382546Z</t>
  </si>
  <si>
    <t>2055-06-08T16:05:12.398211Z</t>
  </si>
  <si>
    <t>2055-06-08T16:56:32.484Z</t>
  </si>
  <si>
    <t>2055-06-08T16:46:25.484Z</t>
  </si>
  <si>
    <t>2055-06-08T16:39:49.471617Z</t>
  </si>
  <si>
    <t>2055-06-08T16:45:36.198414Z</t>
  </si>
  <si>
    <t>2055-06-08T16:11:47.317244Z</t>
  </si>
  <si>
    <t>2055-06-08T16:12:08.042968Z</t>
  </si>
  <si>
    <t>2055-06-08T16:26:56.444938Z</t>
  </si>
  <si>
    <t>2055-06-08T12:39:49.471617Z</t>
  </si>
  <si>
    <t>2055-06-08T12:45:36.198414Z</t>
  </si>
  <si>
    <t>2055-06-08T12:11:47.317244Z</t>
  </si>
  <si>
    <t>2055-06-08T12:26:56.444938Z</t>
  </si>
  <si>
    <t>2055-06-04T22:30:55.594678Z</t>
  </si>
  <si>
    <t>2055-06-04T23:33:01.672Z</t>
  </si>
  <si>
    <t>2055-06-04T23:11:07.672Z</t>
  </si>
  <si>
    <t>2055-06-04T22:48:44.140573Z</t>
  </si>
  <si>
    <t>2055-06-04T22:59:13.786789Z</t>
  </si>
  <si>
    <t>2055-06-04T22:31:47.337954Z</t>
  </si>
  <si>
    <t>2055-06-04T22:31:51.299566Z</t>
  </si>
  <si>
    <t>2055-06-04T22:45:59.130279Z</t>
  </si>
  <si>
    <t>2055-06-04T18:48:44.140573Z</t>
  </si>
  <si>
    <t>2055-06-04T18:59:13.786789Z</t>
  </si>
  <si>
    <t>2055-06-04T18:31:47.337954Z</t>
  </si>
  <si>
    <t>2055-06-04T18:45:59.130279Z</t>
  </si>
  <si>
    <t>2055-06-02T20:27:41.166275Z</t>
  </si>
  <si>
    <t>2055-06-02T21:07:41.229Z</t>
  </si>
  <si>
    <t>2055-06-02T21:02:42.229Z</t>
  </si>
  <si>
    <t>2055-06-02T20:52:04.850587Z</t>
  </si>
  <si>
    <t>2055-06-02T21:38:21.260721Z</t>
  </si>
  <si>
    <t>2055-06-02T20:27:47.332342Z</t>
  </si>
  <si>
    <t>2055-06-02T20:27:52.903462Z</t>
  </si>
  <si>
    <t>2055-06-02T20:47:05.207423Z</t>
  </si>
  <si>
    <t>2055-06-02T16:52:04.850587Z</t>
  </si>
  <si>
    <t>2055-06-02T17:38:21.260721Z</t>
  </si>
  <si>
    <t>2055-06-02T16:27:47.332342Z</t>
  </si>
  <si>
    <t>2055-06-02T16:47:05.207423Z</t>
  </si>
  <si>
    <t>2055-06-03T22:07:23.027045Z</t>
  </si>
  <si>
    <t>2055-06-03T23:03:42.116Z</t>
  </si>
  <si>
    <t>2055-06-03T22:44:49.116Z</t>
  </si>
  <si>
    <t>2055-06-03T22:31:57.427375Z</t>
  </si>
  <si>
    <t>2055-06-03T22:41:58.713808Z</t>
  </si>
  <si>
    <t>2055-06-03T22:07:27.376705Z</t>
  </si>
  <si>
    <t>2055-06-03T22:07:33.185312Z</t>
  </si>
  <si>
    <t>2055-06-03T22:31:52.45887Z</t>
  </si>
  <si>
    <t>2055-06-03T18:31:57.427375Z</t>
  </si>
  <si>
    <t>2055-06-03T18:41:58.713808Z</t>
  </si>
  <si>
    <t>2055-06-03T18:07:27.376705Z</t>
  </si>
  <si>
    <t>2055-06-03T18:31:52.45887Z</t>
  </si>
  <si>
    <t>2055-06-12T17:34:49.153437Z</t>
  </si>
  <si>
    <t>2055-06-12T18:29:28.217Z</t>
  </si>
  <si>
    <t>2055-06-12T18:10:35.217Z</t>
  </si>
  <si>
    <t>2055-06-12T18:01:06.988272Z</t>
  </si>
  <si>
    <t>2055-06-12T18:11:55.114734Z</t>
  </si>
  <si>
    <t>2055-06-12T17:40:34.251282Z</t>
  </si>
  <si>
    <t>2055-06-12T17:40:40.764267Z</t>
  </si>
  <si>
    <t>2055-06-12T17:58:31.345996Z</t>
  </si>
  <si>
    <t>2055-06-12T14:01:06.988272Z</t>
  </si>
  <si>
    <t>2055-06-12T14:11:55.114734Z</t>
  </si>
  <si>
    <t>2055-06-12T13:40:34.251282Z</t>
  </si>
  <si>
    <t>2055-06-12T13:58:31.345996Z</t>
  </si>
  <si>
    <t>2055-06-13T21:32:39.591796Z</t>
  </si>
  <si>
    <t>2055-06-13T22:20:43.643Z</t>
  </si>
  <si>
    <t>2055-06-13T22:01:50.643Z</t>
  </si>
  <si>
    <t>2055-06-13T21:50:33.065565Z</t>
  </si>
  <si>
    <t>2055-06-13T22:00:51.85847Z</t>
  </si>
  <si>
    <t>2055-06-13T21:40:48.23442Z</t>
  </si>
  <si>
    <t>2055-06-13T21:41:03.534355Z</t>
  </si>
  <si>
    <t>2055-06-13T21:42:44.988343Z</t>
  </si>
  <si>
    <t>2055-06-13T17:50:33.065565Z</t>
  </si>
  <si>
    <t>2055-06-13T18:00:51.85847Z</t>
  </si>
  <si>
    <t>2055-06-13T17:40:48.23442Z</t>
  </si>
  <si>
    <t>2055-06-13T17:42:44.988343Z</t>
  </si>
  <si>
    <t>2055-06-03T19:18:51.471314Z</t>
  </si>
  <si>
    <t>2055-06-03T20:29:30.561Z</t>
  </si>
  <si>
    <t>2055-06-03T20:09:23.561Z</t>
  </si>
  <si>
    <t>2055-06-03T20:21:16.827955Z</t>
  </si>
  <si>
    <t>2055-06-03T20:50:10.3197Z</t>
  </si>
  <si>
    <t>2055-06-03T19:18:54.181212Z</t>
  </si>
  <si>
    <t>2055-06-03T19:19:47.009645Z</t>
  </si>
  <si>
    <t>2055-06-03T16:21:16.827955Z</t>
  </si>
  <si>
    <t>2055-06-03T16:50:10.3197Z</t>
  </si>
  <si>
    <t>2055-06-03T15:18:54.181212Z</t>
  </si>
  <si>
    <t>2055-06-01T22:27:22.174359Z</t>
  </si>
  <si>
    <t>2055-06-01T23:36:23.243Z</t>
  </si>
  <si>
    <t>2055-06-01T23:14:29.243Z</t>
  </si>
  <si>
    <t>2055-06-01T22:47:40.503343Z</t>
  </si>
  <si>
    <t>2055-06-01T23:12:02.310003Z</t>
  </si>
  <si>
    <t>2055-06-01T22:33:47.404847Z</t>
  </si>
  <si>
    <t>2055-06-01T22:33:52.65142Z</t>
  </si>
  <si>
    <t>2055-06-01T22:41:43.184987Z</t>
  </si>
  <si>
    <t>2055-06-01T18:47:40.503343Z</t>
  </si>
  <si>
    <t>2055-06-01T19:12:02.310003Z</t>
  </si>
  <si>
    <t>2055-06-01T18:33:47.404847Z</t>
  </si>
  <si>
    <t>2055-06-01T18:41:43.184987Z</t>
  </si>
  <si>
    <t>2055-06-05T01:25:32.02938Z</t>
  </si>
  <si>
    <t>2055-06-05T02:17:09.092Z</t>
  </si>
  <si>
    <t>2055-06-05T01:57:30.092Z</t>
  </si>
  <si>
    <t>2055-06-05T01:44:14.360138Z</t>
  </si>
  <si>
    <t>2055-06-05T01:52:48.979231Z</t>
  </si>
  <si>
    <t>2055-06-05T01:27:34.823698Z</t>
  </si>
  <si>
    <t>2055-06-05T01:27:47.209116Z</t>
  </si>
  <si>
    <t>2055-06-05T01:44:56.118198Z</t>
  </si>
  <si>
    <t>2055-06-04T21:44:14.360138Z</t>
  </si>
  <si>
    <t>2055-06-04T21:52:48.979231Z</t>
  </si>
  <si>
    <t>2055-06-04T21:27:34.823698Z</t>
  </si>
  <si>
    <t>2055-06-04T21:44:56.118198Z</t>
  </si>
  <si>
    <t>Carol</t>
  </si>
  <si>
    <t>2055-06-06T21:41:20.893105Z</t>
  </si>
  <si>
    <t>2055-06-06T22:36:34.994Z</t>
  </si>
  <si>
    <t>2055-06-06T22:16:27.994Z</t>
  </si>
  <si>
    <t>2055-06-06T22:00:56.927065Z</t>
  </si>
  <si>
    <t>2055-06-06T22:24:58.856514Z</t>
  </si>
  <si>
    <t>2055-06-06T21:41:47.286967Z</t>
  </si>
  <si>
    <t>2055-06-06T21:42:08.477491Z</t>
  </si>
  <si>
    <t>2055-06-06T21:56:26.027149Z</t>
  </si>
  <si>
    <t>2055-06-06T18:00:56.927065Z</t>
  </si>
  <si>
    <t>2055-06-06T18:24:58.856514Z</t>
  </si>
  <si>
    <t>2055-06-06T17:41:47.286967Z</t>
  </si>
  <si>
    <t>2055-06-06T17:56:26.027149Z</t>
  </si>
  <si>
    <t>2055-06-07T16:35:15.931339Z</t>
  </si>
  <si>
    <t>2055-06-07T17:30:16.001Z</t>
  </si>
  <si>
    <t>2055-06-07T17:08:16.001Z</t>
  </si>
  <si>
    <t>2055-06-07T16:55:02.387867Z</t>
  </si>
  <si>
    <t>2055-06-07T17:10:56.83812Z</t>
  </si>
  <si>
    <t>2055-06-07T16:35:27.297231Z</t>
  </si>
  <si>
    <t>2055-06-07T16:36:02.974803Z</t>
  </si>
  <si>
    <t>2055-06-07T16:48:50.315804Z</t>
  </si>
  <si>
    <t>2055-06-07T12:55:02.387867Z</t>
  </si>
  <si>
    <t>2055-06-07T13:10:56.83812Z</t>
  </si>
  <si>
    <t>2055-06-07T12:35:27.297231Z</t>
  </si>
  <si>
    <t>2055-06-07T12:48:50.315804Z</t>
  </si>
  <si>
    <t>2055-06-12T22:13:15.79647Z</t>
  </si>
  <si>
    <t>2055-06-12T23:03:28.843Z</t>
  </si>
  <si>
    <t>2055-06-12T22:43:49.843Z</t>
  </si>
  <si>
    <t>2055-06-12T22:38:59.252077Z</t>
  </si>
  <si>
    <t>2055-06-12T22:45:31.018348Z</t>
  </si>
  <si>
    <t>2055-06-12T22:24:34.730032Z</t>
  </si>
  <si>
    <t>2055-06-12T22:24:52.003448Z</t>
  </si>
  <si>
    <t>2055-06-12T18:38:59.252077Z</t>
  </si>
  <si>
    <t>2055-06-12T18:45:31.018348Z</t>
  </si>
  <si>
    <t>2055-06-12T18:24:34.730032Z</t>
  </si>
  <si>
    <t>2055-06-05T16:18:06.274036Z</t>
  </si>
  <si>
    <t>2055-06-05T17:18:52.335Z</t>
  </si>
  <si>
    <t>2055-06-05T16:56:58.335Z</t>
  </si>
  <si>
    <t>2055-06-05T16:43:24.244488Z</t>
  </si>
  <si>
    <t>2055-06-05T17:04:41.858754Z</t>
  </si>
  <si>
    <t>2055-06-05T16:21:54.864511Z</t>
  </si>
  <si>
    <t>2055-06-05T16:22:13.349567Z</t>
  </si>
  <si>
    <t>2055-06-05T16:34:19.380507Z</t>
  </si>
  <si>
    <t>2055-06-05T12:43:24.244488Z</t>
  </si>
  <si>
    <t>2055-06-05T13:04:41.858754Z</t>
  </si>
  <si>
    <t>2055-06-05T12:21:54.864511Z</t>
  </si>
  <si>
    <t>2055-06-05T12:34:19.380507Z</t>
  </si>
  <si>
    <t>2055-06-12T16:52:20.90734Z</t>
  </si>
  <si>
    <t>2055-06-12T17:32:19.966Z</t>
  </si>
  <si>
    <t>2055-06-12T17:28:26.966Z</t>
  </si>
  <si>
    <t>2055-06-12T17:12:37.396089Z</t>
  </si>
  <si>
    <t>2055-06-12T17:35:10.912325Z</t>
  </si>
  <si>
    <t>2055-06-12T16:54:54.277069Z</t>
  </si>
  <si>
    <t>2055-06-12T16:55:02.856939Z</t>
  </si>
  <si>
    <t>2055-06-12T17:06:00.622776Z</t>
  </si>
  <si>
    <t>2055-06-12T13:12:37.396089Z</t>
  </si>
  <si>
    <t>2055-06-12T13:35:10.912325Z</t>
  </si>
  <si>
    <t>2055-06-12T12:54:54.277069Z</t>
  </si>
  <si>
    <t>2055-06-12T13:06:00.622776Z</t>
  </si>
  <si>
    <t>2055-06-12T14:32:56.739136Z</t>
  </si>
  <si>
    <t>2055-06-12T15:20:36.812Z</t>
  </si>
  <si>
    <t>2055-06-12T15:06:43.812Z</t>
  </si>
  <si>
    <t>2055-06-12T15:07:00.649274Z</t>
  </si>
  <si>
    <t>2055-06-12T15:20:15.28935Z</t>
  </si>
  <si>
    <t>2055-06-12T14:39:14.089991Z</t>
  </si>
  <si>
    <t>2055-06-12T14:39:38.197956Z</t>
  </si>
  <si>
    <t>2055-06-12T15:05:17.070539Z</t>
  </si>
  <si>
    <t>2055-06-12T11:07:00.649274Z</t>
  </si>
  <si>
    <t>2055-06-12T11:20:15.28935Z</t>
  </si>
  <si>
    <t>2055-06-12T10:39:14.089991Z</t>
  </si>
  <si>
    <t>2055-06-12T11:05:17.070539Z</t>
  </si>
  <si>
    <t>2055-06-02T21:53:46.844142Z</t>
  </si>
  <si>
    <t>2055-06-02T22:36:02.903Z</t>
  </si>
  <si>
    <t>2055-06-02T22:32:09.903Z</t>
  </si>
  <si>
    <t>2055-06-02T22:18:18.957629Z</t>
  </si>
  <si>
    <t>2055-06-02T22:46:01.613718Z</t>
  </si>
  <si>
    <t>2055-06-02T21:54:07.31181Z</t>
  </si>
  <si>
    <t>2055-06-02T21:54:21.113222Z</t>
  </si>
  <si>
    <t>2055-06-02T22:14:02.38284Z</t>
  </si>
  <si>
    <t>2055-06-02T18:18:18.957629Z</t>
  </si>
  <si>
    <t>2055-06-02T18:46:01.613718Z</t>
  </si>
  <si>
    <t>2055-06-02T17:54:07.31181Z</t>
  </si>
  <si>
    <t>2055-06-02T18:14:02.38284Z</t>
  </si>
  <si>
    <t>2055-06-02T23:43:39.359167Z</t>
  </si>
  <si>
    <t>2055-06-03T00:38:39.434Z</t>
  </si>
  <si>
    <t>2055-06-03T00:18:13.434Z</t>
  </si>
  <si>
    <t>2055-06-03T00:14:45.439258Z</t>
  </si>
  <si>
    <t>2055-06-03T00:26:18.67637Z</t>
  </si>
  <si>
    <t>2055-06-02T23:43:47.664537Z</t>
  </si>
  <si>
    <t>2055-06-02T23:44:00.766459Z</t>
  </si>
  <si>
    <t>2055-06-02T20:14:45.439258Z</t>
  </si>
  <si>
    <t>2055-06-02T20:26:18.67637Z</t>
  </si>
  <si>
    <t>2055-06-02T19:43:47.664537Z</t>
  </si>
  <si>
    <t>2055-06-04T00:00:34.390859Z</t>
  </si>
  <si>
    <t>2055-06-04T01:11:08.474Z</t>
  </si>
  <si>
    <t>2055-06-04T00:52:15.474Z</t>
  </si>
  <si>
    <t>2055-06-04T00:22:25.575344Z</t>
  </si>
  <si>
    <t>2055-06-04T00:37:16.838747Z</t>
  </si>
  <si>
    <t>2055-06-04T00:00:47.43531Z</t>
  </si>
  <si>
    <t>2055-06-04T00:00:52.871705Z</t>
  </si>
  <si>
    <t>2055-06-04T00:13:57.279699Z</t>
  </si>
  <si>
    <t>2055-06-03T20:22:25.575344Z</t>
  </si>
  <si>
    <t>2055-06-03T20:37:16.838747Z</t>
  </si>
  <si>
    <t>2055-06-03T20:00:47.43531Z</t>
  </si>
  <si>
    <t>2055-06-03T20:13:57.279699Z</t>
  </si>
  <si>
    <t>2055-06-06T00:17:09.405718Z</t>
  </si>
  <si>
    <t>2055-06-06T01:18:27.476Z</t>
  </si>
  <si>
    <t>2055-06-06T00:56:33.476Z</t>
  </si>
  <si>
    <t>2055-06-06T00:42:49.051784Z</t>
  </si>
  <si>
    <t>2055-06-06T01:16:37.71517Z</t>
  </si>
  <si>
    <t>2055-06-06T00:22:57.226149Z</t>
  </si>
  <si>
    <t>2055-06-06T00:23:09.382285Z</t>
  </si>
  <si>
    <t>2055-06-06T00:31:37.9543Z</t>
  </si>
  <si>
    <t>2055-06-05T20:42:49.051784Z</t>
  </si>
  <si>
    <t>2055-06-05T21:16:37.71517Z</t>
  </si>
  <si>
    <t>2055-06-05T20:22:57.226149Z</t>
  </si>
  <si>
    <t>2055-06-05T20:31:37.9543Z</t>
  </si>
  <si>
    <t>2055-06-04T00:29:20.954285Z</t>
  </si>
  <si>
    <t>2055-06-04T01:29:51.012Z</t>
  </si>
  <si>
    <t>2055-06-04T01:07:57.012Z</t>
  </si>
  <si>
    <t>2055-06-04T01:02:26.087062Z</t>
  </si>
  <si>
    <t>2055-06-04T01:19:17.722925Z</t>
  </si>
  <si>
    <t>2055-06-04T00:37:55.439245Z</t>
  </si>
  <si>
    <t>2055-06-04T00:38:05.619008Z</t>
  </si>
  <si>
    <t>2055-06-04T00:59:38.54369Z</t>
  </si>
  <si>
    <t>2055-06-03T21:02:26.087062Z</t>
  </si>
  <si>
    <t>2055-06-03T21:19:17.722925Z</t>
  </si>
  <si>
    <t>2055-06-03T20:37:55.439245Z</t>
  </si>
  <si>
    <t>2055-06-03T20:59:38.54369Z</t>
  </si>
  <si>
    <t>2055-06-01T20:52:36.8623Z</t>
  </si>
  <si>
    <t>2055-06-01T21:52:45.93Z</t>
  </si>
  <si>
    <t>2055-06-01T21:33:06.93Z</t>
  </si>
  <si>
    <t>2055-06-01T21:36:51.26082Z</t>
  </si>
  <si>
    <t>2055-06-01T21:58:29.394955Z</t>
  </si>
  <si>
    <t>2055-06-01T20:58:27.360986Z</t>
  </si>
  <si>
    <t>2055-06-01T20:58:37.166417Z</t>
  </si>
  <si>
    <t>2055-06-01T21:14:10.007988Z</t>
  </si>
  <si>
    <t>2055-06-01T17:36:51.26082Z</t>
  </si>
  <si>
    <t>2055-06-01T17:58:29.394955Z</t>
  </si>
  <si>
    <t>2055-06-01T16:58:27.360986Z</t>
  </si>
  <si>
    <t>2055-06-01T17:14:10.007988Z</t>
  </si>
  <si>
    <t>2055-06-02T22:10:11.433447Z</t>
  </si>
  <si>
    <t>2055-06-02T23:18:20.498Z</t>
  </si>
  <si>
    <t>2055-06-02T22:59:27.498Z</t>
  </si>
  <si>
    <t>2055-06-02T22:30:35.102851Z</t>
  </si>
  <si>
    <t>2055-06-02T22:38:13.852392Z</t>
  </si>
  <si>
    <t>2055-06-02T22:10:27.321439Z</t>
  </si>
  <si>
    <t>2055-06-02T22:10:54.753006Z</t>
  </si>
  <si>
    <t>2055-06-02T18:30:35.102851Z</t>
  </si>
  <si>
    <t>2055-06-02T18:38:13.852392Z</t>
  </si>
  <si>
    <t>2055-06-02T18:10:27.321439Z</t>
  </si>
  <si>
    <t>2055-06-05T22:09:02.652408Z</t>
  </si>
  <si>
    <t>2055-06-05T23:19:49.71Z</t>
  </si>
  <si>
    <t>2055-06-05T23:00:10.71Z</t>
  </si>
  <si>
    <t>2055-06-05T22:52:49.92834Z</t>
  </si>
  <si>
    <t>2055-06-05T23:21:53.526598Z</t>
  </si>
  <si>
    <t>2055-06-05T22:11:55.060906Z</t>
  </si>
  <si>
    <t>2055-06-05T22:11:58.755251Z</t>
  </si>
  <si>
    <t>2055-06-05T22:35:00.995703Z</t>
  </si>
  <si>
    <t>2055-06-05T18:52:49.92834Z</t>
  </si>
  <si>
    <t>2055-06-05T19:21:53.526598Z</t>
  </si>
  <si>
    <t>2055-06-05T18:11:55.060906Z</t>
  </si>
  <si>
    <t>2055-06-05T18:35:00.995703Z</t>
  </si>
  <si>
    <t>2055-06-04T00:11:26.704933Z</t>
  </si>
  <si>
    <t>2055-06-04T01:07:18.778Z</t>
  </si>
  <si>
    <t>2055-06-04T00:47:11.778Z</t>
  </si>
  <si>
    <t>2055-06-04T00:38:25.465336Z</t>
  </si>
  <si>
    <t>2055-06-04T00:44:27.896551Z</t>
  </si>
  <si>
    <t>2055-06-04T00:11:47.401089Z</t>
  </si>
  <si>
    <t>2055-06-04T00:12:01.775115Z</t>
  </si>
  <si>
    <t>2055-06-04T00:19:45.636197Z</t>
  </si>
  <si>
    <t>2055-06-03T20:38:25.465336Z</t>
  </si>
  <si>
    <t>2055-06-03T20:44:27.896551Z</t>
  </si>
  <si>
    <t>2055-06-03T20:11:47.401089Z</t>
  </si>
  <si>
    <t>2055-06-03T20:19:45.636197Z</t>
  </si>
  <si>
    <t>Jennifer</t>
  </si>
  <si>
    <t>2055-06-05T22:52:48.930813Z</t>
  </si>
  <si>
    <t>2055-06-06T00:10:54.001Z</t>
  </si>
  <si>
    <t>2055-06-05T23:47:36.001Z</t>
  </si>
  <si>
    <t>2055-06-06T01:19:21.984574Z</t>
  </si>
  <si>
    <t>2055-06-06T01:54:11.943306Z</t>
  </si>
  <si>
    <t>2055-06-06T01:03:50.45395Z</t>
  </si>
  <si>
    <t>2055-06-06T01:04:04.876412Z</t>
  </si>
  <si>
    <t>2055-06-05T21:19:21.984574Z</t>
  </si>
  <si>
    <t>2055-06-05T21:54:11.943306Z</t>
  </si>
  <si>
    <t>2055-06-05T21:03:50.45395Z</t>
  </si>
  <si>
    <t>2055-06-06T23:51:20.552149Z</t>
  </si>
  <si>
    <t>2055-06-07T00:45:05.601Z</t>
  </si>
  <si>
    <t>2055-06-07T00:25:26.601Z</t>
  </si>
  <si>
    <t>2055-06-07T00:24:29.933159Z</t>
  </si>
  <si>
    <t>2055-06-07T00:34:14.869277Z</t>
  </si>
  <si>
    <t>2055-06-06T23:53:54.766513Z</t>
  </si>
  <si>
    <t>2055-06-06T23:54:21.688571Z</t>
  </si>
  <si>
    <t>2055-06-07T00:01:28.077074Z</t>
  </si>
  <si>
    <t>2055-06-06T20:24:29.933159Z</t>
  </si>
  <si>
    <t>2055-06-06T20:34:14.869277Z</t>
  </si>
  <si>
    <t>2055-06-06T19:53:54.766513Z</t>
  </si>
  <si>
    <t>2055-06-06T20:01:28.077074Z</t>
  </si>
  <si>
    <t>2055-06-01T23:37:21.476602Z</t>
  </si>
  <si>
    <t>2055-06-02T00:22:21.546Z</t>
  </si>
  <si>
    <t>2055-06-02T00:12:55.546Z</t>
  </si>
  <si>
    <t>2055-06-01T23:58:25.85892Z</t>
  </si>
  <si>
    <t>2055-06-02T00:08:25.649919Z</t>
  </si>
  <si>
    <t>2055-06-01T23:37:27.417405Z</t>
  </si>
  <si>
    <t>2055-06-01T23:38:07.327977Z</t>
  </si>
  <si>
    <t>2055-06-01T23:52:45.890645Z</t>
  </si>
  <si>
    <t>2055-06-01T19:58:25.85892Z</t>
  </si>
  <si>
    <t>2055-06-01T20:08:25.649919Z</t>
  </si>
  <si>
    <t>2055-06-01T19:37:27.417405Z</t>
  </si>
  <si>
    <t>2055-06-01T19:52:45.890645Z</t>
  </si>
  <si>
    <t>2055-06-05T18:34:42.825111Z</t>
  </si>
  <si>
    <t>2055-06-05T19:28:38.882Z</t>
  </si>
  <si>
    <t>2055-06-05T19:08:31.882Z</t>
  </si>
  <si>
    <t>2055-06-05T18:47:49.632506Z</t>
  </si>
  <si>
    <t>2055-06-05T19:13:30.66343Z</t>
  </si>
  <si>
    <t>2055-06-05T18:40:54.288491Z</t>
  </si>
  <si>
    <t>2055-06-05T18:40:59.270453Z</t>
  </si>
  <si>
    <t>2055-06-05T18:43:40.298087Z</t>
  </si>
  <si>
    <t>2055-06-05T14:47:49.632506Z</t>
  </si>
  <si>
    <t>2055-06-05T15:13:30.66343Z</t>
  </si>
  <si>
    <t>2055-06-05T14:40:54.288491Z</t>
  </si>
  <si>
    <t>2055-06-05T14:43:40.298087Z</t>
  </si>
  <si>
    <t>2055-06-04T22:23:31.23013Z</t>
  </si>
  <si>
    <t>2055-06-04T23:23:46.306Z</t>
  </si>
  <si>
    <t>2055-06-04T23:03:39.306Z</t>
  </si>
  <si>
    <t>2055-06-04T22:52:55.404084Z</t>
  </si>
  <si>
    <t>2055-06-04T22:53:05.507053Z</t>
  </si>
  <si>
    <t>2055-06-04T22:24:07.574621Z</t>
  </si>
  <si>
    <t>2055-06-04T22:24:17.77765Z</t>
  </si>
  <si>
    <t>2055-06-04T22:31:27.625913Z</t>
  </si>
  <si>
    <t>2055-06-04T18:52:55.404084Z</t>
  </si>
  <si>
    <t>2055-06-04T18:53:05.507053Z</t>
  </si>
  <si>
    <t>2055-06-04T18:24:07.574621Z</t>
  </si>
  <si>
    <t>2055-06-04T18:31:27.625913Z</t>
  </si>
  <si>
    <t>2055-06-04T23:29:09.776389Z</t>
  </si>
  <si>
    <t>2055-06-05T00:41:47.834Z</t>
  </si>
  <si>
    <t>2055-06-05T00:18:29.834Z</t>
  </si>
  <si>
    <t>2055-06-04T23:52:33.481934Z</t>
  </si>
  <si>
    <t>2055-06-05T00:14:06.223098Z</t>
  </si>
  <si>
    <t>2055-06-04T23:33:47.784786Z</t>
  </si>
  <si>
    <t>2055-06-04T23:34:00.615757Z</t>
  </si>
  <si>
    <t>2055-06-04T23:52:29.891106Z</t>
  </si>
  <si>
    <t>2055-06-04T19:52:33.481934Z</t>
  </si>
  <si>
    <t>2055-06-04T20:14:06.223098Z</t>
  </si>
  <si>
    <t>2055-06-04T19:33:47.784786Z</t>
  </si>
  <si>
    <t>2055-06-04T19:52:29.891106Z</t>
  </si>
  <si>
    <t>2055-06-02T02:13:26.470287Z</t>
  </si>
  <si>
    <t>2055-06-02T03:10:20.528Z</t>
  </si>
  <si>
    <t>2055-06-02T02:58:26.528Z</t>
  </si>
  <si>
    <t>2055-06-02T02:34:52.305949Z</t>
  </si>
  <si>
    <t>2055-06-02T02:51:01.580607Z</t>
  </si>
  <si>
    <t>2055-06-02T02:19:54.18257Z</t>
  </si>
  <si>
    <t>2055-06-02T02:19:57.383246Z</t>
  </si>
  <si>
    <t>2055-06-02T02:30:51.679098Z</t>
  </si>
  <si>
    <t>2055-06-01T22:34:52.305949Z</t>
  </si>
  <si>
    <t>2055-06-01T22:51:01.580607Z</t>
  </si>
  <si>
    <t>2055-06-01T22:19:54.18257Z</t>
  </si>
  <si>
    <t>2055-06-01T22:30:51.679098Z</t>
  </si>
  <si>
    <t>2055-06-05T17:36:45.11646Z</t>
  </si>
  <si>
    <t>2055-06-05T18:36:18.174Z</t>
  </si>
  <si>
    <t>2055-06-05T18:13:00.174Z</t>
  </si>
  <si>
    <t>2055-06-05T18:06:28.594642Z</t>
  </si>
  <si>
    <t>2055-06-05T18:10:50.354877Z</t>
  </si>
  <si>
    <t>2055-06-05T17:42:54.878381Z</t>
  </si>
  <si>
    <t>2055-06-05T17:42:59.053343Z</t>
  </si>
  <si>
    <t>2055-06-05T17:50:13.313036Z</t>
  </si>
  <si>
    <t>2055-06-05T14:06:28.594642Z</t>
  </si>
  <si>
    <t>2055-06-05T14:10:50.354877Z</t>
  </si>
  <si>
    <t>2055-06-05T13:42:54.878381Z</t>
  </si>
  <si>
    <t>2055-06-05T13:50:13.313036Z</t>
  </si>
  <si>
    <t>Mike</t>
  </si>
  <si>
    <t>2055-06-13T21:09:17.819341Z</t>
  </si>
  <si>
    <t>2055-06-13T21:51:59.899Z</t>
  </si>
  <si>
    <t>2055-06-13T21:51:20.899Z</t>
  </si>
  <si>
    <t>2055-06-13T21:32:47.186976Z</t>
  </si>
  <si>
    <t>2055-06-13T21:38:15.122516Z</t>
  </si>
  <si>
    <t>2055-06-13T21:09:28.147694Z</t>
  </si>
  <si>
    <t>2055-06-13T21:09:38.945981Z</t>
  </si>
  <si>
    <t>2055-06-13T21:17:31.483455Z</t>
  </si>
  <si>
    <t>2055-06-13T17:32:47.186976Z</t>
  </si>
  <si>
    <t>2055-06-13T17:38:15.122516Z</t>
  </si>
  <si>
    <t>2055-06-13T17:09:28.147694Z</t>
  </si>
  <si>
    <t>2055-06-13T17:17:31.483455Z</t>
  </si>
  <si>
    <t>2055-06-02T17:21:07.142098Z</t>
  </si>
  <si>
    <t>2055-06-02T18:06:07.209Z</t>
  </si>
  <si>
    <t>2055-06-02T17:51:32.209Z</t>
  </si>
  <si>
    <t>2055-06-02T17:53:29.994526Z</t>
  </si>
  <si>
    <t>2055-06-02T18:23:38.560853Z</t>
  </si>
  <si>
    <t>2055-06-02T17:27:27.273062Z</t>
  </si>
  <si>
    <t>2055-06-02T17:28:11.062933Z</t>
  </si>
  <si>
    <t>2055-06-02T13:53:29.994526Z</t>
  </si>
  <si>
    <t>2055-06-02T14:23:38.560853Z</t>
  </si>
  <si>
    <t>2055-06-02T13:27:27.273062Z</t>
  </si>
  <si>
    <t>2055-06-07T15:16:17.569626Z</t>
  </si>
  <si>
    <t>2055-06-07T16:11:17.67Z</t>
  </si>
  <si>
    <t>2055-06-07T15:50:04.67Z</t>
  </si>
  <si>
    <t>2055-06-07T15:33:51.08942Z</t>
  </si>
  <si>
    <t>2055-06-07T15:45:07.100776Z</t>
  </si>
  <si>
    <t>2055-06-07T15:17:27.261082Z</t>
  </si>
  <si>
    <t>2055-06-07T15:17:30.499734Z</t>
  </si>
  <si>
    <t>2055-06-07T15:27:45.184659Z</t>
  </si>
  <si>
    <t>2055-06-07T11:33:51.08942Z</t>
  </si>
  <si>
    <t>2055-06-07T11:45:07.100776Z</t>
  </si>
  <si>
    <t>2055-06-07T11:17:27.261082Z</t>
  </si>
  <si>
    <t>2055-06-07T11:27:45.184659Z</t>
  </si>
  <si>
    <t>2055-06-05T19:03:20.736629Z</t>
  </si>
  <si>
    <t>2055-06-05T19:48:34.873Z</t>
  </si>
  <si>
    <t>2055-06-05T19:33:55.873Z</t>
  </si>
  <si>
    <t>2055-06-05T19:29:48.363318Z</t>
  </si>
  <si>
    <t>2055-06-05T19:38:30.404643Z</t>
  </si>
  <si>
    <t>2055-06-05T19:04:54.553602Z</t>
  </si>
  <si>
    <t>2055-06-05T19:05:05.747226Z</t>
  </si>
  <si>
    <t>2055-06-05T19:13:55.504618Z</t>
  </si>
  <si>
    <t>2055-06-05T15:29:48.363318Z</t>
  </si>
  <si>
    <t>2055-06-05T15:38:30.404643Z</t>
  </si>
  <si>
    <t>2055-06-05T15:04:54.553602Z</t>
  </si>
  <si>
    <t>2055-06-05T15:13:55.504618Z</t>
  </si>
  <si>
    <t>2055-06-03T21:18:05.159562Z</t>
  </si>
  <si>
    <t>2055-06-03T22:20:57.23Z</t>
  </si>
  <si>
    <t>2055-06-03T22:01:18.23Z</t>
  </si>
  <si>
    <t>2055-06-03T22:00:25.650703Z</t>
  </si>
  <si>
    <t>2055-06-03T22:16:54.922052Z</t>
  </si>
  <si>
    <t>2055-06-03T21:18:27.328168Z</t>
  </si>
  <si>
    <t>2055-06-03T21:18:35.337604Z</t>
  </si>
  <si>
    <t>2055-06-03T21:40:00.248518Z</t>
  </si>
  <si>
    <t>2055-06-03T18:00:25.650703Z</t>
  </si>
  <si>
    <t>2055-06-03T18:16:54.922052Z</t>
  </si>
  <si>
    <t>2055-06-03T17:18:27.328168Z</t>
  </si>
  <si>
    <t>2055-06-03T17:40:00.248518Z</t>
  </si>
  <si>
    <t>2055-06-07T23:15:13.435981Z</t>
  </si>
  <si>
    <t>2055-06-08T00:15:00Z</t>
  </si>
  <si>
    <t>2055-06-07T23:39:32.95327Z</t>
  </si>
  <si>
    <t>2055-06-07T23:50:17.061408Z</t>
  </si>
  <si>
    <t>2055-06-07T23:23:54.617263Z</t>
  </si>
  <si>
    <t>2055-06-07T23:24:10.241573Z</t>
  </si>
  <si>
    <t>2055-06-07T23:38:14.141784Z</t>
  </si>
  <si>
    <t>2055-06-07T19:39:32.95327Z</t>
  </si>
  <si>
    <t>2055-06-07T19:50:17.061408Z</t>
  </si>
  <si>
    <t>2055-06-07T19:23:54.617263Z</t>
  </si>
  <si>
    <t>2055-06-07T19:38:14.141784Z</t>
  </si>
  <si>
    <t>2055-06-08T15:35:12.497742Z</t>
  </si>
  <si>
    <t>2055-06-08T16:25:58.557Z</t>
  </si>
  <si>
    <t>2055-06-08T16:07:05.557Z</t>
  </si>
  <si>
    <t>2055-06-08T15:59:11.025351Z</t>
  </si>
  <si>
    <t>2055-06-08T16:05:12.575524Z</t>
  </si>
  <si>
    <t>2055-06-08T15:35:34.108354Z</t>
  </si>
  <si>
    <t>2055-06-08T15:35:40.490152Z</t>
  </si>
  <si>
    <t>2055-06-08T15:42:42.527216Z</t>
  </si>
  <si>
    <t>2055-06-08T11:59:11.025351Z</t>
  </si>
  <si>
    <t>2055-06-08T12:05:12.575524Z</t>
  </si>
  <si>
    <t>2055-06-08T11:35:34.108354Z</t>
  </si>
  <si>
    <t>2055-06-08T11:42:42.527216Z</t>
  </si>
  <si>
    <t>2055-06-07T02:26:47.267824Z</t>
  </si>
  <si>
    <t>2055-06-07T03:28:05.451Z</t>
  </si>
  <si>
    <t>2055-06-07T03:11:11.451Z</t>
  </si>
  <si>
    <t>2055-06-07T03:03:51.859455Z</t>
  </si>
  <si>
    <t>2055-06-07T03:13:21.900223Z</t>
  </si>
  <si>
    <t>2055-06-07T02:27:07.294282Z</t>
  </si>
  <si>
    <t>2055-06-07T02:27:27.755622Z</t>
  </si>
  <si>
    <t>2055-06-07T02:39:07.846755Z</t>
  </si>
  <si>
    <t>2055-06-06T23:03:51.859455Z</t>
  </si>
  <si>
    <t>2055-06-06T23:13:21.900223Z</t>
  </si>
  <si>
    <t>2055-06-06T22:27:07.294282Z</t>
  </si>
  <si>
    <t>2055-06-06T22:39:07.846755Z</t>
  </si>
  <si>
    <t>2055-06-04T23:14:19.545968Z</t>
  </si>
  <si>
    <t>2055-06-05T00:21:34.615Z</t>
  </si>
  <si>
    <t>2055-06-04T23:58:16.615Z</t>
  </si>
  <si>
    <t>2055-06-04T23:53:24.362371Z</t>
  </si>
  <si>
    <t>2055-06-05T00:05:34.353727Z</t>
  </si>
  <si>
    <t>2055-06-04T23:35:07.380196Z</t>
  </si>
  <si>
    <t>2055-06-04T23:35:37.422605Z</t>
  </si>
  <si>
    <t>2055-06-04T23:49:41.996776Z</t>
  </si>
  <si>
    <t>2055-06-04T19:53:24.362371Z</t>
  </si>
  <si>
    <t>2055-06-04T20:05:34.353727Z</t>
  </si>
  <si>
    <t>2055-06-04T19:35:07.380196Z</t>
  </si>
  <si>
    <t>2055-06-04T19:49:41.996776Z</t>
  </si>
  <si>
    <t>Brian</t>
  </si>
  <si>
    <t>2055-06-03T15:42:25.841232Z</t>
  </si>
  <si>
    <t>2055-06-03T16:52:26.904Z</t>
  </si>
  <si>
    <t>2055-06-03T16:33:33.904Z</t>
  </si>
  <si>
    <t>2055-06-03T15:48:43.340588Z</t>
  </si>
  <si>
    <t>2055-06-03T16:17:52.626691Z</t>
  </si>
  <si>
    <t>2055-06-03T15:43:34.706469Z</t>
  </si>
  <si>
    <t>2055-06-03T15:43:53.226426Z</t>
  </si>
  <si>
    <t>2055-06-03T11:48:43.340588Z</t>
  </si>
  <si>
    <t>2055-06-03T12:17:52.626691Z</t>
  </si>
  <si>
    <t>2055-06-03T11:43:34.706469Z</t>
  </si>
  <si>
    <t>2055-06-02T23:10:05.78682Z</t>
  </si>
  <si>
    <t>2055-06-02T23:58:07.86Z</t>
  </si>
  <si>
    <t>2055-06-02T23:48:28.86Z</t>
  </si>
  <si>
    <t>2055-06-02T23:50:49.366139Z</t>
  </si>
  <si>
    <t>2055-06-03T00:06:14.133836Z</t>
  </si>
  <si>
    <t>2055-06-02T23:15:54.700665Z</t>
  </si>
  <si>
    <t>2055-06-02T23:16:02.089989Z</t>
  </si>
  <si>
    <t>2055-06-02T23:34:23.244792Z</t>
  </si>
  <si>
    <t>2055-06-02T19:50:49.366139Z</t>
  </si>
  <si>
    <t>2055-06-02T20:06:14.133836Z</t>
  </si>
  <si>
    <t>2055-06-02T19:15:54.700665Z</t>
  </si>
  <si>
    <t>2055-06-02T19:34:23.244792Z</t>
  </si>
  <si>
    <t>Zak</t>
  </si>
  <si>
    <t>2055-06-04T22:49:26.371159Z</t>
  </si>
  <si>
    <t>2055-06-04T23:33:36.442Z</t>
  </si>
  <si>
    <t>2055-06-04T23:19:43.442Z</t>
  </si>
  <si>
    <t>2055-06-04T23:19:58.395826Z</t>
  </si>
  <si>
    <t>2055-06-04T23:26:58.947702Z</t>
  </si>
  <si>
    <t>2055-06-04T22:55:34.719091Z</t>
  </si>
  <si>
    <t>2055-06-04T22:56:33.785415Z</t>
  </si>
  <si>
    <t>2055-06-04T23:08:33.445459Z</t>
  </si>
  <si>
    <t>2055-06-04T19:19:58.395826Z</t>
  </si>
  <si>
    <t>2055-06-04T19:26:58.947702Z</t>
  </si>
  <si>
    <t>2055-06-04T18:55:34.719091Z</t>
  </si>
  <si>
    <t>2055-06-04T19:08:33.445459Z</t>
  </si>
  <si>
    <t>2055-06-04T00:52:34.844936Z</t>
  </si>
  <si>
    <t>2055-06-04T01:47:34.904Z</t>
  </si>
  <si>
    <t>2055-06-04T01:21:53.904Z</t>
  </si>
  <si>
    <t>2055-06-04T01:33:13.852019Z</t>
  </si>
  <si>
    <t>2055-06-04T01:43:03.742373Z</t>
  </si>
  <si>
    <t>2055-06-04T00:52:47.315584Z</t>
  </si>
  <si>
    <t>2055-06-04T00:52:53.199712Z</t>
  </si>
  <si>
    <t>2055-06-04T01:01:10.247288Z</t>
  </si>
  <si>
    <t>2055-06-03T21:33:13.852019Z</t>
  </si>
  <si>
    <t>2055-06-03T21:43:03.742373Z</t>
  </si>
  <si>
    <t>2055-06-03T20:52:47.315584Z</t>
  </si>
  <si>
    <t>2055-06-03T21:01:10.247288Z</t>
  </si>
  <si>
    <t>2055-06-13T00:37:14.658297Z</t>
  </si>
  <si>
    <t>2055-06-13T01:35:08.72Z</t>
  </si>
  <si>
    <t>2055-06-13T01:13:14.72Z</t>
  </si>
  <si>
    <t>2055-06-13T01:10:54.005371Z</t>
  </si>
  <si>
    <t>2055-06-13T01:31:27.614368Z</t>
  </si>
  <si>
    <t>2055-06-13T00:37:55.73804Z</t>
  </si>
  <si>
    <t>2055-06-13T00:38:46.703083Z</t>
  </si>
  <si>
    <t>2055-06-13T01:14:26.41266Z</t>
  </si>
  <si>
    <t>2055-06-12T21:10:54.005371Z</t>
  </si>
  <si>
    <t>2055-06-12T21:31:27.614368Z</t>
  </si>
  <si>
    <t>2055-06-12T20:37:55.73804Z</t>
  </si>
  <si>
    <t>2055-06-12T21:14:26.41266Z</t>
  </si>
  <si>
    <t>2055-06-01T16:12:35.906441Z</t>
  </si>
  <si>
    <t>2055-06-01T17:05:37.965Z</t>
  </si>
  <si>
    <t>2055-06-01T16:55:30.965Z</t>
  </si>
  <si>
    <t>2055-06-01T16:50:59.012344Z</t>
  </si>
  <si>
    <t>2055-06-01T17:06:56.585098Z</t>
  </si>
  <si>
    <t>2055-06-01T16:33:53.578051Z</t>
  </si>
  <si>
    <t>2055-06-01T16:33:57.910366Z</t>
  </si>
  <si>
    <t>2055-06-01T16:46:22.546077Z</t>
  </si>
  <si>
    <t>2055-06-01T12:50:59.012344Z</t>
  </si>
  <si>
    <t>2055-06-01T13:06:56.585098Z</t>
  </si>
  <si>
    <t>2055-06-01T12:33:53.578051Z</t>
  </si>
  <si>
    <t>2055-06-01T12:46:22.546077Z</t>
  </si>
  <si>
    <t>2055-06-05T18:19:05.992221Z</t>
  </si>
  <si>
    <t>2055-06-05T19:21:56.059Z</t>
  </si>
  <si>
    <t>2055-06-05T18:58:38.059Z</t>
  </si>
  <si>
    <t>2055-06-05T18:50:03.034938Z</t>
  </si>
  <si>
    <t>2055-06-05T19:02:12.073089Z</t>
  </si>
  <si>
    <t>2055-06-05T18:19:27.356477Z</t>
  </si>
  <si>
    <t>2055-06-05T18:19:33.366347Z</t>
  </si>
  <si>
    <t>2055-06-05T18:44:10.845521Z</t>
  </si>
  <si>
    <t>2055-06-05T14:50:03.034938Z</t>
  </si>
  <si>
    <t>2055-06-05T15:02:12.073089Z</t>
  </si>
  <si>
    <t>2055-06-05T14:19:27.356477Z</t>
  </si>
  <si>
    <t>2055-06-05T14:44:10.845521Z</t>
  </si>
  <si>
    <t>2055-06-07T00:20:52.450599Z</t>
  </si>
  <si>
    <t>2055-06-07T01:24:59.526Z</t>
  </si>
  <si>
    <t>2055-06-07T01:04:52.526Z</t>
  </si>
  <si>
    <t>2055-06-07T00:47:51.143833Z</t>
  </si>
  <si>
    <t>2055-06-07T01:01:01.411642Z</t>
  </si>
  <si>
    <t>2055-06-07T00:28:07.353532Z</t>
  </si>
  <si>
    <t>2055-06-07T00:28:33.469026Z</t>
  </si>
  <si>
    <t>2055-06-07T00:43:02.91569Z</t>
  </si>
  <si>
    <t>2055-06-06T20:47:51.143833Z</t>
  </si>
  <si>
    <t>2055-06-06T21:01:01.411642Z</t>
  </si>
  <si>
    <t>2055-06-06T20:28:07.353532Z</t>
  </si>
  <si>
    <t>2055-06-06T20:43:02.91569Z</t>
  </si>
  <si>
    <t>2055-06-01T21:46:42.024885Z</t>
  </si>
  <si>
    <t>2055-06-01T22:43:00.097Z</t>
  </si>
  <si>
    <t>2055-06-01T22:22:53.097Z</t>
  </si>
  <si>
    <t>2055-06-01T21:56:16.470266Z</t>
  </si>
  <si>
    <t>2055-06-01T22:05:45.849704Z</t>
  </si>
  <si>
    <t>2055-06-01T21:46:54.520486Z</t>
  </si>
  <si>
    <t>2055-06-01T21:47:02.926561Z</t>
  </si>
  <si>
    <t>2055-06-01T17:56:16.470266Z</t>
  </si>
  <si>
    <t>2055-06-01T18:05:45.849704Z</t>
  </si>
  <si>
    <t>2055-06-01T17:46:54.520486Z</t>
  </si>
  <si>
    <t>2055-06-03T00:58:43.033678Z</t>
  </si>
  <si>
    <t>2055-06-03T01:43:24.103Z</t>
  </si>
  <si>
    <t>2055-06-03T01:23:45.103Z</t>
  </si>
  <si>
    <t>2055-06-03T01:16:37.062663Z</t>
  </si>
  <si>
    <t>2055-06-03T01:24:59.139586Z</t>
  </si>
  <si>
    <t>2055-06-03T01:02:34.783848Z</t>
  </si>
  <si>
    <t>2055-06-03T01:03:03.385604Z</t>
  </si>
  <si>
    <t>2055-06-03T01:20:57.18799Z</t>
  </si>
  <si>
    <t>2055-06-02T21:16:37.062663Z</t>
  </si>
  <si>
    <t>2055-06-02T21:24:59.139586Z</t>
  </si>
  <si>
    <t>2055-06-02T21:02:34.783848Z</t>
  </si>
  <si>
    <t>2055-06-02T21:20:57.18799Z</t>
  </si>
  <si>
    <t>2055-06-08T00:58:53.987289Z</t>
  </si>
  <si>
    <t>2055-06-08T01:49:01.048Z</t>
  </si>
  <si>
    <t>2055-06-08T01:29:22.048Z</t>
  </si>
  <si>
    <t>2055-06-08T01:21:10.968796Z</t>
  </si>
  <si>
    <t>2055-06-08T01:40:24.950127Z</t>
  </si>
  <si>
    <t>2055-06-08T01:00:34.39395Z</t>
  </si>
  <si>
    <t>2055-06-08T01:00:44.460531Z</t>
  </si>
  <si>
    <t>2055-06-08T01:16:09.796496Z</t>
  </si>
  <si>
    <t>2055-06-07T21:21:10.968796Z</t>
  </si>
  <si>
    <t>2055-06-07T21:40:24.950127Z</t>
  </si>
  <si>
    <t>2055-06-07T21:00:34.39395Z</t>
  </si>
  <si>
    <t>2055-06-07T21:16:09.796496Z</t>
  </si>
  <si>
    <t>2055-06-03T21:10:50.818436Z</t>
  </si>
  <si>
    <t>2055-06-03T22:05:06.89Z</t>
  </si>
  <si>
    <t>2055-06-03T21:54:27.89Z</t>
  </si>
  <si>
    <t>2055-06-03T21:55:39.948738Z</t>
  </si>
  <si>
    <t>2055-06-03T22:26:47.544651Z</t>
  </si>
  <si>
    <t>2055-06-03T21:11:07.287588Z</t>
  </si>
  <si>
    <t>2055-06-03T21:11:24.14929Z</t>
  </si>
  <si>
    <t>2055-06-03T21:28:22.921888Z</t>
  </si>
  <si>
    <t>2055-06-03T17:55:39.948738Z</t>
  </si>
  <si>
    <t>2055-06-03T18:26:47.544651Z</t>
  </si>
  <si>
    <t>2055-06-03T17:11:07.287588Z</t>
  </si>
  <si>
    <t>2055-06-03T17:28:22.921888Z</t>
  </si>
  <si>
    <t>2055-06-10T21:16:12.278243Z</t>
  </si>
  <si>
    <t>2055-06-10T22:09:42.338Z</t>
  </si>
  <si>
    <t>2055-06-10T21:50:49.338Z</t>
  </si>
  <si>
    <t>2055-06-10T21:47:39.23088Z</t>
  </si>
  <si>
    <t>2055-06-10T22:22:24.924126Z</t>
  </si>
  <si>
    <t>2055-06-10T21:22:34.150414Z</t>
  </si>
  <si>
    <t>2055-06-10T21:22:38.958877Z</t>
  </si>
  <si>
    <t>2055-06-10T21:38:36.41471Z</t>
  </si>
  <si>
    <t>2055-06-10T17:47:39.23088Z</t>
  </si>
  <si>
    <t>2055-06-10T18:22:24.924126Z</t>
  </si>
  <si>
    <t>2055-06-10T17:22:34.150414Z</t>
  </si>
  <si>
    <t>2055-06-10T17:38:36.41471Z</t>
  </si>
  <si>
    <t>2055-06-04T00:00:31.067771Z</t>
  </si>
  <si>
    <t>2055-06-04T00:40:31.132Z</t>
  </si>
  <si>
    <t>2055-06-04T00:35:05.132Z</t>
  </si>
  <si>
    <t>2055-06-04T00:27:50.357427Z</t>
  </si>
  <si>
    <t>2055-06-04T00:42:56.589892Z</t>
  </si>
  <si>
    <t>2055-06-04T00:00:47.374119Z</t>
  </si>
  <si>
    <t>2055-06-04T00:00:59.549695Z</t>
  </si>
  <si>
    <t>2055-06-04T00:22:26.784616Z</t>
  </si>
  <si>
    <t>2055-06-03T20:27:50.357427Z</t>
  </si>
  <si>
    <t>2055-06-03T20:42:56.589892Z</t>
  </si>
  <si>
    <t>2055-06-03T20:00:47.374119Z</t>
  </si>
  <si>
    <t>2055-06-03T20:22:26.784616Z</t>
  </si>
  <si>
    <t>2055-06-01T23:41:09.615506Z</t>
  </si>
  <si>
    <t>2055-06-02T00:36:09.686Z</t>
  </si>
  <si>
    <t>2055-06-02T00:16:44.686Z</t>
  </si>
  <si>
    <t>2055-06-02T00:04:09.41195Z</t>
  </si>
  <si>
    <t>2055-06-02T00:17:18.346153Z</t>
  </si>
  <si>
    <t>2055-06-01T23:41:27.437469Z</t>
  </si>
  <si>
    <t>2055-06-01T23:41:37.791145Z</t>
  </si>
  <si>
    <t>2055-06-01T20:04:09.41195Z</t>
  </si>
  <si>
    <t>2055-06-01T20:17:18.346153Z</t>
  </si>
  <si>
    <t>2055-06-01T19:41:27.437469Z</t>
  </si>
  <si>
    <t>2055-06-04T20:28:22.537737Z</t>
  </si>
  <si>
    <t>2055-06-04T21:23:22.616Z</t>
  </si>
  <si>
    <t>2055-06-04T21:00:03.616Z</t>
  </si>
  <si>
    <t>2055-06-04T20:51:17.88171Z</t>
  </si>
  <si>
    <t>2055-06-04T21:00:37.742035Z</t>
  </si>
  <si>
    <t>2055-06-04T20:28:27.294513Z</t>
  </si>
  <si>
    <t>2055-06-04T20:28:34.451737Z</t>
  </si>
  <si>
    <t>2055-06-04T20:36:16.621487Z</t>
  </si>
  <si>
    <t>2055-06-04T16:51:17.88171Z</t>
  </si>
  <si>
    <t>2055-06-04T17:00:37.742035Z</t>
  </si>
  <si>
    <t>2055-06-04T16:28:27.294513Z</t>
  </si>
  <si>
    <t>2055-06-04T16:36:16.621487Z</t>
  </si>
  <si>
    <t>2055-06-07T17:19:34.694172Z</t>
  </si>
  <si>
    <t>2055-06-07T18:13:10.763Z</t>
  </si>
  <si>
    <t>2055-06-07T17:54:17.763Z</t>
  </si>
  <si>
    <t>2055-06-07T17:55:13.164227Z</t>
  </si>
  <si>
    <t>2055-06-07T18:18:00.90675Z</t>
  </si>
  <si>
    <t>2055-06-07T17:25:54.285671Z</t>
  </si>
  <si>
    <t>2055-06-07T17:26:06.886662Z</t>
  </si>
  <si>
    <t>2055-06-07T17:37:00.553535Z</t>
  </si>
  <si>
    <t>2055-06-07T13:55:13.164227Z</t>
  </si>
  <si>
    <t>2055-06-07T14:18:00.90675Z</t>
  </si>
  <si>
    <t>2055-06-07T13:25:54.285671Z</t>
  </si>
  <si>
    <t>2055-06-07T13:37:00.553535Z</t>
  </si>
  <si>
    <t>2055-06-02T20:42:33.514222Z</t>
  </si>
  <si>
    <t>2055-06-02T22:00:00Z</t>
  </si>
  <si>
    <t>2055-06-02T21:41:28.691173Z</t>
  </si>
  <si>
    <t>2055-06-02T21:53:46.997812Z</t>
  </si>
  <si>
    <t>2055-06-02T21:00:54.236359Z</t>
  </si>
  <si>
    <t>2055-06-02T21:01:04.736283Z</t>
  </si>
  <si>
    <t>2055-06-02T21:41:25.680252Z</t>
  </si>
  <si>
    <t>2055-06-02T17:41:28.691173Z</t>
  </si>
  <si>
    <t>2055-06-02T17:53:46.997812Z</t>
  </si>
  <si>
    <t>2055-06-02T17:00:54.236359Z</t>
  </si>
  <si>
    <t>2055-06-02T17:41:25.680252Z</t>
  </si>
  <si>
    <t>2055-06-02T23:27:11.505175Z</t>
  </si>
  <si>
    <t>2055-06-03T00:46:07.557Z</t>
  </si>
  <si>
    <t>2055-06-03T00:22:54.557Z</t>
  </si>
  <si>
    <t>2055-06-03T00:17:46.779873Z</t>
  </si>
  <si>
    <t>2055-06-03T00:30:47.159824Z</t>
  </si>
  <si>
    <t>2055-06-03T00:10:15.113994Z</t>
  </si>
  <si>
    <t>2055-06-03T00:10:18.586034Z</t>
  </si>
  <si>
    <t>2055-06-02T20:17:46.779873Z</t>
  </si>
  <si>
    <t>2055-06-02T20:30:47.159824Z</t>
  </si>
  <si>
    <t>2055-06-02T20:10:15.113994Z</t>
  </si>
  <si>
    <t>2055-06-04T00:14:27.257221Z</t>
  </si>
  <si>
    <t>2055-06-04T01:12:09.311Z</t>
  </si>
  <si>
    <t>2055-06-04T00:52:02.311Z</t>
  </si>
  <si>
    <t>2055-06-04T00:47:48.463631Z</t>
  </si>
  <si>
    <t>2055-06-04T00:54:51.876364Z</t>
  </si>
  <si>
    <t>2055-06-04T00:22:15.084502Z</t>
  </si>
  <si>
    <t>2055-06-04T00:22:53.66288Z</t>
  </si>
  <si>
    <t>2055-06-04T00:33:51.76387Z</t>
  </si>
  <si>
    <t>2055-06-03T20:47:48.463631Z</t>
  </si>
  <si>
    <t>2055-06-03T20:54:51.876364Z</t>
  </si>
  <si>
    <t>2055-06-03T20:22:15.084502Z</t>
  </si>
  <si>
    <t>2055-06-03T20:33:51.76387Z</t>
  </si>
  <si>
    <t>2055-06-06T23:17:45.286792Z</t>
  </si>
  <si>
    <t>2055-06-07T00:02:58.37Z</t>
  </si>
  <si>
    <t>2055-06-06T23:57:19.37Z</t>
  </si>
  <si>
    <t>2055-06-06T23:47:47.232304Z</t>
  </si>
  <si>
    <t>2055-06-07T00:04:08.487509Z</t>
  </si>
  <si>
    <t>2055-06-06T23:18:07.311824Z</t>
  </si>
  <si>
    <t>2055-06-06T23:18:15.395323Z</t>
  </si>
  <si>
    <t>2055-06-06T23:44:06.466523Z</t>
  </si>
  <si>
    <t>2055-06-06T19:47:47.232304Z</t>
  </si>
  <si>
    <t>2055-06-06T20:04:08.487509Z</t>
  </si>
  <si>
    <t>2055-06-06T19:18:07.311824Z</t>
  </si>
  <si>
    <t>2055-06-06T19:44:06.466523Z</t>
  </si>
  <si>
    <t>2055-06-07T16:06:37.944613Z</t>
  </si>
  <si>
    <t>2055-06-07T17:01:38.023Z</t>
  </si>
  <si>
    <t>2055-06-07T16:41:49.023Z</t>
  </si>
  <si>
    <t>2055-06-07T16:26:34.780538Z</t>
  </si>
  <si>
    <t>2055-06-07T16:35:09.717297Z</t>
  </si>
  <si>
    <t>2055-06-07T16:06:47.288264Z</t>
  </si>
  <si>
    <t>2055-06-07T16:07:34.980887Z</t>
  </si>
  <si>
    <t>2055-06-07T16:12:30.96274Z</t>
  </si>
  <si>
    <t>2055-06-07T12:26:34.780538Z</t>
  </si>
  <si>
    <t>2055-06-07T12:35:09.717297Z</t>
  </si>
  <si>
    <t>2055-06-07T12:06:47.288264Z</t>
  </si>
  <si>
    <t>2055-06-07T12:12:30.96274Z</t>
  </si>
  <si>
    <t>2055-06-04T23:05:46.492089Z</t>
  </si>
  <si>
    <t>2055-06-04T23:45:46.547Z</t>
  </si>
  <si>
    <t>2055-06-04T23:34:28.547Z</t>
  </si>
  <si>
    <t>2055-06-04T23:33:34.394135Z</t>
  </si>
  <si>
    <t>2055-06-04T23:45:12.478679Z</t>
  </si>
  <si>
    <t>2055-06-04T23:13:27.637595Z</t>
  </si>
  <si>
    <t>2055-06-04T23:13:35.366473Z</t>
  </si>
  <si>
    <t>2055-06-04T23:26:54.38102Z</t>
  </si>
  <si>
    <t>2055-06-04T19:33:34.394135Z</t>
  </si>
  <si>
    <t>2055-06-04T19:45:12.478679Z</t>
  </si>
  <si>
    <t>2055-06-04T19:13:27.637595Z</t>
  </si>
  <si>
    <t>2055-06-04T19:26:54.38102Z</t>
  </si>
  <si>
    <t>2055-06-05T01:18:03.033619Z</t>
  </si>
  <si>
    <t>2055-06-05T02:42:08.092Z</t>
  </si>
  <si>
    <t>2055-06-05T02:32:01.092Z</t>
  </si>
  <si>
    <t>2055-06-05T02:05:11.37128Z</t>
  </si>
  <si>
    <t>2055-06-05T02:20:24.827548Z</t>
  </si>
  <si>
    <t>2055-06-05T01:37:34.508667Z</t>
  </si>
  <si>
    <t>2055-06-05T01:37:39.233314Z</t>
  </si>
  <si>
    <t>2055-06-05T01:51:50.472027Z</t>
  </si>
  <si>
    <t>2055-06-04T22:05:11.37128Z</t>
  </si>
  <si>
    <t>2055-06-04T22:20:24.827548Z</t>
  </si>
  <si>
    <t>2055-06-04T21:37:34.508667Z</t>
  </si>
  <si>
    <t>2055-06-04T21:51:50.472027Z</t>
  </si>
  <si>
    <t>2055-06-03T02:01:31.546891Z</t>
  </si>
  <si>
    <t>2055-06-03T03:00:49.619Z</t>
  </si>
  <si>
    <t>2055-06-03T02:42:31.619Z</t>
  </si>
  <si>
    <t>2055-06-03T02:44:22.545288Z</t>
  </si>
  <si>
    <t>2055-06-03T03:00:18.383565Z</t>
  </si>
  <si>
    <t>2055-06-03T02:05:34.175896Z</t>
  </si>
  <si>
    <t>2055-06-03T02:05:36.958657Z</t>
  </si>
  <si>
    <t>2055-06-03T02:29:53.288152Z</t>
  </si>
  <si>
    <t>2055-06-02T22:44:22.545288Z</t>
  </si>
  <si>
    <t>2055-06-02T23:00:18.383565Z</t>
  </si>
  <si>
    <t>2055-06-02T22:05:34.175896Z</t>
  </si>
  <si>
    <t>2055-06-02T22:29:53.288152Z</t>
  </si>
  <si>
    <t>2055-06-05T15:28:44.042862Z</t>
  </si>
  <si>
    <t>2055-06-05T16:16:21.135Z</t>
  </si>
  <si>
    <t>2055-06-05T16:02:28.135Z</t>
  </si>
  <si>
    <t>2055-06-05T15:53:28.822841Z</t>
  </si>
  <si>
    <t>2055-06-05T16:00:09.701758Z</t>
  </si>
  <si>
    <t>2055-06-05T15:37:34.474478Z</t>
  </si>
  <si>
    <t>2055-06-05T15:37:45.53222Z</t>
  </si>
  <si>
    <t>2055-06-05T15:46:14.949984Z</t>
  </si>
  <si>
    <t>2055-06-05T11:53:28.822841Z</t>
  </si>
  <si>
    <t>2055-06-05T12:00:09.701758Z</t>
  </si>
  <si>
    <t>2055-06-05T11:37:34.474478Z</t>
  </si>
  <si>
    <t>2055-06-05T11:46:14.949984Z</t>
  </si>
  <si>
    <t>2055-06-05T23:09:44.229121Z</t>
  </si>
  <si>
    <t>2055-06-06T00:10:17.291Z</t>
  </si>
  <si>
    <t>2055-06-05T23:45:36.291Z</t>
  </si>
  <si>
    <t>2055-06-05T23:47:03.797443Z</t>
  </si>
  <si>
    <t>2055-06-05T23:47:11.081778Z</t>
  </si>
  <si>
    <t>2055-06-05T23:22:59.372685Z</t>
  </si>
  <si>
    <t>2055-06-05T23:23:19.987613Z</t>
  </si>
  <si>
    <t>2055-06-05T23:30:11.96664Z</t>
  </si>
  <si>
    <t>2055-06-05T19:47:03.797443Z</t>
  </si>
  <si>
    <t>2055-06-05T19:47:11.081778Z</t>
  </si>
  <si>
    <t>2055-06-05T19:22:59.372685Z</t>
  </si>
  <si>
    <t>2055-06-05T19:30:11.96664Z</t>
  </si>
  <si>
    <t>Etan</t>
  </si>
  <si>
    <t>2055-06-09T13:36:49.412074Z</t>
  </si>
  <si>
    <t>2055-06-09T15:45:00Z</t>
  </si>
  <si>
    <t>2055-06-09T15:10:44.442548Z</t>
  </si>
  <si>
    <t>2055-06-09T15:17:22.901392Z</t>
  </si>
  <si>
    <t>2055-06-09T14:46:14.249139Z</t>
  </si>
  <si>
    <t>2055-06-09T14:46:16.443545Z</t>
  </si>
  <si>
    <t>2055-06-09T15:08:42.395791Z</t>
  </si>
  <si>
    <t>2055-06-09T11:10:44.442548Z</t>
  </si>
  <si>
    <t>2055-06-09T11:17:22.901392Z</t>
  </si>
  <si>
    <t>2055-06-09T10:46:14.249139Z</t>
  </si>
  <si>
    <t>2055-06-09T11:08:42.395791Z</t>
  </si>
  <si>
    <t>2055-06-04T16:06:47.780603Z</t>
  </si>
  <si>
    <t>2055-06-04T17:11:56.897Z</t>
  </si>
  <si>
    <t>2055-06-04T16:53:03.897Z</t>
  </si>
  <si>
    <t>2055-06-04T16:37:59.525146Z</t>
  </si>
  <si>
    <t>2055-06-04T16:56:38.732738Z</t>
  </si>
  <si>
    <t>2055-06-04T16:07:07.248105Z</t>
  </si>
  <si>
    <t>2055-06-04T16:07:43.543713Z</t>
  </si>
  <si>
    <t>2055-06-04T16:37:43.416738Z</t>
  </si>
  <si>
    <t>2055-06-04T12:37:59.525146Z</t>
  </si>
  <si>
    <t>2055-06-04T12:56:38.732738Z</t>
  </si>
  <si>
    <t>2055-06-04T12:07:07.248105Z</t>
  </si>
  <si>
    <t>2055-06-04T12:37:43.416738Z</t>
  </si>
  <si>
    <t>2055-06-05T20:29:30.384185Z</t>
  </si>
  <si>
    <t>2055-06-05T21:55:30.462Z</t>
  </si>
  <si>
    <t>2055-06-05T21:27:17.462Z</t>
  </si>
  <si>
    <t>2055-06-05T21:07:01.945798Z</t>
  </si>
  <si>
    <t>2055-06-05T21:23:43.926513Z</t>
  </si>
  <si>
    <t>2055-06-05T20:45:47.341535Z</t>
  </si>
  <si>
    <t>2055-06-05T20:45:54.953111Z</t>
  </si>
  <si>
    <t>2055-06-05T21:06:42.20134Z</t>
  </si>
  <si>
    <t>2055-06-05T17:07:01.945798Z</t>
  </si>
  <si>
    <t>2055-06-05T17:23:43.926513Z</t>
  </si>
  <si>
    <t>2055-06-05T16:45:47.341535Z</t>
  </si>
  <si>
    <t>2055-06-05T17:06:42.20134Z</t>
  </si>
  <si>
    <t>2055-06-03T19:42:07.768648Z</t>
  </si>
  <si>
    <t>2055-06-03T20:23:54.835Z</t>
  </si>
  <si>
    <t>2055-06-03T20:20:01.835Z</t>
  </si>
  <si>
    <t>2055-06-03T20:06:44.933172Z</t>
  </si>
  <si>
    <t>2055-06-03T20:17:46.580568Z</t>
  </si>
  <si>
    <t>2055-06-03T19:42:27.285099Z</t>
  </si>
  <si>
    <t>2055-06-03T19:43:24.793191Z</t>
  </si>
  <si>
    <t>2055-06-03T19:45:46.363921Z</t>
  </si>
  <si>
    <t>2055-06-03T16:06:44.933172Z</t>
  </si>
  <si>
    <t>2055-06-03T16:17:46.580568Z</t>
  </si>
  <si>
    <t>2055-06-03T15:42:27.285099Z</t>
  </si>
  <si>
    <t>2055-06-03T15:45:46.363921Z</t>
  </si>
  <si>
    <t>2055-06-11T22:36:17.676246Z</t>
  </si>
  <si>
    <t>2055-06-11T23:19:27.736Z</t>
  </si>
  <si>
    <t>2055-06-11T23:10:34.736Z</t>
  </si>
  <si>
    <t>2055-06-11T23:07:14.58626Z</t>
  </si>
  <si>
    <t>2055-06-11T23:19:21.767142Z</t>
  </si>
  <si>
    <t>2055-06-11T22:42:34.521715Z</t>
  </si>
  <si>
    <t>2055-06-11T22:43:25.518574Z</t>
  </si>
  <si>
    <t>2055-06-11T22:47:21.102611Z</t>
  </si>
  <si>
    <t>2055-06-11T19:07:14.58626Z</t>
  </si>
  <si>
    <t>2055-06-11T19:19:21.767142Z</t>
  </si>
  <si>
    <t>2055-06-11T18:42:34.521715Z</t>
  </si>
  <si>
    <t>2055-06-11T18:47:21.102611Z</t>
  </si>
  <si>
    <t>2055-06-05T00:37:26.148991Z</t>
  </si>
  <si>
    <t>2055-06-05T01:34:54.223Z</t>
  </si>
  <si>
    <t>2055-06-05T01:16:36.223Z</t>
  </si>
  <si>
    <t>2055-06-05T01:11:09.385391Z</t>
  </si>
  <si>
    <t>2055-06-05T01:17:06.876366Z</t>
  </si>
  <si>
    <t>2055-06-05T00:53:07.506349Z</t>
  </si>
  <si>
    <t>2055-06-05T00:53:15.928878Z</t>
  </si>
  <si>
    <t>2055-06-05T01:05:42.876476Z</t>
  </si>
  <si>
    <t>2055-06-04T21:11:09.385391Z</t>
  </si>
  <si>
    <t>2055-06-04T21:17:06.876366Z</t>
  </si>
  <si>
    <t>2055-06-04T20:53:07.506349Z</t>
  </si>
  <si>
    <t>2055-06-04T21:05:42.876476Z</t>
  </si>
  <si>
    <t>2055-06-04T23:22:38.543906Z</t>
  </si>
  <si>
    <t>2055-06-05T00:23:42.655Z</t>
  </si>
  <si>
    <t>2055-06-05T00:05:24.655Z</t>
  </si>
  <si>
    <t>2055-06-04T23:58:47.444259Z</t>
  </si>
  <si>
    <t>2055-06-05T00:05:09.8041Z</t>
  </si>
  <si>
    <t>2055-06-04T23:40:07.460678Z</t>
  </si>
  <si>
    <t>2055-06-04T23:40:09.441868Z</t>
  </si>
  <si>
    <t>2055-06-04T23:46:27.75624Z</t>
  </si>
  <si>
    <t>2055-06-04T19:58:47.444259Z</t>
  </si>
  <si>
    <t>2055-06-04T20:05:09.8041Z</t>
  </si>
  <si>
    <t>2055-06-04T19:40:07.460678Z</t>
  </si>
  <si>
    <t>2055-06-04T19:46:27.75624Z</t>
  </si>
  <si>
    <t>2055-06-01T21:55:24.613245Z</t>
  </si>
  <si>
    <t>2055-06-01T22:50:25.435Z</t>
  </si>
  <si>
    <t>2055-06-01T22:30:37.435Z</t>
  </si>
  <si>
    <t>2055-06-01T22:13:09.734125Z</t>
  </si>
  <si>
    <t>2055-06-01T22:33:54.600972Z</t>
  </si>
  <si>
    <t>2055-06-01T21:55:47.546801Z</t>
  </si>
  <si>
    <t>2055-06-01T21:55:55.044375Z</t>
  </si>
  <si>
    <t>2055-06-01T22:08:11.775513Z</t>
  </si>
  <si>
    <t>2055-06-01T18:13:09.734125Z</t>
  </si>
  <si>
    <t>2055-06-01T18:33:54.600972Z</t>
  </si>
  <si>
    <t>2055-06-01T17:55:47.546801Z</t>
  </si>
  <si>
    <t>2055-06-01T18:08:11.775513Z</t>
  </si>
  <si>
    <t>2055-06-05T19:54:12.464703Z</t>
  </si>
  <si>
    <t>2055-06-05T20:43:03.517Z</t>
  </si>
  <si>
    <t>2055-06-05T20:24:10.517Z</t>
  </si>
  <si>
    <t>2055-06-05T20:17:04.523589Z</t>
  </si>
  <si>
    <t>2055-06-05T20:33:46.776777Z</t>
  </si>
  <si>
    <t>2055-06-05T19:57:34.254903Z</t>
  </si>
  <si>
    <t>2055-06-05T19:57:42.129959Z</t>
  </si>
  <si>
    <t>2055-06-05T20:14:04.352749Z</t>
  </si>
  <si>
    <t>2055-06-05T16:17:04.523589Z</t>
  </si>
  <si>
    <t>2055-06-05T16:33:46.776777Z</t>
  </si>
  <si>
    <t>2055-06-05T15:57:34.254903Z</t>
  </si>
  <si>
    <t>2055-06-05T16:14:04.352749Z</t>
  </si>
  <si>
    <t>2055-06-01T14:41:03.46268Z</t>
  </si>
  <si>
    <t>2055-06-01T16:15:00Z</t>
  </si>
  <si>
    <t>2055-06-01T15:43:52.861777Z</t>
  </si>
  <si>
    <t>2055-06-01T16:05:01.170932Z</t>
  </si>
  <si>
    <t>2055-06-01T15:15:14.544401Z</t>
  </si>
  <si>
    <t>2055-06-01T15:15:40.277331Z</t>
  </si>
  <si>
    <t>2055-06-01T15:19:45.591711Z</t>
  </si>
  <si>
    <t>2055-06-01T11:43:52.861777Z</t>
  </si>
  <si>
    <t>2055-06-01T12:05:01.170932Z</t>
  </si>
  <si>
    <t>2055-06-01T11:15:14.544401Z</t>
  </si>
  <si>
    <t>2055-06-01T11:19:45.591711Z</t>
  </si>
  <si>
    <t>2055-06-02T16:11:15.424029Z</t>
  </si>
  <si>
    <t>2055-06-02T17:02:50.473Z</t>
  </si>
  <si>
    <t>2055-06-02T16:40:56.473Z</t>
  </si>
  <si>
    <t>2055-06-02T16:36:49.406401Z</t>
  </si>
  <si>
    <t>2055-06-02T16:44:59.634662Z</t>
  </si>
  <si>
    <t>2055-06-02T16:17:14.715726Z</t>
  </si>
  <si>
    <t>2055-06-02T16:17:36.319619Z</t>
  </si>
  <si>
    <t>2055-06-02T16:24:41.510193Z</t>
  </si>
  <si>
    <t>2055-06-02T12:36:49.406401Z</t>
  </si>
  <si>
    <t>2055-06-02T12:44:59.634662Z</t>
  </si>
  <si>
    <t>2055-06-02T12:17:14.715726Z</t>
  </si>
  <si>
    <t>2055-06-02T12:24:41.510193Z</t>
  </si>
  <si>
    <t>2055-06-05T17:12:31.061042Z</t>
  </si>
  <si>
    <t>2055-06-05T18:41:47.147Z</t>
  </si>
  <si>
    <t>2055-06-05T18:18:29.147Z</t>
  </si>
  <si>
    <t>2055-06-05T17:50:51.669952Z</t>
  </si>
  <si>
    <t>2055-06-05T18:31:56.703657Z</t>
  </si>
  <si>
    <t>2055-06-05T17:23:27.318802Z</t>
  </si>
  <si>
    <t>2055-06-05T17:23:49.691911Z</t>
  </si>
  <si>
    <t>2055-06-05T17:48:34.080446Z</t>
  </si>
  <si>
    <t>2055-06-05T13:50:51.669952Z</t>
  </si>
  <si>
    <t>2055-06-05T14:31:56.703657Z</t>
  </si>
  <si>
    <t>2055-06-05T13:23:27.318802Z</t>
  </si>
  <si>
    <t>2055-06-05T13:48:34.080446Z</t>
  </si>
  <si>
    <t>2055-06-02T21:52:43.114124Z</t>
  </si>
  <si>
    <t>2055-06-02T23:07:00.173Z</t>
  </si>
  <si>
    <t>2055-06-02T22:46:53.173Z</t>
  </si>
  <si>
    <t>2055-06-02T22:44:46.36198Z</t>
  </si>
  <si>
    <t>2055-06-02T22:54:37.783981Z</t>
  </si>
  <si>
    <t>2055-06-02T22:01:14.489734Z</t>
  </si>
  <si>
    <t>2055-06-02T22:01:19.564749Z</t>
  </si>
  <si>
    <t>2055-06-02T18:44:46.36198Z</t>
  </si>
  <si>
    <t>2055-06-02T18:54:37.783981Z</t>
  </si>
  <si>
    <t>2055-06-02T18:01:14.489734Z</t>
  </si>
  <si>
    <t>2055-06-07T23:36:56.257566Z</t>
  </si>
  <si>
    <t>2055-06-08T00:36:05.329Z</t>
  </si>
  <si>
    <t>2055-06-08T00:14:11.329Z</t>
  </si>
  <si>
    <t>2055-06-08T00:02:03.752294Z</t>
  </si>
  <si>
    <t>2055-06-08T00:11:41.749986Z</t>
  </si>
  <si>
    <t>2055-06-07T23:50:27.405249Z</t>
  </si>
  <si>
    <t>2055-06-07T23:50:36.898639Z</t>
  </si>
  <si>
    <t>2055-06-07T23:55:53.566948Z</t>
  </si>
  <si>
    <t>2055-06-07T20:02:03.752294Z</t>
  </si>
  <si>
    <t>2055-06-07T20:11:41.749986Z</t>
  </si>
  <si>
    <t>2055-06-07T19:50:27.405249Z</t>
  </si>
  <si>
    <t>2055-06-07T19:55:53.566948Z</t>
  </si>
  <si>
    <t>2055-06-01T23:21:21.250176Z</t>
  </si>
  <si>
    <t>2055-06-02T00:24:21.317Z</t>
  </si>
  <si>
    <t>2055-06-02T00:05:28.317Z</t>
  </si>
  <si>
    <t>2055-06-01T23:50:28.943081Z</t>
  </si>
  <si>
    <t>2055-06-02T00:01:04.445614Z</t>
  </si>
  <si>
    <t>2055-06-01T23:21:27.46034Z</t>
  </si>
  <si>
    <t>2055-06-01T23:21:49.271461Z</t>
  </si>
  <si>
    <t>2055-06-01T23:31:16.574328Z</t>
  </si>
  <si>
    <t>2055-06-01T19:50:28.943081Z</t>
  </si>
  <si>
    <t>2055-06-01T20:01:04.445614Z</t>
  </si>
  <si>
    <t>2055-06-01T19:21:27.46034Z</t>
  </si>
  <si>
    <t>2055-06-01T19:31:16.574328Z</t>
  </si>
  <si>
    <t>2055-06-03T00:15:29.451425Z</t>
  </si>
  <si>
    <t>2055-06-03T01:17:31.567Z</t>
  </si>
  <si>
    <t>2055-06-03T00:57:24.567Z</t>
  </si>
  <si>
    <t>2055-06-03T00:50:43.081731Z</t>
  </si>
  <si>
    <t>2055-06-03T01:03:29.466391Z</t>
  </si>
  <si>
    <t>2055-06-03T00:24:07.398758Z</t>
  </si>
  <si>
    <t>2055-06-03T00:24:14.982748Z</t>
  </si>
  <si>
    <t>2055-06-03T00:30:59.880876Z</t>
  </si>
  <si>
    <t>2055-06-02T20:50:43.081731Z</t>
  </si>
  <si>
    <t>2055-06-02T21:03:29.466391Z</t>
  </si>
  <si>
    <t>2055-06-02T20:24:07.398758Z</t>
  </si>
  <si>
    <t>2055-06-02T20:30:59.880876Z</t>
  </si>
  <si>
    <t>2055-06-05T22:21:39.018739Z</t>
  </si>
  <si>
    <t>2055-06-05T23:26:38.108Z</t>
  </si>
  <si>
    <t>2055-06-05T23:04:44.108Z</t>
  </si>
  <si>
    <t>2055-06-05T23:08:48.0407Z</t>
  </si>
  <si>
    <t>2055-06-05T23:25:45.928101Z</t>
  </si>
  <si>
    <t>2055-06-05T22:34:27.472918Z</t>
  </si>
  <si>
    <t>2055-06-05T22:34:30.893279Z</t>
  </si>
  <si>
    <t>2055-06-05T22:40:21.681691Z</t>
  </si>
  <si>
    <t>2055-06-05T19:08:48.0407Z</t>
  </si>
  <si>
    <t>2055-06-05T19:25:45.928101Z</t>
  </si>
  <si>
    <t>2055-06-05T18:34:27.472918Z</t>
  </si>
  <si>
    <t>2055-06-05T18:40:21.681691Z</t>
  </si>
  <si>
    <t>2055-06-07T23:49:31.004293Z</t>
  </si>
  <si>
    <t>2055-06-08T00:50:45.054Z</t>
  </si>
  <si>
    <t>2055-06-08T00:41:06.054Z</t>
  </si>
  <si>
    <t>2055-06-08T00:44:04.720346Z</t>
  </si>
  <si>
    <t>2055-06-08T00:59:32.079786Z</t>
  </si>
  <si>
    <t>2055-06-08T00:01:14.806531Z</t>
  </si>
  <si>
    <t>2055-06-08T00:01:27.550136Z</t>
  </si>
  <si>
    <t>2055-06-08T00:43:45.758408Z</t>
  </si>
  <si>
    <t>2055-06-07T20:44:04.720346Z</t>
  </si>
  <si>
    <t>2055-06-07T20:59:32.079786Z</t>
  </si>
  <si>
    <t>2055-06-07T20:01:14.806531Z</t>
  </si>
  <si>
    <t>2055-06-07T20:43:45.758408Z</t>
  </si>
  <si>
    <t>2055-06-08T10:14:38.985411Z</t>
  </si>
  <si>
    <t>2055-06-08T13:00:00Z</t>
  </si>
  <si>
    <t>2055-06-08T12:41:53.434495Z</t>
  </si>
  <si>
    <t>2055-06-08T13:00:02.145723Z</t>
  </si>
  <si>
    <t>2055-06-08T12:17:14.056493Z</t>
  </si>
  <si>
    <t>2055-06-08T12:17:40.565795Z</t>
  </si>
  <si>
    <t>2055-06-08T12:42:05.336166Z</t>
  </si>
  <si>
    <t>2055-06-08T08:41:53.434495Z</t>
  </si>
  <si>
    <t>2055-06-08T09:00:02.145723Z</t>
  </si>
  <si>
    <t>2055-06-08T08:17:14.056493Z</t>
  </si>
  <si>
    <t>2055-06-08T08:42:05.336166Z</t>
  </si>
  <si>
    <t>2055-06-05T23:43:16.04341Z</t>
  </si>
  <si>
    <t>2055-06-06T00:56:19.109Z</t>
  </si>
  <si>
    <t>2055-06-06T00:31:38.109Z</t>
  </si>
  <si>
    <t>2055-06-06T00:03:32.538344Z</t>
  </si>
  <si>
    <t>2055-06-06T00:12:13.345894Z</t>
  </si>
  <si>
    <t>2055-06-05T23:45:07.937891Z</t>
  </si>
  <si>
    <t>2055-06-05T23:45:15.240738Z</t>
  </si>
  <si>
    <t>2055-06-05T23:57:00.150241Z</t>
  </si>
  <si>
    <t>2055-06-05T20:03:32.538344Z</t>
  </si>
  <si>
    <t>2055-06-05T20:12:13.345894Z</t>
  </si>
  <si>
    <t>2055-06-05T19:45:07.937891Z</t>
  </si>
  <si>
    <t>2055-06-05T19:57:00.150241Z</t>
  </si>
  <si>
    <t>2055-06-01T22:31:42.771859Z</t>
  </si>
  <si>
    <t>2055-06-01T23:29:01.871Z</t>
  </si>
  <si>
    <t>2055-06-01T23:18:54.871Z</t>
  </si>
  <si>
    <t>2055-06-01T22:59:31.900695Z</t>
  </si>
  <si>
    <t>2055-06-01T23:16:51.858521Z</t>
  </si>
  <si>
    <t>2055-06-01T22:44:27.341968Z</t>
  </si>
  <si>
    <t>2055-06-01T22:44:30.558522Z</t>
  </si>
  <si>
    <t>2055-06-01T22:52:11.755218Z</t>
  </si>
  <si>
    <t>2055-06-01T18:59:31.900695Z</t>
  </si>
  <si>
    <t>2055-06-01T19:16:51.858521Z</t>
  </si>
  <si>
    <t>2055-06-01T18:44:27.341968Z</t>
  </si>
  <si>
    <t>2055-06-01T18:52:11.755218Z</t>
  </si>
  <si>
    <t>2055-06-05T22:21:13.575227Z</t>
  </si>
  <si>
    <t>2055-06-05T23:27:18.69Z</t>
  </si>
  <si>
    <t>2055-06-05T23:05:24.69Z</t>
  </si>
  <si>
    <t>2055-06-05T23:12:01.720739Z</t>
  </si>
  <si>
    <t>2055-06-05T23:25:08.465425Z</t>
  </si>
  <si>
    <t>2055-06-05T22:24:27.619582Z</t>
  </si>
  <si>
    <t>2055-06-05T22:24:31.122729Z</t>
  </si>
  <si>
    <t>2055-06-05T22:28:31.926884Z</t>
  </si>
  <si>
    <t>2055-06-05T19:12:01.720739Z</t>
  </si>
  <si>
    <t>2055-06-05T19:25:08.465425Z</t>
  </si>
  <si>
    <t>2055-06-05T18:24:27.619582Z</t>
  </si>
  <si>
    <t>2055-06-05T18:28:31.926884Z</t>
  </si>
  <si>
    <t>2055-06-01T21:33:58.848535Z</t>
  </si>
  <si>
    <t>2055-06-01T23:00:00Z</t>
  </si>
  <si>
    <t>2055-06-01T22:52:36.796823Z</t>
  </si>
  <si>
    <t>2055-06-01T23:06:23.446009Z</t>
  </si>
  <si>
    <t>2055-06-01T22:20:07.577662Z</t>
  </si>
  <si>
    <t>2055-06-01T22:20:13.520954Z</t>
  </si>
  <si>
    <t>2055-06-01T22:39:39.633638Z</t>
  </si>
  <si>
    <t>2055-06-01T18:52:36.796823Z</t>
  </si>
  <si>
    <t>2055-06-01T19:06:23.446009Z</t>
  </si>
  <si>
    <t>2055-06-01T18:20:07.577662Z</t>
  </si>
  <si>
    <t>2055-06-01T18:39:39.633638Z</t>
  </si>
  <si>
    <t>2055-06-01T16:04:46.846935Z</t>
  </si>
  <si>
    <t>2055-06-01T17:01:50.909Z</t>
  </si>
  <si>
    <t>2055-06-01T16:38:32.909Z</t>
  </si>
  <si>
    <t>2055-06-01T16:59:32.067009Z</t>
  </si>
  <si>
    <t>2055-06-01T17:03:58.618245Z</t>
  </si>
  <si>
    <t>2055-06-01T16:10:34.127455Z</t>
  </si>
  <si>
    <t>2055-06-01T16:10:37.970084Z</t>
  </si>
  <si>
    <t>2055-06-01T17:00:26.531179Z</t>
  </si>
  <si>
    <t>2055-06-01T12:59:32.067009Z</t>
  </si>
  <si>
    <t>2055-06-01T13:03:58.618245Z</t>
  </si>
  <si>
    <t>2055-06-01T12:10:34.127455Z</t>
  </si>
  <si>
    <t>2055-06-01T13:00:26.531179Z</t>
  </si>
  <si>
    <t>2055-06-01T22:03:43.873652Z</t>
  </si>
  <si>
    <t>2055-06-01T22:55:18.965Z</t>
  </si>
  <si>
    <t>2055-06-01T22:40:11.965Z</t>
  </si>
  <si>
    <t>2055-06-01T22:29:24.537929Z</t>
  </si>
  <si>
    <t>2055-06-01T22:44:37.082559Z</t>
  </si>
  <si>
    <t>2055-06-01T22:19:27.772382Z</t>
  </si>
  <si>
    <t>2055-06-01T22:19:31.530038Z</t>
  </si>
  <si>
    <t>2055-06-01T22:27:44.404516Z</t>
  </si>
  <si>
    <t>2055-06-01T18:29:24.537929Z</t>
  </si>
  <si>
    <t>2055-06-01T18:44:37.082559Z</t>
  </si>
  <si>
    <t>2055-06-01T18:19:27.772382Z</t>
  </si>
  <si>
    <t>2055-06-01T18:27:44.404516Z</t>
  </si>
  <si>
    <t>2055-06-02T15:33:13.11589Z</t>
  </si>
  <si>
    <t>2055-06-02T16:28:13.182Z</t>
  </si>
  <si>
    <t>2055-06-02T16:04:00.182Z</t>
  </si>
  <si>
    <t>2055-06-02T15:49:24.257194Z</t>
  </si>
  <si>
    <t>2055-06-02T15:59:37.511322Z</t>
  </si>
  <si>
    <t>2055-06-02T15:35:07.365703Z</t>
  </si>
  <si>
    <t>2055-06-02T15:35:09.961035Z</t>
  </si>
  <si>
    <t>2055-06-02T15:44:06.754212Z</t>
  </si>
  <si>
    <t>2055-06-02T11:49:24.257194Z</t>
  </si>
  <si>
    <t>2055-06-02T11:59:37.511322Z</t>
  </si>
  <si>
    <t>2055-06-02T11:35:07.365703Z</t>
  </si>
  <si>
    <t>2055-06-02T11:44:06.754212Z</t>
  </si>
  <si>
    <t>2055-06-03T23:33:25.800312Z</t>
  </si>
  <si>
    <t>2055-06-04T00:19:33.856Z</t>
  </si>
  <si>
    <t>2055-06-04T00:15:40.856Z</t>
  </si>
  <si>
    <t>2055-06-03T23:54:47.584909Z</t>
  </si>
  <si>
    <t>2055-06-04T00:10:01.975573Z</t>
  </si>
  <si>
    <t>2055-06-03T23:33:47.522386Z</t>
  </si>
  <si>
    <t>2055-06-03T23:33:52.354293Z</t>
  </si>
  <si>
    <t>2055-06-03T19:54:47.584909Z</t>
  </si>
  <si>
    <t>2055-06-03T20:10:01.975573Z</t>
  </si>
  <si>
    <t>2055-06-03T19:33:47.522386Z</t>
  </si>
  <si>
    <t>2055-06-11T13:33:39.620531Z</t>
  </si>
  <si>
    <t>2055-06-11T14:43:08.726Z</t>
  </si>
  <si>
    <t>2055-06-11T14:27:29.726Z</t>
  </si>
  <si>
    <t>2055-06-11T15:01:28.151517Z</t>
  </si>
  <si>
    <t>2055-06-11T15:07:34.51496Z</t>
  </si>
  <si>
    <t>2055-06-11T13:36:14.208231Z</t>
  </si>
  <si>
    <t>2055-06-11T13:36:19.25012Z</t>
  </si>
  <si>
    <t>2055-06-11T14:13:10.408107Z</t>
  </si>
  <si>
    <t>2055-06-11T11:01:28.151517Z</t>
  </si>
  <si>
    <t>2055-06-11T11:07:34.51496Z</t>
  </si>
  <si>
    <t>2055-06-11T09:36:14.208231Z</t>
  </si>
  <si>
    <t>2055-06-11T10:13:10.408107Z</t>
  </si>
  <si>
    <t>2055-06-03T00:02:42.511197Z</t>
  </si>
  <si>
    <t>2055-06-03T00:55:35.579Z</t>
  </si>
  <si>
    <t>2055-06-03T00:35:28.579Z</t>
  </si>
  <si>
    <t>2055-06-03T00:24:59.676815Z</t>
  </si>
  <si>
    <t>2055-06-03T00:30:10.333969Z</t>
  </si>
  <si>
    <t>2055-06-03T00:11:35.272344Z</t>
  </si>
  <si>
    <t>2055-06-03T00:12:56.102834Z</t>
  </si>
  <si>
    <t>2055-06-03T00:19:20.935837Z</t>
  </si>
  <si>
    <t>2055-06-02T20:24:59.676815Z</t>
  </si>
  <si>
    <t>2055-06-02T20:30:10.333969Z</t>
  </si>
  <si>
    <t>2055-06-02T20:11:35.272344Z</t>
  </si>
  <si>
    <t>2055-06-02T20:19:20.935837Z</t>
  </si>
  <si>
    <t>2055-06-06T00:29:33.353467Z</t>
  </si>
  <si>
    <t>2055-06-06T01:37:29.436Z</t>
  </si>
  <si>
    <t>2055-06-06T01:22:48.436Z</t>
  </si>
  <si>
    <t>2055-06-06T01:36:40.985208Z</t>
  </si>
  <si>
    <t>2055-06-06T01:56:05.806968Z</t>
  </si>
  <si>
    <t>2055-06-06T00:34:27.552513Z</t>
  </si>
  <si>
    <t>2055-06-06T00:34:33.96329Z</t>
  </si>
  <si>
    <t>2055-06-06T01:31:33.869635Z</t>
  </si>
  <si>
    <t>2055-06-05T21:36:40.985208Z</t>
  </si>
  <si>
    <t>2055-06-05T21:56:05.806968Z</t>
  </si>
  <si>
    <t>2055-06-05T20:34:27.552513Z</t>
  </si>
  <si>
    <t>2055-06-05T21:31:33.869635Z</t>
  </si>
  <si>
    <t>2055-06-08T22:29:28.314479Z</t>
  </si>
  <si>
    <t>2055-06-08T23:18:19.375Z</t>
  </si>
  <si>
    <t>2055-06-08T23:03:40.375Z</t>
  </si>
  <si>
    <t>2055-06-08T22:55:45.002803Z</t>
  </si>
  <si>
    <t>2055-06-08T23:11:51.675664Z</t>
  </si>
  <si>
    <t>2055-06-08T22:35:34.41706Z</t>
  </si>
  <si>
    <t>2055-06-08T22:35:43.812004Z</t>
  </si>
  <si>
    <t>2055-06-08T22:47:01.966831Z</t>
  </si>
  <si>
    <t>2055-06-08T18:55:45.002803Z</t>
  </si>
  <si>
    <t>2055-06-08T19:11:51.675664Z</t>
  </si>
  <si>
    <t>2055-06-08T18:35:34.41706Z</t>
  </si>
  <si>
    <t>2055-06-08T18:47:01.966831Z</t>
  </si>
  <si>
    <t>2055-06-12T14:26:08.373097Z</t>
  </si>
  <si>
    <t>2055-06-12T15:11:29.463Z</t>
  </si>
  <si>
    <t>2055-06-12T14:57:36.463Z</t>
  </si>
  <si>
    <t>2055-06-12T15:03:47.26797Z</t>
  </si>
  <si>
    <t>2055-06-12T15:11:58.424758Z</t>
  </si>
  <si>
    <t>2055-06-12T14:32:14.09336Z</t>
  </si>
  <si>
    <t>2055-06-12T14:32:28.366844Z</t>
  </si>
  <si>
    <t>2055-06-12T14:35:07.073074Z</t>
  </si>
  <si>
    <t>2055-06-12T11:03:47.26797Z</t>
  </si>
  <si>
    <t>2055-06-12T11:11:58.424758Z</t>
  </si>
  <si>
    <t>2055-06-12T10:32:14.09336Z</t>
  </si>
  <si>
    <t>2055-06-12T10:35:07.073074Z</t>
  </si>
  <si>
    <t>2055-06-05T21:28:21.829022Z</t>
  </si>
  <si>
    <t>2055-06-05T22:27:16.899Z</t>
  </si>
  <si>
    <t>2055-06-05T22:07:09.899Z</t>
  </si>
  <si>
    <t>2055-06-05T22:04:11.359627Z</t>
  </si>
  <si>
    <t>2055-06-05T22:17:58.39479Z</t>
  </si>
  <si>
    <t>2055-06-05T21:28:27.354868Z</t>
  </si>
  <si>
    <t>2055-06-05T21:28:40.795716Z</t>
  </si>
  <si>
    <t>2055-06-05T21:45:43.916816Z</t>
  </si>
  <si>
    <t>2055-06-05T18:04:11.359627Z</t>
  </si>
  <si>
    <t>2055-06-05T18:17:58.39479Z</t>
  </si>
  <si>
    <t>2055-06-05T17:28:27.354868Z</t>
  </si>
  <si>
    <t>2055-06-05T17:45:43.916816Z</t>
  </si>
  <si>
    <t>2055-06-01T23:13:59.10779Z</t>
  </si>
  <si>
    <t>2055-06-02T00:11:52.171Z</t>
  </si>
  <si>
    <t>2055-06-01T23:51:45.171Z</t>
  </si>
  <si>
    <t>2055-06-01T23:52:48.840517Z</t>
  </si>
  <si>
    <t>2055-06-02T00:12:06.127325Z</t>
  </si>
  <si>
    <t>2055-06-01T23:20:55.650264Z</t>
  </si>
  <si>
    <t>2055-06-01T23:21:07.773453Z</t>
  </si>
  <si>
    <t>2055-06-01T23:35:34.371454Z</t>
  </si>
  <si>
    <t>2055-06-01T19:52:48.840517Z</t>
  </si>
  <si>
    <t>2055-06-01T20:12:06.127325Z</t>
  </si>
  <si>
    <t>2055-06-01T19:20:55.650264Z</t>
  </si>
  <si>
    <t>2055-06-01T19:35:34.371454Z</t>
  </si>
  <si>
    <t>2055-06-06T22:23:22.682723Z</t>
  </si>
  <si>
    <t>2055-06-06T23:20:28.755Z</t>
  </si>
  <si>
    <t>2055-06-06T23:11:35.755Z</t>
  </si>
  <si>
    <t>2055-06-06T22:59:15.53117Z</t>
  </si>
  <si>
    <t>2055-06-06T23:08:58.796337Z</t>
  </si>
  <si>
    <t>2055-06-06T22:34:14.447742Z</t>
  </si>
  <si>
    <t>2055-06-06T22:34:21.386672Z</t>
  </si>
  <si>
    <t>2055-06-06T22:41:29.195052Z</t>
  </si>
  <si>
    <t>2055-06-06T18:59:15.53117Z</t>
  </si>
  <si>
    <t>2055-06-06T19:08:58.796337Z</t>
  </si>
  <si>
    <t>2055-06-06T18:34:14.447742Z</t>
  </si>
  <si>
    <t>2055-06-06T18:41:29.195052Z</t>
  </si>
  <si>
    <t>2055-06-03T22:03:24.903419Z</t>
  </si>
  <si>
    <t>2055-06-03T22:58:25.018Z</t>
  </si>
  <si>
    <t>2055-06-03T22:38:04.018Z</t>
  </si>
  <si>
    <t>2055-06-03T22:43:26.131516Z</t>
  </si>
  <si>
    <t>2055-06-03T22:56:15.009623Z</t>
  </si>
  <si>
    <t>2055-06-03T22:03:47.37276Z</t>
  </si>
  <si>
    <t>2055-06-03T22:04:10.245355Z</t>
  </si>
  <si>
    <t>2055-06-03T22:21:10.213617Z</t>
  </si>
  <si>
    <t>2055-06-03T18:43:26.131516Z</t>
  </si>
  <si>
    <t>2055-06-03T18:56:15.009623Z</t>
  </si>
  <si>
    <t>2055-06-03T18:03:47.37276Z</t>
  </si>
  <si>
    <t>2055-06-03T18:21:10.213617Z</t>
  </si>
  <si>
    <t>2055-06-03T20:05:55.709315Z</t>
  </si>
  <si>
    <t>2055-06-03T21:01:18.784Z</t>
  </si>
  <si>
    <t>2055-06-03T20:41:39.784Z</t>
  </si>
  <si>
    <t>2055-06-03T20:22:34.232988Z</t>
  </si>
  <si>
    <t>2055-06-03T20:35:40.80703Z</t>
  </si>
  <si>
    <t>2055-06-03T20:10:14.254775Z</t>
  </si>
  <si>
    <t>2055-06-03T20:11:07.700463Z</t>
  </si>
  <si>
    <t>2055-06-03T20:25:17.777122Z</t>
  </si>
  <si>
    <t>2055-06-03T16:22:34.232988Z</t>
  </si>
  <si>
    <t>2055-06-03T16:35:40.80703Z</t>
  </si>
  <si>
    <t>2055-06-03T16:10:14.254775Z</t>
  </si>
  <si>
    <t>2055-06-03T16:25:17.777122Z</t>
  </si>
  <si>
    <t>2055-06-07T23:14:15.873174Z</t>
  </si>
  <si>
    <t>2055-06-08T00:13:02.947Z</t>
  </si>
  <si>
    <t>2055-06-07T23:57:55.947Z</t>
  </si>
  <si>
    <t>2055-06-07T23:32:40.964676Z</t>
  </si>
  <si>
    <t>2055-06-07T23:49:27.827861Z</t>
  </si>
  <si>
    <t>2055-06-07T23:16:07.380127Z</t>
  </si>
  <si>
    <t>2055-06-07T23:16:26.253093Z</t>
  </si>
  <si>
    <t>2055-06-07T23:27:20.688764Z</t>
  </si>
  <si>
    <t>2055-06-07T19:32:40.964676Z</t>
  </si>
  <si>
    <t>2055-06-07T19:49:27.827861Z</t>
  </si>
  <si>
    <t>2055-06-07T19:16:07.380127Z</t>
  </si>
  <si>
    <t>2055-06-07T19:27:20.688764Z</t>
  </si>
  <si>
    <t>2055-06-12T15:09:32.190521Z</t>
  </si>
  <si>
    <t>2055-06-12T15:59:18.251Z</t>
  </si>
  <si>
    <t>2055-06-12T15:40:25.251Z</t>
  </si>
  <si>
    <t>2055-06-12T15:27:51.258029Z</t>
  </si>
  <si>
    <t>2055-06-12T15:42:12.005696Z</t>
  </si>
  <si>
    <t>2055-06-12T15:14:14.271613Z</t>
  </si>
  <si>
    <t>2055-06-12T15:14:31.99524Z</t>
  </si>
  <si>
    <t>2055-06-12T15:20:59.214891Z</t>
  </si>
  <si>
    <t>2055-06-12T11:27:51.258029Z</t>
  </si>
  <si>
    <t>2055-06-12T11:42:12.005696Z</t>
  </si>
  <si>
    <t>2055-06-12T11:14:14.271613Z</t>
  </si>
  <si>
    <t>2055-06-12T11:20:59.214891Z</t>
  </si>
  <si>
    <t>2055-06-12T19:13:31.181026Z</t>
  </si>
  <si>
    <t>2055-06-12T20:01:44.248Z</t>
  </si>
  <si>
    <t>2055-06-12T19:42:05.248Z</t>
  </si>
  <si>
    <t>2055-06-12T19:53:59.55786Z</t>
  </si>
  <si>
    <t>2055-06-12T20:12:27.539991Z</t>
  </si>
  <si>
    <t>2055-06-12T19:18:14.117562Z</t>
  </si>
  <si>
    <t>2055-06-12T19:18:29.621692Z</t>
  </si>
  <si>
    <t>2055-06-12T19:38:07.53085Z</t>
  </si>
  <si>
    <t>2055-06-12T15:53:59.55786Z</t>
  </si>
  <si>
    <t>2055-06-12T16:12:27.539991Z</t>
  </si>
  <si>
    <t>2055-06-12T15:18:14.117562Z</t>
  </si>
  <si>
    <t>2055-06-12T15:38:07.53085Z</t>
  </si>
  <si>
    <t>Jhordan</t>
  </si>
  <si>
    <t>2055-06-07T00:35:46.700593Z</t>
  </si>
  <si>
    <t>2055-06-07T01:16:31.808Z</t>
  </si>
  <si>
    <t>2055-06-07T01:12:38.808Z</t>
  </si>
  <si>
    <t>2055-06-07T00:58:32.229341Z</t>
  </si>
  <si>
    <t>2055-06-07T01:13:13.435158Z</t>
  </si>
  <si>
    <t>2055-06-07T00:36:07.353199Z</t>
  </si>
  <si>
    <t>2055-06-07T00:36:13.4637Z</t>
  </si>
  <si>
    <t>2055-06-07T00:42:42.10033Z</t>
  </si>
  <si>
    <t>2055-06-06T20:58:32.229341Z</t>
  </si>
  <si>
    <t>2055-06-06T21:13:13.435158Z</t>
  </si>
  <si>
    <t>2055-06-06T20:36:07.353199Z</t>
  </si>
  <si>
    <t>2055-06-06T20:42:42.10033Z</t>
  </si>
  <si>
    <t>2055-06-02T21:03:37.109579Z</t>
  </si>
  <si>
    <t>2055-06-02T21:53:37.194Z</t>
  </si>
  <si>
    <t>2055-06-02T21:29:41.194Z</t>
  </si>
  <si>
    <t>2055-06-02T21:18:25.107922Z</t>
  </si>
  <si>
    <t>2055-06-02T21:26:05.483992Z</t>
  </si>
  <si>
    <t>2055-06-02T21:05:13.253647Z</t>
  </si>
  <si>
    <t>2055-06-02T21:05:23.696406Z</t>
  </si>
  <si>
    <t>2055-06-02T21:15:39.613426Z</t>
  </si>
  <si>
    <t>2055-06-02T17:18:25.107922Z</t>
  </si>
  <si>
    <t>2055-06-02T17:26:05.483992Z</t>
  </si>
  <si>
    <t>2055-06-02T17:05:13.253647Z</t>
  </si>
  <si>
    <t>2055-06-02T17:15:39.613426Z</t>
  </si>
  <si>
    <t>2055-06-03T23:17:25.619357Z</t>
  </si>
  <si>
    <t>2055-06-04T00:19:43.73Z</t>
  </si>
  <si>
    <t>2055-06-04T00:00:50.73Z</t>
  </si>
  <si>
    <t>2055-06-03T23:42:09.024541Z</t>
  </si>
  <si>
    <t>2055-06-04T00:00:11.451376Z</t>
  </si>
  <si>
    <t>2055-06-03T23:17:47.337335Z</t>
  </si>
  <si>
    <t>2055-06-03T23:18:08.164307Z</t>
  </si>
  <si>
    <t>2055-06-03T19:42:09.024541Z</t>
  </si>
  <si>
    <t>2055-06-03T20:00:11.451376Z</t>
  </si>
  <si>
    <t>2055-06-03T19:17:47.337335Z</t>
  </si>
  <si>
    <t>2055-06-05T21:18:03.046809Z</t>
  </si>
  <si>
    <t>2055-06-05T22:44:24.131Z</t>
  </si>
  <si>
    <t>2055-06-05T22:19:43.131Z</t>
  </si>
  <si>
    <t>2055-06-05T21:51:32.600821Z</t>
  </si>
  <si>
    <t>2055-06-05T22:01:59.428216Z</t>
  </si>
  <si>
    <t>2055-06-05T21:23:07.275571Z</t>
  </si>
  <si>
    <t>2055-06-05T21:23:12.06518Z</t>
  </si>
  <si>
    <t>2055-06-05T21:33:57.94483Z</t>
  </si>
  <si>
    <t>2055-06-05T17:51:32.600821Z</t>
  </si>
  <si>
    <t>2055-06-05T18:01:59.428216Z</t>
  </si>
  <si>
    <t>2055-06-05T17:23:07.275571Z</t>
  </si>
  <si>
    <t>2055-06-05T17:33:57.94483Z</t>
  </si>
  <si>
    <t>2055-06-11T21:17:03.09758Z</t>
  </si>
  <si>
    <t>2055-06-11T22:13:54.166Z</t>
  </si>
  <si>
    <t>2055-06-11T21:54:15.166Z</t>
  </si>
  <si>
    <t>2055-06-11T21:37:54.203137Z</t>
  </si>
  <si>
    <t>2055-06-11T21:52:33.820552Z</t>
  </si>
  <si>
    <t>2055-06-11T21:24:34.429149Z</t>
  </si>
  <si>
    <t>2055-06-11T21:24:57.125657Z</t>
  </si>
  <si>
    <t>2055-06-11T21:39:29.277705Z</t>
  </si>
  <si>
    <t>2055-06-11T17:37:54.203137Z</t>
  </si>
  <si>
    <t>2055-06-11T17:52:33.820552Z</t>
  </si>
  <si>
    <t>2055-06-11T17:24:34.429149Z</t>
  </si>
  <si>
    <t>2055-06-11T17:39:29.277705Z</t>
  </si>
  <si>
    <t>2055-06-02T22:18:20.940609Z</t>
  </si>
  <si>
    <t>2055-06-02T23:00:36.006Z</t>
  </si>
  <si>
    <t>2055-06-02T22:55:29.006Z</t>
  </si>
  <si>
    <t>2055-06-02T22:42:01.19257Z</t>
  </si>
  <si>
    <t>2055-06-02T22:55:12.105289Z</t>
  </si>
  <si>
    <t>2055-06-02T22:20:07.377151Z</t>
  </si>
  <si>
    <t>2055-06-02T22:20:13.394978Z</t>
  </si>
  <si>
    <t>2055-06-02T22:42:03.85367Z</t>
  </si>
  <si>
    <t>2055-06-02T18:42:01.19257Z</t>
  </si>
  <si>
    <t>2055-06-02T18:55:12.105289Z</t>
  </si>
  <si>
    <t>2055-06-02T18:20:07.377151Z</t>
  </si>
  <si>
    <t>2055-06-02T18:42:03.85367Z</t>
  </si>
  <si>
    <t>2055-06-05T17:37:57.797784Z</t>
  </si>
  <si>
    <t>2055-06-05T18:42:33.846Z</t>
  </si>
  <si>
    <t>2055-06-05T18:32:52.846Z</t>
  </si>
  <si>
    <t>2055-06-05T18:09:47.052067Z</t>
  </si>
  <si>
    <t>2055-06-05T18:23:51.742417Z</t>
  </si>
  <si>
    <t>2055-06-05T17:59:54.994439Z</t>
  </si>
  <si>
    <t>2055-06-05T18:00:02.261624Z</t>
  </si>
  <si>
    <t>2055-06-05T18:05:37.875798Z</t>
  </si>
  <si>
    <t>2055-06-05T14:09:47.052067Z</t>
  </si>
  <si>
    <t>2055-06-05T14:23:51.742417Z</t>
  </si>
  <si>
    <t>2055-06-05T13:59:54.994439Z</t>
  </si>
  <si>
    <t>2055-06-05T14:05:37.875798Z</t>
  </si>
  <si>
    <t>2055-06-07T18:01:44.999787Z</t>
  </si>
  <si>
    <t>2055-06-07T18:53:04.099Z</t>
  </si>
  <si>
    <t>2055-06-07T18:49:11.099Z</t>
  </si>
  <si>
    <t>2055-06-07T18:40:33.992434Z</t>
  </si>
  <si>
    <t>2055-06-07T18:48:37.324921Z</t>
  </si>
  <si>
    <t>2055-06-07T18:11:47.237827Z</t>
  </si>
  <si>
    <t>2055-06-07T18:11:53.326856Z</t>
  </si>
  <si>
    <t>2055-06-07T18:30:34.484708Z</t>
  </si>
  <si>
    <t>2055-06-07T14:40:33.992434Z</t>
  </si>
  <si>
    <t>2055-06-07T14:48:37.324921Z</t>
  </si>
  <si>
    <t>2055-06-07T14:11:47.237827Z</t>
  </si>
  <si>
    <t>2055-06-07T14:30:34.484708Z</t>
  </si>
  <si>
    <t>2055-06-03T01:42:29.88751Z</t>
  </si>
  <si>
    <t>2055-06-03T02:52:53.962Z</t>
  </si>
  <si>
    <t>2055-06-03T02:29:35.962Z</t>
  </si>
  <si>
    <t>2055-06-03T02:06:33.129401Z</t>
  </si>
  <si>
    <t>2055-06-03T02:25:17.10361Z</t>
  </si>
  <si>
    <t>2055-06-03T01:48:27.259589Z</t>
  </si>
  <si>
    <t>2055-06-03T01:48:32.612841Z</t>
  </si>
  <si>
    <t>2055-06-03T02:06:02.898958Z</t>
  </si>
  <si>
    <t>2055-06-02T22:06:33.129401Z</t>
  </si>
  <si>
    <t>2055-06-02T22:25:17.10361Z</t>
  </si>
  <si>
    <t>2055-06-02T21:48:27.259589Z</t>
  </si>
  <si>
    <t>2055-06-02T22:06:02.898958Z</t>
  </si>
  <si>
    <t>2055-06-05T22:02:49.80112Z</t>
  </si>
  <si>
    <t>2055-06-05T23:11:28.876Z</t>
  </si>
  <si>
    <t>2055-06-05T22:51:49.876Z</t>
  </si>
  <si>
    <t>2055-06-05T22:52:57.18361Z</t>
  </si>
  <si>
    <t>2055-06-05T23:07:45.552528Z</t>
  </si>
  <si>
    <t>2055-06-05T22:12:14.100228Z</t>
  </si>
  <si>
    <t>2055-06-05T22:12:24.189116Z</t>
  </si>
  <si>
    <t>2055-06-05T22:35:00.360788Z</t>
  </si>
  <si>
    <t>2055-06-05T18:52:57.18361Z</t>
  </si>
  <si>
    <t>2055-06-05T19:07:45.552528Z</t>
  </si>
  <si>
    <t>2055-06-05T18:12:14.100228Z</t>
  </si>
  <si>
    <t>2055-06-05T18:35:00.360788Z</t>
  </si>
  <si>
    <t>2055-06-03T16:35:59.357439Z</t>
  </si>
  <si>
    <t>2055-06-03T17:24:09.44Z</t>
  </si>
  <si>
    <t>2055-06-03T17:17:15.44Z</t>
  </si>
  <si>
    <t>2055-06-03T17:03:27.768306Z</t>
  </si>
  <si>
    <t>2055-06-03T17:14:36.122851Z</t>
  </si>
  <si>
    <t>2055-06-03T16:42:07.468376Z</t>
  </si>
  <si>
    <t>2055-06-03T16:42:13.068169Z</t>
  </si>
  <si>
    <t>2055-06-03T17:00:14.96784Z</t>
  </si>
  <si>
    <t>2055-06-03T13:03:27.768306Z</t>
  </si>
  <si>
    <t>2055-06-03T13:14:36.122851Z</t>
  </si>
  <si>
    <t>2055-06-03T12:42:07.468376Z</t>
  </si>
  <si>
    <t>2055-06-03T13:00:14.96784Z</t>
  </si>
  <si>
    <t>2055-06-05T00:26:12.565699Z</t>
  </si>
  <si>
    <t>2055-06-05T01:28:51.626Z</t>
  </si>
  <si>
    <t>2055-06-05T01:09:12.626Z</t>
  </si>
  <si>
    <t>2055-06-05T00:56:06.804164Z</t>
  </si>
  <si>
    <t>2055-06-05T01:10:47.791665Z</t>
  </si>
  <si>
    <t>2055-06-05T00:26:27.744514Z</t>
  </si>
  <si>
    <t>2055-06-05T00:26:30.550453Z</t>
  </si>
  <si>
    <t>2055-06-05T00:35:08.58163Z</t>
  </si>
  <si>
    <t>2055-06-04T20:56:06.804164Z</t>
  </si>
  <si>
    <t>2055-06-04T21:10:47.791665Z</t>
  </si>
  <si>
    <t>2055-06-04T20:26:27.744514Z</t>
  </si>
  <si>
    <t>2055-06-04T20:35:08.58163Z</t>
  </si>
  <si>
    <t>2055-06-13T15:06:35.138004Z</t>
  </si>
  <si>
    <t>2055-06-13T15:57:36.188Z</t>
  </si>
  <si>
    <t>2055-06-13T15:47:57.188Z</t>
  </si>
  <si>
    <t>2055-06-13T15:30:00.567183Z</t>
  </si>
  <si>
    <t>2055-06-13T15:38:10.9655Z</t>
  </si>
  <si>
    <t>2055-06-13T15:12:34.269331Z</t>
  </si>
  <si>
    <t>2055-06-13T15:12:41.748417Z</t>
  </si>
  <si>
    <t>2055-06-13T15:22:40.428039Z</t>
  </si>
  <si>
    <t>2055-06-13T11:30:00.567183Z</t>
  </si>
  <si>
    <t>2055-06-13T11:38:10.9655Z</t>
  </si>
  <si>
    <t>2055-06-13T11:12:34.269331Z</t>
  </si>
  <si>
    <t>2055-06-13T11:22:40.428039Z</t>
  </si>
  <si>
    <t>2055-06-11T16:51:03.518954Z</t>
  </si>
  <si>
    <t>2055-06-11T17:36:41.593Z</t>
  </si>
  <si>
    <t>2055-06-11T17:17:02.593Z</t>
  </si>
  <si>
    <t>2055-06-11T17:08:12.846754Z</t>
  </si>
  <si>
    <t>2055-06-11T17:19:29.648111Z</t>
  </si>
  <si>
    <t>2055-06-11T16:57:14.338782Z</t>
  </si>
  <si>
    <t>2055-06-11T16:57:35.239624Z</t>
  </si>
  <si>
    <t>2055-06-11T17:02:03.812344Z</t>
  </si>
  <si>
    <t>2055-06-11T13:08:12.846754Z</t>
  </si>
  <si>
    <t>2055-06-11T13:19:29.648111Z</t>
  </si>
  <si>
    <t>2055-06-11T12:57:14.338782Z</t>
  </si>
  <si>
    <t>2055-06-11T13:02:03.812344Z</t>
  </si>
  <si>
    <t>2055-06-04T16:20:59.290571Z</t>
  </si>
  <si>
    <t>2055-06-04T17:21:49.375Z</t>
  </si>
  <si>
    <t>2055-06-04T17:12:56.375Z</t>
  </si>
  <si>
    <t>2055-06-04T16:45:20.207526Z</t>
  </si>
  <si>
    <t>2055-06-04T17:07:19.612001Z</t>
  </si>
  <si>
    <t>2055-06-04T16:21:07.282697Z</t>
  </si>
  <si>
    <t>2055-06-04T16:21:12.434671Z</t>
  </si>
  <si>
    <t>2055-06-04T16:38:54.005194Z</t>
  </si>
  <si>
    <t>2055-06-04T12:45:20.207526Z</t>
  </si>
  <si>
    <t>2055-06-04T13:07:19.612001Z</t>
  </si>
  <si>
    <t>2055-06-04T12:21:07.282697Z</t>
  </si>
  <si>
    <t>2055-06-04T12:38:54.005194Z</t>
  </si>
  <si>
    <t>2055-06-05T19:54:23.162117Z</t>
  </si>
  <si>
    <t>2055-06-05T20:53:10.984Z</t>
  </si>
  <si>
    <t>2055-06-05T20:39:57.984Z</t>
  </si>
  <si>
    <t>2055-06-05T20:28:53.82893Z</t>
  </si>
  <si>
    <t>2055-06-05T20:45:40.241183Z</t>
  </si>
  <si>
    <t>2055-06-05T20:10:47.370883Z</t>
  </si>
  <si>
    <t>2055-06-05T20:10:50.747474Z</t>
  </si>
  <si>
    <t>2055-06-05T20:27:44.466527Z</t>
  </si>
  <si>
    <t>2055-06-05T16:28:53.82893Z</t>
  </si>
  <si>
    <t>2055-06-05T16:45:40.241183Z</t>
  </si>
  <si>
    <t>2055-06-05T16:10:47.370883Z</t>
  </si>
  <si>
    <t>2055-06-05T16:27:44.466527Z</t>
  </si>
  <si>
    <t>2055-06-05T22:03:25.214948Z</t>
  </si>
  <si>
    <t>2055-06-05T22:59:15.279Z</t>
  </si>
  <si>
    <t>2055-06-05T22:49:34.279Z</t>
  </si>
  <si>
    <t>2055-06-05T22:33:36.323856Z</t>
  </si>
  <si>
    <t>2055-06-05T22:40:25.129069Z</t>
  </si>
  <si>
    <t>2055-06-05T22:04:27.447896Z</t>
  </si>
  <si>
    <t>2055-06-05T22:04:32.855527Z</t>
  </si>
  <si>
    <t>2055-06-05T22:32:11.95667Z</t>
  </si>
  <si>
    <t>2055-06-05T18:33:36.323856Z</t>
  </si>
  <si>
    <t>2055-06-05T18:40:25.129069Z</t>
  </si>
  <si>
    <t>2055-06-05T18:04:27.447896Z</t>
  </si>
  <si>
    <t>2055-06-05T18:32:11.95667Z</t>
  </si>
  <si>
    <t>2055-06-01T23:45:02.488825Z</t>
  </si>
  <si>
    <t>2055-06-02T00:35:02.799Z</t>
  </si>
  <si>
    <t>2055-06-02T00:19:45.799Z</t>
  </si>
  <si>
    <t>2055-06-02T00:17:55.562798Z</t>
  </si>
  <si>
    <t>2055-06-02T00:31:22.469046Z</t>
  </si>
  <si>
    <t>2055-06-01T23:50:52.737096Z</t>
  </si>
  <si>
    <t>2055-06-01T23:51:03.069622Z</t>
  </si>
  <si>
    <t>2055-06-02T00:11:42.160769Z</t>
  </si>
  <si>
    <t>2055-06-01T20:17:55.562798Z</t>
  </si>
  <si>
    <t>2055-06-01T20:31:22.469046Z</t>
  </si>
  <si>
    <t>2055-06-01T19:50:52.737096Z</t>
  </si>
  <si>
    <t>2055-06-01T20:11:42.160769Z</t>
  </si>
  <si>
    <t>2055-06-04T22:36:42.228592Z</t>
  </si>
  <si>
    <t>2055-06-04T23:09:54.293Z</t>
  </si>
  <si>
    <t>2055-06-04T23:06:01.293Z</t>
  </si>
  <si>
    <t>2055-06-04T23:08:50.555813Z</t>
  </si>
  <si>
    <t>2055-06-04T23:26:42.840569Z</t>
  </si>
  <si>
    <t>2055-06-04T22:40:14.762309Z</t>
  </si>
  <si>
    <t>2055-06-04T22:40:24.741473Z</t>
  </si>
  <si>
    <t>2055-06-04T23:21:54.315556Z</t>
  </si>
  <si>
    <t>2055-06-04T19:08:50.555813Z</t>
  </si>
  <si>
    <t>2055-06-04T19:26:42.840569Z</t>
  </si>
  <si>
    <t>2055-06-04T18:40:14.762309Z</t>
  </si>
  <si>
    <t>2055-06-04T19:21:54.315556Z</t>
  </si>
  <si>
    <t>2055-06-05T21:39:46.67544Z</t>
  </si>
  <si>
    <t>2055-06-05T22:34:46.748Z</t>
  </si>
  <si>
    <t>2055-06-05T22:09:38.748Z</t>
  </si>
  <si>
    <t>2055-06-05T21:54:20.086468Z</t>
  </si>
  <si>
    <t>2055-06-05T22:03:15.750475Z</t>
  </si>
  <si>
    <t>2055-06-05T21:40:07.340484Z</t>
  </si>
  <si>
    <t>2055-06-05T21:40:54.805858Z</t>
  </si>
  <si>
    <t>2055-06-05T21:43:57.96139Z</t>
  </si>
  <si>
    <t>2055-06-05T17:54:20.086468Z</t>
  </si>
  <si>
    <t>2055-06-05T18:03:15.750475Z</t>
  </si>
  <si>
    <t>2055-06-05T17:40:07.340484Z</t>
  </si>
  <si>
    <t>2055-06-05T17:43:57.96139Z</t>
  </si>
  <si>
    <t>2055-06-08T16:00:31.291013Z</t>
  </si>
  <si>
    <t>2055-06-08T16:55:31.442Z</t>
  </si>
  <si>
    <t>2055-06-08T16:27:39.442Z</t>
  </si>
  <si>
    <t>2055-06-08T16:39:41.095537Z</t>
  </si>
  <si>
    <t>2055-06-08T16:46:29.129348Z</t>
  </si>
  <si>
    <t>2055-06-08T16:00:47.290047Z</t>
  </si>
  <si>
    <t>2055-06-08T16:00:56.454278Z</t>
  </si>
  <si>
    <t>2055-06-08T16:21:46.888568Z</t>
  </si>
  <si>
    <t>2055-06-08T12:39:41.095537Z</t>
  </si>
  <si>
    <t>2055-06-08T12:46:29.129348Z</t>
  </si>
  <si>
    <t>2055-06-08T12:00:47.290047Z</t>
  </si>
  <si>
    <t>2055-06-08T12:21:46.888568Z</t>
  </si>
  <si>
    <t>2055-06-10T18:24:07.586218Z</t>
  </si>
  <si>
    <t>2055-06-10T19:40:17.641Z</t>
  </si>
  <si>
    <t>2055-06-10T19:21:24.641Z</t>
  </si>
  <si>
    <t>2055-06-10T18:33:20.231905Z</t>
  </si>
  <si>
    <t>2055-06-10T18:44:51.043145Z</t>
  </si>
  <si>
    <t>2055-06-10T18:24:14.195874Z</t>
  </si>
  <si>
    <t>2055-06-10T18:24:30.074176Z</t>
  </si>
  <si>
    <t>2055-06-10T18:27:56.570829Z</t>
  </si>
  <si>
    <t>2055-06-10T14:33:20.231905Z</t>
  </si>
  <si>
    <t>2055-06-10T14:44:51.043145Z</t>
  </si>
  <si>
    <t>2055-06-10T14:24:14.195874Z</t>
  </si>
  <si>
    <t>2055-06-10T14:27:56.570829Z</t>
  </si>
  <si>
    <t>2055-06-02T00:05:57.731773Z</t>
  </si>
  <si>
    <t>2055-06-02T00:50:57.802Z</t>
  </si>
  <si>
    <t>2055-06-02T00:40:13.802Z</t>
  </si>
  <si>
    <t>2055-06-02T00:27:13.331235Z</t>
  </si>
  <si>
    <t>2055-06-02T00:37:24.906979Z</t>
  </si>
  <si>
    <t>2055-06-02T00:06:07.362369Z</t>
  </si>
  <si>
    <t>2055-06-02T00:06:20.646087Z</t>
  </si>
  <si>
    <t>2055-06-02T00:29:52.999266Z</t>
  </si>
  <si>
    <t>2055-06-01T20:27:13.331235Z</t>
  </si>
  <si>
    <t>2055-06-01T20:37:24.906979Z</t>
  </si>
  <si>
    <t>2055-06-01T20:06:07.362369Z</t>
  </si>
  <si>
    <t>2055-06-01T20:29:52.999266Z</t>
  </si>
  <si>
    <t>2055-06-03T00:24:42.41893Z</t>
  </si>
  <si>
    <t>2055-06-03T01:17:14.488Z</t>
  </si>
  <si>
    <t>2055-06-03T00:57:35.488Z</t>
  </si>
  <si>
    <t>2055-06-03T00:39:09.047095Z</t>
  </si>
  <si>
    <t>2055-06-03T00:50:52.01595Z</t>
  </si>
  <si>
    <t>2055-06-03T00:30:14.615444Z</t>
  </si>
  <si>
    <t>2055-06-03T00:30:18.568949Z</t>
  </si>
  <si>
    <t>2055-06-03T00:36:33.279218Z</t>
  </si>
  <si>
    <t>2055-06-02T20:39:09.047095Z</t>
  </si>
  <si>
    <t>2055-06-02T20:50:52.01595Z</t>
  </si>
  <si>
    <t>2055-06-02T20:30:14.615444Z</t>
  </si>
  <si>
    <t>2055-06-02T20:36:33.279218Z</t>
  </si>
  <si>
    <t>2055-06-06T23:00:31.645446Z</t>
  </si>
  <si>
    <t>2055-06-07T00:09:24.703Z</t>
  </si>
  <si>
    <t>2055-06-06T23:49:45.703Z</t>
  </si>
  <si>
    <t>2055-06-06T23:26:08.38949Z</t>
  </si>
  <si>
    <t>2055-06-06T23:37:06.069728Z</t>
  </si>
  <si>
    <t>2055-06-06T23:09:14.825229Z</t>
  </si>
  <si>
    <t>2055-06-06T23:09:36.799415Z</t>
  </si>
  <si>
    <t>2055-06-06T23:23:13.545361Z</t>
  </si>
  <si>
    <t>2055-06-06T19:26:08.38949Z</t>
  </si>
  <si>
    <t>2055-06-06T19:37:06.069728Z</t>
  </si>
  <si>
    <t>2055-06-06T19:09:14.825229Z</t>
  </si>
  <si>
    <t>2055-06-06T19:23:13.545361Z</t>
  </si>
  <si>
    <t>Rachael</t>
  </si>
  <si>
    <t>2055-06-08T13:59:45.018182Z</t>
  </si>
  <si>
    <t>2055-06-08T14:59:45.078Z</t>
  </si>
  <si>
    <t>2055-06-08T14:39:38.078Z</t>
  </si>
  <si>
    <t>2055-06-08T14:20:57.849157Z</t>
  </si>
  <si>
    <t>2055-06-08T14:27:37.805364Z</t>
  </si>
  <si>
    <t>2055-06-08T14:09:34.142615Z</t>
  </si>
  <si>
    <t>2055-06-08T14:09:44.702105Z</t>
  </si>
  <si>
    <t>2055-06-08T14:21:00.591851Z</t>
  </si>
  <si>
    <t>2055-06-08T10:20:57.849157Z</t>
  </si>
  <si>
    <t>2055-06-08T10:27:37.805364Z</t>
  </si>
  <si>
    <t>2055-06-08T10:09:34.142615Z</t>
  </si>
  <si>
    <t>2055-06-08T10:21:00.591851Z</t>
  </si>
  <si>
    <t>2055-06-03T19:12:36.690045Z</t>
  </si>
  <si>
    <t>2055-06-03T20:07:36.817Z</t>
  </si>
  <si>
    <t>2055-06-03T19:51:14.817Z</t>
  </si>
  <si>
    <t>2055-06-03T19:35:04.696719Z</t>
  </si>
  <si>
    <t>2055-06-03T19:45:43.466198Z</t>
  </si>
  <si>
    <t>2055-06-03T19:12:47.301995Z</t>
  </si>
  <si>
    <t>2055-06-03T19:12:58.892516Z</t>
  </si>
  <si>
    <t>2055-06-03T19:18:09.844945Z</t>
  </si>
  <si>
    <t>2055-06-03T15:35:04.696719Z</t>
  </si>
  <si>
    <t>2055-06-03T15:45:43.466198Z</t>
  </si>
  <si>
    <t>2055-06-03T15:12:47.301995Z</t>
  </si>
  <si>
    <t>2055-06-03T15:18:09.844945Z</t>
  </si>
  <si>
    <t>2055-06-07T15:05:20.097166Z</t>
  </si>
  <si>
    <t>2055-06-07T16:03:56.167Z</t>
  </si>
  <si>
    <t>2055-06-07T15:43:49.167Z</t>
  </si>
  <si>
    <t>2055-06-07T15:27:40.275224Z</t>
  </si>
  <si>
    <t>2055-06-07T15:38:35.59215Z</t>
  </si>
  <si>
    <t>2055-06-07T15:05:34.295203Z</t>
  </si>
  <si>
    <t>2055-06-07T15:05:50.882957Z</t>
  </si>
  <si>
    <t>2055-06-07T15:13:05.490625Z</t>
  </si>
  <si>
    <t>2055-06-07T11:27:40.275224Z</t>
  </si>
  <si>
    <t>2055-06-07T11:38:35.59215Z</t>
  </si>
  <si>
    <t>2055-06-07T11:05:34.295203Z</t>
  </si>
  <si>
    <t>2055-06-07T11:13:05.490625Z</t>
  </si>
  <si>
    <t>2055-06-02T22:22:47.06461Z</t>
  </si>
  <si>
    <t>2055-06-02T23:41:17.138Z</t>
  </si>
  <si>
    <t>2055-06-02T23:21:38.138Z</t>
  </si>
  <si>
    <t>2055-06-02T23:24:42.123631Z</t>
  </si>
  <si>
    <t>2055-06-02T23:42:45.398112Z</t>
  </si>
  <si>
    <t>2055-06-02T22:25:07.364607Z</t>
  </si>
  <si>
    <t>2055-06-02T22:25:13.363499Z</t>
  </si>
  <si>
    <t>2055-06-02T19:24:42.123631Z</t>
  </si>
  <si>
    <t>2055-06-02T19:42:45.398112Z</t>
  </si>
  <si>
    <t>2055-06-02T18:25:07.364607Z</t>
  </si>
  <si>
    <t>2055-06-04T17:10:53.486515Z</t>
  </si>
  <si>
    <t>2055-06-04T17:59:14.566Z</t>
  </si>
  <si>
    <t>2055-06-04T17:50:21.566Z</t>
  </si>
  <si>
    <t>2055-06-04T17:30:32.531368Z</t>
  </si>
  <si>
    <t>2055-06-04T17:46:52.752969Z</t>
  </si>
  <si>
    <t>2055-06-04T17:11:07.287215Z</t>
  </si>
  <si>
    <t>2055-06-04T17:11:20.328236Z</t>
  </si>
  <si>
    <t>2055-06-04T17:31:41.451351Z</t>
  </si>
  <si>
    <t>2055-06-04T13:30:32.531368Z</t>
  </si>
  <si>
    <t>2055-06-04T13:46:52.752969Z</t>
  </si>
  <si>
    <t>2055-06-04T13:11:07.287215Z</t>
  </si>
  <si>
    <t>2055-06-04T13:31:41.451351Z</t>
  </si>
  <si>
    <t>2055-06-05T21:55:21.41259Z</t>
  </si>
  <si>
    <t>2055-06-05T22:57:00.491Z</t>
  </si>
  <si>
    <t>2055-06-05T22:38:07.491Z</t>
  </si>
  <si>
    <t>2055-06-05T22:36:25.334796Z</t>
  </si>
  <si>
    <t>2055-06-05T22:48:05.104298Z</t>
  </si>
  <si>
    <t>2055-06-05T21:55:27.371234Z</t>
  </si>
  <si>
    <t>2055-06-05T21:55:59.21939Z</t>
  </si>
  <si>
    <t>2055-06-05T22:13:34.604434Z</t>
  </si>
  <si>
    <t>2055-06-05T18:36:25.334796Z</t>
  </si>
  <si>
    <t>2055-06-05T18:48:05.104298Z</t>
  </si>
  <si>
    <t>2055-06-05T17:55:27.371234Z</t>
  </si>
  <si>
    <t>2055-06-05T18:13:34.604434Z</t>
  </si>
  <si>
    <t>2055-06-08T15:15:40.469304Z</t>
  </si>
  <si>
    <t>2055-06-08T16:06:36.552Z</t>
  </si>
  <si>
    <t>2055-06-08T15:47:43.552Z</t>
  </si>
  <si>
    <t>2055-06-08T15:33:09.166794Z</t>
  </si>
  <si>
    <t>2055-06-08T16:01:48.194686Z</t>
  </si>
  <si>
    <t>2055-06-08T15:21:54.3774Z</t>
  </si>
  <si>
    <t>2055-06-08T15:22:04.652239Z</t>
  </si>
  <si>
    <t>2055-06-08T15:33:02.661904Z</t>
  </si>
  <si>
    <t>2055-06-08T11:33:09.166794Z</t>
  </si>
  <si>
    <t>2055-06-08T12:01:48.194686Z</t>
  </si>
  <si>
    <t>2055-06-08T11:21:54.3774Z</t>
  </si>
  <si>
    <t>2055-06-08T11:33:02.661904Z</t>
  </si>
  <si>
    <t>2055-06-08T22:39:16.918905Z</t>
  </si>
  <si>
    <t>2055-06-08T23:24:06.962Z</t>
  </si>
  <si>
    <t>2055-06-08T23:14:27.962Z</t>
  </si>
  <si>
    <t>2055-06-08T23:04:03.846223Z</t>
  </si>
  <si>
    <t>2055-06-08T23:12:25.871638Z</t>
  </si>
  <si>
    <t>2055-06-08T22:54:14.553918Z</t>
  </si>
  <si>
    <t>2055-06-08T22:54:38.147282Z</t>
  </si>
  <si>
    <t>2055-06-08T23:00:06.509615Z</t>
  </si>
  <si>
    <t>2055-06-08T19:04:03.846223Z</t>
  </si>
  <si>
    <t>2055-06-08T19:12:25.871638Z</t>
  </si>
  <si>
    <t>2055-06-08T18:54:14.553918Z</t>
  </si>
  <si>
    <t>2055-06-08T19:00:06.509615Z</t>
  </si>
  <si>
    <t>2055-06-11T15:04:04.927966Z</t>
  </si>
  <si>
    <t>2055-06-11T15:43:43.992Z</t>
  </si>
  <si>
    <t>2055-06-11T15:34:50.992Z</t>
  </si>
  <si>
    <t>2055-06-11T15:17:22.915387Z</t>
  </si>
  <si>
    <t>2055-06-11T15:20:23.707946Z</t>
  </si>
  <si>
    <t>2055-06-11T15:05:14.231372Z</t>
  </si>
  <si>
    <t>2055-06-11T15:05:29.699596Z</t>
  </si>
  <si>
    <t>2055-06-11T15:09:16.529149Z</t>
  </si>
  <si>
    <t>2055-06-11T11:17:22.915387Z</t>
  </si>
  <si>
    <t>2055-06-11T11:20:23.707946Z</t>
  </si>
  <si>
    <t>2055-06-11T11:05:14.231372Z</t>
  </si>
  <si>
    <t>2055-06-11T11:09:16.529149Z</t>
  </si>
  <si>
    <t>2055-06-01T23:40:37.410033Z</t>
  </si>
  <si>
    <t>2055-06-02T00:36:10.487Z</t>
  </si>
  <si>
    <t>2055-06-02T00:22:52.487Z</t>
  </si>
  <si>
    <t>2055-06-02T00:16:32.006443Z</t>
  </si>
  <si>
    <t>2055-06-02T00:41:42.792693Z</t>
  </si>
  <si>
    <t>2055-06-01T23:58:27.329542Z</t>
  </si>
  <si>
    <t>2055-06-01T23:58:30.163561Z</t>
  </si>
  <si>
    <t>2055-06-01T20:16:32.006443Z</t>
  </si>
  <si>
    <t>2055-06-01T20:41:42.792693Z</t>
  </si>
  <si>
    <t>2055-06-01T19:58:27.329542Z</t>
  </si>
  <si>
    <t>2055-06-11T14:52:17.076122Z</t>
  </si>
  <si>
    <t>2055-06-11T15:38:55.162Z</t>
  </si>
  <si>
    <t>2055-06-11T15:25:02.162Z</t>
  </si>
  <si>
    <t>2055-06-11T15:13:09.516852Z</t>
  </si>
  <si>
    <t>2055-06-11T15:25:47.999657Z</t>
  </si>
  <si>
    <t>2055-06-11T14:55:14.189685Z</t>
  </si>
  <si>
    <t>2055-06-11T14:55:26.8167Z</t>
  </si>
  <si>
    <t>2055-06-11T15:06:22.055261Z</t>
  </si>
  <si>
    <t>2055-06-11T11:13:09.516852Z</t>
  </si>
  <si>
    <t>2055-06-11T11:25:47.999657Z</t>
  </si>
  <si>
    <t>2055-06-11T10:55:14.189685Z</t>
  </si>
  <si>
    <t>2055-06-11T11:06:22.055261Z</t>
  </si>
  <si>
    <t>Cass</t>
  </si>
  <si>
    <t>2055-06-13T17:37:27.074068Z</t>
  </si>
  <si>
    <t>2055-06-13T18:25:47.125Z</t>
  </si>
  <si>
    <t>2055-06-13T18:06:08.125Z</t>
  </si>
  <si>
    <t>2055-06-13T17:52:19.016072Z</t>
  </si>
  <si>
    <t>2055-06-13T17:59:33.508412Z</t>
  </si>
  <si>
    <t>2055-06-13T17:40:54.37656Z</t>
  </si>
  <si>
    <t>2055-06-13T17:41:39.799234Z</t>
  </si>
  <si>
    <t>2055-06-13T17:47:52.284755Z</t>
  </si>
  <si>
    <t>2055-06-13T13:52:19.016072Z</t>
  </si>
  <si>
    <t>2055-06-13T13:59:33.508412Z</t>
  </si>
  <si>
    <t>2055-06-13T13:40:54.37656Z</t>
  </si>
  <si>
    <t>2055-06-13T13:47:52.284755Z</t>
  </si>
  <si>
    <t>2055-06-05T00:23:12.989201Z</t>
  </si>
  <si>
    <t>2055-06-05T01:27:02.053Z</t>
  </si>
  <si>
    <t>2055-06-05T01:05:08.053Z</t>
  </si>
  <si>
    <t>2055-06-05T00:48:47.348816Z</t>
  </si>
  <si>
    <t>2055-06-05T00:56:59.557159Z</t>
  </si>
  <si>
    <t>2055-06-05T00:41:27.479842Z</t>
  </si>
  <si>
    <t>2055-06-05T00:41:47.910687Z</t>
  </si>
  <si>
    <t>2055-06-05T00:47:00.797742Z</t>
  </si>
  <si>
    <t>2055-06-04T20:48:47.348816Z</t>
  </si>
  <si>
    <t>2055-06-04T20:56:59.557159Z</t>
  </si>
  <si>
    <t>2055-06-04T20:41:27.479842Z</t>
  </si>
  <si>
    <t>2055-06-04T20:47:00.797742Z</t>
  </si>
  <si>
    <t>2055-06-06T00:20:41.294864Z</t>
  </si>
  <si>
    <t>2055-06-06T01:00:41.376Z</t>
  </si>
  <si>
    <t>2055-06-06T00:50:24.376Z</t>
  </si>
  <si>
    <t>2055-06-06T00:49:47.342335Z</t>
  </si>
  <si>
    <t>2055-06-06T01:00:08.77523Z</t>
  </si>
  <si>
    <t>2055-06-06T00:22:27.460668Z</t>
  </si>
  <si>
    <t>2055-06-06T00:22:30.873018Z</t>
  </si>
  <si>
    <t>2055-06-06T00:36:32.627939Z</t>
  </si>
  <si>
    <t>2055-06-05T20:49:47.342335Z</t>
  </si>
  <si>
    <t>2055-06-05T21:00:08.77523Z</t>
  </si>
  <si>
    <t>2055-06-05T20:22:27.460668Z</t>
  </si>
  <si>
    <t>2055-06-05T20:36:32.627939Z</t>
  </si>
  <si>
    <t>2055-06-04T19:18:11.110219Z</t>
  </si>
  <si>
    <t>2055-06-04T20:13:11.201Z</t>
  </si>
  <si>
    <t>2055-06-04T19:46:32.201Z</t>
  </si>
  <si>
    <t>2055-06-04T19:46:55.665841Z</t>
  </si>
  <si>
    <t>2055-06-04T19:53:06.963896Z</t>
  </si>
  <si>
    <t>2055-06-04T19:18:27.340719Z</t>
  </si>
  <si>
    <t>2055-06-04T19:18:31.062312Z</t>
  </si>
  <si>
    <t>2055-06-04T19:24:34.865542Z</t>
  </si>
  <si>
    <t>2055-06-04T15:46:55.665841Z</t>
  </si>
  <si>
    <t>2055-06-04T15:53:06.963896Z</t>
  </si>
  <si>
    <t>2055-06-04T15:18:27.340719Z</t>
  </si>
  <si>
    <t>2055-06-04T15:24:34.865542Z</t>
  </si>
  <si>
    <t>2055-06-09T16:07:47.428839Z</t>
  </si>
  <si>
    <t>2055-06-09T17:16:09.508Z</t>
  </si>
  <si>
    <t>2055-06-09T16:56:30.508Z</t>
  </si>
  <si>
    <t>2055-06-09T16:28:43.11818Z</t>
  </si>
  <si>
    <t>2055-06-09T16:37:01.078705Z</t>
  </si>
  <si>
    <t>2055-06-09T16:07:54.781963Z</t>
  </si>
  <si>
    <t>2055-06-09T16:08:52.001851Z</t>
  </si>
  <si>
    <t>2055-06-09T16:13:44.837658Z</t>
  </si>
  <si>
    <t>2055-06-09T12:28:43.11818Z</t>
  </si>
  <si>
    <t>2055-06-09T12:37:01.078705Z</t>
  </si>
  <si>
    <t>2055-06-09T12:07:54.781963Z</t>
  </si>
  <si>
    <t>2055-06-09T12:13:44.837658Z</t>
  </si>
  <si>
    <t>2055-06-02T00:39:29.965712Z</t>
  </si>
  <si>
    <t>2055-06-02T01:43:18.022Z</t>
  </si>
  <si>
    <t>2055-06-02T01:23:11.022Z</t>
  </si>
  <si>
    <t>2055-06-02T01:22:03.21685Z</t>
  </si>
  <si>
    <t>2055-06-02T01:41:19.804943Z</t>
  </si>
  <si>
    <t>2055-06-02T00:51:34.919155Z</t>
  </si>
  <si>
    <t>2055-06-02T00:51:55.107862Z</t>
  </si>
  <si>
    <t>2055-06-02T01:12:27.552845Z</t>
  </si>
  <si>
    <t>2055-06-01T21:22:03.21685Z</t>
  </si>
  <si>
    <t>2055-06-01T21:41:19.804943Z</t>
  </si>
  <si>
    <t>2055-06-01T20:51:34.919155Z</t>
  </si>
  <si>
    <t>2055-06-01T21:12:27.552845Z</t>
  </si>
  <si>
    <t>2055-06-02T15:12:41.330333Z</t>
  </si>
  <si>
    <t>2055-06-02T16:03:43.392Z</t>
  </si>
  <si>
    <t>2055-06-02T15:44:50.392Z</t>
  </si>
  <si>
    <t>2055-06-02T16:21:30.897089Z</t>
  </si>
  <si>
    <t>2055-06-02T16:30:41.158579Z</t>
  </si>
  <si>
    <t>2055-06-02T15:18:54.850455Z</t>
  </si>
  <si>
    <t>2055-06-02T15:19:03.545636Z</t>
  </si>
  <si>
    <t>2055-06-02T15:19:13.478361Z</t>
  </si>
  <si>
    <t>2055-06-02T12:21:30.897089Z</t>
  </si>
  <si>
    <t>2055-06-02T12:30:41.158579Z</t>
  </si>
  <si>
    <t>2055-06-02T11:18:54.850455Z</t>
  </si>
  <si>
    <t>2055-06-02T11:19:13.478361Z</t>
  </si>
  <si>
    <t>2055-06-03T14:34:23.735459Z</t>
  </si>
  <si>
    <t>2055-06-03T15:09:12.792Z</t>
  </si>
  <si>
    <t>2055-06-03T15:04:05.792Z</t>
  </si>
  <si>
    <t>2055-06-03T15:03:33.947197Z</t>
  </si>
  <si>
    <t>2055-06-03T15:11:24.420677Z</t>
  </si>
  <si>
    <t>2055-06-03T14:41:14.1723Z</t>
  </si>
  <si>
    <t>2055-06-03T14:42:04.101091Z</t>
  </si>
  <si>
    <t>2055-06-03T14:50:59.00952Z</t>
  </si>
  <si>
    <t>2055-06-03T11:03:33.947197Z</t>
  </si>
  <si>
    <t>2055-06-03T11:11:24.420677Z</t>
  </si>
  <si>
    <t>2055-06-03T10:41:14.1723Z</t>
  </si>
  <si>
    <t>2055-06-03T10:50:59.00952Z</t>
  </si>
  <si>
    <t>2055-06-04T21:22:32.041501Z</t>
  </si>
  <si>
    <t>2055-06-04T22:17:32.113Z</t>
  </si>
  <si>
    <t>2055-06-04T21:53:52.113Z</t>
  </si>
  <si>
    <t>2055-06-04T21:50:07.893517Z</t>
  </si>
  <si>
    <t>2055-06-04T22:19:03.928392Z</t>
  </si>
  <si>
    <t>2055-06-04T21:22:47.317015Z</t>
  </si>
  <si>
    <t>2055-06-04T21:22:56.817793Z</t>
  </si>
  <si>
    <t>2055-06-04T21:34:50.279002Z</t>
  </si>
  <si>
    <t>2055-06-04T17:50:07.893517Z</t>
  </si>
  <si>
    <t>2055-06-04T18:19:03.928392Z</t>
  </si>
  <si>
    <t>2055-06-04T17:22:47.317015Z</t>
  </si>
  <si>
    <t>2055-06-04T17:34:50.279002Z</t>
  </si>
  <si>
    <t>2055-06-08T23:48:17.122004Z</t>
  </si>
  <si>
    <t>2055-06-09T00:50:40.186Z</t>
  </si>
  <si>
    <t>2055-06-09T00:28:46.186Z</t>
  </si>
  <si>
    <t>2055-06-09T00:11:10.740347Z</t>
  </si>
  <si>
    <t>2055-06-09T00:23:15.902491Z</t>
  </si>
  <si>
    <t>2055-06-08T23:59:35.038091Z</t>
  </si>
  <si>
    <t>2055-06-08T23:59:47.5354Z</t>
  </si>
  <si>
    <t>2055-06-09T00:05:57.706772Z</t>
  </si>
  <si>
    <t>2055-06-08T20:11:10.740347Z</t>
  </si>
  <si>
    <t>2055-06-08T20:23:15.902491Z</t>
  </si>
  <si>
    <t>2055-06-08T19:59:35.038091Z</t>
  </si>
  <si>
    <t>2055-06-08T20:05:57.706772Z</t>
  </si>
  <si>
    <t>2055-06-09T00:15:09.617044Z</t>
  </si>
  <si>
    <t>2055-06-09T01:08:10.682Z</t>
  </si>
  <si>
    <t>2055-06-09T00:53:03.682Z</t>
  </si>
  <si>
    <t>2055-06-09T00:47:08.398954Z</t>
  </si>
  <si>
    <t>2055-06-09T00:56:58.948931Z</t>
  </si>
  <si>
    <t>2055-06-09T00:19:35.2146Z</t>
  </si>
  <si>
    <t>2055-06-09T00:19:46.629136Z</t>
  </si>
  <si>
    <t>2055-06-09T00:35:31.442837Z</t>
  </si>
  <si>
    <t>2055-06-08T20:47:08.398954Z</t>
  </si>
  <si>
    <t>2055-06-08T20:56:58.948931Z</t>
  </si>
  <si>
    <t>2055-06-08T20:19:35.2146Z</t>
  </si>
  <si>
    <t>2055-06-08T20:35:31.442837Z</t>
  </si>
  <si>
    <t>Gabby</t>
  </si>
  <si>
    <t>2055-06-05T23:36:17.900587Z</t>
  </si>
  <si>
    <t>2055-06-06T00:26:17.988Z</t>
  </si>
  <si>
    <t>2055-06-06T00:01:56.988Z</t>
  </si>
  <si>
    <t>2055-06-05T23:53:57.881691Z</t>
  </si>
  <si>
    <t>2055-06-06T00:07:55.810694Z</t>
  </si>
  <si>
    <t>2055-06-05T23:36:28.004556Z</t>
  </si>
  <si>
    <t>2055-06-05T23:36:39.539058Z</t>
  </si>
  <si>
    <t>2055-06-05T23:42:47.306804Z</t>
  </si>
  <si>
    <t>2055-06-05T19:53:57.881691Z</t>
  </si>
  <si>
    <t>2055-06-05T20:07:55.810694Z</t>
  </si>
  <si>
    <t>2055-06-05T19:36:28.004556Z</t>
  </si>
  <si>
    <t>2055-06-05T19:42:47.306804Z</t>
  </si>
  <si>
    <t>2055-06-12T22:46:42.903232Z</t>
  </si>
  <si>
    <t>2055-06-12T23:26:01.956Z</t>
  </si>
  <si>
    <t>2055-06-12T23:21:22.956Z</t>
  </si>
  <si>
    <t>2055-06-12T23:14:42.137449Z</t>
  </si>
  <si>
    <t>2055-06-12T23:36:18.664869Z</t>
  </si>
  <si>
    <t>2055-06-12T22:46:55.381876Z</t>
  </si>
  <si>
    <t>2055-06-12T22:47:28.349629Z</t>
  </si>
  <si>
    <t>2055-06-12T22:59:28.211961Z</t>
  </si>
  <si>
    <t>2055-06-12T19:14:42.137449Z</t>
  </si>
  <si>
    <t>2055-06-12T19:36:18.664869Z</t>
  </si>
  <si>
    <t>2055-06-12T18:46:55.381876Z</t>
  </si>
  <si>
    <t>2055-06-12T18:59:28.211961Z</t>
  </si>
  <si>
    <t>Rich</t>
  </si>
  <si>
    <t>2055-06-07T16:50:08.181858Z</t>
  </si>
  <si>
    <t>2055-06-07T18:18:16.241Z</t>
  </si>
  <si>
    <t>2055-06-07T17:50:03.241Z</t>
  </si>
  <si>
    <t>2055-06-07T17:51:51.701312Z</t>
  </si>
  <si>
    <t>2055-06-07T18:05:33.225442Z</t>
  </si>
  <si>
    <t>2055-06-07T16:58:34.849243Z</t>
  </si>
  <si>
    <t>2055-06-07T16:58:52.234672Z</t>
  </si>
  <si>
    <t>2055-06-07T17:47:10.277643Z</t>
  </si>
  <si>
    <t>2055-06-07T13:51:51.701312Z</t>
  </si>
  <si>
    <t>2055-06-07T14:05:33.225442Z</t>
  </si>
  <si>
    <t>2055-06-07T12:58:34.849243Z</t>
  </si>
  <si>
    <t>2055-06-07T13:47:10.277643Z</t>
  </si>
  <si>
    <t>2055-06-07T20:50:18.060932Z</t>
  </si>
  <si>
    <t>2055-06-07T22:45:00Z</t>
  </si>
  <si>
    <t>2055-06-07T22:14:46.56306Z</t>
  </si>
  <si>
    <t>2055-06-07T22:39:02.656355Z</t>
  </si>
  <si>
    <t>2055-06-07T21:45:07.26831Z</t>
  </si>
  <si>
    <t>2055-06-07T21:45:11.039791Z</t>
  </si>
  <si>
    <t>2055-06-07T22:09:31.265633Z</t>
  </si>
  <si>
    <t>2055-06-07T18:14:46.56306Z</t>
  </si>
  <si>
    <t>2055-06-07T18:39:02.656355Z</t>
  </si>
  <si>
    <t>2055-06-07T17:45:07.26831Z</t>
  </si>
  <si>
    <t>2055-06-07T18:09:31.265633Z</t>
  </si>
  <si>
    <t>2055-06-02T23:35:39.121448Z</t>
  </si>
  <si>
    <t>2055-06-03T00:20:39.191Z</t>
  </si>
  <si>
    <t>2055-06-03T00:05:25.191Z</t>
  </si>
  <si>
    <t>2055-06-03T00:15:49.501394Z</t>
  </si>
  <si>
    <t>2055-06-03T00:26:49.554191Z</t>
  </si>
  <si>
    <t>2055-06-02T23:39:27.748273Z</t>
  </si>
  <si>
    <t>2055-06-02T23:40:20.320183Z</t>
  </si>
  <si>
    <t>2055-06-03T00:13:25.818792Z</t>
  </si>
  <si>
    <t>2055-06-02T20:15:49.501394Z</t>
  </si>
  <si>
    <t>2055-06-02T20:26:49.554191Z</t>
  </si>
  <si>
    <t>2055-06-02T19:39:27.748273Z</t>
  </si>
  <si>
    <t>2055-06-02T20:13:25.818792Z</t>
  </si>
  <si>
    <t>2055-06-04T23:09:50.746742Z</t>
  </si>
  <si>
    <t>2055-06-05T00:04:34.813Z</t>
  </si>
  <si>
    <t>2055-06-04T23:54:27.813Z</t>
  </si>
  <si>
    <t>2055-06-04T23:35:22.429647Z</t>
  </si>
  <si>
    <t>2055-06-05T00:00:44.548803Z</t>
  </si>
  <si>
    <t>2055-06-04T23:11:47.422544Z</t>
  </si>
  <si>
    <t>2055-06-04T23:11:50.438606Z</t>
  </si>
  <si>
    <t>2055-06-04T23:32:54.956944Z</t>
  </si>
  <si>
    <t>2055-06-04T19:35:22.429647Z</t>
  </si>
  <si>
    <t>2055-06-04T20:00:44.548803Z</t>
  </si>
  <si>
    <t>2055-06-04T19:11:47.422544Z</t>
  </si>
  <si>
    <t>2055-06-04T19:32:54.956944Z</t>
  </si>
  <si>
    <t>2055-06-05T17:18:25.611352Z</t>
  </si>
  <si>
    <t>2055-06-05T18:16:54.674Z</t>
  </si>
  <si>
    <t>2055-06-05T18:07:13.674Z</t>
  </si>
  <si>
    <t>2055-06-05T17:57:14.096954Z</t>
  </si>
  <si>
    <t>2055-06-05T18:12:10.027202Z</t>
  </si>
  <si>
    <t>2055-06-05T17:39:27.360145Z</t>
  </si>
  <si>
    <t>2055-06-05T17:39:32.481018Z</t>
  </si>
  <si>
    <t>2055-06-05T17:55:11.294344Z</t>
  </si>
  <si>
    <t>2055-06-05T13:57:14.096954Z</t>
  </si>
  <si>
    <t>2055-06-05T14:12:10.027202Z</t>
  </si>
  <si>
    <t>2055-06-05T13:39:27.360145Z</t>
  </si>
  <si>
    <t>2055-06-05T13:55:11.294344Z</t>
  </si>
  <si>
    <t>2055-06-07T15:36:41.765381Z</t>
  </si>
  <si>
    <t>2055-06-07T16:31:41.88Z</t>
  </si>
  <si>
    <t>2055-06-07T16:07:20.88Z</t>
  </si>
  <si>
    <t>2055-06-07T16:24:34.578447Z</t>
  </si>
  <si>
    <t>2055-06-07T16:39:45.542821Z</t>
  </si>
  <si>
    <t>2055-06-07T16:13:07.329525Z</t>
  </si>
  <si>
    <t>2055-06-07T16:13:13.819665Z</t>
  </si>
  <si>
    <t>2055-06-07T12:24:34.578447Z</t>
  </si>
  <si>
    <t>2055-06-07T12:39:45.542821Z</t>
  </si>
  <si>
    <t>2055-06-07T12:13:07.329525Z</t>
  </si>
  <si>
    <t>2055-06-13T19:32:38.362442Z</t>
  </si>
  <si>
    <t>2055-06-13T22:45:00Z</t>
  </si>
  <si>
    <t>2055-06-13T21:55:44.270298Z</t>
  </si>
  <si>
    <t>2055-06-13T22:04:18.073767Z</t>
  </si>
  <si>
    <t>2055-06-13T21:45:28.326694Z</t>
  </si>
  <si>
    <t>2055-06-13T21:45:32.7695Z</t>
  </si>
  <si>
    <t>2055-06-13T21:49:25.32532Z</t>
  </si>
  <si>
    <t>2055-06-13T17:55:44.270298Z</t>
  </si>
  <si>
    <t>2055-06-13T18:04:18.073767Z</t>
  </si>
  <si>
    <t>2055-06-13T17:45:28.326694Z</t>
  </si>
  <si>
    <t>2055-06-13T17:49:25.32532Z</t>
  </si>
  <si>
    <t>2055-06-12T21:32:44.795944Z</t>
  </si>
  <si>
    <t>2055-06-13T01:00:00Z</t>
  </si>
  <si>
    <t>2055-06-13T00:29:00.461911Z</t>
  </si>
  <si>
    <t>2055-06-13T00:38:01.588303Z</t>
  </si>
  <si>
    <t>2055-06-13T00:14:36.110502Z</t>
  </si>
  <si>
    <t>2055-06-13T00:14:40.858777Z</t>
  </si>
  <si>
    <t>2055-06-13T00:23:19.524134Z</t>
  </si>
  <si>
    <t>2055-06-12T20:29:00.461911Z</t>
  </si>
  <si>
    <t>2055-06-12T20:38:01.588303Z</t>
  </si>
  <si>
    <t>2055-06-12T20:14:36.110502Z</t>
  </si>
  <si>
    <t>2055-06-12T20:23:19.524134Z</t>
  </si>
  <si>
    <t>2055-06-09T22:10:39.106531Z</t>
  </si>
  <si>
    <t>2055-06-09T22:55:53.167Z</t>
  </si>
  <si>
    <t>2055-06-09T22:42:00.167Z</t>
  </si>
  <si>
    <t>2055-06-09T22:36:15.609786Z</t>
  </si>
  <si>
    <t>2055-06-09T22:51:44.890758Z</t>
  </si>
  <si>
    <t>2055-06-09T22:14:54.469967Z</t>
  </si>
  <si>
    <t>2055-06-09T22:15:09.451403Z</t>
  </si>
  <si>
    <t>2055-06-09T22:29:53.568387Z</t>
  </si>
  <si>
    <t>2055-06-09T18:36:15.609786Z</t>
  </si>
  <si>
    <t>2055-06-09T18:51:44.890758Z</t>
  </si>
  <si>
    <t>2055-06-09T18:14:54.469967Z</t>
  </si>
  <si>
    <t>2055-06-09T18:29:53.568387Z</t>
  </si>
  <si>
    <t>2055-06-12T22:36:58.793639Z</t>
  </si>
  <si>
    <t>2055-06-12T23:13:24.85Z</t>
  </si>
  <si>
    <t>2055-06-12T23:08:45.85Z</t>
  </si>
  <si>
    <t>2055-06-12T22:53:31.015783Z</t>
  </si>
  <si>
    <t>2055-06-12T23:03:13.150583Z</t>
  </si>
  <si>
    <t>2055-06-12T22:40:14.672912Z</t>
  </si>
  <si>
    <t>2055-06-12T22:40:41.681547Z</t>
  </si>
  <si>
    <t>2055-06-12T22:43:39.149843Z</t>
  </si>
  <si>
    <t>2055-06-12T18:53:31.015783Z</t>
  </si>
  <si>
    <t>2055-06-12T19:03:13.150583Z</t>
  </si>
  <si>
    <t>2055-06-12T18:40:14.672912Z</t>
  </si>
  <si>
    <t>2055-06-12T18:43:39.149843Z</t>
  </si>
  <si>
    <t>2055-06-04T20:24:10.296411Z</t>
  </si>
  <si>
    <t>2055-06-04T21:15:00Z</t>
  </si>
  <si>
    <t>2055-06-04T20:42:01.363741Z</t>
  </si>
  <si>
    <t>2055-06-04T20:55:58.750787Z</t>
  </si>
  <si>
    <t>2055-06-04T20:30:07.329775Z</t>
  </si>
  <si>
    <t>2055-06-04T20:30:51.1737Z</t>
  </si>
  <si>
    <t>2055-06-04T20:36:41.411758Z</t>
  </si>
  <si>
    <t>2055-06-04T16:42:01.363741Z</t>
  </si>
  <si>
    <t>2055-06-04T16:55:58.750787Z</t>
  </si>
  <si>
    <t>2055-06-04T16:30:07.329775Z</t>
  </si>
  <si>
    <t>2055-06-04T16:36:41.411758Z</t>
  </si>
  <si>
    <t>2055-06-01T20:52:06.946458Z</t>
  </si>
  <si>
    <t>2055-06-01T21:49:07.026Z</t>
  </si>
  <si>
    <t>2055-06-01T21:29:00.026Z</t>
  </si>
  <si>
    <t>2055-06-01T21:12:09.926355Z</t>
  </si>
  <si>
    <t>2055-06-01T21:32:50.312312Z</t>
  </si>
  <si>
    <t>2055-06-01T20:54:27.329963Z</t>
  </si>
  <si>
    <t>2055-06-01T20:54:38.655802Z</t>
  </si>
  <si>
    <t>2055-06-01T20:54:55.713416Z</t>
  </si>
  <si>
    <t>2055-06-01T17:12:09.926355Z</t>
  </si>
  <si>
    <t>2055-06-01T17:32:50.312312Z</t>
  </si>
  <si>
    <t>2055-06-01T16:54:27.329963Z</t>
  </si>
  <si>
    <t>2055-06-01T16:54:55.713416Z</t>
  </si>
  <si>
    <t>2055-06-05T21:03:11.896152Z</t>
  </si>
  <si>
    <t>2055-06-05T22:06:12.967Z</t>
  </si>
  <si>
    <t>2055-06-05T21:49:18.967Z</t>
  </si>
  <si>
    <t>2055-06-05T21:34:32.758587Z</t>
  </si>
  <si>
    <t>2055-06-05T21:51:22.203572Z</t>
  </si>
  <si>
    <t>2055-06-05T21:19:47.316442Z</t>
  </si>
  <si>
    <t>2055-06-05T21:20:14.18577Z</t>
  </si>
  <si>
    <t>2055-06-05T21:33:07.115872Z</t>
  </si>
  <si>
    <t>2055-06-05T17:34:32.758587Z</t>
  </si>
  <si>
    <t>2055-06-05T17:51:22.203572Z</t>
  </si>
  <si>
    <t>2055-06-05T17:19:47.316442Z</t>
  </si>
  <si>
    <t>2055-06-05T17:33:07.115872Z</t>
  </si>
  <si>
    <t>2055-06-06T01:37:25.962002Z</t>
  </si>
  <si>
    <t>2055-06-06T02:38:47.026Z</t>
  </si>
  <si>
    <t>2055-06-06T02:14:06.026Z</t>
  </si>
  <si>
    <t>2055-06-06T02:05:34.53508Z</t>
  </si>
  <si>
    <t>2055-06-06T02:14:20.332708Z</t>
  </si>
  <si>
    <t>2055-06-06T01:41:14.534557Z</t>
  </si>
  <si>
    <t>2055-06-06T01:41:25.129345Z</t>
  </si>
  <si>
    <t>2055-06-06T01:48:24.162082Z</t>
  </si>
  <si>
    <t>2055-06-05T22:05:34.53508Z</t>
  </si>
  <si>
    <t>2055-06-05T22:14:20.332708Z</t>
  </si>
  <si>
    <t>2055-06-05T21:41:14.534557Z</t>
  </si>
  <si>
    <t>2055-06-05T21:48:24.162082Z</t>
  </si>
  <si>
    <t>2055-06-03T21:07:05.465529Z</t>
  </si>
  <si>
    <t>2055-06-03T21:47:05.538Z</t>
  </si>
  <si>
    <t>2055-06-03T21:30:26.538Z</t>
  </si>
  <si>
    <t>2055-06-03T21:37:30.066394Z</t>
  </si>
  <si>
    <t>2055-06-03T21:41:15.51694Z</t>
  </si>
  <si>
    <t>2055-06-03T21:07:27.37536Z</t>
  </si>
  <si>
    <t>2055-06-03T21:07:44.358582Z</t>
  </si>
  <si>
    <t>2055-06-03T21:33:11.415686Z</t>
  </si>
  <si>
    <t>2055-06-03T17:37:30.066394Z</t>
  </si>
  <si>
    <t>2055-06-03T17:41:15.51694Z</t>
  </si>
  <si>
    <t>2055-06-03T17:07:27.37536Z</t>
  </si>
  <si>
    <t>2055-06-03T17:33:11.415686Z</t>
  </si>
  <si>
    <t>2055-06-01T22:06:23.390079Z</t>
  </si>
  <si>
    <t>2055-06-01T22:58:05.467Z</t>
  </si>
  <si>
    <t>2055-06-01T22:37:58.467Z</t>
  </si>
  <si>
    <t>2055-06-01T22:32:22.330715Z</t>
  </si>
  <si>
    <t>2055-06-01T22:56:25.188488Z</t>
  </si>
  <si>
    <t>2055-06-01T22:12:54.328326Z</t>
  </si>
  <si>
    <t>2055-06-01T22:12:58.710038Z</t>
  </si>
  <si>
    <t>2055-06-01T22:30:13.632357Z</t>
  </si>
  <si>
    <t>2055-06-01T18:32:22.330715Z</t>
  </si>
  <si>
    <t>2055-06-01T18:56:25.188488Z</t>
  </si>
  <si>
    <t>2055-06-01T18:12:54.328326Z</t>
  </si>
  <si>
    <t>2055-06-01T18:30:13.632357Z</t>
  </si>
  <si>
    <t>2055-06-02T22:16:48.929058Z</t>
  </si>
  <si>
    <t>2055-06-02T23:20:16.998Z</t>
  </si>
  <si>
    <t>2055-06-02T23:01:23.998Z</t>
  </si>
  <si>
    <t>2055-06-02T22:35:46.649955Z</t>
  </si>
  <si>
    <t>2055-06-02T22:49:00.583538Z</t>
  </si>
  <si>
    <t>2055-06-02T22:17:07.416419Z</t>
  </si>
  <si>
    <t>2055-06-02T22:17:10.453182Z</t>
  </si>
  <si>
    <t>2055-06-02T22:26:00.662408Z</t>
  </si>
  <si>
    <t>2055-06-02T18:35:46.649955Z</t>
  </si>
  <si>
    <t>2055-06-02T18:49:00.583538Z</t>
  </si>
  <si>
    <t>2055-06-02T18:17:07.416419Z</t>
  </si>
  <si>
    <t>2055-06-02T18:26:00.662408Z</t>
  </si>
  <si>
    <t>2055-06-05T02:03:51.539705Z</t>
  </si>
  <si>
    <t>2055-06-05T03:14:28.587Z</t>
  </si>
  <si>
    <t>2055-06-05T02:52:34.587Z</t>
  </si>
  <si>
    <t>2055-06-05T02:50:49.877086Z</t>
  </si>
  <si>
    <t>2055-06-05T02:58:52.159763Z</t>
  </si>
  <si>
    <t>2055-06-05T02:18:14.393541Z</t>
  </si>
  <si>
    <t>2055-06-05T02:18:56.63536Z</t>
  </si>
  <si>
    <t>2055-06-05T02:28:25.615842Z</t>
  </si>
  <si>
    <t>2055-06-04T22:50:49.877086Z</t>
  </si>
  <si>
    <t>2055-06-04T22:58:52.159763Z</t>
  </si>
  <si>
    <t>2055-06-04T22:18:14.393541Z</t>
  </si>
  <si>
    <t>2055-06-04T22:28:25.615842Z</t>
  </si>
  <si>
    <t>2055-06-05T13:53:29.107378Z</t>
  </si>
  <si>
    <t>2055-06-05T14:31:35.176Z</t>
  </si>
  <si>
    <t>2055-06-05T14:17:42.176Z</t>
  </si>
  <si>
    <t>2055-06-05T14:28:52.890877Z</t>
  </si>
  <si>
    <t>2055-06-05T14:34:35.314614Z</t>
  </si>
  <si>
    <t>2055-06-05T13:59:34.066014Z</t>
  </si>
  <si>
    <t>2055-06-05T13:59:41.250272Z</t>
  </si>
  <si>
    <t>2055-06-05T14:09:39.145413Z</t>
  </si>
  <si>
    <t>2055-06-05T10:28:52.890877Z</t>
  </si>
  <si>
    <t>2055-06-05T10:34:35.314614Z</t>
  </si>
  <si>
    <t>2055-06-05T09:59:34.066014Z</t>
  </si>
  <si>
    <t>2055-06-05T10:09:39.145413Z</t>
  </si>
  <si>
    <t>2055-06-04T00:58:02.654029Z</t>
  </si>
  <si>
    <t>2055-06-04T01:54:31.769Z</t>
  </si>
  <si>
    <t>2055-06-04T01:38:52.769Z</t>
  </si>
  <si>
    <t>2055-06-04T01:18:03.233885Z</t>
  </si>
  <si>
    <t>2055-06-04T01:32:49.290323Z</t>
  </si>
  <si>
    <t>2055-06-04T00:58:07.333463Z</t>
  </si>
  <si>
    <t>2055-06-04T00:58:15.192622Z</t>
  </si>
  <si>
    <t>2055-06-04T01:14:03.205076Z</t>
  </si>
  <si>
    <t>2055-06-03T21:18:03.233885Z</t>
  </si>
  <si>
    <t>2055-06-03T21:32:49.290323Z</t>
  </si>
  <si>
    <t>2055-06-03T20:58:07.333463Z</t>
  </si>
  <si>
    <t>2055-06-03T21:14:03.205076Z</t>
  </si>
  <si>
    <t>2055-06-07T23:00:04.541135Z</t>
  </si>
  <si>
    <t>2055-06-07T23:50:56.59Z</t>
  </si>
  <si>
    <t>2055-06-07T23:40:49.59Z</t>
  </si>
  <si>
    <t>2055-06-07T23:35:09.200488Z</t>
  </si>
  <si>
    <t>2055-06-07T23:46:42.870245Z</t>
  </si>
  <si>
    <t>2055-06-07T23:01:47.562188Z</t>
  </si>
  <si>
    <t>2055-06-07T23:02:37.938599Z</t>
  </si>
  <si>
    <t>2055-06-07T23:04:02.385347Z</t>
  </si>
  <si>
    <t>2055-06-07T19:35:09.200488Z</t>
  </si>
  <si>
    <t>2055-06-07T19:46:42.870245Z</t>
  </si>
  <si>
    <t>2055-06-07T19:01:47.562188Z</t>
  </si>
  <si>
    <t>2055-06-07T19:04:02.385347Z</t>
  </si>
  <si>
    <t>2055-06-05T18:42:52.967436Z</t>
  </si>
  <si>
    <t>2055-06-05T20:14:04.034Z</t>
  </si>
  <si>
    <t>2055-06-05T19:45:51.034Z</t>
  </si>
  <si>
    <t>2055-06-05T19:17:18.350912Z</t>
  </si>
  <si>
    <t>2055-06-05T19:36:24.807109Z</t>
  </si>
  <si>
    <t>2055-06-05T18:46:07.444459Z</t>
  </si>
  <si>
    <t>2055-06-05T18:46:14.210961Z</t>
  </si>
  <si>
    <t>2055-06-05T19:17:22.185747Z</t>
  </si>
  <si>
    <t>2055-06-05T15:17:18.350912Z</t>
  </si>
  <si>
    <t>2055-06-05T15:36:24.807109Z</t>
  </si>
  <si>
    <t>2055-06-05T14:46:07.444459Z</t>
  </si>
  <si>
    <t>2055-06-05T15:17:22.185747Z</t>
  </si>
  <si>
    <t>2055-06-13T01:46:17.184554Z</t>
  </si>
  <si>
    <t>2055-06-13T02:49:19.229Z</t>
  </si>
  <si>
    <t>2055-06-13T02:26:01.229Z</t>
  </si>
  <si>
    <t>2055-06-13T02:12:59.010644Z</t>
  </si>
  <si>
    <t>2055-06-13T02:32:05.934807Z</t>
  </si>
  <si>
    <t>2055-06-13T01:53:14.466606Z</t>
  </si>
  <si>
    <t>2055-06-13T01:53:18.810633Z</t>
  </si>
  <si>
    <t>2055-06-13T02:09:24.343696Z</t>
  </si>
  <si>
    <t>2055-06-12T22:12:59.010644Z</t>
  </si>
  <si>
    <t>2055-06-12T22:32:05.934807Z</t>
  </si>
  <si>
    <t>2055-06-12T21:53:14.466606Z</t>
  </si>
  <si>
    <t>2055-06-12T22:09:24.343696Z</t>
  </si>
  <si>
    <t>2055-06-02T15:27:17.934424Z</t>
  </si>
  <si>
    <t>2055-06-02T16:19:54.005Z</t>
  </si>
  <si>
    <t>2055-06-02T16:06:01.005Z</t>
  </si>
  <si>
    <t>2055-06-02T15:49:15.35727Z</t>
  </si>
  <si>
    <t>2055-06-02T16:13:32.563972Z</t>
  </si>
  <si>
    <t>2055-06-02T15:29:27.347054Z</t>
  </si>
  <si>
    <t>2055-06-02T15:29:36.102452Z</t>
  </si>
  <si>
    <t>2055-06-02T15:38:41.537246Z</t>
  </si>
  <si>
    <t>2055-06-02T11:49:15.35727Z</t>
  </si>
  <si>
    <t>2055-06-02T12:13:32.563972Z</t>
  </si>
  <si>
    <t>2055-06-02T11:29:27.347054Z</t>
  </si>
  <si>
    <t>2055-06-02T11:38:41.537246Z</t>
  </si>
  <si>
    <t>2055-06-01T22:43:15.672735Z</t>
  </si>
  <si>
    <t>2055-06-01T23:38:16.73Z</t>
  </si>
  <si>
    <t>2055-06-01T23:16:22.73Z</t>
  </si>
  <si>
    <t>2055-06-01T23:10:54.405726Z</t>
  </si>
  <si>
    <t>2055-06-01T23:17:53.429063Z</t>
  </si>
  <si>
    <t>2055-06-01T22:55:54.725462Z</t>
  </si>
  <si>
    <t>2055-06-01T22:56:07.166004Z</t>
  </si>
  <si>
    <t>2055-06-01T23:10:54.425366Z</t>
  </si>
  <si>
    <t>2055-06-01T19:10:54.405726Z</t>
  </si>
  <si>
    <t>2055-06-01T19:17:53.429063Z</t>
  </si>
  <si>
    <t>2055-06-01T18:55:54.725462Z</t>
  </si>
  <si>
    <t>2055-06-01T19:10:54.425366Z</t>
  </si>
  <si>
    <t>2055-06-02T20:58:21.649246Z</t>
  </si>
  <si>
    <t>2055-06-02T21:53:21.732Z</t>
  </si>
  <si>
    <t>2055-06-02T21:32:32.732Z</t>
  </si>
  <si>
    <t>2055-06-02T21:56:46.484053Z</t>
  </si>
  <si>
    <t>2055-06-02T22:20:04.801073Z</t>
  </si>
  <si>
    <t>2055-06-02T20:58:27.339909Z</t>
  </si>
  <si>
    <t>2055-06-02T20:58:39.499155Z</t>
  </si>
  <si>
    <t>2055-06-02T21:20:35.271337Z</t>
  </si>
  <si>
    <t>2055-06-02T17:56:46.484053Z</t>
  </si>
  <si>
    <t>2055-06-02T18:20:04.801073Z</t>
  </si>
  <si>
    <t>2055-06-02T16:58:27.339909Z</t>
  </si>
  <si>
    <t>2055-06-02T17:20:35.271337Z</t>
  </si>
  <si>
    <t>2055-06-02T23:00:58.544939Z</t>
  </si>
  <si>
    <t>2055-06-02T23:48:48.601Z</t>
  </si>
  <si>
    <t>2055-06-02T23:39:09.601Z</t>
  </si>
  <si>
    <t>2055-06-02T23:31:23.011178Z</t>
  </si>
  <si>
    <t>2055-06-02T23:48:09.945431Z</t>
  </si>
  <si>
    <t>2055-06-02T23:02:47.348167Z</t>
  </si>
  <si>
    <t>2055-06-02T23:02:56.353344Z</t>
  </si>
  <si>
    <t>2055-06-02T23:20:10.50027Z</t>
  </si>
  <si>
    <t>2055-06-02T19:31:23.011178Z</t>
  </si>
  <si>
    <t>2055-06-02T19:48:09.945431Z</t>
  </si>
  <si>
    <t>2055-06-02T19:02:47.348167Z</t>
  </si>
  <si>
    <t>2055-06-02T19:20:10.50027Z</t>
  </si>
  <si>
    <t>2055-06-03T20:17:12.510549Z</t>
  </si>
  <si>
    <t>2055-06-03T21:10:15.583Z</t>
  </si>
  <si>
    <t>2055-06-03T20:50:36.583Z</t>
  </si>
  <si>
    <t>2055-06-03T20:36:34.030601Z</t>
  </si>
  <si>
    <t>2055-06-03T20:56:37.666849Z</t>
  </si>
  <si>
    <t>2055-06-03T20:23:14.147312Z</t>
  </si>
  <si>
    <t>2055-06-03T20:23:27.102757Z</t>
  </si>
  <si>
    <t>2055-06-03T20:26:18.05157Z</t>
  </si>
  <si>
    <t>2055-06-03T16:36:34.030601Z</t>
  </si>
  <si>
    <t>2055-06-03T16:56:37.666849Z</t>
  </si>
  <si>
    <t>2055-06-03T16:23:14.147312Z</t>
  </si>
  <si>
    <t>2055-06-03T16:26:18.05157Z</t>
  </si>
  <si>
    <t>2055-06-04T22:18:06.833799Z</t>
  </si>
  <si>
    <t>2055-06-04T23:13:32.902Z</t>
  </si>
  <si>
    <t>2055-06-04T23:03:25.902Z</t>
  </si>
  <si>
    <t>2055-06-04T22:38:30.658533Z</t>
  </si>
  <si>
    <t>2055-06-04T22:59:07.935059Z</t>
  </si>
  <si>
    <t>2055-06-04T22:18:27.475936Z</t>
  </si>
  <si>
    <t>2055-06-04T22:18:47.745048Z</t>
  </si>
  <si>
    <t>2055-06-04T22:29:47.396118Z</t>
  </si>
  <si>
    <t>2055-06-04T18:38:30.658533Z</t>
  </si>
  <si>
    <t>2055-06-04T18:59:07.935059Z</t>
  </si>
  <si>
    <t>2055-06-04T18:18:27.475936Z</t>
  </si>
  <si>
    <t>2055-06-04T18:29:47.396118Z</t>
  </si>
  <si>
    <t>2055-06-05T01:29:12.988004Z</t>
  </si>
  <si>
    <t>2055-06-05T02:16:46.139Z</t>
  </si>
  <si>
    <t>2055-06-05T02:07:53.139Z</t>
  </si>
  <si>
    <t>2055-06-05T02:05:37.217012Z</t>
  </si>
  <si>
    <t>2055-06-05T02:23:55.248645Z</t>
  </si>
  <si>
    <t>2055-06-05T01:29:27.408431Z</t>
  </si>
  <si>
    <t>2055-06-05T01:29:38.136029Z</t>
  </si>
  <si>
    <t>2055-06-04T22:05:37.217012Z</t>
  </si>
  <si>
    <t>2055-06-04T22:23:55.248645Z</t>
  </si>
  <si>
    <t>2055-06-04T21:29:27.408431Z</t>
  </si>
  <si>
    <t>2055-06-05T21:05:00.691766Z</t>
  </si>
  <si>
    <t>2055-06-05T21:42:34.784Z</t>
  </si>
  <si>
    <t>2055-06-05T21:38:41.784Z</t>
  </si>
  <si>
    <t>2055-06-05T21:40:47.559464Z</t>
  </si>
  <si>
    <t>2055-06-05T21:57:32.119578Z</t>
  </si>
  <si>
    <t>2055-06-05T21:08:14.462138Z</t>
  </si>
  <si>
    <t>2055-06-05T21:08:24.15345Z</t>
  </si>
  <si>
    <t>2055-06-05T21:38:33.426965Z</t>
  </si>
  <si>
    <t>2055-06-05T17:40:47.559464Z</t>
  </si>
  <si>
    <t>2055-06-05T17:57:32.119578Z</t>
  </si>
  <si>
    <t>2055-06-05T17:08:14.462138Z</t>
  </si>
  <si>
    <t>2055-06-05T17:38:33.426965Z</t>
  </si>
  <si>
    <t>2055-06-06T17:30:35.919706Z</t>
  </si>
  <si>
    <t>2055-06-06T18:15:36.074Z</t>
  </si>
  <si>
    <t>2055-06-06T17:53:45.074Z</t>
  </si>
  <si>
    <t>2055-06-06T17:55:30.32519Z</t>
  </si>
  <si>
    <t>2055-06-06T18:04:39.517534Z</t>
  </si>
  <si>
    <t>2055-06-06T17:31:47.24201Z</t>
  </si>
  <si>
    <t>2055-06-06T17:31:52.994113Z</t>
  </si>
  <si>
    <t>2055-06-06T17:54:58.449149Z</t>
  </si>
  <si>
    <t>2055-06-06T13:55:30.32519Z</t>
  </si>
  <si>
    <t>2055-06-06T14:04:39.517534Z</t>
  </si>
  <si>
    <t>2055-06-06T13:31:47.24201Z</t>
  </si>
  <si>
    <t>2055-06-06T13:54:58.449149Z</t>
  </si>
  <si>
    <t>2055-06-08T18:42:29.635853Z</t>
  </si>
  <si>
    <t>2055-06-08T20:11:32.697Z</t>
  </si>
  <si>
    <t>2055-06-08T19:43:19.697Z</t>
  </si>
  <si>
    <t>2055-06-08T19:47:00.102911Z</t>
  </si>
  <si>
    <t>2055-06-08T20:02:40.948932Z</t>
  </si>
  <si>
    <t>2055-06-08T19:29:26.898465Z</t>
  </si>
  <si>
    <t>2055-06-08T19:29:38.346963Z</t>
  </si>
  <si>
    <t>2055-06-08T19:42:33.978666Z</t>
  </si>
  <si>
    <t>2055-06-08T15:47:00.102911Z</t>
  </si>
  <si>
    <t>2055-06-08T16:02:40.948932Z</t>
  </si>
  <si>
    <t>2055-06-08T15:29:26.898465Z</t>
  </si>
  <si>
    <t>2055-06-08T15:42:33.978666Z</t>
  </si>
  <si>
    <t>2055-06-12T00:59:08.528947Z</t>
  </si>
  <si>
    <t>2055-06-12T01:54:11.608Z</t>
  </si>
  <si>
    <t>2055-06-12T01:35:18.608Z</t>
  </si>
  <si>
    <t>2055-06-12T01:27:49.035047Z</t>
  </si>
  <si>
    <t>2055-06-12T01:39:53.588369Z</t>
  </si>
  <si>
    <t>2055-06-12T01:05:14.35961Z</t>
  </si>
  <si>
    <t>2055-06-12T01:05:26.760604Z</t>
  </si>
  <si>
    <t>2055-06-12T01:15:05.374236Z</t>
  </si>
  <si>
    <t>2055-06-11T21:27:49.035047Z</t>
  </si>
  <si>
    <t>2055-06-11T21:39:53.588369Z</t>
  </si>
  <si>
    <t>2055-06-11T21:05:14.35961Z</t>
  </si>
  <si>
    <t>2055-06-11T21:15:05.374236Z</t>
  </si>
  <si>
    <t>2055-06-12T21:52:17.921283Z</t>
  </si>
  <si>
    <t>2055-06-12T22:53:42.975Z</t>
  </si>
  <si>
    <t>2055-06-12T22:34:49.975Z</t>
  </si>
  <si>
    <t>2055-06-12T22:13:07.679434Z</t>
  </si>
  <si>
    <t>2055-06-12T22:26:04.744407Z</t>
  </si>
  <si>
    <t>2055-06-12T21:52:34.808415Z</t>
  </si>
  <si>
    <t>2055-06-12T21:52:45.697494Z</t>
  </si>
  <si>
    <t>2055-06-12T21:57:53.608102Z</t>
  </si>
  <si>
    <t>2055-06-12T18:13:07.679434Z</t>
  </si>
  <si>
    <t>2055-06-12T18:26:04.744407Z</t>
  </si>
  <si>
    <t>2055-06-12T17:52:34.808415Z</t>
  </si>
  <si>
    <t>2055-06-12T17:57:53.608102Z</t>
  </si>
  <si>
    <t>2055-06-07T01:22:55.352389Z</t>
  </si>
  <si>
    <t>2055-06-07T02:03:19.432Z</t>
  </si>
  <si>
    <t>2055-06-07T01:58:40.432Z</t>
  </si>
  <si>
    <t>2055-06-07T01:45:23.662391Z</t>
  </si>
  <si>
    <t>2055-06-07T01:50:48.646555Z</t>
  </si>
  <si>
    <t>2055-06-07T01:27:54.204462Z</t>
  </si>
  <si>
    <t>2055-06-07T01:28:05.964567Z</t>
  </si>
  <si>
    <t>2055-06-07T01:43:29.513382Z</t>
  </si>
  <si>
    <t>2055-06-06T21:45:23.662391Z</t>
  </si>
  <si>
    <t>2055-06-06T21:50:48.646555Z</t>
  </si>
  <si>
    <t>2055-06-06T21:27:54.204462Z</t>
  </si>
  <si>
    <t>2055-06-06T21:43:29.513382Z</t>
  </si>
  <si>
    <t>2055-06-02T16:07:33.883339Z</t>
  </si>
  <si>
    <t>2055-06-02T17:02:33.969Z</t>
  </si>
  <si>
    <t>2055-06-02T16:32:30.969Z</t>
  </si>
  <si>
    <t>2055-06-02T16:27:29.550897Z</t>
  </si>
  <si>
    <t>2055-06-02T16:40:35.483687Z</t>
  </si>
  <si>
    <t>2055-06-02T16:07:47.282124Z</t>
  </si>
  <si>
    <t>2055-06-02T16:08:00.710963Z</t>
  </si>
  <si>
    <t>2055-06-02T16:16:03.99696Z</t>
  </si>
  <si>
    <t>2055-06-02T12:27:29.550897Z</t>
  </si>
  <si>
    <t>2055-06-02T12:40:35.483687Z</t>
  </si>
  <si>
    <t>2055-06-02T12:07:47.282124Z</t>
  </si>
  <si>
    <t>2055-06-02T12:16:03.99696Z</t>
  </si>
  <si>
    <t>2055-06-12T23:24:39.672248Z</t>
  </si>
  <si>
    <t>2055-06-13T00:04:38.769Z</t>
  </si>
  <si>
    <t>2055-06-12T23:57:44.769Z</t>
  </si>
  <si>
    <t>2055-06-12T23:55:17.0331Z</t>
  </si>
  <si>
    <t>2055-06-13T00:03:36.514693Z</t>
  </si>
  <si>
    <t>2055-06-12T23:27:55.747352Z</t>
  </si>
  <si>
    <t>2055-06-12T23:28:14.824601Z</t>
  </si>
  <si>
    <t>2055-06-12T23:35:27.893788Z</t>
  </si>
  <si>
    <t>2055-06-12T19:55:17.0331Z</t>
  </si>
  <si>
    <t>2055-06-12T20:03:36.514693Z</t>
  </si>
  <si>
    <t>2055-06-12T19:27:55.747352Z</t>
  </si>
  <si>
    <t>2055-06-12T19:35:27.893788Z</t>
  </si>
  <si>
    <t>2055-06-04T21:29:07.939864Z</t>
  </si>
  <si>
    <t>2055-06-04T22:37:54.022Z</t>
  </si>
  <si>
    <t>2055-06-04T22:24:01.022Z</t>
  </si>
  <si>
    <t>2055-06-04T21:41:19.108453Z</t>
  </si>
  <si>
    <t>2055-06-04T21:57:45.574973Z</t>
  </si>
  <si>
    <t>2055-06-04T21:29:27.371057Z</t>
  </si>
  <si>
    <t>2055-06-04T21:29:32.704786Z</t>
  </si>
  <si>
    <t>2055-06-04T21:36:30.483331Z</t>
  </si>
  <si>
    <t>2055-06-04T17:41:19.108453Z</t>
  </si>
  <si>
    <t>2055-06-04T17:57:45.574973Z</t>
  </si>
  <si>
    <t>2055-06-04T17:29:27.371057Z</t>
  </si>
  <si>
    <t>2055-06-04T17:36:30.483331Z</t>
  </si>
  <si>
    <t>2055-06-03T01:34:32.557841Z</t>
  </si>
  <si>
    <t>2055-06-03T02:38:21.618Z</t>
  </si>
  <si>
    <t>2055-06-03T02:28:40.618Z</t>
  </si>
  <si>
    <t>2055-06-03T02:02:50.778661Z</t>
  </si>
  <si>
    <t>2055-06-03T02:20:48.551566Z</t>
  </si>
  <si>
    <t>2055-06-03T01:55:14.390844Z</t>
  </si>
  <si>
    <t>2055-06-03T01:56:19.634559Z</t>
  </si>
  <si>
    <t>2055-06-02T22:02:50.778661Z</t>
  </si>
  <si>
    <t>2055-06-02T22:20:48.551566Z</t>
  </si>
  <si>
    <t>2055-06-02T21:55:14.390844Z</t>
  </si>
  <si>
    <t>2055-06-08T00:14:13.26931Z</t>
  </si>
  <si>
    <t>2055-06-08T01:11:04.33Z</t>
  </si>
  <si>
    <t>2055-06-08T00:49:10.33Z</t>
  </si>
  <si>
    <t>2055-06-08T01:31:46.8015Z</t>
  </si>
  <si>
    <t>2055-06-08T01:31:59.693284Z</t>
  </si>
  <si>
    <t>2055-06-08T00:16:07.394914Z</t>
  </si>
  <si>
    <t>2055-06-08T00:17:15.992395Z</t>
  </si>
  <si>
    <t>2055-06-07T21:31:46.8015Z</t>
  </si>
  <si>
    <t>2055-06-07T21:31:59.693284Z</t>
  </si>
  <si>
    <t>2055-06-07T20:16:07.394914Z</t>
  </si>
  <si>
    <t>2055-06-03T20:46:12.047092Z</t>
  </si>
  <si>
    <t>2055-06-03T21:49:18.115Z</t>
  </si>
  <si>
    <t>2055-06-03T21:30:25.115Z</t>
  </si>
  <si>
    <t>2055-06-03T21:11:47.736234Z</t>
  </si>
  <si>
    <t>2055-06-03T21:31:10.329123Z</t>
  </si>
  <si>
    <t>2055-06-03T20:46:27.268861Z</t>
  </si>
  <si>
    <t>2055-06-03T20:46:35.466587Z</t>
  </si>
  <si>
    <t>2055-06-03T21:07:03.088052Z</t>
  </si>
  <si>
    <t>2055-06-03T17:11:47.736234Z</t>
  </si>
  <si>
    <t>2055-06-03T17:31:10.329123Z</t>
  </si>
  <si>
    <t>2055-06-03T16:46:27.268861Z</t>
  </si>
  <si>
    <t>2055-06-03T17:07:03.088052Z</t>
  </si>
  <si>
    <t>2055-06-01T22:58:33.160986Z</t>
  </si>
  <si>
    <t>2055-06-01T23:52:59.233Z</t>
  </si>
  <si>
    <t>2055-06-01T23:42:52.233Z</t>
  </si>
  <si>
    <t>2055-06-01T23:42:08.746017Z</t>
  </si>
  <si>
    <t>2055-06-02T00:11:44.974947Z</t>
  </si>
  <si>
    <t>2055-06-01T22:59:07.401431Z</t>
  </si>
  <si>
    <t>2055-06-01T22:59:23.625809Z</t>
  </si>
  <si>
    <t>2055-06-01T19:42:08.746017Z</t>
  </si>
  <si>
    <t>2055-06-01T20:11:44.974947Z</t>
  </si>
  <si>
    <t>2055-06-01T18:59:07.401431Z</t>
  </si>
  <si>
    <t>2055-06-05T15:34:57.09557Z</t>
  </si>
  <si>
    <t>2055-06-05T16:36:05.173Z</t>
  </si>
  <si>
    <t>2055-06-05T16:17:12.173Z</t>
  </si>
  <si>
    <t>2055-06-05T17:17:25.745427Z</t>
  </si>
  <si>
    <t>2055-06-05T17:31:33.621313Z</t>
  </si>
  <si>
    <t>2055-06-05T16:30:07.255916Z</t>
  </si>
  <si>
    <t>2055-06-05T16:30:10.478416Z</t>
  </si>
  <si>
    <t>2055-06-05T13:17:25.745427Z</t>
  </si>
  <si>
    <t>2055-06-05T13:31:33.621313Z</t>
  </si>
  <si>
    <t>2055-06-05T12:30:07.255916Z</t>
  </si>
  <si>
    <t>2055-06-13T00:04:42.771537Z</t>
  </si>
  <si>
    <t>2055-06-13T01:02:03.837Z</t>
  </si>
  <si>
    <t>2055-06-13T00:40:09.837Z</t>
  </si>
  <si>
    <t>2055-06-13T00:39:46.756678Z</t>
  </si>
  <si>
    <t>2055-06-13T01:18:17.940059Z</t>
  </si>
  <si>
    <t>2055-06-13T00:08:34.128393Z</t>
  </si>
  <si>
    <t>2055-06-13T00:09:27.413773Z</t>
  </si>
  <si>
    <t>2055-06-13T00:24:27.697691Z</t>
  </si>
  <si>
    <t>2055-06-12T20:39:46.756678Z</t>
  </si>
  <si>
    <t>2055-06-12T21:18:17.940059Z</t>
  </si>
  <si>
    <t>2055-06-12T20:08:34.128393Z</t>
  </si>
  <si>
    <t>2055-06-12T20:24:27.697691Z</t>
  </si>
  <si>
    <t>2055-06-12T16:52:17.088755Z</t>
  </si>
  <si>
    <t>2055-06-12T18:08:51.241Z</t>
  </si>
  <si>
    <t>2055-06-12T17:49:58.241Z</t>
  </si>
  <si>
    <t>2055-06-12T17:32:45.107534Z</t>
  </si>
  <si>
    <t>2055-06-12T17:39:47.184Z</t>
  </si>
  <si>
    <t>2055-06-12T16:52:34.345721Z</t>
  </si>
  <si>
    <t>2055-06-12T16:52:47.193861Z</t>
  </si>
  <si>
    <t>2055-06-12T16:58:46.435229Z</t>
  </si>
  <si>
    <t>2055-06-12T13:32:45.107534Z</t>
  </si>
  <si>
    <t>2055-06-12T13:39:47.184Z</t>
  </si>
  <si>
    <t>2055-06-12T12:52:34.345721Z</t>
  </si>
  <si>
    <t>2055-06-12T12:58:46.435229Z</t>
  </si>
  <si>
    <t>2055-06-09T17:18:18.945008Z</t>
  </si>
  <si>
    <t>2055-06-09T17:57:47Z</t>
  </si>
  <si>
    <t>2055-06-09T17:47:40Z</t>
  </si>
  <si>
    <t>2055-06-09T17:34:40.645127Z</t>
  </si>
  <si>
    <t>2055-06-09T17:44:24.273999Z</t>
  </si>
  <si>
    <t>2055-06-09T17:21:34.547814Z</t>
  </si>
  <si>
    <t>2055-06-09T17:21:44.373294Z</t>
  </si>
  <si>
    <t>2055-06-09T13:34:40.645127Z</t>
  </si>
  <si>
    <t>2055-06-09T13:44:24.273999Z</t>
  </si>
  <si>
    <t>2055-06-09T13:21:34.547814Z</t>
  </si>
  <si>
    <t>2055-06-11T21:44:05.881452Z</t>
  </si>
  <si>
    <t>2055-06-11T22:29:33.953Z</t>
  </si>
  <si>
    <t>2055-06-11T22:10:40.953Z</t>
  </si>
  <si>
    <t>2055-06-11T21:58:06.683442Z</t>
  </si>
  <si>
    <t>2055-06-11T22:14:17.006063Z</t>
  </si>
  <si>
    <t>2055-06-11T21:45:54.448079Z</t>
  </si>
  <si>
    <t>2055-06-11T21:46:04.305703Z</t>
  </si>
  <si>
    <t>2055-06-11T21:51:57.513508Z</t>
  </si>
  <si>
    <t>2055-06-11T17:58:06.683442Z</t>
  </si>
  <si>
    <t>2055-06-11T18:14:17.006063Z</t>
  </si>
  <si>
    <t>2055-06-11T17:45:54.448079Z</t>
  </si>
  <si>
    <t>2055-06-11T17:51:57.513508Z</t>
  </si>
  <si>
    <t>2055-06-04T22:30:15.675089Z</t>
  </si>
  <si>
    <t>2055-06-04T23:45:28.742Z</t>
  </si>
  <si>
    <t>2055-06-04T23:20:47.742Z</t>
  </si>
  <si>
    <t>2055-06-04T23:24:48.302164Z</t>
  </si>
  <si>
    <t>2055-06-04T23:33:31.247731Z</t>
  </si>
  <si>
    <t>2055-06-04T22:37:07.684495Z</t>
  </si>
  <si>
    <t>2055-06-04T22:37:10.919701Z</t>
  </si>
  <si>
    <t>2055-06-04T22:46:44.101497Z</t>
  </si>
  <si>
    <t>2055-06-04T19:24:48.302164Z</t>
  </si>
  <si>
    <t>2055-06-04T19:33:31.247731Z</t>
  </si>
  <si>
    <t>2055-06-04T18:37:07.684495Z</t>
  </si>
  <si>
    <t>2055-06-04T18:46:44.101497Z</t>
  </si>
  <si>
    <t>2055-06-12T22:13:27.649677Z</t>
  </si>
  <si>
    <t>2055-06-13T01:15:00Z</t>
  </si>
  <si>
    <t>2055-06-13T00:49:10.304095Z</t>
  </si>
  <si>
    <t>2055-06-13T01:06:30.818279Z</t>
  </si>
  <si>
    <t>2055-06-13T00:20:55.576248Z</t>
  </si>
  <si>
    <t>2055-06-13T00:21:26.262827Z</t>
  </si>
  <si>
    <t>2055-06-13T00:37:32.517911Z</t>
  </si>
  <si>
    <t>2055-06-12T20:49:10.304095Z</t>
  </si>
  <si>
    <t>2055-06-12T21:06:30.818279Z</t>
  </si>
  <si>
    <t>2055-06-12T20:20:55.576248Z</t>
  </si>
  <si>
    <t>2055-06-12T20:37:32.517911Z</t>
  </si>
  <si>
    <t>2055-06-02T16:02:17.316234Z</t>
  </si>
  <si>
    <t>2055-06-02T17:16:10.379Z</t>
  </si>
  <si>
    <t>2055-06-02T16:54:16.379Z</t>
  </si>
  <si>
    <t>2055-06-02T16:45:28.471607Z</t>
  </si>
  <si>
    <t>2055-06-02T16:59:34.92808Z</t>
  </si>
  <si>
    <t>2055-06-02T16:07:34.402166Z</t>
  </si>
  <si>
    <t>2055-06-02T16:07:38.94121Z</t>
  </si>
  <si>
    <t>2055-06-02T16:30:01.298369Z</t>
  </si>
  <si>
    <t>2055-06-02T12:45:28.471607Z</t>
  </si>
  <si>
    <t>2055-06-02T12:59:34.92808Z</t>
  </si>
  <si>
    <t>2055-06-02T12:07:34.402166Z</t>
  </si>
  <si>
    <t>2055-06-02T12:30:01.298369Z</t>
  </si>
  <si>
    <t>2055-06-02T17:33:44.640539Z</t>
  </si>
  <si>
    <t>2055-06-02T18:40:48.729Z</t>
  </si>
  <si>
    <t>2055-06-02T18:20:41.729Z</t>
  </si>
  <si>
    <t>2055-06-02T17:56:51.787311Z</t>
  </si>
  <si>
    <t>2055-06-02T18:17:09.613003Z</t>
  </si>
  <si>
    <t>2055-06-02T17:36:07.374318Z</t>
  </si>
  <si>
    <t>2055-06-02T17:36:20.757069Z</t>
  </si>
  <si>
    <t>2055-06-02T17:54:03.054114Z</t>
  </si>
  <si>
    <t>2055-06-02T13:56:51.787311Z</t>
  </si>
  <si>
    <t>2055-06-02T14:17:09.613003Z</t>
  </si>
  <si>
    <t>2055-06-02T13:36:07.374318Z</t>
  </si>
  <si>
    <t>2055-06-02T13:54:03.054114Z</t>
  </si>
  <si>
    <t>Eddy</t>
  </si>
  <si>
    <t>2055-06-05T19:13:05.321653Z</t>
  </si>
  <si>
    <t>2055-06-05T20:08:27.405Z</t>
  </si>
  <si>
    <t>2055-06-05T19:48:48.405Z</t>
  </si>
  <si>
    <t>2055-06-05T19:34:04.615654Z</t>
  </si>
  <si>
    <t>2055-06-05T20:23:51.936637Z</t>
  </si>
  <si>
    <t>2055-06-05T19:19:14.198057Z</t>
  </si>
  <si>
    <t>2055-06-05T19:21:02.356521Z</t>
  </si>
  <si>
    <t>2055-06-05T19:31:26.617044Z</t>
  </si>
  <si>
    <t>2055-06-05T15:34:04.615654Z</t>
  </si>
  <si>
    <t>2055-06-05T16:23:51.936637Z</t>
  </si>
  <si>
    <t>2055-06-05T15:19:14.198057Z</t>
  </si>
  <si>
    <t>2055-06-05T15:31:26.617044Z</t>
  </si>
  <si>
    <t>2055-06-06T21:51:39.477344Z</t>
  </si>
  <si>
    <t>2055-06-06T22:38:08.554Z</t>
  </si>
  <si>
    <t>2055-06-06T22:28:29.554Z</t>
  </si>
  <si>
    <t>2055-06-06T22:07:29.689304Z</t>
  </si>
  <si>
    <t>2055-06-06T22:36:46.054508Z</t>
  </si>
  <si>
    <t>2055-06-06T21:52:07.378575Z</t>
  </si>
  <si>
    <t>2055-06-06T21:52:28.611487Z</t>
  </si>
  <si>
    <t>2055-06-06T21:56:26.567094Z</t>
  </si>
  <si>
    <t>2055-06-06T18:07:29.689304Z</t>
  </si>
  <si>
    <t>2055-06-06T18:36:46.054508Z</t>
  </si>
  <si>
    <t>2055-06-06T17:52:07.378575Z</t>
  </si>
  <si>
    <t>2055-06-06T17:56:26.567094Z</t>
  </si>
  <si>
    <t>2055-06-09T18:19:15.157665Z</t>
  </si>
  <si>
    <t>2055-06-09T19:24:59.229Z</t>
  </si>
  <si>
    <t>2055-06-09T19:01:41.229Z</t>
  </si>
  <si>
    <t>2055-06-09T19:12:28.838713Z</t>
  </si>
  <si>
    <t>2055-06-09T19:26:29.400864Z</t>
  </si>
  <si>
    <t>2055-06-09T18:51:34.152557Z</t>
  </si>
  <si>
    <t>2055-06-09T18:53:23.273878Z</t>
  </si>
  <si>
    <t>2055-06-09T19:08:22.852639Z</t>
  </si>
  <si>
    <t>2055-06-09T15:12:28.838713Z</t>
  </si>
  <si>
    <t>2055-06-09T15:26:29.400864Z</t>
  </si>
  <si>
    <t>2055-06-09T14:51:34.152557Z</t>
  </si>
  <si>
    <t>2055-06-09T15:08:22.852639Z</t>
  </si>
  <si>
    <t>2055-06-02T00:22:01.30579Z</t>
  </si>
  <si>
    <t>2055-06-02T01:31:50.374Z</t>
  </si>
  <si>
    <t>2055-06-02T01:16:43.374Z</t>
  </si>
  <si>
    <t>2055-06-02T00:53:26.041539Z</t>
  </si>
  <si>
    <t>2055-06-02T01:11:08.511943Z</t>
  </si>
  <si>
    <t>2055-06-02T00:34:34.864498Z</t>
  </si>
  <si>
    <t>2055-06-02T00:34:59.47718Z</t>
  </si>
  <si>
    <t>2055-06-02T00:40:28.648223Z</t>
  </si>
  <si>
    <t>2055-06-01T20:53:26.041539Z</t>
  </si>
  <si>
    <t>2055-06-01T21:11:08.511943Z</t>
  </si>
  <si>
    <t>2055-06-01T20:34:34.864498Z</t>
  </si>
  <si>
    <t>2055-06-01T20:40:28.648223Z</t>
  </si>
  <si>
    <t>2055-06-07T23:20:16.662095Z</t>
  </si>
  <si>
    <t>2055-06-08T00:15:16.714Z</t>
  </si>
  <si>
    <t>2055-06-07T23:47:13.714Z</t>
  </si>
  <si>
    <t>2055-06-07T23:44:43.464016Z</t>
  </si>
  <si>
    <t>2055-06-07T23:50:19.213194Z</t>
  </si>
  <si>
    <t>2055-06-07T23:25:47.47115Z</t>
  </si>
  <si>
    <t>2055-06-07T23:25:54.043714Z</t>
  </si>
  <si>
    <t>2055-06-07T19:44:43.464016Z</t>
  </si>
  <si>
    <t>2055-06-07T19:50:19.213194Z</t>
  </si>
  <si>
    <t>2055-06-07T19:25:47.47115Z</t>
  </si>
  <si>
    <t>2055-06-08T11:45:42.528991Z</t>
  </si>
  <si>
    <t>2055-06-08T13:47:18.316705Z</t>
  </si>
  <si>
    <t>2055-06-08T14:01:35.126631Z</t>
  </si>
  <si>
    <t>2055-06-08T13:27:33.550764Z</t>
  </si>
  <si>
    <t>2055-06-08T13:27:41.200529Z</t>
  </si>
  <si>
    <t>2055-06-08T13:47:21.367629Z</t>
  </si>
  <si>
    <t>2055-06-08T09:47:18.316705Z</t>
  </si>
  <si>
    <t>2055-06-08T10:01:35.126631Z</t>
  </si>
  <si>
    <t>2055-06-08T09:27:33.550764Z</t>
  </si>
  <si>
    <t>2055-06-08T09:47:21.367629Z</t>
  </si>
  <si>
    <t>2055-06-05T22:22:09.041319Z</t>
  </si>
  <si>
    <t>2055-06-05T23:17:09.123Z</t>
  </si>
  <si>
    <t>2055-06-05T22:55:29.123Z</t>
  </si>
  <si>
    <t>2055-06-05T22:40:07.622269Z</t>
  </si>
  <si>
    <t>2055-06-05T22:51:46.459353Z</t>
  </si>
  <si>
    <t>2055-06-05T22:23:07.590634Z</t>
  </si>
  <si>
    <t>2055-06-05T22:23:19.959156Z</t>
  </si>
  <si>
    <t>2055-06-05T22:42:35.358491Z</t>
  </si>
  <si>
    <t>2055-06-05T18:40:07.622269Z</t>
  </si>
  <si>
    <t>2055-06-05T18:51:46.459353Z</t>
  </si>
  <si>
    <t>2055-06-05T18:23:07.590634Z</t>
  </si>
  <si>
    <t>2055-06-05T18:42:35.358491Z</t>
  </si>
  <si>
    <t>2055-06-06T22:33:47.817577Z</t>
  </si>
  <si>
    <t>2055-06-06T23:43:49.865Z</t>
  </si>
  <si>
    <t>2055-06-06T23:28:00.865Z</t>
  </si>
  <si>
    <t>2055-06-06T23:16:04.853453Z</t>
  </si>
  <si>
    <t>2055-06-06T23:26:24.357092Z</t>
  </si>
  <si>
    <t>2055-06-06T22:36:47.512171Z</t>
  </si>
  <si>
    <t>2055-06-06T22:36:50.975823Z</t>
  </si>
  <si>
    <t>2055-06-06T23:14:14.468798Z</t>
  </si>
  <si>
    <t>2055-06-06T19:16:04.853453Z</t>
  </si>
  <si>
    <t>2055-06-06T19:26:24.357092Z</t>
  </si>
  <si>
    <t>2055-06-06T18:36:47.512171Z</t>
  </si>
  <si>
    <t>2055-06-06T19:14:14.468798Z</t>
  </si>
  <si>
    <t>2055-06-05T16:06:55.116621Z</t>
  </si>
  <si>
    <t>2055-06-05T17:08:05.207Z</t>
  </si>
  <si>
    <t>2055-06-05T16:47:58.207Z</t>
  </si>
  <si>
    <t>2055-06-05T16:28:35.441961Z</t>
  </si>
  <si>
    <t>2055-06-05T16:39:27.029425Z</t>
  </si>
  <si>
    <t>2055-06-05T16:16:27.356092Z</t>
  </si>
  <si>
    <t>2055-06-05T16:16:34.81938Z</t>
  </si>
  <si>
    <t>2055-06-05T16:25:34.493648Z</t>
  </si>
  <si>
    <t>2055-06-05T12:28:35.441961Z</t>
  </si>
  <si>
    <t>2055-06-05T12:39:27.029425Z</t>
  </si>
  <si>
    <t>2055-06-05T12:16:27.356092Z</t>
  </si>
  <si>
    <t>2055-06-05T12:25:34.493648Z</t>
  </si>
  <si>
    <t>2055-06-08T16:29:55.847621Z</t>
  </si>
  <si>
    <t>2055-06-08T17:07:33.935Z</t>
  </si>
  <si>
    <t>2055-06-08T17:02:26.935Z</t>
  </si>
  <si>
    <t>2055-06-08T17:03:52.738705Z</t>
  </si>
  <si>
    <t>2055-06-08T20:06:59.512666Z</t>
  </si>
  <si>
    <t>2055-06-08T16:40:15.226342Z</t>
  </si>
  <si>
    <t>2055-06-08T16:40:28.247132Z</t>
  </si>
  <si>
    <t>2055-06-08T17:03:55.445968Z</t>
  </si>
  <si>
    <t>2055-06-08T13:03:52.738705Z</t>
  </si>
  <si>
    <t>2055-06-08T16:06:59.512666Z</t>
  </si>
  <si>
    <t>2055-06-08T12:40:15.226342Z</t>
  </si>
  <si>
    <t>2055-06-08T13:03:55.445968Z</t>
  </si>
  <si>
    <t>2055-06-13T15:17:32.332022Z</t>
  </si>
  <si>
    <t>2055-06-13T16:08:50.394Z</t>
  </si>
  <si>
    <t>2055-06-13T15:53:43.394Z</t>
  </si>
  <si>
    <t>2055-06-13T15:47:18.131123Z</t>
  </si>
  <si>
    <t>2055-06-13T16:20:19.785734Z</t>
  </si>
  <si>
    <t>2055-06-13T15:21:14.253368Z</t>
  </si>
  <si>
    <t>2055-06-13T15:21:31.125989Z</t>
  </si>
  <si>
    <t>2055-06-13T15:42:02.171838Z</t>
  </si>
  <si>
    <t>2055-06-13T11:47:18.131123Z</t>
  </si>
  <si>
    <t>2055-06-13T12:20:19.785734Z</t>
  </si>
  <si>
    <t>2055-06-13T11:21:14.253368Z</t>
  </si>
  <si>
    <t>2055-06-13T11:42:02.171838Z</t>
  </si>
  <si>
    <t>2055-06-07T23:01:25.351329Z</t>
  </si>
  <si>
    <t>2055-06-08T00:13:53.438Z</t>
  </si>
  <si>
    <t>2055-06-07T23:50:35.438Z</t>
  </si>
  <si>
    <t>2055-06-07T23:45:34.623735Z</t>
  </si>
  <si>
    <t>2055-06-07T23:58:43.19214Z</t>
  </si>
  <si>
    <t>2055-06-07T23:10:27.298417Z</t>
  </si>
  <si>
    <t>2055-06-07T23:10:38.75454Z</t>
  </si>
  <si>
    <t>2055-06-07T23:43:46.709423Z</t>
  </si>
  <si>
    <t>2055-06-07T19:45:34.623735Z</t>
  </si>
  <si>
    <t>2055-06-07T19:58:43.19214Z</t>
  </si>
  <si>
    <t>2055-06-07T19:10:27.298417Z</t>
  </si>
  <si>
    <t>2055-06-07T19:43:46.709423Z</t>
  </si>
  <si>
    <t>2055-06-06T20:49:22.056881Z</t>
  </si>
  <si>
    <t>2055-06-06T21:34:22.116Z</t>
  </si>
  <si>
    <t>2055-06-06T21:15:26.116Z</t>
  </si>
  <si>
    <t>2055-06-06T21:24:02.692103Z</t>
  </si>
  <si>
    <t>2055-06-06T21:42:23.006018Z</t>
  </si>
  <si>
    <t>2055-06-06T20:49:27.297561Z</t>
  </si>
  <si>
    <t>2055-06-06T20:49:39.612322Z</t>
  </si>
  <si>
    <t>2055-06-06T21:00:28.316379Z</t>
  </si>
  <si>
    <t>2055-06-06T17:24:02.692103Z</t>
  </si>
  <si>
    <t>2055-06-06T17:42:23.006018Z</t>
  </si>
  <si>
    <t>2055-06-06T16:49:27.297561Z</t>
  </si>
  <si>
    <t>2055-06-06T17:00:28.316379Z</t>
  </si>
  <si>
    <t>2055-06-05T21:09:40.857981Z</t>
  </si>
  <si>
    <t>2055-06-05T22:04:41.05Z</t>
  </si>
  <si>
    <t>2055-06-05T21:39:07.05Z</t>
  </si>
  <si>
    <t>2055-06-05T21:25:40.92229Z</t>
  </si>
  <si>
    <t>2055-06-05T21:32:41.968334Z</t>
  </si>
  <si>
    <t>2055-06-05T21:09:47.363879Z</t>
  </si>
  <si>
    <t>2055-06-05T21:10:12.890124Z</t>
  </si>
  <si>
    <t>2055-06-05T21:12:03.863509Z</t>
  </si>
  <si>
    <t>2055-06-05T17:25:40.92229Z</t>
  </si>
  <si>
    <t>2055-06-05T17:32:41.968334Z</t>
  </si>
  <si>
    <t>2055-06-05T17:09:47.363879Z</t>
  </si>
  <si>
    <t>2055-06-05T17:12:03.863509Z</t>
  </si>
  <si>
    <t>2055-06-04T23:26:41.942129Z</t>
  </si>
  <si>
    <t>2055-06-05T00:23:33.998Z</t>
  </si>
  <si>
    <t>2055-06-05T00:03:54.998Z</t>
  </si>
  <si>
    <t>2055-06-04T23:58:15.937199Z</t>
  </si>
  <si>
    <t>2055-06-05T00:16:42.572781Z</t>
  </si>
  <si>
    <t>2055-06-04T23:27:47.361877Z</t>
  </si>
  <si>
    <t>2055-06-04T23:28:45.761631Z</t>
  </si>
  <si>
    <t>2055-06-04T19:58:15.937199Z</t>
  </si>
  <si>
    <t>2055-06-04T20:16:42.572781Z</t>
  </si>
  <si>
    <t>2055-06-04T19:27:47.361877Z</t>
  </si>
  <si>
    <t>2055-06-01T21:28:28.414995Z</t>
  </si>
  <si>
    <t>2055-06-01T22:28:53.484Z</t>
  </si>
  <si>
    <t>2055-06-01T22:15:00.484Z</t>
  </si>
  <si>
    <t>2055-06-01T22:01:28.740935Z</t>
  </si>
  <si>
    <t>2055-06-01T22:21:44.189111Z</t>
  </si>
  <si>
    <t>2055-06-01T21:31:14.20834Z</t>
  </si>
  <si>
    <t>2055-06-01T21:31:20.343366Z</t>
  </si>
  <si>
    <t>2055-06-01T21:47:24.75223Z</t>
  </si>
  <si>
    <t>2055-06-01T18:01:28.740935Z</t>
  </si>
  <si>
    <t>2055-06-01T18:21:44.189111Z</t>
  </si>
  <si>
    <t>2055-06-01T17:31:14.20834Z</t>
  </si>
  <si>
    <t>2055-06-01T17:47:24.75223Z</t>
  </si>
  <si>
    <t>2055-06-03T22:33:39.054428Z</t>
  </si>
  <si>
    <t>2055-06-03T23:28:39.13Z</t>
  </si>
  <si>
    <t>2055-06-03T23:06:05.13Z</t>
  </si>
  <si>
    <t>2055-06-03T22:50:49.744728Z</t>
  </si>
  <si>
    <t>2055-06-03T23:08:35.686044Z</t>
  </si>
  <si>
    <t>2055-06-03T22:33:47.403277Z</t>
  </si>
  <si>
    <t>2055-06-03T22:34:00.753385Z</t>
  </si>
  <si>
    <t>2055-06-03T22:57:17.151669Z</t>
  </si>
  <si>
    <t>2055-06-03T18:50:49.744728Z</t>
  </si>
  <si>
    <t>2055-06-03T19:08:35.686044Z</t>
  </si>
  <si>
    <t>2055-06-03T18:33:47.403277Z</t>
  </si>
  <si>
    <t>2055-06-03T18:57:17.151669Z</t>
  </si>
  <si>
    <t>2055-06-06T00:02:57.04412Z</t>
  </si>
  <si>
    <t>2055-06-06T01:14:21.122Z</t>
  </si>
  <si>
    <t>2055-06-06T00:49:40.122Z</t>
  </si>
  <si>
    <t>2055-06-06T00:17:50.407986Z</t>
  </si>
  <si>
    <t>2055-06-06T00:34:15.851374Z</t>
  </si>
  <si>
    <t>2055-06-06T00:11:27.482693Z</t>
  </si>
  <si>
    <t>2055-06-06T00:11:33.141796Z</t>
  </si>
  <si>
    <t>2055-06-06T00:18:26.692522Z</t>
  </si>
  <si>
    <t>2055-06-05T20:17:50.407986Z</t>
  </si>
  <si>
    <t>2055-06-05T20:34:15.851374Z</t>
  </si>
  <si>
    <t>2055-06-05T20:11:27.482693Z</t>
  </si>
  <si>
    <t>2055-06-05T20:18:26.692522Z</t>
  </si>
  <si>
    <t>2055-06-06T23:39:05.611101Z</t>
  </si>
  <si>
    <t>2055-06-07T00:34:05.696Z</t>
  </si>
  <si>
    <t>2055-06-07T00:06:55.696Z</t>
  </si>
  <si>
    <t>2055-06-07T00:02:50.737295Z</t>
  </si>
  <si>
    <t>2055-06-07T00:15:26.832701Z</t>
  </si>
  <si>
    <t>2055-06-06T23:39:27.526198Z</t>
  </si>
  <si>
    <t>2055-06-06T23:39:42.940933Z</t>
  </si>
  <si>
    <t>2055-06-06T23:41:18.423529Z</t>
  </si>
  <si>
    <t>2055-06-06T20:02:50.737295Z</t>
  </si>
  <si>
    <t>2055-06-06T20:15:26.832701Z</t>
  </si>
  <si>
    <t>2055-06-06T19:39:27.526198Z</t>
  </si>
  <si>
    <t>2055-06-06T19:41:18.423529Z</t>
  </si>
  <si>
    <t>2055-06-05T23:11:26.934519Z</t>
  </si>
  <si>
    <t>2055-06-06T00:29:43.018Z</t>
  </si>
  <si>
    <t>2055-06-06T00:03:54.018Z</t>
  </si>
  <si>
    <t>2055-06-05T23:36:09.944523Z</t>
  </si>
  <si>
    <t>2055-06-05T23:46:26.945255Z</t>
  </si>
  <si>
    <t>2055-06-05T23:18:07.67858Z</t>
  </si>
  <si>
    <t>2055-06-05T23:18:27.350287Z</t>
  </si>
  <si>
    <t>2055-06-05T23:28:34.370234Z</t>
  </si>
  <si>
    <t>2055-06-05T19:36:09.944523Z</t>
  </si>
  <si>
    <t>2055-06-05T19:46:26.945255Z</t>
  </si>
  <si>
    <t>2055-06-05T19:18:07.67858Z</t>
  </si>
  <si>
    <t>2055-06-05T19:28:34.370234Z</t>
  </si>
  <si>
    <t>2055-06-03T16:18:07.752416Z</t>
  </si>
  <si>
    <t>2055-06-03T17:34:32.841Z</t>
  </si>
  <si>
    <t>2055-06-03T17:12:38.841Z</t>
  </si>
  <si>
    <t>2055-06-03T16:54:28.464461Z</t>
  </si>
  <si>
    <t>2055-06-03T17:09:17.368395Z</t>
  </si>
  <si>
    <t>2055-06-03T16:20:47.445679Z</t>
  </si>
  <si>
    <t>2055-06-03T16:20:52.614175Z</t>
  </si>
  <si>
    <t>2055-06-03T16:33:47.405643Z</t>
  </si>
  <si>
    <t>2055-06-03T12:54:28.464461Z</t>
  </si>
  <si>
    <t>2055-06-03T13:09:17.368395Z</t>
  </si>
  <si>
    <t>2055-06-03T12:20:47.445679Z</t>
  </si>
  <si>
    <t>2055-06-03T12:33:47.405643Z</t>
  </si>
  <si>
    <t>2055-06-02T20:49:57.568916Z</t>
  </si>
  <si>
    <t>2055-06-02T21:48:37.641Z</t>
  </si>
  <si>
    <t>2055-06-02T21:28:30.641Z</t>
  </si>
  <si>
    <t>2055-06-02T21:14:00.259121Z</t>
  </si>
  <si>
    <t>2055-06-02T21:35:51.138989Z</t>
  </si>
  <si>
    <t>2055-06-02T20:59:42.843617Z</t>
  </si>
  <si>
    <t>2055-06-02T21:00:14.435727Z</t>
  </si>
  <si>
    <t>2055-06-02T21:10:40.252813Z</t>
  </si>
  <si>
    <t>2055-06-02T17:14:00.259121Z</t>
  </si>
  <si>
    <t>2055-06-02T17:35:51.138989Z</t>
  </si>
  <si>
    <t>2055-06-02T16:59:42.843617Z</t>
  </si>
  <si>
    <t>2055-06-02T17:10:40.252813Z</t>
  </si>
  <si>
    <t>2055-06-07T15:56:05.692138Z</t>
  </si>
  <si>
    <t>2055-06-07T16:55:55.775Z</t>
  </si>
  <si>
    <t>2055-06-07T16:37:02.775Z</t>
  </si>
  <si>
    <t>2055-06-07T16:38:12.780882Z</t>
  </si>
  <si>
    <t>2055-06-07T17:12:11.564302Z</t>
  </si>
  <si>
    <t>2055-06-07T15:58:27.285834Z</t>
  </si>
  <si>
    <t>2055-06-07T15:58:34.668836Z</t>
  </si>
  <si>
    <t>2055-06-07T16:35:20.179709Z</t>
  </si>
  <si>
    <t>2055-06-07T12:38:12.780882Z</t>
  </si>
  <si>
    <t>2055-06-07T13:12:11.564302Z</t>
  </si>
  <si>
    <t>2055-06-07T11:58:27.285834Z</t>
  </si>
  <si>
    <t>2055-06-07T12:35:20.179709Z</t>
  </si>
  <si>
    <t>2055-06-02T22:40:46.99148Z</t>
  </si>
  <si>
    <t>2055-06-02T23:41:37.053Z</t>
  </si>
  <si>
    <t>2055-06-02T23:22:44.053Z</t>
  </si>
  <si>
    <t>2055-06-02T23:18:08.395219Z</t>
  </si>
  <si>
    <t>2055-06-02T23:48:10.624264Z</t>
  </si>
  <si>
    <t>2055-06-02T22:41:07.457784Z</t>
  </si>
  <si>
    <t>2055-06-02T22:41:22.292416Z</t>
  </si>
  <si>
    <t>2055-06-02T23:13:43.964752Z</t>
  </si>
  <si>
    <t>2055-06-02T19:18:08.395219Z</t>
  </si>
  <si>
    <t>2055-06-02T19:48:10.624264Z</t>
  </si>
  <si>
    <t>2055-06-02T18:41:07.457784Z</t>
  </si>
  <si>
    <t>2055-06-02T19:13:43.964752Z</t>
  </si>
  <si>
    <t>2055-06-06T17:17:36.319962Z</t>
  </si>
  <si>
    <t>2055-06-06T17:55:51.398Z</t>
  </si>
  <si>
    <t>2055-06-06T17:45:44.398Z</t>
  </si>
  <si>
    <t>2055-06-06T17:29:09.567086Z</t>
  </si>
  <si>
    <t>2055-06-06T17:37:59.491604Z</t>
  </si>
  <si>
    <t>2055-06-06T17:20:34.352601Z</t>
  </si>
  <si>
    <t>2055-06-06T17:20:50.08123Z</t>
  </si>
  <si>
    <t>2055-06-06T17:25:09.596824Z</t>
  </si>
  <si>
    <t>2055-06-06T13:29:09.567086Z</t>
  </si>
  <si>
    <t>2055-06-06T13:37:59.491604Z</t>
  </si>
  <si>
    <t>2055-06-06T13:20:34.352601Z</t>
  </si>
  <si>
    <t>2055-06-06T13:25:09.596824Z</t>
  </si>
  <si>
    <t>2055-06-05T22:29:23.76135Z</t>
  </si>
  <si>
    <t>2055-06-05T23:22:31.863Z</t>
  </si>
  <si>
    <t>2055-06-05T23:12:24.863Z</t>
  </si>
  <si>
    <t>2055-06-05T22:47:21.136699Z</t>
  </si>
  <si>
    <t>2055-06-05T23:15:20.185431Z</t>
  </si>
  <si>
    <t>2055-06-05T22:34:07.962086Z</t>
  </si>
  <si>
    <t>2055-06-05T22:34:59.911622Z</t>
  </si>
  <si>
    <t>2055-06-05T22:40:34.846247Z</t>
  </si>
  <si>
    <t>2055-06-05T18:47:21.136699Z</t>
  </si>
  <si>
    <t>2055-06-05T19:15:20.185431Z</t>
  </si>
  <si>
    <t>2055-06-05T18:34:07.962086Z</t>
  </si>
  <si>
    <t>2055-06-05T18:40:34.846247Z</t>
  </si>
  <si>
    <t>2055-06-03T21:54:33.462953Z</t>
  </si>
  <si>
    <t>2055-06-03T23:00:57.54Z</t>
  </si>
  <si>
    <t>2055-06-03T22:41:16.54Z</t>
  </si>
  <si>
    <t>2055-06-03T22:33:58.336249Z</t>
  </si>
  <si>
    <t>2055-06-03T22:49:26.68629Z</t>
  </si>
  <si>
    <t>2055-06-03T22:23:07.358923Z</t>
  </si>
  <si>
    <t>2055-06-03T22:23:10.518251Z</t>
  </si>
  <si>
    <t>2055-06-03T22:31:25.293028Z</t>
  </si>
  <si>
    <t>2055-06-03T18:33:58.336249Z</t>
  </si>
  <si>
    <t>2055-06-03T18:49:26.68629Z</t>
  </si>
  <si>
    <t>2055-06-03T18:23:07.358923Z</t>
  </si>
  <si>
    <t>2055-06-03T18:31:25.293028Z</t>
  </si>
  <si>
    <t>2055-06-04T22:36:20.592633Z</t>
  </si>
  <si>
    <t>2055-06-04T23:44:54.668Z</t>
  </si>
  <si>
    <t>2055-06-04T23:23:00.668Z</t>
  </si>
  <si>
    <t>2055-06-04T22:56:38.722916Z</t>
  </si>
  <si>
    <t>2055-06-04T23:10:35.171271Z</t>
  </si>
  <si>
    <t>2055-06-04T22:44:27.276203Z</t>
  </si>
  <si>
    <t>2055-06-04T22:44:45.169385Z</t>
  </si>
  <si>
    <t>2055-06-04T22:49:47.590471Z</t>
  </si>
  <si>
    <t>2055-06-04T18:56:38.722916Z</t>
  </si>
  <si>
    <t>2055-06-04T19:10:35.171271Z</t>
  </si>
  <si>
    <t>2055-06-04T18:44:27.276203Z</t>
  </si>
  <si>
    <t>2055-06-04T18:49:47.590471Z</t>
  </si>
  <si>
    <t>2055-06-06T00:02:58.662849Z</t>
  </si>
  <si>
    <t>2055-06-06T01:10:23.746Z</t>
  </si>
  <si>
    <t>2055-06-06T00:48:29.746Z</t>
  </si>
  <si>
    <t>2055-06-06T00:38:35.595995Z</t>
  </si>
  <si>
    <t>2055-06-06T00:54:47.196117Z</t>
  </si>
  <si>
    <t>2055-06-06T00:10:47.436499Z</t>
  </si>
  <si>
    <t>2055-06-06T00:10:58.559977Z</t>
  </si>
  <si>
    <t>2055-06-06T00:35:38.464702Z</t>
  </si>
  <si>
    <t>2055-06-05T20:38:35.595995Z</t>
  </si>
  <si>
    <t>2055-06-05T20:54:47.196117Z</t>
  </si>
  <si>
    <t>2055-06-05T20:10:47.436499Z</t>
  </si>
  <si>
    <t>2055-06-05T20:35:38.464702Z</t>
  </si>
  <si>
    <t>2055-06-04T22:51:46.490773Z</t>
  </si>
  <si>
    <t>2055-06-04T23:41:54.568Z</t>
  </si>
  <si>
    <t>2055-06-04T23:30:00.568Z</t>
  </si>
  <si>
    <t>2055-06-04T23:18:02.124091Z</t>
  </si>
  <si>
    <t>2055-06-04T23:31:32.969243Z</t>
  </si>
  <si>
    <t>2055-06-04T23:00:27.64876Z</t>
  </si>
  <si>
    <t>2055-06-04T23:00:33.968646Z</t>
  </si>
  <si>
    <t>2055-06-04T23:05:28.290068Z</t>
  </si>
  <si>
    <t>2055-06-04T19:18:02.124091Z</t>
  </si>
  <si>
    <t>2055-06-04T19:31:32.969243Z</t>
  </si>
  <si>
    <t>2055-06-04T19:00:27.64876Z</t>
  </si>
  <si>
    <t>2055-06-04T19:05:28.290068Z</t>
  </si>
  <si>
    <t>2055-06-03T16:39:29.328927Z</t>
  </si>
  <si>
    <t>2055-06-03T17:46:41.415Z</t>
  </si>
  <si>
    <t>2055-06-03T17:24:47.415Z</t>
  </si>
  <si>
    <t>2055-06-03T17:12:57.04685Z</t>
  </si>
  <si>
    <t>2055-06-03T17:24:42.244663Z</t>
  </si>
  <si>
    <t>2055-06-03T16:47:07.494409Z</t>
  </si>
  <si>
    <t>2055-06-03T16:47:13.420475Z</t>
  </si>
  <si>
    <t>2055-06-03T17:05:50.5291Z</t>
  </si>
  <si>
    <t>2055-06-03T13:12:57.04685Z</t>
  </si>
  <si>
    <t>2055-06-03T13:24:42.244663Z</t>
  </si>
  <si>
    <t>2055-06-03T12:47:07.494409Z</t>
  </si>
  <si>
    <t>2055-06-03T13:05:50.5291Z</t>
  </si>
  <si>
    <t>2055-06-02T23:22:04.454466Z</t>
  </si>
  <si>
    <t>2055-06-03T00:12:04.541Z</t>
  </si>
  <si>
    <t>2055-06-02T23:51:12.541Z</t>
  </si>
  <si>
    <t>2055-06-02T23:35:08.501291Z</t>
  </si>
  <si>
    <t>2055-06-02T23:45:17.564943Z</t>
  </si>
  <si>
    <t>2055-06-02T23:22:07.471865Z</t>
  </si>
  <si>
    <t>2055-06-02T23:22:10.453552Z</t>
  </si>
  <si>
    <t>2055-06-02T23:34:19.176067Z</t>
  </si>
  <si>
    <t>2055-06-02T19:35:08.501291Z</t>
  </si>
  <si>
    <t>2055-06-02T19:45:17.564943Z</t>
  </si>
  <si>
    <t>2055-06-02T19:22:07.471865Z</t>
  </si>
  <si>
    <t>2055-06-02T19:34:19.176067Z</t>
  </si>
  <si>
    <t>2055-06-03T22:27:21.508463Z</t>
  </si>
  <si>
    <t>2055-06-03T23:31:54.563Z</t>
  </si>
  <si>
    <t>2055-06-03T23:13:01.563Z</t>
  </si>
  <si>
    <t>2055-06-03T22:48:38.46057Z</t>
  </si>
  <si>
    <t>2055-06-03T22:58:06.878974Z</t>
  </si>
  <si>
    <t>2055-06-03T22:27:34.54429Z</t>
  </si>
  <si>
    <t>2055-06-03T22:27:52.40377Z</t>
  </si>
  <si>
    <t>2055-06-03T22:37:30.549678Z</t>
  </si>
  <si>
    <t>2055-06-03T18:48:38.46057Z</t>
  </si>
  <si>
    <t>2055-06-03T18:58:06.878974Z</t>
  </si>
  <si>
    <t>2055-06-03T18:27:34.54429Z</t>
  </si>
  <si>
    <t>2055-06-03T18:37:30.549678Z</t>
  </si>
  <si>
    <t>2055-06-04T01:35:06.443903Z</t>
  </si>
  <si>
    <t>2055-06-04T02:26:59.5Z</t>
  </si>
  <si>
    <t>2055-06-04T02:06:52.5Z</t>
  </si>
  <si>
    <t>2055-06-04T01:51:02.158463Z</t>
  </si>
  <si>
    <t>2055-06-04T02:13:44.00356Z</t>
  </si>
  <si>
    <t>2055-06-04T01:39:14.592963Z</t>
  </si>
  <si>
    <t>2055-06-04T01:39:46.18416Z</t>
  </si>
  <si>
    <t>2055-06-04T01:46:28.997431Z</t>
  </si>
  <si>
    <t>2055-06-03T21:51:02.158463Z</t>
  </si>
  <si>
    <t>2055-06-03T22:13:44.00356Z</t>
  </si>
  <si>
    <t>2055-06-03T21:39:14.592963Z</t>
  </si>
  <si>
    <t>2055-06-03T21:46:28.997431Z</t>
  </si>
  <si>
    <t>2055-06-04T20:30:28.156013Z</t>
  </si>
  <si>
    <t>2055-06-04T21:58:40.234Z</t>
  </si>
  <si>
    <t>2055-06-04T21:35:27.234Z</t>
  </si>
  <si>
    <t>2055-06-04T21:21:44.07203Z</t>
  </si>
  <si>
    <t>2055-06-04T21:44:24.741301Z</t>
  </si>
  <si>
    <t>2055-06-04T20:36:47.279635Z</t>
  </si>
  <si>
    <t>2055-06-04T20:37:29.746857Z</t>
  </si>
  <si>
    <t>2055-06-04T21:02:41.818378Z</t>
  </si>
  <si>
    <t>2055-06-04T17:21:44.07203Z</t>
  </si>
  <si>
    <t>2055-06-04T17:44:24.741301Z</t>
  </si>
  <si>
    <t>2055-06-04T16:36:47.279635Z</t>
  </si>
  <si>
    <t>2055-06-04T17:02:41.818378Z</t>
  </si>
  <si>
    <t>2055-06-08T12:01:51.536797Z</t>
  </si>
  <si>
    <t>2055-06-08T13:15:00Z</t>
  </si>
  <si>
    <t>2055-06-08T13:10:34.837326Z</t>
  </si>
  <si>
    <t>2055-06-08T13:25:28.162976Z</t>
  </si>
  <si>
    <t>2055-06-08T12:21:54.052626Z</t>
  </si>
  <si>
    <t>2055-06-08T12:22:12.1608Z</t>
  </si>
  <si>
    <t>2055-06-08T13:07:08.308979Z</t>
  </si>
  <si>
    <t>2055-06-08T09:10:34.837326Z</t>
  </si>
  <si>
    <t>2055-06-08T09:25:28.162976Z</t>
  </si>
  <si>
    <t>2055-06-08T08:21:54.052626Z</t>
  </si>
  <si>
    <t>2055-06-08T09:07:08.308979Z</t>
  </si>
  <si>
    <t>2055-06-05T14:35:02.245758Z</t>
  </si>
  <si>
    <t>2055-06-05T15:24:19.32Z</t>
  </si>
  <si>
    <t>2055-06-05T15:14:12.32Z</t>
  </si>
  <si>
    <t>2055-06-05T15:08:15.410939Z</t>
  </si>
  <si>
    <t>2055-06-05T15:17:16.954303Z</t>
  </si>
  <si>
    <t>2055-06-05T14:40:27.316864Z</t>
  </si>
  <si>
    <t>2055-06-05T14:40:32.008981Z</t>
  </si>
  <si>
    <t>2055-06-05T14:41:53.562463Z</t>
  </si>
  <si>
    <t>2055-06-05T11:08:15.410939Z</t>
  </si>
  <si>
    <t>2055-06-05T11:17:16.954303Z</t>
  </si>
  <si>
    <t>2055-06-05T10:40:27.316864Z</t>
  </si>
  <si>
    <t>2055-06-05T10:41:53.562463Z</t>
  </si>
  <si>
    <t>2055-06-03T01:08:33.322102Z</t>
  </si>
  <si>
    <t>2055-06-03T02:10:21.392Z</t>
  </si>
  <si>
    <t>2055-06-03T01:50:42.392Z</t>
  </si>
  <si>
    <t>2055-06-03T01:49:48.666429Z</t>
  </si>
  <si>
    <t>2055-06-03T02:03:39.514275Z</t>
  </si>
  <si>
    <t>2055-06-03T01:08:47.344535Z</t>
  </si>
  <si>
    <t>2055-06-03T01:08:51.852395Z</t>
  </si>
  <si>
    <t>2055-06-03T01:26:41.946989Z</t>
  </si>
  <si>
    <t>2055-06-02T21:49:48.666429Z</t>
  </si>
  <si>
    <t>2055-06-02T22:03:39.514275Z</t>
  </si>
  <si>
    <t>2055-06-02T21:08:47.344535Z</t>
  </si>
  <si>
    <t>2055-06-02T21:26:41.946989Z</t>
  </si>
  <si>
    <t>2055-06-08T15:49:02.635583Z</t>
  </si>
  <si>
    <t>2055-06-08T16:39:02.706Z</t>
  </si>
  <si>
    <t>2055-06-08T16:20:25.706Z</t>
  </si>
  <si>
    <t>2055-06-08T16:10:20.455606Z</t>
  </si>
  <si>
    <t>2055-06-08T16:27:49.195082Z</t>
  </si>
  <si>
    <t>2055-06-08T15:49:07.398897Z</t>
  </si>
  <si>
    <t>2055-06-08T15:49:12.905032Z</t>
  </si>
  <si>
    <t>2055-06-08T15:54:48.842282Z</t>
  </si>
  <si>
    <t>2055-06-08T12:10:20.455606Z</t>
  </si>
  <si>
    <t>2055-06-08T12:27:49.195082Z</t>
  </si>
  <si>
    <t>2055-06-08T11:49:07.398897Z</t>
  </si>
  <si>
    <t>2055-06-08T11:54:48.842282Z</t>
  </si>
  <si>
    <t>2055-06-01T22:42:48.81509Z</t>
  </si>
  <si>
    <t>2055-06-01T23:43:02.893Z</t>
  </si>
  <si>
    <t>2055-06-01T23:22:55.893Z</t>
  </si>
  <si>
    <t>2055-06-01T23:10:12.671039Z</t>
  </si>
  <si>
    <t>2055-06-01T23:26:32.719362Z</t>
  </si>
  <si>
    <t>2055-06-01T22:49:07.473282Z</t>
  </si>
  <si>
    <t>2055-06-01T22:50:45.219642Z</t>
  </si>
  <si>
    <t>2055-06-01T19:10:12.671039Z</t>
  </si>
  <si>
    <t>2055-06-01T19:26:32.719362Z</t>
  </si>
  <si>
    <t>2055-06-01T18:49:07.473282Z</t>
  </si>
  <si>
    <t>2055-06-03T22:52:15.386647Z</t>
  </si>
  <si>
    <t>2055-06-03T23:49:12.449Z</t>
  </si>
  <si>
    <t>2055-06-03T23:35:19.449Z</t>
  </si>
  <si>
    <t>2055-06-03T23:27:02.46443Z</t>
  </si>
  <si>
    <t>2055-06-03T23:43:49.706007Z</t>
  </si>
  <si>
    <t>2055-06-03T22:52:27.4622Z</t>
  </si>
  <si>
    <t>2055-06-03T22:52:54.647628Z</t>
  </si>
  <si>
    <t>2055-06-03T23:16:42.775225Z</t>
  </si>
  <si>
    <t>2055-06-03T19:27:02.46443Z</t>
  </si>
  <si>
    <t>2055-06-03T19:43:49.706007Z</t>
  </si>
  <si>
    <t>2055-06-03T18:52:27.4622Z</t>
  </si>
  <si>
    <t>2055-06-03T19:16:42.775225Z</t>
  </si>
  <si>
    <t>2055-06-05T17:16:34.743603Z</t>
  </si>
  <si>
    <t>2055-06-05T18:16:46.819Z</t>
  </si>
  <si>
    <t>2055-06-05T18:03:28.819Z</t>
  </si>
  <si>
    <t>2055-06-05T17:47:59.560733Z</t>
  </si>
  <si>
    <t>2055-06-05T18:06:16.8379Z</t>
  </si>
  <si>
    <t>2055-06-05T17:31:47.257391Z</t>
  </si>
  <si>
    <t>2055-06-05T17:31:49.95064Z</t>
  </si>
  <si>
    <t>2055-06-05T17:37:57.530801Z</t>
  </si>
  <si>
    <t>2055-06-05T13:47:59.560733Z</t>
  </si>
  <si>
    <t>2055-06-05T14:06:16.8379Z</t>
  </si>
  <si>
    <t>2055-06-05T13:31:47.257391Z</t>
  </si>
  <si>
    <t>2055-06-05T13:37:57.530801Z</t>
  </si>
  <si>
    <t>2055-06-11T16:17:04.251406Z</t>
  </si>
  <si>
    <t>2055-06-11T17:37:58.301Z</t>
  </si>
  <si>
    <t>2055-06-11T17:16:04.301Z</t>
  </si>
  <si>
    <t>2055-06-11T17:00:39.472925Z</t>
  </si>
  <si>
    <t>2055-06-11T17:12:12.833921Z</t>
  </si>
  <si>
    <t>2055-06-11T16:28:54.262029Z</t>
  </si>
  <si>
    <t>2055-06-11T16:29:15.904577Z</t>
  </si>
  <si>
    <t>2055-06-11T16:45:40.606691Z</t>
  </si>
  <si>
    <t>2055-06-11T13:00:39.472925Z</t>
  </si>
  <si>
    <t>2055-06-11T13:12:12.833921Z</t>
  </si>
  <si>
    <t>2055-06-11T12:28:54.262029Z</t>
  </si>
  <si>
    <t>2055-06-11T12:45:40.606691Z</t>
  </si>
  <si>
    <t>2055-06-04T18:13:12.997915Z</t>
  </si>
  <si>
    <t>2055-06-04T19:16:33.081Z</t>
  </si>
  <si>
    <t>2055-06-04T18:54:39.081Z</t>
  </si>
  <si>
    <t>2055-06-04T18:34:07.924432Z</t>
  </si>
  <si>
    <t>2055-06-04T18:47:23.030703Z</t>
  </si>
  <si>
    <t>2055-06-04T18:13:27.23985Z</t>
  </si>
  <si>
    <t>2055-06-04T18:13:49.737576Z</t>
  </si>
  <si>
    <t>2055-06-04T18:26:42.067813Z</t>
  </si>
  <si>
    <t>2055-06-04T14:34:07.924432Z</t>
  </si>
  <si>
    <t>2055-06-04T14:47:23.030703Z</t>
  </si>
  <si>
    <t>2055-06-04T14:13:27.23985Z</t>
  </si>
  <si>
    <t>2055-06-04T14:26:42.067813Z</t>
  </si>
  <si>
    <t>2055-06-04T23:50:08.17045Z</t>
  </si>
  <si>
    <t>2055-06-05T01:01:27.244Z</t>
  </si>
  <si>
    <t>2055-06-05T00:36:46.244Z</t>
  </si>
  <si>
    <t>2055-06-05T00:20:42.930645Z</t>
  </si>
  <si>
    <t>2055-06-05T00:20:50.614376Z</t>
  </si>
  <si>
    <t>2055-06-05T00:00:47.509225Z</t>
  </si>
  <si>
    <t>2055-06-05T00:00:54.312218Z</t>
  </si>
  <si>
    <t>2055-06-05T00:05:00.787244Z</t>
  </si>
  <si>
    <t>2055-06-04T20:20:42.930645Z</t>
  </si>
  <si>
    <t>2055-06-04T20:20:50.614376Z</t>
  </si>
  <si>
    <t>2055-06-04T20:00:47.509225Z</t>
  </si>
  <si>
    <t>2055-06-04T20:05:00.787244Z</t>
  </si>
  <si>
    <t>2055-06-08T00:27:22.939553Z</t>
  </si>
  <si>
    <t>2055-06-08T01:21:25.986287Z</t>
  </si>
  <si>
    <t>2055-06-08T01:07:25.986287Z</t>
  </si>
  <si>
    <t>2055-06-08T00:48:39.483683Z</t>
  </si>
  <si>
    <t>2055-06-08T01:04:07.737436Z</t>
  </si>
  <si>
    <t>2055-06-08T00:30:14.641034Z</t>
  </si>
  <si>
    <t>2055-06-08T00:30:40.113521Z</t>
  </si>
  <si>
    <t>2055-06-08T00:48:41.9808Z</t>
  </si>
  <si>
    <t>2055-06-07T20:48:39.483683Z</t>
  </si>
  <si>
    <t>2055-06-07T21:04:07.737436Z</t>
  </si>
  <si>
    <t>2055-06-07T20:30:14.641034Z</t>
  </si>
  <si>
    <t>2055-06-07T20:48:41.9808Z</t>
  </si>
  <si>
    <t>2055-06-04T22:48:55.739242Z</t>
  </si>
  <si>
    <t>2055-06-04T23:39:29.791Z</t>
  </si>
  <si>
    <t>2055-06-04T23:29:22.791Z</t>
  </si>
  <si>
    <t>2055-06-04T23:21:00.399405Z</t>
  </si>
  <si>
    <t>2055-06-04T23:34:27.700018Z</t>
  </si>
  <si>
    <t>2055-06-04T22:52:27.536978Z</t>
  </si>
  <si>
    <t>2055-06-04T22:52:30.659045Z</t>
  </si>
  <si>
    <t>2055-06-04T19:21:00.399405Z</t>
  </si>
  <si>
    <t>2055-06-04T19:34:27.700018Z</t>
  </si>
  <si>
    <t>2055-06-04T18:52:27.536978Z</t>
  </si>
  <si>
    <t>2055-06-03T23:16:55.044264Z</t>
  </si>
  <si>
    <t>2055-06-04T00:06:55.125Z</t>
  </si>
  <si>
    <t>2055-06-03T23:47:29.125Z</t>
  </si>
  <si>
    <t>2055-06-03T23:39:31.03845Z</t>
  </si>
  <si>
    <t>2055-06-03T23:53:16.126208Z</t>
  </si>
  <si>
    <t>2055-06-03T23:17:07.333201Z</t>
  </si>
  <si>
    <t>2055-06-03T23:17:19.753095Z</t>
  </si>
  <si>
    <t>2055-06-03T23:29:45.44832Z</t>
  </si>
  <si>
    <t>2055-06-03T19:39:31.03845Z</t>
  </si>
  <si>
    <t>2055-06-03T19:53:16.126208Z</t>
  </si>
  <si>
    <t>2055-06-03T19:17:07.333201Z</t>
  </si>
  <si>
    <t>2055-06-03T19:29:45.44832Z</t>
  </si>
  <si>
    <t>2055-06-07T15:44:14.290157Z</t>
  </si>
  <si>
    <t>2055-06-07T16:44:23.362Z</t>
  </si>
  <si>
    <t>2055-06-07T16:21:05.362Z</t>
  </si>
  <si>
    <t>2055-06-07T16:21:08.536639Z</t>
  </si>
  <si>
    <t>2055-06-07T16:54:13.905378Z</t>
  </si>
  <si>
    <t>2055-06-07T15:51:54.994968Z</t>
  </si>
  <si>
    <t>2055-06-07T15:52:17.393458Z</t>
  </si>
  <si>
    <t>2055-06-07T16:15:30.318156Z</t>
  </si>
  <si>
    <t>2055-06-07T12:21:08.536639Z</t>
  </si>
  <si>
    <t>2055-06-07T12:54:13.905378Z</t>
  </si>
  <si>
    <t>2055-06-07T11:51:54.994968Z</t>
  </si>
  <si>
    <t>2055-06-07T12:15:30.318156Z</t>
  </si>
  <si>
    <t>2055-06-05T23:22:48.428891Z</t>
  </si>
  <si>
    <t>2055-06-06T00:17:57.501Z</t>
  </si>
  <si>
    <t>2055-06-06T00:03:16.501Z</t>
  </si>
  <si>
    <t>2055-06-05T23:40:35.685963Z</t>
  </si>
  <si>
    <t>2055-06-05T23:55:02.876583Z</t>
  </si>
  <si>
    <t>2055-06-05T23:25:27.571089Z</t>
  </si>
  <si>
    <t>2055-06-05T23:25:30.708314Z</t>
  </si>
  <si>
    <t>2055-06-05T23:30:49.538616Z</t>
  </si>
  <si>
    <t>2055-06-05T19:40:35.685963Z</t>
  </si>
  <si>
    <t>2055-06-05T19:55:02.876583Z</t>
  </si>
  <si>
    <t>2055-06-05T19:25:27.571089Z</t>
  </si>
  <si>
    <t>2055-06-05T19:30:49.538616Z</t>
  </si>
  <si>
    <t>2055-06-05T22:01:50.253115Z</t>
  </si>
  <si>
    <t>2055-06-05T22:57:32.328Z</t>
  </si>
  <si>
    <t>2055-06-05T22:37:53.328Z</t>
  </si>
  <si>
    <t>2055-06-05T22:38:39.878043Z</t>
  </si>
  <si>
    <t>2055-06-05T22:56:00.430445Z</t>
  </si>
  <si>
    <t>2055-06-05T22:07:55.478494Z</t>
  </si>
  <si>
    <t>2055-06-05T22:07:58.454939Z</t>
  </si>
  <si>
    <t>2055-06-05T22:31:33.325731Z</t>
  </si>
  <si>
    <t>2055-06-05T18:38:39.878043Z</t>
  </si>
  <si>
    <t>2055-06-05T18:56:00.430445Z</t>
  </si>
  <si>
    <t>2055-06-05T18:07:55.478494Z</t>
  </si>
  <si>
    <t>2055-06-05T18:31:33.325731Z</t>
  </si>
  <si>
    <t>2055-06-08T22:25:42.031067Z</t>
  </si>
  <si>
    <t>2055-06-08T23:20:01.09Z</t>
  </si>
  <si>
    <t>2055-06-08T23:00:22.09Z</t>
  </si>
  <si>
    <t>2055-06-08T22:41:54.168894Z</t>
  </si>
  <si>
    <t>2055-06-08T22:54:02.833507Z</t>
  </si>
  <si>
    <t>2055-06-08T22:28:14.33652Z</t>
  </si>
  <si>
    <t>2055-06-08T22:28:33.314521Z</t>
  </si>
  <si>
    <t>2055-06-08T22:38:32.522132Z</t>
  </si>
  <si>
    <t>2055-06-08T18:41:54.168894Z</t>
  </si>
  <si>
    <t>2055-06-08T18:54:02.833507Z</t>
  </si>
  <si>
    <t>2055-06-08T18:28:14.33652Z</t>
  </si>
  <si>
    <t>2055-06-08T18:38:32.522132Z</t>
  </si>
  <si>
    <t>2055-06-11T01:07:20.43227Z</t>
  </si>
  <si>
    <t>2055-06-11T02:00:26.476Z</t>
  </si>
  <si>
    <t>2055-06-11T01:40:45.476Z</t>
  </si>
  <si>
    <t>2055-06-11T01:32:39.882517Z</t>
  </si>
  <si>
    <t>2055-06-11T01:43:01.868016Z</t>
  </si>
  <si>
    <t>2055-06-11T01:13:15.342522Z</t>
  </si>
  <si>
    <t>2055-06-11T01:13:43.265329Z</t>
  </si>
  <si>
    <t>2055-06-11T01:30:00.548776Z</t>
  </si>
  <si>
    <t>2055-06-10T21:32:39.882517Z</t>
  </si>
  <si>
    <t>2055-06-10T21:43:01.868016Z</t>
  </si>
  <si>
    <t>2055-06-10T21:13:15.342522Z</t>
  </si>
  <si>
    <t>2055-06-10T21:30:00.548776Z</t>
  </si>
  <si>
    <t>2055-06-11T22:50:52.662097Z</t>
  </si>
  <si>
    <t>2055-06-11T23:35:27.736Z</t>
  </si>
  <si>
    <t>2055-06-11T23:20:20.736Z</t>
  </si>
  <si>
    <t>2055-06-11T23:08:35.214464Z</t>
  </si>
  <si>
    <t>2055-06-11T23:34:39.233406Z</t>
  </si>
  <si>
    <t>2055-06-11T22:54:34.66612Z</t>
  </si>
  <si>
    <t>2055-06-11T22:54:40.678805Z</t>
  </si>
  <si>
    <t>2055-06-11T23:04:56.1796Z</t>
  </si>
  <si>
    <t>2055-06-11T19:08:35.214464Z</t>
  </si>
  <si>
    <t>2055-06-11T19:34:39.233406Z</t>
  </si>
  <si>
    <t>2055-06-11T18:54:34.66612Z</t>
  </si>
  <si>
    <t>2055-06-11T19:04:56.1796Z</t>
  </si>
  <si>
    <t>2055-06-12T00:12:46.569308Z</t>
  </si>
  <si>
    <t>2055-06-12T01:04:02.629Z</t>
  </si>
  <si>
    <t>2055-06-12T00:43:55.629Z</t>
  </si>
  <si>
    <t>2055-06-12T00:30:22.978255Z</t>
  </si>
  <si>
    <t>2055-06-12T00:36:29.939582Z</t>
  </si>
  <si>
    <t>2055-06-12T00:22:34.973436Z</t>
  </si>
  <si>
    <t>2055-06-12T00:22:50.853019Z</t>
  </si>
  <si>
    <t>2055-06-12T00:28:07.288102Z</t>
  </si>
  <si>
    <t>2055-06-11T20:30:22.978255Z</t>
  </si>
  <si>
    <t>2055-06-11T20:36:29.939582Z</t>
  </si>
  <si>
    <t>2055-06-11T20:22:34.973436Z</t>
  </si>
  <si>
    <t>2055-06-11T20:28:07.288102Z</t>
  </si>
  <si>
    <t>2055-06-02T17:12:06.611571Z</t>
  </si>
  <si>
    <t>2055-06-02T18:13:43.659Z</t>
  </si>
  <si>
    <t>2055-06-02T17:53:36.659Z</t>
  </si>
  <si>
    <t>2055-06-02T17:39:59.113971Z</t>
  </si>
  <si>
    <t>2055-06-02T17:49:37.017683Z</t>
  </si>
  <si>
    <t>2055-06-02T17:16:54.659826Z</t>
  </si>
  <si>
    <t>2055-06-02T17:17:13.002203Z</t>
  </si>
  <si>
    <t>2055-06-02T17:21:53.886507Z</t>
  </si>
  <si>
    <t>2055-06-02T13:39:59.113971Z</t>
  </si>
  <si>
    <t>2055-06-02T13:49:37.017683Z</t>
  </si>
  <si>
    <t>2055-06-02T13:16:54.659826Z</t>
  </si>
  <si>
    <t>2055-06-02T13:21:53.886507Z</t>
  </si>
  <si>
    <t>2055-06-04T22:05:47.591457Z</t>
  </si>
  <si>
    <t>2055-06-04T23:00:47.656Z</t>
  </si>
  <si>
    <t>2055-06-04T22:40:35.656Z</t>
  </si>
  <si>
    <t>2055-06-04T22:31:45.78466Z</t>
  </si>
  <si>
    <t>2055-06-04T22:38:51.928515Z</t>
  </si>
  <si>
    <t>2055-06-04T22:15:27.330894Z</t>
  </si>
  <si>
    <t>2055-06-04T22:15:31.731988Z</t>
  </si>
  <si>
    <t>2055-06-04T22:20:26.540137Z</t>
  </si>
  <si>
    <t>2055-06-04T18:31:45.78466Z</t>
  </si>
  <si>
    <t>2055-06-04T18:38:51.928515Z</t>
  </si>
  <si>
    <t>2055-06-04T18:15:27.330894Z</t>
  </si>
  <si>
    <t>2055-06-04T18:20:26.540137Z</t>
  </si>
  <si>
    <t>2055-06-03T00:19:54.831233Z</t>
  </si>
  <si>
    <t>2055-06-03T01:48:37.894Z</t>
  </si>
  <si>
    <t>2055-06-03T01:20:24.894Z</t>
  </si>
  <si>
    <t>2055-06-03T00:57:19.191429Z</t>
  </si>
  <si>
    <t>2055-06-03T01:19:04.276341Z</t>
  </si>
  <si>
    <t>2055-06-03T00:30:54.464123Z</t>
  </si>
  <si>
    <t>2055-06-03T00:31:00.529109Z</t>
  </si>
  <si>
    <t>2055-06-03T00:53:22.256751Z</t>
  </si>
  <si>
    <t>2055-06-02T20:57:19.191429Z</t>
  </si>
  <si>
    <t>2055-06-02T21:19:04.276341Z</t>
  </si>
  <si>
    <t>2055-06-02T20:30:54.464123Z</t>
  </si>
  <si>
    <t>2055-06-02T20:53:22.256751Z</t>
  </si>
  <si>
    <t>2055-06-11T01:23:54.750911Z</t>
  </si>
  <si>
    <t>2055-06-11T02:15:51.808Z</t>
  </si>
  <si>
    <t>2055-06-11T02:02:33.808Z</t>
  </si>
  <si>
    <t>2055-06-11T02:06:51.482851Z</t>
  </si>
  <si>
    <t>2055-06-11T02:27:53.851564Z</t>
  </si>
  <si>
    <t>2055-06-11T01:33:14.768777Z</t>
  </si>
  <si>
    <t>2055-06-11T01:33:32.674809Z</t>
  </si>
  <si>
    <t>2055-06-10T22:06:51.482851Z</t>
  </si>
  <si>
    <t>2055-06-10T22:27:53.851564Z</t>
  </si>
  <si>
    <t>2055-06-10T21:33:14.768777Z</t>
  </si>
  <si>
    <t>2055-06-08T01:51:25.441516Z</t>
  </si>
  <si>
    <t>2055-06-08T02:49:04.509Z</t>
  </si>
  <si>
    <t>2055-06-08T02:30:46.509Z</t>
  </si>
  <si>
    <t>2055-06-08T02:12:12.939139Z</t>
  </si>
  <si>
    <t>2055-06-08T02:26:31.324986Z</t>
  </si>
  <si>
    <t>2055-06-08T01:56:07.274875Z</t>
  </si>
  <si>
    <t>2055-06-08T01:56:24.531131Z</t>
  </si>
  <si>
    <t>2055-06-08T02:05:42.607068Z</t>
  </si>
  <si>
    <t>2055-06-07T22:12:12.939139Z</t>
  </si>
  <si>
    <t>2055-06-07T22:26:31.324986Z</t>
  </si>
  <si>
    <t>2055-06-07T21:56:07.274875Z</t>
  </si>
  <si>
    <t>2055-06-07T22:05:42.607068Z</t>
  </si>
  <si>
    <t>2055-06-02T22:02:31.039058Z</t>
  </si>
  <si>
    <t>2055-06-02T22:53:33.107Z</t>
  </si>
  <si>
    <t>2055-06-02T22:38:54.107Z</t>
  </si>
  <si>
    <t>2055-06-02T23:39:39.844861Z</t>
  </si>
  <si>
    <t>2055-06-02T23:39:48.757142Z</t>
  </si>
  <si>
    <t>2055-06-02T23:32:27.343629Z</t>
  </si>
  <si>
    <t>2055-06-02T23:32:39.352339Z</t>
  </si>
  <si>
    <t>2055-06-02T19:39:39.844861Z</t>
  </si>
  <si>
    <t>2055-06-02T19:39:48.757142Z</t>
  </si>
  <si>
    <t>2055-06-02T19:32:27.343629Z</t>
  </si>
  <si>
    <t>Jim</t>
  </si>
  <si>
    <t>2055-06-13T14:35:53.898872Z</t>
  </si>
  <si>
    <t>2055-06-13T16:00:00Z</t>
  </si>
  <si>
    <t>2055-06-13T15:25:12.371872Z</t>
  </si>
  <si>
    <t>2055-06-13T15:40:45.340296Z</t>
  </si>
  <si>
    <t>2055-06-13T15:00:14.242999Z</t>
  </si>
  <si>
    <t>2055-06-13T15:01:53.621904Z</t>
  </si>
  <si>
    <t>2055-06-13T15:14:07.257168Z</t>
  </si>
  <si>
    <t>2055-06-13T11:25:12.371872Z</t>
  </si>
  <si>
    <t>2055-06-13T11:40:45.340296Z</t>
  </si>
  <si>
    <t>2055-06-13T11:00:14.242999Z</t>
  </si>
  <si>
    <t>2055-06-13T11:14:07.257168Z</t>
  </si>
  <si>
    <t>2055-06-06T21:48:26.941757Z</t>
  </si>
  <si>
    <t>2055-06-06T22:54:58.01Z</t>
  </si>
  <si>
    <t>2055-06-06T22:34:51.01Z</t>
  </si>
  <si>
    <t>2055-06-06T22:16:42.484968Z</t>
  </si>
  <si>
    <t>2055-06-06T22:34:53.703089Z</t>
  </si>
  <si>
    <t>2055-06-06T21:48:47.389443Z</t>
  </si>
  <si>
    <t>2055-06-06T21:48:52.24804Z</t>
  </si>
  <si>
    <t>2055-06-06T21:52:16.286309Z</t>
  </si>
  <si>
    <t>2055-06-06T18:16:42.484968Z</t>
  </si>
  <si>
    <t>2055-06-06T18:34:53.703089Z</t>
  </si>
  <si>
    <t>2055-06-06T17:48:47.389443Z</t>
  </si>
  <si>
    <t>2055-06-06T17:52:16.286309Z</t>
  </si>
  <si>
    <t>2055-06-02T00:03:52.065854Z</t>
  </si>
  <si>
    <t>2055-06-02T00:43:52.147Z</t>
  </si>
  <si>
    <t>2055-06-02T00:36:30.147Z</t>
  </si>
  <si>
    <t>2055-06-02T00:16:28.294347Z</t>
  </si>
  <si>
    <t>2055-06-02T00:27:08.437333Z</t>
  </si>
  <si>
    <t>2055-06-02T00:05:07.333246Z</t>
  </si>
  <si>
    <t>2055-06-02T00:05:16.241533Z</t>
  </si>
  <si>
    <t>2055-06-02T00:05:50.251741Z</t>
  </si>
  <si>
    <t>2055-06-01T20:16:28.294347Z</t>
  </si>
  <si>
    <t>2055-06-01T20:27:08.437333Z</t>
  </si>
  <si>
    <t>2055-06-01T20:05:07.333246Z</t>
  </si>
  <si>
    <t>2055-06-01T20:05:50.251741Z</t>
  </si>
  <si>
    <t>2055-06-02T23:31:25.298184Z</t>
  </si>
  <si>
    <t>2055-06-03T00:27:00.358Z</t>
  </si>
  <si>
    <t>2055-06-03T00:06:53.358Z</t>
  </si>
  <si>
    <t>2055-06-02T23:55:18.862105Z</t>
  </si>
  <si>
    <t>2055-06-03T00:09:41.165877Z</t>
  </si>
  <si>
    <t>2055-06-02T23:36:35.331422Z</t>
  </si>
  <si>
    <t>2055-06-02T23:36:57.706626Z</t>
  </si>
  <si>
    <t>2055-06-02T23:44:29.728039Z</t>
  </si>
  <si>
    <t>2055-06-02T19:55:18.862105Z</t>
  </si>
  <si>
    <t>2055-06-02T20:09:41.165877Z</t>
  </si>
  <si>
    <t>2055-06-02T19:36:35.331422Z</t>
  </si>
  <si>
    <t>2055-06-02T19:44:29.728039Z</t>
  </si>
  <si>
    <t>2055-06-11T22:52:14.641877Z</t>
  </si>
  <si>
    <t>2055-06-11T23:40:21.697Z</t>
  </si>
  <si>
    <t>2055-06-11T23:20:14.697Z</t>
  </si>
  <si>
    <t>2055-06-11T23:15:51.236201Z</t>
  </si>
  <si>
    <t>2055-06-11T23:20:45.938811Z</t>
  </si>
  <si>
    <t>2055-06-11T22:58:34.864972Z</t>
  </si>
  <si>
    <t>2055-06-11T22:58:48.364567Z</t>
  </si>
  <si>
    <t>2055-06-11T23:07:28.364264Z</t>
  </si>
  <si>
    <t>2055-06-11T19:15:51.236201Z</t>
  </si>
  <si>
    <t>2055-06-11T19:20:45.938811Z</t>
  </si>
  <si>
    <t>2055-06-11T18:58:34.864972Z</t>
  </si>
  <si>
    <t>2055-06-11T19:07:28.364264Z</t>
  </si>
  <si>
    <t>2055-06-10T16:36:56.275504Z</t>
  </si>
  <si>
    <t>2055-06-10T17:47:55.335Z</t>
  </si>
  <si>
    <t>2055-06-10T17:28:16.335Z</t>
  </si>
  <si>
    <t>2055-06-10T17:10:05.152752Z</t>
  </si>
  <si>
    <t>2055-06-10T17:28:08.257872Z</t>
  </si>
  <si>
    <t>2055-06-10T16:40:14.559811Z</t>
  </si>
  <si>
    <t>2055-06-10T16:41:35.396785Z</t>
  </si>
  <si>
    <t>2055-06-10T16:49:29.711003Z</t>
  </si>
  <si>
    <t>2055-06-10T13:10:05.152752Z</t>
  </si>
  <si>
    <t>2055-06-10T13:28:08.257872Z</t>
  </si>
  <si>
    <t>2055-06-10T12:40:14.559811Z</t>
  </si>
  <si>
    <t>2055-06-10T12:49:29.711003Z</t>
  </si>
  <si>
    <t>2055-06-10T17:50:32.15829Z</t>
  </si>
  <si>
    <t>2055-06-10T18:40:33.22Z</t>
  </si>
  <si>
    <t>2055-06-10T18:21:40.22Z</t>
  </si>
  <si>
    <t>2055-06-10T18:06:27.361743Z</t>
  </si>
  <si>
    <t>2055-06-10T18:15:05.945781Z</t>
  </si>
  <si>
    <t>2055-06-10T17:52:14.340159Z</t>
  </si>
  <si>
    <t>2055-06-10T17:52:31.208285Z</t>
  </si>
  <si>
    <t>2055-06-10T18:03:26.427408Z</t>
  </si>
  <si>
    <t>2055-06-10T14:06:27.361743Z</t>
  </si>
  <si>
    <t>2055-06-10T14:15:05.945781Z</t>
  </si>
  <si>
    <t>2055-06-10T13:52:14.340159Z</t>
  </si>
  <si>
    <t>2055-06-10T14:03:26.427408Z</t>
  </si>
  <si>
    <t>2055-06-06T22:56:12.766452Z</t>
  </si>
  <si>
    <t>2055-06-06T23:41:12.848Z</t>
  </si>
  <si>
    <t>2055-06-06T23:33:18.848Z</t>
  </si>
  <si>
    <t>2055-06-06T23:16:31.123994Z</t>
  </si>
  <si>
    <t>2055-06-06T23:33:25.388878Z</t>
  </si>
  <si>
    <t>2055-06-06T22:56:27.452439Z</t>
  </si>
  <si>
    <t>2055-06-06T22:56:40.64885Z</t>
  </si>
  <si>
    <t>2055-06-06T23:07:34.678661Z</t>
  </si>
  <si>
    <t>2055-06-06T19:16:31.123994Z</t>
  </si>
  <si>
    <t>2055-06-06T19:33:25.388878Z</t>
  </si>
  <si>
    <t>2055-06-06T18:56:27.452439Z</t>
  </si>
  <si>
    <t>2055-06-06T19:07:34.678661Z</t>
  </si>
  <si>
    <t>2055-06-05T23:38:38.978018Z</t>
  </si>
  <si>
    <t>2055-06-06T00:49:17.042Z</t>
  </si>
  <si>
    <t>2055-06-06T00:24:36.042Z</t>
  </si>
  <si>
    <t>2055-06-06T00:15:15.541258Z</t>
  </si>
  <si>
    <t>2055-06-06T00:26:52.938961Z</t>
  </si>
  <si>
    <t>2055-06-06T00:01:59.295937Z</t>
  </si>
  <si>
    <t>2055-06-06T00:02:02.988191Z</t>
  </si>
  <si>
    <t>2055-06-06T00:08:42.495517Z</t>
  </si>
  <si>
    <t>2055-06-05T20:15:15.541258Z</t>
  </si>
  <si>
    <t>2055-06-05T20:26:52.938961Z</t>
  </si>
  <si>
    <t>2055-06-05T20:01:59.295937Z</t>
  </si>
  <si>
    <t>2055-06-05T20:08:42.495517Z</t>
  </si>
  <si>
    <t>2055-06-07T17:19:53.299056Z</t>
  </si>
  <si>
    <t>2055-06-07T18:25:58.375Z</t>
  </si>
  <si>
    <t>2055-06-07T18:10:19.375Z</t>
  </si>
  <si>
    <t>2055-06-07T17:58:34.169857Z</t>
  </si>
  <si>
    <t>2055-06-07T18:11:38.296783Z</t>
  </si>
  <si>
    <t>2055-06-07T17:31:47.339686Z</t>
  </si>
  <si>
    <t>2055-06-07T17:31:54.039767Z</t>
  </si>
  <si>
    <t>2055-06-07T17:43:21.347554Z</t>
  </si>
  <si>
    <t>2055-06-07T13:58:34.169857Z</t>
  </si>
  <si>
    <t>2055-06-07T14:11:38.296783Z</t>
  </si>
  <si>
    <t>2055-06-07T13:31:47.339686Z</t>
  </si>
  <si>
    <t>2055-06-07T13:43:21.347554Z</t>
  </si>
  <si>
    <t>2055-06-04T19:09:43.348795Z</t>
  </si>
  <si>
    <t>2055-06-04T20:08:24.503Z</t>
  </si>
  <si>
    <t>2055-06-04T19:53:43.503Z</t>
  </si>
  <si>
    <t>2055-06-04T19:37:02.464323Z</t>
  </si>
  <si>
    <t>2055-06-04T19:45:36.499649Z</t>
  </si>
  <si>
    <t>2055-06-04T19:14:07.280673Z</t>
  </si>
  <si>
    <t>2055-06-04T19:14:53.377018Z</t>
  </si>
  <si>
    <t>2055-06-04T15:37:02.464323Z</t>
  </si>
  <si>
    <t>2055-06-04T15:45:36.499649Z</t>
  </si>
  <si>
    <t>2055-06-04T15:14:07.280673Z</t>
  </si>
  <si>
    <t>2055-06-07T01:02:00.125811Z</t>
  </si>
  <si>
    <t>2055-06-07T01:48:38.179Z</t>
  </si>
  <si>
    <t>2055-06-07T01:40:20.179Z</t>
  </si>
  <si>
    <t>2055-06-07T01:26:13.95435Z</t>
  </si>
  <si>
    <t>2055-06-07T01:38:16.92653Z</t>
  </si>
  <si>
    <t>2055-06-07T01:06:14.243956Z</t>
  </si>
  <si>
    <t>2055-06-07T01:06:18.158629Z</t>
  </si>
  <si>
    <t>2055-06-07T01:14:09.445759Z</t>
  </si>
  <si>
    <t>2055-06-06T21:26:13.95435Z</t>
  </si>
  <si>
    <t>2055-06-06T21:38:16.92653Z</t>
  </si>
  <si>
    <t>2055-06-06T21:06:14.243956Z</t>
  </si>
  <si>
    <t>2055-06-06T21:14:09.445759Z</t>
  </si>
  <si>
    <t>2055-06-04T22:32:18.908876Z</t>
  </si>
  <si>
    <t>2055-06-04T23:28:09.993Z</t>
  </si>
  <si>
    <t>2055-06-04T23:11:15.993Z</t>
  </si>
  <si>
    <t>2055-06-04T22:53:05.632818Z</t>
  </si>
  <si>
    <t>2055-06-04T23:00:22.680882Z</t>
  </si>
  <si>
    <t>2055-06-04T22:39:07.487026Z</t>
  </si>
  <si>
    <t>2055-06-04T22:39:12.817922Z</t>
  </si>
  <si>
    <t>2055-06-04T22:47:27.921243Z</t>
  </si>
  <si>
    <t>2055-06-04T18:53:05.632818Z</t>
  </si>
  <si>
    <t>2055-06-04T19:00:22.680882Z</t>
  </si>
  <si>
    <t>2055-06-04T18:39:07.487026Z</t>
  </si>
  <si>
    <t>2055-06-04T18:47:27.921243Z</t>
  </si>
  <si>
    <t>2055-06-02T16:22:34.207501Z</t>
  </si>
  <si>
    <t>2055-06-02T17:26:48.28Z</t>
  </si>
  <si>
    <t>2055-06-02T17:07:55.28Z</t>
  </si>
  <si>
    <t>2055-06-02T16:42:38.007065Z</t>
  </si>
  <si>
    <t>2055-06-02T16:54:41.002391Z</t>
  </si>
  <si>
    <t>2055-06-02T16:22:47.256642Z</t>
  </si>
  <si>
    <t>2055-06-02T16:23:01.239618Z</t>
  </si>
  <si>
    <t>2055-06-02T16:22:59.561375Z</t>
  </si>
  <si>
    <t>2055-06-02T12:42:38.007065Z</t>
  </si>
  <si>
    <t>2055-06-02T12:54:41.002391Z</t>
  </si>
  <si>
    <t>2055-06-02T12:22:47.256642Z</t>
  </si>
  <si>
    <t>2055-06-02T12:22:59.561375Z</t>
  </si>
  <si>
    <t>2055-06-03T16:17:51.225616Z</t>
  </si>
  <si>
    <t>2055-06-03T17:11:57.298Z</t>
  </si>
  <si>
    <t>2055-06-03T17:07:18.298Z</t>
  </si>
  <si>
    <t>2055-06-03T16:32:44.834844Z</t>
  </si>
  <si>
    <t>2055-06-03T16:43:38.905169Z</t>
  </si>
  <si>
    <t>2055-06-03T16:17:55.837Z</t>
  </si>
  <si>
    <t>2055-06-03T16:18:04.281268Z</t>
  </si>
  <si>
    <t>2055-06-03T16:26:43.824804Z</t>
  </si>
  <si>
    <t>2055-06-03T12:32:44.834844Z</t>
  </si>
  <si>
    <t>2055-06-03T12:43:38.905169Z</t>
  </si>
  <si>
    <t>2055-06-03T12:17:55.837Z</t>
  </si>
  <si>
    <t>2055-06-03T12:26:43.824804Z</t>
  </si>
  <si>
    <t>2055-06-01T22:52:18.431599Z</t>
  </si>
  <si>
    <t>2055-06-01T23:31:39.494Z</t>
  </si>
  <si>
    <t>2055-06-01T23:26:32.494Z</t>
  </si>
  <si>
    <t>2055-06-01T23:10:09.258425Z</t>
  </si>
  <si>
    <t>2055-06-01T23:21:15.319263Z</t>
  </si>
  <si>
    <t>2055-06-01T23:01:14.460327Z</t>
  </si>
  <si>
    <t>2055-06-01T23:01:18.663751Z</t>
  </si>
  <si>
    <t>2055-06-01T23:07:50.376671Z</t>
  </si>
  <si>
    <t>2055-06-01T19:10:09.258425Z</t>
  </si>
  <si>
    <t>2055-06-01T19:21:15.319263Z</t>
  </si>
  <si>
    <t>2055-06-01T19:01:14.460327Z</t>
  </si>
  <si>
    <t>2055-06-01T19:07:50.376671Z</t>
  </si>
  <si>
    <t>2055-06-03T00:43:47.405762Z</t>
  </si>
  <si>
    <t>2055-06-03T01:33:47.479Z</t>
  </si>
  <si>
    <t>2055-06-03T01:17:02.479Z</t>
  </si>
  <si>
    <t>2055-06-03T01:03:33.125899Z</t>
  </si>
  <si>
    <t>2055-06-03T01:16:56.796171Z</t>
  </si>
  <si>
    <t>2055-06-03T00:44:07.310343Z</t>
  </si>
  <si>
    <t>2055-06-03T00:44:13.987867Z</t>
  </si>
  <si>
    <t>2055-06-03T00:51:10.418739Z</t>
  </si>
  <si>
    <t>2055-06-02T21:03:33.125899Z</t>
  </si>
  <si>
    <t>2055-06-02T21:16:56.796171Z</t>
  </si>
  <si>
    <t>2055-06-02T20:44:07.310343Z</t>
  </si>
  <si>
    <t>2055-06-02T20:51:10.418739Z</t>
  </si>
  <si>
    <t>2055-06-04T00:28:53.734758Z</t>
  </si>
  <si>
    <t>2055-06-04T01:23:53.818Z</t>
  </si>
  <si>
    <t>2055-06-04T00:58:44.818Z</t>
  </si>
  <si>
    <t>2055-06-04T01:21:47.84374Z</t>
  </si>
  <si>
    <t>2055-06-04T01:39:15.748122Z</t>
  </si>
  <si>
    <t>2055-06-04T00:44:47.323144Z</t>
  </si>
  <si>
    <t>2055-06-04T00:44:59.607658Z</t>
  </si>
  <si>
    <t>2055-06-04T00:54:45.825229Z</t>
  </si>
  <si>
    <t>2055-06-03T21:21:47.84374Z</t>
  </si>
  <si>
    <t>2055-06-03T21:39:15.748122Z</t>
  </si>
  <si>
    <t>2055-06-03T20:44:47.323144Z</t>
  </si>
  <si>
    <t>2055-06-03T20:54:45.825229Z</t>
  </si>
  <si>
    <t>2055-06-04T23:10:45.828684Z</t>
  </si>
  <si>
    <t>2055-06-04T23:58:17.886Z</t>
  </si>
  <si>
    <t>2055-06-04T23:38:38.886Z</t>
  </si>
  <si>
    <t>2055-06-04T23:33:03.310643Z</t>
  </si>
  <si>
    <t>2055-06-04T23:36:20.616581Z</t>
  </si>
  <si>
    <t>2055-06-04T23:16:55.230646Z</t>
  </si>
  <si>
    <t>2055-06-04T23:17:02.523414Z</t>
  </si>
  <si>
    <t>2055-06-04T23:28:46.530774Z</t>
  </si>
  <si>
    <t>2055-06-04T19:33:03.310643Z</t>
  </si>
  <si>
    <t>2055-06-04T19:36:20.616581Z</t>
  </si>
  <si>
    <t>2055-06-04T19:16:55.230646Z</t>
  </si>
  <si>
    <t>2055-06-04T19:28:46.530774Z</t>
  </si>
  <si>
    <t>2055-06-06T00:18:32.091712Z</t>
  </si>
  <si>
    <t>2055-06-06T01:16:08.189Z</t>
  </si>
  <si>
    <t>2055-06-06T00:54:14.189Z</t>
  </si>
  <si>
    <t>2055-06-06T00:50:12.999727Z</t>
  </si>
  <si>
    <t>2055-06-06T00:59:07.814498Z</t>
  </si>
  <si>
    <t>2055-06-06T00:19:07.495183Z</t>
  </si>
  <si>
    <t>2055-06-06T00:19:14.082091Z</t>
  </si>
  <si>
    <t>2055-06-06T00:28:15.742937Z</t>
  </si>
  <si>
    <t>2055-06-05T20:50:12.999727Z</t>
  </si>
  <si>
    <t>2055-06-05T20:59:07.814498Z</t>
  </si>
  <si>
    <t>2055-06-05T20:19:07.495183Z</t>
  </si>
  <si>
    <t>2055-06-05T20:28:15.742937Z</t>
  </si>
  <si>
    <t>2055-06-06T01:49:26.684637Z</t>
  </si>
  <si>
    <t>2055-06-06T02:52:39.767Z</t>
  </si>
  <si>
    <t>2055-06-06T02:33:46.767Z</t>
  </si>
  <si>
    <t>2055-06-06T02:08:24.04832Z</t>
  </si>
  <si>
    <t>2055-06-06T02:27:42.876046Z</t>
  </si>
  <si>
    <t>2055-06-06T01:49:47.304118Z</t>
  </si>
  <si>
    <t>2055-06-06T01:50:01.474878Z</t>
  </si>
  <si>
    <t>2055-06-06T01:55:25.790378Z</t>
  </si>
  <si>
    <t>2055-06-05T22:08:24.04832Z</t>
  </si>
  <si>
    <t>2055-06-05T22:27:42.876046Z</t>
  </si>
  <si>
    <t>2055-06-05T21:49:47.304118Z</t>
  </si>
  <si>
    <t>2055-06-05T21:55:25.790378Z</t>
  </si>
  <si>
    <t>2055-06-02T22:16:10.323269Z</t>
  </si>
  <si>
    <t>2055-06-02T23:43:35.38Z</t>
  </si>
  <si>
    <t>2055-06-02T23:23:56.38Z</t>
  </si>
  <si>
    <t>2055-06-02T22:38:17.249458Z</t>
  </si>
  <si>
    <t>2055-06-02T22:47:39.123323Z</t>
  </si>
  <si>
    <t>2055-06-02T22:24:34.47279Z</t>
  </si>
  <si>
    <t>2055-06-02T22:25:56.548285Z</t>
  </si>
  <si>
    <t>2055-06-02T22:34:14.120093Z</t>
  </si>
  <si>
    <t>2055-06-02T18:38:17.249458Z</t>
  </si>
  <si>
    <t>2055-06-02T18:47:39.123323Z</t>
  </si>
  <si>
    <t>2055-06-02T18:24:34.47279Z</t>
  </si>
  <si>
    <t>2055-06-02T18:34:14.120093Z</t>
  </si>
  <si>
    <t>2055-06-01T20:51:53.636907Z</t>
  </si>
  <si>
    <t>2055-06-01T21:47:32.712Z</t>
  </si>
  <si>
    <t>2055-06-01T21:43:39.712Z</t>
  </si>
  <si>
    <t>2055-06-01T21:11:53.793646Z</t>
  </si>
  <si>
    <t>2055-06-01T21:34:51.788258Z</t>
  </si>
  <si>
    <t>2055-06-01T21:00:07.287254Z</t>
  </si>
  <si>
    <t>2055-06-01T21:00:33.952855Z</t>
  </si>
  <si>
    <t>2055-06-01T17:11:53.793646Z</t>
  </si>
  <si>
    <t>2055-06-01T17:34:51.788258Z</t>
  </si>
  <si>
    <t>2055-06-01T17:00:07.287254Z</t>
  </si>
  <si>
    <t>2055-06-04T00:42:42.156865Z</t>
  </si>
  <si>
    <t>2055-06-04T01:26:47.213Z</t>
  </si>
  <si>
    <t>2055-06-04T01:14:53.213Z</t>
  </si>
  <si>
    <t>2055-06-04T01:13:05.178559Z</t>
  </si>
  <si>
    <t>2055-06-04T01:23:54.759479Z</t>
  </si>
  <si>
    <t>2055-06-04T00:49:15.801432Z</t>
  </si>
  <si>
    <t>2055-06-04T00:49:26.643055Z</t>
  </si>
  <si>
    <t>2055-06-04T01:04:20.379825Z</t>
  </si>
  <si>
    <t>2055-06-03T21:13:05.178559Z</t>
  </si>
  <si>
    <t>2055-06-03T21:23:54.759479Z</t>
  </si>
  <si>
    <t>2055-06-03T20:49:15.801432Z</t>
  </si>
  <si>
    <t>2055-06-03T21:04:20.379825Z</t>
  </si>
  <si>
    <t>2055-06-03T15:12:48.530647Z</t>
  </si>
  <si>
    <t>2055-06-03T15:55:12.605Z</t>
  </si>
  <si>
    <t>2055-06-03T15:41:19.605Z</t>
  </si>
  <si>
    <t>2055-06-03T15:39:24.554988Z</t>
  </si>
  <si>
    <t>2055-06-03T15:43:24.883383Z</t>
  </si>
  <si>
    <t>2055-06-03T15:15:14.576811Z</t>
  </si>
  <si>
    <t>2055-06-03T15:15:59.043223Z</t>
  </si>
  <si>
    <t>2055-06-03T15:33:38.499803Z</t>
  </si>
  <si>
    <t>2055-06-03T11:39:24.554988Z</t>
  </si>
  <si>
    <t>2055-06-03T11:43:24.883383Z</t>
  </si>
  <si>
    <t>2055-06-03T11:15:14.576811Z</t>
  </si>
  <si>
    <t>2055-06-03T11:33:38.499803Z</t>
  </si>
  <si>
    <t>2055-06-10T14:22:31.510497Z</t>
  </si>
  <si>
    <t>2055-06-10T15:18:43.117179Z</t>
  </si>
  <si>
    <t>2055-06-10T15:23:55.496101Z</t>
  </si>
  <si>
    <t>2055-06-10T14:47:54.186731Z</t>
  </si>
  <si>
    <t>2055-06-10T14:48:13.558458Z</t>
  </si>
  <si>
    <t>2055-06-10T14:57:36.535202Z</t>
  </si>
  <si>
    <t>2055-06-10T11:18:43.117179Z</t>
  </si>
  <si>
    <t>2055-06-10T11:23:55.496101Z</t>
  </si>
  <si>
    <t>2055-06-10T10:47:54.186731Z</t>
  </si>
  <si>
    <t>2055-06-10T10:57:36.535202Z</t>
  </si>
  <si>
    <t>2055-06-11T23:47:38.432928Z</t>
  </si>
  <si>
    <t>2055-06-12T00:48:55.498Z</t>
  </si>
  <si>
    <t>2055-06-12T00:29:16.498Z</t>
  </si>
  <si>
    <t>2055-06-12T00:33:10.580002Z</t>
  </si>
  <si>
    <t>2055-06-12T00:42:28.536061Z</t>
  </si>
  <si>
    <t>2055-06-11T23:50:15.425991Z</t>
  </si>
  <si>
    <t>2055-06-11T23:50:40.454573Z</t>
  </si>
  <si>
    <t>2055-06-11T23:57:45.947029Z</t>
  </si>
  <si>
    <t>2055-06-11T20:33:10.580002Z</t>
  </si>
  <si>
    <t>2055-06-11T20:42:28.536061Z</t>
  </si>
  <si>
    <t>2055-06-11T19:50:15.425991Z</t>
  </si>
  <si>
    <t>2055-06-11T19:57:45.947029Z</t>
  </si>
  <si>
    <t>2055-06-05T23:03:53.999335Z</t>
  </si>
  <si>
    <t>2055-06-06T00:02:19.071Z</t>
  </si>
  <si>
    <t>2055-06-05T23:42:40.071Z</t>
  </si>
  <si>
    <t>2055-06-05T23:21:07.626338Z</t>
  </si>
  <si>
    <t>2055-06-05T23:43:13.498338Z</t>
  </si>
  <si>
    <t>2055-06-05T23:04:07.332753Z</t>
  </si>
  <si>
    <t>2055-06-05T23:04:25.008918Z</t>
  </si>
  <si>
    <t>2055-06-05T23:11:20.567133Z</t>
  </si>
  <si>
    <t>2055-06-05T19:21:07.626338Z</t>
  </si>
  <si>
    <t>2055-06-05T19:43:13.498338Z</t>
  </si>
  <si>
    <t>2055-06-05T19:04:07.332753Z</t>
  </si>
  <si>
    <t>2055-06-05T19:11:20.567133Z</t>
  </si>
  <si>
    <t>2055-06-03T18:23:22.714281Z</t>
  </si>
  <si>
    <t>2055-06-03T19:07:04.779Z</t>
  </si>
  <si>
    <t>2055-06-03T18:47:25.779Z</t>
  </si>
  <si>
    <t>2055-06-03T18:54:39.721357Z</t>
  </si>
  <si>
    <t>2055-06-03T18:59:57.147267Z</t>
  </si>
  <si>
    <t>2055-06-03T18:29:34.231172Z</t>
  </si>
  <si>
    <t>2055-06-03T18:29:43.649555Z</t>
  </si>
  <si>
    <t>2055-06-03T18:39:37.244485Z</t>
  </si>
  <si>
    <t>2055-06-03T14:54:39.721357Z</t>
  </si>
  <si>
    <t>2055-06-03T14:59:57.147267Z</t>
  </si>
  <si>
    <t>2055-06-03T14:29:34.231172Z</t>
  </si>
  <si>
    <t>2055-06-03T14:39:37.244485Z</t>
  </si>
  <si>
    <t>2055-06-03T15:33:13.957777Z</t>
  </si>
  <si>
    <t>2055-06-03T16:18:14.045Z</t>
  </si>
  <si>
    <t>2055-06-03T16:05:03.045Z</t>
  </si>
  <si>
    <t>2055-06-03T15:53:39.125624Z</t>
  </si>
  <si>
    <t>2055-06-03T16:17:02.877882Z</t>
  </si>
  <si>
    <t>2055-06-03T15:43:27.375046Z</t>
  </si>
  <si>
    <t>2055-06-03T15:43:34.758203Z</t>
  </si>
  <si>
    <t>2055-06-03T15:49:50.275246Z</t>
  </si>
  <si>
    <t>2055-06-03T11:53:39.125624Z</t>
  </si>
  <si>
    <t>2055-06-03T12:17:02.877882Z</t>
  </si>
  <si>
    <t>2055-06-03T11:43:27.375046Z</t>
  </si>
  <si>
    <t>2055-06-03T11:49:50.275246Z</t>
  </si>
  <si>
    <t>2055-06-06T22:30:03.440396Z</t>
  </si>
  <si>
    <t>2055-06-06T23:47:04.953Z</t>
  </si>
  <si>
    <t>2055-06-06T23:26:15.953Z</t>
  </si>
  <si>
    <t>2055-06-06T22:54:38.663215Z</t>
  </si>
  <si>
    <t>2055-06-06T23:11:02.217272Z</t>
  </si>
  <si>
    <t>2055-06-06T22:35:27.311664Z</t>
  </si>
  <si>
    <t>2055-06-06T22:35:33.363504Z</t>
  </si>
  <si>
    <t>2055-06-06T22:51:03.242696Z</t>
  </si>
  <si>
    <t>2055-06-06T18:54:38.663215Z</t>
  </si>
  <si>
    <t>2055-06-06T19:11:02.217272Z</t>
  </si>
  <si>
    <t>2055-06-06T18:35:27.311664Z</t>
  </si>
  <si>
    <t>2055-06-06T18:51:03.242696Z</t>
  </si>
  <si>
    <t>2055-06-11T14:41:57.118795Z</t>
  </si>
  <si>
    <t>2055-06-11T15:11:21.177Z</t>
  </si>
  <si>
    <t>2055-06-11T15:06:14.177Z</t>
  </si>
  <si>
    <t>2055-06-11T14:54:10.113765Z</t>
  </si>
  <si>
    <t>2055-06-11T14:59:02.854949Z</t>
  </si>
  <si>
    <t>2055-06-11T14:48:14.097972Z</t>
  </si>
  <si>
    <t>2055-06-11T14:48:20.927848Z</t>
  </si>
  <si>
    <t>2055-06-11T14:53:48.994593Z</t>
  </si>
  <si>
    <t>2055-06-11T10:54:10.113765Z</t>
  </si>
  <si>
    <t>2055-06-11T10:59:02.854949Z</t>
  </si>
  <si>
    <t>2055-06-11T10:48:14.097972Z</t>
  </si>
  <si>
    <t>2055-06-11T10:53:48.994593Z</t>
  </si>
  <si>
    <t>2055-06-05T21:24:45.963697Z</t>
  </si>
  <si>
    <t>2055-06-05T22:30:40.039Z</t>
  </si>
  <si>
    <t>2055-06-05T22:11:47.039Z</t>
  </si>
  <si>
    <t>2055-06-05T21:40:58.199279Z</t>
  </si>
  <si>
    <t>2055-06-05T22:04:19.076815Z</t>
  </si>
  <si>
    <t>2055-06-05T21:25:07.351585Z</t>
  </si>
  <si>
    <t>2055-06-05T21:25:12.12254Z</t>
  </si>
  <si>
    <t>2055-06-05T21:34:16.713573Z</t>
  </si>
  <si>
    <t>2055-06-05T17:40:58.199279Z</t>
  </si>
  <si>
    <t>2055-06-05T18:04:19.076815Z</t>
  </si>
  <si>
    <t>2055-06-05T17:25:07.351585Z</t>
  </si>
  <si>
    <t>2055-06-05T17:34:16.713573Z</t>
  </si>
  <si>
    <t>2055-06-04T15:02:38.245792Z</t>
  </si>
  <si>
    <t>2055-06-04T15:57:07.314Z</t>
  </si>
  <si>
    <t>2055-06-04T15:38:14.314Z</t>
  </si>
  <si>
    <t>2055-06-04T15:36:35.420595Z</t>
  </si>
  <si>
    <t>2055-06-04T15:41:45.989134Z</t>
  </si>
  <si>
    <t>2055-06-04T15:16:34.175598Z</t>
  </si>
  <si>
    <t>2055-06-04T15:16:36.804456Z</t>
  </si>
  <si>
    <t>2055-06-04T15:30:46.31003Z</t>
  </si>
  <si>
    <t>2055-06-04T11:36:35.420595Z</t>
  </si>
  <si>
    <t>2055-06-04T11:41:45.989134Z</t>
  </si>
  <si>
    <t>2055-06-04T11:16:34.175598Z</t>
  </si>
  <si>
    <t>2055-06-04T11:30:46.31003Z</t>
  </si>
  <si>
    <t>2055-06-02T21:17:34.710308Z</t>
  </si>
  <si>
    <t>2055-06-02T22:08:20.784Z</t>
  </si>
  <si>
    <t>2055-06-02T22:03:13.784Z</t>
  </si>
  <si>
    <t>2055-06-02T21:50:59.394736Z</t>
  </si>
  <si>
    <t>2055-06-02T22:33:20.784303Z</t>
  </si>
  <si>
    <t>2055-06-02T21:19:34.24809Z</t>
  </si>
  <si>
    <t>2055-06-02T21:19:38.378842Z</t>
  </si>
  <si>
    <t>2055-06-02T21:49:57.698088Z</t>
  </si>
  <si>
    <t>2055-06-02T17:50:59.394736Z</t>
  </si>
  <si>
    <t>2055-06-02T18:33:20.784303Z</t>
  </si>
  <si>
    <t>2055-06-02T17:19:34.24809Z</t>
  </si>
  <si>
    <t>2055-06-02T17:49:57.698088Z</t>
  </si>
  <si>
    <t>2055-06-02T21:35:24.020219Z</t>
  </si>
  <si>
    <t>2055-06-02T22:54:53.073Z</t>
  </si>
  <si>
    <t>2055-06-02T22:34:46.073Z</t>
  </si>
  <si>
    <t>2055-06-02T22:46:30.282041Z</t>
  </si>
  <si>
    <t>2055-06-02T23:02:20.643314Z</t>
  </si>
  <si>
    <t>2055-06-02T21:38:27.245216Z</t>
  </si>
  <si>
    <t>2055-06-02T21:38:31.480585Z</t>
  </si>
  <si>
    <t>2055-06-02T22:38:21.037037Z</t>
  </si>
  <si>
    <t>2055-06-02T18:46:30.282041Z</t>
  </si>
  <si>
    <t>2055-06-02T19:02:20.643314Z</t>
  </si>
  <si>
    <t>2055-06-02T17:38:27.245216Z</t>
  </si>
  <si>
    <t>2055-06-02T18:38:21.037037Z</t>
  </si>
  <si>
    <t>2055-06-07T22:28:29.309451Z</t>
  </si>
  <si>
    <t>2055-06-07T23:30:29.38Z</t>
  </si>
  <si>
    <t>2055-06-07T23:08:35.38Z</t>
  </si>
  <si>
    <t>2055-06-07T22:53:06.991165Z</t>
  </si>
  <si>
    <t>2055-06-07T23:01:17.38735Z</t>
  </si>
  <si>
    <t>2055-06-07T22:39:07.51664Z</t>
  </si>
  <si>
    <t>2055-06-07T22:39:11.473497Z</t>
  </si>
  <si>
    <t>2055-06-07T18:53:06.991165Z</t>
  </si>
  <si>
    <t>2055-06-07T19:01:17.38735Z</t>
  </si>
  <si>
    <t>2055-06-07T18:39:07.51664Z</t>
  </si>
  <si>
    <t>2055-06-01T16:53:41.682573Z</t>
  </si>
  <si>
    <t>2055-06-01T17:33:41.749Z</t>
  </si>
  <si>
    <t>2055-06-01T17:21:15.749Z</t>
  </si>
  <si>
    <t>2055-06-01T17:16:09.164487Z</t>
  </si>
  <si>
    <t>2055-06-01T17:26:37.400588Z</t>
  </si>
  <si>
    <t>2055-06-01T16:53:47.243698Z</t>
  </si>
  <si>
    <t>2055-06-01T16:53:54.342709Z</t>
  </si>
  <si>
    <t>2055-06-01T17:07:33.640164Z</t>
  </si>
  <si>
    <t>2055-06-01T13:16:09.164487Z</t>
  </si>
  <si>
    <t>2055-06-01T13:26:37.400588Z</t>
  </si>
  <si>
    <t>2055-06-01T12:53:47.243698Z</t>
  </si>
  <si>
    <t>2055-06-01T13:07:33.640164Z</t>
  </si>
  <si>
    <t>2055-06-08T03:21:51.532199Z</t>
  </si>
  <si>
    <t>2055-06-08T04:01:42.605Z</t>
  </si>
  <si>
    <t>2055-06-08T03:47:49.605Z</t>
  </si>
  <si>
    <t>2055-06-08T03:40:39.721624Z</t>
  </si>
  <si>
    <t>2055-06-08T03:52:38.505574Z</t>
  </si>
  <si>
    <t>2055-06-08T03:24:54.090655Z</t>
  </si>
  <si>
    <t>2055-06-08T03:25:09.532941Z</t>
  </si>
  <si>
    <t>2055-06-08T03:40:04.744513Z</t>
  </si>
  <si>
    <t>2055-06-07T23:40:39.721624Z</t>
  </si>
  <si>
    <t>2055-06-07T23:52:38.505574Z</t>
  </si>
  <si>
    <t>2055-06-07T23:24:54.090655Z</t>
  </si>
  <si>
    <t>2055-06-07T23:40:04.744513Z</t>
  </si>
  <si>
    <t>2055-06-09T23:12:01.649477Z</t>
  </si>
  <si>
    <t>2055-06-09T23:59:22.712Z</t>
  </si>
  <si>
    <t>2055-06-09T23:40:29.712Z</t>
  </si>
  <si>
    <t>2055-06-09T23:57:53.639183Z</t>
  </si>
  <si>
    <t>2055-06-10T00:11:26.17545Z</t>
  </si>
  <si>
    <t>2055-06-09T23:13:54.646755Z</t>
  </si>
  <si>
    <t>2055-06-09T23:14:07.968402Z</t>
  </si>
  <si>
    <t>2055-06-09T23:58:35.440946Z</t>
  </si>
  <si>
    <t>2055-06-09T19:57:53.639183Z</t>
  </si>
  <si>
    <t>2055-06-09T20:11:26.17545Z</t>
  </si>
  <si>
    <t>2055-06-09T19:13:54.646755Z</t>
  </si>
  <si>
    <t>2055-06-09T19:58:35.440946Z</t>
  </si>
  <si>
    <t>2055-06-11T22:56:34.495359Z</t>
  </si>
  <si>
    <t>2055-06-11T23:47:27.555Z</t>
  </si>
  <si>
    <t>2055-06-11T23:27:20.555Z</t>
  </si>
  <si>
    <t>2055-06-11T23:14:59.613884Z</t>
  </si>
  <si>
    <t>2055-06-11T23:30:47.963899Z</t>
  </si>
  <si>
    <t>2055-06-11T23:03:34.879782Z</t>
  </si>
  <si>
    <t>2055-06-11T23:03:46.840277Z</t>
  </si>
  <si>
    <t>2055-06-11T23:11:38.063111Z</t>
  </si>
  <si>
    <t>2055-06-11T19:14:59.613884Z</t>
  </si>
  <si>
    <t>2055-06-11T19:30:47.963899Z</t>
  </si>
  <si>
    <t>2055-06-11T19:03:34.879782Z</t>
  </si>
  <si>
    <t>2055-06-11T19:11:38.063111Z</t>
  </si>
  <si>
    <t>2055-06-13T00:02:23.608421Z</t>
  </si>
  <si>
    <t>2055-06-13T01:16:42.684Z</t>
  </si>
  <si>
    <t>2055-06-13T00:53:24.684Z</t>
  </si>
  <si>
    <t>2055-06-13T01:07:46.324614Z</t>
  </si>
  <si>
    <t>2055-06-13T01:21:11.124571Z</t>
  </si>
  <si>
    <t>2055-06-13T00:03:35.141369Z</t>
  </si>
  <si>
    <t>2055-06-13T00:04:00.125174Z</t>
  </si>
  <si>
    <t>2055-06-13T00:21:17.293555Z</t>
  </si>
  <si>
    <t>2055-06-12T21:07:46.324614Z</t>
  </si>
  <si>
    <t>2055-06-12T21:21:11.124571Z</t>
  </si>
  <si>
    <t>2055-06-12T20:03:35.141369Z</t>
  </si>
  <si>
    <t>2055-06-12T20:21:17.293555Z</t>
  </si>
  <si>
    <t>2055-06-03T23:52:00.088542Z</t>
  </si>
  <si>
    <t>2055-06-04T00:56:42.141Z</t>
  </si>
  <si>
    <t>2055-06-04T00:37:03.141Z</t>
  </si>
  <si>
    <t>2055-06-04T00:11:28.495461Z</t>
  </si>
  <si>
    <t>2055-06-04T00:22:30.36716Z</t>
  </si>
  <si>
    <t>2055-06-03T23:52:07.433332Z</t>
  </si>
  <si>
    <t>2055-06-03T23:52:12.383121Z</t>
  </si>
  <si>
    <t>2055-06-03T23:59:15.289665Z</t>
  </si>
  <si>
    <t>2055-06-03T20:11:28.495461Z</t>
  </si>
  <si>
    <t>2055-06-03T20:22:30.36716Z</t>
  </si>
  <si>
    <t>2055-06-03T19:52:07.433332Z</t>
  </si>
  <si>
    <t>2055-06-03T19:59:15.289665Z</t>
  </si>
  <si>
    <t>2055-06-10T13:57:20.650575Z</t>
  </si>
  <si>
    <t>2055-06-10T14:41:52.77Z</t>
  </si>
  <si>
    <t>2055-06-10T14:22:59.77Z</t>
  </si>
  <si>
    <t>2055-06-10T14:56:20.569129Z</t>
  </si>
  <si>
    <t>2055-06-10T15:05:25.78906Z</t>
  </si>
  <si>
    <t>2055-06-10T14:26:14.175727Z</t>
  </si>
  <si>
    <t>2055-06-10T14:26:32.925434Z</t>
  </si>
  <si>
    <t>2055-06-10T14:54:07.929648Z</t>
  </si>
  <si>
    <t>2055-06-10T10:56:20.569129Z</t>
  </si>
  <si>
    <t>2055-06-10T11:05:25.78906Z</t>
  </si>
  <si>
    <t>2055-06-10T10:26:14.175727Z</t>
  </si>
  <si>
    <t>2055-06-10T10:54:07.929648Z</t>
  </si>
  <si>
    <t>2055-06-04T17:00:24.13814Z</t>
  </si>
  <si>
    <t>2055-06-04T17:55:24.227Z</t>
  </si>
  <si>
    <t>2055-06-04T17:29:45.227Z</t>
  </si>
  <si>
    <t>2055-06-04T17:20:39.644074Z</t>
  </si>
  <si>
    <t>2055-06-04T17:25:44.736612Z</t>
  </si>
  <si>
    <t>2055-06-04T17:07:27.299848Z</t>
  </si>
  <si>
    <t>2055-06-04T17:08:37.657374Z</t>
  </si>
  <si>
    <t>2055-06-04T17:16:38.484574Z</t>
  </si>
  <si>
    <t>2055-06-04T13:20:39.644074Z</t>
  </si>
  <si>
    <t>2055-06-04T13:25:44.736612Z</t>
  </si>
  <si>
    <t>2055-06-04T13:07:27.299848Z</t>
  </si>
  <si>
    <t>2055-06-04T13:16:38.484574Z</t>
  </si>
  <si>
    <t>2055-06-03T01:11:11.963612Z</t>
  </si>
  <si>
    <t>2055-06-03T02:30:29.015Z</t>
  </si>
  <si>
    <t>2055-06-03T02:07:11.015Z</t>
  </si>
  <si>
    <t>2055-06-03T02:19:24.830099Z</t>
  </si>
  <si>
    <t>2055-06-03T02:29:49.94079Z</t>
  </si>
  <si>
    <t>2055-06-03T01:36:54.197969Z</t>
  </si>
  <si>
    <t>2055-06-03T01:36:57.244193Z</t>
  </si>
  <si>
    <t>2055-06-02T22:19:24.830099Z</t>
  </si>
  <si>
    <t>2055-06-02T22:29:49.94079Z</t>
  </si>
  <si>
    <t>2055-06-02T21:36:54.197969Z</t>
  </si>
  <si>
    <t>2055-06-12T00:34:36.952543Z</t>
  </si>
  <si>
    <t>2055-06-12T01:46:44.003Z</t>
  </si>
  <si>
    <t>2055-06-12T01:26:37.003Z</t>
  </si>
  <si>
    <t>2055-06-12T01:00:23.947675Z</t>
  </si>
  <si>
    <t>2055-06-12T01:17:13.875987Z</t>
  </si>
  <si>
    <t>2055-06-12T00:36:34.509883Z</t>
  </si>
  <si>
    <t>2055-06-12T00:36:40.569085Z</t>
  </si>
  <si>
    <t>2055-06-12T00:49:58.271835Z</t>
  </si>
  <si>
    <t>2055-06-11T21:00:23.947675Z</t>
  </si>
  <si>
    <t>2055-06-11T21:17:13.875987Z</t>
  </si>
  <si>
    <t>2055-06-11T20:36:34.509883Z</t>
  </si>
  <si>
    <t>2055-06-11T20:49:58.271835Z</t>
  </si>
  <si>
    <t>2055-06-01T21:58:07.587834Z</t>
  </si>
  <si>
    <t>2055-06-01T23:01:17.66Z</t>
  </si>
  <si>
    <t>2055-06-01T22:41:38.66Z</t>
  </si>
  <si>
    <t>2055-06-01T22:46:05.073133Z</t>
  </si>
  <si>
    <t>2055-06-01T23:07:39.037349Z</t>
  </si>
  <si>
    <t>2055-06-01T22:38:34.961394Z</t>
  </si>
  <si>
    <t>2055-06-01T22:38:42.419564Z</t>
  </si>
  <si>
    <t>2055-06-01T18:46:05.073133Z</t>
  </si>
  <si>
    <t>2055-06-01T19:07:39.037349Z</t>
  </si>
  <si>
    <t>2055-06-01T18:38:34.961394Z</t>
  </si>
  <si>
    <t>2055-06-04T12:42:51.61314Z</t>
  </si>
  <si>
    <t>2055-06-04T13:31:46.686Z</t>
  </si>
  <si>
    <t>2055-06-04T13:12:53.686Z</t>
  </si>
  <si>
    <t>2055-06-04T13:01:05.750888Z</t>
  </si>
  <si>
    <t>2055-06-04T13:05:59.739619Z</t>
  </si>
  <si>
    <t>2055-06-04T12:44:54.132911Z</t>
  </si>
  <si>
    <t>2055-06-04T12:45:13.374964Z</t>
  </si>
  <si>
    <t>2055-06-04T12:53:14.290083Z</t>
  </si>
  <si>
    <t>2055-06-04T09:01:05.750888Z</t>
  </si>
  <si>
    <t>2055-06-04T09:05:59.739619Z</t>
  </si>
  <si>
    <t>2055-06-04T08:44:54.132911Z</t>
  </si>
  <si>
    <t>2055-06-04T08:53:14.290083Z</t>
  </si>
  <si>
    <t>2055-06-05T20:19:51.236726Z</t>
  </si>
  <si>
    <t>2055-06-05T21:07:58.292Z</t>
  </si>
  <si>
    <t>2055-06-05T20:49:05.292Z</t>
  </si>
  <si>
    <t>2055-06-05T20:51:22.727624Z</t>
  </si>
  <si>
    <t>2055-06-05T21:07:56.197804Z</t>
  </si>
  <si>
    <t>2055-06-05T20:23:54.425039Z</t>
  </si>
  <si>
    <t>2055-06-05T20:24:10.218266Z</t>
  </si>
  <si>
    <t>2055-06-05T20:42:08.417285Z</t>
  </si>
  <si>
    <t>2055-06-05T16:51:22.727624Z</t>
  </si>
  <si>
    <t>2055-06-05T17:07:56.197804Z</t>
  </si>
  <si>
    <t>2055-06-05T16:23:54.425039Z</t>
  </si>
  <si>
    <t>2055-06-05T16:42:08.417285Z</t>
  </si>
  <si>
    <t>2055-06-09T01:54:09.109117Z</t>
  </si>
  <si>
    <t>2055-06-09T02:40:54.149Z</t>
  </si>
  <si>
    <t>2055-06-09T02:26:15.149Z</t>
  </si>
  <si>
    <t>2055-06-09T02:32:57.231319Z</t>
  </si>
  <si>
    <t>2055-06-09T02:41:37.512313Z</t>
  </si>
  <si>
    <t>2055-06-09T02:01:34.18328Z</t>
  </si>
  <si>
    <t>2055-06-09T02:01:56.337412Z</t>
  </si>
  <si>
    <t>2055-06-09T02:30:34.196547Z</t>
  </si>
  <si>
    <t>2055-06-08T22:32:57.231319Z</t>
  </si>
  <si>
    <t>2055-06-08T22:41:37.512313Z</t>
  </si>
  <si>
    <t>2055-06-08T22:01:34.18328Z</t>
  </si>
  <si>
    <t>2055-06-08T22:30:34.196547Z</t>
  </si>
  <si>
    <t>2055-06-05T16:08:09.15446Z</t>
  </si>
  <si>
    <t>2055-06-05T16:54:10.322Z</t>
  </si>
  <si>
    <t>2055-06-05T16:45:52.322Z</t>
  </si>
  <si>
    <t>2055-06-05T16:26:21.086292Z</t>
  </si>
  <si>
    <t>2055-06-05T16:47:14.905921Z</t>
  </si>
  <si>
    <t>2055-06-05T16:13:07.307637Z</t>
  </si>
  <si>
    <t>2055-06-05T16:13:24.3174Z</t>
  </si>
  <si>
    <t>2055-06-05T12:26:21.086292Z</t>
  </si>
  <si>
    <t>2055-06-05T12:47:14.905921Z</t>
  </si>
  <si>
    <t>2055-06-05T12:13:07.307637Z</t>
  </si>
  <si>
    <t>2055-06-05T22:48:59.982601Z</t>
  </si>
  <si>
    <t>2055-06-05T23:54:26.046Z</t>
  </si>
  <si>
    <t>2055-06-05T23:32:32.046Z</t>
  </si>
  <si>
    <t>2055-06-05T23:29:19.202555Z</t>
  </si>
  <si>
    <t>2055-06-05T23:45:58.075844Z</t>
  </si>
  <si>
    <t>2055-06-05T23:15:27.614783Z</t>
  </si>
  <si>
    <t>2055-06-05T23:15:31.144785Z</t>
  </si>
  <si>
    <t>2055-06-05T23:25:23.899499Z</t>
  </si>
  <si>
    <t>2055-06-05T19:29:19.202555Z</t>
  </si>
  <si>
    <t>2055-06-05T19:45:58.075844Z</t>
  </si>
  <si>
    <t>2055-06-05T19:15:27.614783Z</t>
  </si>
  <si>
    <t>2055-06-05T19:25:23.899499Z</t>
  </si>
  <si>
    <t>2055-06-01T23:34:23.185182Z</t>
  </si>
  <si>
    <t>2055-06-02T00:50:21.242Z</t>
  </si>
  <si>
    <t>2055-06-02T00:30:14.242Z</t>
  </si>
  <si>
    <t>2055-06-02T00:14:45.814442Z</t>
  </si>
  <si>
    <t>2055-06-02T00:45:14.458098Z</t>
  </si>
  <si>
    <t>2055-06-01T23:58:14.92395Z</t>
  </si>
  <si>
    <t>2055-06-01T23:58:23.849991Z</t>
  </si>
  <si>
    <t>2055-06-02T00:16:08.570324Z</t>
  </si>
  <si>
    <t>2055-06-01T20:14:45.814442Z</t>
  </si>
  <si>
    <t>2055-06-01T20:45:14.458098Z</t>
  </si>
  <si>
    <t>2055-06-01T19:58:14.92395Z</t>
  </si>
  <si>
    <t>2055-06-01T20:16:08.570324Z</t>
  </si>
  <si>
    <t>2055-06-02T19:40:38.018171Z</t>
  </si>
  <si>
    <t>2055-06-02T20:35:38.096Z</t>
  </si>
  <si>
    <t>2055-06-02T20:10:02.096Z</t>
  </si>
  <si>
    <t>2055-06-02T19:59:34.990731Z</t>
  </si>
  <si>
    <t>2055-06-02T20:06:18.014162Z</t>
  </si>
  <si>
    <t>2055-06-02T19:46:27.247744Z</t>
  </si>
  <si>
    <t>2055-06-02T19:46:30.919669Z</t>
  </si>
  <si>
    <t>2055-06-02T19:56:48.464422Z</t>
  </si>
  <si>
    <t>2055-06-02T15:59:34.990731Z</t>
  </si>
  <si>
    <t>2055-06-02T16:06:18.014162Z</t>
  </si>
  <si>
    <t>2055-06-02T15:46:27.247744Z</t>
  </si>
  <si>
    <t>2055-06-02T15:56:48.464422Z</t>
  </si>
  <si>
    <t>2055-06-04T21:30:01.631115Z</t>
  </si>
  <si>
    <t>2055-06-04T22:11:20.714Z</t>
  </si>
  <si>
    <t>2055-06-04T22:02:27.714Z</t>
  </si>
  <si>
    <t>2055-06-04T21:48:02.342797Z</t>
  </si>
  <si>
    <t>2055-06-04T21:59:08.527223Z</t>
  </si>
  <si>
    <t>2055-06-04T21:30:14.422097Z</t>
  </si>
  <si>
    <t>2055-06-04T21:30:19.82694Z</t>
  </si>
  <si>
    <t>2055-06-04T21:40:55.589719Z</t>
  </si>
  <si>
    <t>2055-06-04T17:48:02.342797Z</t>
  </si>
  <si>
    <t>2055-06-04T17:59:08.527223Z</t>
  </si>
  <si>
    <t>2055-06-04T17:30:14.422097Z</t>
  </si>
  <si>
    <t>2055-06-04T17:40:55.589719Z</t>
  </si>
  <si>
    <t>2055-06-02T23:30:56.712744Z</t>
  </si>
  <si>
    <t>2055-06-03T00:40:33.777Z</t>
  </si>
  <si>
    <t>2055-06-03T00:20:26.777Z</t>
  </si>
  <si>
    <t>2055-06-03T00:01:25.158224Z</t>
  </si>
  <si>
    <t>2055-06-03T00:09:29.177469Z</t>
  </si>
  <si>
    <t>2055-06-02T23:36:07.47579Z</t>
  </si>
  <si>
    <t>2055-06-02T23:36:33.037803Z</t>
  </si>
  <si>
    <t>2055-06-02T23:45:14.832577Z</t>
  </si>
  <si>
    <t>2055-06-02T20:01:25.158224Z</t>
  </si>
  <si>
    <t>2055-06-02T20:09:29.177469Z</t>
  </si>
  <si>
    <t>2055-06-02T19:36:07.47579Z</t>
  </si>
  <si>
    <t>2055-06-02T19:45:14.832577Z</t>
  </si>
  <si>
    <t>2055-06-05T14:57:45.446733Z</t>
  </si>
  <si>
    <t>2055-06-05T15:39:26.518Z</t>
  </si>
  <si>
    <t>2055-06-05T15:25:33.518Z</t>
  </si>
  <si>
    <t>2055-06-05T15:59:40.191493Z</t>
  </si>
  <si>
    <t>2055-06-05T16:21:29.677507Z</t>
  </si>
  <si>
    <t>2055-06-05T15:25:14.432303Z</t>
  </si>
  <si>
    <t>2055-06-05T15:25:18.679939Z</t>
  </si>
  <si>
    <t>2055-06-05T15:51:17.00807Z</t>
  </si>
  <si>
    <t>2055-06-05T11:59:40.191493Z</t>
  </si>
  <si>
    <t>2055-06-05T12:21:29.677507Z</t>
  </si>
  <si>
    <t>2055-06-05T11:25:14.432303Z</t>
  </si>
  <si>
    <t>2055-06-05T11:51:17.00807Z</t>
  </si>
  <si>
    <t>2055-06-04T00:20:17.821501Z</t>
  </si>
  <si>
    <t>2055-06-04T01:15:17.896Z</t>
  </si>
  <si>
    <t>2055-06-04T00:48:45.896Z</t>
  </si>
  <si>
    <t>2055-06-04T00:47:45.49102Z</t>
  </si>
  <si>
    <t>2055-06-04T01:04:28.354051Z</t>
  </si>
  <si>
    <t>2055-06-04T00:20:27.431525Z</t>
  </si>
  <si>
    <t>2055-06-04T00:20:32.75699Z</t>
  </si>
  <si>
    <t>2055-06-04T00:39:56.719966Z</t>
  </si>
  <si>
    <t>2055-06-03T20:47:45.49102Z</t>
  </si>
  <si>
    <t>2055-06-03T21:04:28.354051Z</t>
  </si>
  <si>
    <t>2055-06-03T20:20:27.431525Z</t>
  </si>
  <si>
    <t>2055-06-03T20:39:56.719966Z</t>
  </si>
  <si>
    <t>2055-06-03T23:31:27.147215Z</t>
  </si>
  <si>
    <t>2055-06-04T00:44:22.214Z</t>
  </si>
  <si>
    <t>2055-06-04T00:25:29.214Z</t>
  </si>
  <si>
    <t>2055-06-04T00:36:09.337713Z</t>
  </si>
  <si>
    <t>2055-06-04T00:52:19.337382Z</t>
  </si>
  <si>
    <t>2055-06-04T00:16:07.338954Z</t>
  </si>
  <si>
    <t>2055-06-04T00:16:10.592885Z</t>
  </si>
  <si>
    <t>2055-06-03T20:36:09.337713Z</t>
  </si>
  <si>
    <t>2055-06-03T20:52:19.337382Z</t>
  </si>
  <si>
    <t>2055-06-03T20:16:07.338954Z</t>
  </si>
  <si>
    <t>2055-06-05T00:36:42.839496Z</t>
  </si>
  <si>
    <t>2055-06-05T01:29:46.903Z</t>
  </si>
  <si>
    <t>2055-06-05T01:09:39.903Z</t>
  </si>
  <si>
    <t>2055-06-05T01:17:03.329083Z</t>
  </si>
  <si>
    <t>2055-06-05T01:17:12.634154Z</t>
  </si>
  <si>
    <t>2055-06-05T00:42:55.04255Z</t>
  </si>
  <si>
    <t>2055-06-05T00:43:02.609709Z</t>
  </si>
  <si>
    <t>2055-06-04T21:17:03.329083Z</t>
  </si>
  <si>
    <t>2055-06-04T21:17:12.634154Z</t>
  </si>
  <si>
    <t>2055-06-04T20:42:55.04255Z</t>
  </si>
  <si>
    <t>2055-06-09T01:15:04.532395Z</t>
  </si>
  <si>
    <t>2055-06-09T02:07:53.593Z</t>
  </si>
  <si>
    <t>2055-06-09T01:48:14.593Z</t>
  </si>
  <si>
    <t>2055-06-09T01:37:57.959545Z</t>
  </si>
  <si>
    <t>2055-06-09T01:48:05.687329Z</t>
  </si>
  <si>
    <t>2055-06-09T01:22:14.433778Z</t>
  </si>
  <si>
    <t>2055-06-09T01:22:42.289593Z</t>
  </si>
  <si>
    <t>2055-06-09T01:26:04.600567Z</t>
  </si>
  <si>
    <t>2055-06-08T21:37:57.959545Z</t>
  </si>
  <si>
    <t>2055-06-08T21:48:05.687329Z</t>
  </si>
  <si>
    <t>2055-06-08T21:22:14.433778Z</t>
  </si>
  <si>
    <t>2055-06-08T21:26:04.600567Z</t>
  </si>
  <si>
    <t>2055-06-11T15:48:04.726426Z</t>
  </si>
  <si>
    <t>2055-06-11T16:25:57.785Z</t>
  </si>
  <si>
    <t>2055-06-11T16:21:18.785Z</t>
  </si>
  <si>
    <t>2055-06-11T16:00:08.700473Z</t>
  </si>
  <si>
    <t>2055-06-11T16:10:42.931414Z</t>
  </si>
  <si>
    <t>2055-06-11T15:54:14.464811Z</t>
  </si>
  <si>
    <t>2055-06-11T15:54:26.963599Z</t>
  </si>
  <si>
    <t>2055-06-11T15:57:01.356551Z</t>
  </si>
  <si>
    <t>2055-06-11T12:00:08.700473Z</t>
  </si>
  <si>
    <t>2055-06-11T12:10:42.931414Z</t>
  </si>
  <si>
    <t>2055-06-11T11:54:14.464811Z</t>
  </si>
  <si>
    <t>2055-06-11T11:57:01.356551Z</t>
  </si>
  <si>
    <t>2055-06-12T16:04:23.100463Z</t>
  </si>
  <si>
    <t>2055-06-12T16:58:40.184Z</t>
  </si>
  <si>
    <t>2055-06-12T16:39:01.184Z</t>
  </si>
  <si>
    <t>2055-06-12T16:20:17.267967Z</t>
  </si>
  <si>
    <t>2055-06-12T16:35:24.965585Z</t>
  </si>
  <si>
    <t>2055-06-12T16:12:14.278348Z</t>
  </si>
  <si>
    <t>2055-06-12T16:12:33.683384Z</t>
  </si>
  <si>
    <t>2055-06-12T16:17:11.377508Z</t>
  </si>
  <si>
    <t>2055-06-12T12:20:17.267967Z</t>
  </si>
  <si>
    <t>2055-06-12T12:35:24.965585Z</t>
  </si>
  <si>
    <t>2055-06-12T12:12:14.278348Z</t>
  </si>
  <si>
    <t>2055-06-12T12:17:11.377508Z</t>
  </si>
  <si>
    <t>2055-06-07T00:28:55.848911Z</t>
  </si>
  <si>
    <t>2055-06-07T01:30:15.937Z</t>
  </si>
  <si>
    <t>2055-06-07T01:10:08.937Z</t>
  </si>
  <si>
    <t>2055-06-07T00:45:34.837723Z</t>
  </si>
  <si>
    <t>2055-06-07T00:55:24.02814Z</t>
  </si>
  <si>
    <t>2055-06-07T00:36:07.256054Z</t>
  </si>
  <si>
    <t>2055-06-07T00:36:15.522763Z</t>
  </si>
  <si>
    <t>2055-06-07T00:41:59.682642Z</t>
  </si>
  <si>
    <t>2055-06-06T20:45:34.837723Z</t>
  </si>
  <si>
    <t>2055-06-06T20:55:24.02814Z</t>
  </si>
  <si>
    <t>2055-06-06T20:36:07.256054Z</t>
  </si>
  <si>
    <t>2055-06-06T20:41:59.682642Z</t>
  </si>
  <si>
    <t>2055-06-05T01:07:55.893782Z</t>
  </si>
  <si>
    <t>2055-06-05T01:59:22.967Z</t>
  </si>
  <si>
    <t>2055-06-05T01:54:15.967Z</t>
  </si>
  <si>
    <t>2055-06-05T01:45:03.003171Z</t>
  </si>
  <si>
    <t>2055-06-05T01:59:59.6263Z</t>
  </si>
  <si>
    <t>2055-06-05T01:30:07.431107Z</t>
  </si>
  <si>
    <t>2055-06-05T01:31:10.506127Z</t>
  </si>
  <si>
    <t>2055-06-05T01:39:50.139672Z</t>
  </si>
  <si>
    <t>2055-06-04T21:45:03.003171Z</t>
  </si>
  <si>
    <t>2055-06-04T21:59:59.6263Z</t>
  </si>
  <si>
    <t>2055-06-04T21:30:07.431107Z</t>
  </si>
  <si>
    <t>2055-06-04T21:39:50.139672Z</t>
  </si>
  <si>
    <t>2055-06-05T20:20:41.526163Z</t>
  </si>
  <si>
    <t>2055-06-05T21:25:32.666Z</t>
  </si>
  <si>
    <t>2055-06-05T21:06:39.666Z</t>
  </si>
  <si>
    <t>2055-06-05T20:29:53.442912Z</t>
  </si>
  <si>
    <t>2055-06-05T20:47:32.687009Z</t>
  </si>
  <si>
    <t>2055-06-05T20:20:47.467819Z</t>
  </si>
  <si>
    <t>2055-06-05T20:21:13.400821Z</t>
  </si>
  <si>
    <t>2055-06-05T20:28:34.491173Z</t>
  </si>
  <si>
    <t>2055-06-05T16:29:53.442912Z</t>
  </si>
  <si>
    <t>2055-06-05T16:47:32.687009Z</t>
  </si>
  <si>
    <t>2055-06-05T16:20:47.467819Z</t>
  </si>
  <si>
    <t>2055-06-05T16:28:34.491173Z</t>
  </si>
  <si>
    <t>2055-06-05T22:26:06.878478Z</t>
  </si>
  <si>
    <t>2055-06-05T23:59:43.94Z</t>
  </si>
  <si>
    <t>2055-06-05T23:39:36.94Z</t>
  </si>
  <si>
    <t>2055-06-05T23:18:47.179885Z</t>
  </si>
  <si>
    <t>2055-06-05T23:35:40.050643Z</t>
  </si>
  <si>
    <t>2055-06-05T22:39:47.949791Z</t>
  </si>
  <si>
    <t>2055-06-05T22:40:02.827851Z</t>
  </si>
  <si>
    <t>2055-06-05T22:53:14.419498Z</t>
  </si>
  <si>
    <t>2055-06-05T19:18:47.179885Z</t>
  </si>
  <si>
    <t>2055-06-05T19:35:40.050643Z</t>
  </si>
  <si>
    <t>2055-06-05T18:39:47.949791Z</t>
  </si>
  <si>
    <t>2055-06-05T18:53:14.419498Z</t>
  </si>
  <si>
    <t>2055-06-11T01:40:15.092519Z</t>
  </si>
  <si>
    <t>2055-06-11T02:46:34.147Z</t>
  </si>
  <si>
    <t>2055-06-11T02:24:40.147Z</t>
  </si>
  <si>
    <t>2055-06-11T02:18:17.693235Z</t>
  </si>
  <si>
    <t>2055-06-11T02:29:53.64608Z</t>
  </si>
  <si>
    <t>2055-06-11T01:41:54.613263Z</t>
  </si>
  <si>
    <t>2055-06-11T01:42:03.189007Z</t>
  </si>
  <si>
    <t>2055-06-11T02:07:07.14353Z</t>
  </si>
  <si>
    <t>2055-06-10T22:18:17.693235Z</t>
  </si>
  <si>
    <t>2055-06-10T22:29:53.64608Z</t>
  </si>
  <si>
    <t>2055-06-10T21:41:54.613263Z</t>
  </si>
  <si>
    <t>2055-06-10T22:07:07.14353Z</t>
  </si>
  <si>
    <t>2055-06-12T18:26:48.313887Z</t>
  </si>
  <si>
    <t>2055-06-12T19:13:59.371Z</t>
  </si>
  <si>
    <t>2055-06-12T19:00:06.371Z</t>
  </si>
  <si>
    <t>2055-06-12T18:51:00.018008Z</t>
  </si>
  <si>
    <t>2055-06-12T19:13:21.130223Z</t>
  </si>
  <si>
    <t>2055-06-12T18:32:54.679853Z</t>
  </si>
  <si>
    <t>2055-06-12T18:33:03.651716Z</t>
  </si>
  <si>
    <t>2055-06-12T18:39:03.789334Z</t>
  </si>
  <si>
    <t>2055-06-12T14:51:00.018008Z</t>
  </si>
  <si>
    <t>2055-06-12T15:13:21.130223Z</t>
  </si>
  <si>
    <t>2055-06-12T14:32:54.679853Z</t>
  </si>
  <si>
    <t>2055-06-12T14:39:03.789334Z</t>
  </si>
  <si>
    <t>2055-06-05T15:52:40.125219Z</t>
  </si>
  <si>
    <t>2055-06-05T17:22:47.188Z</t>
  </si>
  <si>
    <t>2055-06-05T16:58:06.188Z</t>
  </si>
  <si>
    <t>2055-06-05T16:43:16.461966Z</t>
  </si>
  <si>
    <t>2055-06-05T16:53:39.749421Z</t>
  </si>
  <si>
    <t>2055-06-05T16:09:54.942712Z</t>
  </si>
  <si>
    <t>2055-06-05T16:10:13.985963Z</t>
  </si>
  <si>
    <t>2055-06-05T16:28:35.432743Z</t>
  </si>
  <si>
    <t>2055-06-05T12:43:16.461966Z</t>
  </si>
  <si>
    <t>2055-06-05T12:53:39.749421Z</t>
  </si>
  <si>
    <t>2055-06-05T12:09:54.942712Z</t>
  </si>
  <si>
    <t>2055-06-05T12:28:35.432743Z</t>
  </si>
  <si>
    <t>2055-06-06T19:17:40.180023Z</t>
  </si>
  <si>
    <t>2055-06-06T20:07:40.253Z</t>
  </si>
  <si>
    <t>2055-06-06T19:41:14.253Z</t>
  </si>
  <si>
    <t>2055-06-06T19:38:06.031754Z</t>
  </si>
  <si>
    <t>2055-06-06T19:42:06.408543Z</t>
  </si>
  <si>
    <t>2055-06-06T19:23:47.24824Z</t>
  </si>
  <si>
    <t>2055-06-06T19:23:57.581113Z</t>
  </si>
  <si>
    <t>2055-06-06T19:38:32.283429Z</t>
  </si>
  <si>
    <t>2055-06-06T15:38:06.031754Z</t>
  </si>
  <si>
    <t>2055-06-06T15:42:06.408543Z</t>
  </si>
  <si>
    <t>2055-06-06T15:23:47.24824Z</t>
  </si>
  <si>
    <t>2055-06-06T15:38:32.283429Z</t>
  </si>
  <si>
    <t>2055-06-07T00:44:31.306883Z</t>
  </si>
  <si>
    <t>2055-06-07T01:46:34.386Z</t>
  </si>
  <si>
    <t>2055-06-07T01:26:27.386Z</t>
  </si>
  <si>
    <t>2055-06-07T01:18:38.550962Z</t>
  </si>
  <si>
    <t>2055-06-07T01:27:40.278073Z</t>
  </si>
  <si>
    <t>2055-06-07T00:44:34.45884Z</t>
  </si>
  <si>
    <t>2055-06-07T00:45:56.870424Z</t>
  </si>
  <si>
    <t>2055-06-07T01:00:52.474858Z</t>
  </si>
  <si>
    <t>2055-06-06T21:18:38.550962Z</t>
  </si>
  <si>
    <t>2055-06-06T21:27:40.278073Z</t>
  </si>
  <si>
    <t>2055-06-06T20:44:34.45884Z</t>
  </si>
  <si>
    <t>2055-06-06T21:00:52.474858Z</t>
  </si>
  <si>
    <t>2055-06-10T22:33:43.697757Z</t>
  </si>
  <si>
    <t>2055-06-10T23:20:57.744Z</t>
  </si>
  <si>
    <t>2055-06-10T23:02:04.744Z</t>
  </si>
  <si>
    <t>2055-06-10T22:56:43.560414Z</t>
  </si>
  <si>
    <t>2055-06-10T23:06:49.935523Z</t>
  </si>
  <si>
    <t>2055-06-10T22:40:34.579348Z</t>
  </si>
  <si>
    <t>2055-06-10T22:40:54.026557Z</t>
  </si>
  <si>
    <t>2055-06-10T22:44:48.996141Z</t>
  </si>
  <si>
    <t>2055-06-10T18:56:43.560414Z</t>
  </si>
  <si>
    <t>2055-06-10T19:06:49.935523Z</t>
  </si>
  <si>
    <t>2055-06-10T18:40:34.579348Z</t>
  </si>
  <si>
    <t>2055-06-10T18:44:48.996141Z</t>
  </si>
  <si>
    <t>2055-06-01T21:14:14.355269Z</t>
  </si>
  <si>
    <t>2055-06-01T22:43:01.427Z</t>
  </si>
  <si>
    <t>2055-06-01T22:14:48.427Z</t>
  </si>
  <si>
    <t>2055-06-01T22:19:04.69216Z</t>
  </si>
  <si>
    <t>2055-06-01T22:36:00.033873Z</t>
  </si>
  <si>
    <t>2055-06-01T21:27:27.332849Z</t>
  </si>
  <si>
    <t>2055-06-01T21:27:31.147004Z</t>
  </si>
  <si>
    <t>2055-06-01T21:47:43.708958Z</t>
  </si>
  <si>
    <t>2055-06-01T18:19:04.69216Z</t>
  </si>
  <si>
    <t>2055-06-01T18:36:00.033873Z</t>
  </si>
  <si>
    <t>2055-06-01T17:27:27.332849Z</t>
  </si>
  <si>
    <t>2055-06-01T17:47:43.708958Z</t>
  </si>
  <si>
    <t>2055-06-02T15:17:32.912414Z</t>
  </si>
  <si>
    <t>2055-06-02T16:05:00.975Z</t>
  </si>
  <si>
    <t>2055-06-02T15:45:21.975Z</t>
  </si>
  <si>
    <t>2055-06-02T15:44:12.083021Z</t>
  </si>
  <si>
    <t>2055-06-02T15:53:25.62727Z</t>
  </si>
  <si>
    <t>2055-06-02T15:23:54.767387Z</t>
  </si>
  <si>
    <t>2055-06-02T15:24:03.070442Z</t>
  </si>
  <si>
    <t>2055-06-02T15:29:35.260404Z</t>
  </si>
  <si>
    <t>2055-06-02T11:44:12.083021Z</t>
  </si>
  <si>
    <t>2055-06-02T11:53:25.62727Z</t>
  </si>
  <si>
    <t>2055-06-02T11:23:54.767387Z</t>
  </si>
  <si>
    <t>2055-06-02T11:29:35.260404Z</t>
  </si>
  <si>
    <t>2055-06-02T21:28:24.354284Z</t>
  </si>
  <si>
    <t>2055-06-02T22:07:26.406Z</t>
  </si>
  <si>
    <t>2055-06-02T21:57:19.406Z</t>
  </si>
  <si>
    <t>2055-06-02T21:58:54.041931Z</t>
  </si>
  <si>
    <t>2055-06-02T22:12:17.891601Z</t>
  </si>
  <si>
    <t>2055-06-02T21:34:34.20312Z</t>
  </si>
  <si>
    <t>2055-06-02T21:34:39.049979Z</t>
  </si>
  <si>
    <t>2055-06-02T21:40:54.196246Z</t>
  </si>
  <si>
    <t>2055-06-02T17:58:54.041931Z</t>
  </si>
  <si>
    <t>2055-06-02T18:12:17.891601Z</t>
  </si>
  <si>
    <t>2055-06-02T17:34:34.20312Z</t>
  </si>
  <si>
    <t>2055-06-02T17:40:54.196246Z</t>
  </si>
  <si>
    <t>2055-06-03T00:09:18.230229Z</t>
  </si>
  <si>
    <t>2055-06-03T01:01:44.299Z</t>
  </si>
  <si>
    <t>2055-06-03T00:46:37.299Z</t>
  </si>
  <si>
    <t>2055-06-03T00:20:41.911654Z</t>
  </si>
  <si>
    <t>2055-06-03T00:34:07.223389Z</t>
  </si>
  <si>
    <t>2055-06-03T00:09:47.349101Z</t>
  </si>
  <si>
    <t>2055-06-03T00:09:54.632206Z</t>
  </si>
  <si>
    <t>2055-06-03T00:20:14.83318Z</t>
  </si>
  <si>
    <t>2055-06-02T20:20:41.911654Z</t>
  </si>
  <si>
    <t>2055-06-02T20:34:07.223389Z</t>
  </si>
  <si>
    <t>2055-06-02T20:09:47.349101Z</t>
  </si>
  <si>
    <t>2055-06-02T20:20:14.83318Z</t>
  </si>
  <si>
    <t>2055-06-03T23:08:36.129808Z</t>
  </si>
  <si>
    <t>2055-06-04T00:03:39.229Z</t>
  </si>
  <si>
    <t>2055-06-03T23:43:32.229Z</t>
  </si>
  <si>
    <t>2055-06-03T23:38:15.626521Z</t>
  </si>
  <si>
    <t>2055-06-03T23:46:40.97923Z</t>
  </si>
  <si>
    <t>2055-06-03T23:08:47.3423Z</t>
  </si>
  <si>
    <t>2055-06-03T23:08:53.339185Z</t>
  </si>
  <si>
    <t>2055-06-03T23:23:03.658107Z</t>
  </si>
  <si>
    <t>2055-06-03T19:38:15.626521Z</t>
  </si>
  <si>
    <t>2055-06-03T19:46:40.97923Z</t>
  </si>
  <si>
    <t>2055-06-03T19:08:47.3423Z</t>
  </si>
  <si>
    <t>2055-06-03T19:23:03.658107Z</t>
  </si>
  <si>
    <t>2055-06-04T23:44:56.456105Z</t>
  </si>
  <si>
    <t>2055-06-05T00:46:08.595Z</t>
  </si>
  <si>
    <t>2055-06-05T00:26:29.595Z</t>
  </si>
  <si>
    <t>2055-06-05T00:23:59.162648Z</t>
  </si>
  <si>
    <t>2055-06-05T00:36:28.321198Z</t>
  </si>
  <si>
    <t>2055-06-04T23:50:35.73427Z</t>
  </si>
  <si>
    <t>2055-06-04T23:51:06.369968Z</t>
  </si>
  <si>
    <t>2055-06-05T00:25:48.651438Z</t>
  </si>
  <si>
    <t>2055-06-04T20:23:59.162648Z</t>
  </si>
  <si>
    <t>2055-06-04T20:36:28.321198Z</t>
  </si>
  <si>
    <t>2055-06-04T19:50:35.73427Z</t>
  </si>
  <si>
    <t>2055-06-04T20:25:48.651438Z</t>
  </si>
  <si>
    <t>2055-06-05T13:22:47.465115Z</t>
  </si>
  <si>
    <t>2055-06-05T14:04:28.545Z</t>
  </si>
  <si>
    <t>2055-06-05T13:50:35.545Z</t>
  </si>
  <si>
    <t>2055-06-05T13:40:39.413048Z</t>
  </si>
  <si>
    <t>2055-06-05T13:52:05.898278Z</t>
  </si>
  <si>
    <t>2055-06-05T13:26:54.101513Z</t>
  </si>
  <si>
    <t>2055-06-05T13:27:13.913359Z</t>
  </si>
  <si>
    <t>2055-06-05T13:34:29.522741Z</t>
  </si>
  <si>
    <t>2055-06-05T09:40:39.413048Z</t>
  </si>
  <si>
    <t>2055-06-05T09:52:05.898278Z</t>
  </si>
  <si>
    <t>2055-06-05T09:26:54.101513Z</t>
  </si>
  <si>
    <t>2055-06-05T09:34:29.522741Z</t>
  </si>
  <si>
    <t>Drew</t>
  </si>
  <si>
    <t>2055-06-06T22:35:08.428728Z</t>
  </si>
  <si>
    <t>2055-06-06T23:34:44.517Z</t>
  </si>
  <si>
    <t>2055-06-06T23:21:26.517Z</t>
  </si>
  <si>
    <t>2055-06-06T22:55:09.632536Z</t>
  </si>
  <si>
    <t>2055-06-06T23:07:01.486577Z</t>
  </si>
  <si>
    <t>2055-06-06T22:37:51.997057Z</t>
  </si>
  <si>
    <t>2055-06-06T22:38:01.922758Z</t>
  </si>
  <si>
    <t>2055-06-06T22:49:54.446446Z</t>
  </si>
  <si>
    <t>2055-06-06T18:55:09.632536Z</t>
  </si>
  <si>
    <t>2055-06-06T19:07:01.486577Z</t>
  </si>
  <si>
    <t>2055-06-06T18:37:51.997057Z</t>
  </si>
  <si>
    <t>2055-06-06T18:49:54.446446Z</t>
  </si>
  <si>
    <t>2055-06-07T12:45:59.668373Z</t>
  </si>
  <si>
    <t>2055-06-07T13:26:08.758Z</t>
  </si>
  <si>
    <t>2055-06-07T13:17:15.758Z</t>
  </si>
  <si>
    <t>2055-06-07T13:16:08.432274Z</t>
  </si>
  <si>
    <t>2055-06-07T13:29:14.539689Z</t>
  </si>
  <si>
    <t>2055-06-07T12:51:34.057672Z</t>
  </si>
  <si>
    <t>2055-06-07T12:52:30.305568Z</t>
  </si>
  <si>
    <t>2055-06-07T13:04:13.499756Z</t>
  </si>
  <si>
    <t>2055-06-07T09:16:08.432274Z</t>
  </si>
  <si>
    <t>2055-06-07T09:29:14.539689Z</t>
  </si>
  <si>
    <t>2055-06-07T08:51:34.057672Z</t>
  </si>
  <si>
    <t>2055-06-07T09:04:13.499756Z</t>
  </si>
  <si>
    <t>2055-06-11T18:43:01.751916Z</t>
  </si>
  <si>
    <t>2055-06-11T19:31:29.806Z</t>
  </si>
  <si>
    <t>2055-06-11T19:18:11.806Z</t>
  </si>
  <si>
    <t>2055-06-11T19:09:11.910491Z</t>
  </si>
  <si>
    <t>2055-06-11T19:20:06.116426Z</t>
  </si>
  <si>
    <t>2055-06-11T18:49:14.511642Z</t>
  </si>
  <si>
    <t>2055-06-11T18:49:28.627091Z</t>
  </si>
  <si>
    <t>2055-06-11T19:03:58.558052Z</t>
  </si>
  <si>
    <t>2055-06-11T15:09:11.910491Z</t>
  </si>
  <si>
    <t>2055-06-11T15:20:06.116426Z</t>
  </si>
  <si>
    <t>2055-06-11T14:49:14.511642Z</t>
  </si>
  <si>
    <t>2055-06-11T15:03:58.558052Z</t>
  </si>
  <si>
    <t>2055-06-12T01:40:34.194782Z</t>
  </si>
  <si>
    <t>2055-06-12T02:32:00.26Z</t>
  </si>
  <si>
    <t>2055-06-12T02:11:53.26Z</t>
  </si>
  <si>
    <t>2055-06-12T01:58:32.617862Z</t>
  </si>
  <si>
    <t>2055-06-12T02:07:22.520473Z</t>
  </si>
  <si>
    <t>2055-06-12T01:46:54.510201Z</t>
  </si>
  <si>
    <t>2055-06-12T01:47:11.842942Z</t>
  </si>
  <si>
    <t>2055-06-12T01:56:08.338418Z</t>
  </si>
  <si>
    <t>2055-06-11T21:58:32.617862Z</t>
  </si>
  <si>
    <t>2055-06-11T22:07:22.520473Z</t>
  </si>
  <si>
    <t>2055-06-11T21:46:54.510201Z</t>
  </si>
  <si>
    <t>2055-06-11T21:56:08.338418Z</t>
  </si>
  <si>
    <t>2055-06-08T15:16:16.098162Z</t>
  </si>
  <si>
    <t>2055-06-08T16:45:25.174Z</t>
  </si>
  <si>
    <t>2055-06-08T16:17:12.174Z</t>
  </si>
  <si>
    <t>2055-06-08T15:30:24.823294Z</t>
  </si>
  <si>
    <t>2055-06-08T15:44:57.692354Z</t>
  </si>
  <si>
    <t>2055-06-08T15:19:07.296757Z</t>
  </si>
  <si>
    <t>2055-06-08T15:19:10.122884Z</t>
  </si>
  <si>
    <t>2055-06-08T15:29:14.586842Z</t>
  </si>
  <si>
    <t>2055-06-08T11:30:24.823294Z</t>
  </si>
  <si>
    <t>2055-06-08T11:44:57.692354Z</t>
  </si>
  <si>
    <t>2055-06-08T11:19:07.296757Z</t>
  </si>
  <si>
    <t>2055-06-08T11:29:14.586842Z</t>
  </si>
  <si>
    <t>2055-06-05T14:29:04.685305Z</t>
  </si>
  <si>
    <t>2055-06-05T15:45:00Z</t>
  </si>
  <si>
    <t>2055-06-05T15:06:51.763414Z</t>
  </si>
  <si>
    <t>2055-06-05T15:17:40.740752Z</t>
  </si>
  <si>
    <t>2055-06-05T14:45:54.245Z</t>
  </si>
  <si>
    <t>2055-06-05T14:46:02.598527Z</t>
  </si>
  <si>
    <t>2055-06-05T14:51:52.779492Z</t>
  </si>
  <si>
    <t>2055-06-05T11:06:51.763414Z</t>
  </si>
  <si>
    <t>2055-06-05T11:17:40.740752Z</t>
  </si>
  <si>
    <t>2055-06-05T10:45:54.245Z</t>
  </si>
  <si>
    <t>2055-06-05T10:51:52.779492Z</t>
  </si>
  <si>
    <t>2055-06-10T16:59:22.790801Z</t>
  </si>
  <si>
    <t>2055-06-10T17:49:40.891Z</t>
  </si>
  <si>
    <t>2055-06-10T17:30:47.891Z</t>
  </si>
  <si>
    <t>2055-06-10T17:23:51.803409Z</t>
  </si>
  <si>
    <t>2055-06-10T17:34:16.336692Z</t>
  </si>
  <si>
    <t>2055-06-10T17:05:54.313885Z</t>
  </si>
  <si>
    <t>2055-06-10T17:06:10.8988Z</t>
  </si>
  <si>
    <t>2055-06-10T17:12:28.45531Z</t>
  </si>
  <si>
    <t>2055-06-10T13:23:51.803409Z</t>
  </si>
  <si>
    <t>2055-06-10T13:34:16.336692Z</t>
  </si>
  <si>
    <t>2055-06-10T13:05:54.313885Z</t>
  </si>
  <si>
    <t>2055-06-10T13:12:28.45531Z</t>
  </si>
  <si>
    <t>2055-06-01T22:53:18.578274Z</t>
  </si>
  <si>
    <t>2055-06-01T23:41:37.638Z</t>
  </si>
  <si>
    <t>2055-06-01T23:34:43.638Z</t>
  </si>
  <si>
    <t>2055-06-01T23:26:42.266013Z</t>
  </si>
  <si>
    <t>2055-06-01T23:55:40.58824Z</t>
  </si>
  <si>
    <t>2055-06-01T23:06:27.355037Z</t>
  </si>
  <si>
    <t>2055-06-01T23:06:59.678222Z</t>
  </si>
  <si>
    <t>2055-06-01T23:24:40.714406Z</t>
  </si>
  <si>
    <t>2055-06-01T19:26:42.266013Z</t>
  </si>
  <si>
    <t>2055-06-01T19:55:40.58824Z</t>
  </si>
  <si>
    <t>2055-06-01T19:06:27.355037Z</t>
  </si>
  <si>
    <t>2055-06-01T19:24:40.714406Z</t>
  </si>
  <si>
    <t>2055-06-03T23:58:00.988386Z</t>
  </si>
  <si>
    <t>2055-06-04T00:55:27.075Z</t>
  </si>
  <si>
    <t>2055-06-04T00:36:34.075Z</t>
  </si>
  <si>
    <t>2055-06-04T00:20:27.426147Z</t>
  </si>
  <si>
    <t>2055-06-04T00:47:22.432902Z</t>
  </si>
  <si>
    <t>2055-06-04T00:00:07.590919Z</t>
  </si>
  <si>
    <t>2055-06-04T00:00:47.476943Z</t>
  </si>
  <si>
    <t>2055-06-03T20:20:27.426147Z</t>
  </si>
  <si>
    <t>2055-06-03T20:47:22.432902Z</t>
  </si>
  <si>
    <t>2055-06-03T20:00:07.590919Z</t>
  </si>
  <si>
    <t>2055-06-06T00:05:20.961933Z</t>
  </si>
  <si>
    <t>2055-06-06T01:09:08.042Z</t>
  </si>
  <si>
    <t>2055-06-06T00:47:14.042Z</t>
  </si>
  <si>
    <t>2055-06-06T00:33:14.140394Z</t>
  </si>
  <si>
    <t>2055-06-06T00:42:14.199788Z</t>
  </si>
  <si>
    <t>2055-06-06T00:14:27.383618Z</t>
  </si>
  <si>
    <t>2055-06-06T00:14:54.841069Z</t>
  </si>
  <si>
    <t>2055-06-05T20:33:14.140394Z</t>
  </si>
  <si>
    <t>2055-06-05T20:42:14.199788Z</t>
  </si>
  <si>
    <t>2055-06-05T20:14:27.383618Z</t>
  </si>
  <si>
    <t>2055-06-02T21:05:28.350843Z</t>
  </si>
  <si>
    <t>2055-06-02T21:52:53.250089Z</t>
  </si>
  <si>
    <t>2055-06-02T22:24:41.603232Z</t>
  </si>
  <si>
    <t>2055-06-02T21:30:07.421234Z</t>
  </si>
  <si>
    <t>2055-06-02T21:30:16.552915Z</t>
  </si>
  <si>
    <t>2055-06-02T21:50:12.296993Z</t>
  </si>
  <si>
    <t>2055-06-02T17:52:53.250089Z</t>
  </si>
  <si>
    <t>2055-06-02T18:24:41.603232Z</t>
  </si>
  <si>
    <t>2055-06-02T17:30:07.421234Z</t>
  </si>
  <si>
    <t>2055-06-02T17:50:12.296993Z</t>
  </si>
  <si>
    <t>2055-06-06T21:44:56.978857Z</t>
  </si>
  <si>
    <t>2055-06-06T23:30:00Z</t>
  </si>
  <si>
    <t>2055-06-06T23:22:41.423274Z</t>
  </si>
  <si>
    <t>2055-06-06T23:35:35.580781Z</t>
  </si>
  <si>
    <t>2055-06-06T22:35:07.323816Z</t>
  </si>
  <si>
    <t>2055-06-06T22:35:13.94157Z</t>
  </si>
  <si>
    <t>2055-06-06T22:49:30.847599Z</t>
  </si>
  <si>
    <t>2055-06-06T19:22:41.423274Z</t>
  </si>
  <si>
    <t>2055-06-06T19:35:35.580781Z</t>
  </si>
  <si>
    <t>2055-06-06T18:35:07.323816Z</t>
  </si>
  <si>
    <t>2055-06-06T18:49:30.847599Z</t>
  </si>
  <si>
    <t>2055-06-06T00:57:44.140418Z</t>
  </si>
  <si>
    <t>2055-06-06T01:58:49.223Z</t>
  </si>
  <si>
    <t>2055-06-06T01:41:55.223Z</t>
  </si>
  <si>
    <t>2055-06-06T01:34:59.469719Z</t>
  </si>
  <si>
    <t>2055-06-06T01:36:08.151521Z</t>
  </si>
  <si>
    <t>2055-06-06T01:00:08.193645Z</t>
  </si>
  <si>
    <t>2055-06-06T01:01:28.663801Z</t>
  </si>
  <si>
    <t>2055-06-06T01:11:41.511606Z</t>
  </si>
  <si>
    <t>2055-06-05T21:34:59.469719Z</t>
  </si>
  <si>
    <t>2055-06-05T21:36:08.151521Z</t>
  </si>
  <si>
    <t>2055-06-05T21:00:08.193645Z</t>
  </si>
  <si>
    <t>2055-06-05T21:11:41.511606Z</t>
  </si>
  <si>
    <t>2055-06-03T15:49:50.243892Z</t>
  </si>
  <si>
    <t>2055-06-03T16:42:24.322Z</t>
  </si>
  <si>
    <t>2055-06-03T16:29:06.322Z</t>
  </si>
  <si>
    <t>2055-06-03T16:21:17.990659Z</t>
  </si>
  <si>
    <t>2055-06-03T16:41:55.844436Z</t>
  </si>
  <si>
    <t>2055-06-03T15:57:47.411062Z</t>
  </si>
  <si>
    <t>2055-06-03T15:57:51.884156Z</t>
  </si>
  <si>
    <t>2055-06-03T16:15:14.877956Z</t>
  </si>
  <si>
    <t>2055-06-03T12:21:17.990659Z</t>
  </si>
  <si>
    <t>2055-06-03T12:41:55.844436Z</t>
  </si>
  <si>
    <t>2055-06-03T11:57:47.411062Z</t>
  </si>
  <si>
    <t>2055-06-03T12:15:14.877956Z</t>
  </si>
  <si>
    <t>2055-06-05T23:35:49.800169Z</t>
  </si>
  <si>
    <t>2055-06-06T00:51:34.854Z</t>
  </si>
  <si>
    <t>2055-06-06T00:25:45.854Z</t>
  </si>
  <si>
    <t>2055-06-06T00:09:23.042277Z</t>
  </si>
  <si>
    <t>2055-06-06T00:17:28.374276Z</t>
  </si>
  <si>
    <t>2055-06-05T23:47:27.520826Z</t>
  </si>
  <si>
    <t>2055-06-05T23:47:31.66729Z</t>
  </si>
  <si>
    <t>2055-06-05T23:53:54.452341Z</t>
  </si>
  <si>
    <t>2055-06-05T20:09:23.042277Z</t>
  </si>
  <si>
    <t>2055-06-05T20:17:28.374276Z</t>
  </si>
  <si>
    <t>2055-06-05T19:47:27.520826Z</t>
  </si>
  <si>
    <t>2055-06-05T19:53:54.452341Z</t>
  </si>
  <si>
    <t>2055-06-13T01:27:55.53241Z</t>
  </si>
  <si>
    <t>2055-06-13T02:24:19.591Z</t>
  </si>
  <si>
    <t>2055-06-13T02:11:01.591Z</t>
  </si>
  <si>
    <t>2055-06-13T01:49:35.422294Z</t>
  </si>
  <si>
    <t>2055-06-13T01:57:45.986577Z</t>
  </si>
  <si>
    <t>2055-06-13T01:33:14.406879Z</t>
  </si>
  <si>
    <t>2055-06-13T01:33:19.409478Z</t>
  </si>
  <si>
    <t>2055-06-13T01:41:19.37148Z</t>
  </si>
  <si>
    <t>2055-06-12T21:49:35.422294Z</t>
  </si>
  <si>
    <t>2055-06-12T21:57:45.986577Z</t>
  </si>
  <si>
    <t>2055-06-12T21:33:14.406879Z</t>
  </si>
  <si>
    <t>2055-06-12T21:41:19.37148Z</t>
  </si>
  <si>
    <t>2055-06-05T21:53:14.940938Z</t>
  </si>
  <si>
    <t>2055-06-05T23:01:04.007Z</t>
  </si>
  <si>
    <t>2055-06-05T22:42:11.007Z</t>
  </si>
  <si>
    <t>2055-06-05T22:10:11.606669Z</t>
  </si>
  <si>
    <t>2055-06-05T22:18:21.176849Z</t>
  </si>
  <si>
    <t>2055-06-05T21:59:35.74218Z</t>
  </si>
  <si>
    <t>2055-06-05T21:59:42.918858Z</t>
  </si>
  <si>
    <t>2055-06-05T22:05:10.624317Z</t>
  </si>
  <si>
    <t>2055-06-05T18:10:11.606669Z</t>
  </si>
  <si>
    <t>2055-06-05T18:18:21.176849Z</t>
  </si>
  <si>
    <t>2055-06-05T17:59:35.74218Z</t>
  </si>
  <si>
    <t>2055-06-05T18:05:10.624317Z</t>
  </si>
  <si>
    <t>2055-06-02T22:36:59.37152Z</t>
  </si>
  <si>
    <t>2055-06-02T23:32:07.423Z</t>
  </si>
  <si>
    <t>2055-06-02T23:15:13.423Z</t>
  </si>
  <si>
    <t>2055-06-02T22:58:58.557158Z</t>
  </si>
  <si>
    <t>2055-06-02T23:10:56.734632Z</t>
  </si>
  <si>
    <t>2055-06-02T22:38:27.452158Z</t>
  </si>
  <si>
    <t>2055-06-02T22:38:52.268486Z</t>
  </si>
  <si>
    <t>2055-06-02T18:58:58.557158Z</t>
  </si>
  <si>
    <t>2055-06-02T19:10:56.734632Z</t>
  </si>
  <si>
    <t>2055-06-02T18:38:27.452158Z</t>
  </si>
  <si>
    <t>2055-06-02T13:53:39.599445Z</t>
  </si>
  <si>
    <t>2055-06-02T15:03:44.444132Z</t>
  </si>
  <si>
    <t>2055-06-02T15:20:17.467757Z</t>
  </si>
  <si>
    <t>2055-06-02T14:46:34.294707Z</t>
  </si>
  <si>
    <t>2055-06-02T14:46:50.45492Z</t>
  </si>
  <si>
    <t>2055-06-02T11:03:44.444132Z</t>
  </si>
  <si>
    <t>2055-06-02T11:20:17.467757Z</t>
  </si>
  <si>
    <t>2055-06-02T10:46:34.294707Z</t>
  </si>
  <si>
    <t>2055-06-05T22:30:17.6462Z</t>
  </si>
  <si>
    <t>2055-06-05T23:30:53.736Z</t>
  </si>
  <si>
    <t>2055-06-05T23:10:46.736Z</t>
  </si>
  <si>
    <t>2055-06-05T22:50:24.859027Z</t>
  </si>
  <si>
    <t>2055-06-05T23:05:57.79048Z</t>
  </si>
  <si>
    <t>2055-06-05T22:30:36.351848Z</t>
  </si>
  <si>
    <t>2055-06-05T22:30:44.329665Z</t>
  </si>
  <si>
    <t>2055-06-05T22:40:45.624945Z</t>
  </si>
  <si>
    <t>2055-06-05T18:50:24.859027Z</t>
  </si>
  <si>
    <t>2055-06-05T19:05:57.79048Z</t>
  </si>
  <si>
    <t>2055-06-05T18:30:36.351848Z</t>
  </si>
  <si>
    <t>2055-06-05T18:40:45.624945Z</t>
  </si>
  <si>
    <t>2055-06-05T18:25:28.295298Z</t>
  </si>
  <si>
    <t>2055-06-05T19:05:28.425Z</t>
  </si>
  <si>
    <t>2055-06-05T18:59:23.425Z</t>
  </si>
  <si>
    <t>2055-06-05T18:52:04.61221Z</t>
  </si>
  <si>
    <t>2055-06-05T19:00:46.207884Z</t>
  </si>
  <si>
    <t>2055-06-05T18:35:27.433526Z</t>
  </si>
  <si>
    <t>2055-06-05T18:35:35.731346Z</t>
  </si>
  <si>
    <t>2055-06-05T18:49:27.459888Z</t>
  </si>
  <si>
    <t>2055-06-05T14:52:04.61221Z</t>
  </si>
  <si>
    <t>2055-06-05T15:00:46.207884Z</t>
  </si>
  <si>
    <t>2055-06-05T14:35:27.433526Z</t>
  </si>
  <si>
    <t>2055-06-05T14:49:27.459888Z</t>
  </si>
  <si>
    <t>2055-06-06T00:21:28.707659Z</t>
  </si>
  <si>
    <t>2055-06-06T01:15:04.763Z</t>
  </si>
  <si>
    <t>2055-06-06T01:08:10.763Z</t>
  </si>
  <si>
    <t>2055-06-06T00:49:14.564733Z</t>
  </si>
  <si>
    <t>2055-06-06T01:02:01.578941Z</t>
  </si>
  <si>
    <t>2055-06-06T00:23:07.798622Z</t>
  </si>
  <si>
    <t>2055-06-06T00:23:16.561939Z</t>
  </si>
  <si>
    <t>2055-06-06T00:46:36.480461Z</t>
  </si>
  <si>
    <t>2055-06-05T20:49:14.564733Z</t>
  </si>
  <si>
    <t>2055-06-05T21:02:01.578941Z</t>
  </si>
  <si>
    <t>2055-06-05T20:23:07.798622Z</t>
  </si>
  <si>
    <t>2055-06-05T20:46:36.480461Z</t>
  </si>
  <si>
    <t>2055-06-10T00:03:53.823666Z</t>
  </si>
  <si>
    <t>2055-06-10T00:51:06.889Z</t>
  </si>
  <si>
    <t>2055-06-10T00:44:12.889Z</t>
  </si>
  <si>
    <t>2055-06-10T00:33:35.165969Z</t>
  </si>
  <si>
    <t>2055-06-10T00:46:02.752081Z</t>
  </si>
  <si>
    <t>2055-06-10T00:19:35.204647Z</t>
  </si>
  <si>
    <t>2055-06-10T00:19:40.075665Z</t>
  </si>
  <si>
    <t>2055-06-10T00:25:18.171232Z</t>
  </si>
  <si>
    <t>2055-06-09T20:33:35.165969Z</t>
  </si>
  <si>
    <t>2055-06-09T20:46:02.752081Z</t>
  </si>
  <si>
    <t>2055-06-09T20:19:35.204647Z</t>
  </si>
  <si>
    <t>2055-06-09T20:25:18.171232Z</t>
  </si>
  <si>
    <t>2055-06-08T01:12:20.858153Z</t>
  </si>
  <si>
    <t>2055-06-08T01:52:20.928Z</t>
  </si>
  <si>
    <t>2055-06-08T01:41:51.928Z</t>
  </si>
  <si>
    <t>2055-06-08T01:27:45.964782Z</t>
  </si>
  <si>
    <t>2055-06-08T02:03:56.07241Z</t>
  </si>
  <si>
    <t>2055-06-08T01:13:07.315441Z</t>
  </si>
  <si>
    <t>2055-06-08T01:13:11.225536Z</t>
  </si>
  <si>
    <t>2055-06-08T01:22:26.879746Z</t>
  </si>
  <si>
    <t>2055-06-07T21:27:45.964782Z</t>
  </si>
  <si>
    <t>2055-06-07T22:03:56.07241Z</t>
  </si>
  <si>
    <t>2055-06-07T21:13:07.315441Z</t>
  </si>
  <si>
    <t>2055-06-07T21:22:26.879746Z</t>
  </si>
  <si>
    <t>2055-06-02T01:06:31.873459Z</t>
  </si>
  <si>
    <t>2055-06-02T02:02:39.961Z</t>
  </si>
  <si>
    <t>2055-06-02T01:50:45.961Z</t>
  </si>
  <si>
    <t>2055-06-02T01:38:12.704075Z</t>
  </si>
  <si>
    <t>2055-06-02T02:06:28.087008Z</t>
  </si>
  <si>
    <t>2055-06-02T01:11:47.25183Z</t>
  </si>
  <si>
    <t>2055-06-02T01:11:56.305882Z</t>
  </si>
  <si>
    <t>2055-06-02T01:33:59.494979Z</t>
  </si>
  <si>
    <t>2055-06-01T21:38:12.704075Z</t>
  </si>
  <si>
    <t>2055-06-01T22:06:28.087008Z</t>
  </si>
  <si>
    <t>2055-06-01T21:11:47.25183Z</t>
  </si>
  <si>
    <t>2055-06-01T21:33:59.494979Z</t>
  </si>
  <si>
    <t>2055-06-09T16:54:00.686969Z</t>
  </si>
  <si>
    <t>2055-06-09T17:50:28.745Z</t>
  </si>
  <si>
    <t>2055-06-09T17:30:49.745Z</t>
  </si>
  <si>
    <t>2055-06-09T17:28:48.145529Z</t>
  </si>
  <si>
    <t>2055-06-09T17:38:37.892098Z</t>
  </si>
  <si>
    <t>2055-06-09T16:59:54.875082Z</t>
  </si>
  <si>
    <t>2055-06-09T17:00:13.106035Z</t>
  </si>
  <si>
    <t>2055-06-09T17:08:27.915838Z</t>
  </si>
  <si>
    <t>2055-06-09T13:28:48.145529Z</t>
  </si>
  <si>
    <t>2055-06-09T13:38:37.892098Z</t>
  </si>
  <si>
    <t>2055-06-09T12:59:54.875082Z</t>
  </si>
  <si>
    <t>2055-06-09T13:08:27.915838Z</t>
  </si>
  <si>
    <t>2055-06-12T21:46:35.081832Z</t>
  </si>
  <si>
    <t>2055-06-12T22:38:42.181Z</t>
  </si>
  <si>
    <t>2055-06-12T22:29:49.181Z</t>
  </si>
  <si>
    <t>2055-06-12T22:36:42.181983Z</t>
  </si>
  <si>
    <t>2055-06-12T22:48:04.856235Z</t>
  </si>
  <si>
    <t>2055-06-12T21:46:54.688573Z</t>
  </si>
  <si>
    <t>2055-06-12T21:47:10.798734Z</t>
  </si>
  <si>
    <t>2055-06-12T21:52:28.56226Z</t>
  </si>
  <si>
    <t>2055-06-12T18:36:42.181983Z</t>
  </si>
  <si>
    <t>2055-06-12T18:48:04.856235Z</t>
  </si>
  <si>
    <t>2055-06-12T17:46:54.688573Z</t>
  </si>
  <si>
    <t>2055-06-12T17:52:28.56226Z</t>
  </si>
  <si>
    <t>2055-06-03T15:45:54.66207Z</t>
  </si>
  <si>
    <t>2055-06-03T16:58:06.737Z</t>
  </si>
  <si>
    <t>2055-06-03T16:34:48.737Z</t>
  </si>
  <si>
    <t>2055-06-03T16:06:41.970048Z</t>
  </si>
  <si>
    <t>2055-06-03T16:28:35.294409Z</t>
  </si>
  <si>
    <t>2055-06-03T15:57:27.466345Z</t>
  </si>
  <si>
    <t>2055-06-03T15:57:44.727387Z</t>
  </si>
  <si>
    <t>2055-06-03T16:06:40.713052Z</t>
  </si>
  <si>
    <t>2055-06-03T12:06:41.970048Z</t>
  </si>
  <si>
    <t>2055-06-03T12:28:35.294409Z</t>
  </si>
  <si>
    <t>2055-06-03T11:57:27.466345Z</t>
  </si>
  <si>
    <t>2055-06-03T12:06:40.713052Z</t>
  </si>
  <si>
    <t>2055-06-03T19:17:17.491267Z</t>
  </si>
  <si>
    <t>2055-06-03T20:08:36.57Z</t>
  </si>
  <si>
    <t>2055-06-03T19:48:29.57Z</t>
  </si>
  <si>
    <t>2055-06-03T19:36:40.445459Z</t>
  </si>
  <si>
    <t>2055-06-03T19:52:04.456547Z</t>
  </si>
  <si>
    <t>2055-06-03T19:25:14.22128Z</t>
  </si>
  <si>
    <t>2055-06-03T19:25:32.445936Z</t>
  </si>
  <si>
    <t>2055-06-03T19:35:23.617885Z</t>
  </si>
  <si>
    <t>2055-06-03T15:36:40.445459Z</t>
  </si>
  <si>
    <t>2055-06-03T15:52:04.456547Z</t>
  </si>
  <si>
    <t>2055-06-03T15:25:14.22128Z</t>
  </si>
  <si>
    <t>2055-06-03T15:35:23.617885Z</t>
  </si>
  <si>
    <t>2055-06-04T20:35:00.776207Z</t>
  </si>
  <si>
    <t>2055-06-04T21:15:42.867Z</t>
  </si>
  <si>
    <t>2055-06-04T21:10:35.867Z</t>
  </si>
  <si>
    <t>2055-06-04T21:15:59.275502Z</t>
  </si>
  <si>
    <t>2055-06-04T21:31:32.495374Z</t>
  </si>
  <si>
    <t>2055-06-04T20:37:47.328304Z</t>
  </si>
  <si>
    <t>2055-06-04T20:37:57.90004Z</t>
  </si>
  <si>
    <t>2055-06-04T21:01:11.939198Z</t>
  </si>
  <si>
    <t>2055-06-04T17:15:59.275502Z</t>
  </si>
  <si>
    <t>2055-06-04T17:31:32.495374Z</t>
  </si>
  <si>
    <t>2055-06-04T16:37:47.328304Z</t>
  </si>
  <si>
    <t>2055-06-04T17:01:11.939198Z</t>
  </si>
  <si>
    <t>2055-06-06T23:50:15.406288Z</t>
  </si>
  <si>
    <t>2055-06-07T00:39:10.48Z</t>
  </si>
  <si>
    <t>2055-06-07T00:19:31.48Z</t>
  </si>
  <si>
    <t>2055-06-07T00:17:56.59Z</t>
  </si>
  <si>
    <t>2055-06-07T00:25:45.830944Z</t>
  </si>
  <si>
    <t>2055-06-06T23:59:15.2834Z</t>
  </si>
  <si>
    <t>2055-06-06T23:59:22.703513Z</t>
  </si>
  <si>
    <t>2055-06-07T00:16:37.668972Z</t>
  </si>
  <si>
    <t>2055-06-06T20:17:56.59Z</t>
  </si>
  <si>
    <t>2055-06-06T20:25:45.830944Z</t>
  </si>
  <si>
    <t>2055-06-06T19:59:15.2834Z</t>
  </si>
  <si>
    <t>2055-06-06T20:16:37.668972Z</t>
  </si>
  <si>
    <t>Jarry</t>
  </si>
  <si>
    <t>2055-06-07T16:03:00.741319Z</t>
  </si>
  <si>
    <t>2055-06-07T16:58:00.827Z</t>
  </si>
  <si>
    <t>2055-06-07T16:36:20.827Z</t>
  </si>
  <si>
    <t>2055-06-07T16:44:23.17281Z</t>
  </si>
  <si>
    <t>2055-06-07T16:52:47.207408Z</t>
  </si>
  <si>
    <t>2055-06-07T16:04:07.322684Z</t>
  </si>
  <si>
    <t>2055-06-07T16:04:29.988904Z</t>
  </si>
  <si>
    <t>2055-06-07T16:14:59.927473Z</t>
  </si>
  <si>
    <t>2055-06-07T12:44:23.17281Z</t>
  </si>
  <si>
    <t>2055-06-07T12:52:47.207408Z</t>
  </si>
  <si>
    <t>2055-06-07T12:04:07.322684Z</t>
  </si>
  <si>
    <t>2055-06-07T12:14:59.927473Z</t>
  </si>
  <si>
    <t>2055-06-08T00:13:07.491511Z</t>
  </si>
  <si>
    <t>2055-06-08T01:01:17.567Z</t>
  </si>
  <si>
    <t>2055-06-08T00:56:10.567Z</t>
  </si>
  <si>
    <t>2055-06-08T00:25:44.442789Z</t>
  </si>
  <si>
    <t>2055-06-08T00:45:48.400917Z</t>
  </si>
  <si>
    <t>2055-06-08T00:13:27.429499Z</t>
  </si>
  <si>
    <t>2055-06-08T00:13:34.675622Z</t>
  </si>
  <si>
    <t>2055-06-08T00:15:43.262491Z</t>
  </si>
  <si>
    <t>2055-06-07T20:25:44.442789Z</t>
  </si>
  <si>
    <t>2055-06-07T20:45:48.400917Z</t>
  </si>
  <si>
    <t>2055-06-07T20:13:27.429499Z</t>
  </si>
  <si>
    <t>2055-06-07T20:15:43.262491Z</t>
  </si>
  <si>
    <t>2055-06-10T16:02:59.776408Z</t>
  </si>
  <si>
    <t>2055-06-10T16:49:03.843Z</t>
  </si>
  <si>
    <t>2055-06-10T16:30:10.843Z</t>
  </si>
  <si>
    <t>2055-06-10T16:43:32.70298Z</t>
  </si>
  <si>
    <t>2055-06-10T16:49:36.770995Z</t>
  </si>
  <si>
    <t>2055-06-10T16:03:14.115197Z</t>
  </si>
  <si>
    <t>2055-06-10T16:03:38.387693Z</t>
  </si>
  <si>
    <t>2055-06-10T16:09:50.641912Z</t>
  </si>
  <si>
    <t>2055-06-10T12:43:32.70298Z</t>
  </si>
  <si>
    <t>2055-06-10T12:49:36.770995Z</t>
  </si>
  <si>
    <t>2055-06-10T12:03:14.115197Z</t>
  </si>
  <si>
    <t>2055-06-10T12:09:50.641912Z</t>
  </si>
  <si>
    <t>2055-06-10T16:28:35.88286Z</t>
  </si>
  <si>
    <t>2055-06-10T17:10:42.939Z</t>
  </si>
  <si>
    <t>2055-06-10T17:06:03.939Z</t>
  </si>
  <si>
    <t>2055-06-10T16:46:17.310582Z</t>
  </si>
  <si>
    <t>2055-06-10T17:06:12.651687Z</t>
  </si>
  <si>
    <t>2055-06-10T16:33:14.451351Z</t>
  </si>
  <si>
    <t>2055-06-10T16:33:58.86698Z</t>
  </si>
  <si>
    <t>2055-06-10T16:44:12.032663Z</t>
  </si>
  <si>
    <t>2055-06-10T12:46:17.310582Z</t>
  </si>
  <si>
    <t>2055-06-10T13:06:12.651687Z</t>
  </si>
  <si>
    <t>2055-06-10T12:33:14.451351Z</t>
  </si>
  <si>
    <t>2055-06-10T12:44:12.032663Z</t>
  </si>
  <si>
    <t>2055-06-12T17:37:19.165485Z</t>
  </si>
  <si>
    <t>2055-06-12T18:23:31.219Z</t>
  </si>
  <si>
    <t>2055-06-12T18:04:38.219Z</t>
  </si>
  <si>
    <t>2055-06-12T17:55:27.215395Z</t>
  </si>
  <si>
    <t>2055-06-12T18:15:32.585307Z</t>
  </si>
  <si>
    <t>2055-06-12T17:44:14.490792Z</t>
  </si>
  <si>
    <t>2055-06-12T17:44:20.758807Z</t>
  </si>
  <si>
    <t>2055-06-12T17:51:30.599632Z</t>
  </si>
  <si>
    <t>2055-06-12T13:55:27.215395Z</t>
  </si>
  <si>
    <t>2055-06-12T14:15:32.585307Z</t>
  </si>
  <si>
    <t>2055-06-12T13:44:14.490792Z</t>
  </si>
  <si>
    <t>2055-06-12T13:51:30.599632Z</t>
  </si>
  <si>
    <t>2055-06-01T21:22:17.768222Z</t>
  </si>
  <si>
    <t>2055-06-01T22:30:14.842Z</t>
  </si>
  <si>
    <t>2055-06-01T22:08:20.842Z</t>
  </si>
  <si>
    <t>2055-06-01T21:52:12.236512Z</t>
  </si>
  <si>
    <t>2055-06-01T22:19:36.836192Z</t>
  </si>
  <si>
    <t>2055-06-01T21:26:47.319767Z</t>
  </si>
  <si>
    <t>2055-06-01T21:26:52.638166Z</t>
  </si>
  <si>
    <t>2055-06-01T21:42:00.270957Z</t>
  </si>
  <si>
    <t>2055-06-01T17:52:12.236512Z</t>
  </si>
  <si>
    <t>2055-06-01T18:19:36.836192Z</t>
  </si>
  <si>
    <t>2055-06-01T17:26:47.319767Z</t>
  </si>
  <si>
    <t>2055-06-01T17:42:00.270957Z</t>
  </si>
  <si>
    <t>2055-06-06T15:33:10.693884Z</t>
  </si>
  <si>
    <t>2055-06-06T16:32:05.772Z</t>
  </si>
  <si>
    <t>2055-06-06T16:13:12.772Z</t>
  </si>
  <si>
    <t>2055-06-06T16:01:34.742112Z</t>
  </si>
  <si>
    <t>2055-06-06T16:28:23.462706Z</t>
  </si>
  <si>
    <t>2055-06-06T15:33:27.317487Z</t>
  </si>
  <si>
    <t>2055-06-06T15:33:36.172181Z</t>
  </si>
  <si>
    <t>2055-06-06T15:41:29.753796Z</t>
  </si>
  <si>
    <t>2055-06-06T12:01:34.742112Z</t>
  </si>
  <si>
    <t>2055-06-06T12:28:23.462706Z</t>
  </si>
  <si>
    <t>2055-06-06T11:33:27.317487Z</t>
  </si>
  <si>
    <t>2055-06-06T11:41:29.753796Z</t>
  </si>
  <si>
    <t>2055-06-02T00:35:04.551209Z</t>
  </si>
  <si>
    <t>2055-06-02T01:29:47.643Z</t>
  </si>
  <si>
    <t>2055-06-02T01:07:53.643Z</t>
  </si>
  <si>
    <t>2055-06-02T00:58:59.101033Z</t>
  </si>
  <si>
    <t>2055-06-02T01:06:58.182595Z</t>
  </si>
  <si>
    <t>2055-06-02T00:38:54.819007Z</t>
  </si>
  <si>
    <t>2055-06-02T00:39:21.145075Z</t>
  </si>
  <si>
    <t>2055-06-02T00:58:14.627629Z</t>
  </si>
  <si>
    <t>2055-06-01T20:58:59.101033Z</t>
  </si>
  <si>
    <t>2055-06-01T21:06:58.182595Z</t>
  </si>
  <si>
    <t>2055-06-01T20:38:54.819007Z</t>
  </si>
  <si>
    <t>2055-06-01T20:58:14.627629Z</t>
  </si>
  <si>
    <t>2055-06-03T22:21:36.738396Z</t>
  </si>
  <si>
    <t>2055-06-03T23:16:36.797Z</t>
  </si>
  <si>
    <t>2055-06-03T22:55:58.797Z</t>
  </si>
  <si>
    <t>2055-06-03T22:41:16.781232Z</t>
  </si>
  <si>
    <t>2055-06-03T22:51:10.991634Z</t>
  </si>
  <si>
    <t>2055-06-03T22:21:47.450467Z</t>
  </si>
  <si>
    <t>2055-06-03T22:21:54.538788Z</t>
  </si>
  <si>
    <t>2055-06-03T22:25:53.687527Z</t>
  </si>
  <si>
    <t>2055-06-03T18:41:16.781232Z</t>
  </si>
  <si>
    <t>2055-06-03T18:51:10.991634Z</t>
  </si>
  <si>
    <t>2055-06-03T18:21:47.450467Z</t>
  </si>
  <si>
    <t>2055-06-03T18:25:53.687527Z</t>
  </si>
  <si>
    <t>2055-06-06T21:07:57.41538Z</t>
  </si>
  <si>
    <t>2055-06-06T22:02:29.482Z</t>
  </si>
  <si>
    <t>2055-06-06T21:45:35.482Z</t>
  </si>
  <si>
    <t>2055-06-06T21:32:08.36817Z</t>
  </si>
  <si>
    <t>2055-06-06T21:42:40.318714Z</t>
  </si>
  <si>
    <t>2055-06-06T21:13:27.327288Z</t>
  </si>
  <si>
    <t>2055-06-06T21:13:31.331624Z</t>
  </si>
  <si>
    <t>2055-06-06T21:28:33.092668Z</t>
  </si>
  <si>
    <t>2055-06-06T17:32:08.36817Z</t>
  </si>
  <si>
    <t>2055-06-06T17:42:40.318714Z</t>
  </si>
  <si>
    <t>2055-06-06T17:13:27.327288Z</t>
  </si>
  <si>
    <t>2055-06-06T17:28:33.092668Z</t>
  </si>
  <si>
    <t>2055-06-08T01:18:07.759123Z</t>
  </si>
  <si>
    <t>2055-06-08T02:12:16.806Z</t>
  </si>
  <si>
    <t>2055-06-08T01:52:37.806Z</t>
  </si>
  <si>
    <t>2055-06-08T01:40:43.62992Z</t>
  </si>
  <si>
    <t>2055-06-08T01:50:39.529985Z</t>
  </si>
  <si>
    <t>2055-06-08T01:22:34.254145Z</t>
  </si>
  <si>
    <t>2055-06-08T01:22:50.992668Z</t>
  </si>
  <si>
    <t>2055-06-08T01:37:20.957176Z</t>
  </si>
  <si>
    <t>2055-06-07T21:40:43.62992Z</t>
  </si>
  <si>
    <t>2055-06-07T21:50:39.529985Z</t>
  </si>
  <si>
    <t>2055-06-07T21:22:34.254145Z</t>
  </si>
  <si>
    <t>2055-06-07T21:37:20.957176Z</t>
  </si>
  <si>
    <t>2055-06-05T21:13:33.649856Z</t>
  </si>
  <si>
    <t>2055-06-05T22:01:18.716Z</t>
  </si>
  <si>
    <t>2055-06-05T21:52:25.716Z</t>
  </si>
  <si>
    <t>2055-06-05T21:30:39.554025Z</t>
  </si>
  <si>
    <t>2055-06-05T21:37:56.999156Z</t>
  </si>
  <si>
    <t>2055-06-05T21:13:54.573408Z</t>
  </si>
  <si>
    <t>2055-06-05T21:14:10.859127Z</t>
  </si>
  <si>
    <t>2055-06-05T21:19:41.6541Z</t>
  </si>
  <si>
    <t>2055-06-05T17:30:39.554025Z</t>
  </si>
  <si>
    <t>2055-06-05T17:37:56.999156Z</t>
  </si>
  <si>
    <t>2055-06-05T17:13:54.573408Z</t>
  </si>
  <si>
    <t>2055-06-05T17:19:41.6541Z</t>
  </si>
  <si>
    <t>2055-06-04T15:46:20.06528Z</t>
  </si>
  <si>
    <t>2055-06-04T16:44:00.158Z</t>
  </si>
  <si>
    <t>2055-06-04T16:24:21.158Z</t>
  </si>
  <si>
    <t>2055-06-04T16:00:33.5499Z</t>
  </si>
  <si>
    <t>2055-06-04T16:20:07.58934Z</t>
  </si>
  <si>
    <t>2055-06-04T15:50:54.476857Z</t>
  </si>
  <si>
    <t>2055-06-04T15:51:04.195408Z</t>
  </si>
  <si>
    <t>2055-06-04T15:59:14.269791Z</t>
  </si>
  <si>
    <t>2055-06-04T12:00:33.5499Z</t>
  </si>
  <si>
    <t>2055-06-04T12:20:07.58934Z</t>
  </si>
  <si>
    <t>2055-06-04T11:50:54.476857Z</t>
  </si>
  <si>
    <t>2055-06-04T11:59:14.269791Z</t>
  </si>
  <si>
    <t>2055-06-09T14:53:42.660756Z</t>
  </si>
  <si>
    <t>2055-06-09T15:21:19.774Z</t>
  </si>
  <si>
    <t>2055-06-09T15:17:26.774Z</t>
  </si>
  <si>
    <t>2055-06-09T15:13:23.803629Z</t>
  </si>
  <si>
    <t>2055-06-09T15:17:23.012506Z</t>
  </si>
  <si>
    <t>2055-06-09T15:03:14.366956Z</t>
  </si>
  <si>
    <t>2055-06-09T15:03:53.456466Z</t>
  </si>
  <si>
    <t>2055-06-09T15:14:47.50551Z</t>
  </si>
  <si>
    <t>2055-06-09T11:13:23.803629Z</t>
  </si>
  <si>
    <t>2055-06-09T11:17:23.012506Z</t>
  </si>
  <si>
    <t>2055-06-09T11:03:14.366956Z</t>
  </si>
  <si>
    <t>2055-06-09T11:14:47.50551Z</t>
  </si>
  <si>
    <t>2055-06-11T15:30:48.169216Z</t>
  </si>
  <si>
    <t>2055-06-11T16:35:50.245Z</t>
  </si>
  <si>
    <t>2055-06-11T16:16:57.245Z</t>
  </si>
  <si>
    <t>2055-06-11T15:45:31.241001Z</t>
  </si>
  <si>
    <t>2055-06-11T15:57:15.223822Z</t>
  </si>
  <si>
    <t>2055-06-11T15:30:54.191141Z</t>
  </si>
  <si>
    <t>2055-06-11T15:31:08.254332Z</t>
  </si>
  <si>
    <t>2055-06-11T15:35:01.260705Z</t>
  </si>
  <si>
    <t>2055-06-11T11:45:31.241001Z</t>
  </si>
  <si>
    <t>2055-06-11T11:57:15.223822Z</t>
  </si>
  <si>
    <t>2055-06-11T11:30:54.191141Z</t>
  </si>
  <si>
    <t>2055-06-11T11:35:01.260705Z</t>
  </si>
  <si>
    <t>2055-06-04T22:29:34.720725Z</t>
  </si>
  <si>
    <t>2055-06-04T23:35:48.774Z</t>
  </si>
  <si>
    <t>2055-06-04T23:16:55.774Z</t>
  </si>
  <si>
    <t>2055-06-04T22:43:02.043991Z</t>
  </si>
  <si>
    <t>2055-06-04T23:07:14.491928Z</t>
  </si>
  <si>
    <t>2055-06-04T22:29:54.621939Z</t>
  </si>
  <si>
    <t>2055-06-04T22:30:12.276683Z</t>
  </si>
  <si>
    <t>2055-06-04T22:39:37.925547Z</t>
  </si>
  <si>
    <t>2055-06-04T18:43:02.043991Z</t>
  </si>
  <si>
    <t>2055-06-04T19:07:14.491928Z</t>
  </si>
  <si>
    <t>2055-06-04T18:29:54.621939Z</t>
  </si>
  <si>
    <t>2055-06-04T18:39:37.925547Z</t>
  </si>
  <si>
    <t>2055-06-08T23:35:38.152262Z</t>
  </si>
  <si>
    <t>2055-06-09T00:08:30.208Z</t>
  </si>
  <si>
    <t>2055-06-09T00:03:23.208Z</t>
  </si>
  <si>
    <t>2055-06-08T23:48:40.308248Z</t>
  </si>
  <si>
    <t>2055-06-08T23:58:21.91506Z</t>
  </si>
  <si>
    <t>2055-06-08T23:39:14.702346Z</t>
  </si>
  <si>
    <t>2055-06-08T23:39:34.343083Z</t>
  </si>
  <si>
    <t>2055-06-08T23:41:56.045432Z</t>
  </si>
  <si>
    <t>2055-06-08T19:48:40.308248Z</t>
  </si>
  <si>
    <t>2055-06-08T19:58:21.91506Z</t>
  </si>
  <si>
    <t>2055-06-08T19:39:14.702346Z</t>
  </si>
  <si>
    <t>2055-06-08T19:41:56.045432Z</t>
  </si>
  <si>
    <t>2055-06-12T23:15:10.735779Z</t>
  </si>
  <si>
    <t>2055-06-13T00:12:38.791Z</t>
  </si>
  <si>
    <t>2055-06-12T23:50:44.791Z</t>
  </si>
  <si>
    <t>2055-06-12T23:45:16.116259Z</t>
  </si>
  <si>
    <t>2055-06-12T23:55:31.250463Z</t>
  </si>
  <si>
    <t>2055-06-12T23:36:36.417847Z</t>
  </si>
  <si>
    <t>2055-06-12T23:36:50.993037Z</t>
  </si>
  <si>
    <t>2055-06-12T23:40:11.344508Z</t>
  </si>
  <si>
    <t>2055-06-12T19:45:16.116259Z</t>
  </si>
  <si>
    <t>2055-06-12T19:55:31.250463Z</t>
  </si>
  <si>
    <t>2055-06-12T19:36:36.417847Z</t>
  </si>
  <si>
    <t>2055-06-12T19:40:11.344508Z</t>
  </si>
  <si>
    <t>2055-06-12T23:43:18.597031Z</t>
  </si>
  <si>
    <t>2055-06-13T00:48:49.663Z</t>
  </si>
  <si>
    <t>2055-06-13T00:25:31.663Z</t>
  </si>
  <si>
    <t>2055-06-13T00:01:24.036088Z</t>
  </si>
  <si>
    <t>2055-06-13T00:08:25.060086Z</t>
  </si>
  <si>
    <t>2055-06-12T23:45:56.914564Z</t>
  </si>
  <si>
    <t>2055-06-12T23:46:11.763677Z</t>
  </si>
  <si>
    <t>2055-06-13T00:01:36.977891Z</t>
  </si>
  <si>
    <t>2055-06-12T20:01:24.036088Z</t>
  </si>
  <si>
    <t>2055-06-12T20:08:25.060086Z</t>
  </si>
  <si>
    <t>2055-06-12T19:45:56.914564Z</t>
  </si>
  <si>
    <t>2055-06-12T20:01:36.977891Z</t>
  </si>
  <si>
    <t>2055-06-11T17:18:15.904057Z</t>
  </si>
  <si>
    <t>2055-06-11T18:13:36.962Z</t>
  </si>
  <si>
    <t>2055-06-11T17:53:29.962Z</t>
  </si>
  <si>
    <t>2055-06-11T17:41:47.533489Z</t>
  </si>
  <si>
    <t>2055-06-11T18:00:49.737334Z</t>
  </si>
  <si>
    <t>2055-06-11T17:18:34.114302Z</t>
  </si>
  <si>
    <t>2055-06-11T17:18:54.85434Z</t>
  </si>
  <si>
    <t>2055-06-11T17:41:49.869311Z</t>
  </si>
  <si>
    <t>2055-06-11T13:41:47.533489Z</t>
  </si>
  <si>
    <t>2055-06-11T14:00:49.737334Z</t>
  </si>
  <si>
    <t>2055-06-11T13:18:34.114302Z</t>
  </si>
  <si>
    <t>2055-06-11T13:41:49.869311Z</t>
  </si>
  <si>
    <t>2055-06-06T00:24:03.53046Z</t>
  </si>
  <si>
    <t>2055-06-06T01:09:57.6Z</t>
  </si>
  <si>
    <t>2055-06-06T01:01:04.6Z</t>
  </si>
  <si>
    <t>2055-06-06T00:36:20.426914Z</t>
  </si>
  <si>
    <t>2055-06-06T00:46:18.866885Z</t>
  </si>
  <si>
    <t>2055-06-06T00:24:07.668548Z</t>
  </si>
  <si>
    <t>2055-06-06T00:24:23.784149Z</t>
  </si>
  <si>
    <t>2055-06-06T00:32:36.615366Z</t>
  </si>
  <si>
    <t>2055-06-05T20:36:20.426914Z</t>
  </si>
  <si>
    <t>2055-06-05T20:46:18.866885Z</t>
  </si>
  <si>
    <t>2055-06-05T20:24:07.668548Z</t>
  </si>
  <si>
    <t>2055-06-05T20:32:36.615366Z</t>
  </si>
  <si>
    <t>motorcycle</t>
  </si>
  <si>
    <t>2055-06-07T21:39:03.789289Z</t>
  </si>
  <si>
    <t>2055-06-07T22:34:03.863Z</t>
  </si>
  <si>
    <t>2055-06-07T22:11:09.863Z</t>
  </si>
  <si>
    <t>2055-06-07T22:03:43.23698Z</t>
  </si>
  <si>
    <t>2055-06-07T22:21:22.123802Z</t>
  </si>
  <si>
    <t>2055-06-07T21:40:27.235763Z</t>
  </si>
  <si>
    <t>2055-06-07T21:40:57.708546Z</t>
  </si>
  <si>
    <t>2055-06-07T18:03:43.23698Z</t>
  </si>
  <si>
    <t>2055-06-07T18:21:22.123802Z</t>
  </si>
  <si>
    <t>2055-06-07T17:40:27.235763Z</t>
  </si>
  <si>
    <t>2055-06-03T20:57:22.907623Z</t>
  </si>
  <si>
    <t>2055-06-03T21:43:45.977Z</t>
  </si>
  <si>
    <t>2055-06-03T21:24:52.977Z</t>
  </si>
  <si>
    <t>2055-06-03T21:14:55.425239Z</t>
  </si>
  <si>
    <t>2055-06-03T21:26:40.535373Z</t>
  </si>
  <si>
    <t>2055-06-03T20:58:34.184731Z</t>
  </si>
  <si>
    <t>2055-06-03T20:59:31.653047Z</t>
  </si>
  <si>
    <t>2055-06-03T17:14:55.425239Z</t>
  </si>
  <si>
    <t>2055-06-03T17:26:40.535373Z</t>
  </si>
  <si>
    <t>2055-06-03T16:58:34.184731Z</t>
  </si>
  <si>
    <t>2055-06-06T01:10:42.834406Z</t>
  </si>
  <si>
    <t>2055-06-06T02:12:14.917Z</t>
  </si>
  <si>
    <t>2055-06-06T01:57:07.917Z</t>
  </si>
  <si>
    <t>2055-06-06T01:58:31.182042Z</t>
  </si>
  <si>
    <t>2055-06-06T02:08:43.385986Z</t>
  </si>
  <si>
    <t>2055-06-06T01:26:47.313609Z</t>
  </si>
  <si>
    <t>2055-06-06T01:26:53.519848Z</t>
  </si>
  <si>
    <t>2055-06-05T21:58:31.182042Z</t>
  </si>
  <si>
    <t>2055-06-05T22:08:43.385986Z</t>
  </si>
  <si>
    <t>2055-06-05T21:26:47.313609Z</t>
  </si>
  <si>
    <t>2055-06-04T23:09:01.569059Z</t>
  </si>
  <si>
    <t>2055-06-05T00:09:50.651Z</t>
  </si>
  <si>
    <t>2055-06-04T23:49:43.651Z</t>
  </si>
  <si>
    <t>2055-06-05T00:00:19.55476Z</t>
  </si>
  <si>
    <t>2055-06-05T00:27:07.896872Z</t>
  </si>
  <si>
    <t>2055-06-04T23:30:27.380356Z</t>
  </si>
  <si>
    <t>2055-06-04T23:30:32.749916Z</t>
  </si>
  <si>
    <t>2055-06-04T23:51:57.468177Z</t>
  </si>
  <si>
    <t>2055-06-04T20:00:19.55476Z</t>
  </si>
  <si>
    <t>2055-06-04T20:27:07.896872Z</t>
  </si>
  <si>
    <t>2055-06-04T19:30:27.380356Z</t>
  </si>
  <si>
    <t>2055-06-04T19:51:57.468177Z</t>
  </si>
  <si>
    <t>2055-06-04T18:45:46.779478Z</t>
  </si>
  <si>
    <t>2055-06-04T19:25:46.853Z</t>
  </si>
  <si>
    <t>2055-06-04T19:15:19.853Z</t>
  </si>
  <si>
    <t>2055-06-04T19:00:41.437948Z</t>
  </si>
  <si>
    <t>2055-06-04T19:20:20.585646Z</t>
  </si>
  <si>
    <t>2055-06-04T18:52:47.390414Z</t>
  </si>
  <si>
    <t>2055-06-04T18:53:00.664532Z</t>
  </si>
  <si>
    <t>2055-06-04T15:00:41.437948Z</t>
  </si>
  <si>
    <t>2055-06-04T15:20:20.585646Z</t>
  </si>
  <si>
    <t>2055-06-04T14:52:47.390414Z</t>
  </si>
  <si>
    <t>2055-06-07T20:05:18.675289Z</t>
  </si>
  <si>
    <t>2055-06-07T20:58:36.75Z</t>
  </si>
  <si>
    <t>2055-06-07T20:49:43.75Z</t>
  </si>
  <si>
    <t>2055-06-07T20:25:57.045068Z</t>
  </si>
  <si>
    <t>2055-06-07T20:43:26.419264Z</t>
  </si>
  <si>
    <t>2055-06-07T20:05:27.288469Z</t>
  </si>
  <si>
    <t>2055-06-07T20:05:33.214141Z</t>
  </si>
  <si>
    <t>2055-06-07T20:16:19.642348Z</t>
  </si>
  <si>
    <t>2055-06-07T16:25:57.045068Z</t>
  </si>
  <si>
    <t>2055-06-07T16:43:26.419264Z</t>
  </si>
  <si>
    <t>2055-06-07T16:05:27.288469Z</t>
  </si>
  <si>
    <t>2055-06-07T16:16:19.642348Z</t>
  </si>
  <si>
    <t>2055-06-11T23:39:08.282732Z</t>
  </si>
  <si>
    <t>2055-06-12T00:49:10.338Z</t>
  </si>
  <si>
    <t>2055-06-12T00:29:31.338Z</t>
  </si>
  <si>
    <t>2055-06-12T00:03:05.802681Z</t>
  </si>
  <si>
    <t>2055-06-12T00:22:33.251075Z</t>
  </si>
  <si>
    <t>2055-06-11T23:39:14.142893Z</t>
  </si>
  <si>
    <t>2055-06-11T23:39:34.041659Z</t>
  </si>
  <si>
    <t>2055-06-11T23:39:33.232407Z</t>
  </si>
  <si>
    <t>2055-06-11T20:03:05.802681Z</t>
  </si>
  <si>
    <t>2055-06-11T20:22:33.251075Z</t>
  </si>
  <si>
    <t>2055-06-11T19:39:14.142893Z</t>
  </si>
  <si>
    <t>2055-06-11T19:39:33.232407Z</t>
  </si>
  <si>
    <t>2055-06-01T23:10:51.02219Z</t>
  </si>
  <si>
    <t>2055-06-02T00:04:54.09Z</t>
  </si>
  <si>
    <t>2055-06-01T23:45:15.09Z</t>
  </si>
  <si>
    <t>2055-06-01T23:28:41.486217Z</t>
  </si>
  <si>
    <t>2055-06-01T23:45:25.748088Z</t>
  </si>
  <si>
    <t>2055-06-01T23:16:55.807581Z</t>
  </si>
  <si>
    <t>2055-06-01T23:17:03.520449Z</t>
  </si>
  <si>
    <t>2055-06-01T23:22:09.202169Z</t>
  </si>
  <si>
    <t>2055-06-01T19:28:41.486217Z</t>
  </si>
  <si>
    <t>2055-06-01T19:45:25.748088Z</t>
  </si>
  <si>
    <t>2055-06-01T19:16:55.807581Z</t>
  </si>
  <si>
    <t>2055-06-01T19:22:09.202169Z</t>
  </si>
  <si>
    <t>2055-06-03T17:45:26.083149Z</t>
  </si>
  <si>
    <t>2055-06-03T18:38:56.151Z</t>
  </si>
  <si>
    <t>2055-06-03T18:19:17.151Z</t>
  </si>
  <si>
    <t>2055-06-03T17:58:55.307594Z</t>
  </si>
  <si>
    <t>2055-06-03T18:10:44.136552Z</t>
  </si>
  <si>
    <t>2055-06-03T17:52:14.628643Z</t>
  </si>
  <si>
    <t>2055-06-03T17:52:50.953808Z</t>
  </si>
  <si>
    <t>2055-06-03T17:56:57.074565Z</t>
  </si>
  <si>
    <t>2055-06-03T13:58:55.307594Z</t>
  </si>
  <si>
    <t>2055-06-03T14:10:44.136552Z</t>
  </si>
  <si>
    <t>2055-06-03T13:52:14.628643Z</t>
  </si>
  <si>
    <t>2055-06-03T13:56:57.074565Z</t>
  </si>
  <si>
    <t>2055-06-03T20:10:18.924018Z</t>
  </si>
  <si>
    <t>2055-06-03T21:05:18.997Z</t>
  </si>
  <si>
    <t>2055-06-03T20:43:09.997Z</t>
  </si>
  <si>
    <t>2055-06-03T20:33:41.994311Z</t>
  </si>
  <si>
    <t>2055-06-03T21:07:39.348488Z</t>
  </si>
  <si>
    <t>2055-06-03T20:12:27.319052Z</t>
  </si>
  <si>
    <t>2055-06-03T20:12:35.866051Z</t>
  </si>
  <si>
    <t>2055-06-03T16:33:41.994311Z</t>
  </si>
  <si>
    <t>2055-06-03T17:07:39.348488Z</t>
  </si>
  <si>
    <t>2055-06-03T16:12:27.319052Z</t>
  </si>
  <si>
    <t>2055-06-04T14:01:16.428852Z</t>
  </si>
  <si>
    <t>2055-06-04T15:27:45.505Z</t>
  </si>
  <si>
    <t>2055-06-04T15:04:27.505Z</t>
  </si>
  <si>
    <t>2055-06-04T14:34:17.914428Z</t>
  </si>
  <si>
    <t>2055-06-04T14:49:54.002965Z</t>
  </si>
  <si>
    <t>2055-06-04T14:07:14.108351Z</t>
  </si>
  <si>
    <t>2055-06-04T14:07:27.900272Z</t>
  </si>
  <si>
    <t>2055-06-04T14:34:20.579329Z</t>
  </si>
  <si>
    <t>2055-06-04T10:34:17.914428Z</t>
  </si>
  <si>
    <t>2055-06-04T10:49:54.002965Z</t>
  </si>
  <si>
    <t>2055-06-04T10:07:14.108351Z</t>
  </si>
  <si>
    <t>2055-06-04T10:34:20.579329Z</t>
  </si>
  <si>
    <t>2055-06-05T22:34:38.452621Z</t>
  </si>
  <si>
    <t>2055-06-05T23:29:38.53Z</t>
  </si>
  <si>
    <t>2055-06-05T23:07:32.53Z</t>
  </si>
  <si>
    <t>2055-06-05T22:55:21.461614Z</t>
  </si>
  <si>
    <t>2055-06-05T23:02:32.026583Z</t>
  </si>
  <si>
    <t>2055-06-05T22:40:27.433508Z</t>
  </si>
  <si>
    <t>2055-06-05T22:40:31.405307Z</t>
  </si>
  <si>
    <t>2055-06-05T18:55:21.461614Z</t>
  </si>
  <si>
    <t>2055-06-05T19:02:32.026583Z</t>
  </si>
  <si>
    <t>2055-06-05T18:40:27.433508Z</t>
  </si>
  <si>
    <t>2055-06-05T23:07:56.458034Z</t>
  </si>
  <si>
    <t>2055-06-06T00:00:59.523Z</t>
  </si>
  <si>
    <t>2055-06-05T23:52:41.523Z</t>
  </si>
  <si>
    <t>2055-06-05T23:58:01.227722Z</t>
  </si>
  <si>
    <t>2055-06-06T00:15:28.15543Z</t>
  </si>
  <si>
    <t>2055-06-05T23:10:08.647405Z</t>
  </si>
  <si>
    <t>2055-06-05T23:10:18.341482Z</t>
  </si>
  <si>
    <t>2055-06-05T23:55:18.629772Z</t>
  </si>
  <si>
    <t>2055-06-05T19:58:01.227722Z</t>
  </si>
  <si>
    <t>2055-06-05T20:15:28.15543Z</t>
  </si>
  <si>
    <t>2055-06-05T19:10:08.647405Z</t>
  </si>
  <si>
    <t>2055-06-05T19:55:18.629772Z</t>
  </si>
  <si>
    <t>2055-06-05T23:16:08.356096Z</t>
  </si>
  <si>
    <t>2055-06-06T00:51:43.431Z</t>
  </si>
  <si>
    <t>2055-06-06T00:23:30.431Z</t>
  </si>
  <si>
    <t>2055-06-06T00:06:20.474178Z</t>
  </si>
  <si>
    <t>2055-06-06T00:14:26.381455Z</t>
  </si>
  <si>
    <t>2055-06-05T23:50:07.401949Z</t>
  </si>
  <si>
    <t>2055-06-05T23:50:58.523778Z</t>
  </si>
  <si>
    <t>2055-06-06T00:00:49.814327Z</t>
  </si>
  <si>
    <t>2055-06-05T20:06:20.474178Z</t>
  </si>
  <si>
    <t>2055-06-05T20:14:26.381455Z</t>
  </si>
  <si>
    <t>2055-06-05T19:50:07.401949Z</t>
  </si>
  <si>
    <t>2055-06-05T20:00:49.814327Z</t>
  </si>
  <si>
    <t>2055-06-09T01:35:36.077216Z</t>
  </si>
  <si>
    <t>2055-06-09T02:33:54.131Z</t>
  </si>
  <si>
    <t>2055-06-09T02:24:15.131Z</t>
  </si>
  <si>
    <t>2055-06-09T01:51:15.282595Z</t>
  </si>
  <si>
    <t>2055-06-09T02:03:37.192784Z</t>
  </si>
  <si>
    <t>2055-06-09T01:35:54.635415Z</t>
  </si>
  <si>
    <t>2055-06-09T01:36:07.574852Z</t>
  </si>
  <si>
    <t>2055-06-09T01:45:31.502221Z</t>
  </si>
  <si>
    <t>2055-06-08T21:51:15.282595Z</t>
  </si>
  <si>
    <t>2055-06-08T22:03:37.192784Z</t>
  </si>
  <si>
    <t>2055-06-08T21:35:54.635415Z</t>
  </si>
  <si>
    <t>2055-06-08T21:45:31.502221Z</t>
  </si>
  <si>
    <t>2055-06-13T00:55:39.629945Z</t>
  </si>
  <si>
    <t>2055-06-13T01:56:42.729Z</t>
  </si>
  <si>
    <t>2055-06-13T01:33:24.729Z</t>
  </si>
  <si>
    <t>2055-06-13T01:19:18.975443Z</t>
  </si>
  <si>
    <t>2055-06-13T01:30:54.1152Z</t>
  </si>
  <si>
    <t>2055-06-13T01:06:34.943952Z</t>
  </si>
  <si>
    <t>2055-06-13T01:06:43.909156Z</t>
  </si>
  <si>
    <t>2055-06-13T01:19:12.735454Z</t>
  </si>
  <si>
    <t>2055-06-12T21:19:18.975443Z</t>
  </si>
  <si>
    <t>2055-06-12T21:30:54.1152Z</t>
  </si>
  <si>
    <t>2055-06-12T21:06:34.943952Z</t>
  </si>
  <si>
    <t>2055-06-12T21:19:12.735454Z</t>
  </si>
  <si>
    <t>2055-06-01T21:23:34.031906Z</t>
  </si>
  <si>
    <t>2055-06-01T22:08:54.118Z</t>
  </si>
  <si>
    <t>2055-06-01T21:58:47.118Z</t>
  </si>
  <si>
    <t>2055-06-01T22:00:16.224724Z</t>
  </si>
  <si>
    <t>2055-06-01T22:16:46.886815Z</t>
  </si>
  <si>
    <t>2055-06-01T21:45:27.317855Z</t>
  </si>
  <si>
    <t>2055-06-01T21:45:30.47368Z</t>
  </si>
  <si>
    <t>2055-06-01T18:00:16.224724Z</t>
  </si>
  <si>
    <t>2055-06-01T18:16:46.886815Z</t>
  </si>
  <si>
    <t>2055-06-01T17:45:27.317855Z</t>
  </si>
  <si>
    <t>2055-06-05T17:34:58.946505Z</t>
  </si>
  <si>
    <t>2055-06-05T18:39:11.021Z</t>
  </si>
  <si>
    <t>2055-06-05T18:24:30.021Z</t>
  </si>
  <si>
    <t>2055-06-05T18:02:50.029933Z</t>
  </si>
  <si>
    <t>2055-06-05T18:45:17.355361Z</t>
  </si>
  <si>
    <t>2055-06-05T17:35:07.267576Z</t>
  </si>
  <si>
    <t>2055-06-05T17:35:17.446163Z</t>
  </si>
  <si>
    <t>2055-06-05T17:48:34.777488Z</t>
  </si>
  <si>
    <t>2055-06-05T14:02:50.029933Z</t>
  </si>
  <si>
    <t>2055-06-05T14:45:17.355361Z</t>
  </si>
  <si>
    <t>2055-06-05T13:35:07.267576Z</t>
  </si>
  <si>
    <t>2055-06-05T13:48:34.777488Z</t>
  </si>
  <si>
    <t>2055-06-05T22:02:57.211756Z</t>
  </si>
  <si>
    <t>2055-06-05T22:57:56.275Z</t>
  </si>
  <si>
    <t>2055-06-05T22:42:49.275Z</t>
  </si>
  <si>
    <t>2055-06-05T22:21:09.690482Z</t>
  </si>
  <si>
    <t>2055-06-05T22:36:55.765789Z</t>
  </si>
  <si>
    <t>2055-06-05T22:03:27.456522Z</t>
  </si>
  <si>
    <t>2055-06-05T22:03:30.223049Z</t>
  </si>
  <si>
    <t>2055-06-05T22:13:09.081823Z</t>
  </si>
  <si>
    <t>2055-06-05T18:21:09.690482Z</t>
  </si>
  <si>
    <t>2055-06-05T18:36:55.765789Z</t>
  </si>
  <si>
    <t>2055-06-05T18:03:27.456522Z</t>
  </si>
  <si>
    <t>2055-06-05T18:13:09.081823Z</t>
  </si>
  <si>
    <t>2055-06-01T22:47:13.159805Z</t>
  </si>
  <si>
    <t>2055-06-01T23:43:55.227Z</t>
  </si>
  <si>
    <t>2055-06-01T23:38:48.227Z</t>
  </si>
  <si>
    <t>2055-06-01T23:26:05.400879Z</t>
  </si>
  <si>
    <t>2055-06-01T23:51:10.281578Z</t>
  </si>
  <si>
    <t>2055-06-01T22:53:43.832553Z</t>
  </si>
  <si>
    <t>2055-06-01T22:54:08.706883Z</t>
  </si>
  <si>
    <t>2055-06-01T23:18:19.574155Z</t>
  </si>
  <si>
    <t>2055-06-01T19:26:05.400879Z</t>
  </si>
  <si>
    <t>2055-06-01T19:51:10.281578Z</t>
  </si>
  <si>
    <t>2055-06-01T18:53:43.832553Z</t>
  </si>
  <si>
    <t>2055-06-01T19:18:19.574155Z</t>
  </si>
  <si>
    <t>2055-06-12T01:58:11.020052Z</t>
  </si>
  <si>
    <t>2055-06-12T02:55:57.073Z</t>
  </si>
  <si>
    <t>2055-06-12T02:35:50.073Z</t>
  </si>
  <si>
    <t>2055-06-12T03:08:19.396577Z</t>
  </si>
  <si>
    <t>2055-06-12T03:13:30.359605Z</t>
  </si>
  <si>
    <t>2055-06-12T01:58:14.450474Z</t>
  </si>
  <si>
    <t>2055-06-12T01:58:24.587866Z</t>
  </si>
  <si>
    <t>2055-06-12T02:08:12.384398Z</t>
  </si>
  <si>
    <t>2055-06-11T23:08:19.396577Z</t>
  </si>
  <si>
    <t>2055-06-11T23:13:30.359605Z</t>
  </si>
  <si>
    <t>2055-06-11T21:58:14.450474Z</t>
  </si>
  <si>
    <t>2055-06-11T22:08:12.384398Z</t>
  </si>
  <si>
    <t>2055-06-03T18:22:31.068411Z</t>
  </si>
  <si>
    <t>2055-06-03T19:24:43.136Z</t>
  </si>
  <si>
    <t>2055-06-03T19:05:04.136Z</t>
  </si>
  <si>
    <t>2055-06-03T18:35:49.236681Z</t>
  </si>
  <si>
    <t>2055-06-03T18:51:40.406879Z</t>
  </si>
  <si>
    <t>2055-06-03T18:24:54.22984Z</t>
  </si>
  <si>
    <t>2055-06-03T18:25:17.81367Z</t>
  </si>
  <si>
    <t>2055-06-03T18:32:18.766678Z</t>
  </si>
  <si>
    <t>2055-06-03T14:35:49.236681Z</t>
  </si>
  <si>
    <t>2055-06-03T14:51:40.406879Z</t>
  </si>
  <si>
    <t>2055-06-03T14:24:54.22984Z</t>
  </si>
  <si>
    <t>2055-06-03T14:32:18.766678Z</t>
  </si>
  <si>
    <t>2055-06-08T16:49:47.718409Z</t>
  </si>
  <si>
    <t>2055-06-08T17:44:47.768Z</t>
  </si>
  <si>
    <t>2055-06-08T17:25:06.768Z</t>
  </si>
  <si>
    <t>2055-06-08T17:33:27.115993Z</t>
  </si>
  <si>
    <t>2055-06-08T17:47:12.765511Z</t>
  </si>
  <si>
    <t>2055-06-08T16:50:07.297402Z</t>
  </si>
  <si>
    <t>2055-06-08T16:50:12.048561Z</t>
  </si>
  <si>
    <t>2055-06-08T17:06:22.405426Z</t>
  </si>
  <si>
    <t>2055-06-08T13:33:27.115993Z</t>
  </si>
  <si>
    <t>2055-06-08T13:47:12.765511Z</t>
  </si>
  <si>
    <t>2055-06-08T12:50:07.297402Z</t>
  </si>
  <si>
    <t>2055-06-08T13:06:22.405426Z</t>
  </si>
  <si>
    <t>2055-06-09T23:50:21.773336Z</t>
  </si>
  <si>
    <t>2055-06-10T00:52:27.825Z</t>
  </si>
  <si>
    <t>2055-06-10T00:30:33.825Z</t>
  </si>
  <si>
    <t>2055-06-10T00:06:30.546769Z</t>
  </si>
  <si>
    <t>2055-06-10T00:19:33.944404Z</t>
  </si>
  <si>
    <t>2055-06-09T23:55:15.313225Z</t>
  </si>
  <si>
    <t>2055-06-09T23:55:25.606261Z</t>
  </si>
  <si>
    <t>2055-06-10T00:06:33.091907Z</t>
  </si>
  <si>
    <t>2055-06-09T20:06:30.546769Z</t>
  </si>
  <si>
    <t>2055-06-09T20:19:33.944404Z</t>
  </si>
  <si>
    <t>2055-06-09T19:55:15.313225Z</t>
  </si>
  <si>
    <t>2055-06-09T20:06:33.091907Z</t>
  </si>
  <si>
    <t>2055-06-06T00:24:21.886781Z</t>
  </si>
  <si>
    <t>2055-06-06T01:14:21.949Z</t>
  </si>
  <si>
    <t>2055-06-06T01:07:27.949Z</t>
  </si>
  <si>
    <t>2055-06-06T00:55:32.890043Z</t>
  </si>
  <si>
    <t>2055-06-06T01:12:20.487078Z</t>
  </si>
  <si>
    <t>2055-06-06T00:42:27.501891Z</t>
  </si>
  <si>
    <t>2055-06-06T00:42:56.350319Z</t>
  </si>
  <si>
    <t>2055-06-06T00:48:34.303261Z</t>
  </si>
  <si>
    <t>2055-06-05T20:55:32.890043Z</t>
  </si>
  <si>
    <t>2055-06-05T21:12:20.487078Z</t>
  </si>
  <si>
    <t>2055-06-05T20:42:27.501891Z</t>
  </si>
  <si>
    <t>2055-06-05T20:48:34.303261Z</t>
  </si>
  <si>
    <t>2055-06-02T22:44:46.282272Z</t>
  </si>
  <si>
    <t>2055-06-02T23:37:46.34Z</t>
  </si>
  <si>
    <t>2055-06-02T23:25:52.34Z</t>
  </si>
  <si>
    <t>2055-06-02T23:29:54.123145Z</t>
  </si>
  <si>
    <t>2055-06-02T23:36:04.903925Z</t>
  </si>
  <si>
    <t>2055-06-02T22:50:07.361976Z</t>
  </si>
  <si>
    <t>2055-06-02T22:50:20.65373Z</t>
  </si>
  <si>
    <t>2055-06-02T19:29:54.123145Z</t>
  </si>
  <si>
    <t>2055-06-02T19:36:04.903925Z</t>
  </si>
  <si>
    <t>2055-06-02T18:50:07.361976Z</t>
  </si>
  <si>
    <t>2055-06-05T21:55:20.104461Z</t>
  </si>
  <si>
    <t>2055-06-05T23:15:39.173Z</t>
  </si>
  <si>
    <t>2055-06-05T22:56:46.173Z</t>
  </si>
  <si>
    <t>2055-06-05T22:32:32.291855Z</t>
  </si>
  <si>
    <t>2055-06-05T23:07:51.038516Z</t>
  </si>
  <si>
    <t>2055-06-05T21:56:55.352125Z</t>
  </si>
  <si>
    <t>2055-06-05T21:57:03.708455Z</t>
  </si>
  <si>
    <t>2055-06-05T22:18:40.631145Z</t>
  </si>
  <si>
    <t>2055-06-05T18:32:32.291855Z</t>
  </si>
  <si>
    <t>2055-06-05T19:07:51.038516Z</t>
  </si>
  <si>
    <t>2055-06-05T17:56:55.352125Z</t>
  </si>
  <si>
    <t>2055-06-05T18:18:40.631145Z</t>
  </si>
  <si>
    <t>2055-06-07T15:28:44.1377Z</t>
  </si>
  <si>
    <t>2055-06-07T16:26:01.192Z</t>
  </si>
  <si>
    <t>2055-06-07T16:07:08.192Z</t>
  </si>
  <si>
    <t>2055-06-07T15:45:53.706285Z</t>
  </si>
  <si>
    <t>2055-06-07T15:58:15.804434Z</t>
  </si>
  <si>
    <t>2055-06-07T15:28:47.275063Z</t>
  </si>
  <si>
    <t>2055-06-07T15:28:53.327996Z</t>
  </si>
  <si>
    <t>2055-06-07T15:38:56.520582Z</t>
  </si>
  <si>
    <t>2055-06-07T11:45:53.706285Z</t>
  </si>
  <si>
    <t>2055-06-07T11:58:15.804434Z</t>
  </si>
  <si>
    <t>2055-06-07T11:28:47.275063Z</t>
  </si>
  <si>
    <t>2055-06-07T11:38:56.520582Z</t>
  </si>
  <si>
    <t>2055-06-10T13:51:05.192249Z</t>
  </si>
  <si>
    <t>2055-06-10T14:31:43.273Z</t>
  </si>
  <si>
    <t>2055-06-10T14:12:50.273Z</t>
  </si>
  <si>
    <t>2055-06-10T14:27:15.190972Z</t>
  </si>
  <si>
    <t>2055-06-10T14:42:02.498543Z</t>
  </si>
  <si>
    <t>2055-06-10T13:52:34.087565Z</t>
  </si>
  <si>
    <t>2055-06-10T13:52:40.431234Z</t>
  </si>
  <si>
    <t>2055-06-10T14:14:46.116791Z</t>
  </si>
  <si>
    <t>2055-06-10T10:27:15.190972Z</t>
  </si>
  <si>
    <t>2055-06-10T10:42:02.498543Z</t>
  </si>
  <si>
    <t>2055-06-10T09:52:34.087565Z</t>
  </si>
  <si>
    <t>2055-06-10T10:14:46.116791Z</t>
  </si>
  <si>
    <t>2055-06-01T23:17:47.573563Z</t>
  </si>
  <si>
    <t>2055-06-02T00:02:47.641Z</t>
  </si>
  <si>
    <t>2055-06-01T23:53:26.641Z</t>
  </si>
  <si>
    <t>2055-06-01T23:40:39.998272Z</t>
  </si>
  <si>
    <t>2055-06-02T00:01:04.803425Z</t>
  </si>
  <si>
    <t>2055-06-01T23:18:07.408867Z</t>
  </si>
  <si>
    <t>2055-06-01T23:18:21.280806Z</t>
  </si>
  <si>
    <t>2055-06-01T23:37:15.415355Z</t>
  </si>
  <si>
    <t>2055-06-01T19:40:39.998272Z</t>
  </si>
  <si>
    <t>2055-06-01T20:01:04.803425Z</t>
  </si>
  <si>
    <t>2055-06-01T19:18:07.408867Z</t>
  </si>
  <si>
    <t>2055-06-01T19:37:15.415355Z</t>
  </si>
  <si>
    <t>2055-06-01T17:21:50.589708Z</t>
  </si>
  <si>
    <t>2055-06-01T18:16:50.687Z</t>
  </si>
  <si>
    <t>2055-06-01T17:48:51.687Z</t>
  </si>
  <si>
    <t>2055-06-01T17:41:53.02338Z</t>
  </si>
  <si>
    <t>2055-06-01T17:50:42.450676Z</t>
  </si>
  <si>
    <t>2055-06-01T17:23:07.264541Z</t>
  </si>
  <si>
    <t>2055-06-01T17:23:37.026678Z</t>
  </si>
  <si>
    <t>2055-06-01T17:42:43.040628Z</t>
  </si>
  <si>
    <t>2055-06-01T13:41:53.02338Z</t>
  </si>
  <si>
    <t>2055-06-01T13:50:42.450676Z</t>
  </si>
  <si>
    <t>2055-06-01T13:23:07.264541Z</t>
  </si>
  <si>
    <t>2055-06-01T13:42:43.040628Z</t>
  </si>
  <si>
    <t>2055-06-05T23:08:44.673791Z</t>
  </si>
  <si>
    <t>2055-06-06T00:14:09.742Z</t>
  </si>
  <si>
    <t>2055-06-05T23:49:28.742Z</t>
  </si>
  <si>
    <t>2055-06-05T23:54:19.730841Z</t>
  </si>
  <si>
    <t>2055-06-06T00:07:23.966876Z</t>
  </si>
  <si>
    <t>2055-06-05T23:14:07.30987Z</t>
  </si>
  <si>
    <t>2055-06-05T23:15:15.090441Z</t>
  </si>
  <si>
    <t>2055-06-05T23:53:13.676465Z</t>
  </si>
  <si>
    <t>2055-06-05T19:54:19.730841Z</t>
  </si>
  <si>
    <t>2055-06-05T20:07:23.966876Z</t>
  </si>
  <si>
    <t>2055-06-05T19:14:07.30987Z</t>
  </si>
  <si>
    <t>2055-06-05T19:53:13.676465Z</t>
  </si>
  <si>
    <t>2055-06-05T16:44:19.425004Z</t>
  </si>
  <si>
    <t>2055-06-05T17:59:16.485Z</t>
  </si>
  <si>
    <t>2055-06-05T17:37:22.485Z</t>
  </si>
  <si>
    <t>2055-06-05T17:08:46.850005Z</t>
  </si>
  <si>
    <t>2055-06-05T17:14:44.491394Z</t>
  </si>
  <si>
    <t>2055-06-05T16:53:54.955682Z</t>
  </si>
  <si>
    <t>2055-06-05T16:55:04.263751Z</t>
  </si>
  <si>
    <t>2055-06-05T17:05:42.56699Z</t>
  </si>
  <si>
    <t>2055-06-05T13:08:46.850005Z</t>
  </si>
  <si>
    <t>2055-06-05T13:14:44.491394Z</t>
  </si>
  <si>
    <t>2055-06-05T12:53:54.955682Z</t>
  </si>
  <si>
    <t>2055-06-05T13:05:42.56699Z</t>
  </si>
  <si>
    <t>2055-06-01T22:00:54.521765Z</t>
  </si>
  <si>
    <t>2055-06-01T22:59:40.578Z</t>
  </si>
  <si>
    <t>2055-06-01T22:37:46.578Z</t>
  </si>
  <si>
    <t>2055-06-01T22:21:10.97776Z</t>
  </si>
  <si>
    <t>2055-06-01T22:56:00.386461Z</t>
  </si>
  <si>
    <t>2055-06-01T22:02:07.370214Z</t>
  </si>
  <si>
    <t>2055-06-01T22:02:16.245133Z</t>
  </si>
  <si>
    <t>2055-06-01T22:22:32.435739Z</t>
  </si>
  <si>
    <t>2055-06-01T18:21:10.97776Z</t>
  </si>
  <si>
    <t>2055-06-01T18:56:00.386461Z</t>
  </si>
  <si>
    <t>2055-06-01T18:02:07.370214Z</t>
  </si>
  <si>
    <t>2055-06-01T18:22:32.435739Z</t>
  </si>
  <si>
    <t>2055-06-02T01:26:37.279587Z</t>
  </si>
  <si>
    <t>2055-06-02T02:12:22.343Z</t>
  </si>
  <si>
    <t>2055-06-02T02:02:43.343Z</t>
  </si>
  <si>
    <t>2055-06-02T02:02:36.020104Z</t>
  </si>
  <si>
    <t>2055-06-02T02:18:32.94662Z</t>
  </si>
  <si>
    <t>2055-06-02T01:32:54.598043Z</t>
  </si>
  <si>
    <t>2055-06-02T01:33:32.379713Z</t>
  </si>
  <si>
    <t>2055-06-02T01:46:23.853866Z</t>
  </si>
  <si>
    <t>2055-06-01T22:02:36.020104Z</t>
  </si>
  <si>
    <t>2055-06-01T22:18:32.94662Z</t>
  </si>
  <si>
    <t>2055-06-01T21:32:54.598043Z</t>
  </si>
  <si>
    <t>2055-06-01T21:46:23.853866Z</t>
  </si>
  <si>
    <t>2055-06-04T20:04:00.039256Z</t>
  </si>
  <si>
    <t>2055-06-04T20:59:00.137Z</t>
  </si>
  <si>
    <t>2055-06-04T20:38:09.137Z</t>
  </si>
  <si>
    <t>2055-06-04T20:28:18.274274Z</t>
  </si>
  <si>
    <t>2055-06-04T20:38:08.93503Z</t>
  </si>
  <si>
    <t>2055-06-04T20:11:47.327237Z</t>
  </si>
  <si>
    <t>2055-06-04T20:11:50.221781Z</t>
  </si>
  <si>
    <t>2055-06-04T20:15:57.092853Z</t>
  </si>
  <si>
    <t>2055-06-04T16:28:18.274274Z</t>
  </si>
  <si>
    <t>2055-06-04T16:38:08.93503Z</t>
  </si>
  <si>
    <t>2055-06-04T16:11:47.327237Z</t>
  </si>
  <si>
    <t>2055-06-04T16:15:57.092853Z</t>
  </si>
  <si>
    <t>2055-06-06T19:10:09.858304Z</t>
  </si>
  <si>
    <t>2055-06-06T21:30:00Z</t>
  </si>
  <si>
    <t>2055-06-06T21:08:51.513049Z</t>
  </si>
  <si>
    <t>2055-06-06T21:13:17.30206Z</t>
  </si>
  <si>
    <t>2055-06-06T20:47:07.26875Z</t>
  </si>
  <si>
    <t>2055-06-06T20:47:14.017232Z</t>
  </si>
  <si>
    <t>2055-06-06T20:58:16.327246Z</t>
  </si>
  <si>
    <t>2055-06-06T17:08:51.513049Z</t>
  </si>
  <si>
    <t>2055-06-06T17:13:17.30206Z</t>
  </si>
  <si>
    <t>2055-06-06T16:47:07.26875Z</t>
  </si>
  <si>
    <t>2055-06-06T16:58:16.327246Z</t>
  </si>
  <si>
    <t>2055-06-02T15:50:12.222713Z</t>
  </si>
  <si>
    <t>2055-06-02T16:36:17.353Z</t>
  </si>
  <si>
    <t>2055-06-02T16:26:38.353Z</t>
  </si>
  <si>
    <t>2055-06-02T16:22:00.216484Z</t>
  </si>
  <si>
    <t>2055-06-02T16:31:49.768743Z</t>
  </si>
  <si>
    <t>2055-06-02T15:50:27.361657Z</t>
  </si>
  <si>
    <t>2055-06-02T15:51:03.552569Z</t>
  </si>
  <si>
    <t>2055-06-02T15:59:42.299906Z</t>
  </si>
  <si>
    <t>2055-06-02T12:22:00.216484Z</t>
  </si>
  <si>
    <t>2055-06-02T12:31:49.768743Z</t>
  </si>
  <si>
    <t>2055-06-02T11:50:27.361657Z</t>
  </si>
  <si>
    <t>2055-06-02T11:59:42.299906Z</t>
  </si>
  <si>
    <t>2055-06-05T01:09:16.522756Z</t>
  </si>
  <si>
    <t>2055-06-05T02:05:22.593Z</t>
  </si>
  <si>
    <t>2055-06-05T01:45:43.593Z</t>
  </si>
  <si>
    <t>2055-06-05T01:29:01.687689Z</t>
  </si>
  <si>
    <t>2055-06-05T01:43:24.392836Z</t>
  </si>
  <si>
    <t>2055-06-05T01:11:07.539248Z</t>
  </si>
  <si>
    <t>2055-06-05T01:11:10.974473Z</t>
  </si>
  <si>
    <t>2055-06-05T01:21:51.483159Z</t>
  </si>
  <si>
    <t>2055-06-04T21:29:01.687689Z</t>
  </si>
  <si>
    <t>2055-06-04T21:43:24.392836Z</t>
  </si>
  <si>
    <t>2055-06-04T21:11:07.539248Z</t>
  </si>
  <si>
    <t>2055-06-04T21:21:51.483159Z</t>
  </si>
  <si>
    <t>2055-06-09T15:10:25.238465Z</t>
  </si>
  <si>
    <t>2055-06-09T16:09:11.298Z</t>
  </si>
  <si>
    <t>2055-06-09T15:59:32.298Z</t>
  </si>
  <si>
    <t>2055-06-09T15:51:07.176169Z</t>
  </si>
  <si>
    <t>2055-06-09T16:08:32.976835Z</t>
  </si>
  <si>
    <t>2055-06-09T15:14:14.067406Z</t>
  </si>
  <si>
    <t>2055-06-09T15:14:40.496482Z</t>
  </si>
  <si>
    <t>2055-06-09T15:43:43.084213Z</t>
  </si>
  <si>
    <t>2055-06-09T11:51:07.176169Z</t>
  </si>
  <si>
    <t>2055-06-09T12:08:32.976835Z</t>
  </si>
  <si>
    <t>2055-06-09T11:14:14.067406Z</t>
  </si>
  <si>
    <t>2055-06-09T11:43:43.084213Z</t>
  </si>
  <si>
    <t>2055-06-12T22:55:03.842233Z</t>
  </si>
  <si>
    <t>2055-06-13T00:10:05.911Z</t>
  </si>
  <si>
    <t>2055-06-12T23:41:42.91348Z</t>
  </si>
  <si>
    <t>2055-06-12T23:53:13.956268Z</t>
  </si>
  <si>
    <t>2055-06-12T23:01:16.253517Z</t>
  </si>
  <si>
    <t>2055-06-12T23:01:53.239892Z</t>
  </si>
  <si>
    <t>2055-06-12T23:32:30.821767Z</t>
  </si>
  <si>
    <t>2055-06-12T19:41:42.91348Z</t>
  </si>
  <si>
    <t>2055-06-12T19:53:13.956268Z</t>
  </si>
  <si>
    <t>2055-06-12T19:01:16.253517Z</t>
  </si>
  <si>
    <t>2055-06-12T19:32:30.821767Z</t>
  </si>
  <si>
    <t>2055-06-05T13:28:59.313061Z</t>
  </si>
  <si>
    <t>2055-06-05T14:26:34.388Z</t>
  </si>
  <si>
    <t>2055-06-05T14:07:41.388Z</t>
  </si>
  <si>
    <t>2055-06-05T13:57:40.251503Z</t>
  </si>
  <si>
    <t>2055-06-05T14:08:00.741369Z</t>
  </si>
  <si>
    <t>2055-06-05T13:36:07.470495Z</t>
  </si>
  <si>
    <t>2055-06-05T13:36:23.897377Z</t>
  </si>
  <si>
    <t>2055-06-05T13:55:57.502671Z</t>
  </si>
  <si>
    <t>2055-06-05T09:57:40.251503Z</t>
  </si>
  <si>
    <t>2055-06-05T10:08:00.741369Z</t>
  </si>
  <si>
    <t>2055-06-05T09:36:07.470495Z</t>
  </si>
  <si>
    <t>2055-06-05T09:55:57.502671Z</t>
  </si>
  <si>
    <t>2055-06-06T00:17:43.084768Z</t>
  </si>
  <si>
    <t>2055-06-06T01:26:24.211Z</t>
  </si>
  <si>
    <t>2055-06-06T01:14:30.211Z</t>
  </si>
  <si>
    <t>2055-06-06T01:51:13.038549Z</t>
  </si>
  <si>
    <t>2055-06-06T02:10:31.028034Z</t>
  </si>
  <si>
    <t>2055-06-06T01:26:47.308558Z</t>
  </si>
  <si>
    <t>2055-06-06T01:26:51.508324Z</t>
  </si>
  <si>
    <t>2055-06-05T21:51:13.038549Z</t>
  </si>
  <si>
    <t>2055-06-05T22:10:31.028034Z</t>
  </si>
  <si>
    <t>2055-06-05T21:26:47.308558Z</t>
  </si>
  <si>
    <t>2055-06-03T15:40:24.827926Z</t>
  </si>
  <si>
    <t>2055-06-03T16:19:50.922Z</t>
  </si>
  <si>
    <t>2055-06-03T16:15:57.922Z</t>
  </si>
  <si>
    <t>2055-06-03T15:59:03.026375Z</t>
  </si>
  <si>
    <t>2055-06-03T16:12:46.346389Z</t>
  </si>
  <si>
    <t>2055-06-03T15:40:34.13835Z</t>
  </si>
  <si>
    <t>2055-06-03T15:40:44.057779Z</t>
  </si>
  <si>
    <t>2055-06-03T15:51:30.377423Z</t>
  </si>
  <si>
    <t>2055-06-03T11:59:03.026375Z</t>
  </si>
  <si>
    <t>2055-06-03T12:12:46.346389Z</t>
  </si>
  <si>
    <t>2055-06-03T11:40:34.13835Z</t>
  </si>
  <si>
    <t>2055-06-03T11:51:30.377423Z</t>
  </si>
  <si>
    <t>2055-06-04T22:40:50.12152Z</t>
  </si>
  <si>
    <t>2055-06-04T23:25:50.19Z</t>
  </si>
  <si>
    <t>2055-06-04T23:20:07.19Z</t>
  </si>
  <si>
    <t>2055-06-04T23:21:41.281921Z</t>
  </si>
  <si>
    <t>2055-06-04T23:33:00.032765Z</t>
  </si>
  <si>
    <t>2055-06-04T22:50:07.614644Z</t>
  </si>
  <si>
    <t>2055-06-04T22:50:14.610395Z</t>
  </si>
  <si>
    <t>2055-06-04T22:58:09.935097Z</t>
  </si>
  <si>
    <t>2055-06-04T19:21:41.281921Z</t>
  </si>
  <si>
    <t>2055-06-04T19:33:00.032765Z</t>
  </si>
  <si>
    <t>2055-06-04T18:50:07.614644Z</t>
  </si>
  <si>
    <t>2055-06-04T18:58:09.935097Z</t>
  </si>
  <si>
    <t>2055-06-04T01:07:58.655225Z</t>
  </si>
  <si>
    <t>2055-06-04T02:02:58.736Z</t>
  </si>
  <si>
    <t>2055-06-04T01:41:27.736Z</t>
  </si>
  <si>
    <t>2055-06-04T01:26:13.438865Z</t>
  </si>
  <si>
    <t>2055-06-04T01:38:34.321518Z</t>
  </si>
  <si>
    <t>2055-06-04T01:08:07.280054Z</t>
  </si>
  <si>
    <t>2055-06-04T01:08:12.872496Z</t>
  </si>
  <si>
    <t>2055-06-03T21:26:13.438865Z</t>
  </si>
  <si>
    <t>2055-06-03T21:38:34.321518Z</t>
  </si>
  <si>
    <t>2055-06-03T21:08:07.280054Z</t>
  </si>
  <si>
    <t>2055-06-03T00:36:46.584173Z</t>
  </si>
  <si>
    <t>2055-06-03T01:29:21.674Z</t>
  </si>
  <si>
    <t>2055-06-03T01:14:14.674Z</t>
  </si>
  <si>
    <t>2055-06-03T00:53:01.457627Z</t>
  </si>
  <si>
    <t>2055-06-03T01:06:32.675673Z</t>
  </si>
  <si>
    <t>2055-06-03T00:42:34.810849Z</t>
  </si>
  <si>
    <t>2055-06-03T00:42:43.258834Z</t>
  </si>
  <si>
    <t>2055-06-03T00:48:22.953551Z</t>
  </si>
  <si>
    <t>2055-06-02T20:53:01.457627Z</t>
  </si>
  <si>
    <t>2055-06-02T21:06:32.675673Z</t>
  </si>
  <si>
    <t>2055-06-02T20:42:34.810849Z</t>
  </si>
  <si>
    <t>2055-06-02T20:48:22.953551Z</t>
  </si>
  <si>
    <t>2055-06-03T02:20:23.582069Z</t>
  </si>
  <si>
    <t>2055-06-03T03:14:19.64Z</t>
  </si>
  <si>
    <t>2055-06-03T02:52:25.64Z</t>
  </si>
  <si>
    <t>2055-06-03T03:04:36.259329Z</t>
  </si>
  <si>
    <t>2055-06-03T03:09:01.103151Z</t>
  </si>
  <si>
    <t>2055-06-03T02:26:34.209495Z</t>
  </si>
  <si>
    <t>2055-06-03T02:27:02.972655Z</t>
  </si>
  <si>
    <t>2055-06-03T02:31:01.819847Z</t>
  </si>
  <si>
    <t>2055-06-02T23:04:36.259329Z</t>
  </si>
  <si>
    <t>2055-06-02T23:09:01.103151Z</t>
  </si>
  <si>
    <t>2055-06-02T22:26:34.209495Z</t>
  </si>
  <si>
    <t>2055-06-02T22:31:01.819847Z</t>
  </si>
  <si>
    <t>2055-06-03T16:08:23.103481Z</t>
  </si>
  <si>
    <t>2055-06-03T18:45:00Z</t>
  </si>
  <si>
    <t>2055-06-03T17:52:56.933698Z</t>
  </si>
  <si>
    <t>2055-06-03T18:00:56.967638Z</t>
  </si>
  <si>
    <t>2055-06-03T17:45:14.553338Z</t>
  </si>
  <si>
    <t>2055-06-03T17:46:10.549756Z</t>
  </si>
  <si>
    <t>2055-06-03T17:55:14.182351Z</t>
  </si>
  <si>
    <t>2055-06-03T13:52:56.933698Z</t>
  </si>
  <si>
    <t>2055-06-03T14:00:56.967638Z</t>
  </si>
  <si>
    <t>2055-06-03T13:45:14.553338Z</t>
  </si>
  <si>
    <t>2055-06-03T13:55:14.182351Z</t>
  </si>
  <si>
    <t>2055-06-03T20:49:36.156021Z</t>
  </si>
  <si>
    <t>2055-06-03T21:41:49.219Z</t>
  </si>
  <si>
    <t>2055-06-03T21:22:56.219Z</t>
  </si>
  <si>
    <t>2055-06-03T21:22:16.120261Z</t>
  </si>
  <si>
    <t>2055-06-03T21:44:27.288361Z</t>
  </si>
  <si>
    <t>2055-06-03T20:55:54.176478Z</t>
  </si>
  <si>
    <t>2055-06-03T20:56:01.615054Z</t>
  </si>
  <si>
    <t>2055-06-03T21:00:26.266619Z</t>
  </si>
  <si>
    <t>2055-06-03T17:22:16.120261Z</t>
  </si>
  <si>
    <t>2055-06-03T17:44:27.288361Z</t>
  </si>
  <si>
    <t>2055-06-03T16:55:54.176478Z</t>
  </si>
  <si>
    <t>2055-06-03T17:00:26.266619Z</t>
  </si>
  <si>
    <t>2055-06-04T20:15:08.83627Z</t>
  </si>
  <si>
    <t>2055-06-04T21:00:08.915Z</t>
  </si>
  <si>
    <t>2055-06-04T20:48:41.915Z</t>
  </si>
  <si>
    <t>2055-06-04T21:05:41.706667Z</t>
  </si>
  <si>
    <t>2055-06-04T21:36:11.786641Z</t>
  </si>
  <si>
    <t>2055-06-04T20:19:47.354736Z</t>
  </si>
  <si>
    <t>2055-06-04T20:19:53.850849Z</t>
  </si>
  <si>
    <t>2055-06-04T20:23:22.550805Z</t>
  </si>
  <si>
    <t>2055-06-04T17:05:41.706667Z</t>
  </si>
  <si>
    <t>2055-06-04T17:36:11.786641Z</t>
  </si>
  <si>
    <t>2055-06-04T16:19:47.354736Z</t>
  </si>
  <si>
    <t>2055-06-04T16:23:22.550805Z</t>
  </si>
  <si>
    <t>2055-06-05T21:45:05.556441Z</t>
  </si>
  <si>
    <t>2055-06-05T22:37:23.63Z</t>
  </si>
  <si>
    <t>2055-06-05T22:29:05.63Z</t>
  </si>
  <si>
    <t>2055-06-05T22:01:55.588395Z</t>
  </si>
  <si>
    <t>2055-06-05T22:15:51.808486Z</t>
  </si>
  <si>
    <t>2055-06-05T21:45:27.356736Z</t>
  </si>
  <si>
    <t>2055-06-05T21:45:39.121839Z</t>
  </si>
  <si>
    <t>2055-06-05T22:01:46.572086Z</t>
  </si>
  <si>
    <t>2055-06-05T18:01:55.588395Z</t>
  </si>
  <si>
    <t>2055-06-05T18:15:51.808486Z</t>
  </si>
  <si>
    <t>2055-06-05T17:45:27.356736Z</t>
  </si>
  <si>
    <t>2055-06-05T18:01:46.572086Z</t>
  </si>
  <si>
    <t>2055-06-06T01:25:50.381423Z</t>
  </si>
  <si>
    <t>2055-06-06T02:23:21.456Z</t>
  </si>
  <si>
    <t>2055-06-06T02:03:42.456Z</t>
  </si>
  <si>
    <t>2055-06-06T02:03:45.078872Z</t>
  </si>
  <si>
    <t>2055-06-06T02:16:26.24417Z</t>
  </si>
  <si>
    <t>2055-06-06T01:28:27.386752Z</t>
  </si>
  <si>
    <t>2055-06-06T01:28:32.363528Z</t>
  </si>
  <si>
    <t>2055-06-06T01:36:16.468295Z</t>
  </si>
  <si>
    <t>2055-06-05T22:03:45.078872Z</t>
  </si>
  <si>
    <t>2055-06-05T22:16:26.24417Z</t>
  </si>
  <si>
    <t>2055-06-05T21:28:27.386752Z</t>
  </si>
  <si>
    <t>2055-06-05T21:36:16.468295Z</t>
  </si>
  <si>
    <t>2055-06-07T22:03:10.513362Z</t>
  </si>
  <si>
    <t>2055-06-07T22:58:10.592Z</t>
  </si>
  <si>
    <t>2055-06-07T22:34:17.592Z</t>
  </si>
  <si>
    <t>2055-06-07T22:53:31.326828Z</t>
  </si>
  <si>
    <t>2055-06-07T22:57:35.416362Z</t>
  </si>
  <si>
    <t>2055-06-07T22:03:27.340061Z</t>
  </si>
  <si>
    <t>2055-06-07T22:05:04.876911Z</t>
  </si>
  <si>
    <t>2055-06-07T22:11:44.361863Z</t>
  </si>
  <si>
    <t>2055-06-07T18:53:31.326828Z</t>
  </si>
  <si>
    <t>2055-06-07T18:57:35.416362Z</t>
  </si>
  <si>
    <t>2055-06-07T18:03:27.340061Z</t>
  </si>
  <si>
    <t>2055-06-07T18:11:44.361863Z</t>
  </si>
  <si>
    <t>2055-06-08T23:04:40.879305Z</t>
  </si>
  <si>
    <t>2055-06-08T23:58:39.937Z</t>
  </si>
  <si>
    <t>2055-06-08T23:39:00.937Z</t>
  </si>
  <si>
    <t>2055-06-08T23:24:57.835737Z</t>
  </si>
  <si>
    <t>2055-06-08T23:34:29.561631Z</t>
  </si>
  <si>
    <t>2055-06-08T23:12:34.822801Z</t>
  </si>
  <si>
    <t>2055-06-08T23:12:59.290997Z</t>
  </si>
  <si>
    <t>2055-06-08T23:20:02.882213Z</t>
  </si>
  <si>
    <t>2055-06-08T19:24:57.835737Z</t>
  </si>
  <si>
    <t>2055-06-08T19:34:29.561631Z</t>
  </si>
  <si>
    <t>2055-06-08T19:12:34.822801Z</t>
  </si>
  <si>
    <t>2055-06-08T19:20:02.882213Z</t>
  </si>
  <si>
    <t>2055-06-12T02:59:50.184011Z</t>
  </si>
  <si>
    <t>2055-06-12T03:45:26.243Z</t>
  </si>
  <si>
    <t>2055-06-12T03:31:33.243Z</t>
  </si>
  <si>
    <t>2055-06-12T03:19:48.078281Z</t>
  </si>
  <si>
    <t>2055-06-12T03:30:25.160835Z</t>
  </si>
  <si>
    <t>2055-06-12T03:02:14.16622Z</t>
  </si>
  <si>
    <t>2055-06-12T03:02:33.178013Z</t>
  </si>
  <si>
    <t>2055-06-12T03:11:09.285215Z</t>
  </si>
  <si>
    <t>2055-06-11T23:19:48.078281Z</t>
  </si>
  <si>
    <t>2055-06-11T23:30:25.160835Z</t>
  </si>
  <si>
    <t>2055-06-11T23:02:14.16622Z</t>
  </si>
  <si>
    <t>2055-06-11T23:11:09.285215Z</t>
  </si>
  <si>
    <t>2055-06-12T21:16:42.86081Z</t>
  </si>
  <si>
    <t>2055-06-12T22:05:21.918Z</t>
  </si>
  <si>
    <t>2055-06-12T21:46:28.918Z</t>
  </si>
  <si>
    <t>2055-06-12T21:30:47.645629Z</t>
  </si>
  <si>
    <t>2055-06-12T21:56:18.699022Z</t>
  </si>
  <si>
    <t>2055-06-12T21:24:14.267946Z</t>
  </si>
  <si>
    <t>2055-06-12T21:24:19.98923Z</t>
  </si>
  <si>
    <t>2055-06-12T21:27:36.414152Z</t>
  </si>
  <si>
    <t>2055-06-12T17:30:47.645629Z</t>
  </si>
  <si>
    <t>2055-06-12T17:56:18.699022Z</t>
  </si>
  <si>
    <t>2055-06-12T17:24:14.267946Z</t>
  </si>
  <si>
    <t>2055-06-12T17:27:36.414152Z</t>
  </si>
  <si>
    <t>2055-06-12T21:44:57.496465Z</t>
  </si>
  <si>
    <t>2055-06-12T22:31:10.55Z</t>
  </si>
  <si>
    <t>2055-06-12T22:12:17.55Z</t>
  </si>
  <si>
    <t>2055-06-12T21:58:18.95181Z</t>
  </si>
  <si>
    <t>2055-06-12T22:10:37.710749Z</t>
  </si>
  <si>
    <t>2055-06-12T21:48:34.706995Z</t>
  </si>
  <si>
    <t>2055-06-12T21:48:52.38122Z</t>
  </si>
  <si>
    <t>2055-06-12T21:56:17.071458Z</t>
  </si>
  <si>
    <t>2055-06-12T17:58:18.95181Z</t>
  </si>
  <si>
    <t>2055-06-12T18:10:37.710749Z</t>
  </si>
  <si>
    <t>2055-06-12T17:48:34.706995Z</t>
  </si>
  <si>
    <t>2055-06-12T17:56:17.071458Z</t>
  </si>
  <si>
    <t>2055-06-03T18:08:19.84354Z</t>
  </si>
  <si>
    <t>2055-06-03T19:22:14.935Z</t>
  </si>
  <si>
    <t>2055-06-03T19:02:07.935Z</t>
  </si>
  <si>
    <t>2055-06-03T18:59:01.446189Z</t>
  </si>
  <si>
    <t>2055-06-03T19:54:26.807368Z</t>
  </si>
  <si>
    <t>2055-06-03T18:17:34.283952Z</t>
  </si>
  <si>
    <t>2055-06-03T18:17:43.863767Z</t>
  </si>
  <si>
    <t>2055-06-03T18:25:16.518252Z</t>
  </si>
  <si>
    <t>2055-06-03T14:59:01.446189Z</t>
  </si>
  <si>
    <t>2055-06-03T15:54:26.807368Z</t>
  </si>
  <si>
    <t>2055-06-03T14:17:34.283952Z</t>
  </si>
  <si>
    <t>2055-06-03T14:25:16.518252Z</t>
  </si>
  <si>
    <t>2055-06-06T23:23:59.961298Z</t>
  </si>
  <si>
    <t>2055-06-07T00:19:00.123Z</t>
  </si>
  <si>
    <t>2055-06-06T23:55:35.123Z</t>
  </si>
  <si>
    <t>2055-06-06T23:40:02.794979Z</t>
  </si>
  <si>
    <t>2055-06-06T23:55:05.714272Z</t>
  </si>
  <si>
    <t>2055-06-06T23:24:07.411788Z</t>
  </si>
  <si>
    <t>2055-06-06T23:24:14.86688Z</t>
  </si>
  <si>
    <t>2055-06-06T23:32:40.412898Z</t>
  </si>
  <si>
    <t>2055-06-06T19:40:02.794979Z</t>
  </si>
  <si>
    <t>2055-06-06T19:55:05.714272Z</t>
  </si>
  <si>
    <t>2055-06-06T19:24:07.411788Z</t>
  </si>
  <si>
    <t>2055-06-06T19:32:40.412898Z</t>
  </si>
  <si>
    <t>2055-06-03T16:57:10.839934Z</t>
  </si>
  <si>
    <t>2055-06-03T17:33:18.892Z</t>
  </si>
  <si>
    <t>2055-06-03T17:29:25.892Z</t>
  </si>
  <si>
    <t>2055-06-03T17:26:53.661489Z</t>
  </si>
  <si>
    <t>2055-06-03T17:33:53.741352Z</t>
  </si>
  <si>
    <t>2055-06-03T17:03:14.564812Z</t>
  </si>
  <si>
    <t>2055-06-03T17:04:53.093596Z</t>
  </si>
  <si>
    <t>2055-06-03T17:03:22.298948Z</t>
  </si>
  <si>
    <t>2055-06-03T13:26:53.661489Z</t>
  </si>
  <si>
    <t>2055-06-03T13:33:53.741352Z</t>
  </si>
  <si>
    <t>2055-06-03T13:03:14.564812Z</t>
  </si>
  <si>
    <t>2055-06-03T13:03:22.298948Z</t>
  </si>
  <si>
    <t>2055-06-04T23:43:15.07902Z</t>
  </si>
  <si>
    <t>2055-06-05T00:35:31.151Z</t>
  </si>
  <si>
    <t>2055-06-05T00:20:52.151Z</t>
  </si>
  <si>
    <t>2055-06-05T00:00:30.743559Z</t>
  </si>
  <si>
    <t>2055-06-05T00:19:00.714016Z</t>
  </si>
  <si>
    <t>2055-06-04T23:43:27.585846Z</t>
  </si>
  <si>
    <t>2055-06-04T23:43:30.876065Z</t>
  </si>
  <si>
    <t>2055-06-04T23:53:10.924311Z</t>
  </si>
  <si>
    <t>2055-06-04T20:00:30.743559Z</t>
  </si>
  <si>
    <t>2055-06-04T20:19:00.714016Z</t>
  </si>
  <si>
    <t>2055-06-04T19:43:27.585846Z</t>
  </si>
  <si>
    <t>2055-06-04T19:53:10.924311Z</t>
  </si>
  <si>
    <t>2055-06-06T16:54:09.481038Z</t>
  </si>
  <si>
    <t>2055-06-06T18:00:35.576Z</t>
  </si>
  <si>
    <t>2055-06-06T17:38:41.576Z</t>
  </si>
  <si>
    <t>2055-06-06T17:54:58.612571Z</t>
  </si>
  <si>
    <t>2055-06-06T18:08:56.168764Z</t>
  </si>
  <si>
    <t>2055-06-06T17:13:47.284457Z</t>
  </si>
  <si>
    <t>2055-06-06T17:13:52.038609Z</t>
  </si>
  <si>
    <t>2055-06-06T17:44:06.358561Z</t>
  </si>
  <si>
    <t>2055-06-06T13:54:58.612571Z</t>
  </si>
  <si>
    <t>2055-06-06T14:08:56.168764Z</t>
  </si>
  <si>
    <t>2055-06-06T13:13:47.284457Z</t>
  </si>
  <si>
    <t>2055-06-06T13:44:06.358561Z</t>
  </si>
  <si>
    <t>2055-06-08T01:25:19.348335Z</t>
  </si>
  <si>
    <t>2055-06-08T02:15:19.725Z</t>
  </si>
  <si>
    <t>2055-06-08T01:52:34.725Z</t>
  </si>
  <si>
    <t>2055-06-08T01:37:51.143887Z</t>
  </si>
  <si>
    <t>2055-06-08T01:45:22.73563Z</t>
  </si>
  <si>
    <t>2055-06-08T01:25:27.343154Z</t>
  </si>
  <si>
    <t>2055-06-08T01:25:34.358467Z</t>
  </si>
  <si>
    <t>2055-06-08T01:30:52.332836Z</t>
  </si>
  <si>
    <t>2055-06-07T21:37:51.143887Z</t>
  </si>
  <si>
    <t>2055-06-07T21:45:22.73563Z</t>
  </si>
  <si>
    <t>2055-06-07T21:25:27.343154Z</t>
  </si>
  <si>
    <t>2055-06-07T21:30:52.332836Z</t>
  </si>
  <si>
    <t>2055-06-02T01:34:10.768073Z</t>
  </si>
  <si>
    <t>2055-06-02T02:26:09.821Z</t>
  </si>
  <si>
    <t>2055-06-02T02:06:30.821Z</t>
  </si>
  <si>
    <t>2055-06-02T01:50:23.131292Z</t>
  </si>
  <si>
    <t>2055-06-02T02:16:45.846477Z</t>
  </si>
  <si>
    <t>2055-06-02T01:41:34.277188Z</t>
  </si>
  <si>
    <t>2055-06-02T01:41:37.228905Z</t>
  </si>
  <si>
    <t>2055-06-02T01:47:28.406176Z</t>
  </si>
  <si>
    <t>2055-06-01T21:50:23.131292Z</t>
  </si>
  <si>
    <t>2055-06-01T22:16:45.846477Z</t>
  </si>
  <si>
    <t>2055-06-01T21:41:34.277188Z</t>
  </si>
  <si>
    <t>2055-06-01T21:47:28.406176Z</t>
  </si>
  <si>
    <t>2055-06-02T01:39:23.983335Z</t>
  </si>
  <si>
    <t>2055-06-02T02:34:24.048Z</t>
  </si>
  <si>
    <t>2055-06-02T02:10:16.048Z</t>
  </si>
  <si>
    <t>2055-06-02T02:01:36.440228Z</t>
  </si>
  <si>
    <t>2055-06-02T02:11:36.795547Z</t>
  </si>
  <si>
    <t>2055-06-02T01:39:47.254794Z</t>
  </si>
  <si>
    <t>2055-06-02T01:40:00.093773Z</t>
  </si>
  <si>
    <t>2055-06-02T01:55:59.318196Z</t>
  </si>
  <si>
    <t>2055-06-01T22:01:36.440228Z</t>
  </si>
  <si>
    <t>2055-06-01T22:11:36.795547Z</t>
  </si>
  <si>
    <t>2055-06-01T21:39:47.254794Z</t>
  </si>
  <si>
    <t>2055-06-01T21:55:59.318196Z</t>
  </si>
  <si>
    <t>2055-06-03T18:00:55.799272Z</t>
  </si>
  <si>
    <t>2055-06-03T18:38:06.87Z</t>
  </si>
  <si>
    <t>2055-06-03T18:31:12.87Z</t>
  </si>
  <si>
    <t>2055-06-03T18:13:21.85707Z</t>
  </si>
  <si>
    <t>2055-06-03T18:21:12.19907Z</t>
  </si>
  <si>
    <t>2055-06-03T18:06:34.368238Z</t>
  </si>
  <si>
    <t>2055-06-03T18:06:52.300346Z</t>
  </si>
  <si>
    <t>2055-06-03T18:09:09.24282Z</t>
  </si>
  <si>
    <t>2055-06-03T14:13:21.85707Z</t>
  </si>
  <si>
    <t>2055-06-03T14:21:12.19907Z</t>
  </si>
  <si>
    <t>2055-06-03T14:06:34.368238Z</t>
  </si>
  <si>
    <t>2055-06-03T14:09:09.24282Z</t>
  </si>
  <si>
    <t>2055-06-05T22:25:01.959721Z</t>
  </si>
  <si>
    <t>2055-06-05T23:23:36.04Z</t>
  </si>
  <si>
    <t>2055-06-05T23:01:42.04Z</t>
  </si>
  <si>
    <t>2055-06-05T23:01:03.438176Z</t>
  </si>
  <si>
    <t>2055-06-05T23:11:55.006379Z</t>
  </si>
  <si>
    <t>2055-06-05T22:36:27.543397Z</t>
  </si>
  <si>
    <t>2055-06-05T22:36:38.993847Z</t>
  </si>
  <si>
    <t>2055-06-05T19:01:03.438176Z</t>
  </si>
  <si>
    <t>2055-06-05T19:11:55.006379Z</t>
  </si>
  <si>
    <t>2055-06-05T18:36:27.543397Z</t>
  </si>
  <si>
    <t>2055-06-05T23:33:02.633377Z</t>
  </si>
  <si>
    <t>2055-06-06T00:31:18.744Z</t>
  </si>
  <si>
    <t>2055-06-06T00:11:11.744Z</t>
  </si>
  <si>
    <t>2055-06-06T00:08:48.011504Z</t>
  </si>
  <si>
    <t>2055-06-06T00:18:47.946815Z</t>
  </si>
  <si>
    <t>2055-06-05T23:49:47.380499Z</t>
  </si>
  <si>
    <t>2055-06-05T23:49:50.886679Z</t>
  </si>
  <si>
    <t>2055-06-06T00:06:40.03194Z</t>
  </si>
  <si>
    <t>2055-06-05T20:08:48.011504Z</t>
  </si>
  <si>
    <t>2055-06-05T20:18:47.946815Z</t>
  </si>
  <si>
    <t>2055-06-05T19:49:47.380499Z</t>
  </si>
  <si>
    <t>2055-06-05T20:06:40.03194Z</t>
  </si>
  <si>
    <t>2055-06-02T23:58:33.590705Z</t>
  </si>
  <si>
    <t>2055-06-03T00:46:13.653Z</t>
  </si>
  <si>
    <t>2055-06-03T00:31:06.653Z</t>
  </si>
  <si>
    <t>2055-06-03T00:25:45.614834Z</t>
  </si>
  <si>
    <t>2055-06-03T00:40:47.885896Z</t>
  </si>
  <si>
    <t>2055-06-03T00:01:55.285562Z</t>
  </si>
  <si>
    <t>2055-06-03T00:02:03.514809Z</t>
  </si>
  <si>
    <t>2055-06-03T00:11:18.454761Z</t>
  </si>
  <si>
    <t>2055-06-02T20:25:45.614834Z</t>
  </si>
  <si>
    <t>2055-06-02T20:40:47.885896Z</t>
  </si>
  <si>
    <t>2055-06-02T20:01:55.285562Z</t>
  </si>
  <si>
    <t>2055-06-02T20:11:18.454761Z</t>
  </si>
  <si>
    <t>2055-06-03T22:38:11.903198Z</t>
  </si>
  <si>
    <t>2055-06-03T23:26:48.956Z</t>
  </si>
  <si>
    <t>2055-06-03T23:07:55.956Z</t>
  </si>
  <si>
    <t>2055-06-03T23:00:55.818996Z</t>
  </si>
  <si>
    <t>2055-06-03T23:11:40.77838Z</t>
  </si>
  <si>
    <t>2055-06-03T22:39:34.942523Z</t>
  </si>
  <si>
    <t>2055-06-03T22:39:43.585757Z</t>
  </si>
  <si>
    <t>2055-06-03T22:59:11.309544Z</t>
  </si>
  <si>
    <t>2055-06-03T19:00:55.818996Z</t>
  </si>
  <si>
    <t>2055-06-03T19:11:40.77838Z</t>
  </si>
  <si>
    <t>2055-06-03T18:39:34.942523Z</t>
  </si>
  <si>
    <t>2055-06-03T18:59:11.309544Z</t>
  </si>
  <si>
    <t>2055-06-05T01:57:02.480566Z</t>
  </si>
  <si>
    <t>2055-06-05T02:45:35.562Z</t>
  </si>
  <si>
    <t>2055-06-05T02:36:42.562Z</t>
  </si>
  <si>
    <t>2055-06-05T02:37:14.873218Z</t>
  </si>
  <si>
    <t>2055-06-05T02:50:27.418755Z</t>
  </si>
  <si>
    <t>2055-06-05T02:23:07.31305Z</t>
  </si>
  <si>
    <t>2055-06-05T02:23:11.189576Z</t>
  </si>
  <si>
    <t>2055-06-04T22:37:14.873218Z</t>
  </si>
  <si>
    <t>2055-06-04T22:50:27.418755Z</t>
  </si>
  <si>
    <t>2055-06-04T22:23:07.31305Z</t>
  </si>
  <si>
    <t>2055-06-05T01:41:46.598847Z</t>
  </si>
  <si>
    <t>2055-06-05T02:37:53.261Z</t>
  </si>
  <si>
    <t>2055-06-05T02:27:46.261Z</t>
  </si>
  <si>
    <t>2055-06-05T02:35:31.963272Z</t>
  </si>
  <si>
    <t>2055-06-05T02:37:13.144317Z</t>
  </si>
  <si>
    <t>2055-06-05T01:54:54.301905Z</t>
  </si>
  <si>
    <t>2055-06-05T01:55:09.345693Z</t>
  </si>
  <si>
    <t>2055-06-05T02:10:45.350263Z</t>
  </si>
  <si>
    <t>2055-06-04T22:35:31.963272Z</t>
  </si>
  <si>
    <t>2055-06-04T22:37:13.144317Z</t>
  </si>
  <si>
    <t>2055-06-04T21:54:54.301905Z</t>
  </si>
  <si>
    <t>2055-06-04T22:10:45.350263Z</t>
  </si>
  <si>
    <t>2055-06-11T17:06:24.465261Z</t>
  </si>
  <si>
    <t>2055-06-11T18:03:11.514Z</t>
  </si>
  <si>
    <t>2055-06-11T17:53:04.514Z</t>
  </si>
  <si>
    <t>2055-06-11T17:32:01.848406Z</t>
  </si>
  <si>
    <t>2055-06-11T17:52:26.294458Z</t>
  </si>
  <si>
    <t>2055-06-11T17:09:54.308547Z</t>
  </si>
  <si>
    <t>2055-06-11T17:10:09.42822Z</t>
  </si>
  <si>
    <t>2055-06-11T17:41:49.393Z</t>
  </si>
  <si>
    <t>2055-06-11T13:32:01.848406Z</t>
  </si>
  <si>
    <t>2055-06-11T13:52:26.294458Z</t>
  </si>
  <si>
    <t>2055-06-11T13:09:54.308547Z</t>
  </si>
  <si>
    <t>2055-06-11T13:41:49.393Z</t>
  </si>
  <si>
    <t>2055-06-05T23:23:25.102303Z</t>
  </si>
  <si>
    <t>2055-06-06T00:18:25.758Z</t>
  </si>
  <si>
    <t>2055-06-05T23:53:20.758Z</t>
  </si>
  <si>
    <t>2055-06-05T23:49:31.415288Z</t>
  </si>
  <si>
    <t>2055-06-05T23:49:41.981148Z</t>
  </si>
  <si>
    <t>2055-06-05T23:35:47.723604Z</t>
  </si>
  <si>
    <t>2055-06-05T23:35:56.748268Z</t>
  </si>
  <si>
    <t>2055-06-05T23:44:36.257857Z</t>
  </si>
  <si>
    <t>2055-06-05T19:49:31.415288Z</t>
  </si>
  <si>
    <t>2055-06-05T19:49:41.981148Z</t>
  </si>
  <si>
    <t>2055-06-05T19:35:47.723604Z</t>
  </si>
  <si>
    <t>2055-06-05T19:44:36.257857Z</t>
  </si>
  <si>
    <t>2055-06-11T19:57:15.950491Z</t>
  </si>
  <si>
    <t>2055-06-11T21:11:10.131Z</t>
  </si>
  <si>
    <t>2055-06-11T20:51:03.131Z</t>
  </si>
  <si>
    <t>2055-06-11T21:11:44.95898Z</t>
  </si>
  <si>
    <t>2055-06-11T21:11:52.562735Z</t>
  </si>
  <si>
    <t>2055-06-11T20:10:34.194143Z</t>
  </si>
  <si>
    <t>2055-06-11T20:10:38.590407Z</t>
  </si>
  <si>
    <t>2055-06-11T20:29:30.253414Z</t>
  </si>
  <si>
    <t>2055-06-11T17:11:44.95898Z</t>
  </si>
  <si>
    <t>2055-06-11T17:11:52.562735Z</t>
  </si>
  <si>
    <t>2055-06-11T16:10:34.194143Z</t>
  </si>
  <si>
    <t>2055-06-11T16:29:30.253414Z</t>
  </si>
  <si>
    <t>2055-06-01T17:45:09.810607Z</t>
  </si>
  <si>
    <t>2055-06-01T19:11:47.876Z</t>
  </si>
  <si>
    <t>2055-06-01T18:43:34.876Z</t>
  </si>
  <si>
    <t>2055-06-01T18:33:01.073587Z</t>
  </si>
  <si>
    <t>2055-06-01T18:46:42.327509Z</t>
  </si>
  <si>
    <t>2055-06-01T18:04:07.2566Z</t>
  </si>
  <si>
    <t>2055-06-01T18:04:17.744029Z</t>
  </si>
  <si>
    <t>2055-06-01T18:30:51.258315Z</t>
  </si>
  <si>
    <t>2055-06-01T14:33:01.073587Z</t>
  </si>
  <si>
    <t>2055-06-01T14:46:42.327509Z</t>
  </si>
  <si>
    <t>2055-06-01T14:04:07.2566Z</t>
  </si>
  <si>
    <t>2055-06-01T14:30:51.258315Z</t>
  </si>
  <si>
    <t>2055-06-11T23:05:00.670874Z</t>
  </si>
  <si>
    <t>2055-06-12T00:08:29.724Z</t>
  </si>
  <si>
    <t>2055-06-11T23:48:22.724Z</t>
  </si>
  <si>
    <t>2055-06-11T23:45:42.058508Z</t>
  </si>
  <si>
    <t>2055-06-11T23:53:06.00531Z</t>
  </si>
  <si>
    <t>2055-06-11T23:05:14.816924Z</t>
  </si>
  <si>
    <t>2055-06-11T23:05:54.609236Z</t>
  </si>
  <si>
    <t>2055-06-11T23:37:46.524961Z</t>
  </si>
  <si>
    <t>2055-06-11T19:45:42.058508Z</t>
  </si>
  <si>
    <t>2055-06-11T19:53:06.00531Z</t>
  </si>
  <si>
    <t>2055-06-11T19:05:14.816924Z</t>
  </si>
  <si>
    <t>2055-06-11T19:37:46.524961Z</t>
  </si>
  <si>
    <t>2055-06-05T00:09:43.956985Z</t>
  </si>
  <si>
    <t>2055-06-05T01:12:26.026Z</t>
  </si>
  <si>
    <t>2055-06-05T01:07:47.026Z</t>
  </si>
  <si>
    <t>2055-06-05T00:36:20.913655Z</t>
  </si>
  <si>
    <t>2055-06-05T00:50:49.926122Z</t>
  </si>
  <si>
    <t>2055-06-05T00:09:47.838414Z</t>
  </si>
  <si>
    <t>2055-06-05T00:09:51.225238Z</t>
  </si>
  <si>
    <t>2055-06-05T00:17:42.220066Z</t>
  </si>
  <si>
    <t>2055-06-04T20:36:20.913655Z</t>
  </si>
  <si>
    <t>2055-06-04T20:50:49.926122Z</t>
  </si>
  <si>
    <t>2055-06-04T20:09:47.838414Z</t>
  </si>
  <si>
    <t>2055-06-04T20:17:42.220066Z</t>
  </si>
  <si>
    <t>2055-06-03T17:34:22.647281Z</t>
  </si>
  <si>
    <t>2055-06-03T18:54:20.717Z</t>
  </si>
  <si>
    <t>2055-06-03T18:26:07.717Z</t>
  </si>
  <si>
    <t>2055-06-03T18:10:47.998588Z</t>
  </si>
  <si>
    <t>2055-06-03T18:19:25.793749Z</t>
  </si>
  <si>
    <t>2055-06-03T17:43:36.18844Z</t>
  </si>
  <si>
    <t>2055-06-03T17:43:47.681197Z</t>
  </si>
  <si>
    <t>2055-06-03T18:04:56.427103Z</t>
  </si>
  <si>
    <t>2055-06-03T14:10:47.998588Z</t>
  </si>
  <si>
    <t>2055-06-03T14:19:25.793749Z</t>
  </si>
  <si>
    <t>2055-06-03T13:43:36.18844Z</t>
  </si>
  <si>
    <t>2055-06-03T14:04:56.427103Z</t>
  </si>
  <si>
    <t>2055-06-11T18:58:44.804013Z</t>
  </si>
  <si>
    <t>2055-06-11T19:56:59.859Z</t>
  </si>
  <si>
    <t>2055-06-11T19:50:05.859Z</t>
  </si>
  <si>
    <t>2055-06-11T19:40:27.261448Z</t>
  </si>
  <si>
    <t>2055-06-11T19:50:41.544864Z</t>
  </si>
  <si>
    <t>2055-06-11T19:23:14.314168Z</t>
  </si>
  <si>
    <t>2055-06-11T19:23:34.047189Z</t>
  </si>
  <si>
    <t>2055-06-11T19:33:27.189533Z</t>
  </si>
  <si>
    <t>2055-06-11T15:40:27.261448Z</t>
  </si>
  <si>
    <t>2055-06-11T15:50:41.544864Z</t>
  </si>
  <si>
    <t>2055-06-11T15:23:14.314168Z</t>
  </si>
  <si>
    <t>2055-06-11T15:33:27.189533Z</t>
  </si>
  <si>
    <t>2055-06-01T22:04:56.309398Z</t>
  </si>
  <si>
    <t>2055-06-01T22:59:56.384Z</t>
  </si>
  <si>
    <t>2055-06-01T22:32:18.384Z</t>
  </si>
  <si>
    <t>2055-06-01T22:29:34.405437Z</t>
  </si>
  <si>
    <t>2055-06-01T22:39:37.505762Z</t>
  </si>
  <si>
    <t>2055-06-01T22:05:07.537427Z</t>
  </si>
  <si>
    <t>2055-06-01T22:05:48.860682Z</t>
  </si>
  <si>
    <t>2055-06-01T22:14:39.260701Z</t>
  </si>
  <si>
    <t>2055-06-01T18:29:34.405437Z</t>
  </si>
  <si>
    <t>2055-06-01T18:39:37.505762Z</t>
  </si>
  <si>
    <t>2055-06-01T18:05:07.537427Z</t>
  </si>
  <si>
    <t>2055-06-01T18:14:39.260701Z</t>
  </si>
  <si>
    <t>2055-06-02T15:11:58.281893Z</t>
  </si>
  <si>
    <t>2055-06-02T16:06:58.391Z</t>
  </si>
  <si>
    <t>2055-06-02T15:42:27.391Z</t>
  </si>
  <si>
    <t>2055-06-02T15:39:27.224568Z</t>
  </si>
  <si>
    <t>2055-06-02T16:12:42.717772Z</t>
  </si>
  <si>
    <t>2055-06-02T15:12:07.241588Z</t>
  </si>
  <si>
    <t>2055-06-02T15:12:36.755982Z</t>
  </si>
  <si>
    <t>2055-06-02T15:15:29.640941Z</t>
  </si>
  <si>
    <t>2055-06-02T11:39:27.224568Z</t>
  </si>
  <si>
    <t>2055-06-02T12:12:42.717772Z</t>
  </si>
  <si>
    <t>2055-06-02T11:12:07.241588Z</t>
  </si>
  <si>
    <t>2055-06-02T11:15:29.640941Z</t>
  </si>
  <si>
    <t>2055-06-04T13:02:26.698354Z</t>
  </si>
  <si>
    <t>2055-06-04T13:50:04.981Z</t>
  </si>
  <si>
    <t>2055-06-04T13:34:57.981Z</t>
  </si>
  <si>
    <t>2055-06-04T13:24:19.845025Z</t>
  </si>
  <si>
    <t>2055-06-04T13:32:07.012851Z</t>
  </si>
  <si>
    <t>2055-06-04T13:08:54.052141Z</t>
  </si>
  <si>
    <t>2055-06-04T13:08:58.261904Z</t>
  </si>
  <si>
    <t>2055-06-04T13:17:33.244388Z</t>
  </si>
  <si>
    <t>2055-06-04T09:24:19.845025Z</t>
  </si>
  <si>
    <t>2055-06-04T09:32:07.012851Z</t>
  </si>
  <si>
    <t>2055-06-04T09:08:54.052141Z</t>
  </si>
  <si>
    <t>2055-06-04T09:17:33.244388Z</t>
  </si>
  <si>
    <t>2055-06-05T13:07:46.720889Z</t>
  </si>
  <si>
    <t>2055-06-05T13:45:52.804Z</t>
  </si>
  <si>
    <t>2055-06-05T13:35:13.804Z</t>
  </si>
  <si>
    <t>2055-06-05T13:29:12.234553Z</t>
  </si>
  <si>
    <t>2055-06-05T13:38:29.775146Z</t>
  </si>
  <si>
    <t>2055-06-05T13:09:34.088678Z</t>
  </si>
  <si>
    <t>2055-06-05T13:09:50.192034Z</t>
  </si>
  <si>
    <t>2055-06-05T13:24:35.314991Z</t>
  </si>
  <si>
    <t>2055-06-05T09:29:12.234553Z</t>
  </si>
  <si>
    <t>2055-06-05T09:38:29.775146Z</t>
  </si>
  <si>
    <t>2055-06-05T09:09:34.088678Z</t>
  </si>
  <si>
    <t>2055-06-05T09:24:35.314991Z</t>
  </si>
  <si>
    <t>2055-06-05T23:28:47.580779Z</t>
  </si>
  <si>
    <t>2055-06-06T00:23:22.652Z</t>
  </si>
  <si>
    <t>2055-06-06T00:13:43.652Z</t>
  </si>
  <si>
    <t>2055-06-06T00:38:38.14168Z</t>
  </si>
  <si>
    <t>2055-06-06T01:19:17.815023Z</t>
  </si>
  <si>
    <t>2055-06-05T23:44:07.558373Z</t>
  </si>
  <si>
    <t>2055-06-05T23:44:22.225141Z</t>
  </si>
  <si>
    <t>2055-06-05T23:53:50.226746Z</t>
  </si>
  <si>
    <t>2055-06-05T20:38:38.14168Z</t>
  </si>
  <si>
    <t>2055-06-05T21:19:17.815023Z</t>
  </si>
  <si>
    <t>2055-06-05T19:44:07.558373Z</t>
  </si>
  <si>
    <t>2055-06-05T19:53:50.226746Z</t>
  </si>
  <si>
    <t>2055-06-06T01:38:40.667814Z</t>
  </si>
  <si>
    <t>2055-06-06T02:38:04.721Z</t>
  </si>
  <si>
    <t>2055-06-06T02:13:23.721Z</t>
  </si>
  <si>
    <t>2055-06-06T01:56:06.47022Z</t>
  </si>
  <si>
    <t>2055-06-06T02:01:51.772556Z</t>
  </si>
  <si>
    <t>2055-06-06T01:41:34.121364Z</t>
  </si>
  <si>
    <t>2055-06-06T01:41:44.204861Z</t>
  </si>
  <si>
    <t>2055-06-06T01:48:24.764233Z</t>
  </si>
  <si>
    <t>2055-06-05T21:56:06.47022Z</t>
  </si>
  <si>
    <t>2055-06-05T22:01:51.772556Z</t>
  </si>
  <si>
    <t>2055-06-05T21:41:34.121364Z</t>
  </si>
  <si>
    <t>2055-06-05T21:48:24.764233Z</t>
  </si>
  <si>
    <t>2055-06-07T00:32:21.223214Z</t>
  </si>
  <si>
    <t>2055-06-07T01:27:21.287Z</t>
  </si>
  <si>
    <t>2055-06-07T01:02:08.287Z</t>
  </si>
  <si>
    <t>2055-06-07T00:50:56.611011Z</t>
  </si>
  <si>
    <t>2055-06-07T01:05:41.319543Z</t>
  </si>
  <si>
    <t>2055-06-07T00:38:27.321611Z</t>
  </si>
  <si>
    <t>2055-06-07T00:38:33.566201Z</t>
  </si>
  <si>
    <t>2055-06-07T00:45:21.337071Z</t>
  </si>
  <si>
    <t>2055-06-06T20:50:56.611011Z</t>
  </si>
  <si>
    <t>2055-06-06T21:05:41.319543Z</t>
  </si>
  <si>
    <t>2055-06-06T20:38:27.321611Z</t>
  </si>
  <si>
    <t>2055-06-06T20:45:21.337071Z</t>
  </si>
  <si>
    <t>2055-06-08T00:03:13.581475Z</t>
  </si>
  <si>
    <t>2055-06-08T01:03:21.634Z</t>
  </si>
  <si>
    <t>2055-06-08T00:43:14.634Z</t>
  </si>
  <si>
    <t>2055-06-08T00:16:36.101274Z</t>
  </si>
  <si>
    <t>2055-06-08T00:31:00.826383Z</t>
  </si>
  <si>
    <t>2055-06-08T00:06:07.421361Z</t>
  </si>
  <si>
    <t>2055-06-08T00:06:22.035144Z</t>
  </si>
  <si>
    <t>2055-06-07T20:16:36.101274Z</t>
  </si>
  <si>
    <t>2055-06-07T20:31:00.826383Z</t>
  </si>
  <si>
    <t>2055-06-07T20:06:07.421361Z</t>
  </si>
  <si>
    <t>2055-06-12T17:54:06.816053Z</t>
  </si>
  <si>
    <t>2055-06-12T18:44:55.877Z</t>
  </si>
  <si>
    <t>2055-06-12T18:25:16.877Z</t>
  </si>
  <si>
    <t>2055-06-12T18:09:45.737002Z</t>
  </si>
  <si>
    <t>2055-06-12T18:15:27.69509Z</t>
  </si>
  <si>
    <t>2055-06-12T17:58:54.403277Z</t>
  </si>
  <si>
    <t>2055-06-12T17:59:03.133642Z</t>
  </si>
  <si>
    <t>2055-06-12T18:04:57.550297Z</t>
  </si>
  <si>
    <t>2055-06-12T14:09:45.737002Z</t>
  </si>
  <si>
    <t>2055-06-12T14:15:27.69509Z</t>
  </si>
  <si>
    <t>2055-06-12T13:58:54.403277Z</t>
  </si>
  <si>
    <t>2055-06-12T14:04:57.550297Z</t>
  </si>
  <si>
    <t>Dave</t>
  </si>
  <si>
    <t>2055-06-13T15:02:41.456683Z</t>
  </si>
  <si>
    <t>2055-06-13T15:53:45.526Z</t>
  </si>
  <si>
    <t>2055-06-13T15:34:06.526Z</t>
  </si>
  <si>
    <t>2055-06-13T15:43:14.676402Z</t>
  </si>
  <si>
    <t>2055-06-13T16:05:59.470647Z</t>
  </si>
  <si>
    <t>2055-06-13T15:15:34.246143Z</t>
  </si>
  <si>
    <t>2055-06-13T15:15:38.90438Z</t>
  </si>
  <si>
    <t>2055-06-13T15:39:46.27188Z</t>
  </si>
  <si>
    <t>2055-06-13T11:43:14.676402Z</t>
  </si>
  <si>
    <t>2055-06-13T12:05:59.470647Z</t>
  </si>
  <si>
    <t>2055-06-13T11:15:34.246143Z</t>
  </si>
  <si>
    <t>2055-06-13T11:39:46.27188Z</t>
  </si>
  <si>
    <t>2055-06-03T22:13:11.644998Z</t>
  </si>
  <si>
    <t>2055-06-03T23:10:59.735Z</t>
  </si>
  <si>
    <t>2055-06-03T22:50:52.735Z</t>
  </si>
  <si>
    <t>2055-06-03T22:45:44.876155Z</t>
  </si>
  <si>
    <t>2055-06-03T23:02:48.833206Z</t>
  </si>
  <si>
    <t>2055-06-03T22:15:47.348507Z</t>
  </si>
  <si>
    <t>2055-06-03T22:15:51.392655Z</t>
  </si>
  <si>
    <t>2055-06-03T22:44:45.64329Z</t>
  </si>
  <si>
    <t>2055-06-03T18:45:44.876155Z</t>
  </si>
  <si>
    <t>2055-06-03T19:02:48.833206Z</t>
  </si>
  <si>
    <t>2055-06-03T18:15:47.348507Z</t>
  </si>
  <si>
    <t>2055-06-03T18:44:45.64329Z</t>
  </si>
  <si>
    <t>2055-06-10T14:59:43.015372Z</t>
  </si>
  <si>
    <t>2055-06-10T15:59:32.098Z</t>
  </si>
  <si>
    <t>2055-06-10T15:43:53.098Z</t>
  </si>
  <si>
    <t>2055-06-10T15:21:32.064772Z</t>
  </si>
  <si>
    <t>2055-06-10T15:27:41.574772Z</t>
  </si>
  <si>
    <t>2055-06-10T14:59:54.100427Z</t>
  </si>
  <si>
    <t>2055-06-10T15:00:20.113607Z</t>
  </si>
  <si>
    <t>2055-06-10T15:14:11.365872Z</t>
  </si>
  <si>
    <t>2055-06-10T11:21:32.064772Z</t>
  </si>
  <si>
    <t>2055-06-10T11:27:41.574772Z</t>
  </si>
  <si>
    <t>2055-06-10T10:59:54.100427Z</t>
  </si>
  <si>
    <t>2055-06-10T11:14:11.365872Z</t>
  </si>
  <si>
    <t>2055-06-05T20:30:00.621524Z</t>
  </si>
  <si>
    <t>2055-06-05T21:29:20.705Z</t>
  </si>
  <si>
    <t>2055-06-05T21:09:13.705Z</t>
  </si>
  <si>
    <t>2055-06-05T21:09:06.090962Z</t>
  </si>
  <si>
    <t>2055-06-05T21:18:51.255671Z</t>
  </si>
  <si>
    <t>2055-06-05T20:36:07.301595Z</t>
  </si>
  <si>
    <t>2055-06-05T20:36:10.858011Z</t>
  </si>
  <si>
    <t>2055-06-05T21:00:18.65834Z</t>
  </si>
  <si>
    <t>2055-06-05T17:09:06.090962Z</t>
  </si>
  <si>
    <t>2055-06-05T17:18:51.255671Z</t>
  </si>
  <si>
    <t>2055-06-05T16:36:07.301595Z</t>
  </si>
  <si>
    <t>2055-06-05T17:00:18.65834Z</t>
  </si>
  <si>
    <t>2055-06-10T13:45:21.165371Z</t>
  </si>
  <si>
    <t>2055-06-10T14:28:22.231Z</t>
  </si>
  <si>
    <t>2055-06-10T14:24:29.231Z</t>
  </si>
  <si>
    <t>2055-06-10T14:19:25.488757Z</t>
  </si>
  <si>
    <t>2055-06-10T14:33:47.628192Z</t>
  </si>
  <si>
    <t>2055-06-10T13:47:34.113192Z</t>
  </si>
  <si>
    <t>2055-06-10T13:48:31.879682Z</t>
  </si>
  <si>
    <t>2055-06-10T13:54:38.028421Z</t>
  </si>
  <si>
    <t>2055-06-10T10:19:25.488757Z</t>
  </si>
  <si>
    <t>2055-06-10T10:33:47.628192Z</t>
  </si>
  <si>
    <t>2055-06-10T09:47:34.113192Z</t>
  </si>
  <si>
    <t>2055-06-10T09:54:38.028421Z</t>
  </si>
  <si>
    <t>2055-06-04T22:11:45.693596Z</t>
  </si>
  <si>
    <t>2055-06-04T23:06:45.769Z</t>
  </si>
  <si>
    <t>2055-06-04T22:46:40.769Z</t>
  </si>
  <si>
    <t>2055-06-04T22:37:20.906553Z</t>
  </si>
  <si>
    <t>2055-06-04T22:47:00.734969Z</t>
  </si>
  <si>
    <t>2055-06-04T22:20:27.470918Z</t>
  </si>
  <si>
    <t>2055-06-04T22:20:33.419426Z</t>
  </si>
  <si>
    <t>2055-06-04T22:35:09.728897Z</t>
  </si>
  <si>
    <t>2055-06-04T18:37:20.906553Z</t>
  </si>
  <si>
    <t>2055-06-04T18:47:00.734969Z</t>
  </si>
  <si>
    <t>2055-06-04T18:20:27.470918Z</t>
  </si>
  <si>
    <t>2055-06-04T18:35:09.728897Z</t>
  </si>
  <si>
    <t>2055-06-04T22:38:10.5464Z</t>
  </si>
  <si>
    <t>2055-06-04T23:38:07.602Z</t>
  </si>
  <si>
    <t>2055-06-04T23:18:00.602Z</t>
  </si>
  <si>
    <t>2055-06-04T23:10:04.204748Z</t>
  </si>
  <si>
    <t>2055-06-04T23:26:10.825661Z</t>
  </si>
  <si>
    <t>2055-06-04T22:59:27.39471Z</t>
  </si>
  <si>
    <t>2055-06-04T22:59:31.925932Z</t>
  </si>
  <si>
    <t>2055-06-04T23:06:59.125632Z</t>
  </si>
  <si>
    <t>2055-06-04T19:10:04.204748Z</t>
  </si>
  <si>
    <t>2055-06-04T19:26:10.825661Z</t>
  </si>
  <si>
    <t>2055-06-04T18:59:27.39471Z</t>
  </si>
  <si>
    <t>2055-06-04T19:06:59.125632Z</t>
  </si>
  <si>
    <t>2055-06-07T19:00:01.000172Z</t>
  </si>
  <si>
    <t>2055-06-07T20:16:00.084Z</t>
  </si>
  <si>
    <t>2055-06-07T19:55:53.084Z</t>
  </si>
  <si>
    <t>2055-06-07T19:35:06.740861Z</t>
  </si>
  <si>
    <t>2055-06-07T19:45:46.841956Z</t>
  </si>
  <si>
    <t>2055-06-07T19:02:07.429532Z</t>
  </si>
  <si>
    <t>2055-06-07T19:02:17.787783Z</t>
  </si>
  <si>
    <t>2055-06-07T15:35:06.740861Z</t>
  </si>
  <si>
    <t>2055-06-07T15:45:46.841956Z</t>
  </si>
  <si>
    <t>2055-06-07T15:02:07.429532Z</t>
  </si>
  <si>
    <t>Eliot</t>
  </si>
  <si>
    <t>2055-06-07T16:17:05.361172Z</t>
  </si>
  <si>
    <t>2055-06-07T17:12:05.428Z</t>
  </si>
  <si>
    <t>2055-06-07T16:41:01.428Z</t>
  </si>
  <si>
    <t>2055-06-07T16:54:47.982182Z</t>
  </si>
  <si>
    <t>2055-06-07T16:57:27.311376Z</t>
  </si>
  <si>
    <t>2055-06-07T16:17:27.352626Z</t>
  </si>
  <si>
    <t>2055-06-07T16:17:38.385117Z</t>
  </si>
  <si>
    <t>2055-06-07T16:41:06.696707Z</t>
  </si>
  <si>
    <t>2055-06-07T12:54:47.982182Z</t>
  </si>
  <si>
    <t>2055-06-07T12:57:27.311376Z</t>
  </si>
  <si>
    <t>2055-06-07T12:17:27.352626Z</t>
  </si>
  <si>
    <t>2055-06-07T12:41:06.696707Z</t>
  </si>
  <si>
    <t>2055-06-03T23:51:06.922431Z</t>
  </si>
  <si>
    <t>2055-06-04T00:48:40.984Z</t>
  </si>
  <si>
    <t>2055-06-04T00:29:01.984Z</t>
  </si>
  <si>
    <t>2055-06-04T00:15:32.114576Z</t>
  </si>
  <si>
    <t>2055-06-04T00:28:40.491512Z</t>
  </si>
  <si>
    <t>2055-06-03T23:51:15.333583Z</t>
  </si>
  <si>
    <t>2055-06-03T23:51:37.131874Z</t>
  </si>
  <si>
    <t>2055-06-03T20:15:32.114576Z</t>
  </si>
  <si>
    <t>2055-06-03T20:28:40.491512Z</t>
  </si>
  <si>
    <t>2055-06-03T19:51:15.333583Z</t>
  </si>
  <si>
    <t>2055-06-02T23:07:03.492783Z</t>
  </si>
  <si>
    <t>2055-06-02T23:49:58.53946Z</t>
  </si>
  <si>
    <t>2055-06-02T23:50:58.53946Z</t>
  </si>
  <si>
    <t>2055-06-02T23:18:50.154271Z</t>
  </si>
  <si>
    <t>2055-06-02T23:29:34.358639Z</t>
  </si>
  <si>
    <t>2055-06-02T23:11:07.432721Z</t>
  </si>
  <si>
    <t>2055-06-02T23:12:37.158532Z</t>
  </si>
  <si>
    <t>2055-06-02T23:16:13.44976Z</t>
  </si>
  <si>
    <t>2055-06-02T19:18:50.154271Z</t>
  </si>
  <si>
    <t>2055-06-02T19:29:34.358639Z</t>
  </si>
  <si>
    <t>2055-06-02T19:11:07.432721Z</t>
  </si>
  <si>
    <t>2055-06-02T19:16:13.44976Z</t>
  </si>
  <si>
    <t>2055-06-03T17:32:29.430991Z</t>
  </si>
  <si>
    <t>2055-06-03T18:21:04.509Z</t>
  </si>
  <si>
    <t>2055-06-03T18:12:11.509Z</t>
  </si>
  <si>
    <t>2055-06-03T18:05:14.779672Z</t>
  </si>
  <si>
    <t>2055-06-03T18:23:42.740353Z</t>
  </si>
  <si>
    <t>2055-06-03T17:32:47.370329Z</t>
  </si>
  <si>
    <t>2055-06-03T17:32:50.798336Z</t>
  </si>
  <si>
    <t>2055-06-03T17:59:29.137518Z</t>
  </si>
  <si>
    <t>2055-06-03T14:05:14.779672Z</t>
  </si>
  <si>
    <t>2055-06-03T14:23:42.740353Z</t>
  </si>
  <si>
    <t>2055-06-03T13:32:47.370329Z</t>
  </si>
  <si>
    <t>2055-06-03T13:59:29.137518Z</t>
  </si>
  <si>
    <t>2055-06-05T13:44:00.001496Z</t>
  </si>
  <si>
    <t>2055-06-05T14:16:07.226Z</t>
  </si>
  <si>
    <t>2055-06-05T14:05:28.226Z</t>
  </si>
  <si>
    <t>2055-06-05T14:28:29.166896Z</t>
  </si>
  <si>
    <t>2055-06-05T14:28:48.399372Z</t>
  </si>
  <si>
    <t>2055-06-05T13:52:14.075996Z</t>
  </si>
  <si>
    <t>2055-06-05T13:52:18.297609Z</t>
  </si>
  <si>
    <t>2055-06-05T13:58:54.276275Z</t>
  </si>
  <si>
    <t>2055-06-05T10:28:29.166896Z</t>
  </si>
  <si>
    <t>2055-06-05T10:28:48.399372Z</t>
  </si>
  <si>
    <t>2055-06-05T09:52:14.075996Z</t>
  </si>
  <si>
    <t>2055-06-05T09:58:54.276275Z</t>
  </si>
  <si>
    <t>2055-06-07T16:43:16.630846Z</t>
  </si>
  <si>
    <t>2055-06-07T17:38:16.759Z</t>
  </si>
  <si>
    <t>2055-06-07T17:22:04.759Z</t>
  </si>
  <si>
    <t>2055-06-07T16:58:12.512717Z</t>
  </si>
  <si>
    <t>2055-06-07T17:16:15.463647Z</t>
  </si>
  <si>
    <t>2055-06-07T16:43:27.288219Z</t>
  </si>
  <si>
    <t>2055-06-07T16:43:32.772202Z</t>
  </si>
  <si>
    <t>2055-06-07T16:54:44.788122Z</t>
  </si>
  <si>
    <t>2055-06-07T12:58:12.512717Z</t>
  </si>
  <si>
    <t>2055-06-07T13:16:15.463647Z</t>
  </si>
  <si>
    <t>2055-06-07T12:43:27.288219Z</t>
  </si>
  <si>
    <t>2055-06-07T12:54:44.788122Z</t>
  </si>
  <si>
    <t>2055-06-02T15:29:54.253402Z</t>
  </si>
  <si>
    <t>2055-06-02T16:27:56.381Z</t>
  </si>
  <si>
    <t>2055-06-02T16:09:03.381Z</t>
  </si>
  <si>
    <t>2055-06-02T15:52:07.365117Z</t>
  </si>
  <si>
    <t>2055-06-02T16:13:14.942255Z</t>
  </si>
  <si>
    <t>2055-06-02T15:30:07.452161Z</t>
  </si>
  <si>
    <t>2055-06-02T15:30:22.436738Z</t>
  </si>
  <si>
    <t>2055-06-02T15:50:46.694896Z</t>
  </si>
  <si>
    <t>2055-06-02T11:52:07.365117Z</t>
  </si>
  <si>
    <t>2055-06-02T12:13:14.942255Z</t>
  </si>
  <si>
    <t>2055-06-02T11:30:07.452161Z</t>
  </si>
  <si>
    <t>2055-06-02T11:50:46.694896Z</t>
  </si>
  <si>
    <t>2055-06-04T17:29:24.625341Z</t>
  </si>
  <si>
    <t>2055-06-04T18:09:24.704Z</t>
  </si>
  <si>
    <t>2055-06-04T17:59:00.704Z</t>
  </si>
  <si>
    <t>2055-06-04T17:57:04.540712Z</t>
  </si>
  <si>
    <t>2055-06-04T18:07:35.097176Z</t>
  </si>
  <si>
    <t>2055-06-04T17:39:47.350608Z</t>
  </si>
  <si>
    <t>2055-06-04T17:40:15.075641Z</t>
  </si>
  <si>
    <t>2055-06-04T17:52:47.802482Z</t>
  </si>
  <si>
    <t>2055-06-04T13:57:04.540712Z</t>
  </si>
  <si>
    <t>2055-06-04T14:07:35.097176Z</t>
  </si>
  <si>
    <t>2055-06-04T13:39:47.350608Z</t>
  </si>
  <si>
    <t>2055-06-04T13:52:47.802482Z</t>
  </si>
  <si>
    <t>2055-06-05T15:24:57.763091Z</t>
  </si>
  <si>
    <t>2055-06-05T16:21:14.813Z</t>
  </si>
  <si>
    <t>2055-06-05T16:02:21.813Z</t>
  </si>
  <si>
    <t>2055-06-05T16:48:35.681118Z</t>
  </si>
  <si>
    <t>2055-06-05T16:48:42.69982Z</t>
  </si>
  <si>
    <t>2055-06-05T16:09:14.144923Z</t>
  </si>
  <si>
    <t>2055-06-05T16:09:50.953204Z</t>
  </si>
  <si>
    <t>2055-06-05T12:48:35.681118Z</t>
  </si>
  <si>
    <t>2055-06-05T12:48:42.69982Z</t>
  </si>
  <si>
    <t>2055-06-05T12:09:14.144923Z</t>
  </si>
  <si>
    <t>2055-06-10T00:23:25.821954Z</t>
  </si>
  <si>
    <t>2055-06-10T01:21:12.863Z</t>
  </si>
  <si>
    <t>2055-06-10T00:59:18.863Z</t>
  </si>
  <si>
    <t>2055-06-10T01:08:03.890732Z</t>
  </si>
  <si>
    <t>2055-06-10T01:22:16.665149Z</t>
  </si>
  <si>
    <t>2055-06-10T00:27:15.138868Z</t>
  </si>
  <si>
    <t>2055-06-10T00:27:27.338334Z</t>
  </si>
  <si>
    <t>2055-06-10T01:00:02.912513Z</t>
  </si>
  <si>
    <t>2055-06-09T21:08:03.890732Z</t>
  </si>
  <si>
    <t>2055-06-09T21:22:16.665149Z</t>
  </si>
  <si>
    <t>2055-06-09T20:27:15.138868Z</t>
  </si>
  <si>
    <t>2055-06-09T21:00:02.912513Z</t>
  </si>
  <si>
    <t>2055-06-12T21:34:03.408513Z</t>
  </si>
  <si>
    <t>2055-06-12T22:19:51.479Z</t>
  </si>
  <si>
    <t>2055-06-12T22:00:58.479Z</t>
  </si>
  <si>
    <t>2055-06-12T21:49:53.150637Z</t>
  </si>
  <si>
    <t>2055-06-12T22:01:21.73853Z</t>
  </si>
  <si>
    <t>2055-06-12T21:38:54.492718Z</t>
  </si>
  <si>
    <t>2055-06-12T21:39:08.985415Z</t>
  </si>
  <si>
    <t>2055-06-12T21:47:03.23027Z</t>
  </si>
  <si>
    <t>2055-06-12T17:49:53.150637Z</t>
  </si>
  <si>
    <t>2055-06-12T18:01:21.73853Z</t>
  </si>
  <si>
    <t>2055-06-12T17:38:54.492718Z</t>
  </si>
  <si>
    <t>2055-06-12T17:47:03.23027Z</t>
  </si>
  <si>
    <t>2055-06-01T22:24:19.251602Z</t>
  </si>
  <si>
    <t>2055-06-01T23:35:08.326Z</t>
  </si>
  <si>
    <t>2055-06-01T23:13:14.326Z</t>
  </si>
  <si>
    <t>2055-06-01T22:56:54.429167Z</t>
  </si>
  <si>
    <t>2055-06-01T23:10:46.883699Z</t>
  </si>
  <si>
    <t>2055-06-01T22:28:14.982075Z</t>
  </si>
  <si>
    <t>2055-06-01T22:28:39.128051Z</t>
  </si>
  <si>
    <t>2055-06-01T23:02:25.032868Z</t>
  </si>
  <si>
    <t>2055-06-01T18:56:54.429167Z</t>
  </si>
  <si>
    <t>2055-06-01T19:10:46.883699Z</t>
  </si>
  <si>
    <t>2055-06-01T18:28:14.982075Z</t>
  </si>
  <si>
    <t>2055-06-01T19:02:25.032868Z</t>
  </si>
  <si>
    <t>2055-06-04T23:07:38.382556Z</t>
  </si>
  <si>
    <t>2055-06-04T23:58:12.437Z</t>
  </si>
  <si>
    <t>2055-06-04T23:38:33.437Z</t>
  </si>
  <si>
    <t>2055-06-04T23:20:14.426581Z</t>
  </si>
  <si>
    <t>2055-06-04T23:37:45.240376Z</t>
  </si>
  <si>
    <t>2055-06-04T23:10:55.305063Z</t>
  </si>
  <si>
    <t>2055-06-04T23:12:22.33676Z</t>
  </si>
  <si>
    <t>2055-06-04T23:20:51.850216Z</t>
  </si>
  <si>
    <t>2055-06-04T19:20:14.426581Z</t>
  </si>
  <si>
    <t>2055-06-04T19:37:45.240376Z</t>
  </si>
  <si>
    <t>2055-06-04T19:10:55.305063Z</t>
  </si>
  <si>
    <t>2055-06-04T19:20:51.850216Z</t>
  </si>
  <si>
    <t>2055-06-06T20:32:07.71931Z</t>
  </si>
  <si>
    <t>2055-06-06T21:24:56.782Z</t>
  </si>
  <si>
    <t>2055-06-06T21:04:49.782Z</t>
  </si>
  <si>
    <t>2055-06-06T20:52:28.360675Z</t>
  </si>
  <si>
    <t>2055-06-06T20:57:33.651225Z</t>
  </si>
  <si>
    <t>2055-06-06T20:36:14.045511Z</t>
  </si>
  <si>
    <t>2055-06-06T20:36:28.921385Z</t>
  </si>
  <si>
    <t>2055-06-06T20:41:55.643413Z</t>
  </si>
  <si>
    <t>2055-06-06T16:52:28.360675Z</t>
  </si>
  <si>
    <t>2055-06-06T16:57:33.651225Z</t>
  </si>
  <si>
    <t>2055-06-06T16:36:14.045511Z</t>
  </si>
  <si>
    <t>2055-06-06T16:41:55.643413Z</t>
  </si>
  <si>
    <t>2055-06-06T22:55:26.780105Z</t>
  </si>
  <si>
    <t>2055-06-06T23:48:01.852Z</t>
  </si>
  <si>
    <t>2055-06-06T23:28:22.852Z</t>
  </si>
  <si>
    <t>2055-06-06T23:15:52.367878Z</t>
  </si>
  <si>
    <t>2055-06-06T23:28:39.181849Z</t>
  </si>
  <si>
    <t>2055-06-06T23:00:54.534103Z</t>
  </si>
  <si>
    <t>2055-06-06T23:01:09.939065Z</t>
  </si>
  <si>
    <t>2055-06-06T23:05:15.682137Z</t>
  </si>
  <si>
    <t>2055-06-06T19:15:52.367878Z</t>
  </si>
  <si>
    <t>2055-06-06T19:28:39.181849Z</t>
  </si>
  <si>
    <t>2055-06-06T19:00:54.534103Z</t>
  </si>
  <si>
    <t>2055-06-06T19:05:15.682137Z</t>
  </si>
  <si>
    <t>2055-06-07T18:05:45.373581Z</t>
  </si>
  <si>
    <t>2055-06-07T18:54:47.434Z</t>
  </si>
  <si>
    <t>2055-06-07T18:46:29.434Z</t>
  </si>
  <si>
    <t>2055-06-07T19:07:55.986882Z</t>
  </si>
  <si>
    <t>2055-06-07T19:32:41.188467Z</t>
  </si>
  <si>
    <t>2055-06-07T18:18:14.184001Z</t>
  </si>
  <si>
    <t>2055-06-07T18:18:28.024093Z</t>
  </si>
  <si>
    <t>2055-06-07T19:01:06.521804Z</t>
  </si>
  <si>
    <t>2055-06-07T15:07:55.986882Z</t>
  </si>
  <si>
    <t>2055-06-07T15:32:41.188467Z</t>
  </si>
  <si>
    <t>2055-06-07T14:18:14.184001Z</t>
  </si>
  <si>
    <t>2055-06-07T15:01:06.521804Z</t>
  </si>
  <si>
    <t>2055-06-09T14:38:28.750157Z</t>
  </si>
  <si>
    <t>2055-06-09T15:32:06.795Z</t>
  </si>
  <si>
    <t>2055-06-09T15:11:59.795Z</t>
  </si>
  <si>
    <t>2055-06-09T14:55:00.533683Z</t>
  </si>
  <si>
    <t>2055-06-09T15:02:49.010091Z</t>
  </si>
  <si>
    <t>2055-06-09T14:42:34.170493Z</t>
  </si>
  <si>
    <t>2055-06-09T14:43:06.968054Z</t>
  </si>
  <si>
    <t>2055-06-09T14:46:47.620786Z</t>
  </si>
  <si>
    <t>2055-06-09T10:55:00.533683Z</t>
  </si>
  <si>
    <t>2055-06-09T11:02:49.010091Z</t>
  </si>
  <si>
    <t>2055-06-09T10:42:34.170493Z</t>
  </si>
  <si>
    <t>2055-06-09T10:46:47.620786Z</t>
  </si>
  <si>
    <t>2055-06-13T15:36:49.987996Z</t>
  </si>
  <si>
    <t>2055-06-13T16:33:01.032Z</t>
  </si>
  <si>
    <t>2055-06-13T16:13:22.032Z</t>
  </si>
  <si>
    <t>2055-06-13T15:59:59.112009Z</t>
  </si>
  <si>
    <t>2055-06-13T16:13:51.960821Z</t>
  </si>
  <si>
    <t>2055-06-13T15:40:14.267755Z</t>
  </si>
  <si>
    <t>2055-06-13T15:40:44.403157Z</t>
  </si>
  <si>
    <t>2055-06-13T15:56:26.328609Z</t>
  </si>
  <si>
    <t>2055-06-13T11:59:59.112009Z</t>
  </si>
  <si>
    <t>2055-06-13T12:13:51.960821Z</t>
  </si>
  <si>
    <t>2055-06-13T11:40:14.267755Z</t>
  </si>
  <si>
    <t>2055-06-13T11:56:26.328609Z</t>
  </si>
  <si>
    <t>2055-06-06T19:33:40.932277Z</t>
  </si>
  <si>
    <t>2055-06-06T20:28:41.009Z</t>
  </si>
  <si>
    <t>2055-06-06T20:04:10.009Z</t>
  </si>
  <si>
    <t>2055-06-06T20:09:12.950703Z</t>
  </si>
  <si>
    <t>2055-06-06T20:22:56.082981Z</t>
  </si>
  <si>
    <t>2055-06-06T19:33:47.305171Z</t>
  </si>
  <si>
    <t>2055-06-06T19:33:50.871352Z</t>
  </si>
  <si>
    <t>2055-06-06T16:09:12.950703Z</t>
  </si>
  <si>
    <t>2055-06-06T16:22:56.082981Z</t>
  </si>
  <si>
    <t>2055-06-06T15:33:47.305171Z</t>
  </si>
  <si>
    <t>2055-06-12T18:53:21.76106Z</t>
  </si>
  <si>
    <t>2055-06-12T19:50:24.825Z</t>
  </si>
  <si>
    <t>2055-06-12T19:36:31.825Z</t>
  </si>
  <si>
    <t>2055-06-12T19:04:33.838232Z</t>
  </si>
  <si>
    <t>2055-06-12T19:14:45.848946Z</t>
  </si>
  <si>
    <t>2055-06-12T18:53:34.343032Z</t>
  </si>
  <si>
    <t>2055-06-12T18:54:00.437261Z</t>
  </si>
  <si>
    <t>2055-06-12T18:58:10.703674Z</t>
  </si>
  <si>
    <t>2055-06-12T15:04:33.838232Z</t>
  </si>
  <si>
    <t>2055-06-12T15:14:45.848946Z</t>
  </si>
  <si>
    <t>2055-06-12T14:53:34.343032Z</t>
  </si>
  <si>
    <t>2055-06-12T14:58:10.703674Z</t>
  </si>
  <si>
    <t>2055-06-01T20:13:03.661398Z</t>
  </si>
  <si>
    <t>2055-06-01T21:14:52.743Z</t>
  </si>
  <si>
    <t>2055-06-01T20:52:58.743Z</t>
  </si>
  <si>
    <t>2055-06-01T20:30:02.07545Z</t>
  </si>
  <si>
    <t>2055-06-01T20:42:25.981588Z</t>
  </si>
  <si>
    <t>2055-06-01T20:19:07.142661Z</t>
  </si>
  <si>
    <t>2055-06-01T20:19:12.209333Z</t>
  </si>
  <si>
    <t>2055-06-01T20:25:16.065262Z</t>
  </si>
  <si>
    <t>2055-06-01T16:30:02.07545Z</t>
  </si>
  <si>
    <t>2055-06-01T16:42:25.981588Z</t>
  </si>
  <si>
    <t>2055-06-01T16:19:07.142661Z</t>
  </si>
  <si>
    <t>2055-06-01T16:25:16.065262Z</t>
  </si>
  <si>
    <t>2055-06-01T21:53:32.03603Z</t>
  </si>
  <si>
    <t>2055-06-01T22:48:40.1Z</t>
  </si>
  <si>
    <t>2055-06-01T22:28:33.1Z</t>
  </si>
  <si>
    <t>2055-06-01T22:18:24.098185Z</t>
  </si>
  <si>
    <t>2055-06-01T22:37:42.08601Z</t>
  </si>
  <si>
    <t>2055-06-01T22:09:14.50097Z</t>
  </si>
  <si>
    <t>2055-06-01T22:09:18.175797Z</t>
  </si>
  <si>
    <t>2055-06-01T22:20:41.977527Z</t>
  </si>
  <si>
    <t>2055-06-01T18:18:24.098185Z</t>
  </si>
  <si>
    <t>2055-06-01T18:37:42.08601Z</t>
  </si>
  <si>
    <t>2055-06-01T18:09:14.50097Z</t>
  </si>
  <si>
    <t>2055-06-01T18:20:41.977527Z</t>
  </si>
  <si>
    <t>2055-06-03T23:31:16.810041Z</t>
  </si>
  <si>
    <t>2055-06-04T00:19:01.871Z</t>
  </si>
  <si>
    <t>2055-06-04T00:00:08.871Z</t>
  </si>
  <si>
    <t>2055-06-03T23:42:32.196531Z</t>
  </si>
  <si>
    <t>2055-06-04T00:02:27.764568Z</t>
  </si>
  <si>
    <t>2055-06-03T23:35:56.715772Z</t>
  </si>
  <si>
    <t>2055-06-03T23:36:09.65326Z</t>
  </si>
  <si>
    <t>2055-06-03T23:43:51.843692Z</t>
  </si>
  <si>
    <t>2055-06-03T19:42:32.196531Z</t>
  </si>
  <si>
    <t>2055-06-03T20:02:27.764568Z</t>
  </si>
  <si>
    <t>2055-06-03T19:35:56.715772Z</t>
  </si>
  <si>
    <t>2055-06-03T19:43:51.843692Z</t>
  </si>
  <si>
    <t>2055-06-06T19:03:23.867249Z</t>
  </si>
  <si>
    <t>2055-06-06T20:13:44.931Z</t>
  </si>
  <si>
    <t>2055-06-06T19:55:31.931Z</t>
  </si>
  <si>
    <t>2055-06-06T19:49:16.068972Z</t>
  </si>
  <si>
    <t>2055-06-06T20:08:29.504322Z</t>
  </si>
  <si>
    <t>2055-06-06T19:05:27.288678Z</t>
  </si>
  <si>
    <t>2055-06-06T19:05:49.058899Z</t>
  </si>
  <si>
    <t>2055-06-06T19:45:36.614913Z</t>
  </si>
  <si>
    <t>2055-06-06T15:49:16.068972Z</t>
  </si>
  <si>
    <t>2055-06-06T16:08:29.504322Z</t>
  </si>
  <si>
    <t>2055-06-06T15:05:27.288678Z</t>
  </si>
  <si>
    <t>2055-06-06T15:45:36.614913Z</t>
  </si>
  <si>
    <t>2055-06-03T14:49:16.086585Z</t>
  </si>
  <si>
    <t>2055-06-03T16:15:00Z</t>
  </si>
  <si>
    <t>2055-06-03T15:55:02.169411Z</t>
  </si>
  <si>
    <t>2055-06-03T16:16:59.657647Z</t>
  </si>
  <si>
    <t>2055-06-03T15:23:54.303453Z</t>
  </si>
  <si>
    <t>2055-06-03T15:25:14.579382Z</t>
  </si>
  <si>
    <t>2055-06-03T15:37:41.341616Z</t>
  </si>
  <si>
    <t>2055-06-03T11:55:02.169411Z</t>
  </si>
  <si>
    <t>2055-06-03T12:16:59.657647Z</t>
  </si>
  <si>
    <t>2055-06-03T11:23:54.303453Z</t>
  </si>
  <si>
    <t>2055-06-03T11:37:41.341616Z</t>
  </si>
  <si>
    <t>2055-06-04T16:50:21.472295Z</t>
  </si>
  <si>
    <t>2055-06-04T17:56:44.545Z</t>
  </si>
  <si>
    <t>2055-06-04T17:33:26.545Z</t>
  </si>
  <si>
    <t>2055-06-04T17:10:21.388428Z</t>
  </si>
  <si>
    <t>2055-06-04T17:31:57.056835Z</t>
  </si>
  <si>
    <t>2055-06-04T16:56:47.465123Z</t>
  </si>
  <si>
    <t>2055-06-04T16:56:55.844574Z</t>
  </si>
  <si>
    <t>2055-06-04T17:02:58.837215Z</t>
  </si>
  <si>
    <t>2055-06-04T13:10:21.388428Z</t>
  </si>
  <si>
    <t>2055-06-04T13:31:57.056835Z</t>
  </si>
  <si>
    <t>2055-06-04T12:56:47.465123Z</t>
  </si>
  <si>
    <t>2055-06-04T13:02:58.837215Z</t>
  </si>
  <si>
    <t>2055-06-02T23:25:52.070857Z</t>
  </si>
  <si>
    <t>2055-06-03T00:26:20.147Z</t>
  </si>
  <si>
    <t>2055-06-03T00:06:41.147Z</t>
  </si>
  <si>
    <t>2055-06-02T23:46:02.462185Z</t>
  </si>
  <si>
    <t>2055-06-03T00:00:57.557674Z</t>
  </si>
  <si>
    <t>2055-06-02T23:29:14.946874Z</t>
  </si>
  <si>
    <t>2055-06-02T23:29:25.394736Z</t>
  </si>
  <si>
    <t>2055-06-02T23:36:33.532912Z</t>
  </si>
  <si>
    <t>2055-06-02T19:46:02.462185Z</t>
  </si>
  <si>
    <t>2055-06-02T20:00:57.557674Z</t>
  </si>
  <si>
    <t>2055-06-02T19:29:14.946874Z</t>
  </si>
  <si>
    <t>2055-06-02T19:36:33.532912Z</t>
  </si>
  <si>
    <t>2055-06-04T13:19:17.227994Z</t>
  </si>
  <si>
    <t>2055-06-04T14:10:47.297Z</t>
  </si>
  <si>
    <t>2055-06-04T13:51:54.297Z</t>
  </si>
  <si>
    <t>2055-06-04T13:52:53.793199Z</t>
  </si>
  <si>
    <t>2055-06-04T13:54:06.617516Z</t>
  </si>
  <si>
    <t>2055-06-04T13:32:14.058077Z</t>
  </si>
  <si>
    <t>2055-06-04T13:32:19.003794Z</t>
  </si>
  <si>
    <t>2055-06-04T13:45:04.289945Z</t>
  </si>
  <si>
    <t>2055-06-04T09:52:53.793199Z</t>
  </si>
  <si>
    <t>2055-06-04T09:54:06.617516Z</t>
  </si>
  <si>
    <t>2055-06-04T09:32:14.058077Z</t>
  </si>
  <si>
    <t>2055-06-04T09:45:04.289945Z</t>
  </si>
  <si>
    <t>2055-06-05T18:45:47.778453Z</t>
  </si>
  <si>
    <t>2055-06-05T19:35:04.906Z</t>
  </si>
  <si>
    <t>2055-06-05T19:23:10.906Z</t>
  </si>
  <si>
    <t>2055-06-05T19:13:49.64073Z</t>
  </si>
  <si>
    <t>2055-06-05T19:24:07.585703Z</t>
  </si>
  <si>
    <t>2055-06-05T19:00:47.297956Z</t>
  </si>
  <si>
    <t>2055-06-05T19:00:51.768487Z</t>
  </si>
  <si>
    <t>2055-06-05T19:08:21.068011Z</t>
  </si>
  <si>
    <t>2055-06-05T15:13:49.64073Z</t>
  </si>
  <si>
    <t>2055-06-05T15:24:07.585703Z</t>
  </si>
  <si>
    <t>2055-06-05T15:00:47.297956Z</t>
  </si>
  <si>
    <t>2055-06-05T15:08:21.068011Z</t>
  </si>
  <si>
    <t>2055-06-09T22:50:11.34937Z</t>
  </si>
  <si>
    <t>2055-06-10T00:10:48.416Z</t>
  </si>
  <si>
    <t>2055-06-09T23:51:55.416Z</t>
  </si>
  <si>
    <t>2055-06-09T23:29:27.279097Z</t>
  </si>
  <si>
    <t>2055-06-09T23:50:45.196663Z</t>
  </si>
  <si>
    <t>2055-06-09T22:52:14.473615Z</t>
  </si>
  <si>
    <t>2055-06-09T22:53:07.361798Z</t>
  </si>
  <si>
    <t>2055-06-09T23:13:32.821936Z</t>
  </si>
  <si>
    <t>2055-06-09T19:29:27.279097Z</t>
  </si>
  <si>
    <t>2055-06-09T19:50:45.196663Z</t>
  </si>
  <si>
    <t>2055-06-09T18:52:14.473615Z</t>
  </si>
  <si>
    <t>2055-06-09T19:13:32.821936Z</t>
  </si>
  <si>
    <t>2055-06-12T23:10:35.775595Z</t>
  </si>
  <si>
    <t>2055-06-13T00:25:03.841Z</t>
  </si>
  <si>
    <t>2055-06-13T00:03:09.841Z</t>
  </si>
  <si>
    <t>2055-06-12T23:46:34.547026Z</t>
  </si>
  <si>
    <t>2055-06-12T23:59:06.413906Z</t>
  </si>
  <si>
    <t>2055-06-12T23:27:16.308614Z</t>
  </si>
  <si>
    <t>2055-06-12T23:27:23.259011Z</t>
  </si>
  <si>
    <t>2055-06-12T23:43:34.407869Z</t>
  </si>
  <si>
    <t>2055-06-12T19:46:34.547026Z</t>
  </si>
  <si>
    <t>2055-06-12T19:59:06.413906Z</t>
  </si>
  <si>
    <t>2055-06-12T19:27:16.308614Z</t>
  </si>
  <si>
    <t>2055-06-12T19:43:34.407869Z</t>
  </si>
  <si>
    <t>2055-06-01T22:18:24.706734Z</t>
  </si>
  <si>
    <t>2055-06-01T23:18:37.773Z</t>
  </si>
  <si>
    <t>2055-06-01T22:58:30.773Z</t>
  </si>
  <si>
    <t>2055-06-01T22:39:17.280087Z</t>
  </si>
  <si>
    <t>2055-06-01T22:53:24.170152Z</t>
  </si>
  <si>
    <t>2055-06-01T22:20:07.380451Z</t>
  </si>
  <si>
    <t>2055-06-01T22:20:39.572708Z</t>
  </si>
  <si>
    <t>2055-06-01T22:34:54.289862Z</t>
  </si>
  <si>
    <t>2055-06-01T18:39:17.280087Z</t>
  </si>
  <si>
    <t>2055-06-01T18:53:24.170152Z</t>
  </si>
  <si>
    <t>2055-06-01T18:20:07.380451Z</t>
  </si>
  <si>
    <t>2055-06-01T18:34:54.289862Z</t>
  </si>
  <si>
    <t>2055-06-08T23:06:52.909204Z</t>
  </si>
  <si>
    <t>2055-06-08T23:46:38.991Z</t>
  </si>
  <si>
    <t>2055-06-08T23:41:59.991Z</t>
  </si>
  <si>
    <t>2055-06-08T23:26:27.905551Z</t>
  </si>
  <si>
    <t>2055-06-08T23:36:23.905828Z</t>
  </si>
  <si>
    <t>2055-06-08T23:14:54.568221Z</t>
  </si>
  <si>
    <t>2055-06-08T23:15:19.507338Z</t>
  </si>
  <si>
    <t>2055-06-08T19:26:27.905551Z</t>
  </si>
  <si>
    <t>2055-06-08T19:36:23.905828Z</t>
  </si>
  <si>
    <t>2055-06-08T19:14:54.568221Z</t>
  </si>
  <si>
    <t>2055-06-03T18:43:00.308625Z</t>
  </si>
  <si>
    <t>2055-06-03T19:41:17.387Z</t>
  </si>
  <si>
    <t>2055-06-03T19:19:23.387Z</t>
  </si>
  <si>
    <t>2055-06-03T19:09:22.964412Z</t>
  </si>
  <si>
    <t>2055-06-03T19:27:12.534686Z</t>
  </si>
  <si>
    <t>2055-06-03T18:55:14.115239Z</t>
  </si>
  <si>
    <t>2055-06-03T18:55:21.728682Z</t>
  </si>
  <si>
    <t>2055-06-03T19:08:25.368037Z</t>
  </si>
  <si>
    <t>2055-06-03T15:09:22.964412Z</t>
  </si>
  <si>
    <t>2055-06-03T15:27:12.534686Z</t>
  </si>
  <si>
    <t>2055-06-03T14:55:14.115239Z</t>
  </si>
  <si>
    <t>2055-06-03T15:08:25.368037Z</t>
  </si>
  <si>
    <t>2055-06-05T23:31:23.383106Z</t>
  </si>
  <si>
    <t>2055-06-06T00:11:23.452Z</t>
  </si>
  <si>
    <t>2055-06-06T00:04:12.452Z</t>
  </si>
  <si>
    <t>2055-06-06T00:01:39.773896Z</t>
  </si>
  <si>
    <t>2055-06-06T00:55:52.764445Z</t>
  </si>
  <si>
    <t>2055-06-05T23:32:27.523459Z</t>
  </si>
  <si>
    <t>2055-06-05T23:33:00.686688Z</t>
  </si>
  <si>
    <t>2055-06-05T23:43:50.21798Z</t>
  </si>
  <si>
    <t>2055-06-05T20:01:39.773896Z</t>
  </si>
  <si>
    <t>2055-06-05T20:55:52.764445Z</t>
  </si>
  <si>
    <t>2055-06-05T19:32:27.523459Z</t>
  </si>
  <si>
    <t>2055-06-05T19:43:50.21798Z</t>
  </si>
  <si>
    <t>2055-06-02T00:56:06.049339Z</t>
  </si>
  <si>
    <t>2055-06-02T01:52:18.104Z</t>
  </si>
  <si>
    <t>2055-06-02T01:47:11.104Z</t>
  </si>
  <si>
    <t>2055-06-02T01:27:14.603873Z</t>
  </si>
  <si>
    <t>2055-06-02T01:35:41.299093Z</t>
  </si>
  <si>
    <t>2055-06-02T01:01:54.610465Z</t>
  </si>
  <si>
    <t>2055-06-02T01:02:01.732632Z</t>
  </si>
  <si>
    <t>2055-06-02T01:12:02.427309Z</t>
  </si>
  <si>
    <t>2055-06-01T21:27:14.603873Z</t>
  </si>
  <si>
    <t>2055-06-01T21:35:41.299093Z</t>
  </si>
  <si>
    <t>2055-06-01T21:01:54.610465Z</t>
  </si>
  <si>
    <t>2055-06-01T21:12:02.427309Z</t>
  </si>
  <si>
    <t>2055-06-02T21:33:57.201277Z</t>
  </si>
  <si>
    <t>2055-06-02T22:28:57.274Z</t>
  </si>
  <si>
    <t>2055-06-02T22:07:03.274Z</t>
  </si>
  <si>
    <t>2055-06-02T21:53:49.05202Z</t>
  </si>
  <si>
    <t>2055-06-02T22:14:50.897386Z</t>
  </si>
  <si>
    <t>2055-06-02T21:34:07.259774Z</t>
  </si>
  <si>
    <t>2055-06-02T21:34:30.7903Z</t>
  </si>
  <si>
    <t>2055-06-02T21:48:20.420574Z</t>
  </si>
  <si>
    <t>2055-06-02T17:53:49.05202Z</t>
  </si>
  <si>
    <t>2055-06-02T18:14:50.897386Z</t>
  </si>
  <si>
    <t>2055-06-02T17:34:07.259774Z</t>
  </si>
  <si>
    <t>2055-06-02T17:48:20.420574Z</t>
  </si>
  <si>
    <t>2055-06-06T15:12:51.590478Z</t>
  </si>
  <si>
    <t>2055-06-06T15:59:20.667Z</t>
  </si>
  <si>
    <t>2055-06-06T15:58:41.667Z</t>
  </si>
  <si>
    <t>2055-06-06T15:27:44.576852Z</t>
  </si>
  <si>
    <t>2055-06-06T15:49:37.005379Z</t>
  </si>
  <si>
    <t>2055-06-06T15:15:07.339564Z</t>
  </si>
  <si>
    <t>2055-06-06T15:15:11.208692Z</t>
  </si>
  <si>
    <t>2055-06-06T15:20:30.331269Z</t>
  </si>
  <si>
    <t>2055-06-06T11:27:44.576852Z</t>
  </si>
  <si>
    <t>2055-06-06T11:49:37.005379Z</t>
  </si>
  <si>
    <t>2055-06-06T11:15:07.339564Z</t>
  </si>
  <si>
    <t>2055-06-06T11:20:30.331269Z</t>
  </si>
  <si>
    <t>2055-06-02T18:10:22.348719Z</t>
  </si>
  <si>
    <t>2055-06-02T19:06:26.416Z</t>
  </si>
  <si>
    <t>2055-06-02T18:46:19.416Z</t>
  </si>
  <si>
    <t>2055-06-02T18:35:34.757549Z</t>
  </si>
  <si>
    <t>2055-06-02T18:50:57.578922Z</t>
  </si>
  <si>
    <t>2055-06-02T18:10:27.247462Z</t>
  </si>
  <si>
    <t>2055-06-02T18:10:35.491771Z</t>
  </si>
  <si>
    <t>2055-06-02T18:33:29.073791Z</t>
  </si>
  <si>
    <t>2055-06-02T14:35:34.757549Z</t>
  </si>
  <si>
    <t>2055-06-02T14:50:57.578922Z</t>
  </si>
  <si>
    <t>2055-06-02T14:10:27.247462Z</t>
  </si>
  <si>
    <t>2055-06-02T14:33:29.073791Z</t>
  </si>
  <si>
    <t>2055-06-03T01:44:23.437307Z</t>
  </si>
  <si>
    <t>2055-06-03T02:54:10.494Z</t>
  </si>
  <si>
    <t>2055-06-03T02:37:16.494Z</t>
  </si>
  <si>
    <t>2055-06-03T02:28:58.150747Z</t>
  </si>
  <si>
    <t>2055-06-03T02:39:27.482248Z</t>
  </si>
  <si>
    <t>2055-06-03T01:44:34.205273Z</t>
  </si>
  <si>
    <t>2055-06-03T01:45:15.523946Z</t>
  </si>
  <si>
    <t>2055-06-03T02:04:26.982984Z</t>
  </si>
  <si>
    <t>2055-06-02T22:28:58.150747Z</t>
  </si>
  <si>
    <t>2055-06-02T22:39:27.482248Z</t>
  </si>
  <si>
    <t>2055-06-02T21:44:34.205273Z</t>
  </si>
  <si>
    <t>2055-06-02T22:04:26.982984Z</t>
  </si>
  <si>
    <t>2055-06-12T16:33:02.779606Z</t>
  </si>
  <si>
    <t>2055-06-12T17:39:17.845Z</t>
  </si>
  <si>
    <t>2055-06-12T17:19:38.845Z</t>
  </si>
  <si>
    <t>2055-06-12T16:52:39.034709Z</t>
  </si>
  <si>
    <t>2055-06-12T17:09:32.44Z</t>
  </si>
  <si>
    <t>2055-06-12T16:33:14.250814Z</t>
  </si>
  <si>
    <t>2055-06-12T16:33:22.476763Z</t>
  </si>
  <si>
    <t>2055-06-12T16:50:18.722284Z</t>
  </si>
  <si>
    <t>2055-06-12T12:52:39.034709Z</t>
  </si>
  <si>
    <t>2055-06-12T13:09:32.44Z</t>
  </si>
  <si>
    <t>2055-06-12T12:33:14.250814Z</t>
  </si>
  <si>
    <t>2055-06-12T12:50:18.722284Z</t>
  </si>
  <si>
    <t>2055-06-03T21:05:18.780374Z</t>
  </si>
  <si>
    <t>2055-06-03T22:11:43.872Z</t>
  </si>
  <si>
    <t>2055-06-03T21:49:49.872Z</t>
  </si>
  <si>
    <t>2055-06-03T21:44:42.495958Z</t>
  </si>
  <si>
    <t>2055-06-03T22:06:14.533977Z</t>
  </si>
  <si>
    <t>2055-06-03T21:11:27.293714Z</t>
  </si>
  <si>
    <t>2055-06-03T21:11:30.191736Z</t>
  </si>
  <si>
    <t>2055-06-03T21:34:43.768855Z</t>
  </si>
  <si>
    <t>2055-06-03T17:44:42.495958Z</t>
  </si>
  <si>
    <t>2055-06-03T18:06:14.533977Z</t>
  </si>
  <si>
    <t>2055-06-03T17:11:27.293714Z</t>
  </si>
  <si>
    <t>2055-06-03T17:34:43.768855Z</t>
  </si>
  <si>
    <t>2055-06-05T23:14:53.836593Z</t>
  </si>
  <si>
    <t>2055-06-06T00:08:52.895Z</t>
  </si>
  <si>
    <t>2055-06-05T23:54:11.895Z</t>
  </si>
  <si>
    <t>2055-06-06T00:02:19.905328Z</t>
  </si>
  <si>
    <t>2055-06-06T00:24:22.150673Z</t>
  </si>
  <si>
    <t>2055-06-05T23:47:37.681427Z</t>
  </si>
  <si>
    <t>2055-06-05T23:47:42.204674Z</t>
  </si>
  <si>
    <t>2055-06-05T23:59:08.28664Z</t>
  </si>
  <si>
    <t>2055-06-05T20:02:19.905328Z</t>
  </si>
  <si>
    <t>2055-06-05T20:24:22.150673Z</t>
  </si>
  <si>
    <t>2055-06-05T19:47:37.681427Z</t>
  </si>
  <si>
    <t>2055-06-05T19:59:08.28664Z</t>
  </si>
  <si>
    <t>2055-06-09T15:15:57.941317Z</t>
  </si>
  <si>
    <t>2055-06-09T16:09:24.996Z</t>
  </si>
  <si>
    <t>2055-06-09T15:54:45.996Z</t>
  </si>
  <si>
    <t>2055-06-09T15:31:30.991949Z</t>
  </si>
  <si>
    <t>2055-06-09T15:34:13.870945Z</t>
  </si>
  <si>
    <t>2055-06-09T15:22:14.604065Z</t>
  </si>
  <si>
    <t>2055-06-09T15:22:37.292906Z</t>
  </si>
  <si>
    <t>2055-06-09T15:22:55.444057Z</t>
  </si>
  <si>
    <t>2055-06-09T11:31:30.991949Z</t>
  </si>
  <si>
    <t>2055-06-09T11:34:13.870945Z</t>
  </si>
  <si>
    <t>2055-06-09T11:22:14.604065Z</t>
  </si>
  <si>
    <t>2055-06-09T11:22:55.444057Z</t>
  </si>
  <si>
    <t>2055-06-05T21:40:18.677135Z</t>
  </si>
  <si>
    <t>2055-06-05T22:26:35.74Z</t>
  </si>
  <si>
    <t>2055-06-05T22:20:56.74Z</t>
  </si>
  <si>
    <t>2055-06-05T22:10:37.904486Z</t>
  </si>
  <si>
    <t>2055-06-05T22:23:01.482473Z</t>
  </si>
  <si>
    <t>2055-06-05T21:40:27.344203Z</t>
  </si>
  <si>
    <t>2055-06-05T21:40:39.402528Z</t>
  </si>
  <si>
    <t>2055-06-05T18:10:37.904486Z</t>
  </si>
  <si>
    <t>2055-06-05T18:23:01.482473Z</t>
  </si>
  <si>
    <t>2055-06-05T17:40:27.344203Z</t>
  </si>
  <si>
    <t>2055-06-03T22:49:15.680561Z</t>
  </si>
  <si>
    <t>2055-06-03T23:44:15.76Z</t>
  </si>
  <si>
    <t>2055-06-03T23:16:12.76Z</t>
  </si>
  <si>
    <t>2055-06-03T23:05:50.077088Z</t>
  </si>
  <si>
    <t>2055-06-03T23:19:10.70115Z</t>
  </si>
  <si>
    <t>2055-06-03T22:49:27.421941Z</t>
  </si>
  <si>
    <t>2055-06-03T22:49:33.055101Z</t>
  </si>
  <si>
    <t>2055-06-03T23:00:43.441369Z</t>
  </si>
  <si>
    <t>2055-06-03T19:05:50.077088Z</t>
  </si>
  <si>
    <t>2055-06-03T19:19:10.70115Z</t>
  </si>
  <si>
    <t>2055-06-03T18:49:27.421941Z</t>
  </si>
  <si>
    <t>2055-06-03T19:00:43.441369Z</t>
  </si>
  <si>
    <t>2055-06-05T00:17:52.002381Z</t>
  </si>
  <si>
    <t>2055-06-05T01:47:39.52Z</t>
  </si>
  <si>
    <t>2055-06-05T01:33:00.52Z</t>
  </si>
  <si>
    <t>2055-06-05T01:08:49.906668Z</t>
  </si>
  <si>
    <t>2055-06-05T01:19:44.288463Z</t>
  </si>
  <si>
    <t>2055-06-05T00:49:55.220654Z</t>
  </si>
  <si>
    <t>2055-06-05T00:49:59.329987Z</t>
  </si>
  <si>
    <t>2055-06-05T01:03:49.739222Z</t>
  </si>
  <si>
    <t>2055-06-04T21:08:49.906668Z</t>
  </si>
  <si>
    <t>2055-06-04T21:19:44.288463Z</t>
  </si>
  <si>
    <t>2055-06-04T20:49:55.220654Z</t>
  </si>
  <si>
    <t>2055-06-04T21:03:49.739222Z</t>
  </si>
  <si>
    <t>2055-06-02T17:11:06.938655Z</t>
  </si>
  <si>
    <t>2055-06-02T17:50:49.996Z</t>
  </si>
  <si>
    <t>2055-06-02T17:45:42.996Z</t>
  </si>
  <si>
    <t>2055-06-02T17:24:31.445022Z</t>
  </si>
  <si>
    <t>2055-06-02T17:51:09.853173Z</t>
  </si>
  <si>
    <t>2055-06-02T17:11:14.111045Z</t>
  </si>
  <si>
    <t>2055-06-02T17:11:24.988889Z</t>
  </si>
  <si>
    <t>2055-06-02T17:19:39.221907Z</t>
  </si>
  <si>
    <t>2055-06-02T13:24:31.445022Z</t>
  </si>
  <si>
    <t>2055-06-02T13:51:09.853173Z</t>
  </si>
  <si>
    <t>2055-06-02T13:11:14.111045Z</t>
  </si>
  <si>
    <t>2055-06-02T13:19:39.221907Z</t>
  </si>
  <si>
    <t>2055-06-02T22:52:30.11468Z</t>
  </si>
  <si>
    <t>2055-06-02T23:30:22.168Z</t>
  </si>
  <si>
    <t>2055-06-02T23:20:43.168Z</t>
  </si>
  <si>
    <t>2055-06-02T23:05:59.107622Z</t>
  </si>
  <si>
    <t>2055-06-02T23:23:26.83806Z</t>
  </si>
  <si>
    <t>2055-06-02T22:54:54.515337Z</t>
  </si>
  <si>
    <t>2055-06-02T22:55:00.523505Z</t>
  </si>
  <si>
    <t>2055-06-02T23:02:33.307945Z</t>
  </si>
  <si>
    <t>2055-06-02T19:05:59.107622Z</t>
  </si>
  <si>
    <t>2055-06-02T19:23:26.83806Z</t>
  </si>
  <si>
    <t>2055-06-02T18:54:54.515337Z</t>
  </si>
  <si>
    <t>2055-06-02T19:02:33.307945Z</t>
  </si>
  <si>
    <t>2055-06-05T18:41:51.44361Z</t>
  </si>
  <si>
    <t>2055-06-05T20:07:44.564Z</t>
  </si>
  <si>
    <t>2055-06-05T19:39:31.564Z</t>
  </si>
  <si>
    <t>2055-06-05T19:50:27.788028Z</t>
  </si>
  <si>
    <t>2055-06-05T20:10:39.864678Z</t>
  </si>
  <si>
    <t>2055-06-05T19:30:27.276476Z</t>
  </si>
  <si>
    <t>2055-06-05T19:30:31.542622Z</t>
  </si>
  <si>
    <t>2055-06-05T19:45:00.835112Z</t>
  </si>
  <si>
    <t>2055-06-05T15:50:27.788028Z</t>
  </si>
  <si>
    <t>2055-06-05T16:10:39.864678Z</t>
  </si>
  <si>
    <t>2055-06-05T15:30:27.276476Z</t>
  </si>
  <si>
    <t>2055-06-05T15:45:00.835112Z</t>
  </si>
  <si>
    <t>2055-06-05T20:27:45.896971Z</t>
  </si>
  <si>
    <t>2055-06-05T21:17:34.975Z</t>
  </si>
  <si>
    <t>2055-06-05T20:58:41.975Z</t>
  </si>
  <si>
    <t>2055-06-05T20:57:32.171076Z</t>
  </si>
  <si>
    <t>2055-06-05T21:02:52.341538Z</t>
  </si>
  <si>
    <t>2055-06-05T20:34:14.302765Z</t>
  </si>
  <si>
    <t>2055-06-05T20:34:19.616436Z</t>
  </si>
  <si>
    <t>2055-06-05T20:56:17.35964Z</t>
  </si>
  <si>
    <t>2055-06-05T16:57:32.171076Z</t>
  </si>
  <si>
    <t>2055-06-05T17:02:52.341538Z</t>
  </si>
  <si>
    <t>2055-06-05T16:34:14.302765Z</t>
  </si>
  <si>
    <t>2055-06-05T16:56:17.35964Z</t>
  </si>
  <si>
    <t>2055-06-07T02:17:48.562338Z</t>
  </si>
  <si>
    <t>2055-06-07T03:05:34.638Z</t>
  </si>
  <si>
    <t>2055-06-07T02:46:41.638Z</t>
  </si>
  <si>
    <t>2055-06-07T02:45:23.775332Z</t>
  </si>
  <si>
    <t>2055-06-07T02:54:55.483521Z</t>
  </si>
  <si>
    <t>2055-06-07T02:23:54.116839Z</t>
  </si>
  <si>
    <t>2055-06-07T02:24:08.573851Z</t>
  </si>
  <si>
    <t>2055-06-07T02:30:07.672931Z</t>
  </si>
  <si>
    <t>2055-06-06T22:45:23.775332Z</t>
  </si>
  <si>
    <t>2055-06-06T22:54:55.483521Z</t>
  </si>
  <si>
    <t>2055-06-06T22:23:54.116839Z</t>
  </si>
  <si>
    <t>2055-06-06T22:30:07.672931Z</t>
  </si>
  <si>
    <t>2055-06-11T12:44:32.340809Z</t>
  </si>
  <si>
    <t>2055-06-11T13:45:00Z</t>
  </si>
  <si>
    <t>2055-06-11T13:04:21.134581Z</t>
  </si>
  <si>
    <t>2055-06-11T13:17:21.225621Z</t>
  </si>
  <si>
    <t>2055-06-11T12:50:54.13488Z</t>
  </si>
  <si>
    <t>2055-06-11T12:51:03.818923Z</t>
  </si>
  <si>
    <t>2055-06-11T12:56:53.354536Z</t>
  </si>
  <si>
    <t>2055-06-11T09:04:21.134581Z</t>
  </si>
  <si>
    <t>2055-06-11T09:17:21.225621Z</t>
  </si>
  <si>
    <t>2055-06-11T08:50:54.13488Z</t>
  </si>
  <si>
    <t>2055-06-11T08:56:53.354536Z</t>
  </si>
  <si>
    <t>2055-06-11T17:21:12.876276Z</t>
  </si>
  <si>
    <t>2055-06-11T18:23:00Z</t>
  </si>
  <si>
    <t>2055-06-11T18:02:53Z</t>
  </si>
  <si>
    <t>2055-06-11T17:36:04.258037Z</t>
  </si>
  <si>
    <t>2055-06-11T17:48:07.522429Z</t>
  </si>
  <si>
    <t>2055-06-11T17:27:54.457288Z</t>
  </si>
  <si>
    <t>2055-06-11T17:28:13.092907Z</t>
  </si>
  <si>
    <t>2055-06-11T17:35:43.847485Z</t>
  </si>
  <si>
    <t>2055-06-11T13:36:04.258037Z</t>
  </si>
  <si>
    <t>2055-06-11T13:48:07.522429Z</t>
  </si>
  <si>
    <t>2055-06-11T13:27:54.457288Z</t>
  </si>
  <si>
    <t>2055-06-11T13:35:43.847485Z</t>
  </si>
  <si>
    <t>2055-06-02T22:39:26.659424Z</t>
  </si>
  <si>
    <t>2055-06-02T23:35:28.748Z</t>
  </si>
  <si>
    <t>2055-06-02T23:13:34.748Z</t>
  </si>
  <si>
    <t>2055-06-02T23:23:19.516061Z</t>
  </si>
  <si>
    <t>2055-06-02T23:36:03.123911Z</t>
  </si>
  <si>
    <t>2055-06-02T23:16:07.3062Z</t>
  </si>
  <si>
    <t>2055-06-02T23:16:21.498868Z</t>
  </si>
  <si>
    <t>2055-06-02T23:20:15.357281Z</t>
  </si>
  <si>
    <t>2055-06-02T19:23:19.516061Z</t>
  </si>
  <si>
    <t>2055-06-02T19:36:03.123911Z</t>
  </si>
  <si>
    <t>2055-06-02T19:16:07.3062Z</t>
  </si>
  <si>
    <t>2055-06-02T19:20:15.357281Z</t>
  </si>
  <si>
    <t>2055-06-04T00:02:12.735486Z</t>
  </si>
  <si>
    <t>2055-06-04T01:01:23.789Z</t>
  </si>
  <si>
    <t>2055-06-04T00:41:16.789Z</t>
  </si>
  <si>
    <t>2055-06-04T00:17:05.149608Z</t>
  </si>
  <si>
    <t>2055-06-04T00:36:52.420865Z</t>
  </si>
  <si>
    <t>2055-06-04T00:04:15.517115Z</t>
  </si>
  <si>
    <t>2055-06-04T00:04:30.636658Z</t>
  </si>
  <si>
    <t>2055-06-04T00:10:12.086592Z</t>
  </si>
  <si>
    <t>2055-06-03T20:17:05.149608Z</t>
  </si>
  <si>
    <t>2055-06-03T20:36:52.420865Z</t>
  </si>
  <si>
    <t>2055-06-03T20:04:15.517115Z</t>
  </si>
  <si>
    <t>2055-06-03T20:10:12.086592Z</t>
  </si>
  <si>
    <t>2055-06-07T23:52:46.443532Z</t>
  </si>
  <si>
    <t>2055-06-08T00:47:46.487Z</t>
  </si>
  <si>
    <t>2055-06-08T00:22:04.487Z</t>
  </si>
  <si>
    <t>2055-06-08T00:10:24.538066Z</t>
  </si>
  <si>
    <t>2055-06-08T00:20:54.840569Z</t>
  </si>
  <si>
    <t>2055-06-07T23:54:27.458353Z</t>
  </si>
  <si>
    <t>2055-06-07T23:54:44.9842Z</t>
  </si>
  <si>
    <t>2055-06-08T00:09:24.183172Z</t>
  </si>
  <si>
    <t>2055-06-07T20:10:24.538066Z</t>
  </si>
  <si>
    <t>2055-06-07T20:20:54.840569Z</t>
  </si>
  <si>
    <t>2055-06-07T19:54:27.458353Z</t>
  </si>
  <si>
    <t>2055-06-07T20:09:24.183172Z</t>
  </si>
  <si>
    <t>2055-06-06T00:56:06.571837Z</t>
  </si>
  <si>
    <t>2055-06-06T02:02:07.636Z</t>
  </si>
  <si>
    <t>2055-06-06T01:52:26.636Z</t>
  </si>
  <si>
    <t>2055-06-06T01:53:47.914004Z</t>
  </si>
  <si>
    <t>2055-06-06T02:07:05.63991Z</t>
  </si>
  <si>
    <t>2055-06-06T01:22:54.119607Z</t>
  </si>
  <si>
    <t>2055-06-06T01:23:09.817121Z</t>
  </si>
  <si>
    <t>2055-06-06T01:35:04.782767Z</t>
  </si>
  <si>
    <t>2055-06-05T21:53:47.914004Z</t>
  </si>
  <si>
    <t>2055-06-05T22:07:05.63991Z</t>
  </si>
  <si>
    <t>2055-06-05T21:22:54.119607Z</t>
  </si>
  <si>
    <t>2055-06-05T21:35:04.782767Z</t>
  </si>
  <si>
    <t>2055-06-05T00:04:01.195479Z</t>
  </si>
  <si>
    <t>2055-06-05T00:56:14.289Z</t>
  </si>
  <si>
    <t>2055-06-05T00:41:07.289Z</t>
  </si>
  <si>
    <t>2055-06-05T00:19:56.733581Z</t>
  </si>
  <si>
    <t>2055-06-05T00:32:53.774093Z</t>
  </si>
  <si>
    <t>2055-06-05T00:06:07.356484Z</t>
  </si>
  <si>
    <t>2055-06-05T00:06:27.107666Z</t>
  </si>
  <si>
    <t>2055-06-05T00:09:46.971724Z</t>
  </si>
  <si>
    <t>2055-06-04T20:19:56.733581Z</t>
  </si>
  <si>
    <t>2055-06-04T20:32:53.774093Z</t>
  </si>
  <si>
    <t>2055-06-04T20:06:07.356484Z</t>
  </si>
  <si>
    <t>2055-06-04T20:09:46.971724Z</t>
  </si>
  <si>
    <t>2055-06-03T17:29:44.673729Z</t>
  </si>
  <si>
    <t>2055-06-03T18:09:44.744Z</t>
  </si>
  <si>
    <t>2055-06-03T18:00:46.744Z</t>
  </si>
  <si>
    <t>2055-06-03T17:45:45.972317Z</t>
  </si>
  <si>
    <t>2055-06-03T17:51:48.454387Z</t>
  </si>
  <si>
    <t>2055-06-03T17:30:07.345483Z</t>
  </si>
  <si>
    <t>2055-06-03T17:30:22.895155Z</t>
  </si>
  <si>
    <t>2055-06-03T13:45:45.972317Z</t>
  </si>
  <si>
    <t>2055-06-03T13:51:48.454387Z</t>
  </si>
  <si>
    <t>2055-06-03T13:30:07.345483Z</t>
  </si>
  <si>
    <t>2055-06-06T23:50:25.244713Z</t>
  </si>
  <si>
    <t>2055-06-07T00:48:11.542Z</t>
  </si>
  <si>
    <t>2055-06-07T00:42:32.542Z</t>
  </si>
  <si>
    <t>2055-06-07T00:09:14.160818Z</t>
  </si>
  <si>
    <t>2055-06-07T00:30:05.071501Z</t>
  </si>
  <si>
    <t>2055-06-06T23:50:47.414758Z</t>
  </si>
  <si>
    <t>2055-06-06T23:50:51.169458Z</t>
  </si>
  <si>
    <t>2055-06-07T00:04:33.73244Z</t>
  </si>
  <si>
    <t>2055-06-06T20:09:14.160818Z</t>
  </si>
  <si>
    <t>2055-06-06T20:30:05.071501Z</t>
  </si>
  <si>
    <t>2055-06-06T19:50:47.414758Z</t>
  </si>
  <si>
    <t>2055-06-06T20:04:33.73244Z</t>
  </si>
  <si>
    <t>2055-06-08T18:19:22.305489Z</t>
  </si>
  <si>
    <t>2055-06-08T19:09:22.385Z</t>
  </si>
  <si>
    <t>2055-06-08T18:51:37.385Z</t>
  </si>
  <si>
    <t>2055-06-08T18:32:38.724814Z</t>
  </si>
  <si>
    <t>2055-06-08T19:02:24.709119Z</t>
  </si>
  <si>
    <t>2055-06-08T18:19:27.301258Z</t>
  </si>
  <si>
    <t>2055-06-08T18:20:22.95726Z</t>
  </si>
  <si>
    <t>2055-06-08T18:23:29.360967Z</t>
  </si>
  <si>
    <t>2055-06-08T14:32:38.724814Z</t>
  </si>
  <si>
    <t>2055-06-08T15:02:24.709119Z</t>
  </si>
  <si>
    <t>2055-06-08T14:19:27.301258Z</t>
  </si>
  <si>
    <t>2055-06-08T14:23:29.360967Z</t>
  </si>
  <si>
    <t>2055-06-01T21:58:52.082656Z</t>
  </si>
  <si>
    <t>2055-06-01T22:59:13.15Z</t>
  </si>
  <si>
    <t>2055-06-01T22:40:20.15Z</t>
  </si>
  <si>
    <t>2055-06-01T22:20:43.407728Z</t>
  </si>
  <si>
    <t>2055-06-01T22:44:26.305127Z</t>
  </si>
  <si>
    <t>2055-06-01T21:59:07.435964Z</t>
  </si>
  <si>
    <t>2055-06-01T21:59:23.162035Z</t>
  </si>
  <si>
    <t>2055-06-01T22:12:44.958502Z</t>
  </si>
  <si>
    <t>2055-06-01T18:20:43.407728Z</t>
  </si>
  <si>
    <t>2055-06-01T18:44:26.305127Z</t>
  </si>
  <si>
    <t>2055-06-01T17:59:07.435964Z</t>
  </si>
  <si>
    <t>2055-06-01T18:12:44.958502Z</t>
  </si>
  <si>
    <t>2055-06-05T23:45:32.672212Z</t>
  </si>
  <si>
    <t>2055-06-06T01:05:14.746Z</t>
  </si>
  <si>
    <t>2055-06-06T00:37:01.746Z</t>
  </si>
  <si>
    <t>2055-06-06T00:06:09.770829Z</t>
  </si>
  <si>
    <t>2055-06-06T00:19:33.484181Z</t>
  </si>
  <si>
    <t>2055-06-05T23:46:07.690633Z</t>
  </si>
  <si>
    <t>2055-06-05T23:46:10.389521Z</t>
  </si>
  <si>
    <t>2055-06-06T00:02:05.661585Z</t>
  </si>
  <si>
    <t>2055-06-05T20:06:09.770829Z</t>
  </si>
  <si>
    <t>2055-06-05T20:19:33.484181Z</t>
  </si>
  <si>
    <t>2055-06-05T19:46:07.690633Z</t>
  </si>
  <si>
    <t>2055-06-05T20:02:05.661585Z</t>
  </si>
  <si>
    <t>2055-06-11T00:05:35.487131Z</t>
  </si>
  <si>
    <t>2055-06-11T01:14:08.539Z</t>
  </si>
  <si>
    <t>2055-06-11T00:54:01.539Z</t>
  </si>
  <si>
    <t>2055-06-11T01:26:46.757609Z</t>
  </si>
  <si>
    <t>2055-06-11T01:41:46.91225Z</t>
  </si>
  <si>
    <t>2055-06-11T00:52:34.16016Z</t>
  </si>
  <si>
    <t>2055-06-11T00:52:41.585202Z</t>
  </si>
  <si>
    <t>2055-06-10T21:26:46.757609Z</t>
  </si>
  <si>
    <t>2055-06-10T21:41:46.91225Z</t>
  </si>
  <si>
    <t>2055-06-10T20:52:34.16016Z</t>
  </si>
  <si>
    <t>2055-06-01T06:53:46.825653Z</t>
  </si>
  <si>
    <t>2055-06-01T16:45:00Z</t>
  </si>
  <si>
    <t>2055-06-01T16:15:34.330837Z</t>
  </si>
  <si>
    <t>2055-06-01T16:30:49.22208Z</t>
  </si>
  <si>
    <t>2055-06-01T15:52:27.241964Z</t>
  </si>
  <si>
    <t>2055-06-01T15:52:41.635329Z</t>
  </si>
  <si>
    <t>2055-06-01T16:12:42.314423Z</t>
  </si>
  <si>
    <t>2055-06-01T12:15:34.330837Z</t>
  </si>
  <si>
    <t>2055-06-01T12:30:49.22208Z</t>
  </si>
  <si>
    <t>2055-06-01T11:52:27.241964Z</t>
  </si>
  <si>
    <t>2055-06-01T12:12:42.314423Z</t>
  </si>
  <si>
    <t>2055-06-04T19:49:33.47858Z</t>
  </si>
  <si>
    <t>2055-06-04T20:44:07.56Z</t>
  </si>
  <si>
    <t>2055-06-04T20:32:13.56Z</t>
  </si>
  <si>
    <t>2055-06-04T20:13:17.659159Z</t>
  </si>
  <si>
    <t>2055-06-04T20:27:54.072061Z</t>
  </si>
  <si>
    <t>2055-06-04T19:53:07.34161Z</t>
  </si>
  <si>
    <t>2055-06-04T19:54:16.775138Z</t>
  </si>
  <si>
    <t>2055-06-04T20:11:17.894457Z</t>
  </si>
  <si>
    <t>2055-06-04T16:13:17.659159Z</t>
  </si>
  <si>
    <t>2055-06-04T16:27:54.072061Z</t>
  </si>
  <si>
    <t>2055-06-04T15:53:07.34161Z</t>
  </si>
  <si>
    <t>2055-06-04T16:11:17.894457Z</t>
  </si>
  <si>
    <t>2055-06-02T21:42:22.685825Z</t>
  </si>
  <si>
    <t>2055-06-02T22:36:00.796Z</t>
  </si>
  <si>
    <t>2055-06-02T22:15:53.796Z</t>
  </si>
  <si>
    <t>2055-06-02T22:01:19.761383Z</t>
  </si>
  <si>
    <t>2055-06-02T22:21:03.682081Z</t>
  </si>
  <si>
    <t>2055-06-02T21:46:34.212387Z</t>
  </si>
  <si>
    <t>2055-06-02T21:46:37.166705Z</t>
  </si>
  <si>
    <t>2055-06-02T21:55:59.947013Z</t>
  </si>
  <si>
    <t>2055-06-02T18:01:19.761383Z</t>
  </si>
  <si>
    <t>2055-06-02T18:21:03.682081Z</t>
  </si>
  <si>
    <t>2055-06-02T17:46:34.212387Z</t>
  </si>
  <si>
    <t>2055-06-02T17:55:59.947013Z</t>
  </si>
  <si>
    <t>2055-06-03T14:34:56.571361Z</t>
  </si>
  <si>
    <t>2055-06-03T15:11:06.652Z</t>
  </si>
  <si>
    <t>2055-06-03T15:04:12.652Z</t>
  </si>
  <si>
    <t>2055-06-03T14:51:40.310236Z</t>
  </si>
  <si>
    <t>2055-06-03T14:59:56.669739Z</t>
  </si>
  <si>
    <t>2055-06-03T14:40:54.171877Z</t>
  </si>
  <si>
    <t>2055-06-03T14:40:58.195111Z</t>
  </si>
  <si>
    <t>2055-06-03T14:49:10.722225Z</t>
  </si>
  <si>
    <t>2055-06-03T10:51:40.310236Z</t>
  </si>
  <si>
    <t>2055-06-03T10:59:56.669739Z</t>
  </si>
  <si>
    <t>2055-06-03T10:40:54.171877Z</t>
  </si>
  <si>
    <t>2055-06-03T10:49:10.722225Z</t>
  </si>
  <si>
    <t>2055-06-03T15:47:43.586397Z</t>
  </si>
  <si>
    <t>2055-06-03T16:41:27.653Z</t>
  </si>
  <si>
    <t>2055-06-03T16:21:48.653Z</t>
  </si>
  <si>
    <t>2055-06-03T16:21:37.866637Z</t>
  </si>
  <si>
    <t>2055-06-03T16:38:03.826497Z</t>
  </si>
  <si>
    <t>2055-06-03T15:47:54.146587Z</t>
  </si>
  <si>
    <t>2055-06-03T15:48:19.013286Z</t>
  </si>
  <si>
    <t>2055-06-03T15:49:07.06351Z</t>
  </si>
  <si>
    <t>2055-06-03T12:21:37.866637Z</t>
  </si>
  <si>
    <t>2055-06-03T12:38:03.826497Z</t>
  </si>
  <si>
    <t>2055-06-03T11:47:54.146587Z</t>
  </si>
  <si>
    <t>2055-06-03T11:49:07.06351Z</t>
  </si>
  <si>
    <t>2055-06-04T13:23:01.478441Z</t>
  </si>
  <si>
    <t>2055-06-04T14:45:00Z</t>
  </si>
  <si>
    <t>2055-06-04T14:18:30.085063Z</t>
  </si>
  <si>
    <t>2055-06-04T14:33:43.393815Z</t>
  </si>
  <si>
    <t>2055-06-04T13:45:54.215449Z</t>
  </si>
  <si>
    <t>2055-06-04T13:45:59.89498Z</t>
  </si>
  <si>
    <t>2055-06-04T14:11:55.775619Z</t>
  </si>
  <si>
    <t>2055-06-04T10:18:30.085063Z</t>
  </si>
  <si>
    <t>2055-06-04T10:33:43.393815Z</t>
  </si>
  <si>
    <t>2055-06-04T09:45:54.215449Z</t>
  </si>
  <si>
    <t>2055-06-04T10:11:55.775619Z</t>
  </si>
  <si>
    <t>2055-06-07T17:57:08.932166Z</t>
  </si>
  <si>
    <t>2055-06-07T18:49:29.013Z</t>
  </si>
  <si>
    <t>2055-06-07T18:29:50.013Z</t>
  </si>
  <si>
    <t>2055-06-07T18:31:38.397457Z</t>
  </si>
  <si>
    <t>2055-06-07T18:39:46.779404Z</t>
  </si>
  <si>
    <t>2055-06-07T18:05:14.187716Z</t>
  </si>
  <si>
    <t>2055-06-07T18:05:23.704097Z</t>
  </si>
  <si>
    <t>2055-06-07T18:30:17.137123Z</t>
  </si>
  <si>
    <t>2055-06-07T14:31:38.397457Z</t>
  </si>
  <si>
    <t>2055-06-07T14:39:46.779404Z</t>
  </si>
  <si>
    <t>2055-06-07T14:05:14.187716Z</t>
  </si>
  <si>
    <t>2055-06-07T14:30:17.137123Z</t>
  </si>
  <si>
    <t>2055-06-13T19:38:36.32012Z</t>
  </si>
  <si>
    <t>2055-06-13T20:23:06.391Z</t>
  </si>
  <si>
    <t>2055-06-13T20:04:13.391Z</t>
  </si>
  <si>
    <t>2055-06-13T19:56:28.932087Z</t>
  </si>
  <si>
    <t>2055-06-13T20:07:18.128901Z</t>
  </si>
  <si>
    <t>2055-06-13T19:44:54.143424Z</t>
  </si>
  <si>
    <t>2055-06-13T19:45:28.030215Z</t>
  </si>
  <si>
    <t>2055-06-13T19:54:07.711306Z</t>
  </si>
  <si>
    <t>2055-06-13T15:56:28.932087Z</t>
  </si>
  <si>
    <t>2055-06-13T16:07:18.128901Z</t>
  </si>
  <si>
    <t>2055-06-13T15:44:54.143424Z</t>
  </si>
  <si>
    <t>2055-06-13T15:54:07.711306Z</t>
  </si>
  <si>
    <t>2055-06-01T23:51:51.792656Z</t>
  </si>
  <si>
    <t>2055-06-02T00:48:54.846Z</t>
  </si>
  <si>
    <t>2055-06-02T00:28:47.846Z</t>
  </si>
  <si>
    <t>2055-06-02T00:14:07.951603Z</t>
  </si>
  <si>
    <t>2055-06-02T00:38:35.361004Z</t>
  </si>
  <si>
    <t>2055-06-01T23:58:54.789259Z</t>
  </si>
  <si>
    <t>2055-06-01T23:59:25.282718Z</t>
  </si>
  <si>
    <t>2055-06-02T00:07:56.314045Z</t>
  </si>
  <si>
    <t>2055-06-01T20:14:07.951603Z</t>
  </si>
  <si>
    <t>2055-06-01T20:38:35.361004Z</t>
  </si>
  <si>
    <t>2055-06-01T19:58:54.789259Z</t>
  </si>
  <si>
    <t>2055-06-01T20:07:56.314045Z</t>
  </si>
  <si>
    <t>2055-06-01T23:41:08.260105Z</t>
  </si>
  <si>
    <t>2055-06-02T00:33:57.31Z</t>
  </si>
  <si>
    <t>2055-06-02T00:18:50.31Z</t>
  </si>
  <si>
    <t>2055-06-01T23:53:46.787597Z</t>
  </si>
  <si>
    <t>2055-06-02T00:05:34.148141Z</t>
  </si>
  <si>
    <t>2055-06-01T23:45:35.532425Z</t>
  </si>
  <si>
    <t>2055-06-01T23:45:47.536481Z</t>
  </si>
  <si>
    <t>2055-06-01T23:48:26.492899Z</t>
  </si>
  <si>
    <t>2055-06-01T19:53:46.787597Z</t>
  </si>
  <si>
    <t>2055-06-01T20:05:34.148141Z</t>
  </si>
  <si>
    <t>2055-06-01T19:45:35.532425Z</t>
  </si>
  <si>
    <t>2055-06-01T19:48:26.492899Z</t>
  </si>
  <si>
    <t>2055-06-02T16:51:08.291978Z</t>
  </si>
  <si>
    <t>2055-06-02T17:53:04.462Z</t>
  </si>
  <si>
    <t>2055-06-02T17:32:57.462Z</t>
  </si>
  <si>
    <t>2055-06-02T17:22:43.836723Z</t>
  </si>
  <si>
    <t>2055-06-02T17:36:43.367939Z</t>
  </si>
  <si>
    <t>2055-06-02T17:00:54.824246Z</t>
  </si>
  <si>
    <t>2055-06-02T17:01:42.184983Z</t>
  </si>
  <si>
    <t>2055-06-02T13:22:43.836723Z</t>
  </si>
  <si>
    <t>2055-06-02T13:36:43.367939Z</t>
  </si>
  <si>
    <t>2055-06-02T13:00:54.824246Z</t>
  </si>
  <si>
    <t>2055-06-02T18:11:42.164724Z</t>
  </si>
  <si>
    <t>2055-06-02T21:30:00Z</t>
  </si>
  <si>
    <t>2055-06-02T21:15:27.774391Z</t>
  </si>
  <si>
    <t>2055-06-02T21:31:26.71066Z</t>
  </si>
  <si>
    <t>2055-06-02T20:47:47.269175Z</t>
  </si>
  <si>
    <t>2055-06-02T20:47:52.40612Z</t>
  </si>
  <si>
    <t>2055-06-02T21:13:08.551824Z</t>
  </si>
  <si>
    <t>2055-06-02T17:15:27.774391Z</t>
  </si>
  <si>
    <t>2055-06-02T17:31:26.71066Z</t>
  </si>
  <si>
    <t>2055-06-02T16:47:47.269175Z</t>
  </si>
  <si>
    <t>2055-06-02T17:13:08.551824Z</t>
  </si>
  <si>
    <t>2055-06-02T19:46:57.918566Z</t>
  </si>
  <si>
    <t>2055-06-02T20:41:57.999Z</t>
  </si>
  <si>
    <t>2055-06-02T20:17:43.999Z</t>
  </si>
  <si>
    <t>2055-06-02T20:04:31.85339Z</t>
  </si>
  <si>
    <t>2055-06-02T20:31:14.995759Z</t>
  </si>
  <si>
    <t>2055-06-02T19:47:07.281974Z</t>
  </si>
  <si>
    <t>2055-06-02T19:47:12.333207Z</t>
  </si>
  <si>
    <t>2055-06-02T20:05:07.653358Z</t>
  </si>
  <si>
    <t>2055-06-02T16:04:31.85339Z</t>
  </si>
  <si>
    <t>2055-06-02T16:31:14.995759Z</t>
  </si>
  <si>
    <t>2055-06-02T15:47:07.281974Z</t>
  </si>
  <si>
    <t>2055-06-02T16:05:07.653358Z</t>
  </si>
  <si>
    <t>2055-06-03T00:33:41.068334Z</t>
  </si>
  <si>
    <t>2055-06-03T01:35:35.211Z</t>
  </si>
  <si>
    <t>2055-06-03T01:15:28.211Z</t>
  </si>
  <si>
    <t>2055-06-03T01:04:32.444148Z</t>
  </si>
  <si>
    <t>2055-06-03T01:22:09.867017Z</t>
  </si>
  <si>
    <t>2055-06-03T00:33:54.960579Z</t>
  </si>
  <si>
    <t>2055-06-03T00:33:58.073138Z</t>
  </si>
  <si>
    <t>2055-06-03T00:46:52.359848Z</t>
  </si>
  <si>
    <t>2055-06-02T21:04:32.444148Z</t>
  </si>
  <si>
    <t>2055-06-02T21:22:09.867017Z</t>
  </si>
  <si>
    <t>2055-06-02T20:33:54.960579Z</t>
  </si>
  <si>
    <t>2055-06-02T20:46:52.359848Z</t>
  </si>
  <si>
    <t>2055-06-07T21:38:44.95522Z</t>
  </si>
  <si>
    <t>2055-06-07T22:30:13.766Z</t>
  </si>
  <si>
    <t>2055-06-07T22:11:20.766Z</t>
  </si>
  <si>
    <t>2055-06-07T22:00:01.520383Z</t>
  </si>
  <si>
    <t>2055-06-07T22:13:59.816017Z</t>
  </si>
  <si>
    <t>2055-06-07T21:42:54.240344Z</t>
  </si>
  <si>
    <t>2055-06-07T21:43:04.473798Z</t>
  </si>
  <si>
    <t>2055-06-07T21:49:53.058815Z</t>
  </si>
  <si>
    <t>2055-06-07T18:00:01.520383Z</t>
  </si>
  <si>
    <t>2055-06-07T18:13:59.816017Z</t>
  </si>
  <si>
    <t>2055-06-07T17:42:54.240344Z</t>
  </si>
  <si>
    <t>2055-06-07T17:49:53.058815Z</t>
  </si>
  <si>
    <t>2055-06-01T15:08:49.133232Z</t>
  </si>
  <si>
    <t>2055-06-01T16:00:24.193Z</t>
  </si>
  <si>
    <t>2055-06-01T15:56:31.193Z</t>
  </si>
  <si>
    <t>2055-06-01T15:28:53.277388Z</t>
  </si>
  <si>
    <t>2055-06-01T15:52:13.077682Z</t>
  </si>
  <si>
    <t>2055-06-01T15:09:07.245574Z</t>
  </si>
  <si>
    <t>2055-06-01T15:09:40.024803Z</t>
  </si>
  <si>
    <t>2055-06-01T11:28:53.277388Z</t>
  </si>
  <si>
    <t>2055-06-01T11:52:13.077682Z</t>
  </si>
  <si>
    <t>2055-06-01T11:09:07.245574Z</t>
  </si>
  <si>
    <t>2055-06-02T19:59:56.800228Z</t>
  </si>
  <si>
    <t>2055-06-02T20:54:56.865Z</t>
  </si>
  <si>
    <t>2055-06-02T20:33:07.865Z</t>
  </si>
  <si>
    <t>2055-06-02T20:27:18.926547Z</t>
  </si>
  <si>
    <t>2055-06-02T20:47:32.485701Z</t>
  </si>
  <si>
    <t>2055-06-02T20:06:27.24627Z</t>
  </si>
  <si>
    <t>2055-06-02T20:06:36.074923Z</t>
  </si>
  <si>
    <t>2055-06-02T20:27:13.330357Z</t>
  </si>
  <si>
    <t>2055-06-02T16:27:18.926547Z</t>
  </si>
  <si>
    <t>2055-06-02T16:47:32.485701Z</t>
  </si>
  <si>
    <t>2055-06-02T16:06:27.24627Z</t>
  </si>
  <si>
    <t>2055-06-02T16:27:13.330357Z</t>
  </si>
  <si>
    <t>2055-06-03T21:47:53.215933Z</t>
  </si>
  <si>
    <t>2055-06-03T22:40:11.311Z</t>
  </si>
  <si>
    <t>2055-06-03T22:21:18.311Z</t>
  </si>
  <si>
    <t>2055-06-03T22:16:03.790421Z</t>
  </si>
  <si>
    <t>2055-06-03T22:36:16.190027Z</t>
  </si>
  <si>
    <t>2055-06-03T21:54:14.443978Z</t>
  </si>
  <si>
    <t>2055-06-03T21:54:25.422981Z</t>
  </si>
  <si>
    <t>2055-06-03T22:13:37.280283Z</t>
  </si>
  <si>
    <t>2055-06-03T18:16:03.790421Z</t>
  </si>
  <si>
    <t>2055-06-03T18:36:16.190027Z</t>
  </si>
  <si>
    <t>2055-06-03T17:54:14.443978Z</t>
  </si>
  <si>
    <t>2055-06-03T18:13:37.280283Z</t>
  </si>
  <si>
    <t>2055-06-08T17:28:10.712209Z</t>
  </si>
  <si>
    <t>2055-06-08T18:23:43.819Z</t>
  </si>
  <si>
    <t>2055-06-08T18:03:36.819Z</t>
  </si>
  <si>
    <t>2055-06-08T17:47:27.291557Z</t>
  </si>
  <si>
    <t>2055-06-08T17:57:00.715329Z</t>
  </si>
  <si>
    <t>2055-06-08T17:28:27.250652Z</t>
  </si>
  <si>
    <t>2055-06-08T17:28:32.84279Z</t>
  </si>
  <si>
    <t>2055-06-08T17:45:52.007864Z</t>
  </si>
  <si>
    <t>2055-06-08T13:47:27.291557Z</t>
  </si>
  <si>
    <t>2055-06-08T13:57:00.715329Z</t>
  </si>
  <si>
    <t>2055-06-08T13:28:27.250652Z</t>
  </si>
  <si>
    <t>2055-06-08T13:45:52.007864Z</t>
  </si>
  <si>
    <t>2055-06-10T15:52:43.536934Z</t>
  </si>
  <si>
    <t>2055-06-10T16:24:51.605Z</t>
  </si>
  <si>
    <t>2055-06-10T16:15:58.605Z</t>
  </si>
  <si>
    <t>2055-06-10T15:58:24.46936Z</t>
  </si>
  <si>
    <t>2055-06-10T16:12:00.907254Z</t>
  </si>
  <si>
    <t>2055-06-10T15:52:54.124648Z</t>
  </si>
  <si>
    <t>2055-06-10T15:53:09.907532Z</t>
  </si>
  <si>
    <t>2055-06-10T15:53:14.794985Z</t>
  </si>
  <si>
    <t>2055-06-10T11:58:24.46936Z</t>
  </si>
  <si>
    <t>2055-06-10T12:12:00.907254Z</t>
  </si>
  <si>
    <t>2055-06-10T11:52:54.124648Z</t>
  </si>
  <si>
    <t>2055-06-10T11:53:14.794985Z</t>
  </si>
  <si>
    <t>2055-06-04T20:54:59.282676Z</t>
  </si>
  <si>
    <t>2055-06-04T21:41:54.374Z</t>
  </si>
  <si>
    <t>2055-06-04T21:36:47.374Z</t>
  </si>
  <si>
    <t>2055-06-04T21:08:56.645565Z</t>
  </si>
  <si>
    <t>2055-06-04T21:30:29.242163Z</t>
  </si>
  <si>
    <t>2055-06-04T20:55:07.338231Z</t>
  </si>
  <si>
    <t>2055-06-04T20:55:10.85266Z</t>
  </si>
  <si>
    <t>2055-06-04T21:00:52.994989Z</t>
  </si>
  <si>
    <t>2055-06-04T17:08:56.645565Z</t>
  </si>
  <si>
    <t>2055-06-04T17:30:29.242163Z</t>
  </si>
  <si>
    <t>2055-06-04T16:55:07.338231Z</t>
  </si>
  <si>
    <t>2055-06-04T17:00:52.994989Z</t>
  </si>
  <si>
    <t>2055-06-03T23:19:26.104198Z</t>
  </si>
  <si>
    <t>2055-06-04T00:08:37.148Z</t>
  </si>
  <si>
    <t>2055-06-03T23:54:44.148Z</t>
  </si>
  <si>
    <t>2055-06-03T23:40:55.004274Z</t>
  </si>
  <si>
    <t>2055-06-03T23:53:16.06369Z</t>
  </si>
  <si>
    <t>2055-06-03T23:19:35.211559Z</t>
  </si>
  <si>
    <t>2055-06-03T23:19:46.877692Z</t>
  </si>
  <si>
    <t>2055-06-03T23:33:26.885487Z</t>
  </si>
  <si>
    <t>2055-06-03T19:40:55.004274Z</t>
  </si>
  <si>
    <t>2055-06-03T19:53:16.06369Z</t>
  </si>
  <si>
    <t>2055-06-03T19:19:35.211559Z</t>
  </si>
  <si>
    <t>2055-06-03T19:33:26.885487Z</t>
  </si>
  <si>
    <t>2055-06-07T21:55:45.711574Z</t>
  </si>
  <si>
    <t>2055-06-07T22:35:45.766Z</t>
  </si>
  <si>
    <t>2055-06-07T22:28:01.766Z</t>
  </si>
  <si>
    <t>2055-06-07T22:10:45.174568Z</t>
  </si>
  <si>
    <t>2055-06-07T22:31:11.31007Z</t>
  </si>
  <si>
    <t>2055-06-07T21:56:07.350716Z</t>
  </si>
  <si>
    <t>2055-06-07T21:56:23.6454Z</t>
  </si>
  <si>
    <t>2055-06-07T22:02:04.199975Z</t>
  </si>
  <si>
    <t>2055-06-07T18:10:45.174568Z</t>
  </si>
  <si>
    <t>2055-06-07T18:31:11.31007Z</t>
  </si>
  <si>
    <t>2055-06-07T17:56:07.350716Z</t>
  </si>
  <si>
    <t>2055-06-07T18:02:04.199975Z</t>
  </si>
  <si>
    <t>2055-06-05T20:04:50.762761Z</t>
  </si>
  <si>
    <t>2055-06-05T21:21:40.84Z</t>
  </si>
  <si>
    <t>2055-06-05T21:03:27.84Z</t>
  </si>
  <si>
    <t>2055-06-05T20:32:21.663025Z</t>
  </si>
  <si>
    <t>2055-06-05T20:52:52.670871Z</t>
  </si>
  <si>
    <t>2055-06-05T20:19:07.334257Z</t>
  </si>
  <si>
    <t>2055-06-05T20:19:10.936592Z</t>
  </si>
  <si>
    <t>2055-06-05T20:31:40.654616Z</t>
  </si>
  <si>
    <t>2055-06-05T16:32:21.663025Z</t>
  </si>
  <si>
    <t>2055-06-05T16:52:52.670871Z</t>
  </si>
  <si>
    <t>2055-06-05T16:19:07.334257Z</t>
  </si>
  <si>
    <t>2055-06-05T16:31:40.654616Z</t>
  </si>
  <si>
    <t>2055-06-05T18:15:17.019606Z</t>
  </si>
  <si>
    <t>2055-06-05T19:13:36.15Z</t>
  </si>
  <si>
    <t>2055-06-05T18:53:29.15Z</t>
  </si>
  <si>
    <t>2055-06-05T19:21:15.625929Z</t>
  </si>
  <si>
    <t>2055-06-05T19:27:26.68498Z</t>
  </si>
  <si>
    <t>2055-06-05T18:45:27.310829Z</t>
  </si>
  <si>
    <t>2055-06-05T18:45:50.105229Z</t>
  </si>
  <si>
    <t>2055-06-05T19:08:34.106827Z</t>
  </si>
  <si>
    <t>2055-06-05T15:21:15.625929Z</t>
  </si>
  <si>
    <t>2055-06-05T15:27:26.68498Z</t>
  </si>
  <si>
    <t>2055-06-05T14:45:27.310829Z</t>
  </si>
  <si>
    <t>2055-06-05T15:08:34.106827Z</t>
  </si>
  <si>
    <t>2055-06-05T00:10:27.482982Z</t>
  </si>
  <si>
    <t>2055-06-05T01:01:36.54Z</t>
  </si>
  <si>
    <t>2055-06-05T00:49:42.54Z</t>
  </si>
  <si>
    <t>2055-06-05T00:43:15.998108Z</t>
  </si>
  <si>
    <t>2055-06-05T01:08:55.390887Z</t>
  </si>
  <si>
    <t>2055-06-05T00:21:07.48089Z</t>
  </si>
  <si>
    <t>2055-06-05T00:21:13.717078Z</t>
  </si>
  <si>
    <t>2055-06-05T00:38:06.417128Z</t>
  </si>
  <si>
    <t>2055-06-04T20:43:15.998108Z</t>
  </si>
  <si>
    <t>2055-06-04T21:08:55.390887Z</t>
  </si>
  <si>
    <t>2055-06-04T20:21:07.48089Z</t>
  </si>
  <si>
    <t>2055-06-04T20:38:06.417128Z</t>
  </si>
  <si>
    <t>2055-06-06T21:32:55.542462Z</t>
  </si>
  <si>
    <t>2055-06-06T22:08:40.606Z</t>
  </si>
  <si>
    <t>2055-06-06T22:04:47.606Z</t>
  </si>
  <si>
    <t>2055-06-06T22:00:47.135232Z</t>
  </si>
  <si>
    <t>2055-06-06T22:16:52.774611Z</t>
  </si>
  <si>
    <t>2055-06-06T21:39:14.332831Z</t>
  </si>
  <si>
    <t>2055-06-06T21:39:47.871867Z</t>
  </si>
  <si>
    <t>2055-06-06T21:56:51.601916Z</t>
  </si>
  <si>
    <t>2055-06-06T18:00:47.135232Z</t>
  </si>
  <si>
    <t>2055-06-06T18:16:52.774611Z</t>
  </si>
  <si>
    <t>2055-06-06T17:39:14.332831Z</t>
  </si>
  <si>
    <t>2055-06-06T17:56:51.601916Z</t>
  </si>
  <si>
    <t>2055-06-07T18:05:34.395439Z</t>
  </si>
  <si>
    <t>2055-06-07T19:08:24.465Z</t>
  </si>
  <si>
    <t>2055-06-07T18:45:06.465Z</t>
  </si>
  <si>
    <t>2055-06-07T18:31:48.175246Z</t>
  </si>
  <si>
    <t>2055-06-07T18:43:24.524479Z</t>
  </si>
  <si>
    <t>2055-06-07T18:05:54.111212Z</t>
  </si>
  <si>
    <t>2055-06-07T18:06:05.667311Z</t>
  </si>
  <si>
    <t>2055-06-07T18:30:17.823696Z</t>
  </si>
  <si>
    <t>2055-06-07T14:31:48.175246Z</t>
  </si>
  <si>
    <t>2055-06-07T14:43:24.524479Z</t>
  </si>
  <si>
    <t>2055-06-07T14:05:54.111212Z</t>
  </si>
  <si>
    <t>2055-06-07T14:30:17.823696Z</t>
  </si>
  <si>
    <t>2055-06-07T23:36:03.172919Z</t>
  </si>
  <si>
    <t>2055-06-08T00:31:03.229Z</t>
  </si>
  <si>
    <t>2055-06-08T00:10:54.229Z</t>
  </si>
  <si>
    <t>2055-06-07T23:56:16.381947Z</t>
  </si>
  <si>
    <t>2055-06-08T00:02:48.849521Z</t>
  </si>
  <si>
    <t>2055-06-07T23:45:07.543006Z</t>
  </si>
  <si>
    <t>2055-06-07T23:45:09.975281Z</t>
  </si>
  <si>
    <t>2055-06-07T23:55:00.595428Z</t>
  </si>
  <si>
    <t>2055-06-07T19:56:16.381947Z</t>
  </si>
  <si>
    <t>2055-06-07T20:02:48.849521Z</t>
  </si>
  <si>
    <t>2055-06-07T19:45:07.543006Z</t>
  </si>
  <si>
    <t>2055-06-07T19:55:00.595428Z</t>
  </si>
  <si>
    <t>2055-06-08T14:29:34.162721Z</t>
  </si>
  <si>
    <t>2055-06-08T16:15:00Z</t>
  </si>
  <si>
    <t>2055-06-08T15:46:48.278514Z</t>
  </si>
  <si>
    <t>2055-06-08T15:54:29.631741Z</t>
  </si>
  <si>
    <t>2055-06-08T15:15:14.247683Z</t>
  </si>
  <si>
    <t>2055-06-08T15:16:01.129451Z</t>
  </si>
  <si>
    <t>2055-06-08T15:18:56.370834Z</t>
  </si>
  <si>
    <t>2055-06-08T11:46:48.278514Z</t>
  </si>
  <si>
    <t>2055-06-08T11:54:29.631741Z</t>
  </si>
  <si>
    <t>2055-06-08T11:15:14.247683Z</t>
  </si>
  <si>
    <t>2055-06-08T11:18:56.370834Z</t>
  </si>
  <si>
    <t>2055-06-08T17:05:40.373955Z</t>
  </si>
  <si>
    <t>2055-06-08T18:09:53.435Z</t>
  </si>
  <si>
    <t>2055-06-08T17:45:12.435Z</t>
  </si>
  <si>
    <t>2055-06-08T17:32:32.265593Z</t>
  </si>
  <si>
    <t>2055-06-08T17:41:23.348927Z</t>
  </si>
  <si>
    <t>2055-06-08T17:18:55.828787Z</t>
  </si>
  <si>
    <t>2055-06-08T17:19:30.61106Z</t>
  </si>
  <si>
    <t>2055-06-08T17:30:41.629744Z</t>
  </si>
  <si>
    <t>2055-06-08T13:32:32.265593Z</t>
  </si>
  <si>
    <t>2055-06-08T13:41:23.348927Z</t>
  </si>
  <si>
    <t>2055-06-08T13:18:55.828787Z</t>
  </si>
  <si>
    <t>2055-06-08T13:30:41.629744Z</t>
  </si>
  <si>
    <t>2055-06-09T15:25:51.689925Z</t>
  </si>
  <si>
    <t>2055-06-09T16:24:49.749Z</t>
  </si>
  <si>
    <t>2055-06-09T16:05:10.749Z</t>
  </si>
  <si>
    <t>2055-06-09T15:47:17.437585Z</t>
  </si>
  <si>
    <t>2055-06-09T15:55:28.1445Z</t>
  </si>
  <si>
    <t>2055-06-09T15:41:14.718843Z</t>
  </si>
  <si>
    <t>2055-06-09T15:41:47.332473Z</t>
  </si>
  <si>
    <t>2055-06-09T15:44:01.135344Z</t>
  </si>
  <si>
    <t>2055-06-09T11:47:17.437585Z</t>
  </si>
  <si>
    <t>2055-06-09T11:55:28.1445Z</t>
  </si>
  <si>
    <t>2055-06-09T11:41:14.718843Z</t>
  </si>
  <si>
    <t>2055-06-09T11:44:01.135344Z</t>
  </si>
  <si>
    <t>2055-06-11T01:40:25.365199Z</t>
  </si>
  <si>
    <t>2055-06-11T02:28:09.424Z</t>
  </si>
  <si>
    <t>2055-06-11T02:21:15.424Z</t>
  </si>
  <si>
    <t>2055-06-11T02:09:29.930313Z</t>
  </si>
  <si>
    <t>2055-06-11T02:28:07.443125Z</t>
  </si>
  <si>
    <t>2055-06-11T01:44:54.725421Z</t>
  </si>
  <si>
    <t>2055-06-11T01:45:03.594345Z</t>
  </si>
  <si>
    <t>2055-06-11T01:54:03.452044Z</t>
  </si>
  <si>
    <t>2055-06-10T22:09:29.930313Z</t>
  </si>
  <si>
    <t>2055-06-10T22:28:07.443125Z</t>
  </si>
  <si>
    <t>2055-06-10T21:44:54.725421Z</t>
  </si>
  <si>
    <t>2055-06-10T21:54:03.452044Z</t>
  </si>
  <si>
    <t>2055-06-13T01:26:45.098828Z</t>
  </si>
  <si>
    <t>2055-06-13T02:16:26.161Z</t>
  </si>
  <si>
    <t>2055-06-13T01:58:08.161Z</t>
  </si>
  <si>
    <t>2055-06-13T01:44:31.042551Z</t>
  </si>
  <si>
    <t>2055-06-13T01:53:11.281702Z</t>
  </si>
  <si>
    <t>2055-06-13T01:32:54.554641Z</t>
  </si>
  <si>
    <t>2055-06-13T01:33:05.574419Z</t>
  </si>
  <si>
    <t>2055-06-13T01:44:25.457154Z</t>
  </si>
  <si>
    <t>2055-06-12T21:44:31.042551Z</t>
  </si>
  <si>
    <t>2055-06-12T21:53:11.281702Z</t>
  </si>
  <si>
    <t>2055-06-12T21:32:54.554641Z</t>
  </si>
  <si>
    <t>2055-06-12T21:44:25.457154Z</t>
  </si>
  <si>
    <t>2055-06-13T18:43:22.221563Z</t>
  </si>
  <si>
    <t>2055-06-13T19:31:33.33Z</t>
  </si>
  <si>
    <t>2055-06-13T19:12:40.33Z</t>
  </si>
  <si>
    <t>2055-06-13T18:56:19.786979Z</t>
  </si>
  <si>
    <t>2055-06-13T19:04:43.471734Z</t>
  </si>
  <si>
    <t>2055-06-13T18:50:14.208778Z</t>
  </si>
  <si>
    <t>2055-06-13T18:50:23.914687Z</t>
  </si>
  <si>
    <t>2055-06-13T18:53:55.368223Z</t>
  </si>
  <si>
    <t>2055-06-13T14:56:19.786979Z</t>
  </si>
  <si>
    <t>2055-06-13T15:04:43.471734Z</t>
  </si>
  <si>
    <t>2055-06-13T14:50:14.208778Z</t>
  </si>
  <si>
    <t>2055-06-13T14:53:55.368223Z</t>
  </si>
  <si>
    <t>2055-06-01T16:31:50.715786Z</t>
  </si>
  <si>
    <t>2055-06-01T17:39:00.785Z</t>
  </si>
  <si>
    <t>2055-06-01T17:15:42.785Z</t>
  </si>
  <si>
    <t>2055-06-01T16:59:45.538228Z</t>
  </si>
  <si>
    <t>2055-06-01T17:30:28.401335Z</t>
  </si>
  <si>
    <t>2055-06-01T16:37:55.265015Z</t>
  </si>
  <si>
    <t>2055-06-01T16:39:05.432611Z</t>
  </si>
  <si>
    <t>2055-06-01T16:54:40.568554Z</t>
  </si>
  <si>
    <t>2055-06-01T12:59:45.538228Z</t>
  </si>
  <si>
    <t>2055-06-01T13:30:28.401335Z</t>
  </si>
  <si>
    <t>2055-06-01T12:37:55.265015Z</t>
  </si>
  <si>
    <t>2055-06-01T12:54:40.568554Z</t>
  </si>
  <si>
    <t>2055-06-05T19:56:45.640782Z</t>
  </si>
  <si>
    <t>2055-06-05T20:55:59.707Z</t>
  </si>
  <si>
    <t>2055-06-05T20:37:06.707Z</t>
  </si>
  <si>
    <t>2055-06-05T20:08:10.557628Z</t>
  </si>
  <si>
    <t>2055-06-05T20:27:35.955656Z</t>
  </si>
  <si>
    <t>2055-06-05T19:57:07.432732Z</t>
  </si>
  <si>
    <t>2055-06-05T19:57:16.39095Z</t>
  </si>
  <si>
    <t>2055-06-05T16:08:10.557628Z</t>
  </si>
  <si>
    <t>2055-06-05T16:27:35.955656Z</t>
  </si>
  <si>
    <t>2055-06-05T15:57:07.432732Z</t>
  </si>
  <si>
    <t>2055-06-12T23:10:09.420705Z</t>
  </si>
  <si>
    <t>2055-06-13T00:12:15.487Z</t>
  </si>
  <si>
    <t>2055-06-12T23:50:21.487Z</t>
  </si>
  <si>
    <t>2055-06-12T23:39:23.903202Z</t>
  </si>
  <si>
    <t>2055-06-12T23:58:03.884813Z</t>
  </si>
  <si>
    <t>2055-06-12T23:10:15.828074Z</t>
  </si>
  <si>
    <t>2055-06-12T23:10:19.816324Z</t>
  </si>
  <si>
    <t>2055-06-12T23:27:57.135928Z</t>
  </si>
  <si>
    <t>2055-06-12T19:39:23.903202Z</t>
  </si>
  <si>
    <t>2055-06-12T19:58:03.884813Z</t>
  </si>
  <si>
    <t>2055-06-12T19:10:15.828074Z</t>
  </si>
  <si>
    <t>2055-06-12T19:27:57.135928Z</t>
  </si>
  <si>
    <t>2055-06-13T20:31:47.148959Z</t>
  </si>
  <si>
    <t>2055-06-13T21:18:57.192Z</t>
  </si>
  <si>
    <t>2055-06-13T21:00:04.192Z</t>
  </si>
  <si>
    <t>2055-06-13T20:44:23.395616Z</t>
  </si>
  <si>
    <t>2055-06-13T20:54:59.703933Z</t>
  </si>
  <si>
    <t>2055-06-13T20:33:54.14476Z</t>
  </si>
  <si>
    <t>2055-06-13T20:34:12.531562Z</t>
  </si>
  <si>
    <t>2055-06-13T20:39:28.059883Z</t>
  </si>
  <si>
    <t>2055-06-13T16:44:23.395616Z</t>
  </si>
  <si>
    <t>2055-06-13T16:54:59.703933Z</t>
  </si>
  <si>
    <t>2055-06-13T16:33:54.14476Z</t>
  </si>
  <si>
    <t>2055-06-13T16:39:28.059883Z</t>
  </si>
  <si>
    <t>2055-06-07T23:21:06.155763Z</t>
  </si>
  <si>
    <t>2055-06-08T00:08:33.205Z</t>
  </si>
  <si>
    <t>2055-06-07T23:59:40.205Z</t>
  </si>
  <si>
    <t>2055-06-07T23:39:07.905758Z</t>
  </si>
  <si>
    <t>2055-06-07T23:59:11.466998Z</t>
  </si>
  <si>
    <t>2055-06-07T23:21:27.487775Z</t>
  </si>
  <si>
    <t>2055-06-07T23:21:42.872359Z</t>
  </si>
  <si>
    <t>2055-06-07T23:35:51.062688Z</t>
  </si>
  <si>
    <t>2055-06-07T19:39:07.905758Z</t>
  </si>
  <si>
    <t>2055-06-07T19:59:11.466998Z</t>
  </si>
  <si>
    <t>2055-06-07T19:21:27.487775Z</t>
  </si>
  <si>
    <t>2055-06-07T19:35:51.062688Z</t>
  </si>
  <si>
    <t>2055-06-12T00:13:09.128424Z</t>
  </si>
  <si>
    <t>2055-06-12T01:07:26.194Z</t>
  </si>
  <si>
    <t>2055-06-12T00:47:19.194Z</t>
  </si>
  <si>
    <t>2055-06-12T01:06:32.676642Z</t>
  </si>
  <si>
    <t>2055-06-12T01:18:03.361064Z</t>
  </si>
  <si>
    <t>2055-06-12T00:13:14.073018Z</t>
  </si>
  <si>
    <t>2055-06-12T00:13:31.292892Z</t>
  </si>
  <si>
    <t>2055-06-12T00:57:02.489429Z</t>
  </si>
  <si>
    <t>2055-06-11T21:06:32.676642Z</t>
  </si>
  <si>
    <t>2055-06-11T21:18:03.361064Z</t>
  </si>
  <si>
    <t>2055-06-11T20:13:14.073018Z</t>
  </si>
  <si>
    <t>2055-06-11T20:57:02.489429Z</t>
  </si>
  <si>
    <t>2055-06-01T19:15:39.033432Z</t>
  </si>
  <si>
    <t>2055-06-01T20:23:05.109Z</t>
  </si>
  <si>
    <t>2055-06-01T19:58:24.109Z</t>
  </si>
  <si>
    <t>2055-06-01T19:37:34.659866Z</t>
  </si>
  <si>
    <t>2055-06-01T19:51:13.583511Z</t>
  </si>
  <si>
    <t>2055-06-01T19:19:27.345351Z</t>
  </si>
  <si>
    <t>2055-06-01T19:19:36.860833Z</t>
  </si>
  <si>
    <t>2055-06-01T19:37:08.367294Z</t>
  </si>
  <si>
    <t>2055-06-01T15:37:34.659866Z</t>
  </si>
  <si>
    <t>2055-06-01T15:51:13.583511Z</t>
  </si>
  <si>
    <t>2055-06-01T15:19:27.345351Z</t>
  </si>
  <si>
    <t>2055-06-01T15:37:08.367294Z</t>
  </si>
  <si>
    <t>2055-06-05T22:29:51.084529Z</t>
  </si>
  <si>
    <t>2055-06-05T23:23:59.151Z</t>
  </si>
  <si>
    <t>2055-06-05T23:12:05.151Z</t>
  </si>
  <si>
    <t>2055-06-05T22:43:18.921442Z</t>
  </si>
  <si>
    <t>2055-06-05T23:00:49.494983Z</t>
  </si>
  <si>
    <t>2055-06-05T22:32:27.557408Z</t>
  </si>
  <si>
    <t>2055-06-05T22:32:38.180012Z</t>
  </si>
  <si>
    <t>2055-06-05T22:39:47.520849Z</t>
  </si>
  <si>
    <t>2055-06-05T18:43:18.921442Z</t>
  </si>
  <si>
    <t>2055-06-05T19:00:49.494983Z</t>
  </si>
  <si>
    <t>2055-06-05T18:32:27.557408Z</t>
  </si>
  <si>
    <t>2055-06-05T18:39:47.520849Z</t>
  </si>
  <si>
    <t>2055-06-08T16:41:23.937841Z</t>
  </si>
  <si>
    <t>2055-06-08T17:39:27.997Z</t>
  </si>
  <si>
    <t>2055-06-08T17:16:09.997Z</t>
  </si>
  <si>
    <t>2055-06-08T17:02:14.663465Z</t>
  </si>
  <si>
    <t>2055-06-08T17:08:39.974647Z</t>
  </si>
  <si>
    <t>2055-06-08T16:41:34.069399Z</t>
  </si>
  <si>
    <t>2055-06-08T16:42:12.119919Z</t>
  </si>
  <si>
    <t>2055-06-08T16:45:05.404155Z</t>
  </si>
  <si>
    <t>2055-06-08T13:02:14.663465Z</t>
  </si>
  <si>
    <t>2055-06-08T13:08:39.974647Z</t>
  </si>
  <si>
    <t>2055-06-08T12:41:34.069399Z</t>
  </si>
  <si>
    <t>2055-06-08T12:45:05.404155Z</t>
  </si>
  <si>
    <t>2055-06-03T21:56:05.994697Z</t>
  </si>
  <si>
    <t>2055-06-03T22:46:38.05Z</t>
  </si>
  <si>
    <t>2055-06-03T22:27:45.05Z</t>
  </si>
  <si>
    <t>2055-06-03T22:31:03.102998Z</t>
  </si>
  <si>
    <t>2055-06-03T22:39:34.271675Z</t>
  </si>
  <si>
    <t>2055-06-03T22:02:14.63077Z</t>
  </si>
  <si>
    <t>2055-06-03T22:02:51.508618Z</t>
  </si>
  <si>
    <t>2055-06-03T22:22:17.11396Z</t>
  </si>
  <si>
    <t>2055-06-03T18:31:03.102998Z</t>
  </si>
  <si>
    <t>2055-06-03T18:39:34.271675Z</t>
  </si>
  <si>
    <t>2055-06-03T18:02:14.63077Z</t>
  </si>
  <si>
    <t>2055-06-03T18:22:17.11396Z</t>
  </si>
  <si>
    <t>2055-06-07T01:56:01.979102Z</t>
  </si>
  <si>
    <t>2055-06-07T02:44:49.135Z</t>
  </si>
  <si>
    <t>2055-06-07T02:25:56.135Z</t>
  </si>
  <si>
    <t>2055-06-07T02:07:32.21354Z</t>
  </si>
  <si>
    <t>2055-06-07T02:20:39.156252Z</t>
  </si>
  <si>
    <t>2055-06-07T01:58:34.182776Z</t>
  </si>
  <si>
    <t>2055-06-07T01:58:51.52567Z</t>
  </si>
  <si>
    <t>2055-06-07T02:05:56.578709Z</t>
  </si>
  <si>
    <t>2055-06-06T22:07:32.21354Z</t>
  </si>
  <si>
    <t>2055-06-06T22:20:39.156252Z</t>
  </si>
  <si>
    <t>2055-06-06T21:58:34.182776Z</t>
  </si>
  <si>
    <t>2055-06-06T22:05:56.578709Z</t>
  </si>
  <si>
    <t>2055-06-06T23:28:56.211252Z</t>
  </si>
  <si>
    <t>2055-06-07T00:12:49.301Z</t>
  </si>
  <si>
    <t>2055-06-06T23:53:56.301Z</t>
  </si>
  <si>
    <t>2055-06-06T23:37:06.637733Z</t>
  </si>
  <si>
    <t>2055-06-06T23:43:07.533771Z</t>
  </si>
  <si>
    <t>2055-06-06T23:30:34.688212Z</t>
  </si>
  <si>
    <t>2055-06-06T23:30:56.610265Z</t>
  </si>
  <si>
    <t>2055-06-06T23:38:34.150423Z</t>
  </si>
  <si>
    <t>2055-06-06T19:37:06.637733Z</t>
  </si>
  <si>
    <t>2055-06-06T19:43:07.533771Z</t>
  </si>
  <si>
    <t>2055-06-06T19:30:34.688212Z</t>
  </si>
  <si>
    <t>2055-06-06T19:38:34.150423Z</t>
  </si>
  <si>
    <t>2055-06-05T23:11:48.90493Z</t>
  </si>
  <si>
    <t>2055-06-06T00:26:23.954Z</t>
  </si>
  <si>
    <t>2055-06-06T00:11:42.954Z</t>
  </si>
  <si>
    <t>2055-06-05T23:53:54.229851Z</t>
  </si>
  <si>
    <t>2055-06-06T00:08:13.071482Z</t>
  </si>
  <si>
    <t>2055-06-05T23:30:58.857031Z</t>
  </si>
  <si>
    <t>2055-06-05T23:31:14.233718Z</t>
  </si>
  <si>
    <t>2055-06-05T23:44:54.104418Z</t>
  </si>
  <si>
    <t>2055-06-05T19:53:54.229851Z</t>
  </si>
  <si>
    <t>2055-06-05T20:08:13.071482Z</t>
  </si>
  <si>
    <t>2055-06-05T19:30:58.857031Z</t>
  </si>
  <si>
    <t>2055-06-05T19:44:54.104418Z</t>
  </si>
  <si>
    <t>2055-06-02T23:08:04.830091Z</t>
  </si>
  <si>
    <t>2055-06-03T00:22:29.911Z</t>
  </si>
  <si>
    <t>2055-06-03T00:17:50.911Z</t>
  </si>
  <si>
    <t>2055-06-02T23:59:49.168577Z</t>
  </si>
  <si>
    <t>2055-06-03T00:15:19.550535Z</t>
  </si>
  <si>
    <t>2055-06-02T23:45:27.330999Z</t>
  </si>
  <si>
    <t>2055-06-02T23:45:40.184463Z</t>
  </si>
  <si>
    <t>2055-06-03T00:00:11.479699Z</t>
  </si>
  <si>
    <t>2055-06-02T19:59:49.168577Z</t>
  </si>
  <si>
    <t>2055-06-02T20:15:19.550535Z</t>
  </si>
  <si>
    <t>2055-06-02T19:45:27.330999Z</t>
  </si>
  <si>
    <t>2055-06-02T20:00:11.479699Z</t>
  </si>
  <si>
    <t>2055-06-06T17:49:11.092454Z</t>
  </si>
  <si>
    <t>2055-06-06T18:39:59.194Z</t>
  </si>
  <si>
    <t>2055-06-06T18:31:41.194Z</t>
  </si>
  <si>
    <t>2055-06-06T18:07:19.414716Z</t>
  </si>
  <si>
    <t>2055-06-06T18:21:29.151675Z</t>
  </si>
  <si>
    <t>2055-06-06T17:49:47.36903Z</t>
  </si>
  <si>
    <t>2055-06-06T17:49:58.728054Z</t>
  </si>
  <si>
    <t>2055-06-06T14:07:19.414716Z</t>
  </si>
  <si>
    <t>2055-06-06T14:21:29.151675Z</t>
  </si>
  <si>
    <t>2055-06-06T13:49:47.36903Z</t>
  </si>
  <si>
    <t>2055-06-11T15:31:33.730283Z</t>
  </si>
  <si>
    <t>2055-06-11T16:19:19.781Z</t>
  </si>
  <si>
    <t>2055-06-11T16:00:26.781Z</t>
  </si>
  <si>
    <t>2055-06-11T15:53:15.255013Z</t>
  </si>
  <si>
    <t>2055-06-11T16:00:27.133791Z</t>
  </si>
  <si>
    <t>2055-06-11T15:39:34.346896Z</t>
  </si>
  <si>
    <t>2055-06-11T15:39:46.897642Z</t>
  </si>
  <si>
    <t>2055-06-11T15:44:56.2778Z</t>
  </si>
  <si>
    <t>2055-06-11T11:53:15.255013Z</t>
  </si>
  <si>
    <t>2055-06-11T12:00:27.133791Z</t>
  </si>
  <si>
    <t>2055-06-11T11:39:34.346896Z</t>
  </si>
  <si>
    <t>2055-06-11T11:44:56.2778Z</t>
  </si>
  <si>
    <t>2055-06-02T22:30:32.944453Z</t>
  </si>
  <si>
    <t>2055-06-02T23:28:58.008Z</t>
  </si>
  <si>
    <t>2055-06-02T23:10:05.008Z</t>
  </si>
  <si>
    <t>2055-06-02T22:55:08.775733Z</t>
  </si>
  <si>
    <t>2055-06-02T23:22:04.964569Z</t>
  </si>
  <si>
    <t>2055-06-02T22:30:47.501737Z</t>
  </si>
  <si>
    <t>2055-06-02T22:31:05.721608Z</t>
  </si>
  <si>
    <t>2055-06-02T22:40:00.87492Z</t>
  </si>
  <si>
    <t>2055-06-02T18:55:08.775733Z</t>
  </si>
  <si>
    <t>2055-06-02T19:22:04.964569Z</t>
  </si>
  <si>
    <t>2055-06-02T18:30:47.501737Z</t>
  </si>
  <si>
    <t>2055-06-02T18:40:00.87492Z</t>
  </si>
  <si>
    <t>2055-06-03T00:09:27.82767Z</t>
  </si>
  <si>
    <t>2055-06-03T01:04:27.905Z</t>
  </si>
  <si>
    <t>2055-06-03T00:43:02.905Z</t>
  </si>
  <si>
    <t>2055-06-03T00:31:30.29416Z</t>
  </si>
  <si>
    <t>2055-06-03T00:40:57.824401Z</t>
  </si>
  <si>
    <t>2055-06-03T00:15:27.392936Z</t>
  </si>
  <si>
    <t>2055-06-03T00:15:46.209911Z</t>
  </si>
  <si>
    <t>2055-06-03T00:26:09.370408Z</t>
  </si>
  <si>
    <t>2055-06-02T20:31:30.29416Z</t>
  </si>
  <si>
    <t>2055-06-02T20:40:57.824401Z</t>
  </si>
  <si>
    <t>2055-06-02T20:15:27.392936Z</t>
  </si>
  <si>
    <t>2055-06-02T20:26:09.370408Z</t>
  </si>
  <si>
    <t>2055-06-05T20:46:24.472121Z</t>
  </si>
  <si>
    <t>2055-06-05T21:23:28.528Z</t>
  </si>
  <si>
    <t>2055-06-05T21:19:35.528Z</t>
  </si>
  <si>
    <t>2055-06-05T20:59:02.716967Z</t>
  </si>
  <si>
    <t>2055-06-05T21:13:39.090779Z</t>
  </si>
  <si>
    <t>2055-06-05T20:46:34.44873Z</t>
  </si>
  <si>
    <t>2055-06-05T20:46:44.946069Z</t>
  </si>
  <si>
    <t>2055-06-05T20:50:30.526274Z</t>
  </si>
  <si>
    <t>2055-06-05T16:59:02.716967Z</t>
  </si>
  <si>
    <t>2055-06-05T17:13:39.090779Z</t>
  </si>
  <si>
    <t>2055-06-05T16:46:34.44873Z</t>
  </si>
  <si>
    <t>2055-06-05T16:50:30.526274Z</t>
  </si>
  <si>
    <t>2055-06-06T00:49:50.419124Z</t>
  </si>
  <si>
    <t>2055-06-06T01:49:11.503Z</t>
  </si>
  <si>
    <t>2055-06-06T01:32:17.503Z</t>
  </si>
  <si>
    <t>2055-06-06T01:11:09.473117Z</t>
  </si>
  <si>
    <t>2055-06-06T01:26:36.561692Z</t>
  </si>
  <si>
    <t>2055-06-06T00:54:47.602246Z</t>
  </si>
  <si>
    <t>2055-06-06T00:54:50.666531Z</t>
  </si>
  <si>
    <t>2055-06-05T21:11:09.473117Z</t>
  </si>
  <si>
    <t>2055-06-05T21:26:36.561692Z</t>
  </si>
  <si>
    <t>2055-06-05T20:54:47.602246Z</t>
  </si>
  <si>
    <t>2055-06-05T17:27:25.602114Z</t>
  </si>
  <si>
    <t>2055-06-05T18:34:39.666Z</t>
  </si>
  <si>
    <t>2055-06-05T18:11:21.666Z</t>
  </si>
  <si>
    <t>2055-06-05T17:54:58.8838Z</t>
  </si>
  <si>
    <t>2055-06-05T18:26:59.965306Z</t>
  </si>
  <si>
    <t>2055-06-05T17:36:47.412583Z</t>
  </si>
  <si>
    <t>2055-06-05T17:36:57.600559Z</t>
  </si>
  <si>
    <t>2055-06-05T17:50:38.681361Z</t>
  </si>
  <si>
    <t>2055-06-05T13:54:58.8838Z</t>
  </si>
  <si>
    <t>2055-06-05T14:26:59.965306Z</t>
  </si>
  <si>
    <t>2055-06-05T13:36:47.412583Z</t>
  </si>
  <si>
    <t>2055-06-05T13:50:38.681361Z</t>
  </si>
  <si>
    <t>2055-06-12T00:26:21.581549Z</t>
  </si>
  <si>
    <t>2055-06-12T01:28:01.638Z</t>
  </si>
  <si>
    <t>2055-06-12T01:07:54.638Z</t>
  </si>
  <si>
    <t>2055-06-12T01:32:10.046775Z</t>
  </si>
  <si>
    <t>2055-06-12T01:35:54.61142Z</t>
  </si>
  <si>
    <t>2055-06-12T01:03:14.333543Z</t>
  </si>
  <si>
    <t>2055-06-12T01:03:19.432661Z</t>
  </si>
  <si>
    <t>2055-06-11T21:32:10.046775Z</t>
  </si>
  <si>
    <t>2055-06-11T21:35:54.61142Z</t>
  </si>
  <si>
    <t>2055-06-11T21:03:14.333543Z</t>
  </si>
  <si>
    <t>2055-06-04T15:54:59.304981Z</t>
  </si>
  <si>
    <t>2055-06-04T16:44:59.388Z</t>
  </si>
  <si>
    <t>2055-06-04T16:33:42.388Z</t>
  </si>
  <si>
    <t>2055-06-04T16:04:07.912242Z</t>
  </si>
  <si>
    <t>2055-06-04T16:20:59.806829Z</t>
  </si>
  <si>
    <t>2055-06-04T15:55:07.279625Z</t>
  </si>
  <si>
    <t>2055-06-04T15:55:23.771703Z</t>
  </si>
  <si>
    <t>2055-06-04T15:59:32.59719Z</t>
  </si>
  <si>
    <t>2055-06-04T12:04:07.912242Z</t>
  </si>
  <si>
    <t>2055-06-04T12:20:59.806829Z</t>
  </si>
  <si>
    <t>2055-06-04T11:55:07.279625Z</t>
  </si>
  <si>
    <t>2055-06-04T11:59:32.59719Z</t>
  </si>
  <si>
    <t>2055-06-05T01:12:24.038708Z</t>
  </si>
  <si>
    <t>2055-06-05T02:34:37.101Z</t>
  </si>
  <si>
    <t>2055-06-05T02:06:24.101Z</t>
  </si>
  <si>
    <t>2055-06-05T01:42:56.892765Z</t>
  </si>
  <si>
    <t>2055-06-05T01:48:02.645645Z</t>
  </si>
  <si>
    <t>2055-06-05T01:17:07.425375Z</t>
  </si>
  <si>
    <t>2055-06-05T01:17:16.436942Z</t>
  </si>
  <si>
    <t>2055-06-05T01:40:05.931321Z</t>
  </si>
  <si>
    <t>2055-06-04T21:42:56.892765Z</t>
  </si>
  <si>
    <t>2055-06-04T21:48:02.645645Z</t>
  </si>
  <si>
    <t>2055-06-04T21:17:07.425375Z</t>
  </si>
  <si>
    <t>2055-06-04T21:40:05.931321Z</t>
  </si>
  <si>
    <t>2055-06-05T22:37:56.744647Z</t>
  </si>
  <si>
    <t>2055-06-05T23:20:05.803Z</t>
  </si>
  <si>
    <t>2055-06-05T23:14:58.803Z</t>
  </si>
  <si>
    <t>2055-06-05T23:23:01.638715Z</t>
  </si>
  <si>
    <t>2055-06-05T23:34:19.680916Z</t>
  </si>
  <si>
    <t>2055-06-05T22:56:18.12729Z</t>
  </si>
  <si>
    <t>2055-06-05T22:56:28.959927Z</t>
  </si>
  <si>
    <t>2055-06-05T23:10:52.309151Z</t>
  </si>
  <si>
    <t>2055-06-05T19:23:01.638715Z</t>
  </si>
  <si>
    <t>2055-06-05T19:34:19.680916Z</t>
  </si>
  <si>
    <t>2055-06-05T18:56:18.12729Z</t>
  </si>
  <si>
    <t>2055-06-05T19:10:52.309151Z</t>
  </si>
  <si>
    <t>2055-06-07T18:31:15.32354Z</t>
  </si>
  <si>
    <t>2055-06-07T19:26:15.418Z</t>
  </si>
  <si>
    <t>2055-06-07T18:57:32.418Z</t>
  </si>
  <si>
    <t>2055-06-07T18:50:46.702154Z</t>
  </si>
  <si>
    <t>2055-06-07T18:57:42.645294Z</t>
  </si>
  <si>
    <t>2055-06-07T18:31:27.474074Z</t>
  </si>
  <si>
    <t>2055-06-07T18:31:38.228391Z</t>
  </si>
  <si>
    <t>2055-06-07T18:45:16.748327Z</t>
  </si>
  <si>
    <t>2055-06-07T14:50:46.702154Z</t>
  </si>
  <si>
    <t>2055-06-07T14:57:42.645294Z</t>
  </si>
  <si>
    <t>2055-06-07T14:31:27.474074Z</t>
  </si>
  <si>
    <t>2055-06-07T14:45:16.748327Z</t>
  </si>
  <si>
    <t>2055-06-04T19:21:16.433061Z</t>
  </si>
  <si>
    <t>2055-06-04T20:46:20.505Z</t>
  </si>
  <si>
    <t>2055-06-04T20:23:07.505Z</t>
  </si>
  <si>
    <t>2055-06-04T20:00:32.32477Z</t>
  </si>
  <si>
    <t>2055-06-04T20:11:35.375501Z</t>
  </si>
  <si>
    <t>2055-06-04T19:47:07.246635Z</t>
  </si>
  <si>
    <t>2055-06-04T19:47:11.96779Z</t>
  </si>
  <si>
    <t>2055-06-04T19:58:30.730928Z</t>
  </si>
  <si>
    <t>2055-06-04T16:00:32.32477Z</t>
  </si>
  <si>
    <t>2055-06-04T16:11:35.375501Z</t>
  </si>
  <si>
    <t>2055-06-04T15:47:07.246635Z</t>
  </si>
  <si>
    <t>2055-06-04T15:58:30.730928Z</t>
  </si>
  <si>
    <t>2055-06-06T14:05:43.170736Z</t>
  </si>
  <si>
    <t>2055-06-06T15:00:43.332Z</t>
  </si>
  <si>
    <t>2055-06-06T14:37:56.332Z</t>
  </si>
  <si>
    <t>2055-06-06T14:24:24.38037Z</t>
  </si>
  <si>
    <t>2055-06-06T14:35:09.870947Z</t>
  </si>
  <si>
    <t>2055-06-06T14:05:47.297254Z</t>
  </si>
  <si>
    <t>2055-06-06T14:06:02.587923Z</t>
  </si>
  <si>
    <t>2055-06-06T14:12:19.324617Z</t>
  </si>
  <si>
    <t>2055-06-06T10:24:24.38037Z</t>
  </si>
  <si>
    <t>2055-06-06T10:35:09.870947Z</t>
  </si>
  <si>
    <t>2055-06-06T10:05:47.297254Z</t>
  </si>
  <si>
    <t>2055-06-06T10:12:19.324617Z</t>
  </si>
  <si>
    <t>2055-06-03T15:57:39.329746Z</t>
  </si>
  <si>
    <t>2055-06-03T16:48:27.381Z</t>
  </si>
  <si>
    <t>2055-06-03T16:28:48.381Z</t>
  </si>
  <si>
    <t>2055-06-03T16:06:20.053429Z</t>
  </si>
  <si>
    <t>2055-06-03T16:24:05.16074Z</t>
  </si>
  <si>
    <t>2055-06-03T15:57:54.08994Z</t>
  </si>
  <si>
    <t>2055-06-03T15:59:01.234217Z</t>
  </si>
  <si>
    <t>2055-06-03T15:58:46.919791Z</t>
  </si>
  <si>
    <t>2055-06-03T12:06:20.053429Z</t>
  </si>
  <si>
    <t>2055-06-03T12:24:05.16074Z</t>
  </si>
  <si>
    <t>2055-06-03T11:57:54.08994Z</t>
  </si>
  <si>
    <t>2055-06-03T11:58:46.919791Z</t>
  </si>
  <si>
    <t>2055-06-03T21:23:16.23345Z</t>
  </si>
  <si>
    <t>2055-06-03T22:04:19.305Z</t>
  </si>
  <si>
    <t>2055-06-03T21:55:26.305Z</t>
  </si>
  <si>
    <t>2055-06-03T21:46:19.590337Z</t>
  </si>
  <si>
    <t>2055-06-03T22:05:15.69864Z</t>
  </si>
  <si>
    <t>2055-06-03T21:29:34.214853Z</t>
  </si>
  <si>
    <t>2055-06-03T21:29:44.676856Z</t>
  </si>
  <si>
    <t>2055-06-03T21:34:43.216705Z</t>
  </si>
  <si>
    <t>2055-06-03T17:46:19.590337Z</t>
  </si>
  <si>
    <t>2055-06-03T18:05:15.69864Z</t>
  </si>
  <si>
    <t>2055-06-03T17:29:34.214853Z</t>
  </si>
  <si>
    <t>2055-06-03T17:34:43.216705Z</t>
  </si>
  <si>
    <t>2055-06-11T19:23:34.851796Z</t>
  </si>
  <si>
    <t>2055-06-11T20:15:00.94Z</t>
  </si>
  <si>
    <t>2055-06-11T19:54:53.94Z</t>
  </si>
  <si>
    <t>2055-06-11T19:44:48.827677Z</t>
  </si>
  <si>
    <t>2055-06-11T20:10:15.888021Z</t>
  </si>
  <si>
    <t>2055-06-11T19:30:54.134211Z</t>
  </si>
  <si>
    <t>2055-06-11T19:31:20.305705Z</t>
  </si>
  <si>
    <t>2055-06-11T19:41:47.984916Z</t>
  </si>
  <si>
    <t>2055-06-11T15:44:48.827677Z</t>
  </si>
  <si>
    <t>2055-06-11T16:10:15.888021Z</t>
  </si>
  <si>
    <t>2055-06-11T15:30:54.134211Z</t>
  </si>
  <si>
    <t>2055-06-11T15:41:47.984916Z</t>
  </si>
  <si>
    <t>2055-06-02T00:50:39.304415Z</t>
  </si>
  <si>
    <t>2055-06-02T02:04:13.384Z</t>
  </si>
  <si>
    <t>2055-06-02T01:44:34.384Z</t>
  </si>
  <si>
    <t>2055-06-02T01:07:42.666102Z</t>
  </si>
  <si>
    <t>2055-06-02T01:22:17.28611Z</t>
  </si>
  <si>
    <t>2055-06-02T00:50:47.423919Z</t>
  </si>
  <si>
    <t>2055-06-02T00:51:37.233052Z</t>
  </si>
  <si>
    <t>2055-06-02T01:02:45.886775Z</t>
  </si>
  <si>
    <t>2055-06-01T21:07:42.666102Z</t>
  </si>
  <si>
    <t>2055-06-01T21:22:17.28611Z</t>
  </si>
  <si>
    <t>2055-06-01T20:50:47.423919Z</t>
  </si>
  <si>
    <t>2055-06-01T21:02:45.886775Z</t>
  </si>
  <si>
    <t>2055-06-03T14:32:12.679461Z</t>
  </si>
  <si>
    <t>2055-06-03T15:27:12.752Z</t>
  </si>
  <si>
    <t>2055-06-03T15:05:07.752Z</t>
  </si>
  <si>
    <t>2055-06-03T14:53:00.526621Z</t>
  </si>
  <si>
    <t>2055-06-03T15:06:52.834886Z</t>
  </si>
  <si>
    <t>2055-06-03T14:32:27.336124Z</t>
  </si>
  <si>
    <t>2055-06-03T14:32:38.790867Z</t>
  </si>
  <si>
    <t>2055-06-03T14:44:39.551675Z</t>
  </si>
  <si>
    <t>2055-06-03T10:53:00.526621Z</t>
  </si>
  <si>
    <t>2055-06-03T11:06:52.834886Z</t>
  </si>
  <si>
    <t>2055-06-03T10:32:27.336124Z</t>
  </si>
  <si>
    <t>2055-06-03T10:44:39.551675Z</t>
  </si>
  <si>
    <t>2055-06-03T17:17:07.176678Z</t>
  </si>
  <si>
    <t>2055-06-03T18:07:00.2232Z</t>
  </si>
  <si>
    <t>2055-06-03T17:53:00.2232Z</t>
  </si>
  <si>
    <t>2055-06-03T17:48:31.143702Z</t>
  </si>
  <si>
    <t>2055-06-03T17:57:16.517427Z</t>
  </si>
  <si>
    <t>2055-06-03T17:17:27.288875Z</t>
  </si>
  <si>
    <t>2055-06-03T17:17:56.351241Z</t>
  </si>
  <si>
    <t>2055-06-03T17:44:59.646889Z</t>
  </si>
  <si>
    <t>2055-06-03T13:48:31.143702Z</t>
  </si>
  <si>
    <t>2055-06-03T13:57:16.517427Z</t>
  </si>
  <si>
    <t>2055-06-03T13:17:27.288875Z</t>
  </si>
  <si>
    <t>2055-06-03T13:44:59.646889Z</t>
  </si>
  <si>
    <t>2055-06-04T19:28:12.748688Z</t>
  </si>
  <si>
    <t>2055-06-04T20:31:32.814Z</t>
  </si>
  <si>
    <t>2055-06-04T20:08:14.814Z</t>
  </si>
  <si>
    <t>2055-06-04T20:09:00.529929Z</t>
  </si>
  <si>
    <t>2055-06-04T20:26:25.556502Z</t>
  </si>
  <si>
    <t>2055-06-04T19:45:47.25693Z</t>
  </si>
  <si>
    <t>2055-06-04T19:45:51.678132Z</t>
  </si>
  <si>
    <t>2055-06-04T20:01:41.479862Z</t>
  </si>
  <si>
    <t>2055-06-04T16:09:00.529929Z</t>
  </si>
  <si>
    <t>2055-06-04T16:26:25.556502Z</t>
  </si>
  <si>
    <t>2055-06-04T15:45:47.25693Z</t>
  </si>
  <si>
    <t>2055-06-04T16:01:41.479862Z</t>
  </si>
  <si>
    <t>2055-06-03T18:06:01.78891Z</t>
  </si>
  <si>
    <t>2055-06-03T19:08:53.859Z</t>
  </si>
  <si>
    <t>2055-06-03T18:46:59.859Z</t>
  </si>
  <si>
    <t>2055-06-03T18:24:50.824461Z</t>
  </si>
  <si>
    <t>2055-06-03T18:32:15.497536Z</t>
  </si>
  <si>
    <t>2055-06-03T18:12:14.361053Z</t>
  </si>
  <si>
    <t>2055-06-03T18:12:21.430208Z</t>
  </si>
  <si>
    <t>2055-06-03T18:19:26.532231Z</t>
  </si>
  <si>
    <t>2055-06-03T14:24:50.824461Z</t>
  </si>
  <si>
    <t>2055-06-03T14:32:15.497536Z</t>
  </si>
  <si>
    <t>2055-06-03T14:12:14.361053Z</t>
  </si>
  <si>
    <t>2055-06-03T14:19:26.532231Z</t>
  </si>
  <si>
    <t>2055-06-06T16:31:43.65687Z</t>
  </si>
  <si>
    <t>2055-06-06T17:16:43.742Z</t>
  </si>
  <si>
    <t>2055-06-06T17:07:29.742Z</t>
  </si>
  <si>
    <t>2055-06-06T16:52:56.985218Z</t>
  </si>
  <si>
    <t>2055-06-06T17:11:00.13894Z</t>
  </si>
  <si>
    <t>2055-06-06T16:31:47.279525Z</t>
  </si>
  <si>
    <t>2055-06-06T16:31:56.859841Z</t>
  </si>
  <si>
    <t>2055-06-06T16:46:56.772114Z</t>
  </si>
  <si>
    <t>2055-06-06T12:52:56.985218Z</t>
  </si>
  <si>
    <t>2055-06-06T13:11:00.13894Z</t>
  </si>
  <si>
    <t>2055-06-06T12:31:47.279525Z</t>
  </si>
  <si>
    <t>2055-06-06T12:46:56.772114Z</t>
  </si>
  <si>
    <t>2055-06-11T03:05:28.561767Z</t>
  </si>
  <si>
    <t>2055-06-11T04:25:15.631Z</t>
  </si>
  <si>
    <t>2055-06-11T03:57:02.631Z</t>
  </si>
  <si>
    <t>2055-06-11T04:03:01.413988Z</t>
  </si>
  <si>
    <t>2055-06-11T04:18:07.996319Z</t>
  </si>
  <si>
    <t>2055-06-11T03:30:14.16424Z</t>
  </si>
  <si>
    <t>2055-06-11T03:30:48.294582Z</t>
  </si>
  <si>
    <t>2055-06-11T04:00:27.635364Z</t>
  </si>
  <si>
    <t>2055-06-11T00:03:01.413988Z</t>
  </si>
  <si>
    <t>2055-06-11T00:18:07.996319Z</t>
  </si>
  <si>
    <t>2055-06-10T23:30:14.16424Z</t>
  </si>
  <si>
    <t>2055-06-11T00:00:27.635364Z</t>
  </si>
  <si>
    <t>2055-06-12T15:56:30.469119Z</t>
  </si>
  <si>
    <t>2055-06-12T16:48:08.585Z</t>
  </si>
  <si>
    <t>2055-06-12T16:29:15.585Z</t>
  </si>
  <si>
    <t>2055-06-12T16:25:59.304222Z</t>
  </si>
  <si>
    <t>2055-06-12T16:36:10.692298Z</t>
  </si>
  <si>
    <t>2055-06-12T16:03:14.41371Z</t>
  </si>
  <si>
    <t>2055-06-12T16:03:24.523099Z</t>
  </si>
  <si>
    <t>2055-06-12T16:07:05.430224Z</t>
  </si>
  <si>
    <t>2055-06-12T12:25:59.304222Z</t>
  </si>
  <si>
    <t>2055-06-12T12:36:10.692298Z</t>
  </si>
  <si>
    <t>2055-06-12T12:03:14.41371Z</t>
  </si>
  <si>
    <t>2055-06-12T12:07:05.430224Z</t>
  </si>
  <si>
    <t>2055-06-05T01:36:15.780341Z</t>
  </si>
  <si>
    <t>2055-06-05T02:26:21.869Z</t>
  </si>
  <si>
    <t>2055-06-05T02:11:42.869Z</t>
  </si>
  <si>
    <t>2055-06-05T02:12:59.683802Z</t>
  </si>
  <si>
    <t>2055-06-05T02:37:50.8661Z</t>
  </si>
  <si>
    <t>2055-06-05T01:47:07.293288Z</t>
  </si>
  <si>
    <t>2055-06-05T01:47:12.146329Z</t>
  </si>
  <si>
    <t>2055-06-05T02:11:58.20404Z</t>
  </si>
  <si>
    <t>2055-06-04T22:12:59.683802Z</t>
  </si>
  <si>
    <t>2055-06-04T22:37:50.8661Z</t>
  </si>
  <si>
    <t>2055-06-04T21:47:07.293288Z</t>
  </si>
  <si>
    <t>2055-06-04T22:11:58.20404Z</t>
  </si>
  <si>
    <t>2055-06-05T23:01:38.766198Z</t>
  </si>
  <si>
    <t>2055-06-06T00:05:55.845Z</t>
  </si>
  <si>
    <t>2055-06-05T23:44:01.845Z</t>
  </si>
  <si>
    <t>2055-06-05T23:57:31.812326Z</t>
  </si>
  <si>
    <t>2055-06-05T23:57:38.572805Z</t>
  </si>
  <si>
    <t>2055-06-05T23:06:07.853932Z</t>
  </si>
  <si>
    <t>2055-06-05T23:06:14.950693Z</t>
  </si>
  <si>
    <t>2055-06-05T23:39:12.252393Z</t>
  </si>
  <si>
    <t>2055-06-05T19:57:31.812326Z</t>
  </si>
  <si>
    <t>2055-06-05T19:57:38.572805Z</t>
  </si>
  <si>
    <t>2055-06-05T19:06:07.853932Z</t>
  </si>
  <si>
    <t>2055-06-05T19:39:12.252393Z</t>
  </si>
  <si>
    <t>2055-06-11T01:39:13.053511Z</t>
  </si>
  <si>
    <t>2055-06-11T02:39:56.113Z</t>
  </si>
  <si>
    <t>2055-06-11T02:18:02.113Z</t>
  </si>
  <si>
    <t>2055-06-11T03:11:14.381763Z</t>
  </si>
  <si>
    <t>2055-06-11T03:32:25.934524Z</t>
  </si>
  <si>
    <t>2055-06-11T02:33:54.166135Z</t>
  </si>
  <si>
    <t>2055-06-11T02:34:11.341799Z</t>
  </si>
  <si>
    <t>2055-06-10T23:11:14.381763Z</t>
  </si>
  <si>
    <t>2055-06-10T23:32:25.934524Z</t>
  </si>
  <si>
    <t>2055-06-10T22:33:54.166135Z</t>
  </si>
  <si>
    <t>2055-06-13T01:33:58.509172Z</t>
  </si>
  <si>
    <t>2055-06-13T02:42:04.59Z</t>
  </si>
  <si>
    <t>2055-06-13T02:18:46.59Z</t>
  </si>
  <si>
    <t>2055-06-13T02:06:25.441866Z</t>
  </si>
  <si>
    <t>2055-06-13T02:15:27.350299Z</t>
  </si>
  <si>
    <t>2055-06-13T01:57:54.377416Z</t>
  </si>
  <si>
    <t>2055-06-13T01:57:59.485048Z</t>
  </si>
  <si>
    <t>2055-06-12T22:06:25.441866Z</t>
  </si>
  <si>
    <t>2055-06-12T22:15:27.350299Z</t>
  </si>
  <si>
    <t>2055-06-12T21:57:54.377416Z</t>
  </si>
  <si>
    <t>2055-06-08T01:00:46.047203Z</t>
  </si>
  <si>
    <t>2055-06-08T01:57:52.103Z</t>
  </si>
  <si>
    <t>2055-06-08T01:37:45.103Z</t>
  </si>
  <si>
    <t>2055-06-08T01:50:38.100033Z</t>
  </si>
  <si>
    <t>2055-06-08T01:57:58.972408Z</t>
  </si>
  <si>
    <t>2055-06-08T01:01:07.299685Z</t>
  </si>
  <si>
    <t>2055-06-08T01:01:13.026998Z</t>
  </si>
  <si>
    <t>2055-06-08T01:19:37.442174Z</t>
  </si>
  <si>
    <t>2055-06-07T21:50:38.100033Z</t>
  </si>
  <si>
    <t>2055-06-07T21:57:58.972408Z</t>
  </si>
  <si>
    <t>2055-06-07T21:01:07.299685Z</t>
  </si>
  <si>
    <t>2055-06-07T21:19:37.442174Z</t>
  </si>
  <si>
    <t>2055-06-08T00:53:11.039089Z</t>
  </si>
  <si>
    <t>2055-06-08T01:48:11.094Z</t>
  </si>
  <si>
    <t>2055-06-08T01:18:10.094Z</t>
  </si>
  <si>
    <t>2055-06-08T01:01:45.855797Z</t>
  </si>
  <si>
    <t>2055-06-08T01:06:49.293062Z</t>
  </si>
  <si>
    <t>2055-06-08T00:53:27.357026Z</t>
  </si>
  <si>
    <t>2055-06-08T00:53:40.649339Z</t>
  </si>
  <si>
    <t>2055-06-07T21:01:45.855797Z</t>
  </si>
  <si>
    <t>2055-06-07T21:06:49.293062Z</t>
  </si>
  <si>
    <t>2055-06-07T20:53:27.357026Z</t>
  </si>
  <si>
    <t>2055-06-04T22:05:11.382944Z</t>
  </si>
  <si>
    <t>2055-06-04T22:57:08.455Z</t>
  </si>
  <si>
    <t>2055-06-04T22:38:15.455Z</t>
  </si>
  <si>
    <t>2055-06-04T22:29:04.007739Z</t>
  </si>
  <si>
    <t>2055-06-04T22:38:55.789493Z</t>
  </si>
  <si>
    <t>2055-06-04T22:11:14.692998Z</t>
  </si>
  <si>
    <t>2055-06-04T22:11:26.42803Z</t>
  </si>
  <si>
    <t>2055-06-04T22:29:02.104198Z</t>
  </si>
  <si>
    <t>2055-06-04T18:29:04.007739Z</t>
  </si>
  <si>
    <t>2055-06-04T18:38:55.789493Z</t>
  </si>
  <si>
    <t>2055-06-04T18:11:14.692998Z</t>
  </si>
  <si>
    <t>2055-06-04T18:29:02.104198Z</t>
  </si>
  <si>
    <t>2055-06-05T16:57:16.408526Z</t>
  </si>
  <si>
    <t>2055-06-05T17:54:27.477Z</t>
  </si>
  <si>
    <t>2055-06-05T17:34:20.477Z</t>
  </si>
  <si>
    <t>2055-06-05T17:30:56.924642Z</t>
  </si>
  <si>
    <t>2055-06-05T17:43:52.373212Z</t>
  </si>
  <si>
    <t>2055-06-05T17:19:55.341305Z</t>
  </si>
  <si>
    <t>2055-06-05T17:20:12.712664Z</t>
  </si>
  <si>
    <t>2055-06-05T17:29:45.389599Z</t>
  </si>
  <si>
    <t>2055-06-05T13:30:56.924642Z</t>
  </si>
  <si>
    <t>2055-06-05T13:43:52.373212Z</t>
  </si>
  <si>
    <t>2055-06-05T13:19:55.341305Z</t>
  </si>
  <si>
    <t>2055-06-05T13:29:45.389599Z</t>
  </si>
  <si>
    <t>2055-06-05T22:15:11.150479Z</t>
  </si>
  <si>
    <t>2055-06-05T23:18:18.217Z</t>
  </si>
  <si>
    <t>2055-06-05T22:58:39.217Z</t>
  </si>
  <si>
    <t>2055-06-05T23:42:35.32698Z</t>
  </si>
  <si>
    <t>2055-06-05T23:47:12.19938Z</t>
  </si>
  <si>
    <t>2055-06-05T22:19:15.967801Z</t>
  </si>
  <si>
    <t>2055-06-05T22:19:20.826115Z</t>
  </si>
  <si>
    <t>2055-06-05T23:42:24.336577Z</t>
  </si>
  <si>
    <t>2055-06-05T19:42:35.32698Z</t>
  </si>
  <si>
    <t>2055-06-05T19:47:12.19938Z</t>
  </si>
  <si>
    <t>2055-06-05T18:19:15.967801Z</t>
  </si>
  <si>
    <t>2055-06-05T19:42:24.336577Z</t>
  </si>
  <si>
    <t>2055-06-07T22:17:30.618251Z</t>
  </si>
  <si>
    <t>2055-06-07T23:20:15.711Z</t>
  </si>
  <si>
    <t>2055-06-07T23:06:22.711Z</t>
  </si>
  <si>
    <t>2055-06-07T23:40:25.936182Z</t>
  </si>
  <si>
    <t>2055-06-08T00:01:56.730891Z</t>
  </si>
  <si>
    <t>2055-06-07T22:17:47.258699Z</t>
  </si>
  <si>
    <t>2055-06-07T22:18:09.007528Z</t>
  </si>
  <si>
    <t>2055-06-07T23:39:14.515013Z</t>
  </si>
  <si>
    <t>2055-06-07T19:40:25.936182Z</t>
  </si>
  <si>
    <t>2055-06-07T20:01:56.730891Z</t>
  </si>
  <si>
    <t>2055-06-07T18:17:47.258699Z</t>
  </si>
  <si>
    <t>2055-06-07T19:39:14.515013Z</t>
  </si>
  <si>
    <t>2055-06-13T16:33:07.37941Z</t>
  </si>
  <si>
    <t>2055-06-13T17:24:26.441Z</t>
  </si>
  <si>
    <t>2055-06-13T17:04:19.441Z</t>
  </si>
  <si>
    <t>2055-06-13T16:45:39.420048Z</t>
  </si>
  <si>
    <t>2055-06-13T16:52:44.408066Z</t>
  </si>
  <si>
    <t>2055-06-13T16:33:14.075537Z</t>
  </si>
  <si>
    <t>2055-06-13T16:33:42.715824Z</t>
  </si>
  <si>
    <t>2055-06-13T16:38:16.828025Z</t>
  </si>
  <si>
    <t>2055-06-13T12:45:39.420048Z</t>
  </si>
  <si>
    <t>2055-06-13T12:52:44.408066Z</t>
  </si>
  <si>
    <t>2055-06-13T12:33:14.075537Z</t>
  </si>
  <si>
    <t>2055-06-13T12:38:16.828025Z</t>
  </si>
  <si>
    <t>2055-06-03T00:55:36.83944Z</t>
  </si>
  <si>
    <t>2055-06-03T01:42:46.897Z</t>
  </si>
  <si>
    <t>2055-06-03T01:23:07.897Z</t>
  </si>
  <si>
    <t>2055-06-03T01:28:10.049871Z</t>
  </si>
  <si>
    <t>2055-06-03T01:36:42.752315Z</t>
  </si>
  <si>
    <t>2055-06-03T01:01:54.875911Z</t>
  </si>
  <si>
    <t>2055-06-03T01:02:01.507672Z</t>
  </si>
  <si>
    <t>2055-06-03T01:25:18.595718Z</t>
  </si>
  <si>
    <t>2055-06-02T21:28:10.049871Z</t>
  </si>
  <si>
    <t>2055-06-02T21:36:42.752315Z</t>
  </si>
  <si>
    <t>2055-06-02T21:01:54.875911Z</t>
  </si>
  <si>
    <t>2055-06-02T21:25:18.595718Z</t>
  </si>
  <si>
    <t>2055-06-04T01:21:35.116607Z</t>
  </si>
  <si>
    <t>2055-06-04T02:18:53.21Z</t>
  </si>
  <si>
    <t>2055-06-04T02:00:00.21Z</t>
  </si>
  <si>
    <t>2055-06-04T01:50:39.149124Z</t>
  </si>
  <si>
    <t>2055-06-04T02:05:00.996048Z</t>
  </si>
  <si>
    <t>2055-06-04T01:33:07.336214Z</t>
  </si>
  <si>
    <t>2055-06-04T01:33:11.078277Z</t>
  </si>
  <si>
    <t>2055-06-04T01:43:29.309963Z</t>
  </si>
  <si>
    <t>2055-06-03T21:50:39.149124Z</t>
  </si>
  <si>
    <t>2055-06-03T22:05:00.996048Z</t>
  </si>
  <si>
    <t>2055-06-03T21:33:07.336214Z</t>
  </si>
  <si>
    <t>2055-06-03T21:43:29.309963Z</t>
  </si>
  <si>
    <t>2055-06-07T00:34:29.550476Z</t>
  </si>
  <si>
    <t>2055-06-07T01:53:12.611Z</t>
  </si>
  <si>
    <t>2055-06-07T01:33:05.611Z</t>
  </si>
  <si>
    <t>2055-06-07T01:13:50.909796Z</t>
  </si>
  <si>
    <t>2055-06-07T01:50:25.956107Z</t>
  </si>
  <si>
    <t>2055-06-07T00:34:35.092687Z</t>
  </si>
  <si>
    <t>2055-06-07T00:35:21.091482Z</t>
  </si>
  <si>
    <t>2055-06-07T00:53:04.267687Z</t>
  </si>
  <si>
    <t>2055-06-06T21:13:50.909796Z</t>
  </si>
  <si>
    <t>2055-06-06T21:50:25.956107Z</t>
  </si>
  <si>
    <t>2055-06-06T20:34:35.092687Z</t>
  </si>
  <si>
    <t>2055-06-06T20:53:04.267687Z</t>
  </si>
  <si>
    <t>2055-06-12T17:52:42.912085Z</t>
  </si>
  <si>
    <t>2055-06-12T18:47:32.965Z</t>
  </si>
  <si>
    <t>2055-06-12T18:38:39.965Z</t>
  </si>
  <si>
    <t>2055-06-12T18:24:22.370055Z</t>
  </si>
  <si>
    <t>2055-06-12T18:37:52.951179Z</t>
  </si>
  <si>
    <t>2055-06-12T17:57:14.441497Z</t>
  </si>
  <si>
    <t>2055-06-12T17:57:32.941183Z</t>
  </si>
  <si>
    <t>2055-06-12T14:24:22.370055Z</t>
  </si>
  <si>
    <t>2055-06-12T14:37:52.951179Z</t>
  </si>
  <si>
    <t>2055-06-12T13:57:14.441497Z</t>
  </si>
  <si>
    <t>2055-06-05T23:45:42.99689Z</t>
  </si>
  <si>
    <t>2055-06-06T01:14:51.068Z</t>
  </si>
  <si>
    <t>2055-06-06T00:51:33.068Z</t>
  </si>
  <si>
    <t>2055-06-06T00:38:19.734113Z</t>
  </si>
  <si>
    <t>2055-06-06T00:48:45.745753Z</t>
  </si>
  <si>
    <t>2055-06-05T23:55:07.665518Z</t>
  </si>
  <si>
    <t>2055-06-05T23:55:11.060043Z</t>
  </si>
  <si>
    <t>2055-06-06T00:04:14.786684Z</t>
  </si>
  <si>
    <t>2055-06-05T20:38:19.734113Z</t>
  </si>
  <si>
    <t>2055-06-05T20:48:45.745753Z</t>
  </si>
  <si>
    <t>2055-06-05T19:55:07.665518Z</t>
  </si>
  <si>
    <t>2055-06-05T20:04:14.786684Z</t>
  </si>
  <si>
    <t>2055-06-09T22:58:56.253475Z</t>
  </si>
  <si>
    <t>2055-06-09T23:46:36.321Z</t>
  </si>
  <si>
    <t>2055-06-09T23:42:43.321Z</t>
  </si>
  <si>
    <t>2055-06-09T23:41:02.044004Z</t>
  </si>
  <si>
    <t>2055-06-10T00:23:47.77575Z</t>
  </si>
  <si>
    <t>2055-06-09T22:59:14.114474Z</t>
  </si>
  <si>
    <t>2055-06-09T22:59:37.202782Z</t>
  </si>
  <si>
    <t>2055-06-09T23:36:24.536014Z</t>
  </si>
  <si>
    <t>2055-06-09T19:41:02.044004Z</t>
  </si>
  <si>
    <t>2055-06-09T20:23:47.77575Z</t>
  </si>
  <si>
    <t>2055-06-09T18:59:14.114474Z</t>
  </si>
  <si>
    <t>2055-06-09T19:36:24.536014Z</t>
  </si>
  <si>
    <t>2055-06-04T23:57:45.591225Z</t>
  </si>
  <si>
    <t>2055-06-05T00:47:45.656Z</t>
  </si>
  <si>
    <t>2055-06-05T00:27:38.656Z</t>
  </si>
  <si>
    <t>2055-06-05T00:18:34.071525Z</t>
  </si>
  <si>
    <t>2055-06-05T00:28:26.427863Z</t>
  </si>
  <si>
    <t>2055-06-05T00:02:15.312321Z</t>
  </si>
  <si>
    <t>2055-06-05T00:02:20.371559Z</t>
  </si>
  <si>
    <t>2055-06-05T00:12:25.024029Z</t>
  </si>
  <si>
    <t>2055-06-04T20:18:34.071525Z</t>
  </si>
  <si>
    <t>2055-06-04T20:28:26.427863Z</t>
  </si>
  <si>
    <t>2055-06-04T20:02:15.312321Z</t>
  </si>
  <si>
    <t>2055-06-04T20:12:25.024029Z</t>
  </si>
  <si>
    <t>2055-06-05T18:31:56.645814Z</t>
  </si>
  <si>
    <t>2055-06-05T19:29:07.73Z</t>
  </si>
  <si>
    <t>2055-06-05T19:05:49.73Z</t>
  </si>
  <si>
    <t>2055-06-05T18:54:10.765613Z</t>
  </si>
  <si>
    <t>2055-06-05T19:06:39.859257Z</t>
  </si>
  <si>
    <t>2055-06-05T18:41:07.531702Z</t>
  </si>
  <si>
    <t>2055-06-05T18:41:23.750057Z</t>
  </si>
  <si>
    <t>2055-06-05T18:58:18.311582Z</t>
  </si>
  <si>
    <t>2055-06-05T14:54:10.765613Z</t>
  </si>
  <si>
    <t>2055-06-05T15:06:39.859257Z</t>
  </si>
  <si>
    <t>2055-06-05T14:41:07.531702Z</t>
  </si>
  <si>
    <t>2055-06-05T14:58:18.311582Z</t>
  </si>
  <si>
    <t>2055-06-05T16:45:32.237169Z</t>
  </si>
  <si>
    <t>2055-06-05T17:40:32.323Z</t>
  </si>
  <si>
    <t>2055-06-05T17:16:43.323Z</t>
  </si>
  <si>
    <t>2055-06-05T17:24:09.103853Z</t>
  </si>
  <si>
    <t>2055-06-05T17:34:07.888132Z</t>
  </si>
  <si>
    <t>2055-06-05T17:07:07.441017Z</t>
  </si>
  <si>
    <t>2055-06-05T17:07:11.110513Z</t>
  </si>
  <si>
    <t>2055-06-05T17:20:03.763516Z</t>
  </si>
  <si>
    <t>2055-06-05T13:24:09.103853Z</t>
  </si>
  <si>
    <t>2055-06-05T13:34:07.888132Z</t>
  </si>
  <si>
    <t>2055-06-05T13:07:07.441017Z</t>
  </si>
  <si>
    <t>2055-06-05T13:20:03.763516Z</t>
  </si>
  <si>
    <t>2055-06-11T23:15:38.596112Z</t>
  </si>
  <si>
    <t>2055-06-12T00:07:51.648Z</t>
  </si>
  <si>
    <t>2055-06-11T23:47:44.648Z</t>
  </si>
  <si>
    <t>2055-06-11T23:41:41.150079Z</t>
  </si>
  <si>
    <t>2055-06-11T23:56:07.826347Z</t>
  </si>
  <si>
    <t>2055-06-11T23:22:14.666551Z</t>
  </si>
  <si>
    <t>2055-06-11T23:22:31.669049Z</t>
  </si>
  <si>
    <t>2055-06-11T23:31:26.960699Z</t>
  </si>
  <si>
    <t>2055-06-11T19:41:41.150079Z</t>
  </si>
  <si>
    <t>2055-06-11T19:56:07.826347Z</t>
  </si>
  <si>
    <t>2055-06-11T19:22:14.666551Z</t>
  </si>
  <si>
    <t>2055-06-11T19:31:26.960699Z</t>
  </si>
  <si>
    <t>2055-06-04T17:20:20.633028Z</t>
  </si>
  <si>
    <t>2055-06-04T19:30:00Z</t>
  </si>
  <si>
    <t>2055-06-04T18:56:50.665248Z</t>
  </si>
  <si>
    <t>2055-06-04T19:15:33.304812Z</t>
  </si>
  <si>
    <t>2055-06-04T18:30:07.297256Z</t>
  </si>
  <si>
    <t>2055-06-04T18:30:16.350942Z</t>
  </si>
  <si>
    <t>2055-06-04T18:45:16.829783Z</t>
  </si>
  <si>
    <t>2055-06-04T14:56:50.665248Z</t>
  </si>
  <si>
    <t>2055-06-04T15:15:33.304812Z</t>
  </si>
  <si>
    <t>2055-06-04T14:30:07.297256Z</t>
  </si>
  <si>
    <t>2055-06-04T14:45:16.829783Z</t>
  </si>
  <si>
    <t>2055-06-01T16:19:52.696007Z</t>
  </si>
  <si>
    <t>2055-06-01T17:14:52.777Z</t>
  </si>
  <si>
    <t>2055-06-01T16:50:47.777Z</t>
  </si>
  <si>
    <t>2055-06-01T16:38:57.376002Z</t>
  </si>
  <si>
    <t>2055-06-01T16:51:32.783262Z</t>
  </si>
  <si>
    <t>2055-06-01T16:21:27.312008Z</t>
  </si>
  <si>
    <t>2055-06-01T16:21:30.839191Z</t>
  </si>
  <si>
    <t>2055-06-01T16:34:00.179133Z</t>
  </si>
  <si>
    <t>2055-06-01T12:38:57.376002Z</t>
  </si>
  <si>
    <t>2055-06-01T12:51:32.783262Z</t>
  </si>
  <si>
    <t>2055-06-01T12:21:27.312008Z</t>
  </si>
  <si>
    <t>2055-06-01T12:34:00.179133Z</t>
  </si>
  <si>
    <t>2055-06-08T16:17:06.205862Z</t>
  </si>
  <si>
    <t>2055-06-08T17:21:35.267Z</t>
  </si>
  <si>
    <t>2055-06-08T17:06:56.267Z</t>
  </si>
  <si>
    <t>2055-06-08T16:53:56.915232Z</t>
  </si>
  <si>
    <t>2055-06-08T16:56:59.223153Z</t>
  </si>
  <si>
    <t>2055-06-08T16:35:34.886217Z</t>
  </si>
  <si>
    <t>2055-06-08T16:36:00.432193Z</t>
  </si>
  <si>
    <t>2055-06-08T16:45:04.833624Z</t>
  </si>
  <si>
    <t>2055-06-08T12:53:56.915232Z</t>
  </si>
  <si>
    <t>2055-06-08T12:56:59.223153Z</t>
  </si>
  <si>
    <t>2055-06-08T12:35:34.886217Z</t>
  </si>
  <si>
    <t>2055-06-08T12:45:04.833624Z</t>
  </si>
  <si>
    <t>2055-06-09T17:32:06.222914Z</t>
  </si>
  <si>
    <t>2055-06-09T18:59:13.27Z</t>
  </si>
  <si>
    <t>2055-06-09T18:38:24.27Z</t>
  </si>
  <si>
    <t>2055-06-09T18:10:55.280808Z</t>
  </si>
  <si>
    <t>2055-06-09T18:21:48.314663Z</t>
  </si>
  <si>
    <t>2055-06-09T17:38:54.373661Z</t>
  </si>
  <si>
    <t>2055-06-09T17:39:15.930459Z</t>
  </si>
  <si>
    <t>2055-06-09T17:57:33.485499Z</t>
  </si>
  <si>
    <t>2055-06-09T14:10:55.280808Z</t>
  </si>
  <si>
    <t>2055-06-09T14:21:48.314663Z</t>
  </si>
  <si>
    <t>2055-06-09T13:38:54.373661Z</t>
  </si>
  <si>
    <t>2055-06-09T13:57:33.485499Z</t>
  </si>
  <si>
    <t>2055-06-02T16:11:22.576352Z</t>
  </si>
  <si>
    <t>2055-06-02T17:06:22.684Z</t>
  </si>
  <si>
    <t>2055-06-02T16:41:30.684Z</t>
  </si>
  <si>
    <t>2055-06-02T16:34:42.714417Z</t>
  </si>
  <si>
    <t>2055-06-02T16:50:56.616208Z</t>
  </si>
  <si>
    <t>2055-06-02T16:11:27.304484Z</t>
  </si>
  <si>
    <t>2055-06-02T16:11:36.350014Z</t>
  </si>
  <si>
    <t>2055-06-02T16:16:04.546755Z</t>
  </si>
  <si>
    <t>2055-06-02T12:34:42.714417Z</t>
  </si>
  <si>
    <t>2055-06-02T12:50:56.616208Z</t>
  </si>
  <si>
    <t>2055-06-02T12:11:27.304484Z</t>
  </si>
  <si>
    <t>2055-06-02T12:16:04.546755Z</t>
  </si>
  <si>
    <t>2055-06-02T22:37:56.010487Z</t>
  </si>
  <si>
    <t>2055-06-02T23:41:38.07Z</t>
  </si>
  <si>
    <t>2055-06-02T23:18:20.07Z</t>
  </si>
  <si>
    <t>2055-06-02T23:02:49.986649Z</t>
  </si>
  <si>
    <t>2055-06-02T23:10:20.579946Z</t>
  </si>
  <si>
    <t>2055-06-02T22:44:07.334498Z</t>
  </si>
  <si>
    <t>2055-06-02T22:44:18.415824Z</t>
  </si>
  <si>
    <t>2055-06-02T22:57:48.346624Z</t>
  </si>
  <si>
    <t>2055-06-02T19:02:49.986649Z</t>
  </si>
  <si>
    <t>2055-06-02T19:10:20.579946Z</t>
  </si>
  <si>
    <t>2055-06-02T18:44:07.334498Z</t>
  </si>
  <si>
    <t>2055-06-02T18:57:48.346624Z</t>
  </si>
  <si>
    <t>2055-06-07T23:27:23.633757Z</t>
  </si>
  <si>
    <t>2055-06-08T00:12:23.692Z</t>
  </si>
  <si>
    <t>2055-06-08T00:02:27.692Z</t>
  </si>
  <si>
    <t>2055-06-07T23:48:43.232948Z</t>
  </si>
  <si>
    <t>2055-06-07T23:59:05.564205Z</t>
  </si>
  <si>
    <t>2055-06-07T23:27:27.476696Z</t>
  </si>
  <si>
    <t>2055-06-07T23:27:47.134Z</t>
  </si>
  <si>
    <t>2055-06-07T23:48:36.669768Z</t>
  </si>
  <si>
    <t>2055-06-07T19:48:43.232948Z</t>
  </si>
  <si>
    <t>2055-06-07T19:59:05.564205Z</t>
  </si>
  <si>
    <t>2055-06-07T19:27:27.476696Z</t>
  </si>
  <si>
    <t>2055-06-07T19:48:36.669768Z</t>
  </si>
  <si>
    <t>2055-06-12T12:41:00.535167Z</t>
  </si>
  <si>
    <t>2055-06-12T13:29:51.611Z</t>
  </si>
  <si>
    <t>2055-06-12T13:19:12.611Z</t>
  </si>
  <si>
    <t>2055-06-12T13:53:37.040419Z</t>
  </si>
  <si>
    <t>2055-06-12T14:21:56.129489Z</t>
  </si>
  <si>
    <t>2055-06-12T13:03:54.067469Z</t>
  </si>
  <si>
    <t>2055-06-12T13:03:58.800367Z</t>
  </si>
  <si>
    <t>2055-06-12T09:53:37.040419Z</t>
  </si>
  <si>
    <t>2055-06-12T10:21:56.129489Z</t>
  </si>
  <si>
    <t>2055-06-12T09:03:54.067469Z</t>
  </si>
  <si>
    <t>2055-06-12T18:24:51.09646Z</t>
  </si>
  <si>
    <t>2055-06-12T19:44:20.142Z</t>
  </si>
  <si>
    <t>2055-06-12T19:16:07.142Z</t>
  </si>
  <si>
    <t>2055-06-12T19:18:39.999022Z</t>
  </si>
  <si>
    <t>2055-06-12T19:23:52.909756Z</t>
  </si>
  <si>
    <t>2055-06-12T18:48:34.219391Z</t>
  </si>
  <si>
    <t>2055-06-12T18:48:41.178916Z</t>
  </si>
  <si>
    <t>2055-06-12T19:15:30.331253Z</t>
  </si>
  <si>
    <t>2055-06-12T15:18:39.999022Z</t>
  </si>
  <si>
    <t>2055-06-12T15:23:52.909756Z</t>
  </si>
  <si>
    <t>2055-06-12T14:48:34.219391Z</t>
  </si>
  <si>
    <t>2055-06-12T15:15:30.331253Z</t>
  </si>
  <si>
    <t>2055-06-03T17:13:06.12248Z</t>
  </si>
  <si>
    <t>2055-06-03T18:05:30.208Z</t>
  </si>
  <si>
    <t>2055-06-03T18:04:51.208Z</t>
  </si>
  <si>
    <t>2055-06-03T17:36:13.66701Z</t>
  </si>
  <si>
    <t>2055-06-03T18:02:11.044368Z</t>
  </si>
  <si>
    <t>2055-06-03T17:13:27.238847Z</t>
  </si>
  <si>
    <t>2055-06-03T17:13:49.428691Z</t>
  </si>
  <si>
    <t>2055-06-03T17:26:10.823543Z</t>
  </si>
  <si>
    <t>2055-06-03T13:36:13.66701Z</t>
  </si>
  <si>
    <t>2055-06-03T14:02:11.044368Z</t>
  </si>
  <si>
    <t>2055-06-03T13:13:27.238847Z</t>
  </si>
  <si>
    <t>2055-06-03T13:26:10.823543Z</t>
  </si>
  <si>
    <t>2055-06-06T15:17:05.337045Z</t>
  </si>
  <si>
    <t>2055-06-06T16:12:05.416Z</t>
  </si>
  <si>
    <t>2055-06-06T15:49:24.416Z</t>
  </si>
  <si>
    <t>2055-06-06T15:35:09.106874Z</t>
  </si>
  <si>
    <t>2055-06-06T15:49:20.949602Z</t>
  </si>
  <si>
    <t>2055-06-06T15:19:27.337964Z</t>
  </si>
  <si>
    <t>2055-06-06T15:19:45.431231Z</t>
  </si>
  <si>
    <t>2055-06-06T15:27:52.505906Z</t>
  </si>
  <si>
    <t>2055-06-06T11:35:09.106874Z</t>
  </si>
  <si>
    <t>2055-06-06T11:49:20.949602Z</t>
  </si>
  <si>
    <t>2055-06-06T11:19:27.337964Z</t>
  </si>
  <si>
    <t>2055-06-06T11:27:52.505906Z</t>
  </si>
  <si>
    <t>2055-06-06T15:54:41.47297Z</t>
  </si>
  <si>
    <t>2055-06-06T16:53:37.553Z</t>
  </si>
  <si>
    <t>2055-06-06T16:33:30.553Z</t>
  </si>
  <si>
    <t>2055-06-06T16:37:56.310404Z</t>
  </si>
  <si>
    <t>2055-06-06T16:53:17.426992Z</t>
  </si>
  <si>
    <t>2055-06-06T15:56:47.336993Z</t>
  </si>
  <si>
    <t>2055-06-06T15:56:50.701085Z</t>
  </si>
  <si>
    <t>2055-06-06T16:27:48.305697Z</t>
  </si>
  <si>
    <t>2055-06-06T12:37:56.310404Z</t>
  </si>
  <si>
    <t>2055-06-06T12:53:17.426992Z</t>
  </si>
  <si>
    <t>2055-06-06T11:56:47.336993Z</t>
  </si>
  <si>
    <t>2055-06-06T12:27:48.305697Z</t>
  </si>
  <si>
    <t>2055-06-05T20:26:16.988255Z</t>
  </si>
  <si>
    <t>2055-06-05T21:21:17.047Z</t>
  </si>
  <si>
    <t>2055-06-05T20:57:39.047Z</t>
  </si>
  <si>
    <t>2055-06-05T20:44:49.674309Z</t>
  </si>
  <si>
    <t>2055-06-05T21:04:24.708772Z</t>
  </si>
  <si>
    <t>2055-06-05T20:27:47.335345Z</t>
  </si>
  <si>
    <t>2055-06-05T20:28:31.59779Z</t>
  </si>
  <si>
    <t>2055-06-05T20:44:14.427071Z</t>
  </si>
  <si>
    <t>2055-06-05T16:44:49.674309Z</t>
  </si>
  <si>
    <t>2055-06-05T17:04:24.708772Z</t>
  </si>
  <si>
    <t>2055-06-05T16:27:47.335345Z</t>
  </si>
  <si>
    <t>2055-06-05T16:44:14.427071Z</t>
  </si>
  <si>
    <t>2055-06-06T00:01:14.79773Z</t>
  </si>
  <si>
    <t>2055-06-06T01:14:26.449Z</t>
  </si>
  <si>
    <t>2055-06-06T00:54:45.449Z</t>
  </si>
  <si>
    <t>2055-06-06T01:18:22.543279Z</t>
  </si>
  <si>
    <t>2055-06-06T01:24:37.891441Z</t>
  </si>
  <si>
    <t>2055-06-06T00:50:14.276108Z</t>
  </si>
  <si>
    <t>2055-06-06T00:50:37.143557Z</t>
  </si>
  <si>
    <t>2055-06-06T01:03:11.195885Z</t>
  </si>
  <si>
    <t>2055-06-05T21:18:22.543279Z</t>
  </si>
  <si>
    <t>2055-06-05T21:24:37.891441Z</t>
  </si>
  <si>
    <t>2055-06-05T20:50:14.276108Z</t>
  </si>
  <si>
    <t>2055-06-05T21:03:11.195885Z</t>
  </si>
  <si>
    <t>2055-06-08T12:21:13.041744Z</t>
  </si>
  <si>
    <t>2055-06-08T13:18:31.986311Z</t>
  </si>
  <si>
    <t>2055-06-08T13:28:43.570354Z</t>
  </si>
  <si>
    <t>2055-06-08T13:00:34.058333Z</t>
  </si>
  <si>
    <t>2055-06-08T13:00:37.846603Z</t>
  </si>
  <si>
    <t>2055-06-08T13:13:15.14856Z</t>
  </si>
  <si>
    <t>2055-06-08T09:18:31.986311Z</t>
  </si>
  <si>
    <t>2055-06-08T09:28:43.570354Z</t>
  </si>
  <si>
    <t>2055-06-08T09:00:34.058333Z</t>
  </si>
  <si>
    <t>2055-06-08T09:13:15.14856Z</t>
  </si>
  <si>
    <t>2055-06-01T19:23:52.515432Z</t>
  </si>
  <si>
    <t>2055-06-01T20:05:24.609Z</t>
  </si>
  <si>
    <t>2055-06-01T20:00:17.609Z</t>
  </si>
  <si>
    <t>2055-06-01T20:29:44.240917Z</t>
  </si>
  <si>
    <t>2055-06-01T20:44:26.10762Z</t>
  </si>
  <si>
    <t>2055-06-01T20:19:28.771241Z</t>
  </si>
  <si>
    <t>2055-06-01T20:19:49.14161Z</t>
  </si>
  <si>
    <t>2055-06-01T20:27:44.456667Z</t>
  </si>
  <si>
    <t>2055-06-01T16:29:44.240917Z</t>
  </si>
  <si>
    <t>2055-06-01T16:44:26.10762Z</t>
  </si>
  <si>
    <t>2055-06-01T16:19:28.771241Z</t>
  </si>
  <si>
    <t>2055-06-01T16:27:44.456667Z</t>
  </si>
  <si>
    <t>2055-06-04T14:29:15.266468Z</t>
  </si>
  <si>
    <t>2055-06-04T15:23:39.818362Z</t>
  </si>
  <si>
    <t>2055-06-04T15:38:32.810947Z</t>
  </si>
  <si>
    <t>2055-06-04T15:00:07.435925Z</t>
  </si>
  <si>
    <t>2055-06-04T15:00:20.204501Z</t>
  </si>
  <si>
    <t>2055-06-04T15:09:55.460671Z</t>
  </si>
  <si>
    <t>2055-06-04T11:23:39.818362Z</t>
  </si>
  <si>
    <t>2055-06-04T11:38:32.810947Z</t>
  </si>
  <si>
    <t>2055-06-04T11:00:07.435925Z</t>
  </si>
  <si>
    <t>2055-06-04T11:09:55.460671Z</t>
  </si>
  <si>
    <t>2055-06-11T23:54:40.885916Z</t>
  </si>
  <si>
    <t>2055-06-12T00:39:46.935Z</t>
  </si>
  <si>
    <t>2055-06-12T00:35:07.935Z</t>
  </si>
  <si>
    <t>2055-06-12T00:33:20.300392Z</t>
  </si>
  <si>
    <t>2055-06-12T00:49:25.134404Z</t>
  </si>
  <si>
    <t>2055-06-11T23:54:54.137086Z</t>
  </si>
  <si>
    <t>2055-06-11T23:55:12.523427Z</t>
  </si>
  <si>
    <t>2055-06-11T23:57:46.416395Z</t>
  </si>
  <si>
    <t>2055-06-11T20:33:20.300392Z</t>
  </si>
  <si>
    <t>2055-06-11T20:49:25.134404Z</t>
  </si>
  <si>
    <t>2055-06-11T19:54:54.137086Z</t>
  </si>
  <si>
    <t>2055-06-11T19:57:46.416395Z</t>
  </si>
  <si>
    <t>2055-06-07T00:10:15.652103Z</t>
  </si>
  <si>
    <t>2055-06-07T01:05:15.726Z</t>
  </si>
  <si>
    <t>2055-06-07T00:42:46.726Z</t>
  </si>
  <si>
    <t>2055-06-07T00:27:45.350095Z</t>
  </si>
  <si>
    <t>2055-06-07T00:37:41.431327Z</t>
  </si>
  <si>
    <t>2055-06-07T00:10:27.317166Z</t>
  </si>
  <si>
    <t>2055-06-07T00:10:40.597102Z</t>
  </si>
  <si>
    <t>2055-06-07T00:22:28.298232Z</t>
  </si>
  <si>
    <t>2055-06-06T20:27:45.350095Z</t>
  </si>
  <si>
    <t>2055-06-06T20:37:41.431327Z</t>
  </si>
  <si>
    <t>2055-06-06T20:10:27.317166Z</t>
  </si>
  <si>
    <t>2055-06-06T20:22:28.298232Z</t>
  </si>
  <si>
    <t>2055-06-02T23:24:09.354965Z</t>
  </si>
  <si>
    <t>2055-06-03T00:03:15.42Z</t>
  </si>
  <si>
    <t>2055-06-02T23:58:36.42Z</t>
  </si>
  <si>
    <t>2055-06-02T23:47:09.134836Z</t>
  </si>
  <si>
    <t>2055-06-03T00:03:22.385791Z</t>
  </si>
  <si>
    <t>2055-06-02T23:30:34.957186Z</t>
  </si>
  <si>
    <t>2055-06-02T23:30:42.491818Z</t>
  </si>
  <si>
    <t>2055-06-02T23:45:09.912936Z</t>
  </si>
  <si>
    <t>2055-06-02T19:47:09.134836Z</t>
  </si>
  <si>
    <t>2055-06-02T20:03:22.385791Z</t>
  </si>
  <si>
    <t>2055-06-02T19:30:34.957186Z</t>
  </si>
  <si>
    <t>2055-06-02T19:45:09.912936Z</t>
  </si>
  <si>
    <t>2055-06-03T18:06:38.119521Z</t>
  </si>
  <si>
    <t>2055-06-03T18:51:11.179Z</t>
  </si>
  <si>
    <t>2055-06-03T18:42:53.179Z</t>
  </si>
  <si>
    <t>2055-06-03T18:27:16.873006Z</t>
  </si>
  <si>
    <t>2055-06-03T18:48:18.193885Z</t>
  </si>
  <si>
    <t>2055-06-03T18:06:47.335948Z</t>
  </si>
  <si>
    <t>2055-06-03T18:06:58.812676Z</t>
  </si>
  <si>
    <t>2055-06-03T18:24:43.249927Z</t>
  </si>
  <si>
    <t>2055-06-03T14:27:16.873006Z</t>
  </si>
  <si>
    <t>2055-06-03T14:48:18.193885Z</t>
  </si>
  <si>
    <t>2055-06-03T14:06:47.335948Z</t>
  </si>
  <si>
    <t>2055-06-03T14:24:43.249927Z</t>
  </si>
  <si>
    <t>2055-06-03T21:53:10.813059Z</t>
  </si>
  <si>
    <t>2055-06-03T22:43:10.912Z</t>
  </si>
  <si>
    <t>2055-06-03T22:20:32.912Z</t>
  </si>
  <si>
    <t>2055-06-03T22:24:43.773719Z</t>
  </si>
  <si>
    <t>2055-06-03T22:33:51.195108Z</t>
  </si>
  <si>
    <t>2055-06-03T21:55:07.475772Z</t>
  </si>
  <si>
    <t>2055-06-03T21:55:15.528813Z</t>
  </si>
  <si>
    <t>2055-06-03T22:09:50.354321Z</t>
  </si>
  <si>
    <t>2055-06-03T18:24:43.773719Z</t>
  </si>
  <si>
    <t>2055-06-03T18:33:51.195108Z</t>
  </si>
  <si>
    <t>2055-06-03T17:55:07.475772Z</t>
  </si>
  <si>
    <t>2055-06-03T18:09:50.354321Z</t>
  </si>
  <si>
    <t>2055-06-05T22:41:51.992509Z</t>
  </si>
  <si>
    <t>2055-06-05T23:35:40.048Z</t>
  </si>
  <si>
    <t>2055-06-05T23:13:46.048Z</t>
  </si>
  <si>
    <t>2055-06-05T22:59:50.716872Z</t>
  </si>
  <si>
    <t>2055-06-05T23:15:56.527497Z</t>
  </si>
  <si>
    <t>2055-06-05T22:49:17.723157Z</t>
  </si>
  <si>
    <t>2055-06-05T22:49:26.151697Z</t>
  </si>
  <si>
    <t>2055-06-05T22:58:05.661337Z</t>
  </si>
  <si>
    <t>2055-06-05T18:59:50.716872Z</t>
  </si>
  <si>
    <t>2055-06-05T19:15:56.527497Z</t>
  </si>
  <si>
    <t>2055-06-05T18:49:17.723157Z</t>
  </si>
  <si>
    <t>2055-06-05T18:58:05.661337Z</t>
  </si>
  <si>
    <t>2055-06-05T23:16:12.256511Z</t>
  </si>
  <si>
    <t>2055-06-06T00:20:39.328Z</t>
  </si>
  <si>
    <t>2055-06-06T00:00:58.328Z</t>
  </si>
  <si>
    <t>2055-06-05T23:37:46.752319Z</t>
  </si>
  <si>
    <t>2055-06-05T23:42:01.723792Z</t>
  </si>
  <si>
    <t>2055-06-05T23:30:38.616263Z</t>
  </si>
  <si>
    <t>2055-06-05T23:31:09.322175Z</t>
  </si>
  <si>
    <t>2055-06-05T23:36:42.302454Z</t>
  </si>
  <si>
    <t>2055-06-05T19:37:46.752319Z</t>
  </si>
  <si>
    <t>2055-06-05T19:42:01.723792Z</t>
  </si>
  <si>
    <t>2055-06-05T19:30:38.616263Z</t>
  </si>
  <si>
    <t>2055-06-05T19:36:42.302454Z</t>
  </si>
  <si>
    <t>2055-06-08T23:50:10.798653Z</t>
  </si>
  <si>
    <t>2055-06-09T01:02:02.862Z</t>
  </si>
  <si>
    <t>2055-06-09T00:40:08.862Z</t>
  </si>
  <si>
    <t>2055-06-09T00:28:03.319105Z</t>
  </si>
  <si>
    <t>2055-06-09T01:00:44.073317Z</t>
  </si>
  <si>
    <t>2055-06-08T23:58:35.145386Z</t>
  </si>
  <si>
    <t>2055-06-08T23:59:01.467898Z</t>
  </si>
  <si>
    <t>2055-06-09T00:06:01.243226Z</t>
  </si>
  <si>
    <t>2055-06-08T20:28:03.319105Z</t>
  </si>
  <si>
    <t>2055-06-08T21:00:44.073317Z</t>
  </si>
  <si>
    <t>2055-06-08T19:58:35.145386Z</t>
  </si>
  <si>
    <t>2055-06-08T20:06:01.243226Z</t>
  </si>
  <si>
    <t>2055-06-09T12:57:00.570495Z</t>
  </si>
  <si>
    <t>2055-06-09T13:45:27.711Z</t>
  </si>
  <si>
    <t>2055-06-09T13:26:34.711Z</t>
  </si>
  <si>
    <t>2055-06-09T13:16:59.551145Z</t>
  </si>
  <si>
    <t>2055-06-09T14:04:30.871122Z</t>
  </si>
  <si>
    <t>2055-06-09T13:01:34.105077Z</t>
  </si>
  <si>
    <t>2055-06-09T13:01:45.74112Z</t>
  </si>
  <si>
    <t>2055-06-09T13:14:52.275326Z</t>
  </si>
  <si>
    <t>2055-06-09T09:16:59.551145Z</t>
  </si>
  <si>
    <t>2055-06-09T10:04:30.871122Z</t>
  </si>
  <si>
    <t>2055-06-09T09:01:34.105077Z</t>
  </si>
  <si>
    <t>2055-06-09T09:14:52.275326Z</t>
  </si>
  <si>
    <t>2055-06-10T18:54:57.483512Z</t>
  </si>
  <si>
    <t>2055-06-10T19:39:42.552Z</t>
  </si>
  <si>
    <t>2055-06-10T19:20:49.552Z</t>
  </si>
  <si>
    <t>2055-06-10T19:13:32.331941Z</t>
  </si>
  <si>
    <t>2055-06-10T19:21:22.370389Z</t>
  </si>
  <si>
    <t>2055-06-10T19:02:34.128633Z</t>
  </si>
  <si>
    <t>2055-06-10T19:02:54.318848Z</t>
  </si>
  <si>
    <t>2055-06-10T19:09:56.638694Z</t>
  </si>
  <si>
    <t>2055-06-10T15:13:32.331941Z</t>
  </si>
  <si>
    <t>2055-06-10T15:21:22.370389Z</t>
  </si>
  <si>
    <t>2055-06-10T15:02:34.128633Z</t>
  </si>
  <si>
    <t>2055-06-10T15:09:56.638694Z</t>
  </si>
  <si>
    <t>2055-06-12T20:08:12.539572Z</t>
  </si>
  <si>
    <t>2055-06-12T21:04:07.61Z</t>
  </si>
  <si>
    <t>2055-06-12T20:45:14.61Z</t>
  </si>
  <si>
    <t>2055-06-12T20:24:02.736024Z</t>
  </si>
  <si>
    <t>2055-06-12T20:38:24.050271Z</t>
  </si>
  <si>
    <t>2055-06-12T20:13:14.189866Z</t>
  </si>
  <si>
    <t>2055-06-12T20:13:29.519928Z</t>
  </si>
  <si>
    <t>2055-06-12T20:15:13.336669Z</t>
  </si>
  <si>
    <t>2055-06-12T16:24:02.736024Z</t>
  </si>
  <si>
    <t>2055-06-12T16:38:24.050271Z</t>
  </si>
  <si>
    <t>2055-06-12T16:13:14.189866Z</t>
  </si>
  <si>
    <t>2055-06-12T16:15:13.336669Z</t>
  </si>
  <si>
    <t>2055-06-05T17:25:22.320109Z</t>
  </si>
  <si>
    <t>2055-06-05T18:27:50.383Z</t>
  </si>
  <si>
    <t>2055-06-05T18:05:56.383Z</t>
  </si>
  <si>
    <t>2055-06-05T17:51:53.942717Z</t>
  </si>
  <si>
    <t>2055-06-05T17:59:46.488208Z</t>
  </si>
  <si>
    <t>2055-06-05T17:33:34.807027Z</t>
  </si>
  <si>
    <t>2055-06-05T17:33:44.706075Z</t>
  </si>
  <si>
    <t>2055-06-05T17:47:23.550401Z</t>
  </si>
  <si>
    <t>2055-06-05T13:51:53.942717Z</t>
  </si>
  <si>
    <t>2055-06-05T13:59:46.488208Z</t>
  </si>
  <si>
    <t>2055-06-05T13:33:34.807027Z</t>
  </si>
  <si>
    <t>2055-06-05T13:47:23.550401Z</t>
  </si>
  <si>
    <t>2055-06-05T23:08:39.214117Z</t>
  </si>
  <si>
    <t>2055-06-05T23:49:38.292Z</t>
  </si>
  <si>
    <t>2055-06-05T23:44:31.292Z</t>
  </si>
  <si>
    <t>2055-06-05T23:38:41.075379Z</t>
  </si>
  <si>
    <t>2055-06-05T23:47:22.605559Z</t>
  </si>
  <si>
    <t>2055-06-05T23:08:47.99216Z</t>
  </si>
  <si>
    <t>2055-06-05T23:08:58.335593Z</t>
  </si>
  <si>
    <t>2055-06-05T23:29:19.207488Z</t>
  </si>
  <si>
    <t>2055-06-05T19:38:41.075379Z</t>
  </si>
  <si>
    <t>2055-06-05T19:47:22.605559Z</t>
  </si>
  <si>
    <t>2055-06-05T19:08:47.99216Z</t>
  </si>
  <si>
    <t>2055-06-05T19:29:19.207488Z</t>
  </si>
  <si>
    <t>2055-06-05T22:07:57.300431Z</t>
  </si>
  <si>
    <t>2055-06-05T23:07:54.373Z</t>
  </si>
  <si>
    <t>2055-06-05T22:57:47.373Z</t>
  </si>
  <si>
    <t>2055-06-05T22:36:53.344933Z</t>
  </si>
  <si>
    <t>2055-06-05T22:42:35.817959Z</t>
  </si>
  <si>
    <t>2055-06-05T22:25:07.393942Z</t>
  </si>
  <si>
    <t>2055-06-05T22:25:09.742606Z</t>
  </si>
  <si>
    <t>2055-06-05T22:30:12.695245Z</t>
  </si>
  <si>
    <t>2055-06-05T18:36:53.344933Z</t>
  </si>
  <si>
    <t>2055-06-05T18:42:35.817959Z</t>
  </si>
  <si>
    <t>2055-06-05T18:25:07.393942Z</t>
  </si>
  <si>
    <t>2055-06-05T18:30:12.695245Z</t>
  </si>
  <si>
    <t>2055-06-04T00:37:17.174745Z</t>
  </si>
  <si>
    <t>2055-06-04T01:27:17.236Z</t>
  </si>
  <si>
    <t>2055-06-04T01:10:33.236Z</t>
  </si>
  <si>
    <t>2055-06-04T00:54:40.161343Z</t>
  </si>
  <si>
    <t>2055-06-04T01:07:48.416637Z</t>
  </si>
  <si>
    <t>2055-06-04T00:39:07.332585Z</t>
  </si>
  <si>
    <t>2055-06-04T00:39:14.743282Z</t>
  </si>
  <si>
    <t>2055-06-04T00:51:39.3429Z</t>
  </si>
  <si>
    <t>2055-06-03T20:54:40.161343Z</t>
  </si>
  <si>
    <t>2055-06-03T21:07:48.416637Z</t>
  </si>
  <si>
    <t>2055-06-03T20:39:07.332585Z</t>
  </si>
  <si>
    <t>2055-06-03T20:51:39.3429Z</t>
  </si>
  <si>
    <t>2055-06-05T17:44:27.152651Z</t>
  </si>
  <si>
    <t>2055-06-05T19:01:36.209Z</t>
  </si>
  <si>
    <t>2055-06-05T18:38:18.209Z</t>
  </si>
  <si>
    <t>2055-06-05T18:09:53.635618Z</t>
  </si>
  <si>
    <t>2055-06-05T18:27:13.358474Z</t>
  </si>
  <si>
    <t>2055-06-05T18:00:34.299646Z</t>
  </si>
  <si>
    <t>2055-06-05T18:00:52.242263Z</t>
  </si>
  <si>
    <t>2055-06-05T18:05:38.450366Z</t>
  </si>
  <si>
    <t>2055-06-05T14:09:53.635618Z</t>
  </si>
  <si>
    <t>2055-06-05T14:27:13.358474Z</t>
  </si>
  <si>
    <t>2055-06-05T14:00:34.299646Z</t>
  </si>
  <si>
    <t>2055-06-05T14:05:38.450366Z</t>
  </si>
  <si>
    <t>2055-06-06T01:16:33.483731Z</t>
  </si>
  <si>
    <t>2055-06-06T02:06:33.558Z</t>
  </si>
  <si>
    <t>2055-06-06T01:49:39.558Z</t>
  </si>
  <si>
    <t>2055-06-06T01:35:21.224979Z</t>
  </si>
  <si>
    <t>2055-06-06T01:48:43.681942Z</t>
  </si>
  <si>
    <t>2055-06-06T01:16:47.384446Z</t>
  </si>
  <si>
    <t>2055-06-06T01:17:20.642852Z</t>
  </si>
  <si>
    <t>2055-06-06T01:32:15.458145Z</t>
  </si>
  <si>
    <t>2055-06-05T21:35:21.224979Z</t>
  </si>
  <si>
    <t>2055-06-05T21:48:43.681942Z</t>
  </si>
  <si>
    <t>2055-06-05T21:16:47.384446Z</t>
  </si>
  <si>
    <t>2055-06-05T21:32:15.458145Z</t>
  </si>
  <si>
    <t>2055-06-07T22:18:06.514074Z</t>
  </si>
  <si>
    <t>2055-06-07T23:25:01.565Z</t>
  </si>
  <si>
    <t>2055-06-07T23:03:07.565Z</t>
  </si>
  <si>
    <t>2055-06-07T22:31:43.407075Z</t>
  </si>
  <si>
    <t>2055-06-07T22:53:19.278747Z</t>
  </si>
  <si>
    <t>2055-06-07T22:21:47.286427Z</t>
  </si>
  <si>
    <t>2055-06-07T22:22:00.257538Z</t>
  </si>
  <si>
    <t>2055-06-07T22:30:36.33177Z</t>
  </si>
  <si>
    <t>2055-06-07T18:31:43.407075Z</t>
  </si>
  <si>
    <t>2055-06-07T18:53:19.278747Z</t>
  </si>
  <si>
    <t>2055-06-07T18:21:47.286427Z</t>
  </si>
  <si>
    <t>2055-06-07T18:30:36.33177Z</t>
  </si>
  <si>
    <t>2055-06-11T19:33:28.728796Z</t>
  </si>
  <si>
    <t>2055-06-11T20:52:04.799Z</t>
  </si>
  <si>
    <t>2055-06-11T20:28:46.799Z</t>
  </si>
  <si>
    <t>2055-06-11T20:11:32.659707Z</t>
  </si>
  <si>
    <t>2055-06-11T20:32:17.932906Z</t>
  </si>
  <si>
    <t>2055-06-11T19:54:34.231688Z</t>
  </si>
  <si>
    <t>2055-06-11T19:54:53.610009Z</t>
  </si>
  <si>
    <t>2055-06-11T16:11:32.659707Z</t>
  </si>
  <si>
    <t>2055-06-11T16:32:17.932906Z</t>
  </si>
  <si>
    <t>2055-06-11T15:54:34.231688Z</t>
  </si>
  <si>
    <t>2055-06-03T00:37:41.867254Z</t>
  </si>
  <si>
    <t>2055-06-03T01:50:58.964Z</t>
  </si>
  <si>
    <t>2055-06-03T01:31:19.964Z</t>
  </si>
  <si>
    <t>2055-06-03T00:57:57.980786Z</t>
  </si>
  <si>
    <t>2055-06-03T01:09:35.104916Z</t>
  </si>
  <si>
    <t>2055-06-03T00:40:27.298079Z</t>
  </si>
  <si>
    <t>2055-06-03T00:40:55.54872Z</t>
  </si>
  <si>
    <t>2055-06-03T00:55:15.383572Z</t>
  </si>
  <si>
    <t>2055-06-02T20:57:57.980786Z</t>
  </si>
  <si>
    <t>2055-06-02T21:09:35.104916Z</t>
  </si>
  <si>
    <t>2055-06-02T20:40:27.298079Z</t>
  </si>
  <si>
    <t>2055-06-02T20:55:15.383572Z</t>
  </si>
  <si>
    <t>2055-06-01T21:01:35.091374Z</t>
  </si>
  <si>
    <t>2055-06-02T01:00:00Z</t>
  </si>
  <si>
    <t>2055-06-02T00:22:35.875142Z</t>
  </si>
  <si>
    <t>2055-06-02T00:34:19.896596Z</t>
  </si>
  <si>
    <t>2055-06-02T00:04:35.079079Z</t>
  </si>
  <si>
    <t>2055-06-02T00:04:44.7747Z</t>
  </si>
  <si>
    <t>2055-06-02T00:14:31.588039Z</t>
  </si>
  <si>
    <t>2055-06-01T20:22:35.875142Z</t>
  </si>
  <si>
    <t>2055-06-01T20:34:19.896596Z</t>
  </si>
  <si>
    <t>2055-06-01T20:04:35.079079Z</t>
  </si>
  <si>
    <t>2055-06-01T20:14:31.588039Z</t>
  </si>
  <si>
    <t>2055-06-07T00:05:46.995223Z</t>
  </si>
  <si>
    <t>2055-06-07T00:53:37.062Z</t>
  </si>
  <si>
    <t>2055-06-07T00:38:58.062Z</t>
  </si>
  <si>
    <t>2055-06-07T00:43:48.213651Z</t>
  </si>
  <si>
    <t>2055-06-07T00:50:46.296786Z</t>
  </si>
  <si>
    <t>2055-06-07T00:08:14.84775Z</t>
  </si>
  <si>
    <t>2055-06-07T00:08:22.291323Z</t>
  </si>
  <si>
    <t>2055-06-07T00:32:09.644569Z</t>
  </si>
  <si>
    <t>2055-06-06T20:43:48.213651Z</t>
  </si>
  <si>
    <t>2055-06-06T20:50:46.296786Z</t>
  </si>
  <si>
    <t>2055-06-06T20:08:14.84775Z</t>
  </si>
  <si>
    <t>2055-06-06T20:32:09.644569Z</t>
  </si>
  <si>
    <t>2055-06-03T20:07:39.515121Z</t>
  </si>
  <si>
    <t>2055-06-03T21:24:19.607Z</t>
  </si>
  <si>
    <t>2055-06-03T21:04:12.607Z</t>
  </si>
  <si>
    <t>2055-06-03T20:49:51.134399Z</t>
  </si>
  <si>
    <t>2055-06-03T21:12:53.728548Z</t>
  </si>
  <si>
    <t>2055-06-03T20:14:07.331319Z</t>
  </si>
  <si>
    <t>2055-06-03T20:14:46.732258Z</t>
  </si>
  <si>
    <t>2055-06-03T20:41:10.261989Z</t>
  </si>
  <si>
    <t>2055-06-03T16:49:51.134399Z</t>
  </si>
  <si>
    <t>2055-06-03T17:12:53.728548Z</t>
  </si>
  <si>
    <t>2055-06-03T16:14:07.331319Z</t>
  </si>
  <si>
    <t>2055-06-03T16:41:10.261989Z</t>
  </si>
  <si>
    <t>2055-06-02T23:03:06.634786Z</t>
  </si>
  <si>
    <t>2055-06-03T00:00:25.726Z</t>
  </si>
  <si>
    <t>2055-06-02T23:41:32.726Z</t>
  </si>
  <si>
    <t>2055-06-03T00:19:21.332993Z</t>
  </si>
  <si>
    <t>2055-06-03T00:33:06.412328Z</t>
  </si>
  <si>
    <t>2055-06-02T23:03:27.374552Z</t>
  </si>
  <si>
    <t>2055-06-02T23:03:33.925627Z</t>
  </si>
  <si>
    <t>2055-06-03T00:11:50.969424Z</t>
  </si>
  <si>
    <t>2055-06-02T20:19:21.332993Z</t>
  </si>
  <si>
    <t>2055-06-02T20:33:06.412328Z</t>
  </si>
  <si>
    <t>2055-06-02T19:03:27.374552Z</t>
  </si>
  <si>
    <t>2055-06-02T20:11:50.969424Z</t>
  </si>
  <si>
    <t>2055-06-07T02:22:27.545215Z</t>
  </si>
  <si>
    <t>2055-06-07T03:13:02.606Z</t>
  </si>
  <si>
    <t>2055-06-07T02:54:09.606Z</t>
  </si>
  <si>
    <t>2055-06-07T02:48:53.686411Z</t>
  </si>
  <si>
    <t>2055-06-07T03:02:37.495597Z</t>
  </si>
  <si>
    <t>2055-06-07T02:29:14.121804Z</t>
  </si>
  <si>
    <t>2055-06-07T02:30:50.189079Z</t>
  </si>
  <si>
    <t>2055-06-06T22:48:53.686411Z</t>
  </si>
  <si>
    <t>2055-06-06T23:02:37.495597Z</t>
  </si>
  <si>
    <t>2055-06-06T22:29:14.121804Z</t>
  </si>
  <si>
    <t>2055-06-04T15:19:29.398664Z</t>
  </si>
  <si>
    <t>2055-06-04T16:05:54.466207Z</t>
  </si>
  <si>
    <t>2055-06-04T16:01:54.466207Z</t>
  </si>
  <si>
    <t>2055-06-04T15:53:54.097898Z</t>
  </si>
  <si>
    <t>2055-06-04T16:10:56.387099Z</t>
  </si>
  <si>
    <t>2055-06-04T15:19:47.281471Z</t>
  </si>
  <si>
    <t>2055-06-04T15:19:50.963333Z</t>
  </si>
  <si>
    <t>2055-06-04T15:29:42.607379Z</t>
  </si>
  <si>
    <t>2055-06-04T11:53:54.097898Z</t>
  </si>
  <si>
    <t>2055-06-04T12:10:56.387099Z</t>
  </si>
  <si>
    <t>2055-06-04T11:19:47.281471Z</t>
  </si>
  <si>
    <t>2055-06-04T11:29:42.607379Z</t>
  </si>
  <si>
    <t>2055-06-05T14:31:02.561609Z</t>
  </si>
  <si>
    <t>2055-06-05T15:28:58.653Z</t>
  </si>
  <si>
    <t>2055-06-05T15:09:19.653Z</t>
  </si>
  <si>
    <t>2055-06-05T15:03:39.759208Z</t>
  </si>
  <si>
    <t>2055-06-05T15:23:01.792368Z</t>
  </si>
  <si>
    <t>2055-06-05T14:41:14.16763Z</t>
  </si>
  <si>
    <t>2055-06-05T14:41:22.762572Z</t>
  </si>
  <si>
    <t>2055-06-05T15:00:08.81583Z</t>
  </si>
  <si>
    <t>2055-06-05T11:03:39.759208Z</t>
  </si>
  <si>
    <t>2055-06-05T11:23:01.792368Z</t>
  </si>
  <si>
    <t>2055-06-05T10:41:14.16763Z</t>
  </si>
  <si>
    <t>2055-06-05T11:00:08.81583Z</t>
  </si>
  <si>
    <t>2055-06-11T20:19:07.131927Z</t>
  </si>
  <si>
    <t>2055-06-11T21:55:24.188Z</t>
  </si>
  <si>
    <t>2055-06-11T21:33:30.188Z</t>
  </si>
  <si>
    <t>2055-06-11T21:02:35.78012Z</t>
  </si>
  <si>
    <t>2055-06-11T21:14:29.932345Z</t>
  </si>
  <si>
    <t>2055-06-11T20:33:34.288869Z</t>
  </si>
  <si>
    <t>2055-06-11T20:33:46.270184Z</t>
  </si>
  <si>
    <t>2055-06-11T20:52:52.201414Z</t>
  </si>
  <si>
    <t>2055-06-11T17:02:35.78012Z</t>
  </si>
  <si>
    <t>2055-06-11T17:14:29.932345Z</t>
  </si>
  <si>
    <t>2055-06-11T16:33:34.288869Z</t>
  </si>
  <si>
    <t>2055-06-11T16:52:52.201414Z</t>
  </si>
  <si>
    <t>2055-06-03T20:47:00.257701Z</t>
  </si>
  <si>
    <t>2055-06-03T21:39:03.361Z</t>
  </si>
  <si>
    <t>2055-06-03T21:30:10.361Z</t>
  </si>
  <si>
    <t>2055-06-03T21:07:06.862978Z</t>
  </si>
  <si>
    <t>2055-06-03T21:26:50.75461Z</t>
  </si>
  <si>
    <t>2055-06-03T20:47:14.1592Z</t>
  </si>
  <si>
    <t>2055-06-03T20:47:23.915284Z</t>
  </si>
  <si>
    <t>2055-06-03T21:05:46.532487Z</t>
  </si>
  <si>
    <t>2055-06-03T17:07:06.862978Z</t>
  </si>
  <si>
    <t>2055-06-03T17:26:50.75461Z</t>
  </si>
  <si>
    <t>2055-06-03T16:47:14.1592Z</t>
  </si>
  <si>
    <t>2055-06-03T17:05:46.532487Z</t>
  </si>
  <si>
    <t>2055-06-02T22:27:03.778209Z</t>
  </si>
  <si>
    <t>2055-06-02T23:09:40.825Z</t>
  </si>
  <si>
    <t>2055-06-02T23:00:01.825Z</t>
  </si>
  <si>
    <t>2055-06-02T22:40:00.938928Z</t>
  </si>
  <si>
    <t>2055-06-02T22:53:58.805496Z</t>
  </si>
  <si>
    <t>2055-06-02T22:32:34.372769Z</t>
  </si>
  <si>
    <t>2055-06-02T22:32:42.433733Z</t>
  </si>
  <si>
    <t>2055-06-02T22:45:54.227591Z</t>
  </si>
  <si>
    <t>2055-06-02T18:40:00.938928Z</t>
  </si>
  <si>
    <t>2055-06-02T18:53:58.805496Z</t>
  </si>
  <si>
    <t>2055-06-02T18:32:34.372769Z</t>
  </si>
  <si>
    <t>2055-06-02T18:45:54.227591Z</t>
  </si>
  <si>
    <t>2055-06-11T17:36:51.888263Z</t>
  </si>
  <si>
    <t>2055-06-11T18:52:43.975Z</t>
  </si>
  <si>
    <t>2055-06-11T18:28:02.975Z</t>
  </si>
  <si>
    <t>2055-06-11T18:07:37.866992Z</t>
  </si>
  <si>
    <t>2055-06-11T18:22:04.821352Z</t>
  </si>
  <si>
    <t>2055-06-11T17:43:54.587565Z</t>
  </si>
  <si>
    <t>2055-06-11T17:44:17.946325Z</t>
  </si>
  <si>
    <t>2055-06-11T17:56:58.205573Z</t>
  </si>
  <si>
    <t>2055-06-11T14:07:37.866992Z</t>
  </si>
  <si>
    <t>2055-06-11T14:22:04.821352Z</t>
  </si>
  <si>
    <t>2055-06-11T13:43:54.587565Z</t>
  </si>
  <si>
    <t>2055-06-11T13:56:58.205573Z</t>
  </si>
  <si>
    <t>2055-06-01T20:09:20.279843Z</t>
  </si>
  <si>
    <t>2055-06-01T21:08:08.352Z</t>
  </si>
  <si>
    <t>2055-06-01T20:53:27.352Z</t>
  </si>
  <si>
    <t>2055-06-01T20:39:38.134448Z</t>
  </si>
  <si>
    <t>2055-06-01T20:56:38.134468Z</t>
  </si>
  <si>
    <t>2055-06-01T20:09:27.323837Z</t>
  </si>
  <si>
    <t>2055-06-01T20:09:46.676562Z</t>
  </si>
  <si>
    <t>2055-06-01T20:31:52.141061Z</t>
  </si>
  <si>
    <t>2055-06-01T16:39:38.134448Z</t>
  </si>
  <si>
    <t>2055-06-01T16:56:38.134468Z</t>
  </si>
  <si>
    <t>2055-06-01T16:09:27.323837Z</t>
  </si>
  <si>
    <t>2055-06-01T16:31:52.141061Z</t>
  </si>
  <si>
    <t>2055-06-01T23:10:11.932289Z</t>
  </si>
  <si>
    <t>2055-06-02T00:05:19.997Z</t>
  </si>
  <si>
    <t>2055-06-01T23:45:12.997Z</t>
  </si>
  <si>
    <t>2055-06-01T23:39:41.760692Z</t>
  </si>
  <si>
    <t>2055-06-01T23:53:25.378035Z</t>
  </si>
  <si>
    <t>2055-06-01T23:16:35.648776Z</t>
  </si>
  <si>
    <t>2055-06-01T23:17:02.767846Z</t>
  </si>
  <si>
    <t>2055-06-01T23:39:54.272092Z</t>
  </si>
  <si>
    <t>2055-06-01T19:39:41.760692Z</t>
  </si>
  <si>
    <t>2055-06-01T19:53:25.378035Z</t>
  </si>
  <si>
    <t>2055-06-01T19:16:35.648776Z</t>
  </si>
  <si>
    <t>2055-06-01T19:39:54.272092Z</t>
  </si>
  <si>
    <t>2055-06-02T21:17:03.01643Z</t>
  </si>
  <si>
    <t>2055-06-02T22:06:02.075Z</t>
  </si>
  <si>
    <t>2055-06-02T21:45:55.075Z</t>
  </si>
  <si>
    <t>2055-06-02T21:30:05.429519Z</t>
  </si>
  <si>
    <t>2055-06-02T21:41:27.789054Z</t>
  </si>
  <si>
    <t>2055-06-02T21:18:34.184265Z</t>
  </si>
  <si>
    <t>2055-06-02T21:18:52.087548Z</t>
  </si>
  <si>
    <t>2055-06-02T21:21:44.685954Z</t>
  </si>
  <si>
    <t>2055-06-02T17:30:05.429519Z</t>
  </si>
  <si>
    <t>2055-06-02T17:41:27.789054Z</t>
  </si>
  <si>
    <t>2055-06-02T17:18:34.184265Z</t>
  </si>
  <si>
    <t>2055-06-02T17:21:44.685954Z</t>
  </si>
  <si>
    <t>2055-06-03T16:34:20.436488Z</t>
  </si>
  <si>
    <t>2055-06-03T17:26:19.494Z</t>
  </si>
  <si>
    <t>2055-06-03T17:06:40.494Z</t>
  </si>
  <si>
    <t>2055-06-03T16:50:33.941031Z</t>
  </si>
  <si>
    <t>2055-06-03T16:55:53.691804Z</t>
  </si>
  <si>
    <t>2055-06-03T16:36:14.707394Z</t>
  </si>
  <si>
    <t>2055-06-03T16:36:51.422811Z</t>
  </si>
  <si>
    <t>2055-06-03T16:44:02.631305Z</t>
  </si>
  <si>
    <t>2055-06-03T12:50:33.941031Z</t>
  </si>
  <si>
    <t>2055-06-03T12:55:53.691804Z</t>
  </si>
  <si>
    <t>2055-06-03T12:36:14.707394Z</t>
  </si>
  <si>
    <t>2055-06-03T12:44:02.631305Z</t>
  </si>
  <si>
    <t>2055-06-06T00:02:38.965244Z</t>
  </si>
  <si>
    <t>2055-06-06T00:58:28.017Z</t>
  </si>
  <si>
    <t>2055-06-06T00:40:10.017Z</t>
  </si>
  <si>
    <t>2055-06-06T00:18:49.132839Z</t>
  </si>
  <si>
    <t>2055-06-06T00:27:41.832307Z</t>
  </si>
  <si>
    <t>2055-06-06T00:08:58.553212Z</t>
  </si>
  <si>
    <t>2055-06-06T00:09:06.683552Z</t>
  </si>
  <si>
    <t>2055-06-06T00:14:06.777117Z</t>
  </si>
  <si>
    <t>2055-06-05T20:18:49.132839Z</t>
  </si>
  <si>
    <t>2055-06-05T20:27:41.832307Z</t>
  </si>
  <si>
    <t>2055-06-05T20:08:58.553212Z</t>
  </si>
  <si>
    <t>2055-06-05T20:14:06.777117Z</t>
  </si>
  <si>
    <t>2055-06-07T13:33:14.251231Z</t>
  </si>
  <si>
    <t>2055-06-07T16:15:00Z</t>
  </si>
  <si>
    <t>2055-06-07T15:26:25.353152Z</t>
  </si>
  <si>
    <t>2055-06-07T15:40:44.637782Z</t>
  </si>
  <si>
    <t>2055-06-07T15:16:27.302735Z</t>
  </si>
  <si>
    <t>2055-06-07T15:16:39.800675Z</t>
  </si>
  <si>
    <t>2055-06-07T15:24:29.370902Z</t>
  </si>
  <si>
    <t>2055-06-07T11:26:25.353152Z</t>
  </si>
  <si>
    <t>2055-06-07T11:40:44.637782Z</t>
  </si>
  <si>
    <t>2055-06-07T11:16:27.302735Z</t>
  </si>
  <si>
    <t>2055-06-07T11:24:29.370902Z</t>
  </si>
  <si>
    <t>2055-06-12T23:13:44.525903Z</t>
  </si>
  <si>
    <t>2055-06-13T00:09:36.584Z</t>
  </si>
  <si>
    <t>2055-06-12T23:49:29.584Z</t>
  </si>
  <si>
    <t>2055-06-12T23:26:26.988992Z</t>
  </si>
  <si>
    <t>2055-06-12T23:36:15.571368Z</t>
  </si>
  <si>
    <t>2055-06-12T23:18:36.163739Z</t>
  </si>
  <si>
    <t>2055-06-12T23:18:52.670843Z</t>
  </si>
  <si>
    <t>2055-06-12T23:21:30.063491Z</t>
  </si>
  <si>
    <t>2055-06-12T19:26:26.988992Z</t>
  </si>
  <si>
    <t>2055-06-12T19:36:15.571368Z</t>
  </si>
  <si>
    <t>2055-06-12T19:18:36.163739Z</t>
  </si>
  <si>
    <t>2055-06-12T19:21:30.063491Z</t>
  </si>
  <si>
    <t>2055-06-13T01:15:00.336919Z</t>
  </si>
  <si>
    <t>2055-06-13T02:21:27.402Z</t>
  </si>
  <si>
    <t>2055-06-13T02:00:38.402Z</t>
  </si>
  <si>
    <t>2055-06-13T01:52:59.369133Z</t>
  </si>
  <si>
    <t>2055-06-13T02:04:10.804942Z</t>
  </si>
  <si>
    <t>2055-06-13T01:21:14.90287Z</t>
  </si>
  <si>
    <t>2055-06-13T01:21:20.973903Z</t>
  </si>
  <si>
    <t>2055-06-13T01:29:59.421099Z</t>
  </si>
  <si>
    <t>2055-06-12T21:52:59.369133Z</t>
  </si>
  <si>
    <t>2055-06-12T22:04:10.804942Z</t>
  </si>
  <si>
    <t>2055-06-12T21:21:14.90287Z</t>
  </si>
  <si>
    <t>2055-06-12T21:29:59.421099Z</t>
  </si>
  <si>
    <t>2055-06-04T14:13:58.484274Z</t>
  </si>
  <si>
    <t>2055-06-04T15:11:11.582Z</t>
  </si>
  <si>
    <t>2055-06-04T15:04:17.582Z</t>
  </si>
  <si>
    <t>2055-06-04T14:56:24.110982Z</t>
  </si>
  <si>
    <t>2055-06-04T15:08:24.674504Z</t>
  </si>
  <si>
    <t>2055-06-04T14:24:34.148579Z</t>
  </si>
  <si>
    <t>2055-06-04T14:24:50.208858Z</t>
  </si>
  <si>
    <t>2055-06-04T14:41:21.425826Z</t>
  </si>
  <si>
    <t>2055-06-04T10:56:24.110982Z</t>
  </si>
  <si>
    <t>2055-06-04T11:08:24.674504Z</t>
  </si>
  <si>
    <t>2055-06-04T10:24:34.148579Z</t>
  </si>
  <si>
    <t>2055-06-04T10:41:21.425826Z</t>
  </si>
  <si>
    <t>2055-06-08T13:30:44.34342Z</t>
  </si>
  <si>
    <t>2055-06-08T15:15:00Z</t>
  </si>
  <si>
    <t>2055-06-08T15:07:42.423081Z</t>
  </si>
  <si>
    <t>2055-06-08T15:21:37.33264Z</t>
  </si>
  <si>
    <t>2055-06-08T14:27:54.102489Z</t>
  </si>
  <si>
    <t>2055-06-08T14:28:00.770681Z</t>
  </si>
  <si>
    <t>2055-06-08T14:45:44.398768Z</t>
  </si>
  <si>
    <t>2055-06-08T11:07:42.423081Z</t>
  </si>
  <si>
    <t>2055-06-08T11:21:37.33264Z</t>
  </si>
  <si>
    <t>2055-06-08T10:27:54.102489Z</t>
  </si>
  <si>
    <t>2055-06-08T10:45:44.398768Z</t>
  </si>
  <si>
    <t>2055-06-02T15:10:07.189546Z</t>
  </si>
  <si>
    <t>2055-06-02T17:00:00Z</t>
  </si>
  <si>
    <t>2055-06-02T16:17:48.554548Z</t>
  </si>
  <si>
    <t>2055-06-02T16:33:45.041227Z</t>
  </si>
  <si>
    <t>2055-06-02T16:04:14.807915Z</t>
  </si>
  <si>
    <t>2055-06-02T16:05:00.573843Z</t>
  </si>
  <si>
    <t>2055-06-02T16:13:45.935416Z</t>
  </si>
  <si>
    <t>2055-06-02T12:17:48.554548Z</t>
  </si>
  <si>
    <t>2055-06-02T12:33:45.041227Z</t>
  </si>
  <si>
    <t>2055-06-02T12:04:14.807915Z</t>
  </si>
  <si>
    <t>2055-06-02T12:13:45.935416Z</t>
  </si>
  <si>
    <t>2055-06-03T20:48:24.315291Z</t>
  </si>
  <si>
    <t>2055-06-03T21:42:08.381Z</t>
  </si>
  <si>
    <t>2055-06-03T21:28:15.381Z</t>
  </si>
  <si>
    <t>2055-06-03T20:59:30.917287Z</t>
  </si>
  <si>
    <t>2055-06-03T21:26:48.439909Z</t>
  </si>
  <si>
    <t>2055-06-03T20:48:27.297422Z</t>
  </si>
  <si>
    <t>2055-06-03T20:49:18.599553Z</t>
  </si>
  <si>
    <t>2055-06-03T16:59:30.917287Z</t>
  </si>
  <si>
    <t>2055-06-03T17:26:48.439909Z</t>
  </si>
  <si>
    <t>2055-06-03T16:48:27.297422Z</t>
  </si>
  <si>
    <t>2055-06-05T17:17:11.639919Z</t>
  </si>
  <si>
    <t>2055-06-05T18:00:29.692Z</t>
  </si>
  <si>
    <t>2055-06-05T17:53:35.692Z</t>
  </si>
  <si>
    <t>2055-06-05T17:32:29.410902Z</t>
  </si>
  <si>
    <t>2055-06-05T17:38:30.40514Z</t>
  </si>
  <si>
    <t>2055-06-05T17:18:14.70329Z</t>
  </si>
  <si>
    <t>2055-06-05T17:18:18.569004Z</t>
  </si>
  <si>
    <t>2055-06-05T17:25:44.405421Z</t>
  </si>
  <si>
    <t>2055-06-05T13:32:29.410902Z</t>
  </si>
  <si>
    <t>2055-06-05T13:38:30.40514Z</t>
  </si>
  <si>
    <t>2055-06-05T13:18:14.70329Z</t>
  </si>
  <si>
    <t>2055-06-05T13:25:44.405421Z</t>
  </si>
  <si>
    <t>2055-06-03T16:12:53.565373Z</t>
  </si>
  <si>
    <t>2055-06-03T16:52:53.663Z</t>
  </si>
  <si>
    <t>2055-06-03T16:40:20.663Z</t>
  </si>
  <si>
    <t>2055-06-03T16:33:24.84517Z</t>
  </si>
  <si>
    <t>2055-06-03T16:42:29.622686Z</t>
  </si>
  <si>
    <t>2055-06-03T16:22:27.448152Z</t>
  </si>
  <si>
    <t>2055-06-03T16:22:30.779208Z</t>
  </si>
  <si>
    <t>2055-06-03T16:29:59.482082Z</t>
  </si>
  <si>
    <t>2055-06-03T12:33:24.84517Z</t>
  </si>
  <si>
    <t>2055-06-03T12:42:29.622686Z</t>
  </si>
  <si>
    <t>2055-06-03T12:22:27.448152Z</t>
  </si>
  <si>
    <t>2055-06-03T12:29:59.482082Z</t>
  </si>
  <si>
    <t>2055-06-05T22:46:58.837966Z</t>
  </si>
  <si>
    <t>2055-06-05T23:32:41.897Z</t>
  </si>
  <si>
    <t>2055-06-05T23:24:23.897Z</t>
  </si>
  <si>
    <t>2055-06-05T23:06:10.018077Z</t>
  </si>
  <si>
    <t>2055-06-05T23:23:41.506823Z</t>
  </si>
  <si>
    <t>2055-06-05T22:49:34.136362Z</t>
  </si>
  <si>
    <t>2055-06-05T22:49:45.599448Z</t>
  </si>
  <si>
    <t>2055-06-05T23:01:10.669375Z</t>
  </si>
  <si>
    <t>2055-06-05T19:06:10.018077Z</t>
  </si>
  <si>
    <t>2055-06-05T19:23:41.506823Z</t>
  </si>
  <si>
    <t>2055-06-05T18:49:34.136362Z</t>
  </si>
  <si>
    <t>2055-06-05T19:01:10.669375Z</t>
  </si>
  <si>
    <t>2055-06-02T15:18:02.546184Z</t>
  </si>
  <si>
    <t>2055-06-02T16:19:04.61Z</t>
  </si>
  <si>
    <t>2055-06-02T15:59:25.61Z</t>
  </si>
  <si>
    <t>2055-06-02T15:29:48.617055Z</t>
  </si>
  <si>
    <t>2055-06-02T15:52:06.336292Z</t>
  </si>
  <si>
    <t>2055-06-02T15:18:27.281473Z</t>
  </si>
  <si>
    <t>2055-06-02T15:18:36.196735Z</t>
  </si>
  <si>
    <t>2055-06-02T15:25:19.146821Z</t>
  </si>
  <si>
    <t>2055-06-02T11:29:48.617055Z</t>
  </si>
  <si>
    <t>2055-06-02T11:52:06.336292Z</t>
  </si>
  <si>
    <t>2055-06-02T11:18:27.281473Z</t>
  </si>
  <si>
    <t>2055-06-02T11:25:19.146821Z</t>
  </si>
  <si>
    <t>2055-06-08T14:39:01.910207Z</t>
  </si>
  <si>
    <t>2055-06-08T15:31:46.976Z</t>
  </si>
  <si>
    <t>2055-06-08T15:12:53.976Z</t>
  </si>
  <si>
    <t>2055-06-08T15:02:39.988112Z</t>
  </si>
  <si>
    <t>2055-06-08T15:13:15.911936Z</t>
  </si>
  <si>
    <t>2055-06-08T14:46:14.176157Z</t>
  </si>
  <si>
    <t>2055-06-08T14:46:25.394955Z</t>
  </si>
  <si>
    <t>2055-06-08T14:56:52.024887Z</t>
  </si>
  <si>
    <t>2055-06-08T11:02:39.988112Z</t>
  </si>
  <si>
    <t>2055-06-08T11:13:15.911936Z</t>
  </si>
  <si>
    <t>2055-06-08T10:46:14.176157Z</t>
  </si>
  <si>
    <t>2055-06-08T10:56:52.024887Z</t>
  </si>
  <si>
    <t>2055-06-11T00:16:00.646466Z</t>
  </si>
  <si>
    <t>2055-06-11T01:15:45.695Z</t>
  </si>
  <si>
    <t>2055-06-11T01:05:38.695Z</t>
  </si>
  <si>
    <t>2055-06-11T00:49:11.48661Z</t>
  </si>
  <si>
    <t>2055-06-11T01:13:29.677578Z</t>
  </si>
  <si>
    <t>2055-06-11T00:41:35.465944Z</t>
  </si>
  <si>
    <t>2055-06-11T00:41:56.659825Z</t>
  </si>
  <si>
    <t>2055-06-11T00:41:54.095569Z</t>
  </si>
  <si>
    <t>2055-06-10T20:49:11.48661Z</t>
  </si>
  <si>
    <t>2055-06-10T21:13:29.677578Z</t>
  </si>
  <si>
    <t>2055-06-10T20:41:35.465944Z</t>
  </si>
  <si>
    <t>2055-06-10T20:41:54.095569Z</t>
  </si>
  <si>
    <t>2055-06-04T22:42:26.364071Z</t>
  </si>
  <si>
    <t>2055-06-04T23:39:51.442Z</t>
  </si>
  <si>
    <t>2055-06-04T23:20:12.442Z</t>
  </si>
  <si>
    <t>2055-06-04T23:08:58.787495Z</t>
  </si>
  <si>
    <t>2055-06-04T23:18:16.816713Z</t>
  </si>
  <si>
    <t>2055-06-04T22:53:07.449382Z</t>
  </si>
  <si>
    <t>2055-06-04T22:53:12.075235Z</t>
  </si>
  <si>
    <t>2055-06-04T23:05:07.617754Z</t>
  </si>
  <si>
    <t>2055-06-04T19:08:58.787495Z</t>
  </si>
  <si>
    <t>2055-06-04T19:18:16.816713Z</t>
  </si>
  <si>
    <t>2055-06-04T18:53:07.449382Z</t>
  </si>
  <si>
    <t>2055-06-04T19:05:07.617754Z</t>
  </si>
  <si>
    <t>2055-06-05T16:15:14.557661Z</t>
  </si>
  <si>
    <t>2055-06-05T17:31:43.691Z</t>
  </si>
  <si>
    <t>2055-06-05T17:09:49.691Z</t>
  </si>
  <si>
    <t>2055-06-05T16:55:14.487881Z</t>
  </si>
  <si>
    <t>2055-06-05T17:06:51.719025Z</t>
  </si>
  <si>
    <t>2055-06-05T16:39:27.349941Z</t>
  </si>
  <si>
    <t>2055-06-05T16:39:30.195398Z</t>
  </si>
  <si>
    <t>2055-06-05T16:50:03.494413Z</t>
  </si>
  <si>
    <t>2055-06-05T12:55:14.487881Z</t>
  </si>
  <si>
    <t>2055-06-05T13:06:51.719025Z</t>
  </si>
  <si>
    <t>2055-06-05T12:39:27.349941Z</t>
  </si>
  <si>
    <t>2055-06-05T12:50:03.494413Z</t>
  </si>
  <si>
    <t>2055-06-01T22:06:31.929601Z</t>
  </si>
  <si>
    <t>2055-06-01T22:58:05.978Z</t>
  </si>
  <si>
    <t>2055-06-01T22:37:58.978Z</t>
  </si>
  <si>
    <t>2055-06-01T22:21:01.621461Z</t>
  </si>
  <si>
    <t>2055-06-01T22:38:27.779306Z</t>
  </si>
  <si>
    <t>2055-06-01T22:10:54.51356Z</t>
  </si>
  <si>
    <t>2055-06-01T22:11:01.68381Z</t>
  </si>
  <si>
    <t>2055-06-01T22:15:04.018898Z</t>
  </si>
  <si>
    <t>2055-06-01T18:21:01.621461Z</t>
  </si>
  <si>
    <t>2055-06-01T18:38:27.779306Z</t>
  </si>
  <si>
    <t>2055-06-01T18:10:54.51356Z</t>
  </si>
  <si>
    <t>2055-06-01T18:15:04.018898Z</t>
  </si>
  <si>
    <t>2055-06-02T16:21:55.280328Z</t>
  </si>
  <si>
    <t>2055-06-02T17:01:55.355Z</t>
  </si>
  <si>
    <t>2055-06-02T16:55:57.355Z</t>
  </si>
  <si>
    <t>2055-06-02T16:37:52.168238Z</t>
  </si>
  <si>
    <t>2055-06-02T16:56:12.666057Z</t>
  </si>
  <si>
    <t>2055-06-02T16:22:07.277708Z</t>
  </si>
  <si>
    <t>2055-06-02T16:22:24.187253Z</t>
  </si>
  <si>
    <t>2055-06-02T16:32:32.929028Z</t>
  </si>
  <si>
    <t>2055-06-02T12:37:52.168238Z</t>
  </si>
  <si>
    <t>2055-06-02T12:56:12.666057Z</t>
  </si>
  <si>
    <t>2055-06-02T12:22:07.277708Z</t>
  </si>
  <si>
    <t>2055-06-02T12:32:32.929028Z</t>
  </si>
  <si>
    <t>2055-06-05T15:37:29.98589Z</t>
  </si>
  <si>
    <t>2055-06-05T16:35:05.081Z</t>
  </si>
  <si>
    <t>2055-06-05T16:14:58.081Z</t>
  </si>
  <si>
    <t>2055-06-05T15:48:40.882301Z</t>
  </si>
  <si>
    <t>2055-06-05T16:02:10.057168Z</t>
  </si>
  <si>
    <t>2055-06-05T15:37:47.308638Z</t>
  </si>
  <si>
    <t>2055-06-05T15:37:52.699Z</t>
  </si>
  <si>
    <t>2055-06-05T15:43:58.7844Z</t>
  </si>
  <si>
    <t>2055-06-05T11:48:40.882301Z</t>
  </si>
  <si>
    <t>2055-06-05T12:02:10.057168Z</t>
  </si>
  <si>
    <t>2055-06-05T11:37:47.308638Z</t>
  </si>
  <si>
    <t>2055-06-05T11:43:58.7844Z</t>
  </si>
  <si>
    <t>2055-06-09T01:39:26.294594Z</t>
  </si>
  <si>
    <t>2055-06-09T02:22:08.37Z</t>
  </si>
  <si>
    <t>2055-06-09T02:17:01.37Z</t>
  </si>
  <si>
    <t>2055-06-09T02:03:24.053687Z</t>
  </si>
  <si>
    <t>2055-06-09T02:14:34.401333Z</t>
  </si>
  <si>
    <t>2055-06-09T01:52:14.435474Z</t>
  </si>
  <si>
    <t>2055-06-09T01:52:21.342084Z</t>
  </si>
  <si>
    <t>2055-06-09T01:58:18.592963Z</t>
  </si>
  <si>
    <t>2055-06-08T22:03:24.053687Z</t>
  </si>
  <si>
    <t>2055-06-08T22:14:34.401333Z</t>
  </si>
  <si>
    <t>2055-06-08T21:52:14.435474Z</t>
  </si>
  <si>
    <t>2055-06-08T21:58:18.592963Z</t>
  </si>
  <si>
    <t>2055-06-05T20:48:06.998552Z</t>
  </si>
  <si>
    <t>2055-06-05T21:44:34.087Z</t>
  </si>
  <si>
    <t>2055-06-05T21:25:41.087Z</t>
  </si>
  <si>
    <t>2055-06-05T21:24:51.164575Z</t>
  </si>
  <si>
    <t>2055-06-05T21:43:46.147659Z</t>
  </si>
  <si>
    <t>2055-06-05T20:58:47.315711Z</t>
  </si>
  <si>
    <t>2055-06-05T20:58:51.002986Z</t>
  </si>
  <si>
    <t>2055-06-05T21:21:28.228329Z</t>
  </si>
  <si>
    <t>2055-06-05T17:24:51.164575Z</t>
  </si>
  <si>
    <t>2055-06-05T17:43:46.147659Z</t>
  </si>
  <si>
    <t>2055-06-05T16:58:47.315711Z</t>
  </si>
  <si>
    <t>2055-06-05T17:21:28.228329Z</t>
  </si>
  <si>
    <t>2055-06-07T00:46:09.399729Z</t>
  </si>
  <si>
    <t>2055-06-07T01:41:09.476Z</t>
  </si>
  <si>
    <t>2055-06-07T01:17:21.476Z</t>
  </si>
  <si>
    <t>2055-06-07T01:01:36.379135Z</t>
  </si>
  <si>
    <t>2055-06-07T01:10:55.612608Z</t>
  </si>
  <si>
    <t>2055-06-07T00:46:27.253759Z</t>
  </si>
  <si>
    <t>2055-06-07T00:46:37.650573Z</t>
  </si>
  <si>
    <t>2055-06-06T21:01:36.379135Z</t>
  </si>
  <si>
    <t>2055-06-06T21:10:55.612608Z</t>
  </si>
  <si>
    <t>2055-06-06T20:46:27.253759Z</t>
  </si>
  <si>
    <t>2055-06-07T19:01:05.550083Z</t>
  </si>
  <si>
    <t>2055-06-07T19:56:05.625Z</t>
  </si>
  <si>
    <t>2055-06-07T19:34:58.625Z</t>
  </si>
  <si>
    <t>2055-06-07T19:22:23.71371Z</t>
  </si>
  <si>
    <t>2055-06-07T19:35:22.283185Z</t>
  </si>
  <si>
    <t>2055-06-07T19:02:27.278764Z</t>
  </si>
  <si>
    <t>2055-06-07T19:02:43.773444Z</t>
  </si>
  <si>
    <t>2055-06-07T19:15:25.450081Z</t>
  </si>
  <si>
    <t>2055-06-07T15:22:23.71371Z</t>
  </si>
  <si>
    <t>2055-06-07T15:35:22.283185Z</t>
  </si>
  <si>
    <t>2055-06-07T15:02:27.278764Z</t>
  </si>
  <si>
    <t>2055-06-07T15:15:25.450081Z</t>
  </si>
  <si>
    <t>2055-06-05T00:05:56.646514Z</t>
  </si>
  <si>
    <t>2055-06-05T01:33:00.704Z</t>
  </si>
  <si>
    <t>2055-06-05T01:11:06.704Z</t>
  </si>
  <si>
    <t>2055-06-05T00:56:01.567263Z</t>
  </si>
  <si>
    <t>2055-06-05T01:10:49.547572Z</t>
  </si>
  <si>
    <t>2055-06-05T00:30:35.040303Z</t>
  </si>
  <si>
    <t>2055-06-05T00:30:49.641901Z</t>
  </si>
  <si>
    <t>2055-06-05T00:35:14.688551Z</t>
  </si>
  <si>
    <t>2055-06-04T20:56:01.567263Z</t>
  </si>
  <si>
    <t>2055-06-04T21:10:49.547572Z</t>
  </si>
  <si>
    <t>2055-06-04T20:30:35.040303Z</t>
  </si>
  <si>
    <t>2055-06-04T20:35:14.688551Z</t>
  </si>
  <si>
    <t>2055-06-03T18:19:35.536003Z</t>
  </si>
  <si>
    <t>2055-06-03T19:24:45.61Z</t>
  </si>
  <si>
    <t>2055-06-03T19:05:52.61Z</t>
  </si>
  <si>
    <t>2055-06-03T19:08:44.687206Z</t>
  </si>
  <si>
    <t>2055-06-03T19:24:37.865826Z</t>
  </si>
  <si>
    <t>2055-06-03T18:51:54.125011Z</t>
  </si>
  <si>
    <t>2055-06-03T18:52:00.533142Z</t>
  </si>
  <si>
    <t>2055-06-03T18:56:43.221015Z</t>
  </si>
  <si>
    <t>2055-06-03T15:08:44.687206Z</t>
  </si>
  <si>
    <t>2055-06-03T15:24:37.865826Z</t>
  </si>
  <si>
    <t>2055-06-03T14:51:54.125011Z</t>
  </si>
  <si>
    <t>2055-06-03T14:56:43.221015Z</t>
  </si>
  <si>
    <t>2055-06-04T13:52:01.361313Z</t>
  </si>
  <si>
    <t>2055-06-04T14:10:50.681631Z</t>
  </si>
  <si>
    <t>2055-06-04T14:23:08.276533Z</t>
  </si>
  <si>
    <t>2055-06-04T13:58:14.061745Z</t>
  </si>
  <si>
    <t>2055-06-04T13:58:18.512694Z</t>
  </si>
  <si>
    <t>2055-06-04T14:00:02.576445Z</t>
  </si>
  <si>
    <t>2055-06-04T10:10:50.681631Z</t>
  </si>
  <si>
    <t>2055-06-04T10:23:08.276533Z</t>
  </si>
  <si>
    <t>2055-06-04T09:58:14.061745Z</t>
  </si>
  <si>
    <t>2055-06-04T10:00:02.576445Z</t>
  </si>
  <si>
    <t>2055-06-02T15:38:55.983999Z</t>
  </si>
  <si>
    <t>2055-06-02T16:28:56.144Z</t>
  </si>
  <si>
    <t>2055-06-02T16:11:35.144Z</t>
  </si>
  <si>
    <t>2055-06-02T15:51:57.790253Z</t>
  </si>
  <si>
    <t>2055-06-02T16:15:37.119201Z</t>
  </si>
  <si>
    <t>2055-06-02T15:40:07.313143Z</t>
  </si>
  <si>
    <t>2055-06-02T15:40:09.823896Z</t>
  </si>
  <si>
    <t>2055-06-02T15:44:07.394541Z</t>
  </si>
  <si>
    <t>2055-06-02T11:51:57.790253Z</t>
  </si>
  <si>
    <t>2055-06-02T12:15:37.119201Z</t>
  </si>
  <si>
    <t>2055-06-02T11:40:07.313143Z</t>
  </si>
  <si>
    <t>2055-06-02T11:44:07.394541Z</t>
  </si>
  <si>
    <t>2055-06-02T17:44:22.299983Z</t>
  </si>
  <si>
    <t>2055-06-02T18:49:17.364Z</t>
  </si>
  <si>
    <t>2055-06-02T18:23:28.364Z</t>
  </si>
  <si>
    <t>2055-06-02T17:57:06.770371Z</t>
  </si>
  <si>
    <t>2055-06-02T18:10:43.574995Z</t>
  </si>
  <si>
    <t>2055-06-02T17:49:54.417133Z</t>
  </si>
  <si>
    <t>2055-06-02T17:50:01.350617Z</t>
  </si>
  <si>
    <t>2055-06-02T17:55:31.449914Z</t>
  </si>
  <si>
    <t>2055-06-02T13:57:06.770371Z</t>
  </si>
  <si>
    <t>2055-06-02T14:10:43.574995Z</t>
  </si>
  <si>
    <t>2055-06-02T13:49:54.417133Z</t>
  </si>
  <si>
    <t>2055-06-02T13:55:31.449914Z</t>
  </si>
  <si>
    <t>2055-06-03T21:52:52.563631Z</t>
  </si>
  <si>
    <t>2055-06-03T22:47:52.647Z</t>
  </si>
  <si>
    <t>2055-06-03T22:15:32.647Z</t>
  </si>
  <si>
    <t>2055-06-03T22:10:04.039058Z</t>
  </si>
  <si>
    <t>2055-06-03T22:22:41.789929Z</t>
  </si>
  <si>
    <t>2055-06-03T21:53:07.325206Z</t>
  </si>
  <si>
    <t>2055-06-03T21:53:18.39604Z</t>
  </si>
  <si>
    <t>2055-06-03T22:09:42.64385Z</t>
  </si>
  <si>
    <t>2055-06-03T18:10:04.039058Z</t>
  </si>
  <si>
    <t>2055-06-03T18:22:41.789929Z</t>
  </si>
  <si>
    <t>2055-06-03T17:53:07.325206Z</t>
  </si>
  <si>
    <t>2055-06-03T18:09:42.64385Z</t>
  </si>
  <si>
    <t>2055-06-04T23:34:49.077663Z</t>
  </si>
  <si>
    <t>2055-06-05T00:36:35.14Z</t>
  </si>
  <si>
    <t>2055-06-05T00:18:17.14Z</t>
  </si>
  <si>
    <t>2055-06-05T00:12:36.421061Z</t>
  </si>
  <si>
    <t>2055-06-05T00:25:57.475562Z</t>
  </si>
  <si>
    <t>2055-06-05T00:05:27.607729Z</t>
  </si>
  <si>
    <t>2055-06-05T00:05:32.889848Z</t>
  </si>
  <si>
    <t>2055-06-05T00:10:33.625458Z</t>
  </si>
  <si>
    <t>2055-06-04T20:12:36.421061Z</t>
  </si>
  <si>
    <t>2055-06-04T20:25:57.475562Z</t>
  </si>
  <si>
    <t>2055-06-04T20:05:27.607729Z</t>
  </si>
  <si>
    <t>2055-06-04T20:10:33.625458Z</t>
  </si>
  <si>
    <t>2055-06-06T22:25:22.797659Z</t>
  </si>
  <si>
    <t>2055-06-06T23:32:13.877Z</t>
  </si>
  <si>
    <t>2055-06-06T23:18:20.877Z</t>
  </si>
  <si>
    <t>2055-06-06T22:50:39.475374Z</t>
  </si>
  <si>
    <t>2055-06-06T23:03:45.841827Z</t>
  </si>
  <si>
    <t>2055-06-06T22:27:07.449413Z</t>
  </si>
  <si>
    <t>2055-06-06T22:28:21.249024Z</t>
  </si>
  <si>
    <t>2055-06-06T22:43:32.546967Z</t>
  </si>
  <si>
    <t>2055-06-06T18:50:39.475374Z</t>
  </si>
  <si>
    <t>2055-06-06T19:03:45.841827Z</t>
  </si>
  <si>
    <t>2055-06-06T18:27:07.449413Z</t>
  </si>
  <si>
    <t>2055-06-06T18:43:32.546967Z</t>
  </si>
  <si>
    <t>2055-06-01T15:24:47.212137Z</t>
  </si>
  <si>
    <t>2055-06-01T16:19:47.295Z</t>
  </si>
  <si>
    <t>2055-06-01T15:59:33.295Z</t>
  </si>
  <si>
    <t>2055-06-01T15:40:39.540472Z</t>
  </si>
  <si>
    <t>2055-06-01T15:55:57.156155Z</t>
  </si>
  <si>
    <t>2055-06-01T15:25:07.288351Z</t>
  </si>
  <si>
    <t>2055-06-01T15:25:13.723244Z</t>
  </si>
  <si>
    <t>2055-06-01T15:34:53.353962Z</t>
  </si>
  <si>
    <t>2055-06-01T11:40:39.540472Z</t>
  </si>
  <si>
    <t>2055-06-01T11:55:57.156155Z</t>
  </si>
  <si>
    <t>2055-06-01T11:25:07.288351Z</t>
  </si>
  <si>
    <t>2055-06-01T11:34:53.353962Z</t>
  </si>
  <si>
    <t>2055-06-02T15:04:45.144939Z</t>
  </si>
  <si>
    <t>2055-06-02T15:59:45.217Z</t>
  </si>
  <si>
    <t>2055-06-02T15:26:12.217Z</t>
  </si>
  <si>
    <t>2055-06-02T15:26:47.186234Z</t>
  </si>
  <si>
    <t>2055-06-02T15:32:36.84391Z</t>
  </si>
  <si>
    <t>2055-06-02T15:05:07.307687Z</t>
  </si>
  <si>
    <t>2055-06-02T15:05:47.592533Z</t>
  </si>
  <si>
    <t>2055-06-02T15:25:13.470499Z</t>
  </si>
  <si>
    <t>2055-06-02T11:26:47.186234Z</t>
  </si>
  <si>
    <t>2055-06-02T11:32:36.84391Z</t>
  </si>
  <si>
    <t>2055-06-02T11:05:07.307687Z</t>
  </si>
  <si>
    <t>2055-06-02T11:25:13.470499Z</t>
  </si>
  <si>
    <t>2055-06-05T19:12:40.149285Z</t>
  </si>
  <si>
    <t>2055-06-05T20:06:23.214Z</t>
  </si>
  <si>
    <t>2055-06-05T19:46:44.214Z</t>
  </si>
  <si>
    <t>2055-06-05T19:40:18.891308Z</t>
  </si>
  <si>
    <t>2055-06-05T19:52:21.103298Z</t>
  </si>
  <si>
    <t>2055-06-05T19:18:54.253076Z</t>
  </si>
  <si>
    <t>2055-06-05T19:19:01.221842Z</t>
  </si>
  <si>
    <t>2055-06-05T19:36:43.333804Z</t>
  </si>
  <si>
    <t>2055-06-05T15:40:18.891308Z</t>
  </si>
  <si>
    <t>2055-06-05T15:52:21.103298Z</t>
  </si>
  <si>
    <t>2055-06-05T15:18:54.253076Z</t>
  </si>
  <si>
    <t>2055-06-05T15:36:43.333804Z</t>
  </si>
  <si>
    <t>2055-06-11T22:03:09.028642Z</t>
  </si>
  <si>
    <t>2055-06-11T22:59:15.093Z</t>
  </si>
  <si>
    <t>2055-06-11T22:39:36.093Z</t>
  </si>
  <si>
    <t>2055-06-11T22:25:56.686508Z</t>
  </si>
  <si>
    <t>2055-06-11T22:45:51.457036Z</t>
  </si>
  <si>
    <t>2055-06-11T22:03:14.65255Z</t>
  </si>
  <si>
    <t>2055-06-11T22:03:19.243445Z</t>
  </si>
  <si>
    <t>2055-06-11T22:18:23.973373Z</t>
  </si>
  <si>
    <t>2055-06-11T18:25:56.686508Z</t>
  </si>
  <si>
    <t>2055-06-11T18:45:51.457036Z</t>
  </si>
  <si>
    <t>2055-06-11T18:03:14.65255Z</t>
  </si>
  <si>
    <t>2055-06-11T18:18:23.973373Z</t>
  </si>
  <si>
    <t>2055-06-03T23:59:00.602373Z</t>
  </si>
  <si>
    <t>2055-06-04T01:06:05.663Z</t>
  </si>
  <si>
    <t>2055-06-04T00:46:26.663Z</t>
  </si>
  <si>
    <t>2055-06-04T00:32:40.291022Z</t>
  </si>
  <si>
    <t>2055-06-04T00:48:58.628551Z</t>
  </si>
  <si>
    <t>2055-06-03T23:59:15.85834Z</t>
  </si>
  <si>
    <t>2055-06-03T23:59:23.41505Z</t>
  </si>
  <si>
    <t>2055-06-04T00:16:20.326571Z</t>
  </si>
  <si>
    <t>2055-06-03T20:32:40.291022Z</t>
  </si>
  <si>
    <t>2055-06-03T20:48:58.628551Z</t>
  </si>
  <si>
    <t>2055-06-03T19:59:15.85834Z</t>
  </si>
  <si>
    <t>2055-06-03T20:16:20.326571Z</t>
  </si>
  <si>
    <t>2055-06-05T01:54:45.727798Z</t>
  </si>
  <si>
    <t>2055-06-05T02:49:45.812Z</t>
  </si>
  <si>
    <t>2055-06-05T02:24:59.812Z</t>
  </si>
  <si>
    <t>2055-06-05T02:15:46.096498Z</t>
  </si>
  <si>
    <t>2055-06-05T02:28:25.279Z</t>
  </si>
  <si>
    <t>2055-06-05T02:00:07.315646Z</t>
  </si>
  <si>
    <t>2055-06-05T02:00:11.680627Z</t>
  </si>
  <si>
    <t>2055-06-05T02:09:50.194408Z</t>
  </si>
  <si>
    <t>2055-06-04T22:15:46.096498Z</t>
  </si>
  <si>
    <t>2055-06-04T22:28:25.279Z</t>
  </si>
  <si>
    <t>2055-06-04T22:00:07.315646Z</t>
  </si>
  <si>
    <t>2055-06-04T22:09:50.194408Z</t>
  </si>
  <si>
    <t>2055-06-05T15:40:19.278701Z</t>
  </si>
  <si>
    <t>2055-06-05T16:40:23.329Z</t>
  </si>
  <si>
    <t>2055-06-05T16:20:16.329Z</t>
  </si>
  <si>
    <t>2055-06-05T16:15:08.114004Z</t>
  </si>
  <si>
    <t>2055-06-05T16:23:28.899425Z</t>
  </si>
  <si>
    <t>2055-06-05T16:00:14.550569Z</t>
  </si>
  <si>
    <t>2055-06-05T16:00:25.851064Z</t>
  </si>
  <si>
    <t>2055-06-05T16:11:48.518369Z</t>
  </si>
  <si>
    <t>2055-06-05T12:15:08.114004Z</t>
  </si>
  <si>
    <t>2055-06-05T12:23:28.899425Z</t>
  </si>
  <si>
    <t>2055-06-05T12:00:14.550569Z</t>
  </si>
  <si>
    <t>2055-06-05T12:11:48.518369Z</t>
  </si>
  <si>
    <t>2055-06-06T16:04:22.279047Z</t>
  </si>
  <si>
    <t>2055-06-06T16:56:17.347Z</t>
  </si>
  <si>
    <t>2055-06-06T16:36:10.347Z</t>
  </si>
  <si>
    <t>2055-06-06T16:23:05.8866Z</t>
  </si>
  <si>
    <t>2055-06-06T16:38:46.662797Z</t>
  </si>
  <si>
    <t>2055-06-06T16:06:34.319841Z</t>
  </si>
  <si>
    <t>2055-06-06T16:07:07.953955Z</t>
  </si>
  <si>
    <t>2055-06-06T16:12:01.544237Z</t>
  </si>
  <si>
    <t>2055-06-06T12:23:05.8866Z</t>
  </si>
  <si>
    <t>2055-06-06T12:38:46.662797Z</t>
  </si>
  <si>
    <t>2055-06-06T12:06:34.319841Z</t>
  </si>
  <si>
    <t>2055-06-06T12:12:01.544237Z</t>
  </si>
  <si>
    <t>2055-06-13T00:00:55.38332Z</t>
  </si>
  <si>
    <t>2055-06-13T01:00:30.44Z</t>
  </si>
  <si>
    <t>2055-06-13T00:37:12.44Z</t>
  </si>
  <si>
    <t>2055-06-13T00:35:46.733854Z</t>
  </si>
  <si>
    <t>2055-06-13T00:58:34.536674Z</t>
  </si>
  <si>
    <t>2055-06-13T00:08:36.102596Z</t>
  </si>
  <si>
    <t>2055-06-13T00:09:06.58632Z</t>
  </si>
  <si>
    <t>2055-06-13T00:33:20.84424Z</t>
  </si>
  <si>
    <t>2055-06-12T20:35:46.733854Z</t>
  </si>
  <si>
    <t>2055-06-12T20:58:34.536674Z</t>
  </si>
  <si>
    <t>2055-06-12T20:08:36.102596Z</t>
  </si>
  <si>
    <t>2055-06-12T20:33:20.84424Z</t>
  </si>
  <si>
    <t>2055-06-08T16:22:22.987824Z</t>
  </si>
  <si>
    <t>2055-06-08T17:11:08.05Z</t>
  </si>
  <si>
    <t>2055-06-08T17:02:15.05Z</t>
  </si>
  <si>
    <t>2055-06-08T16:47:17.295613Z</t>
  </si>
  <si>
    <t>2055-06-08T17:10:55.49873Z</t>
  </si>
  <si>
    <t>2055-06-08T16:28:07.356392Z</t>
  </si>
  <si>
    <t>2055-06-08T16:28:14.038154Z</t>
  </si>
  <si>
    <t>2055-06-08T16:35:45.756563Z</t>
  </si>
  <si>
    <t>2055-06-08T12:47:17.295613Z</t>
  </si>
  <si>
    <t>2055-06-08T13:10:55.49873Z</t>
  </si>
  <si>
    <t>2055-06-08T12:28:07.356392Z</t>
  </si>
  <si>
    <t>2055-06-08T12:35:45.756563Z</t>
  </si>
  <si>
    <t>2055-06-03T15:50:34.41825Z</t>
  </si>
  <si>
    <t>2055-06-03T16:45:34.495Z</t>
  </si>
  <si>
    <t>2055-06-03T16:19:01.495Z</t>
  </si>
  <si>
    <t>2055-06-03T16:12:22.923135Z</t>
  </si>
  <si>
    <t>2055-06-03T16:22:14.851453Z</t>
  </si>
  <si>
    <t>2055-06-03T15:50:47.612561Z</t>
  </si>
  <si>
    <t>2055-06-03T15:50:56.220892Z</t>
  </si>
  <si>
    <t>2055-06-03T12:12:22.923135Z</t>
  </si>
  <si>
    <t>2055-06-03T12:22:14.851453Z</t>
  </si>
  <si>
    <t>2055-06-03T11:50:47.612561Z</t>
  </si>
  <si>
    <t>2055-06-02T00:23:46.570189Z</t>
  </si>
  <si>
    <t>2055-06-02T01:15:10.63Z</t>
  </si>
  <si>
    <t>2055-06-02T01:10:03.63Z</t>
  </si>
  <si>
    <t>2055-06-02T00:51:33.903193Z</t>
  </si>
  <si>
    <t>2055-06-02T01:01:48.790255Z</t>
  </si>
  <si>
    <t>2055-06-02T00:26:35.341084Z</t>
  </si>
  <si>
    <t>2055-06-02T00:26:46.153731Z</t>
  </si>
  <si>
    <t>2055-06-01T20:51:33.903193Z</t>
  </si>
  <si>
    <t>2055-06-01T21:01:48.790255Z</t>
  </si>
  <si>
    <t>2055-06-01T20:26:35.341084Z</t>
  </si>
  <si>
    <t>2055-06-03T15:26:39.463733Z</t>
  </si>
  <si>
    <t>2055-06-03T16:38:42.553Z</t>
  </si>
  <si>
    <t>2055-06-03T16:19:49.553Z</t>
  </si>
  <si>
    <t>2055-06-03T16:04:19.940921Z</t>
  </si>
  <si>
    <t>2055-06-03T16:12:17.219312Z</t>
  </si>
  <si>
    <t>2055-06-03T15:30:14.374984Z</t>
  </si>
  <si>
    <t>2055-06-03T15:30:27.182001Z</t>
  </si>
  <si>
    <t>2055-06-03T15:48:06.947074Z</t>
  </si>
  <si>
    <t>2055-06-03T12:04:19.940921Z</t>
  </si>
  <si>
    <t>2055-06-03T12:12:17.219312Z</t>
  </si>
  <si>
    <t>2055-06-03T11:30:14.374984Z</t>
  </si>
  <si>
    <t>2055-06-03T11:48:06.947074Z</t>
  </si>
  <si>
    <t>2055-06-03T00:43:20.961229Z</t>
  </si>
  <si>
    <t>2055-06-03T01:44:45.058Z</t>
  </si>
  <si>
    <t>2055-06-03T01:25:06.058Z</t>
  </si>
  <si>
    <t>2055-06-03T01:04:43.053921Z</t>
  </si>
  <si>
    <t>2055-06-03T01:42:30.741511Z</t>
  </si>
  <si>
    <t>2055-06-03T00:43:34.078206Z</t>
  </si>
  <si>
    <t>2055-06-03T00:43:50.678216Z</t>
  </si>
  <si>
    <t>2055-06-03T00:46:52.922245Z</t>
  </si>
  <si>
    <t>2055-06-02T21:04:43.053921Z</t>
  </si>
  <si>
    <t>2055-06-02T21:42:30.741511Z</t>
  </si>
  <si>
    <t>2055-06-02T20:43:34.078206Z</t>
  </si>
  <si>
    <t>2055-06-02T20:46:52.922245Z</t>
  </si>
  <si>
    <t>2055-06-06T23:54:01.604562Z</t>
  </si>
  <si>
    <t>2055-06-07T00:49:10.718Z</t>
  </si>
  <si>
    <t>2055-06-07T00:34:31.718Z</t>
  </si>
  <si>
    <t>2055-06-07T00:40:34.05998Z</t>
  </si>
  <si>
    <t>2055-06-07T00:40:41.65002Z</t>
  </si>
  <si>
    <t>2055-06-06T23:54:14.665282Z</t>
  </si>
  <si>
    <t>2055-06-06T23:54:25.587525Z</t>
  </si>
  <si>
    <t>2055-06-07T00:12:32.308829Z</t>
  </si>
  <si>
    <t>2055-06-06T20:40:34.05998Z</t>
  </si>
  <si>
    <t>2055-06-06T20:40:41.65002Z</t>
  </si>
  <si>
    <t>2055-06-06T19:54:14.665282Z</t>
  </si>
  <si>
    <t>2055-06-06T20:12:32.308829Z</t>
  </si>
  <si>
    <t>2055-06-05T00:47:36.580062Z</t>
  </si>
  <si>
    <t>2055-06-05T01:48:38.663Z</t>
  </si>
  <si>
    <t>2055-06-05T01:28:31.663Z</t>
  </si>
  <si>
    <t>2055-06-05T01:24:10.816884Z</t>
  </si>
  <si>
    <t>2055-06-05T01:46:53.001289Z</t>
  </si>
  <si>
    <t>2055-06-05T01:05:27.510193Z</t>
  </si>
  <si>
    <t>2055-06-05T01:05:33.528646Z</t>
  </si>
  <si>
    <t>2055-06-05T01:16:57.615833Z</t>
  </si>
  <si>
    <t>2055-06-04T21:24:10.816884Z</t>
  </si>
  <si>
    <t>2055-06-04T21:46:53.001289Z</t>
  </si>
  <si>
    <t>2055-06-04T21:05:27.510193Z</t>
  </si>
  <si>
    <t>2055-06-04T21:16:57.615833Z</t>
  </si>
  <si>
    <t>2055-06-05T22:53:42.79029Z</t>
  </si>
  <si>
    <t>2055-06-05T23:52:27.859Z</t>
  </si>
  <si>
    <t>2055-06-05T23:32:48.859Z</t>
  </si>
  <si>
    <t>2055-06-05T23:08:41.786913Z</t>
  </si>
  <si>
    <t>2055-06-05T23:35:30.641557Z</t>
  </si>
  <si>
    <t>2055-06-05T23:02:47.443228Z</t>
  </si>
  <si>
    <t>2055-06-05T23:02:52.856529Z</t>
  </si>
  <si>
    <t>2055-06-05T23:10:18.564055Z</t>
  </si>
  <si>
    <t>2055-06-05T19:08:41.786913Z</t>
  </si>
  <si>
    <t>2055-06-05T19:35:30.641557Z</t>
  </si>
  <si>
    <t>2055-06-05T19:02:47.443228Z</t>
  </si>
  <si>
    <t>2055-06-05T19:10:18.564055Z</t>
  </si>
  <si>
    <t>2055-06-06T15:31:12.206043Z</t>
  </si>
  <si>
    <t>2055-06-06T16:34:05.284Z</t>
  </si>
  <si>
    <t>2055-06-06T16:20:52.284Z</t>
  </si>
  <si>
    <t>2055-06-06T15:47:47.020787Z</t>
  </si>
  <si>
    <t>2055-06-06T15:49:57.179338Z</t>
  </si>
  <si>
    <t>2055-06-06T15:32:47.330964Z</t>
  </si>
  <si>
    <t>2055-06-06T15:33:57.165999Z</t>
  </si>
  <si>
    <t>2055-06-06T15:43:51.73791Z</t>
  </si>
  <si>
    <t>2055-06-06T11:47:47.020787Z</t>
  </si>
  <si>
    <t>2055-06-06T11:49:57.179338Z</t>
  </si>
  <si>
    <t>2055-06-06T11:32:47.330964Z</t>
  </si>
  <si>
    <t>2055-06-06T11:43:51.73791Z</t>
  </si>
  <si>
    <t>2055-06-08T15:02:30.489289Z</t>
  </si>
  <si>
    <t>2055-06-08T15:47:30.572Z</t>
  </si>
  <si>
    <t>2055-06-08T15:32:28.572Z</t>
  </si>
  <si>
    <t>2055-06-08T15:29:04.306184Z</t>
  </si>
  <si>
    <t>2055-06-08T15:29:16.752151Z</t>
  </si>
  <si>
    <t>2055-06-08T15:02:47.24822Z</t>
  </si>
  <si>
    <t>2055-06-08T15:03:14.56372Z</t>
  </si>
  <si>
    <t>2055-06-08T15:09:24.581795Z</t>
  </si>
  <si>
    <t>2055-06-08T11:29:04.306184Z</t>
  </si>
  <si>
    <t>2055-06-08T11:29:16.752151Z</t>
  </si>
  <si>
    <t>2055-06-08T11:02:47.24822Z</t>
  </si>
  <si>
    <t>2055-06-08T11:09:24.581795Z</t>
  </si>
  <si>
    <t>2055-06-08T16:46:36.814201Z</t>
  </si>
  <si>
    <t>2055-06-08T17:38:48.867Z</t>
  </si>
  <si>
    <t>2055-06-08T17:20:30.867Z</t>
  </si>
  <si>
    <t>2055-06-08T17:02:26.13246Z</t>
  </si>
  <si>
    <t>2055-06-08T17:18:34.532763Z</t>
  </si>
  <si>
    <t>2055-06-08T16:46:54.164278Z</t>
  </si>
  <si>
    <t>2055-06-08T16:47:13.333282Z</t>
  </si>
  <si>
    <t>2055-06-08T16:47:22.083175Z</t>
  </si>
  <si>
    <t>2055-06-08T13:02:26.13246Z</t>
  </si>
  <si>
    <t>2055-06-08T13:18:34.532763Z</t>
  </si>
  <si>
    <t>2055-06-08T12:46:54.164278Z</t>
  </si>
  <si>
    <t>2055-06-08T12:47:22.083175Z</t>
  </si>
  <si>
    <t>2055-06-10T15:54:12.701639Z</t>
  </si>
  <si>
    <t>2055-06-10T16:27:13.758Z</t>
  </si>
  <si>
    <t>2055-06-10T16:18:20.758Z</t>
  </si>
  <si>
    <t>2055-06-10T16:30:59.160702Z</t>
  </si>
  <si>
    <t>2055-06-10T16:42:44.211848Z</t>
  </si>
  <si>
    <t>2055-06-10T15:59:14.598259Z</t>
  </si>
  <si>
    <t>2055-06-10T15:59:28.308833Z</t>
  </si>
  <si>
    <t>2055-06-10T12:30:59.160702Z</t>
  </si>
  <si>
    <t>2055-06-10T12:42:44.211848Z</t>
  </si>
  <si>
    <t>2055-06-10T11:59:14.598259Z</t>
  </si>
  <si>
    <t>2055-06-10T16:29:35.959945Z</t>
  </si>
  <si>
    <t>2055-06-10T17:13:55.012Z</t>
  </si>
  <si>
    <t>2055-06-10T16:59:16.012Z</t>
  </si>
  <si>
    <t>2055-06-10T16:40:19.61151Z</t>
  </si>
  <si>
    <t>2055-06-10T16:48:10.686647Z</t>
  </si>
  <si>
    <t>2055-06-10T16:33:14.285185Z</t>
  </si>
  <si>
    <t>2055-06-10T16:33:30.979216Z</t>
  </si>
  <si>
    <t>2055-06-10T16:36:13.417691Z</t>
  </si>
  <si>
    <t>2055-06-10T12:40:19.61151Z</t>
  </si>
  <si>
    <t>2055-06-10T12:48:10.686647Z</t>
  </si>
  <si>
    <t>2055-06-10T12:33:14.285185Z</t>
  </si>
  <si>
    <t>2055-06-10T12:36:13.417691Z</t>
  </si>
  <si>
    <t>2055-06-11T17:14:52.296083Z</t>
  </si>
  <si>
    <t>2055-06-11T18:06:27.372Z</t>
  </si>
  <si>
    <t>2055-06-11T17:46:20.372Z</t>
  </si>
  <si>
    <t>2055-06-11T17:35:22.606039Z</t>
  </si>
  <si>
    <t>2055-06-11T17:43:42.005272Z</t>
  </si>
  <si>
    <t>2055-06-11T17:18:14.395357Z</t>
  </si>
  <si>
    <t>2055-06-11T17:18:28.079582Z</t>
  </si>
  <si>
    <t>2055-06-11T17:25:25.026392Z</t>
  </si>
  <si>
    <t>2055-06-11T13:35:22.606039Z</t>
  </si>
  <si>
    <t>2055-06-11T13:43:42.005272Z</t>
  </si>
  <si>
    <t>2055-06-11T13:18:14.395357Z</t>
  </si>
  <si>
    <t>2055-06-11T13:25:25.026392Z</t>
  </si>
  <si>
    <t>2055-06-05T00:03:22.527353Z</t>
  </si>
  <si>
    <t>2055-06-05T01:07:28.944Z</t>
  </si>
  <si>
    <t>2055-06-05T00:45:34.944Z</t>
  </si>
  <si>
    <t>2055-06-05T00:37:41.308232Z</t>
  </si>
  <si>
    <t>2055-06-05T00:53:00.435054Z</t>
  </si>
  <si>
    <t>2055-06-05T00:18:27.551031Z</t>
  </si>
  <si>
    <t>2055-06-05T00:18:31.083386Z</t>
  </si>
  <si>
    <t>2055-06-05T00:30:11.29468Z</t>
  </si>
  <si>
    <t>2055-06-04T20:37:41.308232Z</t>
  </si>
  <si>
    <t>2055-06-04T20:53:00.435054Z</t>
  </si>
  <si>
    <t>2055-06-04T20:18:27.551031Z</t>
  </si>
  <si>
    <t>2055-06-04T20:30:11.29468Z</t>
  </si>
  <si>
    <t>2055-06-05T23:07:36.806144Z</t>
  </si>
  <si>
    <t>2055-06-06T00:12:10.851Z</t>
  </si>
  <si>
    <t>2055-06-05T23:47:29.851Z</t>
  </si>
  <si>
    <t>2055-06-05T23:58:22.805208Z</t>
  </si>
  <si>
    <t>2055-06-06T00:01:35.317401Z</t>
  </si>
  <si>
    <t>2055-06-05T23:34:38.6673Z</t>
  </si>
  <si>
    <t>2055-06-05T23:34:43.662889Z</t>
  </si>
  <si>
    <t>2055-06-05T23:47:16.333912Z</t>
  </si>
  <si>
    <t>2055-06-05T19:58:22.805208Z</t>
  </si>
  <si>
    <t>2055-06-05T20:01:35.317401Z</t>
  </si>
  <si>
    <t>2055-06-05T19:34:38.6673Z</t>
  </si>
  <si>
    <t>2055-06-05T19:47:16.333912Z</t>
  </si>
  <si>
    <t>2055-06-06T23:54:16.352434Z</t>
  </si>
  <si>
    <t>2055-06-07T00:54:19.436Z</t>
  </si>
  <si>
    <t>2055-06-07T00:34:12.436Z</t>
  </si>
  <si>
    <t>2055-06-07T00:17:11.847116Z</t>
  </si>
  <si>
    <t>2055-06-07T00:28:05.221338Z</t>
  </si>
  <si>
    <t>2055-06-06T23:54:27.353229Z</t>
  </si>
  <si>
    <t>2055-06-06T23:54:31.782049Z</t>
  </si>
  <si>
    <t>2055-06-07T00:02:54.46428Z</t>
  </si>
  <si>
    <t>2055-06-06T20:17:11.847116Z</t>
  </si>
  <si>
    <t>2055-06-06T20:28:05.221338Z</t>
  </si>
  <si>
    <t>2055-06-06T19:54:27.353229Z</t>
  </si>
  <si>
    <t>2055-06-06T20:02:54.46428Z</t>
  </si>
  <si>
    <t>2055-06-07T16:14:36.368401Z</t>
  </si>
  <si>
    <t>2055-06-07T17:08:58.444Z</t>
  </si>
  <si>
    <t>2055-06-07T16:48:51.444Z</t>
  </si>
  <si>
    <t>2055-06-07T16:34:25.377258Z</t>
  </si>
  <si>
    <t>2055-06-07T16:47:23.241078Z</t>
  </si>
  <si>
    <t>2055-06-07T16:18:14.792732Z</t>
  </si>
  <si>
    <t>2055-06-07T16:18:32.376622Z</t>
  </si>
  <si>
    <t>2055-06-07T16:25:28.863377Z</t>
  </si>
  <si>
    <t>2055-06-07T12:34:25.377258Z</t>
  </si>
  <si>
    <t>2055-06-07T12:47:23.241078Z</t>
  </si>
  <si>
    <t>2055-06-07T12:18:14.792732Z</t>
  </si>
  <si>
    <t>2055-06-07T12:25:28.863377Z</t>
  </si>
  <si>
    <t>2055-06-08T01:18:17.598034Z</t>
  </si>
  <si>
    <t>2055-06-08T02:16:44.671Z</t>
  </si>
  <si>
    <t>2055-06-08T01:57:51.671Z</t>
  </si>
  <si>
    <t>2055-06-08T01:35:14.341154Z</t>
  </si>
  <si>
    <t>2055-06-08T01:56:01.325226Z</t>
  </si>
  <si>
    <t>2055-06-08T01:18:27.328573Z</t>
  </si>
  <si>
    <t>2055-06-08T01:19:03.590139Z</t>
  </si>
  <si>
    <t>2055-06-08T01:29:18.590801Z</t>
  </si>
  <si>
    <t>2055-06-07T21:35:14.341154Z</t>
  </si>
  <si>
    <t>2055-06-07T21:56:01.325226Z</t>
  </si>
  <si>
    <t>2055-06-07T21:18:27.328573Z</t>
  </si>
  <si>
    <t>2055-06-07T21:29:18.590801Z</t>
  </si>
  <si>
    <t>2055-06-13T16:13:39.702842Z</t>
  </si>
  <si>
    <t>2055-06-13T16:57:43.756Z</t>
  </si>
  <si>
    <t>2055-06-13T16:42:36.756Z</t>
  </si>
  <si>
    <t>2055-06-13T16:32:49.801384Z</t>
  </si>
  <si>
    <t>2055-06-13T16:42:08.851495Z</t>
  </si>
  <si>
    <t>2055-06-13T16:17:34.826343Z</t>
  </si>
  <si>
    <t>2055-06-13T16:18:13.187092Z</t>
  </si>
  <si>
    <t>2055-06-13T16:30:53.013514Z</t>
  </si>
  <si>
    <t>2055-06-13T12:32:49.801384Z</t>
  </si>
  <si>
    <t>2055-06-13T12:42:08.851495Z</t>
  </si>
  <si>
    <t>2055-06-13T12:17:34.826343Z</t>
  </si>
  <si>
    <t>2055-06-13T12:30:53.013514Z</t>
  </si>
  <si>
    <t>2055-06-06T01:07:01.782424Z</t>
  </si>
  <si>
    <t>2055-06-06T02:16:57.83Z</t>
  </si>
  <si>
    <t>2055-06-06T01:51:08.83Z</t>
  </si>
  <si>
    <t>2055-06-06T01:40:22.793794Z</t>
  </si>
  <si>
    <t>2055-06-06T02:16:21.031604Z</t>
  </si>
  <si>
    <t>2055-06-06T01:22:15.304368Z</t>
  </si>
  <si>
    <t>2055-06-06T01:22:20.430823Z</t>
  </si>
  <si>
    <t>2055-06-06T01:36:15.193983Z</t>
  </si>
  <si>
    <t>2055-06-05T21:40:22.793794Z</t>
  </si>
  <si>
    <t>2055-06-05T22:16:21.031604Z</t>
  </si>
  <si>
    <t>2055-06-05T21:22:15.304368Z</t>
  </si>
  <si>
    <t>2055-06-05T21:36:15.193983Z</t>
  </si>
  <si>
    <t>2055-06-03T01:53:52.137117Z</t>
  </si>
  <si>
    <t>2055-06-03T02:48:52.197Z</t>
  </si>
  <si>
    <t>2055-06-03T02:19:33.197Z</t>
  </si>
  <si>
    <t>2055-06-03T02:28:01.534674Z</t>
  </si>
  <si>
    <t>2055-06-03T02:41:48.224276Z</t>
  </si>
  <si>
    <t>2055-06-03T01:54:07.299381Z</t>
  </si>
  <si>
    <t>2055-06-03T01:54:38.273915Z</t>
  </si>
  <si>
    <t>2055-06-03T02:05:40.304332Z</t>
  </si>
  <si>
    <t>2055-06-02T22:28:01.534674Z</t>
  </si>
  <si>
    <t>2055-06-02T22:41:48.224276Z</t>
  </si>
  <si>
    <t>2055-06-02T21:54:07.299381Z</t>
  </si>
  <si>
    <t>2055-06-02T22:05:40.304332Z</t>
  </si>
  <si>
    <t>2055-06-04T18:31:19.347396Z</t>
  </si>
  <si>
    <t>2055-06-04T19:36:07.425Z</t>
  </si>
  <si>
    <t>2055-06-04T19:14:13.425Z</t>
  </si>
  <si>
    <t>2055-06-04T19:45:04.833016Z</t>
  </si>
  <si>
    <t>2055-06-04T20:09:50.637578Z</t>
  </si>
  <si>
    <t>2055-06-04T19:31:07.275789Z</t>
  </si>
  <si>
    <t>2055-06-04T19:31:33.505846Z</t>
  </si>
  <si>
    <t>2055-06-04T19:43:09.288778Z</t>
  </si>
  <si>
    <t>2055-06-04T15:45:04.833016Z</t>
  </si>
  <si>
    <t>2055-06-04T16:09:50.637578Z</t>
  </si>
  <si>
    <t>2055-06-04T15:31:07.275789Z</t>
  </si>
  <si>
    <t>2055-06-04T15:43:09.288778Z</t>
  </si>
  <si>
    <t>2055-06-04T20:46:04.6002Z</t>
  </si>
  <si>
    <t>2055-06-04T21:26:04.666Z</t>
  </si>
  <si>
    <t>2055-06-04T21:21:50.666Z</t>
  </si>
  <si>
    <t>2055-06-04T21:00:15.542757Z</t>
  </si>
  <si>
    <t>2055-06-04T21:13:33.059158Z</t>
  </si>
  <si>
    <t>2055-06-04T20:46:27.345234Z</t>
  </si>
  <si>
    <t>2055-06-04T20:47:18.252305Z</t>
  </si>
  <si>
    <t>2055-06-04T21:02:54.957524Z</t>
  </si>
  <si>
    <t>2055-06-04T17:00:15.542757Z</t>
  </si>
  <si>
    <t>2055-06-04T17:13:33.059158Z</t>
  </si>
  <si>
    <t>2055-06-04T16:46:27.345234Z</t>
  </si>
  <si>
    <t>2055-06-04T17:02:54.957524Z</t>
  </si>
  <si>
    <t>2055-06-05T16:24:51.252717Z</t>
  </si>
  <si>
    <t>2055-06-05T17:33:26.33Z</t>
  </si>
  <si>
    <t>2055-06-05T17:10:08.33Z</t>
  </si>
  <si>
    <t>2055-06-05T17:06:16.179597Z</t>
  </si>
  <si>
    <t>2055-06-05T17:23:21.119745Z</t>
  </si>
  <si>
    <t>2055-06-05T16:49:27.509367Z</t>
  </si>
  <si>
    <t>2055-06-05T16:49:32.853204Z</t>
  </si>
  <si>
    <t>2055-06-05T16:59:50.242403Z</t>
  </si>
  <si>
    <t>2055-06-05T13:06:16.179597Z</t>
  </si>
  <si>
    <t>2055-06-05T13:23:21.119745Z</t>
  </si>
  <si>
    <t>2055-06-05T12:49:27.509367Z</t>
  </si>
  <si>
    <t>2055-06-05T12:59:50.242403Z</t>
  </si>
  <si>
    <t>2055-06-13T17:58:53.268572Z</t>
  </si>
  <si>
    <t>2055-06-13T18:45:28.332Z</t>
  </si>
  <si>
    <t>2055-06-13T18:26:35.332Z</t>
  </si>
  <si>
    <t>2055-06-13T18:05:37.934951Z</t>
  </si>
  <si>
    <t>2055-06-13T18:15:10.528341Z</t>
  </si>
  <si>
    <t>2055-06-13T18:01:14.181848Z</t>
  </si>
  <si>
    <t>2055-06-13T18:01:24.104171Z</t>
  </si>
  <si>
    <t>2055-06-13T18:04:18.538635Z</t>
  </si>
  <si>
    <t>2055-06-13T14:05:37.934951Z</t>
  </si>
  <si>
    <t>2055-06-13T14:15:10.528341Z</t>
  </si>
  <si>
    <t>2055-06-13T14:01:14.181848Z</t>
  </si>
  <si>
    <t>2055-06-13T14:04:18.538635Z</t>
  </si>
  <si>
    <t>2055-06-05T15:58:09.241022Z</t>
  </si>
  <si>
    <t>2055-06-05T17:07:18.345Z</t>
  </si>
  <si>
    <t>2055-06-05T16:44:00.345Z</t>
  </si>
  <si>
    <t>2055-06-05T16:17:12.751606Z</t>
  </si>
  <si>
    <t>2055-06-05T16:29:58.413825Z</t>
  </si>
  <si>
    <t>2055-06-05T16:04:07.294578Z</t>
  </si>
  <si>
    <t>2055-06-05T16:04:15.862296Z</t>
  </si>
  <si>
    <t>2055-06-05T16:12:13.941549Z</t>
  </si>
  <si>
    <t>2055-06-05T12:17:12.751606Z</t>
  </si>
  <si>
    <t>2055-06-05T12:29:58.413825Z</t>
  </si>
  <si>
    <t>2055-06-05T12:04:07.294578Z</t>
  </si>
  <si>
    <t>2055-06-05T12:12:13.941549Z</t>
  </si>
  <si>
    <t>2055-06-02T17:18:45.248948Z</t>
  </si>
  <si>
    <t>2055-06-02T18:13:45.317Z</t>
  </si>
  <si>
    <t>2055-06-02T17:48:52.317Z</t>
  </si>
  <si>
    <t>2055-06-02T17:36:45.110555Z</t>
  </si>
  <si>
    <t>2055-06-02T17:51:44.527079Z</t>
  </si>
  <si>
    <t>2055-06-02T17:19:07.278027Z</t>
  </si>
  <si>
    <t>2055-06-02T17:19:12.398745Z</t>
  </si>
  <si>
    <t>2055-06-02T17:26:45.246001Z</t>
  </si>
  <si>
    <t>2055-06-02T13:36:45.110555Z</t>
  </si>
  <si>
    <t>2055-06-02T13:51:44.527079Z</t>
  </si>
  <si>
    <t>2055-06-02T13:19:07.278027Z</t>
  </si>
  <si>
    <t>2055-06-02T13:26:45.246001Z</t>
  </si>
  <si>
    <t>2055-06-07T12:06:17.616824Z</t>
  </si>
  <si>
    <t>2055-06-07T12:45:00Z</t>
  </si>
  <si>
    <t>2055-06-07T12:31:42.215361Z</t>
  </si>
  <si>
    <t>2055-06-07T12:46:34.045714Z</t>
  </si>
  <si>
    <t>2055-06-07T12:11:14.056942Z</t>
  </si>
  <si>
    <t>2055-06-07T12:11:24.868913Z</t>
  </si>
  <si>
    <t>2055-06-07T12:28:03.570045Z</t>
  </si>
  <si>
    <t>2055-06-07T08:31:42.215361Z</t>
  </si>
  <si>
    <t>2055-06-07T08:46:34.045714Z</t>
  </si>
  <si>
    <t>2055-06-07T08:11:14.056942Z</t>
  </si>
  <si>
    <t>2055-06-07T08:28:03.570045Z</t>
  </si>
  <si>
    <t>2055-06-11T14:16:07.973739Z</t>
  </si>
  <si>
    <t>2055-06-11T15:00:32.039Z</t>
  </si>
  <si>
    <t>2055-06-11T14:41:39.039Z</t>
  </si>
  <si>
    <t>2055-06-11T14:32:11.852515Z</t>
  </si>
  <si>
    <t>2055-06-11T14:41:38.967822Z</t>
  </si>
  <si>
    <t>2055-06-11T14:24:54.055235Z</t>
  </si>
  <si>
    <t>2055-06-11T14:25:11.768872Z</t>
  </si>
  <si>
    <t>2055-06-11T14:30:19.143803Z</t>
  </si>
  <si>
    <t>2055-06-11T10:32:11.852515Z</t>
  </si>
  <si>
    <t>2055-06-11T10:41:38.967822Z</t>
  </si>
  <si>
    <t>2055-06-11T10:24:54.055235Z</t>
  </si>
  <si>
    <t>2055-06-11T10:30:19.143803Z</t>
  </si>
  <si>
    <t>2055-06-01T19:53:06.319104Z</t>
  </si>
  <si>
    <t>2055-06-01T20:48:38.41Z</t>
  </si>
  <si>
    <t>2055-06-01T20:28:31.41Z</t>
  </si>
  <si>
    <t>2055-06-01T20:10:03.919373Z</t>
  </si>
  <si>
    <t>2055-06-01T20:19:21.118026Z</t>
  </si>
  <si>
    <t>2055-06-01T19:55:07.339296Z</t>
  </si>
  <si>
    <t>2055-06-01T19:55:15.361342Z</t>
  </si>
  <si>
    <t>2055-06-01T20:12:44.561302Z</t>
  </si>
  <si>
    <t>2055-06-01T16:10:03.919373Z</t>
  </si>
  <si>
    <t>2055-06-01T16:19:21.118026Z</t>
  </si>
  <si>
    <t>2055-06-01T15:55:07.339296Z</t>
  </si>
  <si>
    <t>2055-06-01T16:12:44.561302Z</t>
  </si>
  <si>
    <t>2055-06-03T18:19:23.595331Z</t>
  </si>
  <si>
    <t>2055-06-03T19:13:12.652Z</t>
  </si>
  <si>
    <t>2055-06-03T18:54:19.652Z</t>
  </si>
  <si>
    <t>2055-06-03T18:43:19.647488Z</t>
  </si>
  <si>
    <t>2055-06-03T18:55:02.27665Z</t>
  </si>
  <si>
    <t>2055-06-03T18:19:34.114298Z</t>
  </si>
  <si>
    <t>2055-06-03T18:19:39.513523Z</t>
  </si>
  <si>
    <t>2055-06-03T18:27:42.265985Z</t>
  </si>
  <si>
    <t>2055-06-03T14:43:19.647488Z</t>
  </si>
  <si>
    <t>2055-06-03T14:55:02.27665Z</t>
  </si>
  <si>
    <t>2055-06-03T14:19:34.114298Z</t>
  </si>
  <si>
    <t>2055-06-03T14:27:42.265985Z</t>
  </si>
  <si>
    <t>2055-06-12T23:32:00.94796Z</t>
  </si>
  <si>
    <t>2055-06-13T00:29:50.998Z</t>
  </si>
  <si>
    <t>2055-06-13T00:07:56.998Z</t>
  </si>
  <si>
    <t>2055-06-12T23:54:25.110715Z</t>
  </si>
  <si>
    <t>2055-06-13T00:03:18.195302Z</t>
  </si>
  <si>
    <t>2055-06-12T23:41:56.321446Z</t>
  </si>
  <si>
    <t>2055-06-12T23:42:11.194953Z</t>
  </si>
  <si>
    <t>2055-06-12T23:51:52.255609Z</t>
  </si>
  <si>
    <t>2055-06-12T19:54:25.110715Z</t>
  </si>
  <si>
    <t>2055-06-12T20:03:18.195302Z</t>
  </si>
  <si>
    <t>2055-06-12T19:41:56.321446Z</t>
  </si>
  <si>
    <t>2055-06-12T19:51:52.255609Z</t>
  </si>
  <si>
    <t>2055-06-03T15:52:27.064526Z</t>
  </si>
  <si>
    <t>2055-06-03T16:34:47.125Z</t>
  </si>
  <si>
    <t>2055-06-03T16:20:08.125Z</t>
  </si>
  <si>
    <t>2055-06-03T16:06:15.012858Z</t>
  </si>
  <si>
    <t>2055-06-03T16:15:27.047916Z</t>
  </si>
  <si>
    <t>2055-06-03T15:56:15.053916Z</t>
  </si>
  <si>
    <t>2055-06-03T15:56:35.489472Z</t>
  </si>
  <si>
    <t>2055-06-03T15:58:46.06218Z</t>
  </si>
  <si>
    <t>2055-06-03T12:06:15.012858Z</t>
  </si>
  <si>
    <t>2055-06-03T12:15:27.047916Z</t>
  </si>
  <si>
    <t>2055-06-03T11:56:15.053916Z</t>
  </si>
  <si>
    <t>2055-06-03T11:58:46.06218Z</t>
  </si>
  <si>
    <t>2055-06-06T22:36:46.994479Z</t>
  </si>
  <si>
    <t>2055-06-06T23:46:00.06Z</t>
  </si>
  <si>
    <t>2055-06-06T23:24:06.06Z</t>
  </si>
  <si>
    <t>2055-06-06T23:27:51.761773Z</t>
  </si>
  <si>
    <t>2055-06-06T23:47:02.70735Z</t>
  </si>
  <si>
    <t>2055-06-06T22:57:47.398511Z</t>
  </si>
  <si>
    <t>2055-06-06T22:57:51.277964Z</t>
  </si>
  <si>
    <t>2055-06-06T23:21:53.23544Z</t>
  </si>
  <si>
    <t>2055-06-06T19:27:51.761773Z</t>
  </si>
  <si>
    <t>2055-06-06T19:47:02.70735Z</t>
  </si>
  <si>
    <t>2055-06-06T18:57:47.398511Z</t>
  </si>
  <si>
    <t>2055-06-06T19:21:53.23544Z</t>
  </si>
  <si>
    <t>2055-06-13T14:24:36.536536Z</t>
  </si>
  <si>
    <t>2055-06-13T15:15:26.622Z</t>
  </si>
  <si>
    <t>2055-06-13T14:56:33.622Z</t>
  </si>
  <si>
    <t>2055-06-13T14:38:09.612275Z</t>
  </si>
  <si>
    <t>2055-06-13T14:57:42.461922Z</t>
  </si>
  <si>
    <t>2055-06-13T14:26:54.161778Z</t>
  </si>
  <si>
    <t>2055-06-13T14:27:15.182426Z</t>
  </si>
  <si>
    <t>2055-06-13T14:35:28.353827Z</t>
  </si>
  <si>
    <t>2055-06-13T10:38:09.612275Z</t>
  </si>
  <si>
    <t>2055-06-13T10:57:42.461922Z</t>
  </si>
  <si>
    <t>2055-06-13T10:26:54.161778Z</t>
  </si>
  <si>
    <t>2055-06-13T10:35:28.353827Z</t>
  </si>
  <si>
    <t>2055-06-01T21:33:59.26698Z</t>
  </si>
  <si>
    <t>2055-06-01T22:38:54.335Z</t>
  </si>
  <si>
    <t>2055-06-01T22:15:36.335Z</t>
  </si>
  <si>
    <t>2055-06-01T22:07:01.661817Z</t>
  </si>
  <si>
    <t>2055-06-01T22:19:26.842465Z</t>
  </si>
  <si>
    <t>2055-06-01T21:35:07.287345Z</t>
  </si>
  <si>
    <t>2055-06-01T21:35:19.532974Z</t>
  </si>
  <si>
    <t>2055-06-01T22:07:44.514094Z</t>
  </si>
  <si>
    <t>2055-06-01T18:07:01.661817Z</t>
  </si>
  <si>
    <t>2055-06-01T18:19:26.842465Z</t>
  </si>
  <si>
    <t>2055-06-01T17:35:07.287345Z</t>
  </si>
  <si>
    <t>2055-06-01T18:07:44.514094Z</t>
  </si>
  <si>
    <t>2055-06-02T00:41:57.951152Z</t>
  </si>
  <si>
    <t>2055-06-02T01:31:58.024Z</t>
  </si>
  <si>
    <t>2055-06-02T01:17:56.024Z</t>
  </si>
  <si>
    <t>2055-06-02T01:00:39.119641Z</t>
  </si>
  <si>
    <t>2055-06-02T01:11:31.718681Z</t>
  </si>
  <si>
    <t>2055-06-02T00:42:07.365839Z</t>
  </si>
  <si>
    <t>2055-06-02T00:42:11.552427Z</t>
  </si>
  <si>
    <t>2055-06-02T00:49:08.32307Z</t>
  </si>
  <si>
    <t>2055-06-01T21:00:39.119641Z</t>
  </si>
  <si>
    <t>2055-06-01T21:11:31.718681Z</t>
  </si>
  <si>
    <t>2055-06-01T20:42:07.365839Z</t>
  </si>
  <si>
    <t>2055-06-01T20:49:08.32307Z</t>
  </si>
  <si>
    <t>2055-06-02T16:18:22.966181Z</t>
  </si>
  <si>
    <t>2055-06-02T17:19:29.034Z</t>
  </si>
  <si>
    <t>2055-06-02T16:59:22.034Z</t>
  </si>
  <si>
    <t>2055-06-02T17:04:40.66242Z</t>
  </si>
  <si>
    <t>2055-06-02T17:09:51.897122Z</t>
  </si>
  <si>
    <t>2055-06-02T16:45:15.35233Z</t>
  </si>
  <si>
    <t>2055-06-02T16:45:26.851736Z</t>
  </si>
  <si>
    <t>2055-06-02T13:04:40.66242Z</t>
  </si>
  <si>
    <t>2055-06-02T13:09:51.897122Z</t>
  </si>
  <si>
    <t>2055-06-02T12:45:15.35233Z</t>
  </si>
  <si>
    <t>2055-06-05T18:00:06.14597Z</t>
  </si>
  <si>
    <t>2055-06-05T19:03:50.231Z</t>
  </si>
  <si>
    <t>2055-06-05T18:39:09.231Z</t>
  </si>
  <si>
    <t>2055-06-05T18:16:52.849199Z</t>
  </si>
  <si>
    <t>2055-06-05T18:32:31.955738Z</t>
  </si>
  <si>
    <t>2055-06-05T18:00:14.120538Z</t>
  </si>
  <si>
    <t>2055-06-05T18:00:24.997742Z</t>
  </si>
  <si>
    <t>2055-06-05T18:06:09.497065Z</t>
  </si>
  <si>
    <t>2055-06-05T14:16:52.849199Z</t>
  </si>
  <si>
    <t>2055-06-05T14:32:31.955738Z</t>
  </si>
  <si>
    <t>2055-06-05T14:00:14.120538Z</t>
  </si>
  <si>
    <t>2055-06-05T14:06:09.497065Z</t>
  </si>
  <si>
    <t>2055-06-06T22:32:38.532497Z</t>
  </si>
  <si>
    <t>2055-06-06T23:22:14.577Z</t>
  </si>
  <si>
    <t>2055-06-06T23:03:21.577Z</t>
  </si>
  <si>
    <t>2055-06-06T23:28:22.945801Z</t>
  </si>
  <si>
    <t>2055-06-06T23:43:56.90322Z</t>
  </si>
  <si>
    <t>2055-06-06T23:10:27.136862Z</t>
  </si>
  <si>
    <t>2055-06-06T23:11:01.638959Z</t>
  </si>
  <si>
    <t>2055-06-06T19:28:22.945801Z</t>
  </si>
  <si>
    <t>2055-06-06T19:43:56.90322Z</t>
  </si>
  <si>
    <t>2055-06-06T19:10:27.136862Z</t>
  </si>
  <si>
    <t>2055-06-07T21:22:26.801523Z</t>
  </si>
  <si>
    <t>2055-06-07T22:07:26.878Z</t>
  </si>
  <si>
    <t>2055-06-07T21:53:44.878Z</t>
  </si>
  <si>
    <t>2055-06-07T21:57:16.071183Z</t>
  </si>
  <si>
    <t>2055-06-07T22:13:59.951112Z</t>
  </si>
  <si>
    <t>2055-06-07T21:22:47.358394Z</t>
  </si>
  <si>
    <t>2055-06-07T21:22:52.41913Z</t>
  </si>
  <si>
    <t>2055-06-07T21:55:13.692003Z</t>
  </si>
  <si>
    <t>2055-06-07T17:57:16.071183Z</t>
  </si>
  <si>
    <t>2055-06-07T18:13:59.951112Z</t>
  </si>
  <si>
    <t>2055-06-07T17:22:47.358394Z</t>
  </si>
  <si>
    <t>2055-06-07T17:55:13.692003Z</t>
  </si>
  <si>
    <t>2055-06-07T22:11:42.223706Z</t>
  </si>
  <si>
    <t>2055-06-07T23:15:44.302Z</t>
  </si>
  <si>
    <t>2055-06-07T22:55:37.302Z</t>
  </si>
  <si>
    <t>2055-06-07T22:27:51.860843Z</t>
  </si>
  <si>
    <t>2055-06-07T22:44:36.342912Z</t>
  </si>
  <si>
    <t>2055-06-07T22:15:47.288965Z</t>
  </si>
  <si>
    <t>2055-06-07T22:15:54.485076Z</t>
  </si>
  <si>
    <t>2055-06-07T22:25:46.178634Z</t>
  </si>
  <si>
    <t>2055-06-07T18:27:51.860843Z</t>
  </si>
  <si>
    <t>2055-06-07T18:44:36.342912Z</t>
  </si>
  <si>
    <t>2055-06-07T18:15:47.288965Z</t>
  </si>
  <si>
    <t>2055-06-07T18:25:46.178634Z</t>
  </si>
  <si>
    <t>2055-06-08T21:59:43.698673Z</t>
  </si>
  <si>
    <t>2055-06-08T22:49:07.748Z</t>
  </si>
  <si>
    <t>2055-06-08T22:29:28.748Z</t>
  </si>
  <si>
    <t>2055-06-08T22:26:10.308123Z</t>
  </si>
  <si>
    <t>2055-06-08T22:33:55.339653Z</t>
  </si>
  <si>
    <t>2055-06-08T22:01:34.442213Z</t>
  </si>
  <si>
    <t>2055-06-08T22:01:38.543897Z</t>
  </si>
  <si>
    <t>2055-06-08T18:26:10.308123Z</t>
  </si>
  <si>
    <t>2055-06-08T18:33:55.339653Z</t>
  </si>
  <si>
    <t>2055-06-08T18:01:34.442213Z</t>
  </si>
  <si>
    <t>2055-06-03T01:13:19.352007Z</t>
  </si>
  <si>
    <t>2055-06-03T02:04:40.425Z</t>
  </si>
  <si>
    <t>2055-06-03T01:54:33.425Z</t>
  </si>
  <si>
    <t>2055-06-03T01:30:10.822895Z</t>
  </si>
  <si>
    <t>2055-06-03T01:46:00.143395Z</t>
  </si>
  <si>
    <t>2055-06-03T01:15:27.303405Z</t>
  </si>
  <si>
    <t>2055-06-03T01:15:30.411261Z</t>
  </si>
  <si>
    <t>2055-06-02T21:30:10.822895Z</t>
  </si>
  <si>
    <t>2055-06-02T21:46:00.143395Z</t>
  </si>
  <si>
    <t>2055-06-02T21:15:27.303405Z</t>
  </si>
  <si>
    <t>2055-06-06T02:12:15.096475Z</t>
  </si>
  <si>
    <t>2055-06-06T03:02:15.18Z</t>
  </si>
  <si>
    <t>2055-06-06T02:36:53.18Z</t>
  </si>
  <si>
    <t>2055-06-06T02:33:07.541715Z</t>
  </si>
  <si>
    <t>2055-06-06T02:37:50.365983Z</t>
  </si>
  <si>
    <t>2055-06-06T02:12:27.246007Z</t>
  </si>
  <si>
    <t>2055-06-06T02:12:47.870439Z</t>
  </si>
  <si>
    <t>2055-06-06T02:19:42.448065Z</t>
  </si>
  <si>
    <t>2055-06-05T22:33:07.541715Z</t>
  </si>
  <si>
    <t>2055-06-05T22:37:50.365983Z</t>
  </si>
  <si>
    <t>2055-06-05T22:12:27.246007Z</t>
  </si>
  <si>
    <t>2055-06-05T22:19:42.448065Z</t>
  </si>
  <si>
    <t>2055-06-04T01:13:55.996216Z</t>
  </si>
  <si>
    <t>2055-06-04T02:24:16.077Z</t>
  </si>
  <si>
    <t>2055-06-04T02:04:37.077Z</t>
  </si>
  <si>
    <t>2055-06-04T02:04:14.373476Z</t>
  </si>
  <si>
    <t>2055-06-04T02:10:26.24801Z</t>
  </si>
  <si>
    <t>2055-06-04T01:14:27.339169Z</t>
  </si>
  <si>
    <t>2055-06-04T01:14:35.069629Z</t>
  </si>
  <si>
    <t>2055-06-04T01:40:00.191018Z</t>
  </si>
  <si>
    <t>2055-06-03T22:04:14.373476Z</t>
  </si>
  <si>
    <t>2055-06-03T22:10:26.24801Z</t>
  </si>
  <si>
    <t>2055-06-03T21:14:27.339169Z</t>
  </si>
  <si>
    <t>2055-06-03T21:40:00.191018Z</t>
  </si>
  <si>
    <t>2055-06-07T17:39:16.25658Z</t>
  </si>
  <si>
    <t>2055-06-07T18:19:16.352Z</t>
  </si>
  <si>
    <t>2055-06-07T18:06:47.352Z</t>
  </si>
  <si>
    <t>2055-06-07T18:19:57.030342Z</t>
  </si>
  <si>
    <t>2055-06-07T18:31:40.351681Z</t>
  </si>
  <si>
    <t>2055-06-07T17:40:47.310854Z</t>
  </si>
  <si>
    <t>2055-06-07T17:40:58.581289Z</t>
  </si>
  <si>
    <t>2055-06-07T18:17:57.940536Z</t>
  </si>
  <si>
    <t>2055-06-07T14:19:57.030342Z</t>
  </si>
  <si>
    <t>2055-06-07T14:31:40.351681Z</t>
  </si>
  <si>
    <t>2055-06-07T13:40:47.310854Z</t>
  </si>
  <si>
    <t>2055-06-07T14:17:57.940536Z</t>
  </si>
  <si>
    <t>2055-06-03T20:03:30.24455Z</t>
  </si>
  <si>
    <t>2055-06-03T20:43:30.321Z</t>
  </si>
  <si>
    <t>2055-06-03T20:35:04.321Z</t>
  </si>
  <si>
    <t>2055-06-03T20:21:39.953366Z</t>
  </si>
  <si>
    <t>2055-06-03T20:38:15.491442Z</t>
  </si>
  <si>
    <t>2055-06-03T20:03:47.254385Z</t>
  </si>
  <si>
    <t>2055-06-03T20:03:58.023855Z</t>
  </si>
  <si>
    <t>2055-06-03T20:10:01.247394Z</t>
  </si>
  <si>
    <t>2055-06-03T16:21:39.953366Z</t>
  </si>
  <si>
    <t>2055-06-03T16:38:15.491442Z</t>
  </si>
  <si>
    <t>2055-06-03T16:03:47.254385Z</t>
  </si>
  <si>
    <t>2055-06-03T16:10:01.247394Z</t>
  </si>
  <si>
    <t>2055-06-03T23:06:44.76887Z</t>
  </si>
  <si>
    <t>2055-06-04T00:05:01.828Z</t>
  </si>
  <si>
    <t>2055-06-03T23:46:08.828Z</t>
  </si>
  <si>
    <t>2055-06-03T23:28:21.10276Z</t>
  </si>
  <si>
    <t>2055-06-03T23:43:00.671999Z</t>
  </si>
  <si>
    <t>2055-06-03T23:12:15.44089Z</t>
  </si>
  <si>
    <t>2055-06-03T23:12:26.425029Z</t>
  </si>
  <si>
    <t>2055-06-03T23:25:23.072925Z</t>
  </si>
  <si>
    <t>2055-06-03T19:28:21.10276Z</t>
  </si>
  <si>
    <t>2055-06-03T19:43:00.671999Z</t>
  </si>
  <si>
    <t>2055-06-03T19:12:15.44089Z</t>
  </si>
  <si>
    <t>2055-06-03T19:25:23.072925Z</t>
  </si>
  <si>
    <t>2055-06-05T00:12:05.67402Z</t>
  </si>
  <si>
    <t>2055-06-05T00:56:58.728Z</t>
  </si>
  <si>
    <t>2055-06-05T00:41:51.728Z</t>
  </si>
  <si>
    <t>2055-06-05T00:32:25.573998Z</t>
  </si>
  <si>
    <t>2055-06-05T00:42:28.788591Z</t>
  </si>
  <si>
    <t>2055-06-05T00:18:15.295377Z</t>
  </si>
  <si>
    <t>2055-06-05T00:18:27.700357Z</t>
  </si>
  <si>
    <t>2055-06-05T00:32:59.435318Z</t>
  </si>
  <si>
    <t>2055-06-04T20:32:25.573998Z</t>
  </si>
  <si>
    <t>2055-06-04T20:42:28.788591Z</t>
  </si>
  <si>
    <t>2055-06-04T20:18:15.295377Z</t>
  </si>
  <si>
    <t>2055-06-04T20:32:59.435318Z</t>
  </si>
  <si>
    <t>2055-06-07T17:27:00.734291Z</t>
  </si>
  <si>
    <t>2055-06-07T18:23:12.805Z</t>
  </si>
  <si>
    <t>2055-06-07T18:03:05.805Z</t>
  </si>
  <si>
    <t>2055-06-07T17:41:13.322026Z</t>
  </si>
  <si>
    <t>2055-06-07T17:56:38.530694Z</t>
  </si>
  <si>
    <t>2055-06-07T17:27:07.293383Z</t>
  </si>
  <si>
    <t>2055-06-07T17:27:15.834353Z</t>
  </si>
  <si>
    <t>2055-06-07T17:33:58.957122Z</t>
  </si>
  <si>
    <t>2055-06-07T13:41:13.322026Z</t>
  </si>
  <si>
    <t>2055-06-07T13:56:38.530694Z</t>
  </si>
  <si>
    <t>2055-06-07T13:27:07.293383Z</t>
  </si>
  <si>
    <t>2055-06-07T13:33:58.957122Z</t>
  </si>
  <si>
    <t>2055-06-07T17:37:15.177074Z</t>
  </si>
  <si>
    <t>2055-06-07T18:40:17.27Z</t>
  </si>
  <si>
    <t>2055-06-07T18:20:10.27Z</t>
  </si>
  <si>
    <t>2055-06-07T17:53:43.966835Z</t>
  </si>
  <si>
    <t>2055-06-07T18:10:36.629266Z</t>
  </si>
  <si>
    <t>2055-06-07T17:37:27.33451Z</t>
  </si>
  <si>
    <t>2055-06-07T17:37:35.159257Z</t>
  </si>
  <si>
    <t>2055-06-07T13:53:43.966835Z</t>
  </si>
  <si>
    <t>2055-06-07T14:10:36.629266Z</t>
  </si>
  <si>
    <t>2055-06-07T13:37:27.33451Z</t>
  </si>
  <si>
    <t>2055-06-08T00:25:54.72112Z</t>
  </si>
  <si>
    <t>2055-06-08T01:20:54.792Z</t>
  </si>
  <si>
    <t>2055-06-08T00:55:49.792Z</t>
  </si>
  <si>
    <t>2055-06-08T00:43:22.445574Z</t>
  </si>
  <si>
    <t>2055-06-08T00:54:03.052328Z</t>
  </si>
  <si>
    <t>2055-06-08T00:26:07.356086Z</t>
  </si>
  <si>
    <t>2055-06-08T00:26:14.459415Z</t>
  </si>
  <si>
    <t>2055-06-08T00:40:50.890904Z</t>
  </si>
  <si>
    <t>2055-06-07T20:43:22.445574Z</t>
  </si>
  <si>
    <t>2055-06-07T20:54:03.052328Z</t>
  </si>
  <si>
    <t>2055-06-07T20:26:07.356086Z</t>
  </si>
  <si>
    <t>2055-06-07T20:40:50.890904Z</t>
  </si>
  <si>
    <t>2055-06-08T16:10:13.780322Z</t>
  </si>
  <si>
    <t>2055-06-08T17:09:16.878Z</t>
  </si>
  <si>
    <t>2055-06-08T16:52:22.878Z</t>
  </si>
  <si>
    <t>2055-06-08T16:47:50.775793Z</t>
  </si>
  <si>
    <t>2055-06-08T17:00:00.413834Z</t>
  </si>
  <si>
    <t>2055-06-08T16:19:27.413401Z</t>
  </si>
  <si>
    <t>2055-06-08T16:19:35.749798Z</t>
  </si>
  <si>
    <t>2055-06-08T16:27:15.365639Z</t>
  </si>
  <si>
    <t>2055-06-08T12:47:50.775793Z</t>
  </si>
  <si>
    <t>2055-06-08T13:00:00.413834Z</t>
  </si>
  <si>
    <t>2055-06-08T12:19:27.413401Z</t>
  </si>
  <si>
    <t>2055-06-08T12:27:15.365639Z</t>
  </si>
  <si>
    <t>2055-06-02T16:03:57.461436Z</t>
  </si>
  <si>
    <t>2055-06-02T17:04:07.527Z</t>
  </si>
  <si>
    <t>2055-06-02T16:42:13.527Z</t>
  </si>
  <si>
    <t>2055-06-02T16:24:19.644312Z</t>
  </si>
  <si>
    <t>2055-06-02T16:36:16.876938Z</t>
  </si>
  <si>
    <t>2055-06-02T16:04:34.856403Z</t>
  </si>
  <si>
    <t>2055-06-02T16:04:45.048369Z</t>
  </si>
  <si>
    <t>2055-06-02T16:22:45.631731Z</t>
  </si>
  <si>
    <t>2055-06-02T12:24:19.644312Z</t>
  </si>
  <si>
    <t>2055-06-02T12:36:16.876938Z</t>
  </si>
  <si>
    <t>2055-06-02T12:04:34.856403Z</t>
  </si>
  <si>
    <t>2055-06-02T12:22:45.631731Z</t>
  </si>
  <si>
    <t>2055-06-04T15:42:55.07822Z</t>
  </si>
  <si>
    <t>2055-06-04T16:37:55.138Z</t>
  </si>
  <si>
    <t>2055-06-04T16:11:59.138Z</t>
  </si>
  <si>
    <t>2055-06-04T16:01:37.78387Z</t>
  </si>
  <si>
    <t>2055-06-04T16:10:41.864798Z</t>
  </si>
  <si>
    <t>2055-06-04T15:43:07.289705Z</t>
  </si>
  <si>
    <t>2055-06-04T15:43:15.311133Z</t>
  </si>
  <si>
    <t>2055-06-04T12:01:37.78387Z</t>
  </si>
  <si>
    <t>2055-06-04T12:10:41.864798Z</t>
  </si>
  <si>
    <t>2055-06-04T11:43:07.289705Z</t>
  </si>
  <si>
    <t>2055-06-10T17:23:54.259351Z</t>
  </si>
  <si>
    <t>2055-06-10T18:34:30.328Z</t>
  </si>
  <si>
    <t>2055-06-10T18:14:51.328Z</t>
  </si>
  <si>
    <t>2055-06-10T17:55:20.658061Z</t>
  </si>
  <si>
    <t>2055-06-10T18:11:48.164365Z</t>
  </si>
  <si>
    <t>2055-06-10T17:28:34.326713Z</t>
  </si>
  <si>
    <t>2055-06-10T17:28:43.919091Z</t>
  </si>
  <si>
    <t>2055-06-10T17:50:26.562705Z</t>
  </si>
  <si>
    <t>2055-06-10T13:55:20.658061Z</t>
  </si>
  <si>
    <t>2055-06-10T14:11:48.164365Z</t>
  </si>
  <si>
    <t>2055-06-10T13:28:34.326713Z</t>
  </si>
  <si>
    <t>2055-06-10T13:50:26.562705Z</t>
  </si>
  <si>
    <t>2055-06-10T00:36:30.004748Z</t>
  </si>
  <si>
    <t>2055-06-10T01:36:42.054Z</t>
  </si>
  <si>
    <t>2055-06-10T01:13:24.054Z</t>
  </si>
  <si>
    <t>2055-06-10T00:56:13.546407Z</t>
  </si>
  <si>
    <t>2055-06-10T01:04:28.640291Z</t>
  </si>
  <si>
    <t>2055-06-10T00:46:15.203091Z</t>
  </si>
  <si>
    <t>2055-06-10T00:46:34.657983Z</t>
  </si>
  <si>
    <t>2055-06-10T00:55:53.655414Z</t>
  </si>
  <si>
    <t>2055-06-09T20:56:13.546407Z</t>
  </si>
  <si>
    <t>2055-06-09T21:04:28.640291Z</t>
  </si>
  <si>
    <t>2055-06-09T20:46:15.203091Z</t>
  </si>
  <si>
    <t>2055-06-09T20:55:53.655414Z</t>
  </si>
  <si>
    <t>2055-06-05T20:21:42.849002Z</t>
  </si>
  <si>
    <t>2055-06-05T21:20:47.925Z</t>
  </si>
  <si>
    <t>2055-06-05T21:00:40.925Z</t>
  </si>
  <si>
    <t>2055-06-05T20:39:51.51345Z</t>
  </si>
  <si>
    <t>2055-06-05T20:58:38.874539Z</t>
  </si>
  <si>
    <t>2055-06-05T20:21:47.289969Z</t>
  </si>
  <si>
    <t>2055-06-05T20:22:05.830604Z</t>
  </si>
  <si>
    <t>2055-06-05T20:35:28.132758Z</t>
  </si>
  <si>
    <t>2055-06-05T16:39:51.51345Z</t>
  </si>
  <si>
    <t>2055-06-05T16:58:38.874539Z</t>
  </si>
  <si>
    <t>2055-06-05T16:21:47.289969Z</t>
  </si>
  <si>
    <t>2055-06-05T16:35:28.132758Z</t>
  </si>
  <si>
    <t>2055-06-05T19:52:39.767576Z</t>
  </si>
  <si>
    <t>2055-06-05T20:55:01.828Z</t>
  </si>
  <si>
    <t>2055-06-05T20:36:08.828Z</t>
  </si>
  <si>
    <t>2055-06-05T20:28:38.416864Z</t>
  </si>
  <si>
    <t>2055-06-05T20:40:47.684163Z</t>
  </si>
  <si>
    <t>2055-06-05T19:55:14.371339Z</t>
  </si>
  <si>
    <t>2055-06-05T19:55:24.271015Z</t>
  </si>
  <si>
    <t>2055-06-05T20:06:57.103714Z</t>
  </si>
  <si>
    <t>2055-06-05T16:28:38.416864Z</t>
  </si>
  <si>
    <t>2055-06-05T16:40:47.684163Z</t>
  </si>
  <si>
    <t>2055-06-05T15:55:14.371339Z</t>
  </si>
  <si>
    <t>2055-06-05T16:06:57.103714Z</t>
  </si>
  <si>
    <t>2055-06-02T19:03:03.240097Z</t>
  </si>
  <si>
    <t>2055-06-02T19:43:03.305Z</t>
  </si>
  <si>
    <t>2055-06-02T19:33:01.305Z</t>
  </si>
  <si>
    <t>2055-06-02T19:16:49.814924Z</t>
  </si>
  <si>
    <t>2055-06-02T19:25:48.855653Z</t>
  </si>
  <si>
    <t>2055-06-02T19:03:07.295358Z</t>
  </si>
  <si>
    <t>2055-06-02T19:03:33.603748Z</t>
  </si>
  <si>
    <t>2055-06-02T19:14:29.304277Z</t>
  </si>
  <si>
    <t>2055-06-02T15:16:49.814924Z</t>
  </si>
  <si>
    <t>2055-06-02T15:25:48.855653Z</t>
  </si>
  <si>
    <t>2055-06-02T15:03:07.295358Z</t>
  </si>
  <si>
    <t>2055-06-02T15:14:29.304277Z</t>
  </si>
  <si>
    <t>2055-06-06T23:34:15.722575Z</t>
  </si>
  <si>
    <t>2055-06-07T00:29:15.806Z</t>
  </si>
  <si>
    <t>2055-06-07T00:09:30.806Z</t>
  </si>
  <si>
    <t>2055-06-06T23:49:11.821811Z</t>
  </si>
  <si>
    <t>2055-06-07T00:06:21.120082Z</t>
  </si>
  <si>
    <t>2055-06-06T23:34:27.352193Z</t>
  </si>
  <si>
    <t>2055-06-06T23:34:32.582722Z</t>
  </si>
  <si>
    <t>2055-06-06T23:46:45.249712Z</t>
  </si>
  <si>
    <t>2055-06-06T19:49:11.821811Z</t>
  </si>
  <si>
    <t>2055-06-06T20:06:21.120082Z</t>
  </si>
  <si>
    <t>2055-06-06T19:34:27.352193Z</t>
  </si>
  <si>
    <t>2055-06-06T19:46:45.249712Z</t>
  </si>
  <si>
    <t>2055-06-07T20:00:52.304444Z</t>
  </si>
  <si>
    <t>2055-06-07T20:55:52.391Z</t>
  </si>
  <si>
    <t>2055-06-07T20:33:04.391Z</t>
  </si>
  <si>
    <t>2055-06-07T20:29:26.058427Z</t>
  </si>
  <si>
    <t>2055-06-07T20:49:51.759099Z</t>
  </si>
  <si>
    <t>2055-06-07T20:01:07.267216Z</t>
  </si>
  <si>
    <t>2055-06-07T20:01:23.454393Z</t>
  </si>
  <si>
    <t>2055-06-07T20:27:06.914549Z</t>
  </si>
  <si>
    <t>2055-06-07T16:29:26.058427Z</t>
  </si>
  <si>
    <t>2055-06-07T16:49:51.759099Z</t>
  </si>
  <si>
    <t>2055-06-07T16:01:07.267216Z</t>
  </si>
  <si>
    <t>2055-06-07T16:27:06.914549Z</t>
  </si>
  <si>
    <t>2055-06-09T13:40:00.250015Z</t>
  </si>
  <si>
    <t>2055-06-09T16:15:00Z</t>
  </si>
  <si>
    <t>2055-06-09T15:45:05.330206Z</t>
  </si>
  <si>
    <t>2055-06-09T16:31:24.421094Z</t>
  </si>
  <si>
    <t>2055-06-09T15:15:14.211595Z</t>
  </si>
  <si>
    <t>2055-06-09T15:15:29.54238Z</t>
  </si>
  <si>
    <t>2055-06-09T15:43:14.517471Z</t>
  </si>
  <si>
    <t>2055-06-09T11:45:05.330206Z</t>
  </si>
  <si>
    <t>2055-06-09T12:31:24.421094Z</t>
  </si>
  <si>
    <t>2055-06-09T11:15:14.211595Z</t>
  </si>
  <si>
    <t>2055-06-09T11:43:14.517471Z</t>
  </si>
  <si>
    <t>2055-06-09T16:03:25.292868Z</t>
  </si>
  <si>
    <t>2055-06-09T16:49:01.359Z</t>
  </si>
  <si>
    <t>2055-06-09T16:28:54.359Z</t>
  </si>
  <si>
    <t>2055-06-09T16:24:35.045316Z</t>
  </si>
  <si>
    <t>2055-06-09T16:25:50.499488Z</t>
  </si>
  <si>
    <t>2055-06-09T16:06:14.912301Z</t>
  </si>
  <si>
    <t>2055-06-09T16:06:34.735623Z</t>
  </si>
  <si>
    <t>2055-06-09T16:16:22.470115Z</t>
  </si>
  <si>
    <t>2055-06-09T12:24:35.045316Z</t>
  </si>
  <si>
    <t>2055-06-09T12:25:50.499488Z</t>
  </si>
  <si>
    <t>2055-06-09T12:06:14.912301Z</t>
  </si>
  <si>
    <t>2055-06-09T12:16:22.470115Z</t>
  </si>
  <si>
    <t>2055-06-13T17:19:38.989558Z</t>
  </si>
  <si>
    <t>2055-06-13T18:28:57.061Z</t>
  </si>
  <si>
    <t>2055-06-13T18:09:18.061Z</t>
  </si>
  <si>
    <t>2055-06-13T17:44:27.45141Z</t>
  </si>
  <si>
    <t>2055-06-13T18:02:43.472654Z</t>
  </si>
  <si>
    <t>2055-06-13T17:22:15.191147Z</t>
  </si>
  <si>
    <t>2055-06-13T17:22:37.015812Z</t>
  </si>
  <si>
    <t>2055-06-13T17:26:45.450053Z</t>
  </si>
  <si>
    <t>2055-06-13T13:44:27.45141Z</t>
  </si>
  <si>
    <t>2055-06-13T14:02:43.472654Z</t>
  </si>
  <si>
    <t>2055-06-13T13:22:15.191147Z</t>
  </si>
  <si>
    <t>2055-06-13T13:26:45.450053Z</t>
  </si>
  <si>
    <t>2055-06-04T22:39:18.820907Z</t>
  </si>
  <si>
    <t>2055-06-04T23:28:55.883Z</t>
  </si>
  <si>
    <t>2055-06-04T23:10:02.883Z</t>
  </si>
  <si>
    <t>2055-06-04T22:54:52.105978Z</t>
  </si>
  <si>
    <t>2055-06-04T23:07:12.41673Z</t>
  </si>
  <si>
    <t>2055-06-04T22:39:34.624353Z</t>
  </si>
  <si>
    <t>2055-06-04T22:39:54.895188Z</t>
  </si>
  <si>
    <t>2055-06-04T22:44:32.54334Z</t>
  </si>
  <si>
    <t>2055-06-04T18:54:52.105978Z</t>
  </si>
  <si>
    <t>2055-06-04T19:07:12.41673Z</t>
  </si>
  <si>
    <t>2055-06-04T18:39:34.624353Z</t>
  </si>
  <si>
    <t>2055-06-04T18:44:32.54334Z</t>
  </si>
  <si>
    <t>2055-06-06T22:13:57.777959Z</t>
  </si>
  <si>
    <t>2055-06-06T22:59:11.78819Z</t>
  </si>
  <si>
    <t>2055-06-06T23:05:21.58672Z</t>
  </si>
  <si>
    <t>2055-06-06T22:32:07.567313Z</t>
  </si>
  <si>
    <t>2055-06-06T22:32:13.514824Z</t>
  </si>
  <si>
    <t>2055-06-06T18:59:11.78819Z</t>
  </si>
  <si>
    <t>2055-06-06T19:05:21.58672Z</t>
  </si>
  <si>
    <t>2055-06-06T18:32:07.567313Z</t>
  </si>
  <si>
    <t>2055-06-07T15:25:16.092567Z</t>
  </si>
  <si>
    <t>2055-06-07T16:37:31.172Z</t>
  </si>
  <si>
    <t>2055-06-07T16:27:50.172Z</t>
  </si>
  <si>
    <t>2055-06-07T15:57:08.692708Z</t>
  </si>
  <si>
    <t>2055-06-07T16:03:26.072108Z</t>
  </si>
  <si>
    <t>2055-06-07T15:39:14.567227Z</t>
  </si>
  <si>
    <t>2055-06-07T15:39:30.428758Z</t>
  </si>
  <si>
    <t>2055-06-07T11:57:08.692708Z</t>
  </si>
  <si>
    <t>2055-06-07T12:03:26.072108Z</t>
  </si>
  <si>
    <t>2055-06-07T11:39:14.567227Z</t>
  </si>
  <si>
    <t>2055-06-08T17:02:37.580108Z</t>
  </si>
  <si>
    <t>2055-06-08T17:47:37.648Z</t>
  </si>
  <si>
    <t>2055-06-08T17:36:27.648Z</t>
  </si>
  <si>
    <t>2055-06-08T17:19:06.212182Z</t>
  </si>
  <si>
    <t>2055-06-08T17:22:21.272978Z</t>
  </si>
  <si>
    <t>2055-06-08T17:02:47.32451Z</t>
  </si>
  <si>
    <t>2055-06-08T17:03:18.927452Z</t>
  </si>
  <si>
    <t>2055-06-08T17:12:05.572816Z</t>
  </si>
  <si>
    <t>2055-06-08T13:19:06.212182Z</t>
  </si>
  <si>
    <t>2055-06-08T13:22:21.272978Z</t>
  </si>
  <si>
    <t>2055-06-08T13:02:47.32451Z</t>
  </si>
  <si>
    <t>2055-06-08T13:12:05.572816Z</t>
  </si>
  <si>
    <t>2055-06-07T20:57:52.035425Z</t>
  </si>
  <si>
    <t>2055-06-07T21:52:52.103Z</t>
  </si>
  <si>
    <t>2055-06-07T21:32:20.103Z</t>
  </si>
  <si>
    <t>2055-06-07T21:29:15.715107Z</t>
  </si>
  <si>
    <t>2055-06-07T21:28:23.63759Z</t>
  </si>
  <si>
    <t>2055-06-07T20:58:07.230105Z</t>
  </si>
  <si>
    <t>2055-06-07T20:59:11.331781Z</t>
  </si>
  <si>
    <t>2055-06-07T21:06:16.271633Z</t>
  </si>
  <si>
    <t>2055-06-07T17:29:15.715107Z</t>
  </si>
  <si>
    <t>2055-06-07T17:28:23.63759Z</t>
  </si>
  <si>
    <t>2055-06-07T16:58:07.230105Z</t>
  </si>
  <si>
    <t>2055-06-07T17:06:16.271633Z</t>
  </si>
  <si>
    <t>2055-06-09T15:17:58.19615Z</t>
  </si>
  <si>
    <t>2055-06-09T16:11:22.26Z</t>
  </si>
  <si>
    <t>2055-06-09T15:51:43.26Z</t>
  </si>
  <si>
    <t>2055-06-09T15:39:01.258428Z</t>
  </si>
  <si>
    <t>2055-06-09T16:05:17.26698Z</t>
  </si>
  <si>
    <t>2055-06-09T15:22:34.105916Z</t>
  </si>
  <si>
    <t>2055-06-09T15:22:37.299839Z</t>
  </si>
  <si>
    <t>2055-06-09T15:36:17.469245Z</t>
  </si>
  <si>
    <t>2055-06-09T11:39:01.258428Z</t>
  </si>
  <si>
    <t>2055-06-09T12:05:17.26698Z</t>
  </si>
  <si>
    <t>2055-06-09T11:22:34.105916Z</t>
  </si>
  <si>
    <t>2055-06-09T11:36:17.469245Z</t>
  </si>
  <si>
    <t>2055-06-04T22:47:18.259101Z</t>
  </si>
  <si>
    <t>2055-06-04T23:46:09.314Z</t>
  </si>
  <si>
    <t>2055-06-04T23:26:02.314Z</t>
  </si>
  <si>
    <t>2055-06-04T23:18:09.730292Z</t>
  </si>
  <si>
    <t>2055-06-04T23:34:57.355981Z</t>
  </si>
  <si>
    <t>2055-06-04T22:59:27.478412Z</t>
  </si>
  <si>
    <t>2055-06-04T22:59:30.922528Z</t>
  </si>
  <si>
    <t>2055-06-04T23:14:41.551645Z</t>
  </si>
  <si>
    <t>2055-06-04T19:18:09.730292Z</t>
  </si>
  <si>
    <t>2055-06-04T19:34:57.355981Z</t>
  </si>
  <si>
    <t>2055-06-04T18:59:27.478412Z</t>
  </si>
  <si>
    <t>2055-06-04T19:14:41.551645Z</t>
  </si>
  <si>
    <t>2055-06-06T16:33:00.092811Z</t>
  </si>
  <si>
    <t>2055-06-06T17:28:00.168Z</t>
  </si>
  <si>
    <t>2055-06-06T16:55:36.168Z</t>
  </si>
  <si>
    <t>2055-06-06T16:47:07.528832Z</t>
  </si>
  <si>
    <t>2055-06-06T16:56:49.019623Z</t>
  </si>
  <si>
    <t>2055-06-06T16:33:07.250152Z</t>
  </si>
  <si>
    <t>2055-06-06T16:33:57.778553Z</t>
  </si>
  <si>
    <t>2055-06-06T16:38:49.268557Z</t>
  </si>
  <si>
    <t>2055-06-06T12:47:07.528832Z</t>
  </si>
  <si>
    <t>2055-06-06T12:56:49.019623Z</t>
  </si>
  <si>
    <t>2055-06-06T12:33:07.250152Z</t>
  </si>
  <si>
    <t>2055-06-06T12:38:49.268557Z</t>
  </si>
  <si>
    <t>2055-06-06T16:10:41.879622Z</t>
  </si>
  <si>
    <t>2055-06-06T17:00:42.03Z</t>
  </si>
  <si>
    <t>2055-06-06T16:42:23.03Z</t>
  </si>
  <si>
    <t>2055-06-06T16:36:21.975207Z</t>
  </si>
  <si>
    <t>2055-06-06T16:47:22.433496Z</t>
  </si>
  <si>
    <t>2055-06-06T16:10:47.286407Z</t>
  </si>
  <si>
    <t>2055-06-06T16:11:00.55753Z</t>
  </si>
  <si>
    <t>2055-06-06T12:36:21.975207Z</t>
  </si>
  <si>
    <t>2055-06-06T12:47:22.433496Z</t>
  </si>
  <si>
    <t>2055-06-06T12:10:47.286407Z</t>
  </si>
  <si>
    <t>2055-06-04T01:06:02.459451Z</t>
  </si>
  <si>
    <t>2055-06-04T02:12:37.544Z</t>
  </si>
  <si>
    <t>2055-06-04T01:58:44.544Z</t>
  </si>
  <si>
    <t>2055-06-04T01:31:48.427171Z</t>
  </si>
  <si>
    <t>2055-06-04T01:48:06.850964Z</t>
  </si>
  <si>
    <t>2055-06-04T01:09:07.780809Z</t>
  </si>
  <si>
    <t>2055-06-04T01:09:23.006553Z</t>
  </si>
  <si>
    <t>2055-06-04T01:21:50.719988Z</t>
  </si>
  <si>
    <t>2055-06-03T21:31:48.427171Z</t>
  </si>
  <si>
    <t>2055-06-03T21:48:06.850964Z</t>
  </si>
  <si>
    <t>2055-06-03T21:09:07.780809Z</t>
  </si>
  <si>
    <t>2055-06-03T21:21:50.719988Z</t>
  </si>
  <si>
    <t>2055-06-09T20:44:25.730063Z</t>
  </si>
  <si>
    <t>2055-06-09T21:24:56.805Z</t>
  </si>
  <si>
    <t>2055-06-09T21:19:49.805Z</t>
  </si>
  <si>
    <t>2055-06-09T21:26:11.93889Z</t>
  </si>
  <si>
    <t>2055-06-09T21:32:36.829301Z</t>
  </si>
  <si>
    <t>2055-06-09T21:05:34.301892Z</t>
  </si>
  <si>
    <t>2055-06-09T21:05:46.812383Z</t>
  </si>
  <si>
    <t>2055-06-09T21:24:23.253766Z</t>
  </si>
  <si>
    <t>2055-06-09T17:26:11.93889Z</t>
  </si>
  <si>
    <t>2055-06-09T17:32:36.829301Z</t>
  </si>
  <si>
    <t>2055-06-09T17:05:34.301892Z</t>
  </si>
  <si>
    <t>2055-06-09T17:24:23.253766Z</t>
  </si>
  <si>
    <t>2055-06-05T15:21:14.444414Z</t>
  </si>
  <si>
    <t>2055-06-05T16:16:14.559Z</t>
  </si>
  <si>
    <t>2055-06-05T15:52:46.559Z</t>
  </si>
  <si>
    <t>2055-06-05T15:38:13.578293Z</t>
  </si>
  <si>
    <t>2055-06-05T15:49:04.603567Z</t>
  </si>
  <si>
    <t>2055-06-05T15:21:27.320104Z</t>
  </si>
  <si>
    <t>2055-06-05T15:21:36.474082Z</t>
  </si>
  <si>
    <t>2055-06-05T15:27:29.721742Z</t>
  </si>
  <si>
    <t>2055-06-05T11:38:13.578293Z</t>
  </si>
  <si>
    <t>2055-06-05T11:49:04.603567Z</t>
  </si>
  <si>
    <t>2055-06-05T11:21:27.320104Z</t>
  </si>
  <si>
    <t>2055-06-05T11:27:29.721742Z</t>
  </si>
  <si>
    <t>2055-06-02T15:16:55.719213Z</t>
  </si>
  <si>
    <t>2055-06-02T16:54:16.801Z</t>
  </si>
  <si>
    <t>2055-06-02T16:31:03.801Z</t>
  </si>
  <si>
    <t>2055-06-02T15:42:24.256075Z</t>
  </si>
  <si>
    <t>2055-06-02T15:55:00.74901Z</t>
  </si>
  <si>
    <t>2055-06-02T15:31:07.442776Z</t>
  </si>
  <si>
    <t>2055-06-02T15:31:24.011639Z</t>
  </si>
  <si>
    <t>2055-06-02T15:38:33.749481Z</t>
  </si>
  <si>
    <t>2055-06-02T11:42:24.256075Z</t>
  </si>
  <si>
    <t>2055-06-02T11:55:00.74901Z</t>
  </si>
  <si>
    <t>2055-06-02T11:31:07.442776Z</t>
  </si>
  <si>
    <t>2055-06-02T11:38:33.749481Z</t>
  </si>
  <si>
    <t>2055-06-07T15:46:21.063955Z</t>
  </si>
  <si>
    <t>2055-06-07T16:40:27.125Z</t>
  </si>
  <si>
    <t>2055-06-07T16:30:46.125Z</t>
  </si>
  <si>
    <t>2055-06-07T16:21:27.674571Z</t>
  </si>
  <si>
    <t>2055-06-07T17:18:57.400909Z</t>
  </si>
  <si>
    <t>2055-06-07T15:52:14.101122Z</t>
  </si>
  <si>
    <t>2055-06-07T15:52:29.247376Z</t>
  </si>
  <si>
    <t>2055-06-07T16:15:31.043439Z</t>
  </si>
  <si>
    <t>2055-06-07T12:21:27.674571Z</t>
  </si>
  <si>
    <t>2055-06-07T13:18:57.400909Z</t>
  </si>
  <si>
    <t>2055-06-07T11:52:14.101122Z</t>
  </si>
  <si>
    <t>2055-06-07T12:15:31.043439Z</t>
  </si>
  <si>
    <t>2055-06-04T21:51:30.907029Z</t>
  </si>
  <si>
    <t>2055-06-04T22:48:39.969Z</t>
  </si>
  <si>
    <t>2055-06-04T22:28:32.969Z</t>
  </si>
  <si>
    <t>2055-06-04T22:14:08.164889Z</t>
  </si>
  <si>
    <t>2055-06-04T22:31:27.34891Z</t>
  </si>
  <si>
    <t>2055-06-04T21:57:47.4509Z</t>
  </si>
  <si>
    <t>2055-06-04T21:59:04.73726Z</t>
  </si>
  <si>
    <t>2055-06-04T22:10:11.099915Z</t>
  </si>
  <si>
    <t>2055-06-04T18:14:08.164889Z</t>
  </si>
  <si>
    <t>2055-06-04T18:31:27.34891Z</t>
  </si>
  <si>
    <t>2055-06-04T17:57:47.4509Z</t>
  </si>
  <si>
    <t>2055-06-04T18:10:11.099915Z</t>
  </si>
  <si>
    <t>2055-06-02T00:12:22.690145Z</t>
  </si>
  <si>
    <t>2055-06-02T01:20:13.763Z</t>
  </si>
  <si>
    <t>2055-06-02T01:00:06.763Z</t>
  </si>
  <si>
    <t>2055-06-02T00:46:51.609716Z</t>
  </si>
  <si>
    <t>2055-06-02T00:58:05.393145Z</t>
  </si>
  <si>
    <t>2055-06-02T00:12:55.765239Z</t>
  </si>
  <si>
    <t>2055-06-02T00:13:01.662977Z</t>
  </si>
  <si>
    <t>2055-06-02T00:30:48.362362Z</t>
  </si>
  <si>
    <t>2055-06-01T20:46:51.609716Z</t>
  </si>
  <si>
    <t>2055-06-01T20:58:05.393145Z</t>
  </si>
  <si>
    <t>2055-06-01T20:12:55.765239Z</t>
  </si>
  <si>
    <t>2055-06-01T20:30:48.362362Z</t>
  </si>
  <si>
    <t>2055-06-08T15:41:17.283015Z</t>
  </si>
  <si>
    <t>2055-06-08T16:21:17.367Z</t>
  </si>
  <si>
    <t>2055-06-08T16:09:31.367Z</t>
  </si>
  <si>
    <t>2055-06-08T16:07:06.312829Z</t>
  </si>
  <si>
    <t>2055-06-08T16:16:15.321235Z</t>
  </si>
  <si>
    <t>2055-06-08T15:41:27.335844Z</t>
  </si>
  <si>
    <t>2055-06-08T15:41:58.528704Z</t>
  </si>
  <si>
    <t>2055-06-08T16:00:03.934656Z</t>
  </si>
  <si>
    <t>2055-06-08T12:07:06.312829Z</t>
  </si>
  <si>
    <t>2055-06-08T12:16:15.321235Z</t>
  </si>
  <si>
    <t>2055-06-08T11:41:27.335844Z</t>
  </si>
  <si>
    <t>2055-06-08T12:00:03.934656Z</t>
  </si>
  <si>
    <t>2055-06-11T20:44:37.191721Z</t>
  </si>
  <si>
    <t>2055-06-11T21:51:29.254Z</t>
  </si>
  <si>
    <t>2055-06-11T21:36:22.254Z</t>
  </si>
  <si>
    <t>2055-06-11T21:11:06.916285Z</t>
  </si>
  <si>
    <t>2055-06-11T21:36:17.7456Z</t>
  </si>
  <si>
    <t>2055-06-11T20:49:14.290109Z</t>
  </si>
  <si>
    <t>2055-06-11T20:49:29.278631Z</t>
  </si>
  <si>
    <t>2055-06-11T21:01:19.433804Z</t>
  </si>
  <si>
    <t>2055-06-11T17:11:06.916285Z</t>
  </si>
  <si>
    <t>2055-06-11T17:36:17.7456Z</t>
  </si>
  <si>
    <t>2055-06-11T16:49:14.290109Z</t>
  </si>
  <si>
    <t>2055-06-11T17:01:19.433804Z</t>
  </si>
  <si>
    <t>2055-06-10T21:31:16.262762Z</t>
  </si>
  <si>
    <t>2055-06-10T22:10:53.404Z</t>
  </si>
  <si>
    <t>2055-06-10T22:07:00.404Z</t>
  </si>
  <si>
    <t>2055-06-10T22:07:40.518134Z</t>
  </si>
  <si>
    <t>2055-06-10T22:39:01.509571Z</t>
  </si>
  <si>
    <t>2055-06-10T21:31:34.396059Z</t>
  </si>
  <si>
    <t>2055-06-10T21:32:02.42792Z</t>
  </si>
  <si>
    <t>2055-06-10T22:08:29.243868Z</t>
  </si>
  <si>
    <t>2055-06-10T18:07:40.518134Z</t>
  </si>
  <si>
    <t>2055-06-10T18:39:01.509571Z</t>
  </si>
  <si>
    <t>2055-06-10T17:31:34.396059Z</t>
  </si>
  <si>
    <t>2055-06-10T18:08:29.243868Z</t>
  </si>
  <si>
    <t>2055-06-01T21:29:46.832983Z</t>
  </si>
  <si>
    <t>2055-06-01T22:17:53.907Z</t>
  </si>
  <si>
    <t>2055-06-01T21:59:00.907Z</t>
  </si>
  <si>
    <t>2055-06-01T21:51:36.159546Z</t>
  </si>
  <si>
    <t>2055-06-01T22:09:12.920568Z</t>
  </si>
  <si>
    <t>2055-06-01T21:35:54.319155Z</t>
  </si>
  <si>
    <t>2055-06-01T21:37:25.897431Z</t>
  </si>
  <si>
    <t>2055-06-01T21:50:41.30777Z</t>
  </si>
  <si>
    <t>2055-06-01T17:51:36.159546Z</t>
  </si>
  <si>
    <t>2055-06-01T18:09:12.920568Z</t>
  </si>
  <si>
    <t>2055-06-01T17:35:54.319155Z</t>
  </si>
  <si>
    <t>2055-06-01T17:50:41.30777Z</t>
  </si>
  <si>
    <t>2055-06-03T00:27:44.951183Z</t>
  </si>
  <si>
    <t>2055-06-03T01:07:45.063Z</t>
  </si>
  <si>
    <t>2055-06-03T01:02:18.063Z</t>
  </si>
  <si>
    <t>2055-06-03T00:41:07.854309Z</t>
  </si>
  <si>
    <t>2055-06-03T00:57:42.344484Z</t>
  </si>
  <si>
    <t>2055-06-03T00:30:27.462273Z</t>
  </si>
  <si>
    <t>2055-06-03T00:30:47.358672Z</t>
  </si>
  <si>
    <t>2055-06-03T00:38:20.615234Z</t>
  </si>
  <si>
    <t>2055-06-02T20:41:07.854309Z</t>
  </si>
  <si>
    <t>2055-06-02T20:57:42.344484Z</t>
  </si>
  <si>
    <t>2055-06-02T20:30:27.462273Z</t>
  </si>
  <si>
    <t>2055-06-02T20:38:20.615234Z</t>
  </si>
  <si>
    <t>2055-06-03T15:21:37.275683Z</t>
  </si>
  <si>
    <t>2055-06-03T16:30:00Z</t>
  </si>
  <si>
    <t>2055-06-03T15:42:24.80316Z</t>
  </si>
  <si>
    <t>2055-06-03T15:47:48.675759Z</t>
  </si>
  <si>
    <t>2055-06-03T15:30:14.648221Z</t>
  </si>
  <si>
    <t>2055-06-03T15:30:24.376927Z</t>
  </si>
  <si>
    <t>2055-06-03T15:33:15.448921Z</t>
  </si>
  <si>
    <t>2055-06-03T11:42:24.80316Z</t>
  </si>
  <si>
    <t>2055-06-03T11:47:48.675759Z</t>
  </si>
  <si>
    <t>2055-06-03T11:30:14.648221Z</t>
  </si>
  <si>
    <t>2055-06-03T11:33:15.448921Z</t>
  </si>
  <si>
    <t>2055-06-04T17:04:49.813836Z</t>
  </si>
  <si>
    <t>2055-06-04T17:55:07.866Z</t>
  </si>
  <si>
    <t>2055-06-04T17:41:14.866Z</t>
  </si>
  <si>
    <t>2055-06-04T17:36:51.173539Z</t>
  </si>
  <si>
    <t>2055-06-04T17:37:21.116103Z</t>
  </si>
  <si>
    <t>2055-06-04T17:09:14.334833Z</t>
  </si>
  <si>
    <t>2055-06-04T17:09:20.730698Z</t>
  </si>
  <si>
    <t>2055-06-04T17:12:25.27222Z</t>
  </si>
  <si>
    <t>2055-06-04T13:36:51.173539Z</t>
  </si>
  <si>
    <t>2055-06-04T13:37:21.116103Z</t>
  </si>
  <si>
    <t>2055-06-04T13:09:14.334833Z</t>
  </si>
  <si>
    <t>2055-06-04T13:12:25.27222Z</t>
  </si>
  <si>
    <t>2055-06-05T16:31:33.216977Z</t>
  </si>
  <si>
    <t>2055-06-05T17:26:33.295Z</t>
  </si>
  <si>
    <t>2055-06-05T17:05:56.295Z</t>
  </si>
  <si>
    <t>2055-06-05T16:58:07.501713Z</t>
  </si>
  <si>
    <t>2055-06-05T17:04:30.542991Z</t>
  </si>
  <si>
    <t>2055-06-05T16:43:27.396337Z</t>
  </si>
  <si>
    <t>2055-06-05T16:43:44.051997Z</t>
  </si>
  <si>
    <t>2055-06-05T16:49:53.774506Z</t>
  </si>
  <si>
    <t>2055-06-05T12:58:07.501713Z</t>
  </si>
  <si>
    <t>2055-06-05T13:04:30.542991Z</t>
  </si>
  <si>
    <t>2055-06-05T12:43:27.396337Z</t>
  </si>
  <si>
    <t>2055-06-05T12:49:53.774506Z</t>
  </si>
  <si>
    <t>2055-06-07T17:39:29.655216Z</t>
  </si>
  <si>
    <t>2055-06-07T18:28:02.735Z</t>
  </si>
  <si>
    <t>2055-06-07T18:13:23.735Z</t>
  </si>
  <si>
    <t>2055-06-07T17:46:04.052781Z</t>
  </si>
  <si>
    <t>2055-06-07T17:53:01.980141Z</t>
  </si>
  <si>
    <t>2055-06-07T17:40:54.297719Z</t>
  </si>
  <si>
    <t>2055-06-07T17:41:13.21667Z</t>
  </si>
  <si>
    <t>2055-06-07T17:42:38.543498Z</t>
  </si>
  <si>
    <t>2055-06-07T13:46:04.052781Z</t>
  </si>
  <si>
    <t>2055-06-07T13:53:01.980141Z</t>
  </si>
  <si>
    <t>2055-06-07T13:40:54.297719Z</t>
  </si>
  <si>
    <t>2055-06-07T13:42:38.543498Z</t>
  </si>
  <si>
    <t>2055-06-13T14:41:33.667437Z</t>
  </si>
  <si>
    <t>2055-06-13T15:22:45.734Z</t>
  </si>
  <si>
    <t>2055-06-13T15:08:06.734Z</t>
  </si>
  <si>
    <t>2055-06-13T15:07:11.268965Z</t>
  </si>
  <si>
    <t>2055-06-13T15:11:48.484477Z</t>
  </si>
  <si>
    <t>2055-06-13T14:43:34.243353Z</t>
  </si>
  <si>
    <t>2055-06-13T14:43:47.750162Z</t>
  </si>
  <si>
    <t>2055-06-13T14:47:38.951458Z</t>
  </si>
  <si>
    <t>2055-06-13T11:07:11.268965Z</t>
  </si>
  <si>
    <t>2055-06-13T11:11:48.484477Z</t>
  </si>
  <si>
    <t>2055-06-13T10:43:34.243353Z</t>
  </si>
  <si>
    <t>2055-06-13T10:47:38.951458Z</t>
  </si>
  <si>
    <t>2055-06-01T16:28:15.938695Z</t>
  </si>
  <si>
    <t>2055-06-01T17:50:48.008Z</t>
  </si>
  <si>
    <t>2055-06-01T17:28:54.008Z</t>
  </si>
  <si>
    <t>2055-06-01T17:39:38.176669Z</t>
  </si>
  <si>
    <t>2055-06-01T17:57:54.069456Z</t>
  </si>
  <si>
    <t>2055-06-01T17:18:14.353335Z</t>
  </si>
  <si>
    <t>2055-06-01T17:18:55.316353Z</t>
  </si>
  <si>
    <t>2055-06-01T13:39:38.176669Z</t>
  </si>
  <si>
    <t>2055-06-01T13:57:54.069456Z</t>
  </si>
  <si>
    <t>2055-06-01T13:18:14.353335Z</t>
  </si>
  <si>
    <t>2055-06-05T19:28:14.979058Z</t>
  </si>
  <si>
    <t>2055-06-05T20:22:08.063Z</t>
  </si>
  <si>
    <t>2055-06-05T20:07:01.063Z</t>
  </si>
  <si>
    <t>2055-06-05T19:44:51.62217Z</t>
  </si>
  <si>
    <t>2055-06-05T19:59:47.675437Z</t>
  </si>
  <si>
    <t>2055-06-05T19:28:27.327268Z</t>
  </si>
  <si>
    <t>2055-06-05T19:28:39.698737Z</t>
  </si>
  <si>
    <t>2055-06-05T19:40:54.970901Z</t>
  </si>
  <si>
    <t>2055-06-05T15:44:51.62217Z</t>
  </si>
  <si>
    <t>2055-06-05T15:59:47.675437Z</t>
  </si>
  <si>
    <t>2055-06-05T15:28:27.327268Z</t>
  </si>
  <si>
    <t>2055-06-05T15:40:54.970901Z</t>
  </si>
  <si>
    <t>2055-06-02T16:27:43.097187Z</t>
  </si>
  <si>
    <t>2055-06-02T17:23:32.165Z</t>
  </si>
  <si>
    <t>2055-06-02T17:04:39.165Z</t>
  </si>
  <si>
    <t>2055-06-02T16:39:51.114213Z</t>
  </si>
  <si>
    <t>2055-06-02T17:00:48.701579Z</t>
  </si>
  <si>
    <t>2055-06-02T16:27:47.24655Z</t>
  </si>
  <si>
    <t>2055-06-02T16:27:52.419985Z</t>
  </si>
  <si>
    <t>2055-06-02T16:36:54.015548Z</t>
  </si>
  <si>
    <t>2055-06-02T12:39:51.114213Z</t>
  </si>
  <si>
    <t>2055-06-02T13:00:48.701579Z</t>
  </si>
  <si>
    <t>2055-06-02T12:27:47.24655Z</t>
  </si>
  <si>
    <t>2055-06-02T12:36:54.015548Z</t>
  </si>
  <si>
    <t>2055-06-03T18:39:08.583271Z</t>
  </si>
  <si>
    <t>2055-06-03T19:34:08.652Z</t>
  </si>
  <si>
    <t>2055-06-03T19:05:20.652Z</t>
  </si>
  <si>
    <t>2055-06-03T19:19:12.35627Z</t>
  </si>
  <si>
    <t>2055-06-03T19:34:10.005032Z</t>
  </si>
  <si>
    <t>2055-06-03T18:48:27.425171Z</t>
  </si>
  <si>
    <t>2055-06-03T18:48:30.871958Z</t>
  </si>
  <si>
    <t>2055-06-03T19:10:46.34037Z</t>
  </si>
  <si>
    <t>2055-06-03T15:19:12.35627Z</t>
  </si>
  <si>
    <t>2055-06-03T15:34:10.005032Z</t>
  </si>
  <si>
    <t>2055-06-03T14:48:27.425171Z</t>
  </si>
  <si>
    <t>2055-06-03T15:10:46.34037Z</t>
  </si>
  <si>
    <t>2055-06-01T15:53:50.193927Z</t>
  </si>
  <si>
    <t>2055-06-01T16:56:15.286Z</t>
  </si>
  <si>
    <t>2055-06-01T16:37:22.286Z</t>
  </si>
  <si>
    <t>2055-06-01T16:16:46.000738Z</t>
  </si>
  <si>
    <t>2055-06-01T16:21:15.772442Z</t>
  </si>
  <si>
    <t>2055-06-01T15:57:07.296708Z</t>
  </si>
  <si>
    <t>2055-06-01T15:57:13.054333Z</t>
  </si>
  <si>
    <t>2055-06-01T16:04:01.303963Z</t>
  </si>
  <si>
    <t>2055-06-01T12:16:46.000738Z</t>
  </si>
  <si>
    <t>2055-06-01T12:21:15.772442Z</t>
  </si>
  <si>
    <t>2055-06-01T11:57:07.296708Z</t>
  </si>
  <si>
    <t>2055-06-01T12:04:01.303963Z</t>
  </si>
  <si>
    <t>2055-06-02T14:52:58.508532Z</t>
  </si>
  <si>
    <t>2055-06-02T15:45:00Z</t>
  </si>
  <si>
    <t>2055-06-02T15:14:18.910701Z</t>
  </si>
  <si>
    <t>2055-06-02T15:28:07.699112Z</t>
  </si>
  <si>
    <t>2055-06-02T14:53:07.324732Z</t>
  </si>
  <si>
    <t>2055-06-02T14:53:10.69533Z</t>
  </si>
  <si>
    <t>2055-06-02T14:57:12.51912Z</t>
  </si>
  <si>
    <t>2055-06-02T11:14:18.910701Z</t>
  </si>
  <si>
    <t>2055-06-02T11:28:07.699112Z</t>
  </si>
  <si>
    <t>2055-06-02T10:53:07.324732Z</t>
  </si>
  <si>
    <t>2055-06-02T10:57:12.51912Z</t>
  </si>
  <si>
    <t>2055-06-03T22:59:02.06111Z</t>
  </si>
  <si>
    <t>2055-06-03T23:54:02.156Z</t>
  </si>
  <si>
    <t>2055-06-03T23:31:22.156Z</t>
  </si>
  <si>
    <t>2055-06-03T23:37:13.756547Z</t>
  </si>
  <si>
    <t>2055-06-03T23:48:45.31696Z</t>
  </si>
  <si>
    <t>2055-06-03T23:00:07.37541Z</t>
  </si>
  <si>
    <t>2055-06-03T23:00:13.556127Z</t>
  </si>
  <si>
    <t>2055-06-03T23:33:57.596301Z</t>
  </si>
  <si>
    <t>2055-06-03T19:37:13.756547Z</t>
  </si>
  <si>
    <t>2055-06-03T19:48:45.31696Z</t>
  </si>
  <si>
    <t>2055-06-03T19:00:07.37541Z</t>
  </si>
  <si>
    <t>2055-06-03T19:33:57.596301Z</t>
  </si>
  <si>
    <t>2055-06-06T17:33:47.229494Z</t>
  </si>
  <si>
    <t>2055-06-06T19:04:15.313Z</t>
  </si>
  <si>
    <t>2055-06-06T18:36:02.313Z</t>
  </si>
  <si>
    <t>2055-06-06T17:53:55.895049Z</t>
  </si>
  <si>
    <t>2055-06-06T18:12:05.388116Z</t>
  </si>
  <si>
    <t>2055-06-06T17:36:07.30745Z</t>
  </si>
  <si>
    <t>2055-06-06T17:36:19.575302Z</t>
  </si>
  <si>
    <t>2055-06-06T17:50:56.523799Z</t>
  </si>
  <si>
    <t>2055-06-06T13:53:55.895049Z</t>
  </si>
  <si>
    <t>2055-06-06T14:12:05.388116Z</t>
  </si>
  <si>
    <t>2055-06-06T13:36:07.30745Z</t>
  </si>
  <si>
    <t>2055-06-06T13:50:56.523799Z</t>
  </si>
  <si>
    <t>2055-06-06T23:20:51.540593Z</t>
  </si>
  <si>
    <t>2055-06-07T00:25:10.62Z</t>
  </si>
  <si>
    <t>2055-06-07T00:03:16.62Z</t>
  </si>
  <si>
    <t>2055-06-06T23:41:10.314972Z</t>
  </si>
  <si>
    <t>2055-06-06T23:59:52.645822Z</t>
  </si>
  <si>
    <t>2055-06-06T23:34:07.345375Z</t>
  </si>
  <si>
    <t>2055-06-06T23:34:11.570465Z</t>
  </si>
  <si>
    <t>2055-06-06T23:36:18.040408Z</t>
  </si>
  <si>
    <t>2055-06-06T19:41:10.314972Z</t>
  </si>
  <si>
    <t>2055-06-06T19:59:52.645822Z</t>
  </si>
  <si>
    <t>2055-06-06T19:34:07.345375Z</t>
  </si>
  <si>
    <t>2055-06-06T19:36:18.040408Z</t>
  </si>
  <si>
    <t>2055-06-07T14:14:34.948724Z</t>
  </si>
  <si>
    <t>2055-06-07T14:59:23.003Z</t>
  </si>
  <si>
    <t>2055-06-07T14:40:30.003Z</t>
  </si>
  <si>
    <t>2055-06-07T14:41:29.516797Z</t>
  </si>
  <si>
    <t>2055-06-07T14:47:16.617359Z</t>
  </si>
  <si>
    <t>2055-06-07T14:25:54.056866Z</t>
  </si>
  <si>
    <t>2055-06-07T14:26:04.265076Z</t>
  </si>
  <si>
    <t>2055-06-07T14:28:51.047291Z</t>
  </si>
  <si>
    <t>2055-06-07T10:41:29.516797Z</t>
  </si>
  <si>
    <t>2055-06-07T10:47:16.617359Z</t>
  </si>
  <si>
    <t>2055-06-07T10:25:54.056866Z</t>
  </si>
  <si>
    <t>2055-06-07T10:28:51.047291Z</t>
  </si>
  <si>
    <t>2055-06-13T16:01:57.354507Z</t>
  </si>
  <si>
    <t>2055-06-13T16:51:46.425Z</t>
  </si>
  <si>
    <t>2055-06-13T16:31:39.425Z</t>
  </si>
  <si>
    <t>2055-06-13T16:32:16.565818Z</t>
  </si>
  <si>
    <t>2055-06-13T16:52:43.228599Z</t>
  </si>
  <si>
    <t>2055-06-13T16:06:34.534256Z</t>
  </si>
  <si>
    <t>2055-06-13T16:06:39.328594Z</t>
  </si>
  <si>
    <t>2055-06-13T16:19:08.599651Z</t>
  </si>
  <si>
    <t>2055-06-13T12:32:16.565818Z</t>
  </si>
  <si>
    <t>2055-06-13T12:52:43.228599Z</t>
  </si>
  <si>
    <t>2055-06-13T12:06:34.534256Z</t>
  </si>
  <si>
    <t>2055-06-13T12:19:08.599651Z</t>
  </si>
  <si>
    <t>2055-06-03T22:36:49.345094Z</t>
  </si>
  <si>
    <t>2055-06-03T23:29:16.4Z</t>
  </si>
  <si>
    <t>2055-06-03T23:10:23.4Z</t>
  </si>
  <si>
    <t>2055-06-03T22:54:16.936743Z</t>
  </si>
  <si>
    <t>2055-06-03T23:09:14.055859Z</t>
  </si>
  <si>
    <t>2055-06-03T22:36:54.549125Z</t>
  </si>
  <si>
    <t>2055-06-03T22:37:03.522491Z</t>
  </si>
  <si>
    <t>2055-06-03T22:42:12.869691Z</t>
  </si>
  <si>
    <t>2055-06-03T18:54:16.936743Z</t>
  </si>
  <si>
    <t>2055-06-03T19:09:14.055859Z</t>
  </si>
  <si>
    <t>2055-06-03T18:36:54.549125Z</t>
  </si>
  <si>
    <t>2055-06-03T18:42:12.869691Z</t>
  </si>
  <si>
    <t>2055-06-03T22:54:15.677461Z</t>
  </si>
  <si>
    <t>2055-06-03T23:37:00.759Z</t>
  </si>
  <si>
    <t>2055-06-03T23:28:07.759Z</t>
  </si>
  <si>
    <t>2055-06-03T23:06:37.940739Z</t>
  </si>
  <si>
    <t>2055-06-03T23:22:27.309155Z</t>
  </si>
  <si>
    <t>2055-06-03T22:58:54.896888Z</t>
  </si>
  <si>
    <t>2055-06-03T22:59:51.783871Z</t>
  </si>
  <si>
    <t>2055-06-03T19:06:37.940739Z</t>
  </si>
  <si>
    <t>2055-06-03T19:22:27.309155Z</t>
  </si>
  <si>
    <t>2055-06-03T18:58:54.896888Z</t>
  </si>
  <si>
    <t>2055-06-05T16:59:02.468964Z</t>
  </si>
  <si>
    <t>2055-06-05T18:09:46.526Z</t>
  </si>
  <si>
    <t>2055-06-05T17:51:28.526Z</t>
  </si>
  <si>
    <t>2055-06-05T17:25:42.105245Z</t>
  </si>
  <si>
    <t>2055-06-05T17:33:22.990532Z</t>
  </si>
  <si>
    <t>2055-06-05T17:17:14.687984Z</t>
  </si>
  <si>
    <t>2055-06-05T17:17:24.771533Z</t>
  </si>
  <si>
    <t>2055-06-05T17:22:02.69519Z</t>
  </si>
  <si>
    <t>2055-06-05T13:25:42.105245Z</t>
  </si>
  <si>
    <t>2055-06-05T13:33:22.990532Z</t>
  </si>
  <si>
    <t>2055-06-05T13:17:14.687984Z</t>
  </si>
  <si>
    <t>2055-06-05T13:22:02.69519Z</t>
  </si>
  <si>
    <t>2055-06-05T21:57:14.725848Z</t>
  </si>
  <si>
    <t>2055-06-05T22:32:10.802Z</t>
  </si>
  <si>
    <t>2055-06-05T22:23:17.802Z</t>
  </si>
  <si>
    <t>2055-06-05T22:09:52.110503Z</t>
  </si>
  <si>
    <t>2055-06-05T22:22:53.05641Z</t>
  </si>
  <si>
    <t>2055-06-05T22:03:35.48907Z</t>
  </si>
  <si>
    <t>2055-06-05T22:03:43.168359Z</t>
  </si>
  <si>
    <t>2055-06-05T22:08:19.604365Z</t>
  </si>
  <si>
    <t>2055-06-05T18:09:52.110503Z</t>
  </si>
  <si>
    <t>2055-06-05T18:22:53.05641Z</t>
  </si>
  <si>
    <t>2055-06-05T18:03:35.48907Z</t>
  </si>
  <si>
    <t>2055-06-05T18:08:19.604365Z</t>
  </si>
  <si>
    <t>2055-06-13T00:58:22.960202Z</t>
  </si>
  <si>
    <t>2055-06-13T02:08:10.007Z</t>
  </si>
  <si>
    <t>2055-06-13T01:43:29.007Z</t>
  </si>
  <si>
    <t>2055-06-13T01:25:34.965785Z</t>
  </si>
  <si>
    <t>2055-06-13T01:33:12.166446Z</t>
  </si>
  <si>
    <t>2055-06-13T01:15:35.231014Z</t>
  </si>
  <si>
    <t>2055-06-13T01:15:52.952949Z</t>
  </si>
  <si>
    <t>2055-06-13T01:24:37.03124Z</t>
  </si>
  <si>
    <t>2055-06-12T21:25:34.965785Z</t>
  </si>
  <si>
    <t>2055-06-12T21:33:12.166446Z</t>
  </si>
  <si>
    <t>2055-06-12T21:15:35.231014Z</t>
  </si>
  <si>
    <t>2055-06-12T21:24:37.03124Z</t>
  </si>
  <si>
    <t>2055-06-13T16:28:24.134724Z</t>
  </si>
  <si>
    <t>2055-06-13T17:26:17.194Z</t>
  </si>
  <si>
    <t>2055-06-13T17:06:10.194Z</t>
  </si>
  <si>
    <t>2055-06-13T17:13:44.826765Z</t>
  </si>
  <si>
    <t>2055-06-13T17:24:48.484234Z</t>
  </si>
  <si>
    <t>2055-06-13T16:32:54.421381Z</t>
  </si>
  <si>
    <t>2055-06-13T16:33:33.56117Z</t>
  </si>
  <si>
    <t>2055-06-13T16:54:52.86523Z</t>
  </si>
  <si>
    <t>2055-06-13T13:13:44.826765Z</t>
  </si>
  <si>
    <t>2055-06-13T13:24:48.484234Z</t>
  </si>
  <si>
    <t>2055-06-13T12:32:54.421381Z</t>
  </si>
  <si>
    <t>2055-06-13T12:54:52.86523Z</t>
  </si>
  <si>
    <t>2055-06-13T18:52:11.627437Z</t>
  </si>
  <si>
    <t>2055-06-13T19:30:52.701Z</t>
  </si>
  <si>
    <t>2055-06-13T19:21:59.701Z</t>
  </si>
  <si>
    <t>2055-06-13T19:12:49.187674Z</t>
  </si>
  <si>
    <t>2055-06-13T19:30:16.805378Z</t>
  </si>
  <si>
    <t>2055-06-13T18:59:14.201824Z</t>
  </si>
  <si>
    <t>2055-06-13T18:59:32.668113Z</t>
  </si>
  <si>
    <t>2055-06-13T19:07:19.311093Z</t>
  </si>
  <si>
    <t>2055-06-13T15:12:49.187674Z</t>
  </si>
  <si>
    <t>2055-06-13T15:30:16.805378Z</t>
  </si>
  <si>
    <t>2055-06-13T14:59:14.201824Z</t>
  </si>
  <si>
    <t>2055-06-13T15:07:19.311093Z</t>
  </si>
  <si>
    <t>2055-06-13T18:53:12.909094Z</t>
  </si>
  <si>
    <t>2055-06-13T19:32:13.975Z</t>
  </si>
  <si>
    <t>2055-06-13T19:23:20.975Z</t>
  </si>
  <si>
    <t>2055-06-13T19:12:58.158263Z</t>
  </si>
  <si>
    <t>2055-06-13T19:29:59.027889Z</t>
  </si>
  <si>
    <t>2055-06-13T19:02:34.121661Z</t>
  </si>
  <si>
    <t>2055-06-13T19:02:45.009199Z</t>
  </si>
  <si>
    <t>2055-06-13T19:07:19.870579Z</t>
  </si>
  <si>
    <t>2055-06-13T15:12:58.158263Z</t>
  </si>
  <si>
    <t>2055-06-13T15:29:59.027889Z</t>
  </si>
  <si>
    <t>2055-06-13T15:02:34.121661Z</t>
  </si>
  <si>
    <t>2055-06-13T15:07:19.870579Z</t>
  </si>
  <si>
    <t>2055-06-01T23:22:31.663827Z</t>
  </si>
  <si>
    <t>2055-06-02T00:14:17.764Z</t>
  </si>
  <si>
    <t>2055-06-01T23:59:10.764Z</t>
  </si>
  <si>
    <t>2055-06-01T23:36:02.644694Z</t>
  </si>
  <si>
    <t>2055-06-01T23:48:19.059803Z</t>
  </si>
  <si>
    <t>2055-06-01T23:22:47.448275Z</t>
  </si>
  <si>
    <t>2055-06-01T23:23:02.19767Z</t>
  </si>
  <si>
    <t>2055-06-01T23:36:43.071725Z</t>
  </si>
  <si>
    <t>2055-06-01T19:36:02.644694Z</t>
  </si>
  <si>
    <t>2055-06-01T19:48:19.059803Z</t>
  </si>
  <si>
    <t>2055-06-01T19:22:47.448275Z</t>
  </si>
  <si>
    <t>2055-06-01T19:36:43.071725Z</t>
  </si>
  <si>
    <t>2055-06-06T00:42:57.779612Z</t>
  </si>
  <si>
    <t>2055-06-06T01:39:22.933Z</t>
  </si>
  <si>
    <t>2055-06-06T01:17:28.933Z</t>
  </si>
  <si>
    <t>2055-06-06T01:20:41.368042Z</t>
  </si>
  <si>
    <t>2055-06-06T01:28:12.782758Z</t>
  </si>
  <si>
    <t>2055-06-06T01:00:27.401252Z</t>
  </si>
  <si>
    <t>2055-06-06T01:00:33.079596Z</t>
  </si>
  <si>
    <t>2055-06-06T01:04:36.312391Z</t>
  </si>
  <si>
    <t>2055-06-05T21:20:41.368042Z</t>
  </si>
  <si>
    <t>2055-06-05T21:28:12.782758Z</t>
  </si>
  <si>
    <t>2055-06-05T21:00:27.401252Z</t>
  </si>
  <si>
    <t>2055-06-05T21:04:36.312391Z</t>
  </si>
  <si>
    <t>2055-06-03T17:31:31.391234Z</t>
  </si>
  <si>
    <t>2055-06-03T18:24:31.46Z</t>
  </si>
  <si>
    <t>2055-06-03T18:04:52.46Z</t>
  </si>
  <si>
    <t>2055-06-03T17:54:59.653889Z</t>
  </si>
  <si>
    <t>2055-06-03T18:10:33.94675Z</t>
  </si>
  <si>
    <t>2055-06-03T17:34:54.618783Z</t>
  </si>
  <si>
    <t>2055-06-03T17:35:08.659897Z</t>
  </si>
  <si>
    <t>2055-06-03T17:43:22.277984Z</t>
  </si>
  <si>
    <t>2055-06-03T13:54:59.653889Z</t>
  </si>
  <si>
    <t>2055-06-03T14:10:33.94675Z</t>
  </si>
  <si>
    <t>2055-06-03T13:34:54.618783Z</t>
  </si>
  <si>
    <t>2055-06-03T13:43:22.277984Z</t>
  </si>
  <si>
    <t>2055-06-03T15:29:14.460893Z</t>
  </si>
  <si>
    <t>2055-06-03T16:30:35.55Z</t>
  </si>
  <si>
    <t>2055-06-03T16:20:28.55Z</t>
  </si>
  <si>
    <t>2055-06-03T16:25:21.131015Z</t>
  </si>
  <si>
    <t>2055-06-03T16:31:22.130197Z</t>
  </si>
  <si>
    <t>2055-06-03T15:57:07.703645Z</t>
  </si>
  <si>
    <t>2055-06-03T15:57:16.109228Z</t>
  </si>
  <si>
    <t>2055-06-03T16:19:52.45733Z</t>
  </si>
  <si>
    <t>2055-06-03T12:25:21.131015Z</t>
  </si>
  <si>
    <t>2055-06-03T12:31:22.130197Z</t>
  </si>
  <si>
    <t>2055-06-03T11:57:07.703645Z</t>
  </si>
  <si>
    <t>2055-06-03T12:19:52.45733Z</t>
  </si>
  <si>
    <t>2055-06-02T15:20:11.173923Z</t>
  </si>
  <si>
    <t>2055-06-02T16:01:53.235Z</t>
  </si>
  <si>
    <t>2055-06-02T15:57:14.235Z</t>
  </si>
  <si>
    <t>2055-06-02T16:21:39.919107Z</t>
  </si>
  <si>
    <t>2055-06-02T16:44:21.076098Z</t>
  </si>
  <si>
    <t>2055-06-02T15:20:14.109666Z</t>
  </si>
  <si>
    <t>2055-06-02T15:20:22.335768Z</t>
  </si>
  <si>
    <t>2055-06-02T15:20:15.505027Z</t>
  </si>
  <si>
    <t>2055-06-02T12:21:39.919107Z</t>
  </si>
  <si>
    <t>2055-06-02T12:44:21.076098Z</t>
  </si>
  <si>
    <t>2055-06-02T11:20:14.109666Z</t>
  </si>
  <si>
    <t>2055-06-02T11:20:15.505027Z</t>
  </si>
  <si>
    <t>2055-06-05T21:50:07.618594Z</t>
  </si>
  <si>
    <t>2055-06-05T22:55:28.686Z</t>
  </si>
  <si>
    <t>2055-06-05T22:36:35.686Z</t>
  </si>
  <si>
    <t>2055-06-05T23:09:47.656963Z</t>
  </si>
  <si>
    <t>2055-06-05T23:30:33.542438Z</t>
  </si>
  <si>
    <t>2055-06-05T23:01:17.059739Z</t>
  </si>
  <si>
    <t>2055-06-05T23:01:51.600033Z</t>
  </si>
  <si>
    <t>2055-06-05T23:08:19.311131Z</t>
  </si>
  <si>
    <t>2055-06-05T19:09:47.656963Z</t>
  </si>
  <si>
    <t>2055-06-05T19:30:33.542438Z</t>
  </si>
  <si>
    <t>2055-06-05T19:01:17.059739Z</t>
  </si>
  <si>
    <t>2055-06-05T19:08:19.311131Z</t>
  </si>
  <si>
    <t>2055-06-06T16:42:15.619461Z</t>
  </si>
  <si>
    <t>2055-06-06T17:40:47.691Z</t>
  </si>
  <si>
    <t>2055-06-06T17:31:54.691Z</t>
  </si>
  <si>
    <t>2055-06-06T17:18:56.944093Z</t>
  </si>
  <si>
    <t>2055-06-06T17:30:16.026139Z</t>
  </si>
  <si>
    <t>2055-06-06T16:42:27.308603Z</t>
  </si>
  <si>
    <t>2055-06-06T16:42:32.161895Z</t>
  </si>
  <si>
    <t>2055-06-06T16:44:51.208667Z</t>
  </si>
  <si>
    <t>2055-06-06T13:18:56.944093Z</t>
  </si>
  <si>
    <t>2055-06-06T13:30:16.026139Z</t>
  </si>
  <si>
    <t>2055-06-06T12:42:27.308603Z</t>
  </si>
  <si>
    <t>2055-06-06T12:44:51.208667Z</t>
  </si>
  <si>
    <t>2055-06-06T21:10:54.747129Z</t>
  </si>
  <si>
    <t>2055-06-06T21:59:44.798Z</t>
  </si>
  <si>
    <t>2055-06-06T21:40:51.798Z</t>
  </si>
  <si>
    <t>2055-06-06T21:26:39.631499Z</t>
  </si>
  <si>
    <t>2055-06-06T21:40:35.58425Z</t>
  </si>
  <si>
    <t>2055-06-06T21:17:14.125246Z</t>
  </si>
  <si>
    <t>2055-06-06T21:17:26.821485Z</t>
  </si>
  <si>
    <t>2055-06-06T21:19:25.527069Z</t>
  </si>
  <si>
    <t>2055-06-06T17:26:39.631499Z</t>
  </si>
  <si>
    <t>2055-06-06T17:40:35.58425Z</t>
  </si>
  <si>
    <t>2055-06-06T17:17:14.125246Z</t>
  </si>
  <si>
    <t>2055-06-06T17:19:25.527069Z</t>
  </si>
  <si>
    <t>2055-06-11T18:03:45.268728Z</t>
  </si>
  <si>
    <t>2055-06-11T19:25:24.327Z</t>
  </si>
  <si>
    <t>2055-06-11T19:00:43.327Z</t>
  </si>
  <si>
    <t>2055-06-11T18:39:15.594853Z</t>
  </si>
  <si>
    <t>2055-06-11T18:44:33.277459Z</t>
  </si>
  <si>
    <t>2055-06-11T18:22:34.241718Z</t>
  </si>
  <si>
    <t>2055-06-11T18:22:44.309388Z</t>
  </si>
  <si>
    <t>2055-06-11T18:36:54.18199Z</t>
  </si>
  <si>
    <t>2055-06-11T14:39:15.594853Z</t>
  </si>
  <si>
    <t>2055-06-11T14:44:33.277459Z</t>
  </si>
  <si>
    <t>2055-06-11T14:22:34.241718Z</t>
  </si>
  <si>
    <t>2055-06-11T14:36:54.18199Z</t>
  </si>
  <si>
    <t>2055-06-12T17:54:52.384065Z</t>
  </si>
  <si>
    <t>2055-06-12T18:50:36.44Z</t>
  </si>
  <si>
    <t>2055-06-12T18:45:57.44Z</t>
  </si>
  <si>
    <t>2055-06-12T18:30:24.941479Z</t>
  </si>
  <si>
    <t>2055-06-12T18:40:13.596888Z</t>
  </si>
  <si>
    <t>2055-06-12T18:15:34.256242Z</t>
  </si>
  <si>
    <t>2055-06-12T18:15:38.077532Z</t>
  </si>
  <si>
    <t>2055-06-12T18:25:29.635706Z</t>
  </si>
  <si>
    <t>2055-06-12T14:30:24.941479Z</t>
  </si>
  <si>
    <t>2055-06-12T14:40:13.596888Z</t>
  </si>
  <si>
    <t>2055-06-12T14:15:34.256242Z</t>
  </si>
  <si>
    <t>2055-06-12T14:25:29.635706Z</t>
  </si>
  <si>
    <t>2055-06-06T21:41:18.14118Z</t>
  </si>
  <si>
    <t>2055-06-06T22:34:57.186Z</t>
  </si>
  <si>
    <t>2055-06-06T22:16:04.186Z</t>
  </si>
  <si>
    <t>2055-06-06T21:49:52.431566Z</t>
  </si>
  <si>
    <t>2055-06-06T21:58:01.758908Z</t>
  </si>
  <si>
    <t>2055-06-06T21:41:34.402634Z</t>
  </si>
  <si>
    <t>2055-06-06T21:41:55.001806Z</t>
  </si>
  <si>
    <t>2055-06-06T21:44:49.517015Z</t>
  </si>
  <si>
    <t>2055-06-06T17:49:52.431566Z</t>
  </si>
  <si>
    <t>2055-06-06T17:58:01.758908Z</t>
  </si>
  <si>
    <t>2055-06-06T17:41:34.402634Z</t>
  </si>
  <si>
    <t>2055-06-06T17:44:49.517015Z</t>
  </si>
  <si>
    <t>2055-06-04T00:52:29.787814Z</t>
  </si>
  <si>
    <t>2055-06-04T01:59:39.835Z</t>
  </si>
  <si>
    <t>2055-06-04T01:37:45.835Z</t>
  </si>
  <si>
    <t>2055-06-04T01:32:05.760016Z</t>
  </si>
  <si>
    <t>2055-06-04T01:37:12.093788Z</t>
  </si>
  <si>
    <t>2055-06-04T01:08:35.166636Z</t>
  </si>
  <si>
    <t>2055-06-04T01:08:49.061261Z</t>
  </si>
  <si>
    <t>2055-06-04T01:13:43.905484Z</t>
  </si>
  <si>
    <t>2055-06-03T21:32:05.760016Z</t>
  </si>
  <si>
    <t>2055-06-03T21:37:12.093788Z</t>
  </si>
  <si>
    <t>2055-06-03T21:08:35.166636Z</t>
  </si>
  <si>
    <t>2055-06-03T21:13:43.905484Z</t>
  </si>
  <si>
    <t>2055-06-01T14:33:38.440073Z</t>
  </si>
  <si>
    <t>2055-06-01T15:45:00Z</t>
  </si>
  <si>
    <t>2055-06-01T15:20:59.346147Z</t>
  </si>
  <si>
    <t>2055-06-01T15:44:20.543861Z</t>
  </si>
  <si>
    <t>2055-06-01T14:47:07.407286Z</t>
  </si>
  <si>
    <t>2055-06-01T14:48:10.653549Z</t>
  </si>
  <si>
    <t>2055-06-01T15:04:28.382304Z</t>
  </si>
  <si>
    <t>2055-06-01T11:20:59.346147Z</t>
  </si>
  <si>
    <t>2055-06-01T11:44:20.543861Z</t>
  </si>
  <si>
    <t>2055-06-01T10:47:07.407286Z</t>
  </si>
  <si>
    <t>2055-06-01T11:04:28.382304Z</t>
  </si>
  <si>
    <t>2055-06-02T17:19:46.600054Z</t>
  </si>
  <si>
    <t>2055-06-02T18:04:46.677Z</t>
  </si>
  <si>
    <t>2055-06-02T17:43:46.677Z</t>
  </si>
  <si>
    <t>2055-06-02T17:33:18.01464Z</t>
  </si>
  <si>
    <t>2055-06-02T17:41:50.752042Z</t>
  </si>
  <si>
    <t>2055-06-02T17:20:07.314331Z</t>
  </si>
  <si>
    <t>2055-06-02T17:20:14.96574Z</t>
  </si>
  <si>
    <t>2055-06-02T17:27:49.280127Z</t>
  </si>
  <si>
    <t>2055-06-02T13:33:18.01464Z</t>
  </si>
  <si>
    <t>2055-06-02T13:41:50.752042Z</t>
  </si>
  <si>
    <t>2055-06-02T13:20:07.314331Z</t>
  </si>
  <si>
    <t>2055-06-02T13:27:49.280127Z</t>
  </si>
  <si>
    <t>2055-06-03T18:21:24.328847Z</t>
  </si>
  <si>
    <t>2055-06-03T19:16:35.398Z</t>
  </si>
  <si>
    <t>2055-06-03T18:57:42.398Z</t>
  </si>
  <si>
    <t>2055-06-03T19:04:48.480628Z</t>
  </si>
  <si>
    <t>2055-06-03T19:11:11.579698Z</t>
  </si>
  <si>
    <t>2055-06-03T18:26:14.307683Z</t>
  </si>
  <si>
    <t>2055-06-03T18:26:21.512973Z</t>
  </si>
  <si>
    <t>2055-06-03T19:03:24.829228Z</t>
  </si>
  <si>
    <t>2055-06-03T15:04:48.480628Z</t>
  </si>
  <si>
    <t>2055-06-03T15:11:11.579698Z</t>
  </si>
  <si>
    <t>2055-06-03T14:26:14.307683Z</t>
  </si>
  <si>
    <t>2055-06-03T15:03:24.829228Z</t>
  </si>
  <si>
    <t>2055-06-07T22:34:34.451902Z</t>
  </si>
  <si>
    <t>2055-06-07T23:33:59.523Z</t>
  </si>
  <si>
    <t>2055-06-07T23:17:05.523Z</t>
  </si>
  <si>
    <t>2055-06-07T22:59:04.714231Z</t>
  </si>
  <si>
    <t>2055-06-07T23:12:10.961254Z</t>
  </si>
  <si>
    <t>2055-06-07T22:36:26.093716Z</t>
  </si>
  <si>
    <t>2055-06-07T22:36:41.006269Z</t>
  </si>
  <si>
    <t>2055-06-07T22:57:15.939566Z</t>
  </si>
  <si>
    <t>2055-06-07T18:59:04.714231Z</t>
  </si>
  <si>
    <t>2055-06-07T19:12:10.961254Z</t>
  </si>
  <si>
    <t>2055-06-07T18:36:26.093716Z</t>
  </si>
  <si>
    <t>2055-06-07T18:57:15.939566Z</t>
  </si>
  <si>
    <t>2055-06-13T16:06:46.886729Z</t>
  </si>
  <si>
    <t>2055-06-13T16:57:57.937Z</t>
  </si>
  <si>
    <t>2055-06-13T16:37:50.937Z</t>
  </si>
  <si>
    <t>2055-06-13T16:19:15.130521Z</t>
  </si>
  <si>
    <t>2055-06-13T16:29:14.719657Z</t>
  </si>
  <si>
    <t>2055-06-13T16:14:54.837467Z</t>
  </si>
  <si>
    <t>2055-06-13T16:15:04.556579Z</t>
  </si>
  <si>
    <t>2055-06-13T16:17:18.073495Z</t>
  </si>
  <si>
    <t>2055-06-13T12:19:15.130521Z</t>
  </si>
  <si>
    <t>2055-06-13T12:29:14.719657Z</t>
  </si>
  <si>
    <t>2055-06-13T12:14:54.837467Z</t>
  </si>
  <si>
    <t>2055-06-13T12:17:18.073495Z</t>
  </si>
  <si>
    <t>2055-06-04T21:52:10.587832Z</t>
  </si>
  <si>
    <t>2055-06-04T23:01:34.661Z</t>
  </si>
  <si>
    <t>2055-06-04T22:41:27.661Z</t>
  </si>
  <si>
    <t>2055-06-04T22:23:22.728114Z</t>
  </si>
  <si>
    <t>2055-06-04T22:31:56.798841Z</t>
  </si>
  <si>
    <t>2055-06-04T22:05:47.384099Z</t>
  </si>
  <si>
    <t>2055-06-04T22:05:51.399452Z</t>
  </si>
  <si>
    <t>2055-06-04T22:20:22.433933Z</t>
  </si>
  <si>
    <t>2055-06-04T18:23:22.728114Z</t>
  </si>
  <si>
    <t>2055-06-04T18:31:56.798841Z</t>
  </si>
  <si>
    <t>2055-06-04T18:05:47.384099Z</t>
  </si>
  <si>
    <t>2055-06-04T18:20:22.433933Z</t>
  </si>
  <si>
    <t>2055-06-04T16:11:54.518806Z</t>
  </si>
  <si>
    <t>2055-06-04T17:14:59.597Z</t>
  </si>
  <si>
    <t>2055-06-04T16:55:20.597Z</t>
  </si>
  <si>
    <t>2055-06-04T16:51:26.193053Z</t>
  </si>
  <si>
    <t>2055-06-04T17:10:30.084328Z</t>
  </si>
  <si>
    <t>2055-06-04T16:21:07.241974Z</t>
  </si>
  <si>
    <t>2055-06-04T16:21:12.466561Z</t>
  </si>
  <si>
    <t>2055-06-04T16:40:53.65028Z</t>
  </si>
  <si>
    <t>2055-06-04T12:51:26.193053Z</t>
  </si>
  <si>
    <t>2055-06-04T13:10:30.084328Z</t>
  </si>
  <si>
    <t>2055-06-04T12:21:07.241974Z</t>
  </si>
  <si>
    <t>2055-06-04T12:40:53.65028Z</t>
  </si>
  <si>
    <t>2055-06-02T22:34:50.270623Z</t>
  </si>
  <si>
    <t>2055-06-02T23:23:41.346Z</t>
  </si>
  <si>
    <t>2055-06-02T23:09:02.346Z</t>
  </si>
  <si>
    <t>2055-06-02T22:45:10.929848Z</t>
  </si>
  <si>
    <t>2055-06-02T23:09:49.432716Z</t>
  </si>
  <si>
    <t>2055-06-02T22:34:54.445682Z</t>
  </si>
  <si>
    <t>2055-06-02T22:34:59.420056Z</t>
  </si>
  <si>
    <t>2055-06-02T22:41:47.56354Z</t>
  </si>
  <si>
    <t>2055-06-02T18:45:10.929848Z</t>
  </si>
  <si>
    <t>2055-06-02T19:09:49.432716Z</t>
  </si>
  <si>
    <t>2055-06-02T18:34:54.445682Z</t>
  </si>
  <si>
    <t>2055-06-02T18:41:47.56354Z</t>
  </si>
  <si>
    <t>2055-06-03T14:09:11.956074Z</t>
  </si>
  <si>
    <t>2055-06-03T16:00:00Z</t>
  </si>
  <si>
    <t>2055-06-03T15:41:33.464642Z</t>
  </si>
  <si>
    <t>2055-06-03T15:57:11.960808Z</t>
  </si>
  <si>
    <t>2055-06-03T15:01:47.304808Z</t>
  </si>
  <si>
    <t>2055-06-03T15:02:12.846345Z</t>
  </si>
  <si>
    <t>2055-06-03T15:18:28.905063Z</t>
  </si>
  <si>
    <t>2055-06-03T11:41:33.464642Z</t>
  </si>
  <si>
    <t>2055-06-03T11:57:11.960808Z</t>
  </si>
  <si>
    <t>2055-06-03T11:01:47.304808Z</t>
  </si>
  <si>
    <t>2055-06-03T11:18:28.905063Z</t>
  </si>
  <si>
    <t>2055-06-05T15:26:13.199679Z</t>
  </si>
  <si>
    <t>2055-06-05T16:22:40.287Z</t>
  </si>
  <si>
    <t>2055-06-05T16:18:47.287Z</t>
  </si>
  <si>
    <t>2055-06-05T15:42:43.168066Z</t>
  </si>
  <si>
    <t>2055-06-05T15:50:32.094331Z</t>
  </si>
  <si>
    <t>2055-06-05T15:26:34.468889Z</t>
  </si>
  <si>
    <t>2055-06-05T15:26:59.065837Z</t>
  </si>
  <si>
    <t>2055-06-05T15:34:56.439499Z</t>
  </si>
  <si>
    <t>2055-06-05T11:42:43.168066Z</t>
  </si>
  <si>
    <t>2055-06-05T11:50:32.094331Z</t>
  </si>
  <si>
    <t>2055-06-05T11:26:34.468889Z</t>
  </si>
  <si>
    <t>2055-06-05T11:34:56.439499Z</t>
  </si>
  <si>
    <t>2055-06-06T20:08:05.051328Z</t>
  </si>
  <si>
    <t>2055-06-06T21:03:05.13Z</t>
  </si>
  <si>
    <t>2055-06-06T20:39:38.13Z</t>
  </si>
  <si>
    <t>2055-06-06T20:39:14.856006Z</t>
  </si>
  <si>
    <t>2055-06-06T20:46:49.83338Z</t>
  </si>
  <si>
    <t>2055-06-06T20:08:27.251002Z</t>
  </si>
  <si>
    <t>2055-06-06T20:08:34.439655Z</t>
  </si>
  <si>
    <t>2055-06-06T16:39:14.856006Z</t>
  </si>
  <si>
    <t>2055-06-06T16:46:49.83338Z</t>
  </si>
  <si>
    <t>2055-06-06T16:08:27.251002Z</t>
  </si>
  <si>
    <t>2055-06-07T16:31:07.31943Z</t>
  </si>
  <si>
    <t>2055-06-07T17:21:07.441Z</t>
  </si>
  <si>
    <t>2055-06-07T16:55:33.441Z</t>
  </si>
  <si>
    <t>2055-06-07T16:48:40.994527Z</t>
  </si>
  <si>
    <t>2055-06-07T17:02:40.571356Z</t>
  </si>
  <si>
    <t>2055-06-07T16:33:07.288002Z</t>
  </si>
  <si>
    <t>2055-06-07T16:33:25.803455Z</t>
  </si>
  <si>
    <t>2055-06-07T16:45:58.177588Z</t>
  </si>
  <si>
    <t>2055-06-07T12:48:40.994527Z</t>
  </si>
  <si>
    <t>2055-06-07T13:02:40.571356Z</t>
  </si>
  <si>
    <t>2055-06-07T12:33:07.288002Z</t>
  </si>
  <si>
    <t>2055-06-07T12:45:58.177588Z</t>
  </si>
  <si>
    <t>2055-06-12T19:37:50.267161Z</t>
  </si>
  <si>
    <t>2055-06-12T20:37:56.34Z</t>
  </si>
  <si>
    <t>2055-06-12T20:18:17.34Z</t>
  </si>
  <si>
    <t>2055-06-12T20:19:00.355007Z</t>
  </si>
  <si>
    <t>2055-06-12T20:54:10.823306Z</t>
  </si>
  <si>
    <t>2055-06-12T19:37:54.300781Z</t>
  </si>
  <si>
    <t>2055-06-12T19:38:01.678815Z</t>
  </si>
  <si>
    <t>2055-06-12T20:01:04.66551Z</t>
  </si>
  <si>
    <t>2055-06-12T16:19:00.355007Z</t>
  </si>
  <si>
    <t>2055-06-12T16:54:10.823306Z</t>
  </si>
  <si>
    <t>2055-06-12T15:37:54.300781Z</t>
  </si>
  <si>
    <t>2055-06-12T16:01:04.66551Z</t>
  </si>
  <si>
    <t>2055-06-06T16:04:55.890182Z</t>
  </si>
  <si>
    <t>2055-06-06T17:02:06.972Z</t>
  </si>
  <si>
    <t>2055-06-06T16:41:59.972Z</t>
  </si>
  <si>
    <t>2055-06-06T16:28:23.133958Z</t>
  </si>
  <si>
    <t>2055-06-06T16:37:30.514418Z</t>
  </si>
  <si>
    <t>2055-06-06T16:16:07.303375Z</t>
  </si>
  <si>
    <t>2055-06-06T16:16:12.441351Z</t>
  </si>
  <si>
    <t>2055-06-06T16:27:32.518911Z</t>
  </si>
  <si>
    <t>2055-06-06T12:28:23.133958Z</t>
  </si>
  <si>
    <t>2055-06-06T12:37:30.514418Z</t>
  </si>
  <si>
    <t>2055-06-06T12:16:07.303375Z</t>
  </si>
  <si>
    <t>2055-06-06T12:27:32.518911Z</t>
  </si>
  <si>
    <t>2055-06-08T01:59:37.850258Z</t>
  </si>
  <si>
    <t>2055-06-08T03:22:26.916Z</t>
  </si>
  <si>
    <t>2055-06-08T03:02:19.916Z</t>
  </si>
  <si>
    <t>2055-06-08T02:40:01.395132Z</t>
  </si>
  <si>
    <t>2055-06-08T02:51:06.322535Z</t>
  </si>
  <si>
    <t>2055-06-08T02:04:07.310414Z</t>
  </si>
  <si>
    <t>2055-06-08T02:04:11.965396Z</t>
  </si>
  <si>
    <t>2055-06-08T02:14:49.447319Z</t>
  </si>
  <si>
    <t>2055-06-07T22:40:01.395132Z</t>
  </si>
  <si>
    <t>2055-06-07T22:51:06.322535Z</t>
  </si>
  <si>
    <t>2055-06-07T22:04:07.310414Z</t>
  </si>
  <si>
    <t>2055-06-07T22:14:49.447319Z</t>
  </si>
  <si>
    <t>2055-06-08T18:06:40.79223Z</t>
  </si>
  <si>
    <t>2055-06-08T19:38:52.864Z</t>
  </si>
  <si>
    <t>2055-06-08T19:10:39.864Z</t>
  </si>
  <si>
    <t>2055-06-08T19:24:04.945851Z</t>
  </si>
  <si>
    <t>2055-06-08T19:36:38.75066Z</t>
  </si>
  <si>
    <t>2055-06-08T18:42:14.52166Z</t>
  </si>
  <si>
    <t>2055-06-08T18:42:21.095815Z</t>
  </si>
  <si>
    <t>2055-06-08T19:22:49.089236Z</t>
  </si>
  <si>
    <t>2055-06-08T15:24:04.945851Z</t>
  </si>
  <si>
    <t>2055-06-08T15:36:38.75066Z</t>
  </si>
  <si>
    <t>2055-06-08T14:42:14.52166Z</t>
  </si>
  <si>
    <t>2055-06-08T15:22:49.089236Z</t>
  </si>
  <si>
    <t>2055-06-13T17:25:59.36253Z</t>
  </si>
  <si>
    <t>2055-06-13T18:16:02.43Z</t>
  </si>
  <si>
    <t>2055-06-13T17:57:09.43Z</t>
  </si>
  <si>
    <t>2055-06-13T17:42:04.37972Z</t>
  </si>
  <si>
    <t>2055-06-13T17:54:46.227907Z</t>
  </si>
  <si>
    <t>2055-06-13T17:30:14.346826Z</t>
  </si>
  <si>
    <t>2055-06-13T17:30:26.373773Z</t>
  </si>
  <si>
    <t>2055-06-13T17:34:02.670145Z</t>
  </si>
  <si>
    <t>2055-06-13T13:42:04.37972Z</t>
  </si>
  <si>
    <t>2055-06-13T13:54:46.227907Z</t>
  </si>
  <si>
    <t>2055-06-13T13:30:14.346826Z</t>
  </si>
  <si>
    <t>2055-06-13T13:34:02.670145Z</t>
  </si>
  <si>
    <t>2055-06-10T19:26:19.941829Z</t>
  </si>
  <si>
    <t>2055-06-10T20:19:32.995Z</t>
  </si>
  <si>
    <t>2055-06-10T20:10:39.995Z</t>
  </si>
  <si>
    <t>2055-06-10T19:50:06.955124Z</t>
  </si>
  <si>
    <t>2055-06-10T20:03:53.761798Z</t>
  </si>
  <si>
    <t>2055-06-10T19:26:34.219664Z</t>
  </si>
  <si>
    <t>2055-06-10T19:26:49.445242Z</t>
  </si>
  <si>
    <t>2055-06-10T19:41:48.400103Z</t>
  </si>
  <si>
    <t>2055-06-10T15:50:06.955124Z</t>
  </si>
  <si>
    <t>2055-06-10T16:03:53.761798Z</t>
  </si>
  <si>
    <t>2055-06-10T15:26:34.219664Z</t>
  </si>
  <si>
    <t>2055-06-10T15:41:48.400103Z</t>
  </si>
  <si>
    <t>2055-06-05T23:45:58.533376Z</t>
  </si>
  <si>
    <t>2055-06-06T00:42:36.586Z</t>
  </si>
  <si>
    <t>2055-06-06T00:19:18.586Z</t>
  </si>
  <si>
    <t>2055-06-05T23:57:32.383404Z</t>
  </si>
  <si>
    <t>2055-06-06T00:08:07.37066Z</t>
  </si>
  <si>
    <t>2055-06-05T23:51:18.303421Z</t>
  </si>
  <si>
    <t>2055-06-05T23:51:36.843059Z</t>
  </si>
  <si>
    <t>2055-06-05T23:54:51.015506Z</t>
  </si>
  <si>
    <t>2055-06-05T19:57:32.383404Z</t>
  </si>
  <si>
    <t>2055-06-05T20:08:07.37066Z</t>
  </si>
  <si>
    <t>2055-06-05T19:51:18.303421Z</t>
  </si>
  <si>
    <t>2055-06-05T19:54:51.015506Z</t>
  </si>
  <si>
    <t>2055-06-02T19:51:48.136705Z</t>
  </si>
  <si>
    <t>2055-06-02T20:50:51.216Z</t>
  </si>
  <si>
    <t>2055-06-02T20:31:12.216Z</t>
  </si>
  <si>
    <t>2055-06-02T20:24:54.11892Z</t>
  </si>
  <si>
    <t>2055-06-02T20:48:52.675373Z</t>
  </si>
  <si>
    <t>2055-06-02T19:52:27.289091Z</t>
  </si>
  <si>
    <t>2055-06-02T19:52:30.088309Z</t>
  </si>
  <si>
    <t>2055-06-02T16:24:54.11892Z</t>
  </si>
  <si>
    <t>2055-06-02T16:48:52.675373Z</t>
  </si>
  <si>
    <t>2055-06-02T15:52:27.289091Z</t>
  </si>
  <si>
    <t>2055-06-04T15:51:15.292073Z</t>
  </si>
  <si>
    <t>2055-06-04T18:15:00Z</t>
  </si>
  <si>
    <t>2055-06-04T17:29:02.134253Z</t>
  </si>
  <si>
    <t>2055-06-04T17:41:43.385159Z</t>
  </si>
  <si>
    <t>2055-06-04T17:15:07.247205Z</t>
  </si>
  <si>
    <t>2055-06-04T17:15:17.065564Z</t>
  </si>
  <si>
    <t>2055-06-04T13:29:02.134253Z</t>
  </si>
  <si>
    <t>2055-06-04T13:41:43.385159Z</t>
  </si>
  <si>
    <t>2055-06-04T13:15:07.247205Z</t>
  </si>
  <si>
    <t>2055-06-06T17:26:49.949217Z</t>
  </si>
  <si>
    <t>2055-06-06T18:41:21.016Z</t>
  </si>
  <si>
    <t>2055-06-06T18:21:14.016Z</t>
  </si>
  <si>
    <t>2055-06-06T18:02:18.985313Z</t>
  </si>
  <si>
    <t>2055-06-06T18:13:32.622454Z</t>
  </si>
  <si>
    <t>2055-06-06T17:40:54.193927Z</t>
  </si>
  <si>
    <t>2055-06-06T17:41:39.28597Z</t>
  </si>
  <si>
    <t>2055-06-06T17:52:57.521993Z</t>
  </si>
  <si>
    <t>2055-06-06T14:02:18.985313Z</t>
  </si>
  <si>
    <t>2055-06-06T14:13:32.622454Z</t>
  </si>
  <si>
    <t>2055-06-06T13:40:54.193927Z</t>
  </si>
  <si>
    <t>2055-06-06T13:52:57.521993Z</t>
  </si>
  <si>
    <t>2055-06-02T19:31:51.787405Z</t>
  </si>
  <si>
    <t>2055-06-02T20:29:50.87Z</t>
  </si>
  <si>
    <t>2055-06-02T20:10:57.87Z</t>
  </si>
  <si>
    <t>2055-06-02T19:46:12.949381Z</t>
  </si>
  <si>
    <t>2055-06-02T19:52:08.763405Z</t>
  </si>
  <si>
    <t>2055-06-02T19:32:07.294129Z</t>
  </si>
  <si>
    <t>2055-06-02T19:32:16.44665Z</t>
  </si>
  <si>
    <t>2055-06-02T19:39:11.999898Z</t>
  </si>
  <si>
    <t>2055-06-02T15:46:12.949381Z</t>
  </si>
  <si>
    <t>2055-06-02T15:52:08.763405Z</t>
  </si>
  <si>
    <t>2055-06-02T15:32:07.294129Z</t>
  </si>
  <si>
    <t>2055-06-02T15:39:11.999898Z</t>
  </si>
  <si>
    <t>2055-06-03T17:31:34.538635Z</t>
  </si>
  <si>
    <t>2055-06-03T18:34:06.592Z</t>
  </si>
  <si>
    <t>2055-06-03T18:14:27.592Z</t>
  </si>
  <si>
    <t>2055-06-03T17:55:29.436936Z</t>
  </si>
  <si>
    <t>2055-06-03T18:09:05.109613Z</t>
  </si>
  <si>
    <t>2055-06-03T17:36:54.381877Z</t>
  </si>
  <si>
    <t>2055-06-03T17:37:06.772652Z</t>
  </si>
  <si>
    <t>2055-06-03T17:53:52.546667Z</t>
  </si>
  <si>
    <t>2055-06-03T13:55:29.436936Z</t>
  </si>
  <si>
    <t>2055-06-03T14:09:05.109613Z</t>
  </si>
  <si>
    <t>2055-06-03T13:36:54.381877Z</t>
  </si>
  <si>
    <t>2055-06-03T13:53:52.546667Z</t>
  </si>
  <si>
    <t>2055-06-03T23:05:15.228289Z</t>
  </si>
  <si>
    <t>2055-06-03T23:58:15.286Z</t>
  </si>
  <si>
    <t>2055-06-03T23:39:22.286Z</t>
  </si>
  <si>
    <t>2055-06-03T23:35:01.407257Z</t>
  </si>
  <si>
    <t>2055-06-03T23:48:30.570759Z</t>
  </si>
  <si>
    <t>2055-06-03T23:09:15.742109Z</t>
  </si>
  <si>
    <t>2055-06-03T23:09:30.253058Z</t>
  </si>
  <si>
    <t>2055-06-03T23:36:33.340675Z</t>
  </si>
  <si>
    <t>2055-06-03T19:35:01.407257Z</t>
  </si>
  <si>
    <t>2055-06-03T19:48:30.570759Z</t>
  </si>
  <si>
    <t>2055-06-03T19:09:15.742109Z</t>
  </si>
  <si>
    <t>2055-06-03T19:36:33.340675Z</t>
  </si>
  <si>
    <t>2055-06-08T21:39:39.26004Z</t>
  </si>
  <si>
    <t>2055-06-08T22:34:58.305Z</t>
  </si>
  <si>
    <t>2055-06-08T22:14:51.305Z</t>
  </si>
  <si>
    <t>2055-06-08T21:51:08.88324Z</t>
  </si>
  <si>
    <t>2055-06-08T22:22:11.848662Z</t>
  </si>
  <si>
    <t>2055-06-08T21:42:14.354301Z</t>
  </si>
  <si>
    <t>2055-06-08T21:42:46.250365Z</t>
  </si>
  <si>
    <t>2055-06-08T21:47:42.972373Z</t>
  </si>
  <si>
    <t>2055-06-08T17:51:08.88324Z</t>
  </si>
  <si>
    <t>2055-06-08T18:22:11.848662Z</t>
  </si>
  <si>
    <t>2055-06-08T17:42:14.354301Z</t>
  </si>
  <si>
    <t>2055-06-08T17:47:42.972373Z</t>
  </si>
  <si>
    <t>2055-06-02T02:14:54.679465Z</t>
  </si>
  <si>
    <t>2055-06-02T03:17:29.749Z</t>
  </si>
  <si>
    <t>2055-06-02T03:09:11.749Z</t>
  </si>
  <si>
    <t>2055-06-02T02:38:24.997871Z</t>
  </si>
  <si>
    <t>2055-06-02T03:16:32.544648Z</t>
  </si>
  <si>
    <t>2055-06-02T02:16:54.153954Z</t>
  </si>
  <si>
    <t>2055-06-02T02:17:00.84967Z</t>
  </si>
  <si>
    <t>2055-06-02T02:38:33.888558Z</t>
  </si>
  <si>
    <t>2055-06-01T22:38:24.997871Z</t>
  </si>
  <si>
    <t>2055-06-01T23:16:32.544648Z</t>
  </si>
  <si>
    <t>2055-06-01T22:16:54.153954Z</t>
  </si>
  <si>
    <t>2055-06-01T22:38:33.888558Z</t>
  </si>
  <si>
    <t>2055-06-03T01:10:00.76142Z</t>
  </si>
  <si>
    <t>2055-06-03T02:13:43.864Z</t>
  </si>
  <si>
    <t>2055-06-03T01:54:50.864Z</t>
  </si>
  <si>
    <t>2055-06-03T01:21:56.561685Z</t>
  </si>
  <si>
    <t>2055-06-03T01:43:55.525937Z</t>
  </si>
  <si>
    <t>2055-06-03T01:10:07.28596Z</t>
  </si>
  <si>
    <t>2055-06-03T01:10:15.110935Z</t>
  </si>
  <si>
    <t>2055-06-03T01:15:48.440763Z</t>
  </si>
  <si>
    <t>2055-06-02T21:21:56.561685Z</t>
  </si>
  <si>
    <t>2055-06-02T21:43:55.525937Z</t>
  </si>
  <si>
    <t>2055-06-02T21:10:07.28596Z</t>
  </si>
  <si>
    <t>2055-06-02T21:15:48.440763Z</t>
  </si>
  <si>
    <t>2055-06-03T16:02:26.704887Z</t>
  </si>
  <si>
    <t>2055-06-03T16:42:26.798Z</t>
  </si>
  <si>
    <t>2055-06-03T16:37:56.798Z</t>
  </si>
  <si>
    <t>2055-06-03T16:22:11.468808Z</t>
  </si>
  <si>
    <t>2055-06-03T16:35:30.288899Z</t>
  </si>
  <si>
    <t>2055-06-03T16:02:47.387652Z</t>
  </si>
  <si>
    <t>2055-06-03T16:05:03.376758Z</t>
  </si>
  <si>
    <t>2055-06-03T16:15:40.648583Z</t>
  </si>
  <si>
    <t>2055-06-03T12:22:11.468808Z</t>
  </si>
  <si>
    <t>2055-06-03T12:35:30.288899Z</t>
  </si>
  <si>
    <t>2055-06-03T12:02:47.387652Z</t>
  </si>
  <si>
    <t>2055-06-03T12:15:40.648583Z</t>
  </si>
  <si>
    <t>2055-06-03T21:54:19.990838Z</t>
  </si>
  <si>
    <t>2055-06-03T22:58:12.077Z</t>
  </si>
  <si>
    <t>2055-06-03T22:43:31.077Z</t>
  </si>
  <si>
    <t>2055-06-03T22:11:24.507168Z</t>
  </si>
  <si>
    <t>2055-06-03T22:23:03.108399Z</t>
  </si>
  <si>
    <t>2055-06-03T21:55:07.482233Z</t>
  </si>
  <si>
    <t>2055-06-03T21:55:18.421156Z</t>
  </si>
  <si>
    <t>2055-06-03T22:08:11.531093Z</t>
  </si>
  <si>
    <t>2055-06-03T18:11:24.507168Z</t>
  </si>
  <si>
    <t>2055-06-03T18:23:03.108399Z</t>
  </si>
  <si>
    <t>2055-06-03T17:55:07.482233Z</t>
  </si>
  <si>
    <t>2055-06-03T18:08:11.531093Z</t>
  </si>
  <si>
    <t>2055-06-06T18:11:47.942236Z</t>
  </si>
  <si>
    <t>2055-06-06T19:39:30.029Z</t>
  </si>
  <si>
    <t>2055-06-06T19:11:17.029Z</t>
  </si>
  <si>
    <t>2055-06-06T18:51:42.894611Z</t>
  </si>
  <si>
    <t>2055-06-06T19:03:23.72865Z</t>
  </si>
  <si>
    <t>2055-06-06T18:13:27.342809Z</t>
  </si>
  <si>
    <t>2055-06-06T18:13:55.470816Z</t>
  </si>
  <si>
    <t>2055-06-06T18:46:02.849118Z</t>
  </si>
  <si>
    <t>2055-06-06T14:51:42.894611Z</t>
  </si>
  <si>
    <t>2055-06-06T15:03:23.72865Z</t>
  </si>
  <si>
    <t>2055-06-06T14:13:27.342809Z</t>
  </si>
  <si>
    <t>2055-06-06T14:46:02.849118Z</t>
  </si>
  <si>
    <t>2055-06-04T01:43:18.403235Z</t>
  </si>
  <si>
    <t>2055-06-04T02:27:55.48Z</t>
  </si>
  <si>
    <t>2055-06-04T02:22:48.48Z</t>
  </si>
  <si>
    <t>2055-06-04T02:18:40.836201Z</t>
  </si>
  <si>
    <t>2055-06-04T02:35:41.940633Z</t>
  </si>
  <si>
    <t>2055-06-04T01:52:27.334394Z</t>
  </si>
  <si>
    <t>2055-06-04T01:52:36.158222Z</t>
  </si>
  <si>
    <t>2055-06-04T02:15:49.364003Z</t>
  </si>
  <si>
    <t>2055-06-03T22:18:40.836201Z</t>
  </si>
  <si>
    <t>2055-06-03T22:35:41.940633Z</t>
  </si>
  <si>
    <t>2055-06-03T21:52:27.334394Z</t>
  </si>
  <si>
    <t>2055-06-03T22:15:49.364003Z</t>
  </si>
  <si>
    <t>2055-06-04T20:31:46.809853Z</t>
  </si>
  <si>
    <t>2055-06-04T21:11:46.892Z</t>
  </si>
  <si>
    <t>2055-06-04T21:05:10.892Z</t>
  </si>
  <si>
    <t>2055-06-04T20:45:55.214812Z</t>
  </si>
  <si>
    <t>2055-06-04T21:01:33.123675Z</t>
  </si>
  <si>
    <t>2055-06-04T20:32:07.295639Z</t>
  </si>
  <si>
    <t>2055-06-04T20:32:32.252841Z</t>
  </si>
  <si>
    <t>2055-06-04T20:40:29.898851Z</t>
  </si>
  <si>
    <t>2055-06-04T16:45:55.214812Z</t>
  </si>
  <si>
    <t>2055-06-04T17:01:33.123675Z</t>
  </si>
  <si>
    <t>2055-06-04T16:32:07.295639Z</t>
  </si>
  <si>
    <t>2055-06-04T16:40:29.898851Z</t>
  </si>
  <si>
    <t>2055-06-13T02:07:33.957866Z</t>
  </si>
  <si>
    <t>2055-06-13T03:44:48.013Z</t>
  </si>
  <si>
    <t>2055-06-13T03:16:35.013Z</t>
  </si>
  <si>
    <t>2055-06-13T03:00:33.315021Z</t>
  </si>
  <si>
    <t>2055-06-13T03:09:20.788159Z</t>
  </si>
  <si>
    <t>2055-06-13T02:45:34.089143Z</t>
  </si>
  <si>
    <t>2055-06-13T02:45:38.378473Z</t>
  </si>
  <si>
    <t>2055-06-13T02:52:18.514459Z</t>
  </si>
  <si>
    <t>2055-06-12T23:00:33.315021Z</t>
  </si>
  <si>
    <t>2055-06-12T23:09:20.788159Z</t>
  </si>
  <si>
    <t>2055-06-12T22:45:34.089143Z</t>
  </si>
  <si>
    <t>2055-06-12T22:52:18.514459Z</t>
  </si>
  <si>
    <t>2055-06-01T15:54:03.019421Z</t>
  </si>
  <si>
    <t>2055-06-01T16:49:03.103Z</t>
  </si>
  <si>
    <t>2055-06-01T16:22:03.103Z</t>
  </si>
  <si>
    <t>2055-06-01T16:11:11.307723Z</t>
  </si>
  <si>
    <t>2055-06-01T16:22:27.458926Z</t>
  </si>
  <si>
    <t>2055-06-01T15:54:07.32004Z</t>
  </si>
  <si>
    <t>2055-06-01T15:54:10.306207Z</t>
  </si>
  <si>
    <t>2055-06-01T15:57:36.811192Z</t>
  </si>
  <si>
    <t>2055-06-01T12:11:11.307723Z</t>
  </si>
  <si>
    <t>2055-06-01T12:22:27.458926Z</t>
  </si>
  <si>
    <t>2055-06-01T11:54:07.32004Z</t>
  </si>
  <si>
    <t>2055-06-01T11:57:36.811192Z</t>
  </si>
  <si>
    <t>2055-06-02T01:35:44.899988Z</t>
  </si>
  <si>
    <t>2055-06-02T02:29:22.96Z</t>
  </si>
  <si>
    <t>2055-06-02T02:09:43.96Z</t>
  </si>
  <si>
    <t>2055-06-02T01:44:45.065788Z</t>
  </si>
  <si>
    <t>2055-06-02T02:01:55.527823Z</t>
  </si>
  <si>
    <t>2055-06-02T01:39:14.256089Z</t>
  </si>
  <si>
    <t>2055-06-02T01:39:32.76022Z</t>
  </si>
  <si>
    <t>2055-06-02T01:44:42.740832Z</t>
  </si>
  <si>
    <t>2055-06-01T21:44:45.065788Z</t>
  </si>
  <si>
    <t>2055-06-01T22:01:55.527823Z</t>
  </si>
  <si>
    <t>2055-06-01T21:39:14.256089Z</t>
  </si>
  <si>
    <t>2055-06-01T21:44:42.740832Z</t>
  </si>
  <si>
    <t>2055-06-12T23:31:54.277331Z</t>
  </si>
  <si>
    <t>2055-06-13T00:58:47.331Z</t>
  </si>
  <si>
    <t>2055-06-13T00:35:29.331Z</t>
  </si>
  <si>
    <t>2055-06-13T01:04:07.877599Z</t>
  </si>
  <si>
    <t>2055-06-13T01:04:33.536612Z</t>
  </si>
  <si>
    <t>2055-06-12T23:38:16.199962Z</t>
  </si>
  <si>
    <t>2055-06-12T23:38:29.881243Z</t>
  </si>
  <si>
    <t>2055-06-12T23:49:27.517097Z</t>
  </si>
  <si>
    <t>2055-06-12T21:04:07.877599Z</t>
  </si>
  <si>
    <t>2055-06-12T21:04:33.536612Z</t>
  </si>
  <si>
    <t>2055-06-12T19:38:16.199962Z</t>
  </si>
  <si>
    <t>2055-06-12T19:49:27.517097Z</t>
  </si>
  <si>
    <t>2055-06-05T01:24:23.030073Z</t>
  </si>
  <si>
    <t>2055-06-05T02:03:06.086Z</t>
  </si>
  <si>
    <t>2055-06-05T01:58:27.086Z</t>
  </si>
  <si>
    <t>2055-06-05T01:39:58.830561Z</t>
  </si>
  <si>
    <t>2055-06-05T01:52:48.978049Z</t>
  </si>
  <si>
    <t>2055-06-05T01:24:35.061903Z</t>
  </si>
  <si>
    <t>2055-06-05T01:24:55.079788Z</t>
  </si>
  <si>
    <t>2055-06-05T01:40:06.84536Z</t>
  </si>
  <si>
    <t>2055-06-04T21:39:58.830561Z</t>
  </si>
  <si>
    <t>2055-06-04T21:52:48.978049Z</t>
  </si>
  <si>
    <t>2055-06-04T21:24:35.061903Z</t>
  </si>
  <si>
    <t>2055-06-04T21:40:06.84536Z</t>
  </si>
  <si>
    <t>2055-06-13T17:10:13.513059Z</t>
  </si>
  <si>
    <t>2055-06-13T17:50:15.572Z</t>
  </si>
  <si>
    <t>2055-06-13T17:40:36.572Z</t>
  </si>
  <si>
    <t>2055-06-13T17:20:10.672707Z</t>
  </si>
  <si>
    <t>2055-06-13T17:38:22.854872Z</t>
  </si>
  <si>
    <t>2055-06-13T17:13:54.460919Z</t>
  </si>
  <si>
    <t>2055-06-13T17:14:01.318766Z</t>
  </si>
  <si>
    <t>2055-06-13T17:14:10.423874Z</t>
  </si>
  <si>
    <t>2055-06-13T13:20:10.672707Z</t>
  </si>
  <si>
    <t>2055-06-13T13:38:22.854872Z</t>
  </si>
  <si>
    <t>2055-06-13T13:13:54.460919Z</t>
  </si>
  <si>
    <t>2055-06-13T13:14:10.423874Z</t>
  </si>
  <si>
    <t>2055-06-03T23:36:49.938147Z</t>
  </si>
  <si>
    <t>2055-06-04T00:33:00.996Z</t>
  </si>
  <si>
    <t>2055-06-04T00:12:53.996Z</t>
  </si>
  <si>
    <t>2055-06-03T23:57:18.415323Z</t>
  </si>
  <si>
    <t>2055-06-04T00:11:05.491413Z</t>
  </si>
  <si>
    <t>2055-06-03T23:46:47.515383Z</t>
  </si>
  <si>
    <t>2055-06-03T23:47:14.982029Z</t>
  </si>
  <si>
    <t>2055-06-03T19:57:18.415323Z</t>
  </si>
  <si>
    <t>2055-06-03T20:11:05.491413Z</t>
  </si>
  <si>
    <t>2055-06-03T19:46:47.515383Z</t>
  </si>
  <si>
    <t>2055-06-05T17:45:22.044274Z</t>
  </si>
  <si>
    <t>2055-06-05T18:34:07.167Z</t>
  </si>
  <si>
    <t>2055-06-05T18:25:14.167Z</t>
  </si>
  <si>
    <t>2055-06-05T18:05:51.191178Z</t>
  </si>
  <si>
    <t>2055-06-05T18:30:25.82852Z</t>
  </si>
  <si>
    <t>2055-06-05T17:45:27.428099Z</t>
  </si>
  <si>
    <t>2055-06-05T17:45:33.6143Z</t>
  </si>
  <si>
    <t>2055-06-05T18:01:55.99686Z</t>
  </si>
  <si>
    <t>2055-06-05T14:05:51.191178Z</t>
  </si>
  <si>
    <t>2055-06-05T14:30:25.82852Z</t>
  </si>
  <si>
    <t>2055-06-05T13:45:27.428099Z</t>
  </si>
  <si>
    <t>2055-06-05T14:01:55.99686Z</t>
  </si>
  <si>
    <t>2055-06-03T01:21:29.903702Z</t>
  </si>
  <si>
    <t>2055-06-03T02:06:29.982Z</t>
  </si>
  <si>
    <t>2055-06-03T01:50:15.982Z</t>
  </si>
  <si>
    <t>2055-06-03T01:31:51.88798Z</t>
  </si>
  <si>
    <t>2055-06-03T01:40:18.637862Z</t>
  </si>
  <si>
    <t>2055-06-03T01:21:47.381249Z</t>
  </si>
  <si>
    <t>2055-06-03T01:21:53.428959Z</t>
  </si>
  <si>
    <t>2055-06-03T01:31:39.440055Z</t>
  </si>
  <si>
    <t>2055-06-02T21:31:51.88798Z</t>
  </si>
  <si>
    <t>2055-06-02T21:40:18.637862Z</t>
  </si>
  <si>
    <t>2055-06-02T21:21:47.381249Z</t>
  </si>
  <si>
    <t>2055-06-02T21:31:39.440055Z</t>
  </si>
  <si>
    <t>2055-06-05T19:02:34.572457Z</t>
  </si>
  <si>
    <t>2055-06-05T20:45:00Z</t>
  </si>
  <si>
    <t>2055-06-05T20:08:42.004781Z</t>
  </si>
  <si>
    <t>2055-06-05T20:37:06.633666Z</t>
  </si>
  <si>
    <t>2055-06-05T19:45:07.312852Z</t>
  </si>
  <si>
    <t>2055-06-05T19:45:18.24393Z</t>
  </si>
  <si>
    <t>2055-06-05T20:08:08.292858Z</t>
  </si>
  <si>
    <t>2055-06-05T16:08:42.004781Z</t>
  </si>
  <si>
    <t>2055-06-05T16:37:06.633666Z</t>
  </si>
  <si>
    <t>2055-06-05T15:45:07.312852Z</t>
  </si>
  <si>
    <t>2055-06-05T16:08:08.292858Z</t>
  </si>
  <si>
    <t>2055-06-13T20:02:49.485335Z</t>
  </si>
  <si>
    <t>2055-06-13T20:53:13.55Z</t>
  </si>
  <si>
    <t>2055-06-13T20:48:06.55Z</t>
  </si>
  <si>
    <t>2055-06-13T20:20:05.538645Z</t>
  </si>
  <si>
    <t>2055-06-13T20:33:45.097497Z</t>
  </si>
  <si>
    <t>2055-06-13T20:02:54.223949Z</t>
  </si>
  <si>
    <t>2055-06-13T20:03:18.794655Z</t>
  </si>
  <si>
    <t>2055-06-13T20:13:01.402405Z</t>
  </si>
  <si>
    <t>2055-06-13T16:20:05.538645Z</t>
  </si>
  <si>
    <t>2055-06-13T16:33:45.097497Z</t>
  </si>
  <si>
    <t>2055-06-13T16:02:54.223949Z</t>
  </si>
  <si>
    <t>2055-06-13T16:13:01.402405Z</t>
  </si>
  <si>
    <t>2055-06-12T17:00:34.047137Z</t>
  </si>
  <si>
    <t>2055-06-12T17:54:16.196Z</t>
  </si>
  <si>
    <t>2055-06-12T17:34:37.196Z</t>
  </si>
  <si>
    <t>2055-06-12T17:16:06.300632Z</t>
  </si>
  <si>
    <t>2055-06-12T17:22:40.114934Z</t>
  </si>
  <si>
    <t>2055-06-12T17:00:54.320483Z</t>
  </si>
  <si>
    <t>2055-06-12T17:01:14.855418Z</t>
  </si>
  <si>
    <t>2055-06-12T17:10:25.562279Z</t>
  </si>
  <si>
    <t>2055-06-12T13:16:06.300632Z</t>
  </si>
  <si>
    <t>2055-06-12T13:22:40.114934Z</t>
  </si>
  <si>
    <t>2055-06-12T13:00:54.320483Z</t>
  </si>
  <si>
    <t>2055-06-12T13:10:25.562279Z</t>
  </si>
  <si>
    <t>2055-06-01T15:59:42.542474Z</t>
  </si>
  <si>
    <t>2055-06-01T16:59:04.628Z</t>
  </si>
  <si>
    <t>2055-06-01T16:38:57.628Z</t>
  </si>
  <si>
    <t>2055-06-01T16:19:27.282696Z</t>
  </si>
  <si>
    <t>2055-06-01T16:32:33.823934Z</t>
  </si>
  <si>
    <t>2055-06-01T15:59:47.31647Z</t>
  </si>
  <si>
    <t>2055-06-01T16:00:02.376878Z</t>
  </si>
  <si>
    <t>2055-06-01T16:11:47.316853Z</t>
  </si>
  <si>
    <t>2055-06-01T12:19:27.282696Z</t>
  </si>
  <si>
    <t>2055-06-01T12:32:33.823934Z</t>
  </si>
  <si>
    <t>2055-06-01T11:59:47.31647Z</t>
  </si>
  <si>
    <t>2055-06-01T12:11:47.316853Z</t>
  </si>
  <si>
    <t>2055-06-13T01:52:57.204973Z</t>
  </si>
  <si>
    <t>2055-06-13T02:49:00.275Z</t>
  </si>
  <si>
    <t>2055-06-13T02:25:42.275Z</t>
  </si>
  <si>
    <t>2055-06-13T02:08:01.99731Z</t>
  </si>
  <si>
    <t>2055-06-13T02:52:29.290438Z</t>
  </si>
  <si>
    <t>2055-06-13T01:53:34.106072Z</t>
  </si>
  <si>
    <t>2055-06-13T01:53:43.993072Z</t>
  </si>
  <si>
    <t>2055-06-13T02:09:24.842171Z</t>
  </si>
  <si>
    <t>2055-06-12T22:08:01.99731Z</t>
  </si>
  <si>
    <t>2055-06-12T22:52:29.290438Z</t>
  </si>
  <si>
    <t>2055-06-12T21:53:34.106072Z</t>
  </si>
  <si>
    <t>2055-06-12T22:09:24.842171Z</t>
  </si>
  <si>
    <t>2055-06-03T00:49:53.452615Z</t>
  </si>
  <si>
    <t>2055-06-03T01:44:53.527Z</t>
  </si>
  <si>
    <t>2055-06-03T01:15:39.527Z</t>
  </si>
  <si>
    <t>2055-06-03T01:09:38.903914Z</t>
  </si>
  <si>
    <t>2055-06-03T01:24:39.83083Z</t>
  </si>
  <si>
    <t>2055-06-03T00:50:07.333335Z</t>
  </si>
  <si>
    <t>2055-06-03T00:50:16.309953Z</t>
  </si>
  <si>
    <t>2055-06-03T00:58:37.889254Z</t>
  </si>
  <si>
    <t>2055-06-02T21:09:38.903914Z</t>
  </si>
  <si>
    <t>2055-06-02T21:24:39.83083Z</t>
  </si>
  <si>
    <t>2055-06-02T20:50:07.333335Z</t>
  </si>
  <si>
    <t>2055-06-02T20:58:37.889254Z</t>
  </si>
  <si>
    <t>2055-06-03T15:36:13.332639Z</t>
  </si>
  <si>
    <t>2055-06-03T16:24:17.412Z</t>
  </si>
  <si>
    <t>2055-06-03T16:15:59.412Z</t>
  </si>
  <si>
    <t>2055-06-03T16:09:41.39848Z</t>
  </si>
  <si>
    <t>2055-06-03T16:19:55.431297Z</t>
  </si>
  <si>
    <t>2055-06-03T15:49:27.505062Z</t>
  </si>
  <si>
    <t>2055-06-03T15:49:33.188745Z</t>
  </si>
  <si>
    <t>2055-06-03T12:09:41.39848Z</t>
  </si>
  <si>
    <t>2055-06-03T12:19:55.431297Z</t>
  </si>
  <si>
    <t>2055-06-03T11:49:27.505062Z</t>
  </si>
  <si>
    <t>2055-06-11T22:01:47.000211Z</t>
  </si>
  <si>
    <t>2055-06-11T22:50:57.079Z</t>
  </si>
  <si>
    <t>2055-06-11T22:31:18.079Z</t>
  </si>
  <si>
    <t>2055-06-11T22:24:30.493621Z</t>
  </si>
  <si>
    <t>2055-06-11T22:36:13.247262Z</t>
  </si>
  <si>
    <t>2055-06-11T22:07:54.417438Z</t>
  </si>
  <si>
    <t>2055-06-11T22:08:05.554339Z</t>
  </si>
  <si>
    <t>2055-06-11T18:24:30.493621Z</t>
  </si>
  <si>
    <t>2055-06-11T18:36:13.247262Z</t>
  </si>
  <si>
    <t>2055-06-11T18:07:54.417438Z</t>
  </si>
  <si>
    <t>2055-06-09T15:16:18.342417Z</t>
  </si>
  <si>
    <t>2055-06-09T16:09:07.404Z</t>
  </si>
  <si>
    <t>2055-06-09T15:49:28.404Z</t>
  </si>
  <si>
    <t>2055-06-09T15:28:36.357952Z</t>
  </si>
  <si>
    <t>2055-06-09T15:37:34.580982Z</t>
  </si>
  <si>
    <t>2055-06-09T15:19:34.570477Z</t>
  </si>
  <si>
    <t>2055-06-09T15:19:50.36309Z</t>
  </si>
  <si>
    <t>2055-06-09T15:24:45.545148Z</t>
  </si>
  <si>
    <t>2055-06-09T11:28:36.357952Z</t>
  </si>
  <si>
    <t>2055-06-09T11:37:34.580982Z</t>
  </si>
  <si>
    <t>2055-06-09T11:19:34.570477Z</t>
  </si>
  <si>
    <t>2055-06-09T11:24:45.545148Z</t>
  </si>
  <si>
    <t>2055-06-08T20:42:58.807209Z</t>
  </si>
  <si>
    <t>2055-06-08T21:53:20.862Z</t>
  </si>
  <si>
    <t>2055-06-08T21:31:26.862Z</t>
  </si>
  <si>
    <t>2055-06-08T21:16:05.160561Z</t>
  </si>
  <si>
    <t>2055-06-08T21:27:03.069227Z</t>
  </si>
  <si>
    <t>2055-06-08T20:46:34.217353Z</t>
  </si>
  <si>
    <t>2055-06-08T20:46:55.432757Z</t>
  </si>
  <si>
    <t>2055-06-08T21:13:00.622979Z</t>
  </si>
  <si>
    <t>2055-06-08T17:16:05.160561Z</t>
  </si>
  <si>
    <t>2055-06-08T17:27:03.069227Z</t>
  </si>
  <si>
    <t>2055-06-08T16:46:34.217353Z</t>
  </si>
  <si>
    <t>2055-06-08T17:13:00.622979Z</t>
  </si>
  <si>
    <t>2055-06-03T17:02:25.391393Z</t>
  </si>
  <si>
    <t>2055-06-03T18:13:55.461Z</t>
  </si>
  <si>
    <t>2055-06-03T17:53:48.461Z</t>
  </si>
  <si>
    <t>2055-06-03T17:18:49.049261Z</t>
  </si>
  <si>
    <t>2055-06-03T17:41:54.780884Z</t>
  </si>
  <si>
    <t>2055-06-03T17:02:34.894665Z</t>
  </si>
  <si>
    <t>2055-06-03T17:02:47.128659Z</t>
  </si>
  <si>
    <t>2055-06-03T17:15:42.484295Z</t>
  </si>
  <si>
    <t>2055-06-03T13:18:49.049261Z</t>
  </si>
  <si>
    <t>2055-06-03T13:41:54.780884Z</t>
  </si>
  <si>
    <t>2055-06-03T13:02:34.894665Z</t>
  </si>
  <si>
    <t>2055-06-03T13:15:42.484295Z</t>
  </si>
  <si>
    <t>2055-06-06T01:22:20.560788Z</t>
  </si>
  <si>
    <t>2055-06-06T02:36:28.622Z</t>
  </si>
  <si>
    <t>2055-06-06T02:13:10.622Z</t>
  </si>
  <si>
    <t>2055-06-06T01:50:08.684146Z</t>
  </si>
  <si>
    <t>2055-06-06T01:55:38.160232Z</t>
  </si>
  <si>
    <t>2055-06-06T01:22:34.797321Z</t>
  </si>
  <si>
    <t>2055-06-06T01:23:30.675628Z</t>
  </si>
  <si>
    <t>2055-06-06T01:36:15.550665Z</t>
  </si>
  <si>
    <t>2055-06-05T21:50:08.684146Z</t>
  </si>
  <si>
    <t>2055-06-05T21:55:38.160232Z</t>
  </si>
  <si>
    <t>2055-06-05T21:22:34.797321Z</t>
  </si>
  <si>
    <t>2055-06-05T21:36:15.550665Z</t>
  </si>
  <si>
    <t>2055-06-12T19:13:11.415855Z</t>
  </si>
  <si>
    <t>2055-06-12T20:03:56.47Z</t>
  </si>
  <si>
    <t>2055-06-12T19:54:17.47Z</t>
  </si>
  <si>
    <t>2055-06-12T20:01:47.314484Z</t>
  </si>
  <si>
    <t>2055-06-12T20:25:52.414419Z</t>
  </si>
  <si>
    <t>2055-06-12T19:13:34.317314Z</t>
  </si>
  <si>
    <t>2055-06-12T19:13:38.851127Z</t>
  </si>
  <si>
    <t>2055-06-12T19:56:33.765706Z</t>
  </si>
  <si>
    <t>2055-06-12T16:01:47.314484Z</t>
  </si>
  <si>
    <t>2055-06-12T16:25:52.414419Z</t>
  </si>
  <si>
    <t>2055-06-12T15:13:34.317314Z</t>
  </si>
  <si>
    <t>2055-06-12T15:56:33.765706Z</t>
  </si>
  <si>
    <t>2055-06-01T21:45:21.801266Z</t>
  </si>
  <si>
    <t>2055-06-01T22:40:21.874Z</t>
  </si>
  <si>
    <t>2055-06-01T22:18:38.874Z</t>
  </si>
  <si>
    <t>2055-06-01T22:25:36.873102Z</t>
  </si>
  <si>
    <t>2055-06-01T22:33:33.443711Z</t>
  </si>
  <si>
    <t>2055-06-01T21:58:47.295016Z</t>
  </si>
  <si>
    <t>2055-06-01T21:59:01.725744Z</t>
  </si>
  <si>
    <t>2055-06-01T18:25:36.873102Z</t>
  </si>
  <si>
    <t>2055-06-01T18:33:33.443711Z</t>
  </si>
  <si>
    <t>2055-06-01T17:58:47.295016Z</t>
  </si>
  <si>
    <t>2055-06-03T00:26:07.418776Z</t>
  </si>
  <si>
    <t>2055-06-03T01:16:07.492Z</t>
  </si>
  <si>
    <t>2055-06-03T00:59:00.492Z</t>
  </si>
  <si>
    <t>2055-06-03T00:54:30.82158Z</t>
  </si>
  <si>
    <t>2055-06-03T01:08:03.54736Z</t>
  </si>
  <si>
    <t>2055-06-03T00:33:07.288581Z</t>
  </si>
  <si>
    <t>2055-06-03T00:33:08.754491Z</t>
  </si>
  <si>
    <t>2055-06-03T00:53:31.65359Z</t>
  </si>
  <si>
    <t>2055-06-02T20:54:30.82158Z</t>
  </si>
  <si>
    <t>2055-06-02T21:08:03.54736Z</t>
  </si>
  <si>
    <t>2055-06-02T20:33:07.288581Z</t>
  </si>
  <si>
    <t>2055-06-02T20:53:31.65359Z</t>
  </si>
  <si>
    <t>2055-06-03T17:04:16.139627Z</t>
  </si>
  <si>
    <t>2055-06-03T18:03:12.259Z</t>
  </si>
  <si>
    <t>2055-06-03T17:43:05.259Z</t>
  </si>
  <si>
    <t>2055-06-03T17:18:14.456636Z</t>
  </si>
  <si>
    <t>2055-06-03T17:34:02.601527Z</t>
  </si>
  <si>
    <t>2055-06-03T17:04:27.290024Z</t>
  </si>
  <si>
    <t>2055-06-03T17:04:36.694322Z</t>
  </si>
  <si>
    <t>2055-06-03T17:16:36.970761Z</t>
  </si>
  <si>
    <t>2055-06-03T13:18:14.456636Z</t>
  </si>
  <si>
    <t>2055-06-03T13:34:02.601527Z</t>
  </si>
  <si>
    <t>2055-06-03T13:04:27.290024Z</t>
  </si>
  <si>
    <t>2055-06-03T13:16:36.970761Z</t>
  </si>
  <si>
    <t>2055-06-05T19:40:06.485458Z</t>
  </si>
  <si>
    <t>2055-06-05T20:26:44.557Z</t>
  </si>
  <si>
    <t>2055-06-05T20:22:51.557Z</t>
  </si>
  <si>
    <t>2055-06-05T19:55:15.511066Z</t>
  </si>
  <si>
    <t>2055-06-05T20:14:53.392683Z</t>
  </si>
  <si>
    <t>2055-06-05T19:40:27.2637Z</t>
  </si>
  <si>
    <t>2055-06-05T19:40:53.255826Z</t>
  </si>
  <si>
    <t>2055-06-05T19:48:34.179685Z</t>
  </si>
  <si>
    <t>2055-06-05T15:55:15.511066Z</t>
  </si>
  <si>
    <t>2055-06-05T16:14:53.392683Z</t>
  </si>
  <si>
    <t>2055-06-05T15:40:27.2637Z</t>
  </si>
  <si>
    <t>2055-06-05T15:48:34.179685Z</t>
  </si>
  <si>
    <t>2055-06-13T15:29:09.522826Z</t>
  </si>
  <si>
    <t>2055-06-13T17:00:00Z</t>
  </si>
  <si>
    <t>2055-06-13T16:09:25.919553Z</t>
  </si>
  <si>
    <t>2055-06-13T16:13:55.5071Z</t>
  </si>
  <si>
    <t>2055-06-13T16:00:34.627843Z</t>
  </si>
  <si>
    <t>2055-06-13T16:00:54.286508Z</t>
  </si>
  <si>
    <t>2055-06-13T16:05:26.47403Z</t>
  </si>
  <si>
    <t>2055-06-13T12:09:25.919553Z</t>
  </si>
  <si>
    <t>2055-06-13T12:13:55.5071Z</t>
  </si>
  <si>
    <t>2055-06-13T12:00:34.627843Z</t>
  </si>
  <si>
    <t>2055-06-13T12:05:26.47403Z</t>
  </si>
  <si>
    <t>2055-06-05T23:56:30.035583Z</t>
  </si>
  <si>
    <t>2055-06-06T00:41:30.113Z</t>
  </si>
  <si>
    <t>2055-06-06T00:30:04.113Z</t>
  </si>
  <si>
    <t>2055-06-06T00:30:56.870942Z</t>
  </si>
  <si>
    <t>2055-06-06T00:43:59.991288Z</t>
  </si>
  <si>
    <t>2055-06-06T00:12:27.411619Z</t>
  </si>
  <si>
    <t>2055-06-06T00:12:32.506157Z</t>
  </si>
  <si>
    <t>2055-06-06T00:27:35.7792Z</t>
  </si>
  <si>
    <t>2055-06-05T20:30:56.870942Z</t>
  </si>
  <si>
    <t>2055-06-05T20:43:59.991288Z</t>
  </si>
  <si>
    <t>2055-06-05T20:12:27.411619Z</t>
  </si>
  <si>
    <t>2055-06-05T20:27:35.7792Z</t>
  </si>
  <si>
    <t>2055-06-07T16:07:19.678073Z</t>
  </si>
  <si>
    <t>2055-06-07T17:11:38.839Z</t>
  </si>
  <si>
    <t>2055-06-07T16:49:44.839Z</t>
  </si>
  <si>
    <t>2055-06-07T16:41:09.47526Z</t>
  </si>
  <si>
    <t>2055-06-07T17:04:31.143557Z</t>
  </si>
  <si>
    <t>2055-06-07T16:23:27.253317Z</t>
  </si>
  <si>
    <t>2055-06-07T16:23:34.996847Z</t>
  </si>
  <si>
    <t>2055-06-07T16:33:19.522574Z</t>
  </si>
  <si>
    <t>2055-06-07T12:41:09.47526Z</t>
  </si>
  <si>
    <t>2055-06-07T13:04:31.143557Z</t>
  </si>
  <si>
    <t>2055-06-07T12:23:27.253317Z</t>
  </si>
  <si>
    <t>2055-06-07T12:33:19.522574Z</t>
  </si>
  <si>
    <t>2055-06-06T15:37:28.280869Z</t>
  </si>
  <si>
    <t>2055-06-06T16:32:28.341Z</t>
  </si>
  <si>
    <t>2055-06-06T16:09:06.341Z</t>
  </si>
  <si>
    <t>2055-06-06T15:50:17.575973Z</t>
  </si>
  <si>
    <t>2055-06-06T15:58:41.538326Z</t>
  </si>
  <si>
    <t>2055-06-06T15:39:47.331204Z</t>
  </si>
  <si>
    <t>2055-06-06T15:39:55.430941Z</t>
  </si>
  <si>
    <t>2055-06-06T11:50:17.575973Z</t>
  </si>
  <si>
    <t>2055-06-06T11:58:41.538326Z</t>
  </si>
  <si>
    <t>2055-06-06T11:39:47.331204Z</t>
  </si>
  <si>
    <t>2055-06-03T15:44:51.154672Z</t>
  </si>
  <si>
    <t>2055-06-03T16:32:17.201Z</t>
  </si>
  <si>
    <t>2055-06-03T16:13:24.201Z</t>
  </si>
  <si>
    <t>2055-06-03T17:27:28.984341Z</t>
  </si>
  <si>
    <t>2055-06-03T17:49:12.756277Z</t>
  </si>
  <si>
    <t>2055-06-03T17:20:42.731226Z</t>
  </si>
  <si>
    <t>2055-06-03T17:20:48.255503Z</t>
  </si>
  <si>
    <t>2055-06-03T17:20:52.743697Z</t>
  </si>
  <si>
    <t>2055-06-03T13:27:28.984341Z</t>
  </si>
  <si>
    <t>2055-06-03T13:49:12.756277Z</t>
  </si>
  <si>
    <t>2055-06-03T13:20:42.731226Z</t>
  </si>
  <si>
    <t>2055-06-03T13:20:52.743697Z</t>
  </si>
  <si>
    <t>2055-06-03T17:21:07.006445Z</t>
  </si>
  <si>
    <t>2055-06-03T18:08:03.115Z</t>
  </si>
  <si>
    <t>2055-06-03T17:59:10.115Z</t>
  </si>
  <si>
    <t>2055-06-03T17:44:58.121773Z</t>
  </si>
  <si>
    <t>2055-06-03T17:57:13.373631Z</t>
  </si>
  <si>
    <t>2055-06-03T17:21:27.307516Z</t>
  </si>
  <si>
    <t>2055-06-03T17:21:33.674879Z</t>
  </si>
  <si>
    <t>2055-06-03T17:42:43.894729Z</t>
  </si>
  <si>
    <t>2055-06-03T13:44:58.121773Z</t>
  </si>
  <si>
    <t>2055-06-03T13:57:13.373631Z</t>
  </si>
  <si>
    <t>2055-06-03T13:21:27.307516Z</t>
  </si>
  <si>
    <t>2055-06-03T13:42:43.894729Z</t>
  </si>
  <si>
    <t>2055-06-04T18:31:51.093715Z</t>
  </si>
  <si>
    <t>2055-06-04T19:11:51.213Z</t>
  </si>
  <si>
    <t>2055-06-04T19:00:26.213Z</t>
  </si>
  <si>
    <t>2055-06-04T19:01:25.987891Z</t>
  </si>
  <si>
    <t>2055-06-04T19:24:03.657586Z</t>
  </si>
  <si>
    <t>2055-06-04T18:46:27.285609Z</t>
  </si>
  <si>
    <t>2055-06-04T18:46:33.649594Z</t>
  </si>
  <si>
    <t>2055-06-04T15:01:25.987891Z</t>
  </si>
  <si>
    <t>2055-06-04T15:24:03.657586Z</t>
  </si>
  <si>
    <t>2055-06-04T14:46:27.285609Z</t>
  </si>
  <si>
    <t>2055-06-05T17:51:04.874549Z</t>
  </si>
  <si>
    <t>2055-06-05T18:41:04.991Z</t>
  </si>
  <si>
    <t>2055-06-05T18:23:54.991Z</t>
  </si>
  <si>
    <t>2055-06-05T18:10:11.287014Z</t>
  </si>
  <si>
    <t>2055-06-05T18:14:50.258176Z</t>
  </si>
  <si>
    <t>2055-06-05T17:55:27.425314Z</t>
  </si>
  <si>
    <t>2055-06-05T17:56:16.139794Z</t>
  </si>
  <si>
    <t>2055-06-05T18:08:37.387179Z</t>
  </si>
  <si>
    <t>2055-06-05T14:10:11.287014Z</t>
  </si>
  <si>
    <t>2055-06-05T14:14:50.258176Z</t>
  </si>
  <si>
    <t>2055-06-05T13:55:27.425314Z</t>
  </si>
  <si>
    <t>2055-06-05T14:08:37.387179Z</t>
  </si>
  <si>
    <t>2055-06-11T15:57:35.405568Z</t>
  </si>
  <si>
    <t>2055-06-11T17:00:07.468Z</t>
  </si>
  <si>
    <t>2055-06-11T16:40:28.468Z</t>
  </si>
  <si>
    <t>2055-06-11T16:11:07.304683Z</t>
  </si>
  <si>
    <t>2055-06-11T16:28:43.064246Z</t>
  </si>
  <si>
    <t>2055-06-11T15:59:14.37995Z</t>
  </si>
  <si>
    <t>2055-06-11T15:59:29.172158Z</t>
  </si>
  <si>
    <t>2055-06-11T12:11:07.304683Z</t>
  </si>
  <si>
    <t>2055-06-11T12:28:43.064246Z</t>
  </si>
  <si>
    <t>2055-06-11T11:59:14.37995Z</t>
  </si>
  <si>
    <t>2055-06-12T19:07:15.697679Z</t>
  </si>
  <si>
    <t>2055-06-12T19:54:15.762Z</t>
  </si>
  <si>
    <t>2055-06-12T19:34:36.762Z</t>
  </si>
  <si>
    <t>2055-06-12T19:43:03.929367Z</t>
  </si>
  <si>
    <t>2055-06-12T20:05:15.963855Z</t>
  </si>
  <si>
    <t>2055-06-12T19:17:54.363938Z</t>
  </si>
  <si>
    <t>2055-06-12T19:18:09.021964Z</t>
  </si>
  <si>
    <t>2055-06-12T19:38:07.001979Z</t>
  </si>
  <si>
    <t>2055-06-12T15:43:03.929367Z</t>
  </si>
  <si>
    <t>2055-06-12T16:05:15.963855Z</t>
  </si>
  <si>
    <t>2055-06-12T15:17:54.363938Z</t>
  </si>
  <si>
    <t>2055-06-12T15:38:07.001979Z</t>
  </si>
  <si>
    <t>2055-06-01T22:39:13.69841Z</t>
  </si>
  <si>
    <t>2055-06-01T23:34:13.774Z</t>
  </si>
  <si>
    <t>2055-06-01T23:12:39.774Z</t>
  </si>
  <si>
    <t>2055-06-01T22:49:20.516848Z</t>
  </si>
  <si>
    <t>2055-06-01T23:01:33.09066Z</t>
  </si>
  <si>
    <t>2055-06-01T22:39:27.473697Z</t>
  </si>
  <si>
    <t>2055-06-01T22:40:16.83381Z</t>
  </si>
  <si>
    <t>2055-06-01T18:49:20.516848Z</t>
  </si>
  <si>
    <t>2055-06-01T19:01:33.09066Z</t>
  </si>
  <si>
    <t>2055-06-01T18:39:27.473697Z</t>
  </si>
  <si>
    <t>2055-06-04T02:04:16.879237Z</t>
  </si>
  <si>
    <t>2055-06-04T03:01:12.969Z</t>
  </si>
  <si>
    <t>2055-06-04T02:39:18.969Z</t>
  </si>
  <si>
    <t>2055-06-04T02:38:41.192338Z</t>
  </si>
  <si>
    <t>2055-06-04T02:51:13.279691Z</t>
  </si>
  <si>
    <t>2055-06-04T02:10:27.294607Z</t>
  </si>
  <si>
    <t>2055-06-04T02:10:34.691435Z</t>
  </si>
  <si>
    <t>2055-06-04T02:29:40.478557Z</t>
  </si>
  <si>
    <t>2055-06-03T22:38:41.192338Z</t>
  </si>
  <si>
    <t>2055-06-03T22:51:13.279691Z</t>
  </si>
  <si>
    <t>2055-06-03T22:10:27.294607Z</t>
  </si>
  <si>
    <t>2055-06-03T22:29:40.478557Z</t>
  </si>
  <si>
    <t>2055-06-05T00:59:26.537464Z</t>
  </si>
  <si>
    <t>2055-06-05T02:15:47.599Z</t>
  </si>
  <si>
    <t>2055-06-05T01:49:58.599Z</t>
  </si>
  <si>
    <t>2055-06-05T01:30:07.611068Z</t>
  </si>
  <si>
    <t>2055-06-05T01:41:08.536207Z</t>
  </si>
  <si>
    <t>2055-06-05T01:14:07.698571Z</t>
  </si>
  <si>
    <t>2055-06-05T01:14:40.778649Z</t>
  </si>
  <si>
    <t>2055-06-05T01:25:13.278106Z</t>
  </si>
  <si>
    <t>2055-06-04T21:30:07.611068Z</t>
  </si>
  <si>
    <t>2055-06-04T21:41:08.536207Z</t>
  </si>
  <si>
    <t>2055-06-04T21:14:07.698571Z</t>
  </si>
  <si>
    <t>2055-06-04T21:25:13.278106Z</t>
  </si>
  <si>
    <t>2055-06-04T22:42:41.318121Z</t>
  </si>
  <si>
    <t>2055-06-04T23:45:21.417Z</t>
  </si>
  <si>
    <t>2055-06-04T23:23:27.417Z</t>
  </si>
  <si>
    <t>2055-06-04T23:13:28.072271Z</t>
  </si>
  <si>
    <t>2055-06-04T23:28:15.676836Z</t>
  </si>
  <si>
    <t>2055-06-04T23:01:47.481907Z</t>
  </si>
  <si>
    <t>2055-06-04T23:02:22.662407Z</t>
  </si>
  <si>
    <t>2055-06-04T23:12:11.450448Z</t>
  </si>
  <si>
    <t>2055-06-04T19:13:28.072271Z</t>
  </si>
  <si>
    <t>2055-06-04T19:28:15.676836Z</t>
  </si>
  <si>
    <t>2055-06-04T19:01:47.481907Z</t>
  </si>
  <si>
    <t>2055-06-04T19:12:11.450448Z</t>
  </si>
  <si>
    <t>2055-06-06T16:38:53.725236Z</t>
  </si>
  <si>
    <t>2055-06-06T17:30:54.787Z</t>
  </si>
  <si>
    <t>2055-06-06T17:19:00.787Z</t>
  </si>
  <si>
    <t>2055-06-06T17:04:32.275544Z</t>
  </si>
  <si>
    <t>2055-06-06T17:14:42.479898Z</t>
  </si>
  <si>
    <t>2055-06-06T16:41:14.508243Z</t>
  </si>
  <si>
    <t>2055-06-06T16:41:31.192496Z</t>
  </si>
  <si>
    <t>2055-06-06T16:50:32.471634Z</t>
  </si>
  <si>
    <t>2055-06-06T13:04:32.275544Z</t>
  </si>
  <si>
    <t>2055-06-06T13:14:42.479898Z</t>
  </si>
  <si>
    <t>2055-06-06T12:41:14.508243Z</t>
  </si>
  <si>
    <t>2055-06-06T12:50:32.471634Z</t>
  </si>
  <si>
    <t>2055-06-12T23:49:05.12538Z</t>
  </si>
  <si>
    <t>2055-06-13T00:45:21.172Z</t>
  </si>
  <si>
    <t>2055-06-13T00:27:03.172Z</t>
  </si>
  <si>
    <t>2055-06-13T00:08:42.641195Z</t>
  </si>
  <si>
    <t>2055-06-13T00:16:18.272292Z</t>
  </si>
  <si>
    <t>2055-06-12T23:53:15.774578Z</t>
  </si>
  <si>
    <t>2055-06-12T23:54:03.323354Z</t>
  </si>
  <si>
    <t>2055-06-13T00:12:32.782487Z</t>
  </si>
  <si>
    <t>2055-06-12T20:08:42.641195Z</t>
  </si>
  <si>
    <t>2055-06-12T20:16:18.272292Z</t>
  </si>
  <si>
    <t>2055-06-12T19:53:15.774578Z</t>
  </si>
  <si>
    <t>2055-06-12T20:12:32.782487Z</t>
  </si>
  <si>
    <t>2055-06-03T12:06:24.048934Z</t>
  </si>
  <si>
    <t>2055-06-03T14:15:00Z</t>
  </si>
  <si>
    <t>2055-06-03T14:14:46.726624Z</t>
  </si>
  <si>
    <t>2055-06-03T14:24:38.567114Z</t>
  </si>
  <si>
    <t>2055-06-03T13:52:27.269285Z</t>
  </si>
  <si>
    <t>2055-06-03T13:52:41.622987Z</t>
  </si>
  <si>
    <t>2055-06-03T14:10:52.725739Z</t>
  </si>
  <si>
    <t>2055-06-03T10:14:46.726624Z</t>
  </si>
  <si>
    <t>2055-06-03T10:24:38.567114Z</t>
  </si>
  <si>
    <t>2055-06-03T09:52:27.269285Z</t>
  </si>
  <si>
    <t>2055-06-03T10:10:52.725739Z</t>
  </si>
  <si>
    <t>2055-06-05T01:05:29.35796Z</t>
  </si>
  <si>
    <t>2055-06-05T02:29:18.433Z</t>
  </si>
  <si>
    <t>2055-06-05T02:06:05.433Z</t>
  </si>
  <si>
    <t>2055-06-05T01:23:12.514985Z</t>
  </si>
  <si>
    <t>2055-06-05T01:40:03.184807Z</t>
  </si>
  <si>
    <t>2055-06-05T01:15:27.596813Z</t>
  </si>
  <si>
    <t>2055-06-05T01:15:30.618366Z</t>
  </si>
  <si>
    <t>2055-06-05T01:21:04.764732Z</t>
  </si>
  <si>
    <t>2055-06-04T21:23:12.514985Z</t>
  </si>
  <si>
    <t>2055-06-04T21:40:03.184807Z</t>
  </si>
  <si>
    <t>2055-06-04T21:15:27.596813Z</t>
  </si>
  <si>
    <t>2055-06-04T21:21:04.764732Z</t>
  </si>
  <si>
    <t>2055-06-11T19:16:56.827182Z</t>
  </si>
  <si>
    <t>2055-06-11T20:24:23.881Z</t>
  </si>
  <si>
    <t>2055-06-11T20:01:05.881Z</t>
  </si>
  <si>
    <t>2055-06-11T19:56:29.220237Z</t>
  </si>
  <si>
    <t>2055-06-11T20:07:16.749847Z</t>
  </si>
  <si>
    <t>2055-06-11T19:31:54.182686Z</t>
  </si>
  <si>
    <t>2055-06-11T19:32:21.970262Z</t>
  </si>
  <si>
    <t>2055-06-11T19:54:36.70767Z</t>
  </si>
  <si>
    <t>2055-06-11T15:56:29.220237Z</t>
  </si>
  <si>
    <t>2055-06-11T16:07:16.749847Z</t>
  </si>
  <si>
    <t>2055-06-11T15:31:54.182686Z</t>
  </si>
  <si>
    <t>2055-06-11T15:54:36.70767Z</t>
  </si>
  <si>
    <t>2055-06-05T23:13:23.55781Z</t>
  </si>
  <si>
    <t>2055-06-06T00:12:58.621Z</t>
  </si>
  <si>
    <t>2055-06-05T23:49:40.621Z</t>
  </si>
  <si>
    <t>2055-06-05T23:36:01.65656Z</t>
  </si>
  <si>
    <t>2055-06-05T23:41:28.366222Z</t>
  </si>
  <si>
    <t>2055-06-05T23:25:47.418504Z</t>
  </si>
  <si>
    <t>2055-06-05T23:26:26.281539Z</t>
  </si>
  <si>
    <t>2055-06-05T23:34:10.423551Z</t>
  </si>
  <si>
    <t>2055-06-05T19:36:01.65656Z</t>
  </si>
  <si>
    <t>2055-06-05T19:41:28.366222Z</t>
  </si>
  <si>
    <t>2055-06-05T19:25:47.418504Z</t>
  </si>
  <si>
    <t>2055-06-05T19:34:10.423551Z</t>
  </si>
  <si>
    <t>2055-06-04T17:26:04.643226Z</t>
  </si>
  <si>
    <t>2055-06-04T18:16:04.716Z</t>
  </si>
  <si>
    <t>2055-06-04T17:55:22.716Z</t>
  </si>
  <si>
    <t>2055-06-04T17:40:06.721195Z</t>
  </si>
  <si>
    <t>2055-06-04T17:54:22.158244Z</t>
  </si>
  <si>
    <t>2055-06-04T17:26:07.317958Z</t>
  </si>
  <si>
    <t>2055-06-04T17:26:12.261735Z</t>
  </si>
  <si>
    <t>2055-06-04T17:37:13.098937Z</t>
  </si>
  <si>
    <t>2055-06-04T13:40:06.721195Z</t>
  </si>
  <si>
    <t>2055-06-04T13:54:22.158244Z</t>
  </si>
  <si>
    <t>2055-06-04T13:26:07.317958Z</t>
  </si>
  <si>
    <t>2055-06-04T13:37:13.098937Z</t>
  </si>
  <si>
    <t>2055-06-06T00:02:09.459214Z</t>
  </si>
  <si>
    <t>2055-06-06T01:21:12.516Z</t>
  </si>
  <si>
    <t>2055-06-06T00:57:54.516Z</t>
  </si>
  <si>
    <t>2055-06-06T00:32:42.655484Z</t>
  </si>
  <si>
    <t>2055-06-06T00:49:54.91289Z</t>
  </si>
  <si>
    <t>2055-06-06T00:12:57.555199Z</t>
  </si>
  <si>
    <t>2055-06-06T00:13:10.520906Z</t>
  </si>
  <si>
    <t>2055-06-06T00:20:22.795573Z</t>
  </si>
  <si>
    <t>2055-06-05T20:32:42.655484Z</t>
  </si>
  <si>
    <t>2055-06-05T20:49:54.91289Z</t>
  </si>
  <si>
    <t>2055-06-05T20:12:57.555199Z</t>
  </si>
  <si>
    <t>2055-06-05T20:20:22.795573Z</t>
  </si>
  <si>
    <t>2055-06-09T21:32:54.124638Z</t>
  </si>
  <si>
    <t>2055-06-09T22:26:47.189Z</t>
  </si>
  <si>
    <t>2055-06-09T22:11:40.189Z</t>
  </si>
  <si>
    <t>2055-06-09T21:52:04.447079Z</t>
  </si>
  <si>
    <t>2055-06-09T22:26:01.477374Z</t>
  </si>
  <si>
    <t>2055-06-09T21:33:14.146888Z</t>
  </si>
  <si>
    <t>2055-06-09T21:33:21.797632Z</t>
  </si>
  <si>
    <t>2055-06-09T21:42:04.392041Z</t>
  </si>
  <si>
    <t>2055-06-09T17:52:04.447079Z</t>
  </si>
  <si>
    <t>2055-06-09T18:26:01.477374Z</t>
  </si>
  <si>
    <t>2055-06-09T17:33:14.146888Z</t>
  </si>
  <si>
    <t>2055-06-09T17:42:04.392041Z</t>
  </si>
  <si>
    <t>2055-06-02T22:22:48.123043Z</t>
  </si>
  <si>
    <t>2055-06-02T23:22:22.223Z</t>
  </si>
  <si>
    <t>2055-06-02T23:02:15.223Z</t>
  </si>
  <si>
    <t>2055-06-02T22:45:15.232167Z</t>
  </si>
  <si>
    <t>2055-06-02T22:58:34.357189Z</t>
  </si>
  <si>
    <t>2055-06-02T22:25:47.336598Z</t>
  </si>
  <si>
    <t>2055-06-02T22:25:54.29838Z</t>
  </si>
  <si>
    <t>2055-06-02T22:39:59.484045Z</t>
  </si>
  <si>
    <t>2055-06-02T18:45:15.232167Z</t>
  </si>
  <si>
    <t>2055-06-02T18:58:34.357189Z</t>
  </si>
  <si>
    <t>2055-06-02T18:25:47.336598Z</t>
  </si>
  <si>
    <t>2055-06-02T18:39:59.484045Z</t>
  </si>
  <si>
    <t>2055-06-03T01:11:57.47502Z</t>
  </si>
  <si>
    <t>2055-06-03T02:06:57.624Z</t>
  </si>
  <si>
    <t>2055-06-03T01:47:08.624Z</t>
  </si>
  <si>
    <t>2055-06-03T01:28:28.46145Z</t>
  </si>
  <si>
    <t>2055-06-03T01:44:19.71539Z</t>
  </si>
  <si>
    <t>2055-06-03T01:12:07.684201Z</t>
  </si>
  <si>
    <t>2055-06-03T01:12:38.979937Z</t>
  </si>
  <si>
    <t>2055-06-03T01:25:15.043515Z</t>
  </si>
  <si>
    <t>2055-06-02T21:28:28.46145Z</t>
  </si>
  <si>
    <t>2055-06-02T21:44:19.71539Z</t>
  </si>
  <si>
    <t>2055-06-02T21:12:07.684201Z</t>
  </si>
  <si>
    <t>2055-06-02T21:25:15.043515Z</t>
  </si>
  <si>
    <t>2055-06-03T01:53:30.661368Z</t>
  </si>
  <si>
    <t>2055-06-03T02:34:57.798Z</t>
  </si>
  <si>
    <t>2055-06-03T02:19:50.798Z</t>
  </si>
  <si>
    <t>2055-06-03T02:04:06.646226Z</t>
  </si>
  <si>
    <t>2055-06-03T02:07:12.160492Z</t>
  </si>
  <si>
    <t>2055-06-03T01:58:54.411959Z</t>
  </si>
  <si>
    <t>2055-06-03T01:59:01.948331Z</t>
  </si>
  <si>
    <t>2055-06-03T02:00:43.873865Z</t>
  </si>
  <si>
    <t>2055-06-02T22:04:06.646226Z</t>
  </si>
  <si>
    <t>2055-06-02T22:07:12.160492Z</t>
  </si>
  <si>
    <t>2055-06-02T21:58:54.411959Z</t>
  </si>
  <si>
    <t>2055-06-02T22:00:43.873865Z</t>
  </si>
  <si>
    <t>2055-06-03T17:30:40.51194Z</t>
  </si>
  <si>
    <t>2055-06-03T18:19:21.573Z</t>
  </si>
  <si>
    <t>2055-06-03T17:59:42.573Z</t>
  </si>
  <si>
    <t>2055-06-03T18:04:24.347165Z</t>
  </si>
  <si>
    <t>2055-06-03T18:16:02.66549Z</t>
  </si>
  <si>
    <t>2055-06-03T17:31:34.485898Z</t>
  </si>
  <si>
    <t>2055-06-03T17:32:07.970532Z</t>
  </si>
  <si>
    <t>2055-06-03T18:05:12.174673Z</t>
  </si>
  <si>
    <t>2055-06-03T14:04:24.347165Z</t>
  </si>
  <si>
    <t>2055-06-03T14:16:02.66549Z</t>
  </si>
  <si>
    <t>2055-06-03T13:31:34.485898Z</t>
  </si>
  <si>
    <t>2055-06-03T14:05:12.174673Z</t>
  </si>
  <si>
    <t>2055-06-05T00:14:06.730854Z</t>
  </si>
  <si>
    <t>2055-06-05T01:19:27.796Z</t>
  </si>
  <si>
    <t>2055-06-05T00:56:09.796Z</t>
  </si>
  <si>
    <t>2055-06-05T00:42:15.641071Z</t>
  </si>
  <si>
    <t>2055-06-05T01:01:55.544448Z</t>
  </si>
  <si>
    <t>2055-06-05T00:27:27.459824Z</t>
  </si>
  <si>
    <t>2055-06-05T00:27:32.298313Z</t>
  </si>
  <si>
    <t>2055-06-05T00:41:57.515112Z</t>
  </si>
  <si>
    <t>2055-06-04T20:42:15.641071Z</t>
  </si>
  <si>
    <t>2055-06-04T21:01:55.544448Z</t>
  </si>
  <si>
    <t>2055-06-04T20:27:27.459824Z</t>
  </si>
  <si>
    <t>2055-06-04T20:41:57.515112Z</t>
  </si>
  <si>
    <t>2055-06-05T01:35:22.429978Z</t>
  </si>
  <si>
    <t>2055-06-05T02:31:06.497Z</t>
  </si>
  <si>
    <t>2055-06-05T02:07:48.497Z</t>
  </si>
  <si>
    <t>2055-06-05T01:50:59.316271Z</t>
  </si>
  <si>
    <t>2055-06-05T02:01:27.766229Z</t>
  </si>
  <si>
    <t>2055-06-05T01:35:34.184005Z</t>
  </si>
  <si>
    <t>2055-06-05T01:35:48.957473Z</t>
  </si>
  <si>
    <t>2055-06-05T01:44:56.68283Z</t>
  </si>
  <si>
    <t>2055-06-04T21:50:59.316271Z</t>
  </si>
  <si>
    <t>2055-06-04T22:01:27.766229Z</t>
  </si>
  <si>
    <t>2055-06-04T21:35:34.184005Z</t>
  </si>
  <si>
    <t>2055-06-04T21:44:56.68283Z</t>
  </si>
  <si>
    <t>2055-06-05T20:19:09.821482Z</t>
  </si>
  <si>
    <t>2055-06-05T21:10:29.897Z</t>
  </si>
  <si>
    <t>2055-06-05T20:57:11.897Z</t>
  </si>
  <si>
    <t>2055-06-05T20:34:45.57189Z</t>
  </si>
  <si>
    <t>2055-06-05T20:35:42.877759Z</t>
  </si>
  <si>
    <t>2055-06-05T20:27:07.373435Z</t>
  </si>
  <si>
    <t>2055-06-05T20:27:45.98646Z</t>
  </si>
  <si>
    <t>2055-06-05T20:32:16.761154Z</t>
  </si>
  <si>
    <t>2055-06-05T16:34:45.57189Z</t>
  </si>
  <si>
    <t>2055-06-05T16:35:42.877759Z</t>
  </si>
  <si>
    <t>2055-06-05T16:27:07.373435Z</t>
  </si>
  <si>
    <t>2055-06-05T16:32:16.761154Z</t>
  </si>
  <si>
    <t>2055-06-08T12:43:54.034171Z</t>
  </si>
  <si>
    <t>2055-06-08T13:37:15.194Z</t>
  </si>
  <si>
    <t>2055-06-08T13:22:34.194Z</t>
  </si>
  <si>
    <t>2055-06-08T13:36:49.743921Z</t>
  </si>
  <si>
    <t>2055-06-08T13:49:52.401818Z</t>
  </si>
  <si>
    <t>2055-06-08T13:21:01.830589Z</t>
  </si>
  <si>
    <t>2055-06-08T13:21:26.600337Z</t>
  </si>
  <si>
    <t>2055-06-08T09:36:49.743921Z</t>
  </si>
  <si>
    <t>2055-06-08T09:49:52.401818Z</t>
  </si>
  <si>
    <t>2055-06-08T09:21:01.830589Z</t>
  </si>
  <si>
    <t>2055-06-08T17:04:14.650154Z</t>
  </si>
  <si>
    <t>2055-06-08T18:19:13.707Z</t>
  </si>
  <si>
    <t>2055-06-08T17:53:24.707Z</t>
  </si>
  <si>
    <t>2055-06-08T18:14:10.802357Z</t>
  </si>
  <si>
    <t>2055-06-08T18:31:16.652316Z</t>
  </si>
  <si>
    <t>2055-06-08T17:46:34.34099Z</t>
  </si>
  <si>
    <t>2055-06-08T17:47:18.654387Z</t>
  </si>
  <si>
    <t>2055-06-08T18:09:52.480203Z</t>
  </si>
  <si>
    <t>2055-06-08T14:14:10.802357Z</t>
  </si>
  <si>
    <t>2055-06-08T14:31:16.652316Z</t>
  </si>
  <si>
    <t>2055-06-08T13:46:34.34099Z</t>
  </si>
  <si>
    <t>2055-06-08T14:09:52.480203Z</t>
  </si>
  <si>
    <t>2055-06-03T01:03:31.980817Z</t>
  </si>
  <si>
    <t>2055-06-03T02:14:17.066Z</t>
  </si>
  <si>
    <t>2055-06-03T01:52:23.066Z</t>
  </si>
  <si>
    <t>2055-06-03T01:23:34.760343Z</t>
  </si>
  <si>
    <t>2055-06-03T01:37:41.967346Z</t>
  </si>
  <si>
    <t>2055-06-03T01:12:25.809057Z</t>
  </si>
  <si>
    <t>2055-06-03T01:12:33.669768Z</t>
  </si>
  <si>
    <t>2055-06-03T01:16:40.870677Z</t>
  </si>
  <si>
    <t>2055-06-02T21:23:34.760343Z</t>
  </si>
  <si>
    <t>2055-06-02T21:37:41.967346Z</t>
  </si>
  <si>
    <t>2055-06-02T21:12:25.809057Z</t>
  </si>
  <si>
    <t>2055-06-02T21:16:40.870677Z</t>
  </si>
  <si>
    <t>2055-06-03T23:05:05.850899Z</t>
  </si>
  <si>
    <t>2055-06-03T23:45:05.948Z</t>
  </si>
  <si>
    <t>2055-06-03T23:38:54.948Z</t>
  </si>
  <si>
    <t>2055-06-03T23:25:19.288663Z</t>
  </si>
  <si>
    <t>2055-06-03T23:36:05.948025Z</t>
  </si>
  <si>
    <t>2055-06-03T23:10:27.245542Z</t>
  </si>
  <si>
    <t>2055-06-03T23:10:31.537855Z</t>
  </si>
  <si>
    <t>2055-06-03T23:22:10.380878Z</t>
  </si>
  <si>
    <t>2055-06-03T19:25:19.288663Z</t>
  </si>
  <si>
    <t>2055-06-03T19:36:05.948025Z</t>
  </si>
  <si>
    <t>2055-06-03T19:10:27.245542Z</t>
  </si>
  <si>
    <t>2055-06-03T19:22:10.380878Z</t>
  </si>
  <si>
    <t>2055-06-07T01:17:07.559133Z</t>
  </si>
  <si>
    <t>2055-06-07T02:04:12.613Z</t>
  </si>
  <si>
    <t>2055-06-07T01:44:33.613Z</t>
  </si>
  <si>
    <t>2055-06-07T01:32:09.238783Z</t>
  </si>
  <si>
    <t>2055-06-07T01:40:41.598612Z</t>
  </si>
  <si>
    <t>2055-06-07T01:19:34.379224Z</t>
  </si>
  <si>
    <t>2055-06-07T01:20:13.824994Z</t>
  </si>
  <si>
    <t>2055-06-07T01:32:37.132173Z</t>
  </si>
  <si>
    <t>2055-06-06T21:32:09.238783Z</t>
  </si>
  <si>
    <t>2055-06-06T21:40:41.598612Z</t>
  </si>
  <si>
    <t>2055-06-06T21:19:34.379224Z</t>
  </si>
  <si>
    <t>2055-06-06T21:32:37.132173Z</t>
  </si>
  <si>
    <t>2055-06-07T23:57:23.96876Z</t>
  </si>
  <si>
    <t>2055-06-08T00:59:44.036Z</t>
  </si>
  <si>
    <t>2055-06-08T00:45:05.036Z</t>
  </si>
  <si>
    <t>2055-06-08T00:18:38.002927Z</t>
  </si>
  <si>
    <t>2055-06-08T00:28:46.40868Z</t>
  </si>
  <si>
    <t>2055-06-07T23:57:34.926539Z</t>
  </si>
  <si>
    <t>2055-06-07T23:58:00.49Z</t>
  </si>
  <si>
    <t>2055-06-08T00:15:27.772594Z</t>
  </si>
  <si>
    <t>2055-06-07T20:18:38.002927Z</t>
  </si>
  <si>
    <t>2055-06-07T20:28:46.40868Z</t>
  </si>
  <si>
    <t>2055-06-07T19:57:34.926539Z</t>
  </si>
  <si>
    <t>2055-06-07T20:15:27.772594Z</t>
  </si>
  <si>
    <t>2055-06-04T18:02:39.575288Z</t>
  </si>
  <si>
    <t>2055-06-04T18:57:39.649Z</t>
  </si>
  <si>
    <t>2055-06-04T18:41:27.649Z</t>
  </si>
  <si>
    <t>2055-06-04T18:22:06.860199Z</t>
  </si>
  <si>
    <t>2055-06-04T18:46:12.540905Z</t>
  </si>
  <si>
    <t>2055-06-04T18:02:47.247186Z</t>
  </si>
  <si>
    <t>2055-06-04T18:02:57.288245Z</t>
  </si>
  <si>
    <t>2055-06-04T18:16:51.515937Z</t>
  </si>
  <si>
    <t>2055-06-04T14:22:06.860199Z</t>
  </si>
  <si>
    <t>2055-06-04T14:46:12.540905Z</t>
  </si>
  <si>
    <t>2055-06-04T14:02:47.247186Z</t>
  </si>
  <si>
    <t>2055-06-04T14:16:51.515937Z</t>
  </si>
  <si>
    <t>2055-06-05T16:40:46.377617Z</t>
  </si>
  <si>
    <t>2055-06-05T17:37:35.448Z</t>
  </si>
  <si>
    <t>2055-06-05T17:15:41.448Z</t>
  </si>
  <si>
    <t>2055-06-05T17:09:43.254249Z</t>
  </si>
  <si>
    <t>2055-06-05T17:16:59.013402Z</t>
  </si>
  <si>
    <t>2055-06-05T16:48:54.797784Z</t>
  </si>
  <si>
    <t>2055-06-05T16:49:00.586876Z</t>
  </si>
  <si>
    <t>2055-06-05T17:06:06.228835Z</t>
  </si>
  <si>
    <t>2055-06-05T13:09:43.254249Z</t>
  </si>
  <si>
    <t>2055-06-05T13:16:59.013402Z</t>
  </si>
  <si>
    <t>2055-06-05T12:48:54.797784Z</t>
  </si>
  <si>
    <t>2055-06-05T13:06:06.228835Z</t>
  </si>
  <si>
    <t>2055-06-07T00:33:30.403584Z</t>
  </si>
  <si>
    <t>2055-06-07T01:19:25.46Z</t>
  </si>
  <si>
    <t>2055-06-07T00:59:18.46Z</t>
  </si>
  <si>
    <t>2055-06-07T00:47:45.107369Z</t>
  </si>
  <si>
    <t>2055-06-07T00:59:19.918638Z</t>
  </si>
  <si>
    <t>2055-06-07T00:41:34.78122Z</t>
  </si>
  <si>
    <t>2055-06-07T00:41:39.933599Z</t>
  </si>
  <si>
    <t>2055-06-07T00:47:35.96716Z</t>
  </si>
  <si>
    <t>2055-06-06T20:47:45.107369Z</t>
  </si>
  <si>
    <t>2055-06-06T20:59:19.918638Z</t>
  </si>
  <si>
    <t>2055-06-06T20:41:34.78122Z</t>
  </si>
  <si>
    <t>2055-06-06T20:47:35.96716Z</t>
  </si>
  <si>
    <t>2055-06-12T23:52:56.926812Z</t>
  </si>
  <si>
    <t>2055-06-13T00:36:51.974Z</t>
  </si>
  <si>
    <t>2055-06-13T00:28:33.974Z</t>
  </si>
  <si>
    <t>2055-06-13T00:09:56.996068Z</t>
  </si>
  <si>
    <t>2055-06-13T00:14:30.476276Z</t>
  </si>
  <si>
    <t>2055-06-12T23:59:15.141085Z</t>
  </si>
  <si>
    <t>2055-06-12T23:59:34.954919Z</t>
  </si>
  <si>
    <t>2055-06-12T23:59:33.543023Z</t>
  </si>
  <si>
    <t>2055-06-12T20:09:56.996068Z</t>
  </si>
  <si>
    <t>2055-06-12T20:14:30.476276Z</t>
  </si>
  <si>
    <t>2055-06-12T19:59:15.141085Z</t>
  </si>
  <si>
    <t>2055-06-12T19:59:33.543023Z</t>
  </si>
  <si>
    <t>2055-06-13T15:51:12.267881Z</t>
  </si>
  <si>
    <t>2055-06-13T16:44:51.314Z</t>
  </si>
  <si>
    <t>2055-06-13T16:24:44.314Z</t>
  </si>
  <si>
    <t>2055-06-13T16:04:11.900413Z</t>
  </si>
  <si>
    <t>2055-06-13T16:14:34.267725Z</t>
  </si>
  <si>
    <t>2055-06-13T15:53:34.475026Z</t>
  </si>
  <si>
    <t>2055-06-13T15:54:22.625308Z</t>
  </si>
  <si>
    <t>2055-06-13T16:00:11.911482Z</t>
  </si>
  <si>
    <t>2055-06-13T12:04:11.900413Z</t>
  </si>
  <si>
    <t>2055-06-13T12:14:34.267725Z</t>
  </si>
  <si>
    <t>2055-06-13T11:53:34.475026Z</t>
  </si>
  <si>
    <t>2055-06-13T12:00:11.911482Z</t>
  </si>
  <si>
    <t>2055-06-02T19:01:36.889158Z</t>
  </si>
  <si>
    <t>2055-06-02T19:56:36.963Z</t>
  </si>
  <si>
    <t>2055-06-02T19:30:49.963Z</t>
  </si>
  <si>
    <t>2055-06-02T19:38:49.142099Z</t>
  </si>
  <si>
    <t>2055-06-02T19:46:18.188501Z</t>
  </si>
  <si>
    <t>2055-06-02T19:01:47.319435Z</t>
  </si>
  <si>
    <t>2055-06-02T19:02:02.336569Z</t>
  </si>
  <si>
    <t>2055-06-02T19:35:33.325566Z</t>
  </si>
  <si>
    <t>2055-06-02T15:38:49.142099Z</t>
  </si>
  <si>
    <t>2055-06-02T15:46:18.188501Z</t>
  </si>
  <si>
    <t>2055-06-02T15:01:47.319435Z</t>
  </si>
  <si>
    <t>2055-06-02T15:35:33.325566Z</t>
  </si>
  <si>
    <t>2055-06-05T00:42:01.387699Z</t>
  </si>
  <si>
    <t>2055-06-05T01:43:33.464Z</t>
  </si>
  <si>
    <t>2055-06-05T01:33:26.464Z</t>
  </si>
  <si>
    <t>2055-06-05T01:07:31.548702Z</t>
  </si>
  <si>
    <t>2055-06-05T01:23:39.704121Z</t>
  </si>
  <si>
    <t>2055-06-05T01:00:54.66667Z</t>
  </si>
  <si>
    <t>2055-06-05T01:01:31.085509Z</t>
  </si>
  <si>
    <t>2055-06-05T01:10:48.781855Z</t>
  </si>
  <si>
    <t>2055-06-04T21:07:31.548702Z</t>
  </si>
  <si>
    <t>2055-06-04T21:23:39.704121Z</t>
  </si>
  <si>
    <t>2055-06-04T21:00:54.66667Z</t>
  </si>
  <si>
    <t>2055-06-04T21:10:48.781855Z</t>
  </si>
  <si>
    <t>2055-06-13T15:42:28.095439Z</t>
  </si>
  <si>
    <t>2055-06-13T16:37:11.152Z</t>
  </si>
  <si>
    <t>2055-06-13T16:17:04.152Z</t>
  </si>
  <si>
    <t>2055-06-13T16:27:32.960581Z</t>
  </si>
  <si>
    <t>2055-06-13T16:37:29.942467Z</t>
  </si>
  <si>
    <t>2055-06-13T15:47:34.354673Z</t>
  </si>
  <si>
    <t>2055-06-13T15:47:46.160079Z</t>
  </si>
  <si>
    <t>2055-06-13T15:57:26.37936Z</t>
  </si>
  <si>
    <t>2055-06-13T12:27:32.960581Z</t>
  </si>
  <si>
    <t>2055-06-13T12:37:29.942467Z</t>
  </si>
  <si>
    <t>2055-06-13T11:47:34.354673Z</t>
  </si>
  <si>
    <t>2055-06-13T11:57:26.37936Z</t>
  </si>
  <si>
    <t>2055-06-03T18:43:16.869168Z</t>
  </si>
  <si>
    <t>2055-06-03T19:32:16.95Z</t>
  </si>
  <si>
    <t>2055-06-03T19:28:23.95Z</t>
  </si>
  <si>
    <t>2055-06-03T19:43:07.507699Z</t>
  </si>
  <si>
    <t>2055-06-03T19:57:26.676992Z</t>
  </si>
  <si>
    <t>2055-06-03T19:34:27.250942Z</t>
  </si>
  <si>
    <t>2055-06-03T19:34:30.823697Z</t>
  </si>
  <si>
    <t>2055-06-03T19:38:11.278498Z</t>
  </si>
  <si>
    <t>2055-06-03T15:43:07.507699Z</t>
  </si>
  <si>
    <t>2055-06-03T15:57:26.676992Z</t>
  </si>
  <si>
    <t>2055-06-03T15:34:27.250942Z</t>
  </si>
  <si>
    <t>2055-06-03T15:38:11.278498Z</t>
  </si>
  <si>
    <t>2055-06-10T23:21:04.732666Z</t>
  </si>
  <si>
    <t>2055-06-10T23:59:45.862Z</t>
  </si>
  <si>
    <t>2055-06-10T23:55:52.862Z</t>
  </si>
  <si>
    <t>2055-06-11T00:21:23.428636Z</t>
  </si>
  <si>
    <t>2055-06-11T00:52:22.646502Z</t>
  </si>
  <si>
    <t>2055-06-10T23:26:14.69746Z</t>
  </si>
  <si>
    <t>2055-06-10T23:26:27.446146Z</t>
  </si>
  <si>
    <t>2055-06-10T23:50:42.743905Z</t>
  </si>
  <si>
    <t>2055-06-10T20:21:23.428636Z</t>
  </si>
  <si>
    <t>2055-06-10T20:52:22.646502Z</t>
  </si>
  <si>
    <t>2055-06-10T19:26:14.69746Z</t>
  </si>
  <si>
    <t>2055-06-10T19:50:42.743905Z</t>
  </si>
  <si>
    <t>2055-06-05T23:57:08.624725Z</t>
  </si>
  <si>
    <t>2055-06-06T00:46:09.692Z</t>
  </si>
  <si>
    <t>2055-06-06T00:36:28.692Z</t>
  </si>
  <si>
    <t>2055-06-06T00:16:40.390747Z</t>
  </si>
  <si>
    <t>2055-06-06T00:21:22.189446Z</t>
  </si>
  <si>
    <t>2055-06-06T00:08:18.567636Z</t>
  </si>
  <si>
    <t>2055-06-06T00:08:21.837761Z</t>
  </si>
  <si>
    <t>2055-06-06T00:16:26.539009Z</t>
  </si>
  <si>
    <t>2055-06-05T20:16:40.390747Z</t>
  </si>
  <si>
    <t>2055-06-05T20:21:22.189446Z</t>
  </si>
  <si>
    <t>2055-06-05T20:08:18.567636Z</t>
  </si>
  <si>
    <t>2055-06-05T20:16:26.539009Z</t>
  </si>
  <si>
    <t>2055-06-01T17:03:26.15626Z</t>
  </si>
  <si>
    <t>2055-06-01T17:51:09.235Z</t>
  </si>
  <si>
    <t>2055-06-01T17:42:51.235Z</t>
  </si>
  <si>
    <t>2055-06-01T17:48:29.891527Z</t>
  </si>
  <si>
    <t>2055-06-01T18:02:06.0753Z</t>
  </si>
  <si>
    <t>2055-06-01T17:14:47.309177Z</t>
  </si>
  <si>
    <t>2055-06-01T17:14:51.705272Z</t>
  </si>
  <si>
    <t>2055-06-01T17:44:05.208351Z</t>
  </si>
  <si>
    <t>2055-06-01T13:48:29.891527Z</t>
  </si>
  <si>
    <t>2055-06-01T14:02:06.0753Z</t>
  </si>
  <si>
    <t>2055-06-01T13:14:47.309177Z</t>
  </si>
  <si>
    <t>2055-06-01T13:44:05.208351Z</t>
  </si>
  <si>
    <t>2055-06-05T18:32:06.345715Z</t>
  </si>
  <si>
    <t>2055-06-05T19:22:21.515Z</t>
  </si>
  <si>
    <t>2055-06-05T19:02:14.515Z</t>
  </si>
  <si>
    <t>2055-06-05T18:47:16.013629Z</t>
  </si>
  <si>
    <t>2055-06-05T18:54:29.04706Z</t>
  </si>
  <si>
    <t>2055-06-05T18:38:14.510823Z</t>
  </si>
  <si>
    <t>2055-06-05T18:38:24.139431Z</t>
  </si>
  <si>
    <t>2055-06-05T18:43:37.718352Z</t>
  </si>
  <si>
    <t>2055-06-05T14:47:16.013629Z</t>
  </si>
  <si>
    <t>2055-06-05T14:54:29.04706Z</t>
  </si>
  <si>
    <t>2055-06-05T14:38:14.510823Z</t>
  </si>
  <si>
    <t>2055-06-05T14:43:37.718352Z</t>
  </si>
  <si>
    <t>2055-06-11T23:32:45.372794Z</t>
  </si>
  <si>
    <t>2055-06-12T00:28:18.434Z</t>
  </si>
  <si>
    <t>2055-06-12T00:18:39.434Z</t>
  </si>
  <si>
    <t>2055-06-12T00:02:57.404229Z</t>
  </si>
  <si>
    <t>2055-06-12T00:11:04.654686Z</t>
  </si>
  <si>
    <t>2055-06-11T23:32:54.568246Z</t>
  </si>
  <si>
    <t>2055-06-11T23:33:02.510426Z</t>
  </si>
  <si>
    <t>2055-06-11T23:39:32.711513Z</t>
  </si>
  <si>
    <t>2055-06-11T20:02:57.404229Z</t>
  </si>
  <si>
    <t>2055-06-11T20:11:04.654686Z</t>
  </si>
  <si>
    <t>2055-06-11T19:32:54.568246Z</t>
  </si>
  <si>
    <t>2055-06-11T19:39:32.711513Z</t>
  </si>
  <si>
    <t>2055-06-03T15:11:54.381458Z</t>
  </si>
  <si>
    <t>2055-06-03T16:08:36.54Z</t>
  </si>
  <si>
    <t>2055-06-03T15:49:43.54Z</t>
  </si>
  <si>
    <t>2055-06-03T15:36:00.541518Z</t>
  </si>
  <si>
    <t>2055-06-03T15:49:09.161751Z</t>
  </si>
  <si>
    <t>2055-06-03T15:12:07.316997Z</t>
  </si>
  <si>
    <t>2055-06-03T15:12:12.20366Z</t>
  </si>
  <si>
    <t>2055-06-03T11:36:00.541518Z</t>
  </si>
  <si>
    <t>2055-06-03T11:49:09.161751Z</t>
  </si>
  <si>
    <t>2055-06-03T11:12:07.316997Z</t>
  </si>
  <si>
    <t>2055-06-05T14:13:23.271629Z</t>
  </si>
  <si>
    <t>2055-06-05T15:17:59.333Z</t>
  </si>
  <si>
    <t>2055-06-05T14:57:52.333Z</t>
  </si>
  <si>
    <t>2055-06-05T15:08:03.166367Z</t>
  </si>
  <si>
    <t>2055-06-05T15:21:57.641113Z</t>
  </si>
  <si>
    <t>2055-06-05T14:42:54.165237Z</t>
  </si>
  <si>
    <t>2055-06-05T14:43:01.199428Z</t>
  </si>
  <si>
    <t>2055-06-05T14:59:33.279372Z</t>
  </si>
  <si>
    <t>2055-06-05T11:08:03.166367Z</t>
  </si>
  <si>
    <t>2055-06-05T11:21:57.641113Z</t>
  </si>
  <si>
    <t>2055-06-05T10:42:54.165237Z</t>
  </si>
  <si>
    <t>2055-06-05T10:59:33.279372Z</t>
  </si>
  <si>
    <t>2055-06-11T23:53:53.093403Z</t>
  </si>
  <si>
    <t>2055-06-12T00:58:01.155Z</t>
  </si>
  <si>
    <t>2055-06-12T00:38:22.155Z</t>
  </si>
  <si>
    <t>2055-06-12T00:08:32.293409Z</t>
  </si>
  <si>
    <t>2055-06-12T00:33:00.109929Z</t>
  </si>
  <si>
    <t>2055-06-11T23:54:15.367578Z</t>
  </si>
  <si>
    <t>2055-06-11T23:54:28.742157Z</t>
  </si>
  <si>
    <t>2055-06-12T00:02:38.122467Z</t>
  </si>
  <si>
    <t>2055-06-11T20:08:32.293409Z</t>
  </si>
  <si>
    <t>2055-06-11T20:33:00.109929Z</t>
  </si>
  <si>
    <t>2055-06-11T19:54:15.367578Z</t>
  </si>
  <si>
    <t>2055-06-11T20:02:38.122467Z</t>
  </si>
  <si>
    <t>2055-06-12T00:39:32.383516Z</t>
  </si>
  <si>
    <t>2055-06-12T01:39:40.436Z</t>
  </si>
  <si>
    <t>2055-06-12T01:19:33.436Z</t>
  </si>
  <si>
    <t>2055-06-12T01:15:12.561316Z</t>
  </si>
  <si>
    <t>2055-06-12T01:39:17.877281Z</t>
  </si>
  <si>
    <t>2055-06-12T00:39:54.728165Z</t>
  </si>
  <si>
    <t>2055-06-12T00:40:02.940975Z</t>
  </si>
  <si>
    <t>2055-06-12T01:10:52.348001Z</t>
  </si>
  <si>
    <t>2055-06-11T21:15:12.561316Z</t>
  </si>
  <si>
    <t>2055-06-11T21:39:17.877281Z</t>
  </si>
  <si>
    <t>2055-06-11T20:39:54.728165Z</t>
  </si>
  <si>
    <t>2055-06-11T21:10:52.348001Z</t>
  </si>
  <si>
    <t>2055-06-10T23:21:59.896548Z</t>
  </si>
  <si>
    <t>2055-06-11T00:08:16.956Z</t>
  </si>
  <si>
    <t>2055-06-10T23:54:23.956Z</t>
  </si>
  <si>
    <t>2055-06-10T23:32:08.107987Z</t>
  </si>
  <si>
    <t>2055-06-10T23:44:53.493437Z</t>
  </si>
  <si>
    <t>2055-06-10T23:22:14.947137Z</t>
  </si>
  <si>
    <t>2055-06-10T23:22:31.69539Z</t>
  </si>
  <si>
    <t>2055-06-10T23:24:05.557202Z</t>
  </si>
  <si>
    <t>2055-06-10T19:32:08.107987Z</t>
  </si>
  <si>
    <t>2055-06-10T19:44:53.493437Z</t>
  </si>
  <si>
    <t>2055-06-10T19:22:14.947137Z</t>
  </si>
  <si>
    <t>2055-06-10T19:24:05.557202Z</t>
  </si>
  <si>
    <t>2055-06-07T19:15:23.217694Z</t>
  </si>
  <si>
    <t>2055-06-07T19:59:56.292Z</t>
  </si>
  <si>
    <t>2055-06-07T19:48:02.292Z</t>
  </si>
  <si>
    <t>2055-06-07T20:40:28.662448Z</t>
  </si>
  <si>
    <t>2055-06-07T20:56:13.824087Z</t>
  </si>
  <si>
    <t>2055-06-07T19:35:34.297032Z</t>
  </si>
  <si>
    <t>2055-06-07T19:35:55.409194Z</t>
  </si>
  <si>
    <t>2055-06-07T20:34:56.370015Z</t>
  </si>
  <si>
    <t>2055-06-07T16:40:28.662448Z</t>
  </si>
  <si>
    <t>2055-06-07T16:56:13.824087Z</t>
  </si>
  <si>
    <t>2055-06-07T15:35:34.297032Z</t>
  </si>
  <si>
    <t>2055-06-07T16:34:56.370015Z</t>
  </si>
  <si>
    <t>2055-06-07T14:23:41.279169Z</t>
  </si>
  <si>
    <t>2055-06-07T15:05:42.36Z</t>
  </si>
  <si>
    <t>2055-06-07T15:01:49.36Z</t>
  </si>
  <si>
    <t>2055-06-07T14:32:17.901091Z</t>
  </si>
  <si>
    <t>2055-06-07T15:00:48.763355Z</t>
  </si>
  <si>
    <t>2055-06-07T14:25:07.294813Z</t>
  </si>
  <si>
    <t>2055-06-07T14:25:51.184838Z</t>
  </si>
  <si>
    <t>2055-06-07T10:32:17.901091Z</t>
  </si>
  <si>
    <t>2055-06-07T11:00:48.763355Z</t>
  </si>
  <si>
    <t>2055-06-07T10:25:07.294813Z</t>
  </si>
  <si>
    <t>2055-06-05T15:46:09.975806Z</t>
  </si>
  <si>
    <t>2055-06-05T16:48:04.048Z</t>
  </si>
  <si>
    <t>2055-06-05T16:28:25.048Z</t>
  </si>
  <si>
    <t>2055-06-05T16:07:00.741801Z</t>
  </si>
  <si>
    <t>2055-06-05T16:23:17.337724Z</t>
  </si>
  <si>
    <t>2055-06-05T15:54:47.414969Z</t>
  </si>
  <si>
    <t>2055-06-05T15:55:22.510111Z</t>
  </si>
  <si>
    <t>2055-06-05T16:00:55.437944Z</t>
  </si>
  <si>
    <t>2055-06-05T12:07:00.741801Z</t>
  </si>
  <si>
    <t>2055-06-05T12:23:17.337724Z</t>
  </si>
  <si>
    <t>2055-06-05T11:54:47.414969Z</t>
  </si>
  <si>
    <t>2055-06-05T12:00:55.437944Z</t>
  </si>
  <si>
    <t>2055-06-11T20:59:12.015469Z</t>
  </si>
  <si>
    <t>2055-06-11T21:53:09.063Z</t>
  </si>
  <si>
    <t>2055-06-11T21:33:30.063Z</t>
  </si>
  <si>
    <t>2055-06-11T21:24:11.268708Z</t>
  </si>
  <si>
    <t>2055-06-11T21:43:10.909119Z</t>
  </si>
  <si>
    <t>2055-06-11T21:14:34.279417Z</t>
  </si>
  <si>
    <t>2055-06-11T21:14:49.646731Z</t>
  </si>
  <si>
    <t>2055-06-11T21:20:07.061232Z</t>
  </si>
  <si>
    <t>2055-06-11T17:24:11.268708Z</t>
  </si>
  <si>
    <t>2055-06-11T17:43:10.909119Z</t>
  </si>
  <si>
    <t>2055-06-11T17:14:34.279417Z</t>
  </si>
  <si>
    <t>2055-06-11T17:20:07.061232Z</t>
  </si>
  <si>
    <t>2055-06-13T16:15:28.582499Z</t>
  </si>
  <si>
    <t>2055-06-13T17:10:03.629Z</t>
  </si>
  <si>
    <t>2055-06-13T16:49:56.629Z</t>
  </si>
  <si>
    <t>2055-06-13T16:44:45.125198Z</t>
  </si>
  <si>
    <t>2055-06-13T16:58:47.470651Z</t>
  </si>
  <si>
    <t>2055-06-13T16:18:14.719574Z</t>
  </si>
  <si>
    <t>2055-06-13T16:18:41.794562Z</t>
  </si>
  <si>
    <t>2055-06-13T16:43:55.308636Z</t>
  </si>
  <si>
    <t>2055-06-13T12:44:45.125198Z</t>
  </si>
  <si>
    <t>2055-06-13T12:58:47.470651Z</t>
  </si>
  <si>
    <t>2055-06-13T12:18:14.719574Z</t>
  </si>
  <si>
    <t>2055-06-13T12:43:55.308636Z</t>
  </si>
  <si>
    <t>2055-06-12T14:40:32.056766Z</t>
  </si>
  <si>
    <t>2055-06-12T15:37:59.124Z</t>
  </si>
  <si>
    <t>2055-06-12T15:18:20.124Z</t>
  </si>
  <si>
    <t>2055-06-12T15:17:00.260471Z</t>
  </si>
  <si>
    <t>2055-06-12T15:35:31.875033Z</t>
  </si>
  <si>
    <t>2055-06-12T14:46:14.217254Z</t>
  </si>
  <si>
    <t>2055-06-12T14:46:25.220377Z</t>
  </si>
  <si>
    <t>2055-06-12T14:59:49.410268Z</t>
  </si>
  <si>
    <t>2055-06-12T11:17:00.260471Z</t>
  </si>
  <si>
    <t>2055-06-12T11:35:31.875033Z</t>
  </si>
  <si>
    <t>2055-06-12T10:46:14.217254Z</t>
  </si>
  <si>
    <t>2055-06-12T10:59:49.410268Z</t>
  </si>
  <si>
    <t>2055-06-13T15:39:36.974759Z</t>
  </si>
  <si>
    <t>2055-06-13T16:33:20.051Z</t>
  </si>
  <si>
    <t>2055-06-13T16:13:41.051Z</t>
  </si>
  <si>
    <t>2055-06-13T15:46:54.325999Z</t>
  </si>
  <si>
    <t>2055-06-13T16:00:23.191186Z</t>
  </si>
  <si>
    <t>2055-06-13T15:39:54.186215Z</t>
  </si>
  <si>
    <t>2055-06-13T15:40:13.384586Z</t>
  </si>
  <si>
    <t>2055-06-13T15:44:23.643881Z</t>
  </si>
  <si>
    <t>2055-06-13T11:46:54.325999Z</t>
  </si>
  <si>
    <t>2055-06-13T12:00:23.191186Z</t>
  </si>
  <si>
    <t>2055-06-13T11:39:54.186215Z</t>
  </si>
  <si>
    <t>2055-06-13T11:44:23.643881Z</t>
  </si>
  <si>
    <t>2055-06-08T16:10:43.724159Z</t>
  </si>
  <si>
    <t>2055-06-08T17:01:31.803Z</t>
  </si>
  <si>
    <t>2055-06-08T16:41:52.803Z</t>
  </si>
  <si>
    <t>2055-06-08T16:23:23.378106Z</t>
  </si>
  <si>
    <t>2055-06-08T16:34:40.376499Z</t>
  </si>
  <si>
    <t>2055-06-08T16:16:34.525618Z</t>
  </si>
  <si>
    <t>2055-06-08T16:16:46.075049Z</t>
  </si>
  <si>
    <t>2055-06-08T16:19:34.52074Z</t>
  </si>
  <si>
    <t>2055-06-08T12:23:23.378106Z</t>
  </si>
  <si>
    <t>2055-06-08T12:34:40.376499Z</t>
  </si>
  <si>
    <t>2055-06-08T12:16:34.525618Z</t>
  </si>
  <si>
    <t>2055-06-08T12:19:34.52074Z</t>
  </si>
  <si>
    <t>2055-06-03T14:32:19.900369Z</t>
  </si>
  <si>
    <t>2055-06-03T15:28:26.750957Z</t>
  </si>
  <si>
    <t>2055-06-03T15:43:11.02399Z</t>
  </si>
  <si>
    <t>2055-06-03T14:47:07.289257Z</t>
  </si>
  <si>
    <t>2055-06-03T14:47:27.782344Z</t>
  </si>
  <si>
    <t>2055-06-03T15:04:48.724394Z</t>
  </si>
  <si>
    <t>2055-06-03T11:28:26.750957Z</t>
  </si>
  <si>
    <t>2055-06-03T11:43:11.02399Z</t>
  </si>
  <si>
    <t>2055-06-03T10:47:07.289257Z</t>
  </si>
  <si>
    <t>2055-06-03T11:04:48.724394Z</t>
  </si>
  <si>
    <t>2055-06-07T16:51:40.618873Z</t>
  </si>
  <si>
    <t>2055-06-07T17:36:40.71Z</t>
  </si>
  <si>
    <t>2055-06-07T17:23:49.71Z</t>
  </si>
  <si>
    <t>2055-06-07T17:17:41.425107Z</t>
  </si>
  <si>
    <t>2055-06-07T17:30:19.505636Z</t>
  </si>
  <si>
    <t>2055-06-07T16:53:07.246218Z</t>
  </si>
  <si>
    <t>2055-06-07T16:53:12.344772Z</t>
  </si>
  <si>
    <t>2055-06-07T17:11:17.40771Z</t>
  </si>
  <si>
    <t>2055-06-07T13:17:41.425107Z</t>
  </si>
  <si>
    <t>2055-06-07T13:30:19.505636Z</t>
  </si>
  <si>
    <t>2055-06-07T12:53:07.246218Z</t>
  </si>
  <si>
    <t>2055-06-07T13:11:17.40771Z</t>
  </si>
  <si>
    <t>2055-06-02T00:05:30.345732Z</t>
  </si>
  <si>
    <t>2055-06-02T00:58:50.418Z</t>
  </si>
  <si>
    <t>2055-06-02T00:38:43.418Z</t>
  </si>
  <si>
    <t>2055-06-02T00:18:37.206673Z</t>
  </si>
  <si>
    <t>2055-06-02T00:25:34.09687Z</t>
  </si>
  <si>
    <t>2055-06-02T00:05:35.614963Z</t>
  </si>
  <si>
    <t>2055-06-02T00:05:43.791064Z</t>
  </si>
  <si>
    <t>2055-06-02T00:12:25.492325Z</t>
  </si>
  <si>
    <t>2055-06-01T20:18:37.206673Z</t>
  </si>
  <si>
    <t>2055-06-01T20:25:34.09687Z</t>
  </si>
  <si>
    <t>2055-06-01T20:05:35.614963Z</t>
  </si>
  <si>
    <t>2055-06-01T20:12:25.492325Z</t>
  </si>
  <si>
    <t>2055-06-02T14:59:14.321125Z</t>
  </si>
  <si>
    <t>2055-06-02T15:44:14.407Z</t>
  </si>
  <si>
    <t>2055-06-02T15:26:22.407Z</t>
  </si>
  <si>
    <t>2055-06-02T15:14:37.388834Z</t>
  </si>
  <si>
    <t>2055-06-02T15:19:48.639002Z</t>
  </si>
  <si>
    <t>2055-06-02T14:59:27.237861Z</t>
  </si>
  <si>
    <t>2055-06-02T14:59:57.859015Z</t>
  </si>
  <si>
    <t>2055-06-02T14:59:29.085496Z</t>
  </si>
  <si>
    <t>2055-06-02T11:14:37.388834Z</t>
  </si>
  <si>
    <t>2055-06-02T11:19:48.639002Z</t>
  </si>
  <si>
    <t>2055-06-02T10:59:27.237861Z</t>
  </si>
  <si>
    <t>2055-06-02T10:59:29.085496Z</t>
  </si>
  <si>
    <t>2055-06-07T16:37:28.128137Z</t>
  </si>
  <si>
    <t>2055-06-07T17:36:44.207Z</t>
  </si>
  <si>
    <t>2055-06-07T17:16:37.207Z</t>
  </si>
  <si>
    <t>2055-06-07T17:28:40.662909Z</t>
  </si>
  <si>
    <t>2055-06-07T17:38:03.776997Z</t>
  </si>
  <si>
    <t>2055-06-07T17:07:27.328182Z</t>
  </si>
  <si>
    <t>2055-06-07T17:07:38.452951Z</t>
  </si>
  <si>
    <t>2055-06-07T13:28:40.662909Z</t>
  </si>
  <si>
    <t>2055-06-07T13:38:03.776997Z</t>
  </si>
  <si>
    <t>2055-06-07T13:07:27.328182Z</t>
  </si>
  <si>
    <t>2055-06-02T22:04:33.223566Z</t>
  </si>
  <si>
    <t>2055-06-02T23:07:28.366Z</t>
  </si>
  <si>
    <t>2055-06-02T22:47:49.366Z</t>
  </si>
  <si>
    <t>2055-06-02T22:45:04.101019Z</t>
  </si>
  <si>
    <t>2055-06-02T23:03:17.889051Z</t>
  </si>
  <si>
    <t>2055-06-02T22:04:54.116432Z</t>
  </si>
  <si>
    <t>2055-06-02T22:05:04.990692Z</t>
  </si>
  <si>
    <t>2055-06-02T22:08:35.08905Z</t>
  </si>
  <si>
    <t>2055-06-02T18:45:04.101019Z</t>
  </si>
  <si>
    <t>2055-06-02T19:03:17.889051Z</t>
  </si>
  <si>
    <t>2055-06-02T18:04:54.116432Z</t>
  </si>
  <si>
    <t>2055-06-02T18:08:35.08905Z</t>
  </si>
  <si>
    <t>2055-06-05T00:08:15.565862Z</t>
  </si>
  <si>
    <t>2055-06-05T01:23:34.628Z</t>
  </si>
  <si>
    <t>2055-06-05T01:01:40.628Z</t>
  </si>
  <si>
    <t>2055-06-05T00:31:33.246618Z</t>
  </si>
  <si>
    <t>2055-06-05T00:49:39.937794Z</t>
  </si>
  <si>
    <t>2055-06-05T00:10:14.80112Z</t>
  </si>
  <si>
    <t>2055-06-05T00:10:33.654286Z</t>
  </si>
  <si>
    <t>2055-06-05T00:24:24.013208Z</t>
  </si>
  <si>
    <t>2055-06-04T20:31:33.246618Z</t>
  </si>
  <si>
    <t>2055-06-04T20:49:39.937794Z</t>
  </si>
  <si>
    <t>2055-06-04T20:10:14.80112Z</t>
  </si>
  <si>
    <t>2055-06-04T20:24:24.013208Z</t>
  </si>
  <si>
    <t>2055-06-09T18:14:15.909149Z</t>
  </si>
  <si>
    <t>2055-06-09T19:33:35.973Z</t>
  </si>
  <si>
    <t>2055-06-09T19:08:54.973Z</t>
  </si>
  <si>
    <t>2055-06-09T18:43:44.701621Z</t>
  </si>
  <si>
    <t>2055-06-09T18:51:30.68731Z</t>
  </si>
  <si>
    <t>2055-06-09T18:21:54.302462Z</t>
  </si>
  <si>
    <t>2055-06-09T18:23:45.399567Z</t>
  </si>
  <si>
    <t>2055-06-09T18:31:49.351373Z</t>
  </si>
  <si>
    <t>2055-06-09T14:43:44.701621Z</t>
  </si>
  <si>
    <t>2055-06-09T14:51:30.68731Z</t>
  </si>
  <si>
    <t>2055-06-09T14:21:54.302462Z</t>
  </si>
  <si>
    <t>2055-06-09T14:31:49.351373Z</t>
  </si>
  <si>
    <t>2055-06-11T20:04:35.620949Z</t>
  </si>
  <si>
    <t>2055-06-11T21:19:48.689Z</t>
  </si>
  <si>
    <t>2055-06-11T21:02:54.689Z</t>
  </si>
  <si>
    <t>2055-06-11T20:44:18.498535Z</t>
  </si>
  <si>
    <t>2055-06-11T20:58:16.456736Z</t>
  </si>
  <si>
    <t>2055-06-11T20:07:34.253792Z</t>
  </si>
  <si>
    <t>2055-06-11T20:07:41.600578Z</t>
  </si>
  <si>
    <t>2055-06-11T16:44:18.498535Z</t>
  </si>
  <si>
    <t>2055-06-11T16:58:16.456736Z</t>
  </si>
  <si>
    <t>2055-06-11T16:07:34.253792Z</t>
  </si>
  <si>
    <t>2055-06-01T13:56:40.020639Z</t>
  </si>
  <si>
    <t>2055-06-01T14:59:15.1Z</t>
  </si>
  <si>
    <t>2055-06-01T14:43:36.1Z</t>
  </si>
  <si>
    <t>2055-06-01T14:24:53.615774Z</t>
  </si>
  <si>
    <t>2055-06-01T14:45:43.448166Z</t>
  </si>
  <si>
    <t>2055-06-01T13:58:47.274179Z</t>
  </si>
  <si>
    <t>2055-06-01T13:59:18.813584Z</t>
  </si>
  <si>
    <t>2055-06-01T14:05:48.475307Z</t>
  </si>
  <si>
    <t>2055-06-01T10:24:53.615774Z</t>
  </si>
  <si>
    <t>2055-06-01T10:45:43.448166Z</t>
  </si>
  <si>
    <t>2055-06-01T09:58:47.274179Z</t>
  </si>
  <si>
    <t>2055-06-01T10:05:48.475307Z</t>
  </si>
  <si>
    <t>2055-06-11T13:04:10.022911Z</t>
  </si>
  <si>
    <t>2055-06-11T13:55:58.098Z</t>
  </si>
  <si>
    <t>2055-06-11T13:52:05.098Z</t>
  </si>
  <si>
    <t>2055-06-11T13:16:59.341534Z</t>
  </si>
  <si>
    <t>2055-06-11T13:27:22.185838Z</t>
  </si>
  <si>
    <t>2055-06-11T13:04:14.097231Z</t>
  </si>
  <si>
    <t>2055-06-11T13:04:30.364064Z</t>
  </si>
  <si>
    <t>2055-06-11T13:10:34.34707Z</t>
  </si>
  <si>
    <t>2055-06-11T09:16:59.341534Z</t>
  </si>
  <si>
    <t>2055-06-11T09:27:22.185838Z</t>
  </si>
  <si>
    <t>2055-06-11T09:04:14.097231Z</t>
  </si>
  <si>
    <t>2055-06-11T09:10:34.34707Z</t>
  </si>
  <si>
    <t>2055-06-04T23:22:19.668757Z</t>
  </si>
  <si>
    <t>2055-06-05T00:15:00Z</t>
  </si>
  <si>
    <t>2055-06-04T23:41:22.420969Z</t>
  </si>
  <si>
    <t>2055-06-04T23:49:09.772704Z</t>
  </si>
  <si>
    <t>2055-06-04T23:22:35.098804Z</t>
  </si>
  <si>
    <t>2055-06-04T23:22:44.609588Z</t>
  </si>
  <si>
    <t>2055-06-04T23:32:22.472495Z</t>
  </si>
  <si>
    <t>2055-06-04T19:41:22.420969Z</t>
  </si>
  <si>
    <t>2055-06-04T19:49:09.772704Z</t>
  </si>
  <si>
    <t>2055-06-04T19:22:35.098804Z</t>
  </si>
  <si>
    <t>2055-06-04T19:32:22.472495Z</t>
  </si>
  <si>
    <t>2055-06-07T16:41:24.335009Z</t>
  </si>
  <si>
    <t>2055-06-07T17:36:24.403Z</t>
  </si>
  <si>
    <t>2055-06-07T17:09:22.403Z</t>
  </si>
  <si>
    <t>2055-06-07T17:24:36.035381Z</t>
  </si>
  <si>
    <t>2055-06-07T17:36:43.015595Z</t>
  </si>
  <si>
    <t>2055-06-07T16:41:47.319256Z</t>
  </si>
  <si>
    <t>2055-06-07T16:42:04.24654Z</t>
  </si>
  <si>
    <t>2055-06-07T16:44:29.066527Z</t>
  </si>
  <si>
    <t>2055-06-07T13:24:36.035381Z</t>
  </si>
  <si>
    <t>2055-06-07T13:36:43.015595Z</t>
  </si>
  <si>
    <t>2055-06-07T12:41:47.319256Z</t>
  </si>
  <si>
    <t>2055-06-07T12:44:29.066527Z</t>
  </si>
  <si>
    <t>2055-06-06T18:20:37.027509Z</t>
  </si>
  <si>
    <t>2055-06-06T19:05:37.099Z</t>
  </si>
  <si>
    <t>2055-06-06T18:52:02.099Z</t>
  </si>
  <si>
    <t>2055-06-06T18:36:53.981229Z</t>
  </si>
  <si>
    <t>2055-06-06T18:43:42.267574Z</t>
  </si>
  <si>
    <t>2055-06-06T18:20:47.357263Z</t>
  </si>
  <si>
    <t>2055-06-06T18:20:52.089321Z</t>
  </si>
  <si>
    <t>2055-06-06T18:33:56.960852Z</t>
  </si>
  <si>
    <t>2055-06-06T14:36:53.981229Z</t>
  </si>
  <si>
    <t>2055-06-06T14:43:42.267574Z</t>
  </si>
  <si>
    <t>2055-06-06T14:20:47.357263Z</t>
  </si>
  <si>
    <t>2055-06-06T14:33:56.960852Z</t>
  </si>
  <si>
    <t>2055-06-06T22:13:53.11157Z</t>
  </si>
  <si>
    <t>2055-06-06T23:05:27.176Z</t>
  </si>
  <si>
    <t>2055-06-06T22:56:34.176Z</t>
  </si>
  <si>
    <t>2055-06-06T22:25:11.587785Z</t>
  </si>
  <si>
    <t>2055-06-06T22:31:16.57316Z</t>
  </si>
  <si>
    <t>2055-06-06T22:14:07.433377Z</t>
  </si>
  <si>
    <t>2055-06-06T22:14:14.801829Z</t>
  </si>
  <si>
    <t>2055-06-06T22:19:50.26111Z</t>
  </si>
  <si>
    <t>2055-06-06T18:25:11.587785Z</t>
  </si>
  <si>
    <t>2055-06-06T18:31:16.57316Z</t>
  </si>
  <si>
    <t>2055-06-06T18:14:07.433377Z</t>
  </si>
  <si>
    <t>2055-06-06T18:19:50.26111Z</t>
  </si>
  <si>
    <t>2055-06-05T14:00:57.206245Z</t>
  </si>
  <si>
    <t>2055-06-05T15:00:00Z</t>
  </si>
  <si>
    <t>2055-06-05T14:40:28.445777Z</t>
  </si>
  <si>
    <t>2055-06-05T14:53:26.301302Z</t>
  </si>
  <si>
    <t>2055-06-05T14:12:07.27916Z</t>
  </si>
  <si>
    <t>2055-06-05T14:12:29.79725Z</t>
  </si>
  <si>
    <t>2055-06-05T14:32:29.408925Z</t>
  </si>
  <si>
    <t>2055-06-05T10:40:28.445777Z</t>
  </si>
  <si>
    <t>2055-06-05T10:53:26.301302Z</t>
  </si>
  <si>
    <t>2055-06-05T10:12:07.27916Z</t>
  </si>
  <si>
    <t>2055-06-05T10:32:29.408925Z</t>
  </si>
  <si>
    <t>2055-06-01T21:20:21.285011Z</t>
  </si>
  <si>
    <t>2055-06-01T22:06:01.41Z</t>
  </si>
  <si>
    <t>2055-06-01T21:59:07.41Z</t>
  </si>
  <si>
    <t>2055-06-01T21:58:39.828802Z</t>
  </si>
  <si>
    <t>2055-06-01T22:05:29.831496Z</t>
  </si>
  <si>
    <t>2055-06-01T21:32:27.354272Z</t>
  </si>
  <si>
    <t>2055-06-01T21:32:34.948613Z</t>
  </si>
  <si>
    <t>2055-06-01T21:50:49.30782Z</t>
  </si>
  <si>
    <t>2055-06-01T17:58:39.828802Z</t>
  </si>
  <si>
    <t>2055-06-01T18:05:29.831496Z</t>
  </si>
  <si>
    <t>2055-06-01T17:32:27.354272Z</t>
  </si>
  <si>
    <t>2055-06-01T17:50:49.30782Z</t>
  </si>
  <si>
    <t>2055-06-01T16:24:28.83475Z</t>
  </si>
  <si>
    <t>2055-06-01T17:23:11.923Z</t>
  </si>
  <si>
    <t>2055-06-01T17:01:17.923Z</t>
  </si>
  <si>
    <t>2055-06-01T17:03:00.990086Z</t>
  </si>
  <si>
    <t>2055-06-01T17:14:34.497309Z</t>
  </si>
  <si>
    <t>2055-06-01T16:33:13.255764Z</t>
  </si>
  <si>
    <t>2055-06-01T16:33:17.376386Z</t>
  </si>
  <si>
    <t>2055-06-01T17:05:04.305424Z</t>
  </si>
  <si>
    <t>2055-06-01T13:03:00.990086Z</t>
  </si>
  <si>
    <t>2055-06-01T13:14:34.497309Z</t>
  </si>
  <si>
    <t>2055-06-01T12:33:13.255764Z</t>
  </si>
  <si>
    <t>2055-06-01T13:05:04.305424Z</t>
  </si>
  <si>
    <t>2055-06-01T16:43:43.285358Z</t>
  </si>
  <si>
    <t>2055-06-01T18:07:09.345Z</t>
  </si>
  <si>
    <t>2055-06-01T17:42:28.345Z</t>
  </si>
  <si>
    <t>2055-06-01T17:39:09.077343Z</t>
  </si>
  <si>
    <t>2055-06-01T17:50:50.540833Z</t>
  </si>
  <si>
    <t>2055-06-01T17:01:54.258178Z</t>
  </si>
  <si>
    <t>2055-06-01T17:01:58.469795Z</t>
  </si>
  <si>
    <t>2055-06-01T17:20:33.227619Z</t>
  </si>
  <si>
    <t>2055-06-01T13:39:09.077343Z</t>
  </si>
  <si>
    <t>2055-06-01T13:50:50.540833Z</t>
  </si>
  <si>
    <t>2055-06-01T13:01:54.258178Z</t>
  </si>
  <si>
    <t>2055-06-01T13:20:33.227619Z</t>
  </si>
  <si>
    <t>2055-06-02T16:02:41.249037Z</t>
  </si>
  <si>
    <t>2055-06-02T17:16:38.321Z</t>
  </si>
  <si>
    <t>2055-06-02T16:54:44.321Z</t>
  </si>
  <si>
    <t>2055-06-02T16:54:45.613655Z</t>
  </si>
  <si>
    <t>2055-06-02T17:09:09.471048Z</t>
  </si>
  <si>
    <t>2055-06-02T16:05:14.870306Z</t>
  </si>
  <si>
    <t>2055-06-02T16:05:23.764804Z</t>
  </si>
  <si>
    <t>2055-06-02T16:29:48.186655Z</t>
  </si>
  <si>
    <t>2055-06-02T12:54:45.613655Z</t>
  </si>
  <si>
    <t>2055-06-02T13:09:09.471048Z</t>
  </si>
  <si>
    <t>2055-06-02T12:05:14.870306Z</t>
  </si>
  <si>
    <t>2055-06-02T12:29:48.186655Z</t>
  </si>
  <si>
    <t>2055-06-04T15:55:00.617434Z</t>
  </si>
  <si>
    <t>2055-06-04T16:50:14.693Z</t>
  </si>
  <si>
    <t>2055-06-04T16:34:35.693Z</t>
  </si>
  <si>
    <t>2055-06-04T16:54:52.651638Z</t>
  </si>
  <si>
    <t>2055-06-04T17:05:21.894426Z</t>
  </si>
  <si>
    <t>2055-06-04T15:55:07.289041Z</t>
  </si>
  <si>
    <t>2055-06-04T15:55:56.80755Z</t>
  </si>
  <si>
    <t>2055-06-04T16:47:32.484477Z</t>
  </si>
  <si>
    <t>2055-06-04T12:54:52.651638Z</t>
  </si>
  <si>
    <t>2055-06-04T13:05:21.894426Z</t>
  </si>
  <si>
    <t>2055-06-04T11:55:07.289041Z</t>
  </si>
  <si>
    <t>2055-06-04T12:47:32.484477Z</t>
  </si>
  <si>
    <t>2055-06-06T22:21:19.041184Z</t>
  </si>
  <si>
    <t>2055-06-06T23:13:30.096Z</t>
  </si>
  <si>
    <t>2055-06-06T22:54:37.096Z</t>
  </si>
  <si>
    <t>2055-06-06T22:51:37.504777Z</t>
  </si>
  <si>
    <t>2055-06-06T22:59:52.07148Z</t>
  </si>
  <si>
    <t>2055-06-06T22:26:14.327051Z</t>
  </si>
  <si>
    <t>2055-06-06T22:26:31.271929Z</t>
  </si>
  <si>
    <t>2055-06-06T22:37:38.504844Z</t>
  </si>
  <si>
    <t>2055-06-06T18:51:37.504777Z</t>
  </si>
  <si>
    <t>2055-06-06T18:59:52.07148Z</t>
  </si>
  <si>
    <t>2055-06-06T18:26:14.327051Z</t>
  </si>
  <si>
    <t>2055-06-06T18:37:38.504844Z</t>
  </si>
  <si>
    <t>2055-06-12T22:26:54.808311Z</t>
  </si>
  <si>
    <t>2055-06-12T23:27:16.868Z</t>
  </si>
  <si>
    <t>2055-06-12T23:07:37.868Z</t>
  </si>
  <si>
    <t>2055-06-12T23:08:32.901291Z</t>
  </si>
  <si>
    <t>2055-06-12T23:08:46.470371Z</t>
  </si>
  <si>
    <t>2055-06-12T22:27:14.606425Z</t>
  </si>
  <si>
    <t>2055-06-12T22:27:24.118838Z</t>
  </si>
  <si>
    <t>2055-06-12T19:08:32.901291Z</t>
  </si>
  <si>
    <t>2055-06-12T19:08:46.470371Z</t>
  </si>
  <si>
    <t>2055-06-12T18:27:14.606425Z</t>
  </si>
  <si>
    <t>2055-06-02T17:54:07.21742Z</t>
  </si>
  <si>
    <t>2055-06-02T18:49:07.288Z</t>
  </si>
  <si>
    <t>2055-06-02T18:28:19.288Z</t>
  </si>
  <si>
    <t>2055-06-02T18:20:58.804667Z</t>
  </si>
  <si>
    <t>2055-06-02T18:21:06.675587Z</t>
  </si>
  <si>
    <t>2055-06-02T17:54:27.285469Z</t>
  </si>
  <si>
    <t>2055-06-02T17:54:48.438868Z</t>
  </si>
  <si>
    <t>2055-06-02T14:20:58.804667Z</t>
  </si>
  <si>
    <t>2055-06-02T14:21:06.675587Z</t>
  </si>
  <si>
    <t>2055-06-02T13:54:27.285469Z</t>
  </si>
  <si>
    <t>2055-06-03T17:56:15.228547Z</t>
  </si>
  <si>
    <t>2055-06-03T18:46:15.291Z</t>
  </si>
  <si>
    <t>2055-06-03T18:21:31.291Z</t>
  </si>
  <si>
    <t>2055-06-03T18:01:41.229466Z</t>
  </si>
  <si>
    <t>2055-06-03T18:10:07.781731Z</t>
  </si>
  <si>
    <t>2055-06-03T17:56:27.368516Z</t>
  </si>
  <si>
    <t>2055-06-03T17:56:36.220705Z</t>
  </si>
  <si>
    <t>2055-06-03T14:01:41.229466Z</t>
  </si>
  <si>
    <t>2055-06-03T14:10:07.781731Z</t>
  </si>
  <si>
    <t>2055-06-03T13:56:27.368516Z</t>
  </si>
  <si>
    <t>2055-06-02T00:09:38.204062Z</t>
  </si>
  <si>
    <t>2055-06-02T00:49:38.277Z</t>
  </si>
  <si>
    <t>2055-06-02T00:47:00.277Z</t>
  </si>
  <si>
    <t>2055-06-02T00:27:58.228988Z</t>
  </si>
  <si>
    <t>2055-06-02T00:45:50.128975Z</t>
  </si>
  <si>
    <t>2055-06-02T00:09:47.371289Z</t>
  </si>
  <si>
    <t>2055-06-02T00:10:03.771841Z</t>
  </si>
  <si>
    <t>2055-06-02T00:27:11.705448Z</t>
  </si>
  <si>
    <t>2055-06-01T20:27:58.228988Z</t>
  </si>
  <si>
    <t>2055-06-01T20:45:50.128975Z</t>
  </si>
  <si>
    <t>2055-06-01T20:09:47.371289Z</t>
  </si>
  <si>
    <t>2055-06-01T20:27:11.705448Z</t>
  </si>
  <si>
    <t>2055-06-02T21:35:29.651638Z</t>
  </si>
  <si>
    <t>2055-06-02T22:30:29.737Z</t>
  </si>
  <si>
    <t>2055-06-02T22:03:35.737Z</t>
  </si>
  <si>
    <t>2055-06-02T21:48:22.417625Z</t>
  </si>
  <si>
    <t>2055-06-02T21:51:46.330613Z</t>
  </si>
  <si>
    <t>2055-06-02T21:35:47.306201Z</t>
  </si>
  <si>
    <t>2055-06-02T21:35:54.050356Z</t>
  </si>
  <si>
    <t>2055-06-02T21:45:32.496Z</t>
  </si>
  <si>
    <t>2055-06-02T17:48:22.417625Z</t>
  </si>
  <si>
    <t>2055-06-02T17:51:46.330613Z</t>
  </si>
  <si>
    <t>2055-06-02T17:35:47.306201Z</t>
  </si>
  <si>
    <t>2055-06-02T17:45:32.496Z</t>
  </si>
  <si>
    <t>2055-06-06T01:04:33.398902Z</t>
  </si>
  <si>
    <t>2055-06-06T02:15:19.48Z</t>
  </si>
  <si>
    <t>2055-06-06T02:02:06.48Z</t>
  </si>
  <si>
    <t>2055-06-06T01:42:51.426547Z</t>
  </si>
  <si>
    <t>2055-06-06T02:06:53.015392Z</t>
  </si>
  <si>
    <t>2055-06-06T01:13:54.522441Z</t>
  </si>
  <si>
    <t>2055-06-06T01:13:58.193538Z</t>
  </si>
  <si>
    <t>2055-06-06T01:40:39.820784Z</t>
  </si>
  <si>
    <t>2055-06-05T21:42:51.426547Z</t>
  </si>
  <si>
    <t>2055-06-05T22:06:53.015392Z</t>
  </si>
  <si>
    <t>2055-06-05T21:13:54.522441Z</t>
  </si>
  <si>
    <t>2055-06-05T21:40:39.820784Z</t>
  </si>
  <si>
    <t>2055-06-07T19:40:53.231365Z</t>
  </si>
  <si>
    <t>2055-06-07T20:50:52.307Z</t>
  </si>
  <si>
    <t>2055-06-07T20:27:34.307Z</t>
  </si>
  <si>
    <t>2055-06-07T19:53:17.294916Z</t>
  </si>
  <si>
    <t>2055-06-07T20:20:30.604639Z</t>
  </si>
  <si>
    <t>2055-06-07T19:49:27.234598Z</t>
  </si>
  <si>
    <t>2055-06-07T19:49:34.126257Z</t>
  </si>
  <si>
    <t>2055-06-07T19:54:20.289431Z</t>
  </si>
  <si>
    <t>2055-06-07T15:53:17.294916Z</t>
  </si>
  <si>
    <t>2055-06-07T16:20:30.604639Z</t>
  </si>
  <si>
    <t>2055-06-07T15:49:27.234598Z</t>
  </si>
  <si>
    <t>2055-06-07T15:54:20.289431Z</t>
  </si>
  <si>
    <t>Mary</t>
  </si>
  <si>
    <t>2055-06-08T02:00:42.996001Z</t>
  </si>
  <si>
    <t>2055-06-08T02:55:43.117Z</t>
  </si>
  <si>
    <t>2055-06-08T02:36:29.117Z</t>
  </si>
  <si>
    <t>2055-06-08T02:26:34.271719Z</t>
  </si>
  <si>
    <t>2055-06-08T02:36:48.281376Z</t>
  </si>
  <si>
    <t>2055-06-08T02:00:47.277893Z</t>
  </si>
  <si>
    <t>2055-06-08T02:01:06.831507Z</t>
  </si>
  <si>
    <t>2055-06-08T02:16:12.316335Z</t>
  </si>
  <si>
    <t>2055-06-07T22:26:34.271719Z</t>
  </si>
  <si>
    <t>2055-06-07T22:36:48.281376Z</t>
  </si>
  <si>
    <t>2055-06-07T22:00:47.277893Z</t>
  </si>
  <si>
    <t>2055-06-07T22:16:12.316335Z</t>
  </si>
  <si>
    <t>2055-06-10T16:54:12.449226Z</t>
  </si>
  <si>
    <t>2055-06-10T18:00:11.503Z</t>
  </si>
  <si>
    <t>2055-06-10T17:41:18.503Z</t>
  </si>
  <si>
    <t>2055-06-10T17:28:11.989671Z</t>
  </si>
  <si>
    <t>2055-06-10T17:28:21.376436Z</t>
  </si>
  <si>
    <t>2055-06-10T16:54:34.24123Z</t>
  </si>
  <si>
    <t>2055-06-10T16:54:47.606249Z</t>
  </si>
  <si>
    <t>2055-06-10T17:11:27.659616Z</t>
  </si>
  <si>
    <t>2055-06-10T13:28:11.989671Z</t>
  </si>
  <si>
    <t>2055-06-10T13:28:21.376436Z</t>
  </si>
  <si>
    <t>2055-06-10T12:54:34.24123Z</t>
  </si>
  <si>
    <t>2055-06-10T13:11:27.659616Z</t>
  </si>
  <si>
    <t>2055-06-07T16:45:19.581874Z</t>
  </si>
  <si>
    <t>2055-06-07T17:50:23.643Z</t>
  </si>
  <si>
    <t>2055-06-07T17:30:16.643Z</t>
  </si>
  <si>
    <t>2055-06-07T17:02:39.465308Z</t>
  </si>
  <si>
    <t>2055-06-07T17:12:32.781973Z</t>
  </si>
  <si>
    <t>2055-06-07T16:48:14.577524Z</t>
  </si>
  <si>
    <t>2055-06-07T16:48:47.249281Z</t>
  </si>
  <si>
    <t>2055-06-07T16:56:53.96536Z</t>
  </si>
  <si>
    <t>2055-06-07T13:02:39.465308Z</t>
  </si>
  <si>
    <t>2055-06-07T13:12:32.781973Z</t>
  </si>
  <si>
    <t>2055-06-07T12:48:14.577524Z</t>
  </si>
  <si>
    <t>2055-06-07T12:56:53.96536Z</t>
  </si>
  <si>
    <t>2055-06-02T23:48:07.099226Z</t>
  </si>
  <si>
    <t>2055-06-03T00:38:58.168Z</t>
  </si>
  <si>
    <t>2055-06-03T00:29:19.168Z</t>
  </si>
  <si>
    <t>2055-06-03T00:04:46.047582Z</t>
  </si>
  <si>
    <t>2055-06-03T00:24:00.524567Z</t>
  </si>
  <si>
    <t>2055-06-02T23:51:07.383097Z</t>
  </si>
  <si>
    <t>2055-06-02T23:51:18.488768Z</t>
  </si>
  <si>
    <t>2055-06-02T20:04:46.047582Z</t>
  </si>
  <si>
    <t>2055-06-02T20:24:00.524567Z</t>
  </si>
  <si>
    <t>2055-06-02T19:51:07.383097Z</t>
  </si>
  <si>
    <t>2055-06-04T19:15:14.760567Z</t>
  </si>
  <si>
    <t>2055-06-04T20:21:16.858Z</t>
  </si>
  <si>
    <t>2055-06-04T19:57:58.858Z</t>
  </si>
  <si>
    <t>2055-06-04T20:00:52.417435Z</t>
  </si>
  <si>
    <t>2055-06-04T20:16:19.285721Z</t>
  </si>
  <si>
    <t>2055-06-04T19:24:07.330327Z</t>
  </si>
  <si>
    <t>2055-06-04T19:24:10.959389Z</t>
  </si>
  <si>
    <t>2055-06-04T19:52:45.900857Z</t>
  </si>
  <si>
    <t>2055-06-04T16:00:52.417435Z</t>
  </si>
  <si>
    <t>2055-06-04T16:16:19.285721Z</t>
  </si>
  <si>
    <t>2055-06-04T15:24:07.330327Z</t>
  </si>
  <si>
    <t>2055-06-04T15:52:45.900857Z</t>
  </si>
  <si>
    <t>2055-06-12T22:29:49.674433Z</t>
  </si>
  <si>
    <t>2055-06-12T23:11:15.738Z</t>
  </si>
  <si>
    <t>2055-06-12T23:06:36.738Z</t>
  </si>
  <si>
    <t>2055-06-12T22:46:14.392783Z</t>
  </si>
  <si>
    <t>2055-06-12T23:23:48.567904Z</t>
  </si>
  <si>
    <t>2055-06-12T22:33:35.277385Z</t>
  </si>
  <si>
    <t>2055-06-12T22:33:43.749751Z</t>
  </si>
  <si>
    <t>2055-06-12T22:40:48.395663Z</t>
  </si>
  <si>
    <t>2055-06-12T18:46:14.392783Z</t>
  </si>
  <si>
    <t>2055-06-12T19:23:48.567904Z</t>
  </si>
  <si>
    <t>2055-06-12T18:33:35.277385Z</t>
  </si>
  <si>
    <t>2055-06-12T18:40:48.395663Z</t>
  </si>
  <si>
    <t>2055-06-05T00:46:35.234038Z</t>
  </si>
  <si>
    <t>2055-06-05T01:41:35.291Z</t>
  </si>
  <si>
    <t>2055-06-05T01:22:36.291Z</t>
  </si>
  <si>
    <t>2055-06-05T01:12:05.479665Z</t>
  </si>
  <si>
    <t>2055-06-05T01:24:30.675984Z</t>
  </si>
  <si>
    <t>2055-06-05T00:46:48.456993Z</t>
  </si>
  <si>
    <t>2055-06-05T00:47:18.822672Z</t>
  </si>
  <si>
    <t>2055-06-05T00:54:47.585562Z</t>
  </si>
  <si>
    <t>2055-06-04T21:12:05.479665Z</t>
  </si>
  <si>
    <t>2055-06-04T21:24:30.675984Z</t>
  </si>
  <si>
    <t>2055-06-04T20:46:48.456993Z</t>
  </si>
  <si>
    <t>2055-06-04T20:54:47.585562Z</t>
  </si>
  <si>
    <t>2055-06-02T23:48:25.081926Z</t>
  </si>
  <si>
    <t>2055-06-03T00:45:49.157Z</t>
  </si>
  <si>
    <t>2055-06-03T00:25:42.157Z</t>
  </si>
  <si>
    <t>2055-06-03T00:01:01.918465Z</t>
  </si>
  <si>
    <t>2055-06-03T00:22:56.279313Z</t>
  </si>
  <si>
    <t>2055-06-02T23:48:47.34632Z</t>
  </si>
  <si>
    <t>2055-06-02T23:48:56.101115Z</t>
  </si>
  <si>
    <t>2055-06-02T20:01:01.918465Z</t>
  </si>
  <si>
    <t>2055-06-02T20:22:56.279313Z</t>
  </si>
  <si>
    <t>2055-06-02T19:48:47.34632Z</t>
  </si>
  <si>
    <t>2055-06-04T16:19:38.903337Z</t>
  </si>
  <si>
    <t>2055-06-04T16:55:08.965Z</t>
  </si>
  <si>
    <t>2055-06-04T16:36:15.965Z</t>
  </si>
  <si>
    <t>2055-06-04T16:59:32.748573Z</t>
  </si>
  <si>
    <t>2055-06-04T17:05:25.818162Z</t>
  </si>
  <si>
    <t>2055-06-04T16:28:14.279376Z</t>
  </si>
  <si>
    <t>2055-06-04T16:28:19.198451Z</t>
  </si>
  <si>
    <t>2055-06-04T16:44:52.305494Z</t>
  </si>
  <si>
    <t>2055-06-04T12:59:32.748573Z</t>
  </si>
  <si>
    <t>2055-06-04T13:05:25.818162Z</t>
  </si>
  <si>
    <t>2055-06-04T12:28:14.279376Z</t>
  </si>
  <si>
    <t>2055-06-04T12:44:52.305494Z</t>
  </si>
  <si>
    <t>2055-06-04T23:34:25.385857Z</t>
  </si>
  <si>
    <t>2055-06-05T00:09:30.442Z</t>
  </si>
  <si>
    <t>2055-06-05T00:04:51.442Z</t>
  </si>
  <si>
    <t>2055-06-05T00:03:22.747363Z</t>
  </si>
  <si>
    <t>2055-06-05T00:17:26.843712Z</t>
  </si>
  <si>
    <t>2055-06-04T23:40:35.48711Z</t>
  </si>
  <si>
    <t>2055-06-04T23:40:51.630025Z</t>
  </si>
  <si>
    <t>2055-06-05T00:03:15.410723Z</t>
  </si>
  <si>
    <t>2055-06-04T20:03:22.747363Z</t>
  </si>
  <si>
    <t>2055-06-04T20:17:26.843712Z</t>
  </si>
  <si>
    <t>2055-06-04T19:40:35.48711Z</t>
  </si>
  <si>
    <t>2055-06-04T20:03:15.410723Z</t>
  </si>
  <si>
    <t>2055-06-13T14:52:22.662728Z</t>
  </si>
  <si>
    <t>2055-06-13T15:40:00.738Z</t>
  </si>
  <si>
    <t>2055-06-13T15:20:21.738Z</t>
  </si>
  <si>
    <t>2055-06-13T15:06:05.31363Z</t>
  </si>
  <si>
    <t>2055-06-13T15:13:58.49772Z</t>
  </si>
  <si>
    <t>2055-06-13T14:58:34.085629Z</t>
  </si>
  <si>
    <t>2055-06-13T14:58:52.254977Z</t>
  </si>
  <si>
    <t>2055-06-13T15:00:28.379207Z</t>
  </si>
  <si>
    <t>2055-06-13T11:06:05.31363Z</t>
  </si>
  <si>
    <t>2055-06-13T11:13:58.49772Z</t>
  </si>
  <si>
    <t>2055-06-13T10:58:34.085629Z</t>
  </si>
  <si>
    <t>2055-06-13T11:00:28.379207Z</t>
  </si>
  <si>
    <t>2055-06-11T21:03:08.48643Z</t>
  </si>
  <si>
    <t>2055-06-11T22:08:19.546Z</t>
  </si>
  <si>
    <t>2055-06-11T21:53:12.546Z</t>
  </si>
  <si>
    <t>2055-06-11T21:45:10.452347Z</t>
  </si>
  <si>
    <t>2055-06-11T21:54:44.644679Z</t>
  </si>
  <si>
    <t>2055-06-11T21:07:34.758839Z</t>
  </si>
  <si>
    <t>2055-06-11T21:07:51.735662Z</t>
  </si>
  <si>
    <t>2055-06-11T17:45:10.452347Z</t>
  </si>
  <si>
    <t>2055-06-11T17:54:44.644679Z</t>
  </si>
  <si>
    <t>2055-06-11T17:07:34.758839Z</t>
  </si>
  <si>
    <t>2055-06-06T20:40:59.650129Z</t>
  </si>
  <si>
    <t>2055-06-06T21:23:56.724Z</t>
  </si>
  <si>
    <t>2055-06-06T21:18:49.724Z</t>
  </si>
  <si>
    <t>2055-06-06T21:18:44.828478Z</t>
  </si>
  <si>
    <t>2055-06-06T21:59:52.247317Z</t>
  </si>
  <si>
    <t>2055-06-06T20:43:07.337733Z</t>
  </si>
  <si>
    <t>2055-06-06T20:44:42.543199Z</t>
  </si>
  <si>
    <t>2055-06-06T21:04:50.346593Z</t>
  </si>
  <si>
    <t>2055-06-06T17:18:44.828478Z</t>
  </si>
  <si>
    <t>2055-06-06T17:59:52.247317Z</t>
  </si>
  <si>
    <t>2055-06-06T16:43:07.337733Z</t>
  </si>
  <si>
    <t>2055-06-06T17:04:50.346593Z</t>
  </si>
  <si>
    <t>2055-06-07T01:15:51.944302Z</t>
  </si>
  <si>
    <t>2055-06-07T02:00:52.058Z</t>
  </si>
  <si>
    <t>2055-06-07T01:46:34.058Z</t>
  </si>
  <si>
    <t>2055-06-07T01:38:57.529217Z</t>
  </si>
  <si>
    <t>2055-06-07T01:49:46.145806Z</t>
  </si>
  <si>
    <t>2055-06-07T01:22:07.291611Z</t>
  </si>
  <si>
    <t>2055-06-07T01:22:11.639444Z</t>
  </si>
  <si>
    <t>2055-06-06T21:38:57.529217Z</t>
  </si>
  <si>
    <t>2055-06-06T21:49:46.145806Z</t>
  </si>
  <si>
    <t>2055-06-06T21:22:07.291611Z</t>
  </si>
  <si>
    <t>2055-06-04T17:32:42.757422Z</t>
  </si>
  <si>
    <t>2055-06-04T18:30:22.923Z</t>
  </si>
  <si>
    <t>2055-06-04T18:26:29.923Z</t>
  </si>
  <si>
    <t>2055-06-04T18:07:05.163382Z</t>
  </si>
  <si>
    <t>2055-06-04T18:26:49.006776Z</t>
  </si>
  <si>
    <t>2055-06-04T17:32:47.291236Z</t>
  </si>
  <si>
    <t>2055-06-04T17:33:02.293692Z</t>
  </si>
  <si>
    <t>2055-06-04T18:04:42.510192Z</t>
  </si>
  <si>
    <t>2055-06-04T14:07:05.163382Z</t>
  </si>
  <si>
    <t>2055-06-04T14:26:49.006776Z</t>
  </si>
  <si>
    <t>2055-06-04T13:32:47.291236Z</t>
  </si>
  <si>
    <t>2055-06-04T14:04:42.510192Z</t>
  </si>
  <si>
    <t>2055-06-05T01:56:27.901856Z</t>
  </si>
  <si>
    <t>2055-06-05T02:31:00.959Z</t>
  </si>
  <si>
    <t>2055-06-05T02:20:53.959Z</t>
  </si>
  <si>
    <t>2055-06-05T02:13:19.221883Z</t>
  </si>
  <si>
    <t>2055-06-05T02:17:56.104195Z</t>
  </si>
  <si>
    <t>2055-06-05T02:01:34.35924Z</t>
  </si>
  <si>
    <t>2055-06-05T02:02:03.728151Z</t>
  </si>
  <si>
    <t>2055-06-05T02:12:56.074909Z</t>
  </si>
  <si>
    <t>2055-06-04T22:13:19.221883Z</t>
  </si>
  <si>
    <t>2055-06-04T22:17:56.104195Z</t>
  </si>
  <si>
    <t>2055-06-04T22:01:34.35924Z</t>
  </si>
  <si>
    <t>2055-06-04T22:12:56.074909Z</t>
  </si>
  <si>
    <t>2055-06-03T00:08:56.030685Z</t>
  </si>
  <si>
    <t>2055-06-03T00:53:02.107Z</t>
  </si>
  <si>
    <t>2055-06-03T00:42:55.107Z</t>
  </si>
  <si>
    <t>2055-06-03T00:16:58.081174Z</t>
  </si>
  <si>
    <t>2055-06-03T00:25:26.922599Z</t>
  </si>
  <si>
    <t>2055-06-03T00:11:55.439772Z</t>
  </si>
  <si>
    <t>2055-06-03T00:12:04.064989Z</t>
  </si>
  <si>
    <t>2055-06-03T00:14:58.772435Z</t>
  </si>
  <si>
    <t>2055-06-02T20:16:58.081174Z</t>
  </si>
  <si>
    <t>2055-06-02T20:25:26.922599Z</t>
  </si>
  <si>
    <t>2055-06-02T20:11:55.439772Z</t>
  </si>
  <si>
    <t>2055-06-02T20:14:58.772435Z</t>
  </si>
  <si>
    <t>2055-06-06T16:51:41.396859Z</t>
  </si>
  <si>
    <t>2055-06-06T17:46:41.482Z</t>
  </si>
  <si>
    <t>2055-06-06T17:19:32.482Z</t>
  </si>
  <si>
    <t>2055-06-06T17:13:03.358435Z</t>
  </si>
  <si>
    <t>2055-06-06T17:27:54.629356Z</t>
  </si>
  <si>
    <t>2055-06-06T16:51:47.385402Z</t>
  </si>
  <si>
    <t>2055-06-06T16:52:02.140314Z</t>
  </si>
  <si>
    <t>2055-06-06T17:02:32.605634Z</t>
  </si>
  <si>
    <t>2055-06-06T13:13:03.358435Z</t>
  </si>
  <si>
    <t>2055-06-06T13:27:54.629356Z</t>
  </si>
  <si>
    <t>2055-06-06T12:51:47.385402Z</t>
  </si>
  <si>
    <t>2055-06-06T13:02:32.605634Z</t>
  </si>
  <si>
    <t>2055-06-11T16:11:29.049691Z</t>
  </si>
  <si>
    <t>2055-06-11T17:06:00.104Z</t>
  </si>
  <si>
    <t>2055-06-11T16:45:53.104Z</t>
  </si>
  <si>
    <t>2055-06-11T16:46:11.944211Z</t>
  </si>
  <si>
    <t>2055-06-11T16:51:45.317818Z</t>
  </si>
  <si>
    <t>2055-06-11T16:37:54.41486Z</t>
  </si>
  <si>
    <t>2055-06-11T16:38:06.765929Z</t>
  </si>
  <si>
    <t>2055-06-11T12:46:11.944211Z</t>
  </si>
  <si>
    <t>2055-06-11T12:51:45.317818Z</t>
  </si>
  <si>
    <t>2055-06-11T12:37:54.41486Z</t>
  </si>
  <si>
    <t>2055-06-07T20:51:18.096118Z</t>
  </si>
  <si>
    <t>2055-06-07T21:24:28.154Z</t>
  </si>
  <si>
    <t>2055-06-07T21:19:49.154Z</t>
  </si>
  <si>
    <t>2055-06-07T21:18:57.868965Z</t>
  </si>
  <si>
    <t>2055-06-07T21:27:01.35707Z</t>
  </si>
  <si>
    <t>2055-06-07T20:58:14.23429Z</t>
  </si>
  <si>
    <t>2055-06-07T20:58:18.567069Z</t>
  </si>
  <si>
    <t>2055-06-07T21:09:00.25539Z</t>
  </si>
  <si>
    <t>2055-06-07T17:18:57.868965Z</t>
  </si>
  <si>
    <t>2055-06-07T17:27:01.35707Z</t>
  </si>
  <si>
    <t>2055-06-07T16:58:14.23429Z</t>
  </si>
  <si>
    <t>2055-06-07T17:09:00.25539Z</t>
  </si>
  <si>
    <t>2055-06-06T17:14:09.365965Z</t>
  </si>
  <si>
    <t>2055-06-06T18:09:09.457Z</t>
  </si>
  <si>
    <t>2055-06-06T17:45:12.457Z</t>
  </si>
  <si>
    <t>2055-06-06T17:43:56.118424Z</t>
  </si>
  <si>
    <t>2055-06-06T18:12:36.939693Z</t>
  </si>
  <si>
    <t>2055-06-06T17:14:27.350332Z</t>
  </si>
  <si>
    <t>2055-06-06T17:14:43.325468Z</t>
  </si>
  <si>
    <t>2055-06-06T17:18:56.943965Z</t>
  </si>
  <si>
    <t>2055-06-06T13:43:56.118424Z</t>
  </si>
  <si>
    <t>2055-06-06T14:12:36.939693Z</t>
  </si>
  <si>
    <t>2055-06-06T13:14:27.350332Z</t>
  </si>
  <si>
    <t>2055-06-06T13:18:56.943965Z</t>
  </si>
  <si>
    <t>2055-06-08T23:36:21.271142Z</t>
  </si>
  <si>
    <t>2055-06-09T00:11:23.339Z</t>
  </si>
  <si>
    <t>2055-06-09T00:06:16.339Z</t>
  </si>
  <si>
    <t>2055-06-08T23:50:29.215795Z</t>
  </si>
  <si>
    <t>2055-06-08T23:56:29.131438Z</t>
  </si>
  <si>
    <t>2055-06-08T23:37:34.736277Z</t>
  </si>
  <si>
    <t>2055-06-08T23:37:39.291366Z</t>
  </si>
  <si>
    <t>2055-06-08T23:49:12.372682Z</t>
  </si>
  <si>
    <t>2055-06-08T19:50:29.215795Z</t>
  </si>
  <si>
    <t>2055-06-08T19:56:29.131438Z</t>
  </si>
  <si>
    <t>2055-06-08T19:37:34.736277Z</t>
  </si>
  <si>
    <t>2055-06-08T19:49:12.372682Z</t>
  </si>
  <si>
    <t>2055-06-03T22:14:42.023687Z</t>
  </si>
  <si>
    <t>2055-06-03T23:57:23.101Z</t>
  </si>
  <si>
    <t>2055-06-03T23:39:10.101Z</t>
  </si>
  <si>
    <t>2055-06-03T22:59:04.040106Z</t>
  </si>
  <si>
    <t>2055-06-03T23:10:24.269752Z</t>
  </si>
  <si>
    <t>2055-06-03T22:39:27.457085Z</t>
  </si>
  <si>
    <t>2055-06-03T22:39:37.449494Z</t>
  </si>
  <si>
    <t>2055-06-03T22:52:43.28406Z</t>
  </si>
  <si>
    <t>2055-06-03T18:59:04.040106Z</t>
  </si>
  <si>
    <t>2055-06-03T19:10:24.269752Z</t>
  </si>
  <si>
    <t>2055-06-03T18:39:27.457085Z</t>
  </si>
  <si>
    <t>2055-06-03T18:52:43.28406Z</t>
  </si>
  <si>
    <t>2055-06-11T13:35:07.584341Z</t>
  </si>
  <si>
    <t>2055-06-11T14:22:13.638Z</t>
  </si>
  <si>
    <t>2055-06-11T14:03:20.638Z</t>
  </si>
  <si>
    <t>2055-06-11T14:30:09.549409Z</t>
  </si>
  <si>
    <t>2055-06-11T14:30:21.567074Z</t>
  </si>
  <si>
    <t>2055-06-11T13:38:34.175392Z</t>
  </si>
  <si>
    <t>2055-06-11T13:38:56.524925Z</t>
  </si>
  <si>
    <t>2055-06-11T13:49:58.65649Z</t>
  </si>
  <si>
    <t>2055-06-11T10:30:09.549409Z</t>
  </si>
  <si>
    <t>2055-06-11T10:30:21.567074Z</t>
  </si>
  <si>
    <t>2055-06-11T09:38:34.175392Z</t>
  </si>
  <si>
    <t>2055-06-11T09:49:58.65649Z</t>
  </si>
  <si>
    <t>2055-06-07T22:38:03.587508Z</t>
  </si>
  <si>
    <t>2055-06-07T23:42:25.68Z</t>
  </si>
  <si>
    <t>2055-06-07T23:20:31.68Z</t>
  </si>
  <si>
    <t>2055-06-07T22:59:21.094262Z</t>
  </si>
  <si>
    <t>2055-06-07T23:10:33.145598Z</t>
  </si>
  <si>
    <t>2055-06-07T22:44:47.408083Z</t>
  </si>
  <si>
    <t>2055-06-07T22:44:54.617695Z</t>
  </si>
  <si>
    <t>2055-06-07T22:56:52.429118Z</t>
  </si>
  <si>
    <t>2055-06-07T18:59:21.094262Z</t>
  </si>
  <si>
    <t>2055-06-07T19:10:33.145598Z</t>
  </si>
  <si>
    <t>2055-06-07T18:44:47.408083Z</t>
  </si>
  <si>
    <t>2055-06-07T18:56:52.429118Z</t>
  </si>
  <si>
    <t>2055-06-09T01:22:10.064693Z</t>
  </si>
  <si>
    <t>2055-06-09T02:12:11.119Z</t>
  </si>
  <si>
    <t>2055-06-09T01:58:18.119Z</t>
  </si>
  <si>
    <t>2055-06-09T01:36:42.929042Z</t>
  </si>
  <si>
    <t>2055-06-09T01:50:04.498515Z</t>
  </si>
  <si>
    <t>2055-06-09T01:25:14.840275Z</t>
  </si>
  <si>
    <t>2055-06-09T01:25:28.712228Z</t>
  </si>
  <si>
    <t>2055-06-09T01:36:16.376195Z</t>
  </si>
  <si>
    <t>2055-06-08T21:36:42.929042Z</t>
  </si>
  <si>
    <t>2055-06-08T21:50:04.498515Z</t>
  </si>
  <si>
    <t>2055-06-08T21:25:14.840275Z</t>
  </si>
  <si>
    <t>2055-06-08T21:36:16.376195Z</t>
  </si>
  <si>
    <t>2055-06-10T16:22:53.444335Z</t>
  </si>
  <si>
    <t>2055-06-10T17:17:43.507Z</t>
  </si>
  <si>
    <t>2055-06-10T16:58:50.507Z</t>
  </si>
  <si>
    <t>2055-06-10T16:31:54.074739Z</t>
  </si>
  <si>
    <t>2055-06-10T16:39:57.393127Z</t>
  </si>
  <si>
    <t>2055-06-10T16:23:14.644774Z</t>
  </si>
  <si>
    <t>2055-06-10T16:23:31.730476Z</t>
  </si>
  <si>
    <t>2055-06-10T16:26:40.611316Z</t>
  </si>
  <si>
    <t>2055-06-10T12:31:54.074739Z</t>
  </si>
  <si>
    <t>2055-06-10T12:39:57.393127Z</t>
  </si>
  <si>
    <t>2055-06-10T12:23:14.644774Z</t>
  </si>
  <si>
    <t>2055-06-10T12:26:40.611316Z</t>
  </si>
  <si>
    <t>2055-06-01T22:07:57.188318Z</t>
  </si>
  <si>
    <t>2055-06-01T22:58:47.278Z</t>
  </si>
  <si>
    <t>2055-06-01T22:38:40.278Z</t>
  </si>
  <si>
    <t>2055-06-01T22:21:10.663641Z</t>
  </si>
  <si>
    <t>2055-06-01T22:30:44.472945Z</t>
  </si>
  <si>
    <t>2055-06-01T22:11:14.14067Z</t>
  </si>
  <si>
    <t>2055-06-01T22:11:20.153825Z</t>
  </si>
  <si>
    <t>2055-06-01T22:15:04.571582Z</t>
  </si>
  <si>
    <t>2055-06-01T18:21:10.663641Z</t>
  </si>
  <si>
    <t>2055-06-01T18:30:44.472945Z</t>
  </si>
  <si>
    <t>2055-06-01T18:11:14.14067Z</t>
  </si>
  <si>
    <t>2055-06-01T18:15:04.571582Z</t>
  </si>
  <si>
    <t>2055-06-06T23:26:52.68651Z</t>
  </si>
  <si>
    <t>2055-06-07T00:17:41.76Z</t>
  </si>
  <si>
    <t>2055-06-06T23:58:48.76Z</t>
  </si>
  <si>
    <t>2055-06-06T23:47:17.969466Z</t>
  </si>
  <si>
    <t>2055-06-07T00:00:22.685174Z</t>
  </si>
  <si>
    <t>2055-06-06T23:29:35.029634Z</t>
  </si>
  <si>
    <t>2055-06-06T23:29:56.920495Z</t>
  </si>
  <si>
    <t>2055-06-06T23:37:49.602156Z</t>
  </si>
  <si>
    <t>2055-06-06T19:47:17.969466Z</t>
  </si>
  <si>
    <t>2055-06-06T20:00:22.685174Z</t>
  </si>
  <si>
    <t>2055-06-06T19:29:35.029634Z</t>
  </si>
  <si>
    <t>2055-06-06T19:37:49.602156Z</t>
  </si>
  <si>
    <t>2055-06-02T00:46:59.605636Z</t>
  </si>
  <si>
    <t>2055-06-02T01:41:59.694Z</t>
  </si>
  <si>
    <t>2055-06-02T01:15:49.694Z</t>
  </si>
  <si>
    <t>2055-06-02T00:56:12.842474Z</t>
  </si>
  <si>
    <t>2055-06-02T01:21:42.01266Z</t>
  </si>
  <si>
    <t>2055-06-02T00:47:07.782605Z</t>
  </si>
  <si>
    <t>2055-06-02T00:47:14.373875Z</t>
  </si>
  <si>
    <t>2055-06-02T00:51:49.510301Z</t>
  </si>
  <si>
    <t>2055-06-01T20:56:12.842474Z</t>
  </si>
  <si>
    <t>2055-06-01T21:21:42.01266Z</t>
  </si>
  <si>
    <t>2055-06-01T20:47:07.782605Z</t>
  </si>
  <si>
    <t>2055-06-01T20:51:49.510301Z</t>
  </si>
  <si>
    <t>2055-06-06T16:11:05.062641Z</t>
  </si>
  <si>
    <t>2055-06-06T17:01:05.138Z</t>
  </si>
  <si>
    <t>2055-06-06T16:42:39.138Z</t>
  </si>
  <si>
    <t>2055-06-06T16:38:19.079663Z</t>
  </si>
  <si>
    <t>2055-06-06T16:51:01.67651Z</t>
  </si>
  <si>
    <t>2055-06-06T16:17:27.241506Z</t>
  </si>
  <si>
    <t>2055-06-06T16:17:46.049395Z</t>
  </si>
  <si>
    <t>2055-06-06T16:23:32.544875Z</t>
  </si>
  <si>
    <t>2055-06-06T12:38:19.079663Z</t>
  </si>
  <si>
    <t>2055-06-06T12:51:01.67651Z</t>
  </si>
  <si>
    <t>2055-06-06T12:17:27.241506Z</t>
  </si>
  <si>
    <t>2055-06-06T12:23:32.544875Z</t>
  </si>
  <si>
    <t>2055-06-05T14:23:54.122867Z</t>
  </si>
  <si>
    <t>2055-06-05T17:15:00Z</t>
  </si>
  <si>
    <t>2055-06-05T16:44:59.171845Z</t>
  </si>
  <si>
    <t>2055-06-05T17:19:27.720457Z</t>
  </si>
  <si>
    <t>2055-06-05T16:23:27.358579Z</t>
  </si>
  <si>
    <t>2055-06-05T16:23:38.743993Z</t>
  </si>
  <si>
    <t>2055-06-05T16:34:02.689372Z</t>
  </si>
  <si>
    <t>2055-06-05T12:44:59.171845Z</t>
  </si>
  <si>
    <t>2055-06-05T13:19:27.720457Z</t>
  </si>
  <si>
    <t>2055-06-05T12:23:27.358579Z</t>
  </si>
  <si>
    <t>2055-06-05T12:34:02.689372Z</t>
  </si>
  <si>
    <t>2055-06-08T00:23:39.14595Z</t>
  </si>
  <si>
    <t>2055-06-08T01:19:48.199Z</t>
  </si>
  <si>
    <t>2055-06-08T01:00:55.199Z</t>
  </si>
  <si>
    <t>2055-06-08T00:36:03.291256Z</t>
  </si>
  <si>
    <t>2055-06-08T00:48:23.405628Z</t>
  </si>
  <si>
    <t>2055-06-08T00:23:47.361671Z</t>
  </si>
  <si>
    <t>2055-06-08T00:24:07.748762Z</t>
  </si>
  <si>
    <t>2055-06-08T00:31:14.347196Z</t>
  </si>
  <si>
    <t>2055-06-07T20:36:03.291256Z</t>
  </si>
  <si>
    <t>2055-06-07T20:48:23.405628Z</t>
  </si>
  <si>
    <t>2055-06-07T20:23:47.361671Z</t>
  </si>
  <si>
    <t>2055-06-07T20:31:14.347196Z</t>
  </si>
  <si>
    <t>2055-06-08T18:08:15.508708Z</t>
  </si>
  <si>
    <t>2055-06-08T19:15:08.575Z</t>
  </si>
  <si>
    <t>2055-06-08T19:00:01.575Z</t>
  </si>
  <si>
    <t>2055-06-08T18:29:31.393947Z</t>
  </si>
  <si>
    <t>2055-06-08T18:41:29.494528Z</t>
  </si>
  <si>
    <t>2055-06-08T18:08:27.287731Z</t>
  </si>
  <si>
    <t>2055-06-08T18:08:46.638738Z</t>
  </si>
  <si>
    <t>2055-06-08T18:25:50.940724Z</t>
  </si>
  <si>
    <t>2055-06-08T14:29:31.393947Z</t>
  </si>
  <si>
    <t>2055-06-08T14:41:29.494528Z</t>
  </si>
  <si>
    <t>2055-06-08T14:08:27.287731Z</t>
  </si>
  <si>
    <t>2055-06-08T14:25:50.940724Z</t>
  </si>
  <si>
    <t>2055-06-07T18:46:32.582857Z</t>
  </si>
  <si>
    <t>2055-06-07T19:51:03.675Z</t>
  </si>
  <si>
    <t>2055-06-07T19:27:45.675Z</t>
  </si>
  <si>
    <t>2055-06-07T19:08:08.237975Z</t>
  </si>
  <si>
    <t>2055-06-07T19:32:54.612804Z</t>
  </si>
  <si>
    <t>2055-06-07T18:59:54.560922Z</t>
  </si>
  <si>
    <t>2055-06-07T19:00:08.107414Z</t>
  </si>
  <si>
    <t>2055-06-07T19:01:07.055094Z</t>
  </si>
  <si>
    <t>2055-06-07T15:08:08.237975Z</t>
  </si>
  <si>
    <t>2055-06-07T15:32:54.612804Z</t>
  </si>
  <si>
    <t>2055-06-07T14:59:54.560922Z</t>
  </si>
  <si>
    <t>2055-06-07T15:01:07.055094Z</t>
  </si>
  <si>
    <t>2055-06-12T14:35:41.18583Z</t>
  </si>
  <si>
    <t>2055-06-12T15:16:53.24Z</t>
  </si>
  <si>
    <t>2055-06-12T15:02:14.24Z</t>
  </si>
  <si>
    <t>2055-06-12T14:49:37.363754Z</t>
  </si>
  <si>
    <t>2055-06-12T14:55:17.930915Z</t>
  </si>
  <si>
    <t>2055-06-12T14:35:54.069172Z</t>
  </si>
  <si>
    <t>2055-06-12T14:36:08.124615Z</t>
  </si>
  <si>
    <t>2055-06-12T14:40:50.16792Z</t>
  </si>
  <si>
    <t>2055-06-12T10:49:37.363754Z</t>
  </si>
  <si>
    <t>2055-06-12T10:55:17.930915Z</t>
  </si>
  <si>
    <t>2055-06-12T10:35:54.069172Z</t>
  </si>
  <si>
    <t>2055-06-12T10:40:50.16792Z</t>
  </si>
  <si>
    <t>2055-06-04T21:59:25.618422Z</t>
  </si>
  <si>
    <t>2055-06-04T22:31:32.678Z</t>
  </si>
  <si>
    <t>2055-06-04T22:22:39.678Z</t>
  </si>
  <si>
    <t>2055-06-04T22:10:49.463316Z</t>
  </si>
  <si>
    <t>2055-06-04T22:20:01.91182Z</t>
  </si>
  <si>
    <t>2055-06-04T22:03:14.232062Z</t>
  </si>
  <si>
    <t>2055-06-04T22:03:28.029533Z</t>
  </si>
  <si>
    <t>2055-06-04T22:10:54.527607Z</t>
  </si>
  <si>
    <t>2055-06-04T18:10:49.463316Z</t>
  </si>
  <si>
    <t>2055-06-04T18:20:01.91182Z</t>
  </si>
  <si>
    <t>2055-06-04T18:03:14.232062Z</t>
  </si>
  <si>
    <t>2055-06-04T18:10:54.527607Z</t>
  </si>
  <si>
    <t>2055-06-07T19:17:36.38643Z</t>
  </si>
  <si>
    <t>2055-06-07T20:20:41.508Z</t>
  </si>
  <si>
    <t>2055-06-07T20:06:48.508Z</t>
  </si>
  <si>
    <t>2055-06-07T19:35:06.306194Z</t>
  </si>
  <si>
    <t>2055-06-07T19:46:44.715968Z</t>
  </si>
  <si>
    <t>2055-06-07T19:17:47.344265Z</t>
  </si>
  <si>
    <t>2055-06-07T19:18:11.163831Z</t>
  </si>
  <si>
    <t>2055-06-07T19:32:56.67514Z</t>
  </si>
  <si>
    <t>2055-06-07T15:35:06.306194Z</t>
  </si>
  <si>
    <t>2055-06-07T15:46:44.715968Z</t>
  </si>
  <si>
    <t>2055-06-07T15:17:47.344265Z</t>
  </si>
  <si>
    <t>2055-06-07T15:32:56.67514Z</t>
  </si>
  <si>
    <t>2055-06-06T00:41:57.24455Z</t>
  </si>
  <si>
    <t>2055-06-06T02:02:23.319Z</t>
  </si>
  <si>
    <t>2055-06-06T01:40:29.319Z</t>
  </si>
  <si>
    <t>2055-06-06T01:19:34.895775Z</t>
  </si>
  <si>
    <t>2055-06-06T01:36:16.140182Z</t>
  </si>
  <si>
    <t>2055-06-06T00:59:27.456603Z</t>
  </si>
  <si>
    <t>2055-06-06T00:59:37.287305Z</t>
  </si>
  <si>
    <t>2055-06-06T01:07:16.92293Z</t>
  </si>
  <si>
    <t>2055-06-05T21:19:34.895775Z</t>
  </si>
  <si>
    <t>2055-06-05T21:36:16.140182Z</t>
  </si>
  <si>
    <t>2055-06-05T20:59:27.456603Z</t>
  </si>
  <si>
    <t>2055-06-05T21:07:16.92293Z</t>
  </si>
  <si>
    <t>2055-06-03T16:23:33.828316Z</t>
  </si>
  <si>
    <t>2055-06-03T17:23:21.903Z</t>
  </si>
  <si>
    <t>2055-06-03T17:01:27.903Z</t>
  </si>
  <si>
    <t>2055-06-03T16:53:08.03931Z</t>
  </si>
  <si>
    <t>2055-06-03T17:01:00.719568Z</t>
  </si>
  <si>
    <t>2055-06-03T16:28:47.391164Z</t>
  </si>
  <si>
    <t>2055-06-03T16:28:57.128136Z</t>
  </si>
  <si>
    <t>2055-06-03T16:40:20.943929Z</t>
  </si>
  <si>
    <t>2055-06-03T12:53:08.03931Z</t>
  </si>
  <si>
    <t>2055-06-03T13:01:00.719568Z</t>
  </si>
  <si>
    <t>2055-06-03T12:28:47.391164Z</t>
  </si>
  <si>
    <t>2055-06-03T12:40:20.943929Z</t>
  </si>
  <si>
    <t>2055-06-03T13:58:17.272437Z</t>
  </si>
  <si>
    <t>2055-06-03T14:43:37.348Z</t>
  </si>
  <si>
    <t>2055-06-03T14:24:44.348Z</t>
  </si>
  <si>
    <t>2055-06-03T14:24:31.598206Z</t>
  </si>
  <si>
    <t>2055-06-03T14:31:48.536901Z</t>
  </si>
  <si>
    <t>2055-06-03T14:00:34.066837Z</t>
  </si>
  <si>
    <t>2055-06-03T14:00:39.590787Z</t>
  </si>
  <si>
    <t>2055-06-03T14:11:10.793665Z</t>
  </si>
  <si>
    <t>2055-06-03T10:24:31.598206Z</t>
  </si>
  <si>
    <t>2055-06-03T10:31:48.536901Z</t>
  </si>
  <si>
    <t>2055-06-03T10:00:34.066837Z</t>
  </si>
  <si>
    <t>2055-06-03T10:11:10.793665Z</t>
  </si>
  <si>
    <t>2055-06-08T13:25:42.36592Z</t>
  </si>
  <si>
    <t>2055-06-08T14:11:40.499Z</t>
  </si>
  <si>
    <t>2055-06-08T14:03:22.499Z</t>
  </si>
  <si>
    <t>2055-06-08T14:06:24.342125Z</t>
  </si>
  <si>
    <t>2055-06-08T14:22:07.363469Z</t>
  </si>
  <si>
    <t>2055-06-08T13:50:34.054291Z</t>
  </si>
  <si>
    <t>2055-06-08T13:50:53.556514Z</t>
  </si>
  <si>
    <t>2055-06-08T14:06:27.134238Z</t>
  </si>
  <si>
    <t>2055-06-08T10:06:24.342125Z</t>
  </si>
  <si>
    <t>2055-06-08T10:22:07.363469Z</t>
  </si>
  <si>
    <t>2055-06-08T09:50:34.054291Z</t>
  </si>
  <si>
    <t>2055-06-08T10:06:27.134238Z</t>
  </si>
  <si>
    <t>2055-06-07T19:17:17.85693Z</t>
  </si>
  <si>
    <t>2055-06-07T19:57:17.928Z</t>
  </si>
  <si>
    <t>2055-06-07T19:46:57.928Z</t>
  </si>
  <si>
    <t>2055-06-07T19:57:40.315969Z</t>
  </si>
  <si>
    <t>2055-06-07T20:03:12.489268Z</t>
  </si>
  <si>
    <t>2055-06-07T19:35:27.275918Z</t>
  </si>
  <si>
    <t>2055-06-07T19:36:16.185454Z</t>
  </si>
  <si>
    <t>2055-06-07T15:57:40.315969Z</t>
  </si>
  <si>
    <t>2055-06-07T16:03:12.489268Z</t>
  </si>
  <si>
    <t>2055-06-07T15:35:27.275918Z</t>
  </si>
  <si>
    <t>2055-06-13T00:37:24.922566Z</t>
  </si>
  <si>
    <t>2055-06-13T01:33:12.976Z</t>
  </si>
  <si>
    <t>2055-06-13T01:26:18.976Z</t>
  </si>
  <si>
    <t>2055-06-13T00:56:54.026612Z</t>
  </si>
  <si>
    <t>2055-06-13T01:09:24.295264Z</t>
  </si>
  <si>
    <t>2055-06-13T00:39:35.564964Z</t>
  </si>
  <si>
    <t>2055-06-13T00:39:47.260422Z</t>
  </si>
  <si>
    <t>2055-06-13T00:48:46.9942Z</t>
  </si>
  <si>
    <t>2055-06-12T20:56:54.026612Z</t>
  </si>
  <si>
    <t>2055-06-12T21:09:24.295264Z</t>
  </si>
  <si>
    <t>2055-06-12T20:39:35.564964Z</t>
  </si>
  <si>
    <t>2055-06-12T20:48:46.9942Z</t>
  </si>
  <si>
    <t>2055-06-03T00:58:57.214579Z</t>
  </si>
  <si>
    <t>2055-06-03T02:14:53.285Z</t>
  </si>
  <si>
    <t>2055-06-03T01:55:14.285Z</t>
  </si>
  <si>
    <t>2055-06-03T01:29:59.356394Z</t>
  </si>
  <si>
    <t>2055-06-03T01:53:57.348312Z</t>
  </si>
  <si>
    <t>2055-06-03T01:12:29.805842Z</t>
  </si>
  <si>
    <t>2055-06-03T01:12:36.644172Z</t>
  </si>
  <si>
    <t>2055-06-03T01:24:59.825791Z</t>
  </si>
  <si>
    <t>2055-06-02T21:29:59.356394Z</t>
  </si>
  <si>
    <t>2055-06-02T21:53:57.348312Z</t>
  </si>
  <si>
    <t>2055-06-02T21:12:29.805842Z</t>
  </si>
  <si>
    <t>2055-06-02T21:24:59.825791Z</t>
  </si>
  <si>
    <t>2055-06-07T11:51:10.897946Z</t>
  </si>
  <si>
    <t>2055-06-07T14:30:00Z</t>
  </si>
  <si>
    <t>2055-06-07T13:54:32.538104Z</t>
  </si>
  <si>
    <t>2055-06-07T14:15:41.621121Z</t>
  </si>
  <si>
    <t>2055-06-07T13:30:54.099175Z</t>
  </si>
  <si>
    <t>2055-06-07T13:31:03.103562Z</t>
  </si>
  <si>
    <t>2055-06-07T13:45:57.315976Z</t>
  </si>
  <si>
    <t>2055-06-07T09:54:32.538104Z</t>
  </si>
  <si>
    <t>2055-06-07T10:15:41.621121Z</t>
  </si>
  <si>
    <t>2055-06-07T09:30:54.099175Z</t>
  </si>
  <si>
    <t>2055-06-07T09:45:57.315976Z</t>
  </si>
  <si>
    <t>2055-06-05T19:46:51.118493Z</t>
  </si>
  <si>
    <t>2055-06-05T20:44:46.192Z</t>
  </si>
  <si>
    <t>2055-06-05T20:29:39.192Z</t>
  </si>
  <si>
    <t>2055-06-05T20:16:58.245985Z</t>
  </si>
  <si>
    <t>2055-06-05T20:26:48.805173Z</t>
  </si>
  <si>
    <t>2055-06-05T20:00:07.396111Z</t>
  </si>
  <si>
    <t>2055-06-05T20:00:14.138266Z</t>
  </si>
  <si>
    <t>2055-06-05T20:10:35.832429Z</t>
  </si>
  <si>
    <t>2055-06-05T16:16:58.245985Z</t>
  </si>
  <si>
    <t>2055-06-05T16:26:48.805173Z</t>
  </si>
  <si>
    <t>2055-06-05T16:00:07.396111Z</t>
  </si>
  <si>
    <t>2055-06-05T16:10:35.832429Z</t>
  </si>
  <si>
    <t>Metric</t>
  </si>
  <si>
    <t>Value</t>
  </si>
  <si>
    <t>Total Deliveries</t>
  </si>
  <si>
    <t>Unique Dashers</t>
  </si>
  <si>
    <t>Dashattan Deliveries</t>
  </si>
  <si>
    <t>Doorlanta Deliveries</t>
  </si>
  <si>
    <t>Avg Composite Score</t>
  </si>
  <si>
    <t>Median Composite Score</t>
  </si>
  <si>
    <t>Min Composite Score</t>
  </si>
  <si>
    <t>Max Composite Score</t>
  </si>
  <si>
    <t>Avg Wait (min)</t>
  </si>
  <si>
    <t>Median Wait (min)</t>
  </si>
  <si>
    <t>Avg Delivery (min)</t>
  </si>
  <si>
    <t>Median Delivery (min)</t>
  </si>
  <si>
    <t>Deliveries with On‑Time Data</t>
  </si>
  <si>
    <t>Avg On‑Time % (where known)</t>
  </si>
  <si>
    <t>Fraud Rate (%)</t>
  </si>
  <si>
    <t>Batch Rate (%)</t>
  </si>
  <si>
    <t>Avg Items/Order</t>
  </si>
  <si>
    <t>Excellent Dashers (Score≥4.5)</t>
  </si>
  <si>
    <t>Good Dashers (4–4.5)</t>
  </si>
  <si>
    <t>Average Dashers (3–4)</t>
  </si>
  <si>
    <t>Poor Dashers (&lt;3)</t>
  </si>
  <si>
    <t>CITY</t>
  </si>
  <si>
    <t>TOTAL_DELIVERIES</t>
  </si>
  <si>
    <t>AVG_COMPOSITE</t>
  </si>
  <si>
    <t>Delivery_Count</t>
  </si>
  <si>
    <t>LATE_DELIVERIES</t>
  </si>
  <si>
    <t>ON_TIME_DELIVERIES</t>
  </si>
  <si>
    <t>EARLY_DELIVERIES</t>
  </si>
  <si>
    <t>AVG_RATING</t>
  </si>
  <si>
    <t>Number of ratings</t>
  </si>
  <si>
    <t>Sum of order values</t>
  </si>
  <si>
    <t xml:space="preserve">Sum of items </t>
  </si>
  <si>
    <t>AVG_CONFIRM_TO_DELIVER_MIN</t>
  </si>
  <si>
    <t>AVG_DASHER_TO_RESTAURANT_MIN</t>
  </si>
  <si>
    <t>AVG_DASHER_WAIT_MIN</t>
  </si>
  <si>
    <t>AVG_RESTAURANT_TO_CUSTOMER_MIN</t>
  </si>
  <si>
    <t>Norm_Total_Deliveries</t>
  </si>
  <si>
    <t>Norm_Five_Stars</t>
  </si>
  <si>
    <t>Norm_On_Time</t>
  </si>
  <si>
    <t>Norm_Composite</t>
  </si>
  <si>
    <t>Profile Score</t>
  </si>
  <si>
    <t>Profile Rank</t>
  </si>
  <si>
    <t>On-Time Rate</t>
  </si>
  <si>
    <t>Rating Score</t>
  </si>
  <si>
    <t>Speed Score</t>
  </si>
  <si>
    <t>Performance Score</t>
  </si>
  <si>
    <t>Rank</t>
  </si>
  <si>
    <t>vehicle</t>
  </si>
  <si>
    <t>total order</t>
  </si>
  <si>
    <t>city</t>
  </si>
  <si>
    <t>Total Order</t>
  </si>
  <si>
    <t>profile rank</t>
  </si>
  <si>
    <t>current performence rank</t>
  </si>
  <si>
    <t>DASHERS</t>
  </si>
  <si>
    <t>PROFILE RANK</t>
  </si>
  <si>
    <t xml:space="preserve">op 10 dashers from Doorlanta
</t>
  </si>
  <si>
    <t>Top 10 dashers from Dashattan</t>
  </si>
  <si>
    <t>TOP 10</t>
  </si>
  <si>
    <t>Vehicle</t>
  </si>
  <si>
    <t>Count</t>
  </si>
  <si>
    <t>Avg Widget Score</t>
  </si>
  <si>
    <t>Avg Delivery/Min</t>
  </si>
  <si>
    <t>Avg Rating</t>
  </si>
  <si>
    <t>Car</t>
  </si>
  <si>
    <t>Bicycle</t>
  </si>
  <si>
    <t>wait time in minutes</t>
  </si>
  <si>
    <t>frequency</t>
  </si>
  <si>
    <t>count</t>
  </si>
  <si>
    <t>mean</t>
  </si>
  <si>
    <t>std</t>
  </si>
  <si>
    <t>min</t>
  </si>
  <si>
    <t>max</t>
  </si>
  <si>
    <t>City</t>
  </si>
  <si>
    <t>Avg_OnTime_Rate_Percent</t>
  </si>
  <si>
    <t>Performance_Tier</t>
  </si>
  <si>
    <t>Percentage</t>
  </si>
  <si>
    <t>Good</t>
  </si>
  <si>
    <t>Excellent</t>
  </si>
  <si>
    <t>Average</t>
  </si>
  <si>
    <t>Poor</t>
  </si>
  <si>
    <t>WIDGET_SCORE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</si>
</sst>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"/>
  </numFmts>
  <fonts count="5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Monospace"/>
    </font>
    <font>
      <sz val="12"/>
      <color theme="1"/>
      <name val="Quote-cjk-patch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/>
    <xf numFmtId="0" fontId="1" fillId="0" borderId="0" xfId="0" applyFont="1" applyAlignment="1">
      <alignment horizontal="right"/>
    </xf>
    <xf numFmtId="0" fontId="4" fillId="0" borderId="1" xfId="0" applyFont="1" applyBorder="1"/>
    <xf numFmtId="9" fontId="2" fillId="0" borderId="0" xfId="0" applyNumberFormat="1" applyFont="1"/>
  </cellXfs>
  <cellStyles count="1">
    <cellStyle name="Normal" xfId="0" builtinId="0"/>
  </cellStyles>
  <dxfs count="9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D9D4"/>
          <bgColor rgb="FFCC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2">
    <tableStyle name="Summary_Stats-style" pivot="0" count="4" xr9:uid="{00000000-0011-0000-FFFF-FFFF00000000}">
      <tableStyleElement type="wholeTable" size="0" dxfId="8"/>
      <tableStyleElement type="headerRow" dxfId="7"/>
      <tableStyleElement type="firstRowStripe" dxfId="6"/>
      <tableStyleElement type="secondRowStripe" dxfId="5"/>
    </tableStyle>
    <tableStyle name="Unique_Dashers-style" pivot="0" count="5" xr9:uid="{00000000-0011-0000-FFFF-FFFF01000000}">
      <tableStyleElement type="wholeTable" size="0" dxfId="4"/>
      <tableStyleElement type="headerRow" dxfId="3"/>
      <tableStyleElement type="total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Delivery_Count vs. NUM_FIVE_STARS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Unique_Dashers!$H$1</c:f>
              <c:strCache>
                <c:ptCount val="1"/>
                <c:pt idx="0">
                  <c:v>Delivery_Count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Unique_Dashers!$E$2:$E$55</c:f>
              <c:numCache>
                <c:formatCode>General</c:formatCode>
                <c:ptCount val="54"/>
                <c:pt idx="0">
                  <c:v>1261</c:v>
                </c:pt>
                <c:pt idx="1">
                  <c:v>457</c:v>
                </c:pt>
                <c:pt idx="2">
                  <c:v>174</c:v>
                </c:pt>
                <c:pt idx="3">
                  <c:v>505</c:v>
                </c:pt>
                <c:pt idx="4">
                  <c:v>269</c:v>
                </c:pt>
                <c:pt idx="5">
                  <c:v>1778</c:v>
                </c:pt>
                <c:pt idx="6">
                  <c:v>349</c:v>
                </c:pt>
                <c:pt idx="7">
                  <c:v>43</c:v>
                </c:pt>
                <c:pt idx="8">
                  <c:v>1551</c:v>
                </c:pt>
                <c:pt idx="9">
                  <c:v>161</c:v>
                </c:pt>
                <c:pt idx="10">
                  <c:v>59</c:v>
                </c:pt>
                <c:pt idx="11">
                  <c:v>1396</c:v>
                </c:pt>
                <c:pt idx="12">
                  <c:v>765</c:v>
                </c:pt>
                <c:pt idx="13">
                  <c:v>2315</c:v>
                </c:pt>
                <c:pt idx="14">
                  <c:v>183</c:v>
                </c:pt>
                <c:pt idx="15">
                  <c:v>2229</c:v>
                </c:pt>
                <c:pt idx="16">
                  <c:v>426</c:v>
                </c:pt>
                <c:pt idx="17">
                  <c:v>344</c:v>
                </c:pt>
                <c:pt idx="18">
                  <c:v>254</c:v>
                </c:pt>
                <c:pt idx="19">
                  <c:v>272</c:v>
                </c:pt>
                <c:pt idx="20">
                  <c:v>212</c:v>
                </c:pt>
                <c:pt idx="21">
                  <c:v>259</c:v>
                </c:pt>
                <c:pt idx="22">
                  <c:v>241</c:v>
                </c:pt>
                <c:pt idx="23">
                  <c:v>443</c:v>
                </c:pt>
                <c:pt idx="24">
                  <c:v>196</c:v>
                </c:pt>
                <c:pt idx="25">
                  <c:v>292</c:v>
                </c:pt>
                <c:pt idx="26">
                  <c:v>141</c:v>
                </c:pt>
                <c:pt idx="27">
                  <c:v>89</c:v>
                </c:pt>
                <c:pt idx="28">
                  <c:v>62</c:v>
                </c:pt>
                <c:pt idx="29">
                  <c:v>148</c:v>
                </c:pt>
                <c:pt idx="30">
                  <c:v>679</c:v>
                </c:pt>
                <c:pt idx="31">
                  <c:v>55</c:v>
                </c:pt>
                <c:pt idx="32">
                  <c:v>234</c:v>
                </c:pt>
                <c:pt idx="33">
                  <c:v>1007</c:v>
                </c:pt>
                <c:pt idx="34">
                  <c:v>68</c:v>
                </c:pt>
                <c:pt idx="35">
                  <c:v>394</c:v>
                </c:pt>
                <c:pt idx="36">
                  <c:v>59</c:v>
                </c:pt>
                <c:pt idx="37">
                  <c:v>148</c:v>
                </c:pt>
                <c:pt idx="38">
                  <c:v>242</c:v>
                </c:pt>
                <c:pt idx="39">
                  <c:v>747</c:v>
                </c:pt>
                <c:pt idx="40">
                  <c:v>265</c:v>
                </c:pt>
                <c:pt idx="41">
                  <c:v>62</c:v>
                </c:pt>
                <c:pt idx="42">
                  <c:v>6</c:v>
                </c:pt>
                <c:pt idx="43">
                  <c:v>78</c:v>
                </c:pt>
                <c:pt idx="44">
                  <c:v>79</c:v>
                </c:pt>
                <c:pt idx="45">
                  <c:v>17</c:v>
                </c:pt>
                <c:pt idx="46">
                  <c:v>141</c:v>
                </c:pt>
                <c:pt idx="47">
                  <c:v>80</c:v>
                </c:pt>
                <c:pt idx="48">
                  <c:v>24</c:v>
                </c:pt>
                <c:pt idx="49">
                  <c:v>213</c:v>
                </c:pt>
                <c:pt idx="50">
                  <c:v>59</c:v>
                </c:pt>
                <c:pt idx="51">
                  <c:v>43</c:v>
                </c:pt>
                <c:pt idx="52">
                  <c:v>77</c:v>
                </c:pt>
                <c:pt idx="53">
                  <c:v>14</c:v>
                </c:pt>
              </c:numCache>
            </c:numRef>
          </c:xVal>
          <c:yVal>
            <c:numRef>
              <c:f>Unique_Dashers!$H$2:$H$56</c:f>
              <c:numCache>
                <c:formatCode>General</c:formatCode>
                <c:ptCount val="55"/>
                <c:pt idx="0">
                  <c:v>64</c:v>
                </c:pt>
                <c:pt idx="1">
                  <c:v>75</c:v>
                </c:pt>
                <c:pt idx="2">
                  <c:v>22</c:v>
                </c:pt>
                <c:pt idx="3">
                  <c:v>48</c:v>
                </c:pt>
                <c:pt idx="4">
                  <c:v>7</c:v>
                </c:pt>
                <c:pt idx="5">
                  <c:v>50</c:v>
                </c:pt>
                <c:pt idx="6">
                  <c:v>6</c:v>
                </c:pt>
                <c:pt idx="7">
                  <c:v>3</c:v>
                </c:pt>
                <c:pt idx="8">
                  <c:v>19</c:v>
                </c:pt>
                <c:pt idx="9">
                  <c:v>16</c:v>
                </c:pt>
                <c:pt idx="10">
                  <c:v>5</c:v>
                </c:pt>
                <c:pt idx="11">
                  <c:v>17</c:v>
                </c:pt>
                <c:pt idx="12">
                  <c:v>26</c:v>
                </c:pt>
                <c:pt idx="13">
                  <c:v>72</c:v>
                </c:pt>
                <c:pt idx="14">
                  <c:v>49</c:v>
                </c:pt>
                <c:pt idx="15">
                  <c:v>143</c:v>
                </c:pt>
                <c:pt idx="16">
                  <c:v>21</c:v>
                </c:pt>
                <c:pt idx="17">
                  <c:v>34</c:v>
                </c:pt>
                <c:pt idx="18">
                  <c:v>68</c:v>
                </c:pt>
                <c:pt idx="19">
                  <c:v>13</c:v>
                </c:pt>
                <c:pt idx="20">
                  <c:v>26</c:v>
                </c:pt>
                <c:pt idx="21">
                  <c:v>82</c:v>
                </c:pt>
                <c:pt idx="22">
                  <c:v>9</c:v>
                </c:pt>
                <c:pt idx="23">
                  <c:v>43</c:v>
                </c:pt>
                <c:pt idx="24">
                  <c:v>34</c:v>
                </c:pt>
                <c:pt idx="25">
                  <c:v>32</c:v>
                </c:pt>
                <c:pt idx="26">
                  <c:v>3</c:v>
                </c:pt>
                <c:pt idx="27">
                  <c:v>6</c:v>
                </c:pt>
                <c:pt idx="28">
                  <c:v>3</c:v>
                </c:pt>
                <c:pt idx="29">
                  <c:v>8</c:v>
                </c:pt>
                <c:pt idx="30">
                  <c:v>19</c:v>
                </c:pt>
                <c:pt idx="31">
                  <c:v>8</c:v>
                </c:pt>
                <c:pt idx="32">
                  <c:v>11</c:v>
                </c:pt>
                <c:pt idx="33">
                  <c:v>42</c:v>
                </c:pt>
                <c:pt idx="34">
                  <c:v>20</c:v>
                </c:pt>
                <c:pt idx="35">
                  <c:v>8</c:v>
                </c:pt>
                <c:pt idx="36">
                  <c:v>5</c:v>
                </c:pt>
                <c:pt idx="37">
                  <c:v>1</c:v>
                </c:pt>
                <c:pt idx="38">
                  <c:v>27</c:v>
                </c:pt>
                <c:pt idx="39">
                  <c:v>3</c:v>
                </c:pt>
                <c:pt idx="40">
                  <c:v>6</c:v>
                </c:pt>
                <c:pt idx="41">
                  <c:v>10</c:v>
                </c:pt>
                <c:pt idx="42">
                  <c:v>3</c:v>
                </c:pt>
                <c:pt idx="43">
                  <c:v>10</c:v>
                </c:pt>
                <c:pt idx="44">
                  <c:v>3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3</c:v>
                </c:pt>
                <c:pt idx="49">
                  <c:v>4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3CE-2943-93B7-56B170D29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8966419"/>
        <c:axId val="902694937"/>
      </c:scatterChart>
      <c:valAx>
        <c:axId val="38896641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NUM_FIVE_STARS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02694937"/>
        <c:crosses val="autoZero"/>
        <c:crossBetween val="midCat"/>
      </c:valAx>
      <c:valAx>
        <c:axId val="90269493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Delivery_Count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388966419"/>
        <c:crosses val="autoZero"/>
        <c:crossBetween val="midCat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order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Sheet12!$B$1</c:f>
              <c:strCache>
                <c:ptCount val="1"/>
                <c:pt idx="0">
                  <c:v>total order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A9AB-9144-BAD2-E79FEAEEB127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A9AB-9144-BAD2-E79FEAEEB127}"/>
              </c:ext>
            </c:extLst>
          </c:dPt>
          <c:cat>
            <c:numRef>
              <c:f>Sheet12!$A$2:$A$3</c:f>
              <c:numCache>
                <c:formatCode>@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Sheet12!$B$2:$B$3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9AB-9144-BAD2-E79FEAEEB1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order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Sheet12!$E$1</c:f>
              <c:strCache>
                <c:ptCount val="1"/>
                <c:pt idx="0">
                  <c:v>total order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E258-2E40-A017-B0ACDE28B64D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E258-2E40-A017-B0ACDE28B64D}"/>
              </c:ext>
            </c:extLst>
          </c:dPt>
          <c:cat>
            <c:numRef>
              <c:f>Sheet12!$D$2:$D$3</c:f>
              <c:numCache>
                <c:formatCode>@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Sheet12!$E$2:$E$3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258-2E40-A017-B0ACDE28B6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order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Sheet12!$I$1</c:f>
              <c:strCache>
                <c:ptCount val="1"/>
                <c:pt idx="0">
                  <c:v>Total Order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618F-E547-BA2D-5F357B14BBE1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618F-E547-BA2D-5F357B14BBE1}"/>
              </c:ext>
            </c:extLst>
          </c:dPt>
          <c:cat>
            <c:numRef>
              <c:f>Sheet12!$H$2:$H$3</c:f>
              <c:numCache>
                <c:formatCode>@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Sheet12!$I$2:$I$3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18F-E547-BA2D-5F357B14B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order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Sheet12!$L$1</c:f>
              <c:strCache>
                <c:ptCount val="1"/>
                <c:pt idx="0">
                  <c:v>total order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1A79-8C44-A85D-8DA3059A3FCC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1A79-8C44-A85D-8DA3059A3FCC}"/>
              </c:ext>
            </c:extLst>
          </c:dPt>
          <c:cat>
            <c:numRef>
              <c:f>Sheet12!$K$2:$K$3</c:f>
              <c:numCache>
                <c:formatCode>@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cat>
          <c:val>
            <c:numRef>
              <c:f>Sheet12!$L$2:$L$3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A79-8C44-A85D-8DA3059A3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frequency vs. wait time in minutes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Correlation_Analysis!$F$1</c:f>
              <c:strCache>
                <c:ptCount val="1"/>
                <c:pt idx="0">
                  <c:v>frequency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numRef>
              <c:f>Correlation_Analysis!$E$2:$E$40</c:f>
              <c:numCache>
                <c:formatCode>General</c:formatCode>
                <c:ptCount val="39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12</c:v>
                </c:pt>
                <c:pt idx="6">
                  <c:v>14</c:v>
                </c:pt>
                <c:pt idx="7">
                  <c:v>16</c:v>
                </c:pt>
                <c:pt idx="8">
                  <c:v>18</c:v>
                </c:pt>
                <c:pt idx="9">
                  <c:v>20</c:v>
                </c:pt>
                <c:pt idx="10">
                  <c:v>22</c:v>
                </c:pt>
                <c:pt idx="11">
                  <c:v>24</c:v>
                </c:pt>
                <c:pt idx="12">
                  <c:v>26</c:v>
                </c:pt>
                <c:pt idx="13">
                  <c:v>28</c:v>
                </c:pt>
                <c:pt idx="14">
                  <c:v>30</c:v>
                </c:pt>
                <c:pt idx="15">
                  <c:v>32</c:v>
                </c:pt>
                <c:pt idx="16">
                  <c:v>34</c:v>
                </c:pt>
                <c:pt idx="17">
                  <c:v>36</c:v>
                </c:pt>
                <c:pt idx="18">
                  <c:v>38</c:v>
                </c:pt>
                <c:pt idx="19">
                  <c:v>40</c:v>
                </c:pt>
                <c:pt idx="20">
                  <c:v>42</c:v>
                </c:pt>
                <c:pt idx="21">
                  <c:v>44</c:v>
                </c:pt>
                <c:pt idx="22">
                  <c:v>46</c:v>
                </c:pt>
                <c:pt idx="23">
                  <c:v>48</c:v>
                </c:pt>
                <c:pt idx="24">
                  <c:v>50</c:v>
                </c:pt>
                <c:pt idx="25">
                  <c:v>52</c:v>
                </c:pt>
                <c:pt idx="26">
                  <c:v>54</c:v>
                </c:pt>
                <c:pt idx="27">
                  <c:v>56</c:v>
                </c:pt>
                <c:pt idx="28">
                  <c:v>58</c:v>
                </c:pt>
                <c:pt idx="29">
                  <c:v>60</c:v>
                </c:pt>
                <c:pt idx="30">
                  <c:v>62</c:v>
                </c:pt>
                <c:pt idx="31">
                  <c:v>64</c:v>
                </c:pt>
                <c:pt idx="32">
                  <c:v>66</c:v>
                </c:pt>
                <c:pt idx="33">
                  <c:v>68</c:v>
                </c:pt>
                <c:pt idx="34">
                  <c:v>70</c:v>
                </c:pt>
                <c:pt idx="35">
                  <c:v>72</c:v>
                </c:pt>
                <c:pt idx="36">
                  <c:v>74</c:v>
                </c:pt>
                <c:pt idx="37">
                  <c:v>76</c:v>
                </c:pt>
                <c:pt idx="38">
                  <c:v>78</c:v>
                </c:pt>
              </c:numCache>
            </c:numRef>
          </c:cat>
          <c:val>
            <c:numRef>
              <c:f>Correlation_Analysis!$F$2:$F$40</c:f>
              <c:numCache>
                <c:formatCode>General</c:formatCode>
                <c:ptCount val="39"/>
                <c:pt idx="0">
                  <c:v>106</c:v>
                </c:pt>
                <c:pt idx="1">
                  <c:v>181</c:v>
                </c:pt>
                <c:pt idx="2">
                  <c:v>155</c:v>
                </c:pt>
                <c:pt idx="3">
                  <c:v>117</c:v>
                </c:pt>
                <c:pt idx="4">
                  <c:v>82</c:v>
                </c:pt>
                <c:pt idx="5">
                  <c:v>68</c:v>
                </c:pt>
                <c:pt idx="6">
                  <c:v>47</c:v>
                </c:pt>
                <c:pt idx="7">
                  <c:v>54</c:v>
                </c:pt>
                <c:pt idx="8">
                  <c:v>38</c:v>
                </c:pt>
                <c:pt idx="9">
                  <c:v>26</c:v>
                </c:pt>
                <c:pt idx="10">
                  <c:v>21</c:v>
                </c:pt>
                <c:pt idx="11">
                  <c:v>23</c:v>
                </c:pt>
                <c:pt idx="12">
                  <c:v>16</c:v>
                </c:pt>
                <c:pt idx="13">
                  <c:v>9</c:v>
                </c:pt>
                <c:pt idx="14">
                  <c:v>7</c:v>
                </c:pt>
                <c:pt idx="15">
                  <c:v>8</c:v>
                </c:pt>
                <c:pt idx="16">
                  <c:v>11</c:v>
                </c:pt>
                <c:pt idx="17">
                  <c:v>6</c:v>
                </c:pt>
                <c:pt idx="18">
                  <c:v>4</c:v>
                </c:pt>
                <c:pt idx="19">
                  <c:v>2</c:v>
                </c:pt>
                <c:pt idx="20">
                  <c:v>3</c:v>
                </c:pt>
                <c:pt idx="21">
                  <c:v>4</c:v>
                </c:pt>
                <c:pt idx="22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</c:v>
                </c:pt>
                <c:pt idx="31">
                  <c:v>1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</c:v>
                </c:pt>
                <c:pt idx="38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0FF-094F-B629-5A1684B75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9764702"/>
        <c:axId val="1477414115"/>
      </c:barChart>
      <c:catAx>
        <c:axId val="6697647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wait time in minutes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77414115"/>
        <c:crosses val="autoZero"/>
        <c:auto val="1"/>
        <c:lblAlgn val="ctr"/>
        <c:lblOffset val="100"/>
        <c:noMultiLvlLbl val="1"/>
      </c:catAx>
      <c:valAx>
        <c:axId val="147741411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frequency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9764702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Dashattan and Doorlanta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city_comparison!$A$2</c:f>
              <c:strCache>
                <c:ptCount val="1"/>
                <c:pt idx="0">
                  <c:v>Dashattan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city_comparison!$B$1:$F$1</c:f>
              <c:strCache>
                <c:ptCount val="5"/>
                <c:pt idx="0">
                  <c:v>AVG_COMPOSITE</c:v>
                </c:pt>
                <c:pt idx="1">
                  <c:v>AVG_DASHER_WAIT_MIN</c:v>
                </c:pt>
                <c:pt idx="2">
                  <c:v>AVG_RESTAURANT_TO_CUSTOMER_MIN</c:v>
                </c:pt>
                <c:pt idx="3">
                  <c:v>AVG_RATING</c:v>
                </c:pt>
                <c:pt idx="4">
                  <c:v>Number of ratings</c:v>
                </c:pt>
              </c:strCache>
            </c:strRef>
          </c:cat>
          <c:val>
            <c:numRef>
              <c:f>city_comparison!$B$2:$F$2</c:f>
              <c:numCache>
                <c:formatCode>General</c:formatCode>
                <c:ptCount val="5"/>
                <c:pt idx="0">
                  <c:v>4.28</c:v>
                </c:pt>
                <c:pt idx="1">
                  <c:v>9.33</c:v>
                </c:pt>
                <c:pt idx="2">
                  <c:v>17.309999999999999</c:v>
                </c:pt>
                <c:pt idx="3">
                  <c:v>4.03</c:v>
                </c:pt>
                <c:pt idx="4">
                  <c:v>11.12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614-A845-8A52-C2DD7F3D7AFB}"/>
            </c:ext>
          </c:extLst>
        </c:ser>
        <c:ser>
          <c:idx val="1"/>
          <c:order val="1"/>
          <c:tx>
            <c:strRef>
              <c:f>city_comparison!$A$3</c:f>
              <c:strCache>
                <c:ptCount val="1"/>
                <c:pt idx="0">
                  <c:v>Doorlanta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city_comparison!$B$1:$F$1</c:f>
              <c:strCache>
                <c:ptCount val="5"/>
                <c:pt idx="0">
                  <c:v>AVG_COMPOSITE</c:v>
                </c:pt>
                <c:pt idx="1">
                  <c:v>AVG_DASHER_WAIT_MIN</c:v>
                </c:pt>
                <c:pt idx="2">
                  <c:v>AVG_RESTAURANT_TO_CUSTOMER_MIN</c:v>
                </c:pt>
                <c:pt idx="3">
                  <c:v>AVG_RATING</c:v>
                </c:pt>
                <c:pt idx="4">
                  <c:v>Number of ratings</c:v>
                </c:pt>
              </c:strCache>
            </c:strRef>
          </c:cat>
          <c:val>
            <c:numRef>
              <c:f>city_comparison!$B$3:$F$3</c:f>
              <c:numCache>
                <c:formatCode>General</c:formatCode>
                <c:ptCount val="5"/>
                <c:pt idx="0">
                  <c:v>4.32</c:v>
                </c:pt>
                <c:pt idx="1">
                  <c:v>9.83</c:v>
                </c:pt>
                <c:pt idx="2">
                  <c:v>15.21</c:v>
                </c:pt>
                <c:pt idx="3">
                  <c:v>4.54</c:v>
                </c:pt>
                <c:pt idx="4">
                  <c:v>10.57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614-A845-8A52-C2DD7F3D7A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64622523"/>
        <c:axId val="849437441"/>
      </c:barChart>
      <c:catAx>
        <c:axId val="66462252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CITY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49437441"/>
        <c:crosses val="autoZero"/>
        <c:auto val="1"/>
        <c:lblAlgn val="ctr"/>
        <c:lblOffset val="100"/>
        <c:noMultiLvlLbl val="1"/>
      </c:catAx>
      <c:valAx>
        <c:axId val="8494374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64622523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bar"/>
        <c:grouping val="stacked"/>
        <c:varyColors val="1"/>
        <c:ser>
          <c:idx val="0"/>
          <c:order val="0"/>
          <c:tx>
            <c:strRef>
              <c:f>descriptive_statistics!$B$1</c:f>
              <c:strCache>
                <c:ptCount val="1"/>
                <c:pt idx="0">
                  <c:v>AVG_COMPOSITE</c:v>
                </c:pt>
              </c:strCache>
            </c:strRef>
          </c:tx>
          <c:spPr>
            <a:solidFill>
              <a:srgbClr val="4285F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descriptive_statistics!$A$2:$A$9</c:f>
              <c:strCache>
                <c:ptCount val="8"/>
                <c:pt idx="0">
                  <c:v>count</c:v>
                </c:pt>
                <c:pt idx="1">
                  <c:v>mean</c:v>
                </c:pt>
                <c:pt idx="2">
                  <c:v>std</c:v>
                </c:pt>
                <c:pt idx="3">
                  <c:v>min</c:v>
                </c:pt>
                <c:pt idx="4">
                  <c:v>25%</c:v>
                </c:pt>
                <c:pt idx="5">
                  <c:v>50%</c:v>
                </c:pt>
                <c:pt idx="6">
                  <c:v>75%</c:v>
                </c:pt>
                <c:pt idx="7">
                  <c:v>max</c:v>
                </c:pt>
              </c:strCache>
            </c:strRef>
          </c:cat>
          <c:val>
            <c:numRef>
              <c:f>descriptive_statistics!$B$2:$B$9</c:f>
              <c:numCache>
                <c:formatCode>General</c:formatCode>
                <c:ptCount val="8"/>
                <c:pt idx="0">
                  <c:v>54</c:v>
                </c:pt>
                <c:pt idx="1">
                  <c:v>4.3</c:v>
                </c:pt>
                <c:pt idx="2">
                  <c:v>0.5</c:v>
                </c:pt>
                <c:pt idx="3">
                  <c:v>2.72</c:v>
                </c:pt>
                <c:pt idx="4">
                  <c:v>4.22</c:v>
                </c:pt>
                <c:pt idx="5">
                  <c:v>4.5</c:v>
                </c:pt>
                <c:pt idx="6">
                  <c:v>4.5999999999999996</c:v>
                </c:pt>
                <c:pt idx="7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024D-9440-BA5C-EEE5B14901EA}"/>
            </c:ext>
          </c:extLst>
        </c:ser>
        <c:ser>
          <c:idx val="1"/>
          <c:order val="1"/>
          <c:tx>
            <c:strRef>
              <c:f>descriptive_statistics!$C$1</c:f>
              <c:strCache>
                <c:ptCount val="1"/>
                <c:pt idx="0">
                  <c:v>TOTAL_DELIVERIES</c:v>
                </c:pt>
              </c:strCache>
            </c:strRef>
          </c:tx>
          <c:spPr>
            <a:solidFill>
              <a:srgbClr val="EA4335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descriptive_statistics!$A$2:$A$9</c:f>
              <c:strCache>
                <c:ptCount val="8"/>
                <c:pt idx="0">
                  <c:v>count</c:v>
                </c:pt>
                <c:pt idx="1">
                  <c:v>mean</c:v>
                </c:pt>
                <c:pt idx="2">
                  <c:v>std</c:v>
                </c:pt>
                <c:pt idx="3">
                  <c:v>min</c:v>
                </c:pt>
                <c:pt idx="4">
                  <c:v>25%</c:v>
                </c:pt>
                <c:pt idx="5">
                  <c:v>50%</c:v>
                </c:pt>
                <c:pt idx="6">
                  <c:v>75%</c:v>
                </c:pt>
                <c:pt idx="7">
                  <c:v>max</c:v>
                </c:pt>
              </c:strCache>
            </c:strRef>
          </c:cat>
          <c:val>
            <c:numRef>
              <c:f>descriptive_statistics!$C$2:$C$9</c:f>
              <c:numCache>
                <c:formatCode>General</c:formatCode>
                <c:ptCount val="8"/>
                <c:pt idx="0">
                  <c:v>54</c:v>
                </c:pt>
                <c:pt idx="1">
                  <c:v>1253</c:v>
                </c:pt>
                <c:pt idx="2">
                  <c:v>1639.36</c:v>
                </c:pt>
                <c:pt idx="3">
                  <c:v>20</c:v>
                </c:pt>
                <c:pt idx="4">
                  <c:v>233</c:v>
                </c:pt>
                <c:pt idx="5">
                  <c:v>625</c:v>
                </c:pt>
                <c:pt idx="6">
                  <c:v>1358.75</c:v>
                </c:pt>
                <c:pt idx="7">
                  <c:v>7039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024D-9440-BA5C-EEE5B14901EA}"/>
            </c:ext>
          </c:extLst>
        </c:ser>
        <c:ser>
          <c:idx val="2"/>
          <c:order val="2"/>
          <c:tx>
            <c:strRef>
              <c:f>descriptive_statistics!$D$1</c:f>
              <c:strCache>
                <c:ptCount val="1"/>
                <c:pt idx="0">
                  <c:v>NUM_FIVE_STARS</c:v>
                </c:pt>
              </c:strCache>
            </c:strRef>
          </c:tx>
          <c:spPr>
            <a:solidFill>
              <a:srgbClr val="FBBC04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descriptive_statistics!$A$2:$A$9</c:f>
              <c:strCache>
                <c:ptCount val="8"/>
                <c:pt idx="0">
                  <c:v>count</c:v>
                </c:pt>
                <c:pt idx="1">
                  <c:v>mean</c:v>
                </c:pt>
                <c:pt idx="2">
                  <c:v>std</c:v>
                </c:pt>
                <c:pt idx="3">
                  <c:v>min</c:v>
                </c:pt>
                <c:pt idx="4">
                  <c:v>25%</c:v>
                </c:pt>
                <c:pt idx="5">
                  <c:v>50%</c:v>
                </c:pt>
                <c:pt idx="6">
                  <c:v>75%</c:v>
                </c:pt>
                <c:pt idx="7">
                  <c:v>max</c:v>
                </c:pt>
              </c:strCache>
            </c:strRef>
          </c:cat>
          <c:val>
            <c:numRef>
              <c:f>descriptive_statistics!$D$2:$D$9</c:f>
              <c:numCache>
                <c:formatCode>General</c:formatCode>
                <c:ptCount val="8"/>
                <c:pt idx="0">
                  <c:v>54</c:v>
                </c:pt>
                <c:pt idx="1">
                  <c:v>401.2</c:v>
                </c:pt>
                <c:pt idx="2">
                  <c:v>541.95000000000005</c:v>
                </c:pt>
                <c:pt idx="3">
                  <c:v>6</c:v>
                </c:pt>
                <c:pt idx="4">
                  <c:v>77.25</c:v>
                </c:pt>
                <c:pt idx="5">
                  <c:v>212.5</c:v>
                </c:pt>
                <c:pt idx="6">
                  <c:v>418</c:v>
                </c:pt>
                <c:pt idx="7">
                  <c:v>2315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024D-9440-BA5C-EEE5B14901EA}"/>
            </c:ext>
          </c:extLst>
        </c:ser>
        <c:ser>
          <c:idx val="3"/>
          <c:order val="3"/>
          <c:tx>
            <c:strRef>
              <c:f>descriptive_statistics!$E$1</c:f>
              <c:strCache>
                <c:ptCount val="1"/>
                <c:pt idx="0">
                  <c:v>AVG_DASHER_WAIT_MIN</c:v>
                </c:pt>
              </c:strCache>
            </c:strRef>
          </c:tx>
          <c:spPr>
            <a:solidFill>
              <a:srgbClr val="34A853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descriptive_statistics!$A$2:$A$9</c:f>
              <c:strCache>
                <c:ptCount val="8"/>
                <c:pt idx="0">
                  <c:v>count</c:v>
                </c:pt>
                <c:pt idx="1">
                  <c:v>mean</c:v>
                </c:pt>
                <c:pt idx="2">
                  <c:v>std</c:v>
                </c:pt>
                <c:pt idx="3">
                  <c:v>min</c:v>
                </c:pt>
                <c:pt idx="4">
                  <c:v>25%</c:v>
                </c:pt>
                <c:pt idx="5">
                  <c:v>50%</c:v>
                </c:pt>
                <c:pt idx="6">
                  <c:v>75%</c:v>
                </c:pt>
                <c:pt idx="7">
                  <c:v>max</c:v>
                </c:pt>
              </c:strCache>
            </c:strRef>
          </c:cat>
          <c:val>
            <c:numRef>
              <c:f>descriptive_statistics!$E$2:$E$9</c:f>
              <c:numCache>
                <c:formatCode>General</c:formatCode>
                <c:ptCount val="8"/>
                <c:pt idx="0">
                  <c:v>54</c:v>
                </c:pt>
                <c:pt idx="1">
                  <c:v>9.61</c:v>
                </c:pt>
                <c:pt idx="2">
                  <c:v>3.48</c:v>
                </c:pt>
                <c:pt idx="3">
                  <c:v>0</c:v>
                </c:pt>
                <c:pt idx="4">
                  <c:v>7.76</c:v>
                </c:pt>
                <c:pt idx="5">
                  <c:v>9.64</c:v>
                </c:pt>
                <c:pt idx="6">
                  <c:v>11.48</c:v>
                </c:pt>
                <c:pt idx="7">
                  <c:v>18.63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024D-9440-BA5C-EEE5B14901EA}"/>
            </c:ext>
          </c:extLst>
        </c:ser>
        <c:ser>
          <c:idx val="4"/>
          <c:order val="4"/>
          <c:tx>
            <c:strRef>
              <c:f>descriptive_statistics!$F$1</c:f>
              <c:strCache>
                <c:ptCount val="1"/>
                <c:pt idx="0">
                  <c:v>AVG_RESTAURANT_TO_CUSTOMER_MIN</c:v>
                </c:pt>
              </c:strCache>
            </c:strRef>
          </c:tx>
          <c:spPr>
            <a:solidFill>
              <a:srgbClr val="FF6D01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descriptive_statistics!$A$2:$A$9</c:f>
              <c:strCache>
                <c:ptCount val="8"/>
                <c:pt idx="0">
                  <c:v>count</c:v>
                </c:pt>
                <c:pt idx="1">
                  <c:v>mean</c:v>
                </c:pt>
                <c:pt idx="2">
                  <c:v>std</c:v>
                </c:pt>
                <c:pt idx="3">
                  <c:v>min</c:v>
                </c:pt>
                <c:pt idx="4">
                  <c:v>25%</c:v>
                </c:pt>
                <c:pt idx="5">
                  <c:v>50%</c:v>
                </c:pt>
                <c:pt idx="6">
                  <c:v>75%</c:v>
                </c:pt>
                <c:pt idx="7">
                  <c:v>max</c:v>
                </c:pt>
              </c:strCache>
            </c:strRef>
          </c:cat>
          <c:val>
            <c:numRef>
              <c:f>descriptive_statistics!$F$2:$F$9</c:f>
              <c:numCache>
                <c:formatCode>General</c:formatCode>
                <c:ptCount val="8"/>
                <c:pt idx="0">
                  <c:v>54</c:v>
                </c:pt>
                <c:pt idx="1">
                  <c:v>16.14</c:v>
                </c:pt>
                <c:pt idx="2">
                  <c:v>6.75</c:v>
                </c:pt>
                <c:pt idx="3">
                  <c:v>5.61</c:v>
                </c:pt>
                <c:pt idx="4">
                  <c:v>12.91</c:v>
                </c:pt>
                <c:pt idx="5">
                  <c:v>15.15</c:v>
                </c:pt>
                <c:pt idx="6">
                  <c:v>16.66</c:v>
                </c:pt>
                <c:pt idx="7">
                  <c:v>49.78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024D-9440-BA5C-EEE5B14901EA}"/>
            </c:ext>
          </c:extLst>
        </c:ser>
        <c:ser>
          <c:idx val="5"/>
          <c:order val="5"/>
          <c:tx>
            <c:strRef>
              <c:f>descriptive_statistics!$G$1</c:f>
              <c:strCache>
                <c:ptCount val="1"/>
                <c:pt idx="0">
                  <c:v>AVG_RATING</c:v>
                </c:pt>
              </c:strCache>
            </c:strRef>
          </c:tx>
          <c:spPr>
            <a:solidFill>
              <a:srgbClr val="46BDC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descriptive_statistics!$A$2:$A$9</c:f>
              <c:strCache>
                <c:ptCount val="8"/>
                <c:pt idx="0">
                  <c:v>count</c:v>
                </c:pt>
                <c:pt idx="1">
                  <c:v>mean</c:v>
                </c:pt>
                <c:pt idx="2">
                  <c:v>std</c:v>
                </c:pt>
                <c:pt idx="3">
                  <c:v>min</c:v>
                </c:pt>
                <c:pt idx="4">
                  <c:v>25%</c:v>
                </c:pt>
                <c:pt idx="5">
                  <c:v>50%</c:v>
                </c:pt>
                <c:pt idx="6">
                  <c:v>75%</c:v>
                </c:pt>
                <c:pt idx="7">
                  <c:v>max</c:v>
                </c:pt>
              </c:strCache>
            </c:strRef>
          </c:cat>
          <c:val>
            <c:numRef>
              <c:f>descriptive_statistics!$G$2:$G$9</c:f>
              <c:numCache>
                <c:formatCode>General</c:formatCode>
                <c:ptCount val="8"/>
                <c:pt idx="0">
                  <c:v>54</c:v>
                </c:pt>
                <c:pt idx="1">
                  <c:v>4.3099999999999996</c:v>
                </c:pt>
                <c:pt idx="2">
                  <c:v>1.1499999999999999</c:v>
                </c:pt>
                <c:pt idx="3">
                  <c:v>0</c:v>
                </c:pt>
                <c:pt idx="4">
                  <c:v>4.2300000000000004</c:v>
                </c:pt>
                <c:pt idx="5">
                  <c:v>4.62</c:v>
                </c:pt>
                <c:pt idx="6">
                  <c:v>5</c:v>
                </c:pt>
                <c:pt idx="7">
                  <c:v>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024D-9440-BA5C-EEE5B14901EA}"/>
            </c:ext>
          </c:extLst>
        </c:ser>
        <c:ser>
          <c:idx val="6"/>
          <c:order val="6"/>
          <c:tx>
            <c:strRef>
              <c:f>descriptive_statistics!$H$1</c:f>
              <c:strCache>
                <c:ptCount val="1"/>
                <c:pt idx="0">
                  <c:v>Number of ratings</c:v>
                </c:pt>
              </c:strCache>
            </c:strRef>
          </c:tx>
          <c:spPr>
            <a:solidFill>
              <a:srgbClr val="D3E2FC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descriptive_statistics!$A$2:$A$9</c:f>
              <c:strCache>
                <c:ptCount val="8"/>
                <c:pt idx="0">
                  <c:v>count</c:v>
                </c:pt>
                <c:pt idx="1">
                  <c:v>mean</c:v>
                </c:pt>
                <c:pt idx="2">
                  <c:v>std</c:v>
                </c:pt>
                <c:pt idx="3">
                  <c:v>min</c:v>
                </c:pt>
                <c:pt idx="4">
                  <c:v>25%</c:v>
                </c:pt>
                <c:pt idx="5">
                  <c:v>50%</c:v>
                </c:pt>
                <c:pt idx="6">
                  <c:v>75%</c:v>
                </c:pt>
                <c:pt idx="7">
                  <c:v>max</c:v>
                </c:pt>
              </c:strCache>
            </c:strRef>
          </c:cat>
          <c:val>
            <c:numRef>
              <c:f>descriptive_statistics!$H$2:$H$9</c:f>
              <c:numCache>
                <c:formatCode>General</c:formatCode>
                <c:ptCount val="8"/>
                <c:pt idx="0">
                  <c:v>54</c:v>
                </c:pt>
                <c:pt idx="1">
                  <c:v>10.81</c:v>
                </c:pt>
                <c:pt idx="2">
                  <c:v>12.48</c:v>
                </c:pt>
                <c:pt idx="3">
                  <c:v>0</c:v>
                </c:pt>
                <c:pt idx="4">
                  <c:v>2</c:v>
                </c:pt>
                <c:pt idx="5">
                  <c:v>6.5</c:v>
                </c:pt>
                <c:pt idx="6">
                  <c:v>13.75</c:v>
                </c:pt>
                <c:pt idx="7">
                  <c:v>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024D-9440-BA5C-EEE5B14901EA}"/>
            </c:ext>
          </c:extLst>
        </c:ser>
        <c:ser>
          <c:idx val="7"/>
          <c:order val="7"/>
          <c:tx>
            <c:strRef>
              <c:f>descriptive_statistics!$I$1</c:f>
              <c:strCache>
                <c:ptCount val="1"/>
                <c:pt idx="0">
                  <c:v>Sum of order values</c:v>
                </c:pt>
              </c:strCache>
            </c:strRef>
          </c:tx>
          <c:spPr>
            <a:solidFill>
              <a:srgbClr val="F8C4C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descriptive_statistics!$A$2:$A$9</c:f>
              <c:strCache>
                <c:ptCount val="8"/>
                <c:pt idx="0">
                  <c:v>count</c:v>
                </c:pt>
                <c:pt idx="1">
                  <c:v>mean</c:v>
                </c:pt>
                <c:pt idx="2">
                  <c:v>std</c:v>
                </c:pt>
                <c:pt idx="3">
                  <c:v>min</c:v>
                </c:pt>
                <c:pt idx="4">
                  <c:v>25%</c:v>
                </c:pt>
                <c:pt idx="5">
                  <c:v>50%</c:v>
                </c:pt>
                <c:pt idx="6">
                  <c:v>75%</c:v>
                </c:pt>
                <c:pt idx="7">
                  <c:v>max</c:v>
                </c:pt>
              </c:strCache>
            </c:strRef>
          </c:cat>
          <c:val>
            <c:numRef>
              <c:f>descriptive_statistics!$I$2:$I$9</c:f>
              <c:numCache>
                <c:formatCode>General</c:formatCode>
                <c:ptCount val="8"/>
                <c:pt idx="0">
                  <c:v>54</c:v>
                </c:pt>
                <c:pt idx="1">
                  <c:v>55180.56</c:v>
                </c:pt>
                <c:pt idx="2">
                  <c:v>67414.559999999998</c:v>
                </c:pt>
                <c:pt idx="3">
                  <c:v>800</c:v>
                </c:pt>
                <c:pt idx="4">
                  <c:v>8575</c:v>
                </c:pt>
                <c:pt idx="5">
                  <c:v>25900</c:v>
                </c:pt>
                <c:pt idx="6">
                  <c:v>77100</c:v>
                </c:pt>
                <c:pt idx="7">
                  <c:v>339150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7-024D-9440-BA5C-EEE5B1490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69569686"/>
        <c:axId val="1692844504"/>
      </c:barChart>
      <c:catAx>
        <c:axId val="156956968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692844504"/>
        <c:crosses val="autoZero"/>
        <c:auto val="1"/>
        <c:lblAlgn val="ctr"/>
        <c:lblOffset val="100"/>
        <c:noMultiLvlLbl val="1"/>
      </c:catAx>
      <c:valAx>
        <c:axId val="16928445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69569686"/>
        <c:crosses val="max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Avg_OnTime_Rate_Percent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ontime_by_city!$B$1</c:f>
              <c:strCache>
                <c:ptCount val="1"/>
                <c:pt idx="0">
                  <c:v>Avg_OnTime_Rate_Percent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</c:spPr>
            <c:extLst>
              <c:ext xmlns:c16="http://schemas.microsoft.com/office/drawing/2014/chart" uri="{C3380CC4-5D6E-409C-BE32-E72D297353CC}">
                <c16:uniqueId val="{00000001-0DA9-1245-9D88-E73F3D3CEE84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</c:spPr>
            <c:extLst>
              <c:ext xmlns:c16="http://schemas.microsoft.com/office/drawing/2014/chart" uri="{C3380CC4-5D6E-409C-BE32-E72D297353CC}">
                <c16:uniqueId val="{00000003-0DA9-1245-9D88-E73F3D3CEE84}"/>
              </c:ext>
            </c:extLst>
          </c:dPt>
          <c:cat>
            <c:strRef>
              <c:f>ontime_by_city!$A$2:$A$3</c:f>
              <c:strCache>
                <c:ptCount val="2"/>
                <c:pt idx="0">
                  <c:v>Dashattan</c:v>
                </c:pt>
                <c:pt idx="1">
                  <c:v>Doorlanta</c:v>
                </c:pt>
              </c:strCache>
            </c:strRef>
          </c:cat>
          <c:val>
            <c:numRef>
              <c:f>ontime_by_city!$B$2:$B$3</c:f>
              <c:numCache>
                <c:formatCode>General</c:formatCode>
                <c:ptCount val="2"/>
                <c:pt idx="0">
                  <c:v>9.6</c:v>
                </c:pt>
                <c:pt idx="1">
                  <c:v>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DA9-1245-9D88-E73F3D3CE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16</xdr:col>
      <xdr:colOff>904875</xdr:colOff>
      <xdr:row>59</xdr:row>
      <xdr:rowOff>28575</xdr:rowOff>
    </xdr:from>
    <xdr:ext cx="5715000" cy="3533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581025</xdr:colOff>
      <xdr:row>32</xdr:row>
      <xdr:rowOff>142875</xdr:rowOff>
    </xdr:from>
    <xdr:ext cx="5715000" cy="3533775"/>
    <xdr:graphicFrame macro="">
      <xdr:nvGraphicFramePr>
        <xdr:cNvPr id="2" name="Chart 2" title="Chart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7</xdr:col>
      <xdr:colOff>200025</xdr:colOff>
      <xdr:row>33</xdr:row>
      <xdr:rowOff>85725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1</xdr:col>
      <xdr:colOff>352425</xdr:colOff>
      <xdr:row>9</xdr:row>
      <xdr:rowOff>38100</xdr:rowOff>
    </xdr:from>
    <xdr:ext cx="5715000" cy="3533775"/>
    <xdr:graphicFrame macro="">
      <xdr:nvGraphicFramePr>
        <xdr:cNvPr id="4" name="Chart 4" title="Chart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7</xdr:col>
      <xdr:colOff>800100</xdr:colOff>
      <xdr:row>10</xdr:row>
      <xdr:rowOff>47625</xdr:rowOff>
    </xdr:from>
    <xdr:ext cx="5715000" cy="3533775"/>
    <xdr:graphicFrame macro="">
      <xdr:nvGraphicFramePr>
        <xdr:cNvPr id="5" name="Chart 5" title="Chart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400050</xdr:colOff>
      <xdr:row>1</xdr:row>
      <xdr:rowOff>9525</xdr:rowOff>
    </xdr:from>
    <xdr:ext cx="5715000" cy="3533775"/>
    <xdr:graphicFrame macro="">
      <xdr:nvGraphicFramePr>
        <xdr:cNvPr id="6" name="Chart 6" title="Chart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10</xdr:row>
      <xdr:rowOff>76200</xdr:rowOff>
    </xdr:from>
    <xdr:ext cx="5915025" cy="3657600"/>
    <xdr:graphicFrame macro="">
      <xdr:nvGraphicFramePr>
        <xdr:cNvPr id="7" name="Chart 7" title="Chart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11</xdr:row>
      <xdr:rowOff>171450</xdr:rowOff>
    </xdr:from>
    <xdr:ext cx="11687175" cy="3200400"/>
    <xdr:pic>
      <xdr:nvPicPr>
        <xdr:cNvPr id="525059172" name="Chart8" title="Chart">
          <a:extLst>
            <a:ext uri="{FF2B5EF4-FFF2-40B4-BE49-F238E27FC236}">
              <a16:creationId xmlns:a16="http://schemas.microsoft.com/office/drawing/2014/main" id="{00000000-0008-0000-0900-000064C44B1F}"/>
            </a:ext>
            <a:ext uri="GoogleSheetsCustomDataVersion1">
              <go:sheetsCustomData xmlns="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 xmlns:go="http://customooxmlschemas.google.com/" pictureOfChart="1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400050</xdr:colOff>
      <xdr:row>15</xdr:row>
      <xdr:rowOff>9525</xdr:rowOff>
    </xdr:from>
    <xdr:ext cx="5715000" cy="3533775"/>
    <xdr:graphicFrame macro="">
      <xdr:nvGraphicFramePr>
        <xdr:cNvPr id="9" name="Chart 9" title="Chart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457200</xdr:colOff>
      <xdr:row>8</xdr:row>
      <xdr:rowOff>95250</xdr:rowOff>
    </xdr:from>
    <xdr:ext cx="5715000" cy="3533775"/>
    <xdr:graphicFrame macro="">
      <xdr:nvGraphicFramePr>
        <xdr:cNvPr id="10" name="Chart 10" title="Chart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mmary_Statistics_Sheet" displayName="Summary_Statistics_Sheet" ref="A4:B25">
  <tableColumns count="2">
    <tableColumn id="1" xr3:uid="{00000000-0010-0000-0000-000001000000}" name="Metric"/>
    <tableColumn id="2" xr3:uid="{00000000-0010-0000-0000-000002000000}" name="Value"/>
  </tableColumns>
  <tableStyleInfo name="Summary_Stat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M1207"/>
  <sheetViews>
    <sheetView tabSelected="1" topLeftCell="A39" workbookViewId="0"/>
  </sheetViews>
  <sheetFormatPr baseColWidth="10" defaultColWidth="12.6640625" defaultRowHeight="15" customHeight="1"/>
  <cols>
    <col min="1" max="1" width="21.6640625" customWidth="1"/>
    <col min="2" max="2" width="23" customWidth="1"/>
    <col min="3" max="3" width="16.1640625" customWidth="1"/>
    <col min="4" max="4" width="13.6640625" customWidth="1"/>
    <col min="5" max="5" width="9.6640625" customWidth="1"/>
    <col min="6" max="6" width="8" customWidth="1"/>
    <col min="7" max="7" width="17.5" customWidth="1"/>
    <col min="8" max="8" width="9" customWidth="1"/>
    <col min="9" max="10" width="24.1640625" customWidth="1"/>
    <col min="11" max="11" width="28.1640625" customWidth="1"/>
    <col min="12" max="12" width="8.1640625" customWidth="1"/>
    <col min="13" max="13" width="14.83203125" customWidth="1"/>
    <col min="14" max="16" width="24.1640625" customWidth="1"/>
    <col min="17" max="17" width="19.33203125" customWidth="1"/>
    <col min="18" max="19" width="24.1640625" customWidth="1"/>
    <col min="20" max="20" width="13.83203125" customWidth="1"/>
    <col min="21" max="21" width="12.1640625" customWidth="1"/>
    <col min="22" max="22" width="17.83203125" customWidth="1"/>
    <col min="23" max="23" width="9.6640625" customWidth="1"/>
    <col min="24" max="24" width="29.5" customWidth="1"/>
    <col min="25" max="25" width="32.6640625" customWidth="1"/>
    <col min="26" max="26" width="22.5" customWidth="1"/>
    <col min="27" max="27" width="35.33203125" customWidth="1"/>
    <col min="28" max="28" width="13.5" customWidth="1"/>
    <col min="29" max="29" width="18" customWidth="1"/>
    <col min="30" max="30" width="32.83203125" customWidth="1"/>
    <col min="31" max="31" width="29.1640625" customWidth="1"/>
    <col min="32" max="32" width="31.1640625" customWidth="1"/>
    <col min="33" max="34" width="32" customWidth="1"/>
    <col min="35" max="35" width="23.33203125" customWidth="1"/>
    <col min="36" max="36" width="15.6640625" customWidth="1"/>
    <col min="37" max="37" width="15.5" customWidth="1"/>
    <col min="38" max="38" width="23.83203125" customWidth="1"/>
  </cols>
  <sheetData>
    <row r="1" spans="1:39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9" ht="15.75" customHeight="1">
      <c r="A2" s="1">
        <v>930</v>
      </c>
      <c r="B2" s="1">
        <v>5</v>
      </c>
      <c r="C2" s="1">
        <v>4050</v>
      </c>
      <c r="D2" s="1" t="s">
        <v>38</v>
      </c>
      <c r="E2" s="1" t="s">
        <v>39</v>
      </c>
      <c r="F2" s="1" t="s">
        <v>40</v>
      </c>
      <c r="G2" s="1">
        <v>0</v>
      </c>
      <c r="H2" s="1" t="s">
        <v>41</v>
      </c>
      <c r="I2" s="1" t="s">
        <v>42</v>
      </c>
      <c r="J2" s="1" t="s">
        <v>43</v>
      </c>
      <c r="K2" s="1" t="s">
        <v>43</v>
      </c>
      <c r="L2" s="1">
        <v>0</v>
      </c>
      <c r="M2" s="1">
        <v>0</v>
      </c>
      <c r="N2" s="1" t="s">
        <v>44</v>
      </c>
      <c r="O2" s="1" t="s">
        <v>45</v>
      </c>
      <c r="P2" s="1" t="s">
        <v>46</v>
      </c>
      <c r="Q2" s="1">
        <v>1</v>
      </c>
      <c r="R2" s="1" t="s">
        <v>47</v>
      </c>
      <c r="U2" s="2">
        <v>56773</v>
      </c>
      <c r="V2" s="1">
        <v>4.5</v>
      </c>
      <c r="W2" s="1">
        <v>3000</v>
      </c>
      <c r="X2" s="1">
        <v>4710</v>
      </c>
      <c r="AA2" s="1">
        <v>961</v>
      </c>
      <c r="AB2" s="1">
        <v>0</v>
      </c>
      <c r="AC2" s="1">
        <v>47</v>
      </c>
      <c r="AE2" s="1" t="s">
        <v>48</v>
      </c>
      <c r="AF2" s="1" t="s">
        <v>49</v>
      </c>
      <c r="AG2" s="1" t="s">
        <v>50</v>
      </c>
      <c r="AI2" s="1">
        <v>4.7</v>
      </c>
      <c r="AJ2" s="1">
        <v>1261</v>
      </c>
      <c r="AK2" s="1">
        <v>3264</v>
      </c>
      <c r="AL2" s="1">
        <v>232</v>
      </c>
      <c r="AM2" s="1">
        <f>AVERAGEIF(F:F, "Bill", V:V)</f>
        <v>4.4312114866250001</v>
      </c>
    </row>
    <row r="3" spans="1:39" ht="15.75" customHeight="1">
      <c r="A3" s="1">
        <v>371</v>
      </c>
      <c r="C3" s="1">
        <v>4001</v>
      </c>
      <c r="D3" s="1" t="s">
        <v>51</v>
      </c>
      <c r="E3" s="1" t="s">
        <v>39</v>
      </c>
      <c r="F3" s="1" t="s">
        <v>52</v>
      </c>
      <c r="G3" s="1">
        <v>0</v>
      </c>
      <c r="H3" s="1" t="s">
        <v>53</v>
      </c>
      <c r="I3" s="1" t="s">
        <v>54</v>
      </c>
      <c r="J3" s="1" t="s">
        <v>55</v>
      </c>
      <c r="K3" s="1" t="s">
        <v>56</v>
      </c>
      <c r="L3" s="1">
        <v>1</v>
      </c>
      <c r="M3" s="1">
        <v>0</v>
      </c>
      <c r="N3" s="1" t="s">
        <v>57</v>
      </c>
      <c r="O3" s="1" t="s">
        <v>58</v>
      </c>
      <c r="P3" s="1" t="s">
        <v>59</v>
      </c>
      <c r="Q3" s="1">
        <v>1</v>
      </c>
      <c r="R3" s="1" t="s">
        <v>60</v>
      </c>
      <c r="S3" s="1" t="s">
        <v>61</v>
      </c>
      <c r="U3" s="2">
        <v>56768</v>
      </c>
      <c r="V3" s="1">
        <v>3.1984045289999998</v>
      </c>
      <c r="W3" s="1">
        <v>2000</v>
      </c>
      <c r="X3" s="1">
        <v>2276</v>
      </c>
      <c r="Y3" s="1">
        <v>452</v>
      </c>
      <c r="Z3" s="1">
        <v>343</v>
      </c>
      <c r="AA3" s="1">
        <v>1481</v>
      </c>
      <c r="AB3" s="1">
        <v>0</v>
      </c>
      <c r="AC3" s="1">
        <v>10</v>
      </c>
      <c r="AD3" s="1" t="s">
        <v>62</v>
      </c>
      <c r="AE3" s="1" t="s">
        <v>63</v>
      </c>
      <c r="AF3" s="1" t="s">
        <v>64</v>
      </c>
      <c r="AG3" s="1" t="s">
        <v>65</v>
      </c>
      <c r="AH3" s="1" t="s">
        <v>66</v>
      </c>
      <c r="AI3" s="1">
        <v>4.17</v>
      </c>
      <c r="AJ3" s="1">
        <v>457</v>
      </c>
      <c r="AK3" s="1">
        <v>1599</v>
      </c>
    </row>
    <row r="4" spans="1:39" ht="15.75" customHeight="1">
      <c r="A4" s="1">
        <v>1012</v>
      </c>
      <c r="B4" s="1">
        <v>5</v>
      </c>
      <c r="C4" s="1">
        <v>4001</v>
      </c>
      <c r="D4" s="1" t="s">
        <v>51</v>
      </c>
      <c r="E4" s="1" t="s">
        <v>39</v>
      </c>
      <c r="F4" s="1" t="s">
        <v>67</v>
      </c>
      <c r="G4" s="1">
        <v>0</v>
      </c>
      <c r="H4" s="1" t="s">
        <v>41</v>
      </c>
      <c r="I4" s="1" t="s">
        <v>68</v>
      </c>
      <c r="J4" s="1" t="s">
        <v>69</v>
      </c>
      <c r="K4" s="1" t="s">
        <v>70</v>
      </c>
      <c r="L4" s="1">
        <v>1</v>
      </c>
      <c r="M4" s="1">
        <v>1</v>
      </c>
      <c r="N4" s="1" t="s">
        <v>71</v>
      </c>
      <c r="O4" s="1" t="s">
        <v>72</v>
      </c>
      <c r="P4" s="1" t="s">
        <v>73</v>
      </c>
      <c r="Q4" s="1">
        <v>0</v>
      </c>
      <c r="R4" s="1" t="s">
        <v>74</v>
      </c>
      <c r="S4" s="1" t="s">
        <v>75</v>
      </c>
      <c r="U4" s="2">
        <v>56774</v>
      </c>
      <c r="V4" s="1">
        <v>4.5</v>
      </c>
      <c r="W4" s="1">
        <v>1500</v>
      </c>
      <c r="X4" s="1">
        <v>4087</v>
      </c>
      <c r="Y4" s="1">
        <v>824</v>
      </c>
      <c r="Z4" s="1">
        <v>3133</v>
      </c>
      <c r="AA4" s="1">
        <v>130</v>
      </c>
      <c r="AB4" s="1">
        <v>0</v>
      </c>
      <c r="AC4" s="1">
        <v>22</v>
      </c>
      <c r="AD4" s="1" t="s">
        <v>76</v>
      </c>
      <c r="AE4" s="1" t="s">
        <v>77</v>
      </c>
      <c r="AF4" s="1" t="s">
        <v>78</v>
      </c>
      <c r="AG4" s="1" t="s">
        <v>79</v>
      </c>
      <c r="AH4" s="1" t="s">
        <v>80</v>
      </c>
      <c r="AI4" s="1">
        <v>3.82</v>
      </c>
      <c r="AJ4" s="1">
        <v>174</v>
      </c>
      <c r="AK4" s="1">
        <v>773</v>
      </c>
    </row>
    <row r="5" spans="1:39" ht="15.75" customHeight="1">
      <c r="A5" s="1">
        <v>774</v>
      </c>
      <c r="C5" s="1">
        <v>4001</v>
      </c>
      <c r="D5" s="1" t="s">
        <v>51</v>
      </c>
      <c r="E5" s="1" t="s">
        <v>39</v>
      </c>
      <c r="F5" s="1" t="s">
        <v>67</v>
      </c>
      <c r="G5" s="1">
        <v>0</v>
      </c>
      <c r="H5" s="1" t="s">
        <v>41</v>
      </c>
      <c r="I5" s="1" t="s">
        <v>81</v>
      </c>
      <c r="J5" s="1" t="s">
        <v>82</v>
      </c>
      <c r="K5" s="1" t="s">
        <v>82</v>
      </c>
      <c r="L5" s="1">
        <v>0</v>
      </c>
      <c r="M5" s="1">
        <v>0</v>
      </c>
      <c r="N5" s="1" t="s">
        <v>83</v>
      </c>
      <c r="O5" s="1" t="s">
        <v>84</v>
      </c>
      <c r="P5" s="1" t="s">
        <v>85</v>
      </c>
      <c r="Q5" s="1">
        <v>1</v>
      </c>
      <c r="R5" s="1" t="s">
        <v>86</v>
      </c>
      <c r="S5" s="1" t="s">
        <v>87</v>
      </c>
      <c r="U5" s="2">
        <v>56772</v>
      </c>
      <c r="V5" s="1">
        <v>4.5425217959999999</v>
      </c>
      <c r="W5" s="1">
        <v>1500</v>
      </c>
      <c r="X5" s="1">
        <v>4122</v>
      </c>
      <c r="Y5" s="1">
        <v>3148</v>
      </c>
      <c r="Z5" s="1">
        <v>105</v>
      </c>
      <c r="AA5" s="1">
        <v>869</v>
      </c>
      <c r="AB5" s="1">
        <v>1</v>
      </c>
      <c r="AC5" s="1">
        <v>32</v>
      </c>
      <c r="AE5" s="1" t="s">
        <v>88</v>
      </c>
      <c r="AF5" s="1" t="s">
        <v>89</v>
      </c>
      <c r="AG5" s="1" t="s">
        <v>90</v>
      </c>
      <c r="AH5" s="1" t="s">
        <v>91</v>
      </c>
      <c r="AI5" s="1">
        <v>3.82</v>
      </c>
      <c r="AJ5" s="1">
        <v>174</v>
      </c>
      <c r="AK5" s="1">
        <v>773</v>
      </c>
    </row>
    <row r="6" spans="1:39" ht="15.75" customHeight="1">
      <c r="A6" s="1">
        <v>412</v>
      </c>
      <c r="B6" s="1">
        <v>1</v>
      </c>
      <c r="C6" s="1">
        <v>4001</v>
      </c>
      <c r="D6" s="1" t="s">
        <v>51</v>
      </c>
      <c r="E6" s="1" t="s">
        <v>39</v>
      </c>
      <c r="F6" s="1" t="s">
        <v>92</v>
      </c>
      <c r="G6" s="1">
        <v>0</v>
      </c>
      <c r="H6" s="1" t="s">
        <v>41</v>
      </c>
      <c r="I6" s="1" t="s">
        <v>93</v>
      </c>
      <c r="J6" s="1" t="s">
        <v>94</v>
      </c>
      <c r="K6" s="1" t="s">
        <v>94</v>
      </c>
      <c r="L6" s="1">
        <v>0</v>
      </c>
      <c r="M6" s="1">
        <v>0</v>
      </c>
      <c r="N6" s="1" t="s">
        <v>95</v>
      </c>
      <c r="O6" s="1" t="s">
        <v>96</v>
      </c>
      <c r="P6" s="1" t="s">
        <v>97</v>
      </c>
      <c r="Q6" s="1">
        <v>1</v>
      </c>
      <c r="R6" s="1" t="s">
        <v>98</v>
      </c>
      <c r="S6" s="1" t="s">
        <v>99</v>
      </c>
      <c r="U6" s="2">
        <v>56769</v>
      </c>
      <c r="V6" s="1">
        <v>4.3</v>
      </c>
      <c r="W6" s="1">
        <v>1500</v>
      </c>
      <c r="X6" s="1">
        <v>3184</v>
      </c>
      <c r="Y6" s="1">
        <v>950</v>
      </c>
      <c r="Z6" s="1">
        <v>896</v>
      </c>
      <c r="AA6" s="1">
        <v>1338</v>
      </c>
      <c r="AB6" s="1">
        <v>0</v>
      </c>
      <c r="AC6" s="1">
        <v>26</v>
      </c>
      <c r="AD6" s="1" t="s">
        <v>62</v>
      </c>
      <c r="AE6" s="1" t="s">
        <v>100</v>
      </c>
      <c r="AF6" s="1" t="s">
        <v>101</v>
      </c>
      <c r="AG6" s="1" t="s">
        <v>102</v>
      </c>
      <c r="AH6" s="1" t="s">
        <v>103</v>
      </c>
      <c r="AI6" s="1">
        <v>4.03</v>
      </c>
      <c r="AJ6" s="1">
        <v>505</v>
      </c>
      <c r="AK6" s="1">
        <v>1721</v>
      </c>
      <c r="AL6" s="1">
        <v>457</v>
      </c>
    </row>
    <row r="7" spans="1:39" ht="15.75" customHeight="1">
      <c r="A7" s="1">
        <v>1050</v>
      </c>
      <c r="B7" s="1">
        <v>1</v>
      </c>
      <c r="C7" s="1">
        <v>4001</v>
      </c>
      <c r="D7" s="1" t="s">
        <v>51</v>
      </c>
      <c r="E7" s="1" t="s">
        <v>39</v>
      </c>
      <c r="F7" s="1" t="s">
        <v>104</v>
      </c>
      <c r="G7" s="1">
        <v>0</v>
      </c>
      <c r="H7" s="1" t="s">
        <v>41</v>
      </c>
      <c r="I7" s="1" t="s">
        <v>105</v>
      </c>
      <c r="J7" s="1" t="s">
        <v>106</v>
      </c>
      <c r="K7" s="1" t="s">
        <v>106</v>
      </c>
      <c r="L7" s="1">
        <v>0</v>
      </c>
      <c r="M7" s="1">
        <v>0</v>
      </c>
      <c r="N7" s="1" t="s">
        <v>107</v>
      </c>
      <c r="O7" s="1" t="s">
        <v>108</v>
      </c>
      <c r="P7" s="1" t="s">
        <v>109</v>
      </c>
      <c r="Q7" s="1">
        <v>0</v>
      </c>
      <c r="R7" s="1" t="s">
        <v>110</v>
      </c>
      <c r="S7" s="1" t="s">
        <v>111</v>
      </c>
      <c r="U7" s="2">
        <v>56775</v>
      </c>
      <c r="V7" s="1">
        <v>4.5425217959999999</v>
      </c>
      <c r="W7" s="1">
        <v>1500</v>
      </c>
      <c r="X7" s="1">
        <v>2102</v>
      </c>
      <c r="Y7" s="1">
        <v>1360</v>
      </c>
      <c r="Z7" s="1">
        <v>443</v>
      </c>
      <c r="AA7" s="1">
        <v>299</v>
      </c>
      <c r="AB7" s="1">
        <v>0</v>
      </c>
      <c r="AC7" s="1">
        <v>20</v>
      </c>
      <c r="AD7" s="1" t="s">
        <v>76</v>
      </c>
      <c r="AE7" s="1" t="s">
        <v>112</v>
      </c>
      <c r="AF7" s="1" t="s">
        <v>113</v>
      </c>
      <c r="AG7" s="1" t="s">
        <v>114</v>
      </c>
      <c r="AH7" s="1" t="s">
        <v>115</v>
      </c>
      <c r="AI7" s="1">
        <v>4.5199999999999996</v>
      </c>
      <c r="AJ7" s="1">
        <v>269</v>
      </c>
      <c r="AK7" s="1">
        <v>895</v>
      </c>
      <c r="AL7" s="1">
        <v>23</v>
      </c>
    </row>
    <row r="8" spans="1:39" ht="15.75" customHeight="1">
      <c r="A8" s="1">
        <v>5</v>
      </c>
      <c r="B8" s="1">
        <v>5</v>
      </c>
      <c r="C8" s="1">
        <v>4050</v>
      </c>
      <c r="D8" s="1" t="s">
        <v>38</v>
      </c>
      <c r="E8" s="1" t="s">
        <v>39</v>
      </c>
      <c r="F8" s="1" t="s">
        <v>116</v>
      </c>
      <c r="G8" s="1">
        <v>0</v>
      </c>
      <c r="H8" s="1" t="s">
        <v>41</v>
      </c>
      <c r="I8" s="1" t="s">
        <v>117</v>
      </c>
      <c r="J8" s="1" t="s">
        <v>118</v>
      </c>
      <c r="K8" s="1" t="s">
        <v>118</v>
      </c>
      <c r="L8" s="1">
        <v>0</v>
      </c>
      <c r="M8" s="1">
        <v>0</v>
      </c>
      <c r="N8" s="1" t="s">
        <v>119</v>
      </c>
      <c r="O8" s="1" t="s">
        <v>120</v>
      </c>
      <c r="P8" s="1" t="s">
        <v>121</v>
      </c>
      <c r="Q8" s="1">
        <v>0</v>
      </c>
      <c r="R8" s="1" t="s">
        <v>122</v>
      </c>
      <c r="S8" s="1" t="s">
        <v>123</v>
      </c>
      <c r="U8" s="2">
        <v>56766</v>
      </c>
      <c r="V8" s="1">
        <v>4.5999999999999996</v>
      </c>
      <c r="W8" s="1">
        <v>1500</v>
      </c>
      <c r="X8" s="1">
        <v>3148</v>
      </c>
      <c r="Y8" s="1">
        <v>673</v>
      </c>
      <c r="Z8" s="1">
        <v>1823</v>
      </c>
      <c r="AA8" s="1">
        <v>652</v>
      </c>
      <c r="AB8" s="1">
        <v>0</v>
      </c>
      <c r="AC8" s="1">
        <v>15</v>
      </c>
      <c r="AD8" s="1" t="s">
        <v>62</v>
      </c>
      <c r="AE8" s="1" t="s">
        <v>124</v>
      </c>
      <c r="AF8" s="1" t="s">
        <v>125</v>
      </c>
      <c r="AG8" s="1" t="s">
        <v>126</v>
      </c>
      <c r="AH8" s="1" t="s">
        <v>127</v>
      </c>
      <c r="AI8" s="1">
        <v>4.8899999999999997</v>
      </c>
      <c r="AJ8" s="1">
        <v>1778</v>
      </c>
      <c r="AK8" s="1">
        <v>5138</v>
      </c>
      <c r="AL8" s="1">
        <v>314</v>
      </c>
    </row>
    <row r="9" spans="1:39" ht="15.75" customHeight="1">
      <c r="A9" s="1">
        <v>823</v>
      </c>
      <c r="B9" s="1">
        <v>5</v>
      </c>
      <c r="C9" s="1">
        <v>4001</v>
      </c>
      <c r="D9" s="1" t="s">
        <v>51</v>
      </c>
      <c r="E9" s="1" t="s">
        <v>39</v>
      </c>
      <c r="F9" s="1" t="s">
        <v>92</v>
      </c>
      <c r="G9" s="1">
        <v>0</v>
      </c>
      <c r="H9" s="1" t="s">
        <v>41</v>
      </c>
      <c r="I9" s="1" t="s">
        <v>128</v>
      </c>
      <c r="J9" s="1" t="s">
        <v>129</v>
      </c>
      <c r="K9" s="1" t="s">
        <v>129</v>
      </c>
      <c r="L9" s="1">
        <v>0</v>
      </c>
      <c r="M9" s="1">
        <v>0</v>
      </c>
      <c r="N9" s="1" t="s">
        <v>130</v>
      </c>
      <c r="O9" s="1" t="s">
        <v>131</v>
      </c>
      <c r="P9" s="1" t="s">
        <v>132</v>
      </c>
      <c r="Q9" s="1">
        <v>0</v>
      </c>
      <c r="R9" s="1" t="s">
        <v>133</v>
      </c>
      <c r="S9" s="1" t="s">
        <v>134</v>
      </c>
      <c r="U9" s="2">
        <v>56772</v>
      </c>
      <c r="V9" s="1">
        <v>3.2420098479999999</v>
      </c>
      <c r="W9" s="1">
        <v>1500</v>
      </c>
      <c r="X9" s="1">
        <v>2905</v>
      </c>
      <c r="Y9" s="1">
        <v>913</v>
      </c>
      <c r="Z9" s="1">
        <v>1977</v>
      </c>
      <c r="AA9" s="1">
        <v>15</v>
      </c>
      <c r="AB9" s="1">
        <v>0</v>
      </c>
      <c r="AC9" s="1">
        <v>6</v>
      </c>
      <c r="AD9" s="1" t="s">
        <v>76</v>
      </c>
      <c r="AE9" s="1" t="s">
        <v>135</v>
      </c>
      <c r="AF9" s="1" t="s">
        <v>136</v>
      </c>
      <c r="AG9" s="1" t="s">
        <v>137</v>
      </c>
      <c r="AH9" s="1" t="s">
        <v>138</v>
      </c>
      <c r="AI9" s="1">
        <v>4.03</v>
      </c>
      <c r="AJ9" s="1">
        <v>505</v>
      </c>
      <c r="AK9" s="1">
        <v>1721</v>
      </c>
      <c r="AL9" s="1">
        <v>457</v>
      </c>
    </row>
    <row r="10" spans="1:39" ht="15.75" customHeight="1">
      <c r="A10" s="1">
        <v>275</v>
      </c>
      <c r="C10" s="1">
        <v>4001</v>
      </c>
      <c r="D10" s="1" t="s">
        <v>51</v>
      </c>
      <c r="E10" s="1" t="s">
        <v>39</v>
      </c>
      <c r="F10" s="1" t="s">
        <v>92</v>
      </c>
      <c r="G10" s="1">
        <v>0</v>
      </c>
      <c r="H10" s="1" t="s">
        <v>41</v>
      </c>
      <c r="I10" s="1" t="s">
        <v>139</v>
      </c>
      <c r="J10" s="1" t="s">
        <v>140</v>
      </c>
      <c r="K10" s="1" t="s">
        <v>141</v>
      </c>
      <c r="L10" s="1">
        <v>1</v>
      </c>
      <c r="M10" s="1">
        <v>0</v>
      </c>
      <c r="N10" s="1" t="s">
        <v>142</v>
      </c>
      <c r="O10" s="1" t="s">
        <v>143</v>
      </c>
      <c r="P10" s="1" t="s">
        <v>144</v>
      </c>
      <c r="Q10" s="1">
        <v>0</v>
      </c>
      <c r="R10" s="1" t="s">
        <v>145</v>
      </c>
      <c r="S10" s="1" t="s">
        <v>146</v>
      </c>
      <c r="U10" s="2">
        <v>56768</v>
      </c>
      <c r="V10" s="1">
        <v>4.5999999999999996</v>
      </c>
      <c r="W10" s="1">
        <v>1500</v>
      </c>
      <c r="X10" s="1">
        <v>2753</v>
      </c>
      <c r="Y10" s="1">
        <v>1640</v>
      </c>
      <c r="Z10" s="1">
        <v>270</v>
      </c>
      <c r="AA10" s="1">
        <v>843</v>
      </c>
      <c r="AB10" s="1">
        <v>0</v>
      </c>
      <c r="AC10" s="1">
        <v>10</v>
      </c>
      <c r="AD10" s="1" t="s">
        <v>76</v>
      </c>
      <c r="AE10" s="1" t="s">
        <v>147</v>
      </c>
      <c r="AF10" s="1" t="s">
        <v>148</v>
      </c>
      <c r="AG10" s="1" t="s">
        <v>149</v>
      </c>
      <c r="AH10" s="1" t="s">
        <v>150</v>
      </c>
      <c r="AI10" s="1">
        <v>4.03</v>
      </c>
      <c r="AJ10" s="1">
        <v>505</v>
      </c>
      <c r="AK10" s="1">
        <v>1721</v>
      </c>
      <c r="AL10" s="1">
        <v>457</v>
      </c>
    </row>
    <row r="11" spans="1:39" ht="15.75" customHeight="1">
      <c r="A11" s="1">
        <v>3</v>
      </c>
      <c r="B11" s="1">
        <v>4</v>
      </c>
      <c r="C11" s="1">
        <v>4050</v>
      </c>
      <c r="D11" s="1" t="s">
        <v>38</v>
      </c>
      <c r="E11" s="1" t="s">
        <v>39</v>
      </c>
      <c r="F11" s="1" t="s">
        <v>151</v>
      </c>
      <c r="G11" s="1">
        <v>0</v>
      </c>
      <c r="H11" s="1" t="s">
        <v>41</v>
      </c>
      <c r="I11" s="1" t="s">
        <v>152</v>
      </c>
      <c r="J11" s="1" t="s">
        <v>118</v>
      </c>
      <c r="K11" s="1" t="s">
        <v>118</v>
      </c>
      <c r="L11" s="1">
        <v>0</v>
      </c>
      <c r="M11" s="1">
        <v>0</v>
      </c>
      <c r="N11" s="1" t="s">
        <v>153</v>
      </c>
      <c r="O11" s="1" t="s">
        <v>154</v>
      </c>
      <c r="P11" s="1" t="s">
        <v>155</v>
      </c>
      <c r="Q11" s="1">
        <v>0</v>
      </c>
      <c r="R11" s="1" t="s">
        <v>156</v>
      </c>
      <c r="U11" s="2">
        <v>56766</v>
      </c>
      <c r="V11" s="1">
        <v>2.7238307580000001</v>
      </c>
      <c r="W11" s="1">
        <v>1000</v>
      </c>
      <c r="X11" s="1">
        <v>4225</v>
      </c>
      <c r="AA11" s="1">
        <v>960</v>
      </c>
      <c r="AB11" s="1">
        <v>0</v>
      </c>
      <c r="AC11" s="1">
        <v>7</v>
      </c>
      <c r="AE11" s="1" t="s">
        <v>157</v>
      </c>
      <c r="AF11" s="1" t="s">
        <v>158</v>
      </c>
      <c r="AG11" s="1" t="s">
        <v>159</v>
      </c>
      <c r="AI11" s="1">
        <v>4.46</v>
      </c>
      <c r="AJ11" s="1">
        <v>349</v>
      </c>
      <c r="AK11" s="1">
        <v>779</v>
      </c>
    </row>
    <row r="12" spans="1:39" ht="15.75" customHeight="1">
      <c r="A12" s="1">
        <v>613</v>
      </c>
      <c r="B12" s="1">
        <v>5</v>
      </c>
      <c r="C12" s="1">
        <v>4050</v>
      </c>
      <c r="D12" s="1" t="s">
        <v>38</v>
      </c>
      <c r="E12" s="1" t="s">
        <v>39</v>
      </c>
      <c r="F12" s="1" t="s">
        <v>160</v>
      </c>
      <c r="G12" s="1">
        <v>1</v>
      </c>
      <c r="H12" s="1" t="s">
        <v>41</v>
      </c>
      <c r="I12" s="1" t="s">
        <v>161</v>
      </c>
      <c r="J12" s="1" t="s">
        <v>162</v>
      </c>
      <c r="K12" s="1" t="s">
        <v>163</v>
      </c>
      <c r="L12" s="1">
        <v>1</v>
      </c>
      <c r="M12" s="1">
        <v>0</v>
      </c>
      <c r="N12" s="1" t="s">
        <v>164</v>
      </c>
      <c r="O12" s="1" t="s">
        <v>165</v>
      </c>
      <c r="P12" s="1" t="s">
        <v>166</v>
      </c>
      <c r="Q12" s="1">
        <v>0</v>
      </c>
      <c r="R12" s="1" t="s">
        <v>167</v>
      </c>
      <c r="S12" s="1" t="s">
        <v>168</v>
      </c>
      <c r="U12" s="2">
        <v>56770</v>
      </c>
      <c r="V12" s="1">
        <v>4.7</v>
      </c>
      <c r="W12" s="1">
        <v>1000</v>
      </c>
      <c r="X12" s="1">
        <v>2288</v>
      </c>
      <c r="Y12" s="1">
        <v>473</v>
      </c>
      <c r="Z12" s="1">
        <v>347</v>
      </c>
      <c r="AA12" s="1">
        <v>1468</v>
      </c>
      <c r="AB12" s="1">
        <v>0</v>
      </c>
      <c r="AC12" s="1">
        <v>16</v>
      </c>
      <c r="AD12" s="1" t="s">
        <v>76</v>
      </c>
      <c r="AE12" s="1" t="s">
        <v>169</v>
      </c>
      <c r="AF12" s="1" t="s">
        <v>170</v>
      </c>
      <c r="AG12" s="1" t="s">
        <v>171</v>
      </c>
      <c r="AH12" s="1" t="s">
        <v>172</v>
      </c>
      <c r="AI12" s="1">
        <v>4.7407407409999998</v>
      </c>
      <c r="AJ12" s="1">
        <v>43</v>
      </c>
      <c r="AK12" s="1">
        <v>144</v>
      </c>
      <c r="AL12" s="1">
        <v>80</v>
      </c>
    </row>
    <row r="13" spans="1:39" ht="15.75" customHeight="1">
      <c r="A13" s="1">
        <v>718</v>
      </c>
      <c r="C13" s="1">
        <v>4050</v>
      </c>
      <c r="D13" s="1" t="s">
        <v>38</v>
      </c>
      <c r="E13" s="1" t="s">
        <v>39</v>
      </c>
      <c r="F13" s="1" t="s">
        <v>173</v>
      </c>
      <c r="G13" s="1">
        <v>0</v>
      </c>
      <c r="H13" s="1" t="s">
        <v>41</v>
      </c>
      <c r="I13" s="1" t="s">
        <v>174</v>
      </c>
      <c r="J13" s="1" t="s">
        <v>175</v>
      </c>
      <c r="K13" s="1" t="s">
        <v>175</v>
      </c>
      <c r="L13" s="1">
        <v>0</v>
      </c>
      <c r="M13" s="1">
        <v>0</v>
      </c>
      <c r="N13" s="1" t="s">
        <v>176</v>
      </c>
      <c r="O13" s="1" t="s">
        <v>177</v>
      </c>
      <c r="P13" s="1" t="s">
        <v>178</v>
      </c>
      <c r="Q13" s="1">
        <v>0</v>
      </c>
      <c r="R13" s="1" t="s">
        <v>179</v>
      </c>
      <c r="S13" s="1" t="s">
        <v>180</v>
      </c>
      <c r="U13" s="2">
        <v>56771</v>
      </c>
      <c r="V13" s="1">
        <v>4.5</v>
      </c>
      <c r="W13" s="1">
        <v>1000</v>
      </c>
      <c r="X13" s="1">
        <v>3778</v>
      </c>
      <c r="Y13" s="1">
        <v>712</v>
      </c>
      <c r="Z13" s="1">
        <v>2257</v>
      </c>
      <c r="AA13" s="1">
        <v>809</v>
      </c>
      <c r="AB13" s="1">
        <v>0</v>
      </c>
      <c r="AC13" s="1">
        <v>10</v>
      </c>
      <c r="AD13" s="1" t="s">
        <v>62</v>
      </c>
      <c r="AE13" s="1" t="s">
        <v>181</v>
      </c>
      <c r="AF13" s="1" t="s">
        <v>182</v>
      </c>
      <c r="AG13" s="1" t="s">
        <v>183</v>
      </c>
      <c r="AH13" s="1" t="s">
        <v>184</v>
      </c>
      <c r="AI13" s="1">
        <v>4.22</v>
      </c>
      <c r="AJ13" s="1">
        <v>1551</v>
      </c>
      <c r="AK13" s="1">
        <v>4625</v>
      </c>
    </row>
    <row r="14" spans="1:39" ht="15.75" customHeight="1">
      <c r="A14" s="1">
        <v>927</v>
      </c>
      <c r="C14" s="1">
        <v>4050</v>
      </c>
      <c r="D14" s="1" t="s">
        <v>38</v>
      </c>
      <c r="E14" s="1" t="s">
        <v>39</v>
      </c>
      <c r="F14" s="1" t="s">
        <v>116</v>
      </c>
      <c r="G14" s="1">
        <v>0</v>
      </c>
      <c r="H14" s="1" t="s">
        <v>41</v>
      </c>
      <c r="I14" s="1" t="s">
        <v>185</v>
      </c>
      <c r="J14" s="1" t="s">
        <v>43</v>
      </c>
      <c r="K14" s="1" t="s">
        <v>43</v>
      </c>
      <c r="L14" s="1">
        <v>0</v>
      </c>
      <c r="M14" s="1">
        <v>0</v>
      </c>
      <c r="N14" s="1" t="s">
        <v>186</v>
      </c>
      <c r="O14" s="1" t="s">
        <v>187</v>
      </c>
      <c r="P14" s="1" t="s">
        <v>188</v>
      </c>
      <c r="Q14" s="1">
        <v>0</v>
      </c>
      <c r="R14" s="1" t="s">
        <v>189</v>
      </c>
      <c r="S14" s="1" t="s">
        <v>190</v>
      </c>
      <c r="U14" s="2">
        <v>56773</v>
      </c>
      <c r="V14" s="1">
        <v>4.5999999999999996</v>
      </c>
      <c r="W14" s="1">
        <v>1000</v>
      </c>
      <c r="X14" s="1">
        <v>2464</v>
      </c>
      <c r="Y14" s="1">
        <v>556</v>
      </c>
      <c r="Z14" s="1">
        <v>1345</v>
      </c>
      <c r="AA14" s="1">
        <v>563</v>
      </c>
      <c r="AB14" s="1">
        <v>0</v>
      </c>
      <c r="AC14" s="1">
        <v>10</v>
      </c>
      <c r="AD14" s="1" t="s">
        <v>62</v>
      </c>
      <c r="AE14" s="1" t="s">
        <v>191</v>
      </c>
      <c r="AF14" s="1" t="s">
        <v>192</v>
      </c>
      <c r="AG14" s="1" t="s">
        <v>193</v>
      </c>
      <c r="AH14" s="1" t="s">
        <v>194</v>
      </c>
      <c r="AI14" s="1">
        <v>4.8899999999999997</v>
      </c>
      <c r="AJ14" s="1">
        <v>1778</v>
      </c>
      <c r="AK14" s="1">
        <v>5138</v>
      </c>
      <c r="AL14" s="1">
        <v>314</v>
      </c>
    </row>
    <row r="15" spans="1:39" ht="15.75" customHeight="1">
      <c r="A15" s="1">
        <v>286</v>
      </c>
      <c r="B15" s="1">
        <v>3</v>
      </c>
      <c r="C15" s="1">
        <v>4050</v>
      </c>
      <c r="D15" s="1" t="s">
        <v>38</v>
      </c>
      <c r="E15" s="1" t="s">
        <v>39</v>
      </c>
      <c r="F15" s="1" t="s">
        <v>195</v>
      </c>
      <c r="G15" s="1">
        <v>0</v>
      </c>
      <c r="H15" s="1" t="s">
        <v>41</v>
      </c>
      <c r="I15" s="1" t="s">
        <v>196</v>
      </c>
      <c r="J15" s="1" t="s">
        <v>197</v>
      </c>
      <c r="K15" s="1" t="s">
        <v>198</v>
      </c>
      <c r="L15" s="1">
        <v>1</v>
      </c>
      <c r="M15" s="1">
        <v>0</v>
      </c>
      <c r="N15" s="1" t="s">
        <v>199</v>
      </c>
      <c r="O15" s="1" t="s">
        <v>200</v>
      </c>
      <c r="P15" s="1" t="s">
        <v>201</v>
      </c>
      <c r="Q15" s="1">
        <v>0</v>
      </c>
      <c r="R15" s="1" t="s">
        <v>202</v>
      </c>
      <c r="U15" s="2">
        <v>56768</v>
      </c>
      <c r="V15" s="1">
        <v>4.5</v>
      </c>
      <c r="W15" s="1">
        <v>1000</v>
      </c>
      <c r="X15" s="1">
        <v>3846</v>
      </c>
      <c r="AA15" s="1">
        <v>2197</v>
      </c>
      <c r="AB15" s="1">
        <v>0</v>
      </c>
      <c r="AC15" s="1">
        <v>7</v>
      </c>
      <c r="AE15" s="1" t="s">
        <v>203</v>
      </c>
      <c r="AF15" s="1" t="s">
        <v>204</v>
      </c>
      <c r="AG15" s="1" t="s">
        <v>205</v>
      </c>
      <c r="AI15" s="1">
        <v>4.66</v>
      </c>
      <c r="AJ15" s="1">
        <v>161</v>
      </c>
      <c r="AK15" s="1">
        <v>398</v>
      </c>
    </row>
    <row r="16" spans="1:39" ht="15.75" customHeight="1">
      <c r="A16" s="1">
        <v>94</v>
      </c>
      <c r="B16" s="1">
        <v>5</v>
      </c>
      <c r="C16" s="1">
        <v>4050</v>
      </c>
      <c r="D16" s="1" t="s">
        <v>38</v>
      </c>
      <c r="E16" s="1" t="s">
        <v>39</v>
      </c>
      <c r="F16" s="1" t="s">
        <v>206</v>
      </c>
      <c r="G16" s="1">
        <v>0</v>
      </c>
      <c r="H16" s="1" t="s">
        <v>41</v>
      </c>
      <c r="I16" s="1" t="s">
        <v>207</v>
      </c>
      <c r="J16" s="1" t="s">
        <v>208</v>
      </c>
      <c r="K16" s="1" t="s">
        <v>209</v>
      </c>
      <c r="L16" s="1">
        <v>1</v>
      </c>
      <c r="M16" s="1">
        <v>0</v>
      </c>
      <c r="N16" s="1" t="s">
        <v>210</v>
      </c>
      <c r="O16" s="1" t="s">
        <v>211</v>
      </c>
      <c r="P16" s="1" t="s">
        <v>212</v>
      </c>
      <c r="Q16" s="1">
        <v>0</v>
      </c>
      <c r="R16" s="1" t="s">
        <v>213</v>
      </c>
      <c r="S16" s="1" t="s">
        <v>214</v>
      </c>
      <c r="U16" s="2">
        <v>56766</v>
      </c>
      <c r="V16" s="1">
        <v>4.8</v>
      </c>
      <c r="W16" s="1">
        <v>1000</v>
      </c>
      <c r="X16" s="1">
        <v>2805</v>
      </c>
      <c r="Y16" s="1">
        <v>777</v>
      </c>
      <c r="Z16" s="1">
        <v>560</v>
      </c>
      <c r="AA16" s="1">
        <v>1468</v>
      </c>
      <c r="AB16" s="1">
        <v>0</v>
      </c>
      <c r="AC16" s="1">
        <v>12</v>
      </c>
      <c r="AD16" s="1" t="s">
        <v>215</v>
      </c>
      <c r="AE16" s="1" t="s">
        <v>216</v>
      </c>
      <c r="AF16" s="1" t="s">
        <v>217</v>
      </c>
      <c r="AG16" s="1" t="s">
        <v>218</v>
      </c>
      <c r="AH16" s="1" t="s">
        <v>219</v>
      </c>
      <c r="AI16" s="1">
        <v>4.3670886080000004</v>
      </c>
      <c r="AJ16" s="1">
        <v>59</v>
      </c>
      <c r="AK16" s="1">
        <v>198</v>
      </c>
      <c r="AL16" s="1">
        <v>42</v>
      </c>
    </row>
    <row r="17" spans="1:38" ht="15.75" customHeight="1">
      <c r="A17" s="1">
        <v>113</v>
      </c>
      <c r="C17" s="1">
        <v>4050</v>
      </c>
      <c r="D17" s="1" t="s">
        <v>38</v>
      </c>
      <c r="E17" s="1" t="s">
        <v>39</v>
      </c>
      <c r="F17" s="1" t="s">
        <v>220</v>
      </c>
      <c r="G17" s="1">
        <v>0</v>
      </c>
      <c r="H17" s="1" t="s">
        <v>41</v>
      </c>
      <c r="I17" s="1" t="s">
        <v>221</v>
      </c>
      <c r="J17" s="1" t="s">
        <v>222</v>
      </c>
      <c r="K17" s="1" t="s">
        <v>222</v>
      </c>
      <c r="L17" s="1">
        <v>0</v>
      </c>
      <c r="M17" s="1">
        <v>0</v>
      </c>
      <c r="N17" s="1" t="s">
        <v>223</v>
      </c>
      <c r="O17" s="1" t="s">
        <v>224</v>
      </c>
      <c r="P17" s="1" t="s">
        <v>225</v>
      </c>
      <c r="Q17" s="1">
        <v>0</v>
      </c>
      <c r="R17" s="1" t="s">
        <v>226</v>
      </c>
      <c r="S17" s="1" t="s">
        <v>227</v>
      </c>
      <c r="U17" s="2">
        <v>56767</v>
      </c>
      <c r="V17" s="1">
        <v>4.5</v>
      </c>
      <c r="W17" s="1">
        <v>1000</v>
      </c>
      <c r="X17" s="1">
        <v>3547</v>
      </c>
      <c r="Y17" s="1">
        <v>1542</v>
      </c>
      <c r="Z17" s="1">
        <v>1087</v>
      </c>
      <c r="AA17" s="1">
        <v>918</v>
      </c>
      <c r="AB17" s="1">
        <v>0</v>
      </c>
      <c r="AC17" s="1">
        <v>6</v>
      </c>
      <c r="AD17" s="1" t="s">
        <v>76</v>
      </c>
      <c r="AE17" s="1" t="s">
        <v>228</v>
      </c>
      <c r="AF17" s="1" t="s">
        <v>229</v>
      </c>
      <c r="AG17" s="1" t="s">
        <v>230</v>
      </c>
      <c r="AH17" s="1" t="s">
        <v>231</v>
      </c>
      <c r="AI17" s="1">
        <v>4.42</v>
      </c>
      <c r="AJ17" s="1">
        <v>1396</v>
      </c>
      <c r="AK17" s="1">
        <v>4836</v>
      </c>
      <c r="AL17" s="1">
        <v>1278</v>
      </c>
    </row>
    <row r="18" spans="1:38" ht="15.75" customHeight="1">
      <c r="A18" s="1">
        <v>207</v>
      </c>
      <c r="B18" s="1">
        <v>1</v>
      </c>
      <c r="C18" s="1">
        <v>4001</v>
      </c>
      <c r="D18" s="1" t="s">
        <v>51</v>
      </c>
      <c r="E18" s="1" t="s">
        <v>39</v>
      </c>
      <c r="F18" s="1" t="s">
        <v>232</v>
      </c>
      <c r="G18" s="1">
        <v>0</v>
      </c>
      <c r="H18" s="1" t="s">
        <v>53</v>
      </c>
      <c r="I18" s="1" t="s">
        <v>233</v>
      </c>
      <c r="J18" s="1" t="s">
        <v>234</v>
      </c>
      <c r="K18" s="1" t="s">
        <v>235</v>
      </c>
      <c r="L18" s="1">
        <v>1</v>
      </c>
      <c r="M18" s="1">
        <v>0</v>
      </c>
      <c r="N18" s="1" t="s">
        <v>236</v>
      </c>
      <c r="O18" s="1" t="s">
        <v>237</v>
      </c>
      <c r="P18" s="1" t="s">
        <v>238</v>
      </c>
      <c r="Q18" s="1">
        <v>0</v>
      </c>
      <c r="R18" s="1" t="s">
        <v>239</v>
      </c>
      <c r="S18" s="1" t="s">
        <v>240</v>
      </c>
      <c r="U18" s="2">
        <v>56767</v>
      </c>
      <c r="V18" s="1">
        <v>4.4000000000000004</v>
      </c>
      <c r="W18" s="1">
        <v>1000</v>
      </c>
      <c r="X18" s="1">
        <v>3137</v>
      </c>
      <c r="Y18" s="1">
        <v>1056</v>
      </c>
      <c r="Z18" s="1">
        <v>878</v>
      </c>
      <c r="AA18" s="1">
        <v>1203</v>
      </c>
      <c r="AB18" s="1">
        <v>0</v>
      </c>
      <c r="AC18" s="1">
        <v>10</v>
      </c>
      <c r="AD18" s="1" t="s">
        <v>215</v>
      </c>
      <c r="AE18" s="1" t="s">
        <v>241</v>
      </c>
      <c r="AF18" s="1" t="s">
        <v>242</v>
      </c>
      <c r="AG18" s="1" t="s">
        <v>243</v>
      </c>
      <c r="AH18" s="1" t="s">
        <v>244</v>
      </c>
      <c r="AI18" s="1">
        <v>4.5599999999999996</v>
      </c>
      <c r="AJ18" s="1">
        <v>765</v>
      </c>
      <c r="AK18" s="1">
        <v>2618</v>
      </c>
    </row>
    <row r="19" spans="1:38" ht="15.75" customHeight="1">
      <c r="A19" s="1">
        <v>973</v>
      </c>
      <c r="C19" s="1">
        <v>4001</v>
      </c>
      <c r="D19" s="1" t="s">
        <v>51</v>
      </c>
      <c r="E19" s="1" t="s">
        <v>39</v>
      </c>
      <c r="F19" s="1" t="s">
        <v>67</v>
      </c>
      <c r="G19" s="1">
        <v>0</v>
      </c>
      <c r="H19" s="1" t="s">
        <v>41</v>
      </c>
      <c r="I19" s="1" t="s">
        <v>245</v>
      </c>
      <c r="J19" s="1" t="s">
        <v>246</v>
      </c>
      <c r="K19" s="1" t="s">
        <v>246</v>
      </c>
      <c r="L19" s="1">
        <v>0</v>
      </c>
      <c r="M19" s="1">
        <v>0</v>
      </c>
      <c r="N19" s="1" t="s">
        <v>247</v>
      </c>
      <c r="O19" s="1" t="s">
        <v>248</v>
      </c>
      <c r="P19" s="1" t="s">
        <v>249</v>
      </c>
      <c r="Q19" s="1">
        <v>0</v>
      </c>
      <c r="R19" s="1" t="s">
        <v>250</v>
      </c>
      <c r="S19" s="1" t="s">
        <v>251</v>
      </c>
      <c r="U19" s="2">
        <v>56774</v>
      </c>
      <c r="V19" s="1">
        <v>4.3</v>
      </c>
      <c r="W19" s="1">
        <v>1000</v>
      </c>
      <c r="X19" s="1">
        <v>2786</v>
      </c>
      <c r="Y19" s="1">
        <v>1622</v>
      </c>
      <c r="Z19" s="1">
        <v>192</v>
      </c>
      <c r="AA19" s="1">
        <v>972</v>
      </c>
      <c r="AB19" s="1">
        <v>1</v>
      </c>
      <c r="AC19" s="1">
        <v>8</v>
      </c>
      <c r="AE19" s="1" t="s">
        <v>252</v>
      </c>
      <c r="AF19" s="1" t="s">
        <v>253</v>
      </c>
      <c r="AG19" s="1" t="s">
        <v>254</v>
      </c>
      <c r="AH19" s="1" t="s">
        <v>255</v>
      </c>
      <c r="AI19" s="1">
        <v>3.82</v>
      </c>
      <c r="AJ19" s="1">
        <v>174</v>
      </c>
      <c r="AK19" s="1">
        <v>773</v>
      </c>
    </row>
    <row r="20" spans="1:38" ht="15.75" customHeight="1">
      <c r="A20" s="1">
        <v>485</v>
      </c>
      <c r="C20" s="1">
        <v>4050</v>
      </c>
      <c r="D20" s="1" t="s">
        <v>38</v>
      </c>
      <c r="E20" s="1" t="s">
        <v>39</v>
      </c>
      <c r="F20" s="1" t="s">
        <v>40</v>
      </c>
      <c r="G20" s="1">
        <v>0</v>
      </c>
      <c r="H20" s="1" t="s">
        <v>41</v>
      </c>
      <c r="I20" s="1" t="s">
        <v>256</v>
      </c>
      <c r="J20" s="1" t="s">
        <v>257</v>
      </c>
      <c r="K20" s="1" t="s">
        <v>258</v>
      </c>
      <c r="L20" s="1">
        <v>1</v>
      </c>
      <c r="M20" s="1">
        <v>0</v>
      </c>
      <c r="N20" s="1" t="s">
        <v>259</v>
      </c>
      <c r="O20" s="1" t="s">
        <v>260</v>
      </c>
      <c r="P20" s="1" t="s">
        <v>261</v>
      </c>
      <c r="Q20" s="1">
        <v>0</v>
      </c>
      <c r="R20" s="1" t="s">
        <v>262</v>
      </c>
      <c r="S20" s="1" t="s">
        <v>263</v>
      </c>
      <c r="U20" s="2">
        <v>56769</v>
      </c>
      <c r="V20" s="1">
        <v>4.5999999999999996</v>
      </c>
      <c r="W20" s="1">
        <v>1000</v>
      </c>
      <c r="X20" s="1">
        <v>2930</v>
      </c>
      <c r="Y20" s="1">
        <v>463</v>
      </c>
      <c r="Z20" s="1">
        <v>1815</v>
      </c>
      <c r="AA20" s="1">
        <v>652</v>
      </c>
      <c r="AB20" s="1">
        <v>0</v>
      </c>
      <c r="AC20" s="1">
        <v>6</v>
      </c>
      <c r="AD20" s="1" t="s">
        <v>62</v>
      </c>
      <c r="AE20" s="1" t="s">
        <v>264</v>
      </c>
      <c r="AF20" s="1" t="s">
        <v>265</v>
      </c>
      <c r="AG20" s="1" t="s">
        <v>266</v>
      </c>
      <c r="AH20" s="1" t="s">
        <v>267</v>
      </c>
      <c r="AI20" s="1">
        <v>4.7</v>
      </c>
      <c r="AJ20" s="1">
        <v>1261</v>
      </c>
      <c r="AK20" s="1">
        <v>3264</v>
      </c>
      <c r="AL20" s="1">
        <v>232</v>
      </c>
    </row>
    <row r="21" spans="1:38" ht="15.75" customHeight="1">
      <c r="A21" s="1">
        <v>827</v>
      </c>
      <c r="C21" s="1">
        <v>4001</v>
      </c>
      <c r="D21" s="1" t="s">
        <v>51</v>
      </c>
      <c r="E21" s="1" t="s">
        <v>39</v>
      </c>
      <c r="F21" s="1" t="s">
        <v>67</v>
      </c>
      <c r="G21" s="1">
        <v>0</v>
      </c>
      <c r="H21" s="1" t="s">
        <v>41</v>
      </c>
      <c r="I21" s="1" t="s">
        <v>268</v>
      </c>
      <c r="J21" s="1" t="s">
        <v>269</v>
      </c>
      <c r="K21" s="1" t="s">
        <v>270</v>
      </c>
      <c r="L21" s="1">
        <v>1</v>
      </c>
      <c r="M21" s="1">
        <v>0</v>
      </c>
      <c r="N21" s="1" t="s">
        <v>271</v>
      </c>
      <c r="O21" s="1" t="s">
        <v>272</v>
      </c>
      <c r="P21" s="1" t="s">
        <v>273</v>
      </c>
      <c r="Q21" s="1">
        <v>0</v>
      </c>
      <c r="R21" s="1" t="s">
        <v>274</v>
      </c>
      <c r="S21" s="1" t="s">
        <v>275</v>
      </c>
      <c r="U21" s="2">
        <v>56772</v>
      </c>
      <c r="V21" s="1">
        <v>4.5</v>
      </c>
      <c r="W21" s="1">
        <v>1000</v>
      </c>
      <c r="X21" s="1">
        <v>4032</v>
      </c>
      <c r="Y21" s="1">
        <v>15</v>
      </c>
      <c r="Z21" s="1">
        <v>2582</v>
      </c>
      <c r="AA21" s="1">
        <v>1435</v>
      </c>
      <c r="AB21" s="1">
        <v>1</v>
      </c>
      <c r="AC21" s="1">
        <v>19</v>
      </c>
      <c r="AE21" s="1" t="s">
        <v>276</v>
      </c>
      <c r="AF21" s="1" t="s">
        <v>277</v>
      </c>
      <c r="AG21" s="1" t="s">
        <v>278</v>
      </c>
      <c r="AH21" s="1" t="s">
        <v>279</v>
      </c>
      <c r="AI21" s="1">
        <v>3.82</v>
      </c>
      <c r="AJ21" s="1">
        <v>174</v>
      </c>
      <c r="AK21" s="1">
        <v>773</v>
      </c>
    </row>
    <row r="22" spans="1:38" ht="15.75" customHeight="1">
      <c r="A22" s="1">
        <v>949</v>
      </c>
      <c r="B22" s="1">
        <v>1</v>
      </c>
      <c r="C22" s="1">
        <v>4050</v>
      </c>
      <c r="D22" s="1" t="s">
        <v>38</v>
      </c>
      <c r="E22" s="1" t="s">
        <v>39</v>
      </c>
      <c r="F22" s="1" t="s">
        <v>280</v>
      </c>
      <c r="G22" s="1">
        <v>0</v>
      </c>
      <c r="H22" s="1" t="s">
        <v>41</v>
      </c>
      <c r="I22" s="1" t="s">
        <v>281</v>
      </c>
      <c r="J22" s="1" t="s">
        <v>282</v>
      </c>
      <c r="K22" s="1" t="s">
        <v>283</v>
      </c>
      <c r="L22" s="1">
        <v>1</v>
      </c>
      <c r="M22" s="1">
        <v>0</v>
      </c>
      <c r="N22" s="1" t="s">
        <v>284</v>
      </c>
      <c r="O22" s="1" t="s">
        <v>285</v>
      </c>
      <c r="P22" s="1" t="s">
        <v>286</v>
      </c>
      <c r="Q22" s="1">
        <v>0</v>
      </c>
      <c r="R22" s="1" t="s">
        <v>287</v>
      </c>
      <c r="S22" s="1" t="s">
        <v>288</v>
      </c>
      <c r="U22" s="2">
        <v>56773</v>
      </c>
      <c r="V22" s="1">
        <v>4.5999999999999996</v>
      </c>
      <c r="W22" s="1">
        <v>1000</v>
      </c>
      <c r="X22" s="1">
        <v>2183</v>
      </c>
      <c r="Y22" s="1">
        <v>901</v>
      </c>
      <c r="Z22" s="1">
        <v>686</v>
      </c>
      <c r="AA22" s="1">
        <v>596</v>
      </c>
      <c r="AB22" s="1">
        <v>0</v>
      </c>
      <c r="AC22" s="1">
        <v>13</v>
      </c>
      <c r="AD22" s="1" t="s">
        <v>215</v>
      </c>
      <c r="AE22" s="1" t="s">
        <v>289</v>
      </c>
      <c r="AF22" s="1" t="s">
        <v>290</v>
      </c>
      <c r="AG22" s="1" t="s">
        <v>291</v>
      </c>
      <c r="AH22" s="1" t="s">
        <v>292</v>
      </c>
      <c r="AI22" s="1">
        <v>4.49</v>
      </c>
      <c r="AJ22" s="1">
        <v>2315</v>
      </c>
      <c r="AK22" s="1">
        <v>7039</v>
      </c>
      <c r="AL22" s="1">
        <v>763</v>
      </c>
    </row>
    <row r="23" spans="1:38" ht="15.75" customHeight="1">
      <c r="A23" s="1">
        <v>4</v>
      </c>
      <c r="B23" s="1">
        <v>5</v>
      </c>
      <c r="C23" s="1">
        <v>4050</v>
      </c>
      <c r="D23" s="1" t="s">
        <v>38</v>
      </c>
      <c r="E23" s="1" t="s">
        <v>39</v>
      </c>
      <c r="F23" s="1" t="s">
        <v>173</v>
      </c>
      <c r="G23" s="1">
        <v>0</v>
      </c>
      <c r="H23" s="1" t="s">
        <v>41</v>
      </c>
      <c r="I23" s="1" t="s">
        <v>293</v>
      </c>
      <c r="J23" s="1" t="s">
        <v>294</v>
      </c>
      <c r="K23" s="1" t="s">
        <v>295</v>
      </c>
      <c r="L23" s="1">
        <v>1</v>
      </c>
      <c r="M23" s="1">
        <v>0</v>
      </c>
      <c r="N23" s="1" t="s">
        <v>296</v>
      </c>
      <c r="O23" s="1" t="s">
        <v>297</v>
      </c>
      <c r="P23" s="1" t="s">
        <v>298</v>
      </c>
      <c r="Q23" s="1">
        <v>0</v>
      </c>
      <c r="R23" s="1" t="s">
        <v>299</v>
      </c>
      <c r="S23" s="1" t="s">
        <v>300</v>
      </c>
      <c r="U23" s="2">
        <v>56766</v>
      </c>
      <c r="V23" s="1">
        <v>4.3</v>
      </c>
      <c r="W23" s="1">
        <v>1000</v>
      </c>
      <c r="X23" s="1">
        <v>5526</v>
      </c>
      <c r="Y23" s="1">
        <v>3944</v>
      </c>
      <c r="Z23" s="1">
        <v>683</v>
      </c>
      <c r="AA23" s="1">
        <v>899</v>
      </c>
      <c r="AB23" s="1">
        <v>0</v>
      </c>
      <c r="AC23" s="1">
        <v>11</v>
      </c>
      <c r="AD23" s="1" t="s">
        <v>76</v>
      </c>
      <c r="AE23" s="1" t="s">
        <v>301</v>
      </c>
      <c r="AF23" s="1" t="s">
        <v>302</v>
      </c>
      <c r="AG23" s="1" t="s">
        <v>303</v>
      </c>
      <c r="AH23" s="1" t="s">
        <v>304</v>
      </c>
      <c r="AI23" s="1">
        <v>4.22</v>
      </c>
      <c r="AJ23" s="1">
        <v>1551</v>
      </c>
      <c r="AK23" s="1">
        <v>4625</v>
      </c>
    </row>
    <row r="24" spans="1:38" ht="15.75" customHeight="1">
      <c r="A24" s="1">
        <v>1551</v>
      </c>
      <c r="B24" s="1">
        <v>4</v>
      </c>
      <c r="C24" s="1">
        <v>4001</v>
      </c>
      <c r="D24" s="1" t="s">
        <v>51</v>
      </c>
      <c r="E24" s="1" t="s">
        <v>39</v>
      </c>
      <c r="F24" s="1" t="s">
        <v>305</v>
      </c>
      <c r="G24" s="1">
        <v>0</v>
      </c>
      <c r="H24" s="1" t="s">
        <v>53</v>
      </c>
      <c r="I24" s="1" t="s">
        <v>306</v>
      </c>
      <c r="J24" s="1" t="s">
        <v>307</v>
      </c>
      <c r="K24" s="1" t="s">
        <v>307</v>
      </c>
      <c r="L24" s="1">
        <v>0</v>
      </c>
      <c r="M24" s="1">
        <v>0</v>
      </c>
      <c r="N24" s="1" t="s">
        <v>308</v>
      </c>
      <c r="O24" s="1" t="s">
        <v>309</v>
      </c>
      <c r="P24" s="1" t="s">
        <v>310</v>
      </c>
      <c r="Q24" s="1">
        <v>0</v>
      </c>
      <c r="R24" s="1" t="s">
        <v>311</v>
      </c>
      <c r="S24" s="1" t="s">
        <v>312</v>
      </c>
      <c r="U24" s="2">
        <v>56778</v>
      </c>
      <c r="V24" s="1">
        <v>4.4000000000000004</v>
      </c>
      <c r="W24" s="1">
        <v>1000</v>
      </c>
      <c r="X24" s="1">
        <v>1218</v>
      </c>
      <c r="Y24" s="1">
        <v>286</v>
      </c>
      <c r="Z24" s="1">
        <v>630</v>
      </c>
      <c r="AA24" s="1">
        <v>302</v>
      </c>
      <c r="AB24" s="1">
        <v>0</v>
      </c>
      <c r="AC24" s="1">
        <v>12</v>
      </c>
      <c r="AD24" s="1" t="s">
        <v>62</v>
      </c>
      <c r="AE24" s="1" t="s">
        <v>313</v>
      </c>
      <c r="AF24" s="1" t="s">
        <v>314</v>
      </c>
      <c r="AG24" s="1" t="s">
        <v>315</v>
      </c>
      <c r="AH24" s="1" t="s">
        <v>316</v>
      </c>
      <c r="AI24" s="1">
        <v>4.5199999999999996</v>
      </c>
      <c r="AJ24" s="1">
        <v>183</v>
      </c>
      <c r="AK24" s="1">
        <v>522</v>
      </c>
    </row>
    <row r="25" spans="1:38" ht="15.75" customHeight="1">
      <c r="A25" s="1">
        <v>742</v>
      </c>
      <c r="C25" s="1">
        <v>4050</v>
      </c>
      <c r="D25" s="1" t="s">
        <v>38</v>
      </c>
      <c r="E25" s="1" t="s">
        <v>39</v>
      </c>
      <c r="F25" s="1" t="s">
        <v>40</v>
      </c>
      <c r="G25" s="1">
        <v>0</v>
      </c>
      <c r="H25" s="1" t="s">
        <v>41</v>
      </c>
      <c r="I25" s="1" t="s">
        <v>317</v>
      </c>
      <c r="J25" s="1" t="s">
        <v>318</v>
      </c>
      <c r="K25" s="1" t="s">
        <v>319</v>
      </c>
      <c r="L25" s="1">
        <v>1</v>
      </c>
      <c r="M25" s="1">
        <v>0</v>
      </c>
      <c r="N25" s="1" t="s">
        <v>320</v>
      </c>
      <c r="O25" s="1" t="s">
        <v>321</v>
      </c>
      <c r="P25" s="1" t="s">
        <v>322</v>
      </c>
      <c r="Q25" s="1">
        <v>0</v>
      </c>
      <c r="R25" s="1" t="s">
        <v>323</v>
      </c>
      <c r="S25" s="1" t="s">
        <v>324</v>
      </c>
      <c r="U25" s="2">
        <v>56771</v>
      </c>
      <c r="V25" s="1">
        <v>4.5</v>
      </c>
      <c r="W25" s="1">
        <v>1000</v>
      </c>
      <c r="X25" s="1">
        <v>3170</v>
      </c>
      <c r="Y25" s="1">
        <v>1041</v>
      </c>
      <c r="Z25" s="1">
        <v>861</v>
      </c>
      <c r="AA25" s="1">
        <v>1268</v>
      </c>
      <c r="AB25" s="1">
        <v>0</v>
      </c>
      <c r="AC25" s="1">
        <v>14</v>
      </c>
      <c r="AD25" s="1" t="s">
        <v>76</v>
      </c>
      <c r="AE25" s="1" t="s">
        <v>325</v>
      </c>
      <c r="AF25" s="1" t="s">
        <v>326</v>
      </c>
      <c r="AG25" s="1" t="s">
        <v>327</v>
      </c>
      <c r="AH25" s="1" t="s">
        <v>328</v>
      </c>
      <c r="AI25" s="1">
        <v>4.7</v>
      </c>
      <c r="AJ25" s="1">
        <v>1261</v>
      </c>
      <c r="AK25" s="1">
        <v>3264</v>
      </c>
      <c r="AL25" s="1">
        <v>232</v>
      </c>
    </row>
    <row r="26" spans="1:38" ht="15.75" customHeight="1">
      <c r="A26" s="1">
        <v>361</v>
      </c>
      <c r="B26" s="1">
        <v>3</v>
      </c>
      <c r="C26" s="1">
        <v>4050</v>
      </c>
      <c r="D26" s="1" t="s">
        <v>38</v>
      </c>
      <c r="E26" s="1" t="s">
        <v>39</v>
      </c>
      <c r="F26" s="1" t="s">
        <v>220</v>
      </c>
      <c r="G26" s="1">
        <v>0</v>
      </c>
      <c r="H26" s="1" t="s">
        <v>41</v>
      </c>
      <c r="I26" s="1" t="s">
        <v>329</v>
      </c>
      <c r="J26" s="1" t="s">
        <v>330</v>
      </c>
      <c r="K26" s="1" t="s">
        <v>331</v>
      </c>
      <c r="L26" s="1">
        <v>1</v>
      </c>
      <c r="M26" s="1">
        <v>0</v>
      </c>
      <c r="N26" s="1" t="s">
        <v>332</v>
      </c>
      <c r="O26" s="1" t="s">
        <v>333</v>
      </c>
      <c r="P26" s="1" t="s">
        <v>334</v>
      </c>
      <c r="Q26" s="1">
        <v>0</v>
      </c>
      <c r="R26" s="1" t="s">
        <v>335</v>
      </c>
      <c r="S26" s="1" t="s">
        <v>336</v>
      </c>
      <c r="U26" s="2">
        <v>56768</v>
      </c>
      <c r="V26" s="1">
        <v>4.5</v>
      </c>
      <c r="W26" s="1">
        <v>1000</v>
      </c>
      <c r="X26" s="1">
        <v>3598</v>
      </c>
      <c r="Y26" s="1">
        <v>318</v>
      </c>
      <c r="Z26" s="1">
        <v>2289</v>
      </c>
      <c r="AA26" s="1">
        <v>991</v>
      </c>
      <c r="AB26" s="1">
        <v>0</v>
      </c>
      <c r="AC26" s="1">
        <v>4</v>
      </c>
      <c r="AD26" s="1" t="s">
        <v>62</v>
      </c>
      <c r="AE26" s="1" t="s">
        <v>337</v>
      </c>
      <c r="AF26" s="1" t="s">
        <v>338</v>
      </c>
      <c r="AG26" s="1" t="s">
        <v>339</v>
      </c>
      <c r="AH26" s="1" t="s">
        <v>340</v>
      </c>
      <c r="AI26" s="1">
        <v>4.42</v>
      </c>
      <c r="AJ26" s="1">
        <v>1396</v>
      </c>
      <c r="AK26" s="1">
        <v>4836</v>
      </c>
      <c r="AL26" s="1">
        <v>1278</v>
      </c>
    </row>
    <row r="27" spans="1:38" ht="15.75" customHeight="1">
      <c r="A27" s="1">
        <v>36</v>
      </c>
      <c r="C27" s="1">
        <v>4001</v>
      </c>
      <c r="D27" s="1" t="s">
        <v>51</v>
      </c>
      <c r="E27" s="1" t="s">
        <v>39</v>
      </c>
      <c r="F27" s="1" t="s">
        <v>341</v>
      </c>
      <c r="G27" s="1">
        <v>0</v>
      </c>
      <c r="H27" s="1" t="s">
        <v>41</v>
      </c>
      <c r="I27" s="1" t="s">
        <v>342</v>
      </c>
      <c r="J27" s="1" t="s">
        <v>343</v>
      </c>
      <c r="K27" s="1" t="s">
        <v>343</v>
      </c>
      <c r="L27" s="1">
        <v>0</v>
      </c>
      <c r="M27" s="1">
        <v>0</v>
      </c>
      <c r="N27" s="1" t="s">
        <v>344</v>
      </c>
      <c r="O27" s="1" t="s">
        <v>345</v>
      </c>
      <c r="P27" s="1" t="s">
        <v>346</v>
      </c>
      <c r="Q27" s="1">
        <v>0</v>
      </c>
      <c r="R27" s="1" t="s">
        <v>347</v>
      </c>
      <c r="S27" s="1" t="s">
        <v>348</v>
      </c>
      <c r="U27" s="2">
        <v>56767</v>
      </c>
      <c r="V27" s="1">
        <v>4.4000000000000004</v>
      </c>
      <c r="W27" s="1">
        <v>1000</v>
      </c>
      <c r="X27" s="1">
        <v>2292</v>
      </c>
      <c r="Y27" s="1">
        <v>659</v>
      </c>
      <c r="Z27" s="1">
        <v>441</v>
      </c>
      <c r="AA27" s="1">
        <v>1192</v>
      </c>
      <c r="AB27" s="1">
        <v>0</v>
      </c>
      <c r="AC27" s="1">
        <v>11</v>
      </c>
      <c r="AD27" s="1" t="s">
        <v>215</v>
      </c>
      <c r="AE27" s="1" t="s">
        <v>349</v>
      </c>
      <c r="AF27" s="1" t="s">
        <v>350</v>
      </c>
      <c r="AG27" s="1" t="s">
        <v>351</v>
      </c>
      <c r="AH27" s="1" t="s">
        <v>352</v>
      </c>
      <c r="AI27" s="1">
        <v>4.54</v>
      </c>
      <c r="AJ27" s="1">
        <v>2229</v>
      </c>
      <c r="AK27" s="1">
        <v>6580</v>
      </c>
    </row>
    <row r="28" spans="1:38" ht="15.75" customHeight="1">
      <c r="A28" s="1">
        <v>271</v>
      </c>
      <c r="C28" s="1">
        <v>4001</v>
      </c>
      <c r="D28" s="1" t="s">
        <v>51</v>
      </c>
      <c r="E28" s="1" t="s">
        <v>39</v>
      </c>
      <c r="F28" s="1" t="s">
        <v>305</v>
      </c>
      <c r="G28" s="1">
        <v>0</v>
      </c>
      <c r="H28" s="1" t="s">
        <v>53</v>
      </c>
      <c r="I28" s="1" t="s">
        <v>353</v>
      </c>
      <c r="J28" s="1" t="s">
        <v>354</v>
      </c>
      <c r="K28" s="1" t="s">
        <v>355</v>
      </c>
      <c r="L28" s="1">
        <v>1</v>
      </c>
      <c r="M28" s="1">
        <v>0</v>
      </c>
      <c r="N28" s="1" t="s">
        <v>356</v>
      </c>
      <c r="O28" s="1" t="s">
        <v>357</v>
      </c>
      <c r="P28" s="1" t="s">
        <v>358</v>
      </c>
      <c r="Q28" s="1">
        <v>0</v>
      </c>
      <c r="R28" s="1" t="s">
        <v>359</v>
      </c>
      <c r="S28" s="1" t="s">
        <v>360</v>
      </c>
      <c r="U28" s="2">
        <v>56768</v>
      </c>
      <c r="V28" s="1">
        <v>3.4933989300000001</v>
      </c>
      <c r="W28" s="1">
        <v>7500</v>
      </c>
      <c r="X28" s="1">
        <v>1808</v>
      </c>
      <c r="Y28" s="1">
        <v>135</v>
      </c>
      <c r="Z28" s="1">
        <v>908</v>
      </c>
      <c r="AA28" s="1">
        <v>765</v>
      </c>
      <c r="AB28" s="1">
        <v>1</v>
      </c>
      <c r="AC28" s="1">
        <v>13</v>
      </c>
      <c r="AE28" s="1" t="s">
        <v>361</v>
      </c>
      <c r="AF28" s="1" t="s">
        <v>362</v>
      </c>
      <c r="AG28" s="1" t="s">
        <v>363</v>
      </c>
      <c r="AH28" s="1" t="s">
        <v>364</v>
      </c>
      <c r="AI28" s="1">
        <v>4.5199999999999996</v>
      </c>
      <c r="AJ28" s="1">
        <v>183</v>
      </c>
      <c r="AK28" s="1">
        <v>522</v>
      </c>
    </row>
    <row r="29" spans="1:38" ht="15.75" customHeight="1">
      <c r="A29" s="1">
        <v>498</v>
      </c>
      <c r="C29" s="1">
        <v>4050</v>
      </c>
      <c r="D29" s="1" t="s">
        <v>38</v>
      </c>
      <c r="E29" s="1" t="s">
        <v>39</v>
      </c>
      <c r="F29" s="1" t="s">
        <v>365</v>
      </c>
      <c r="G29" s="1">
        <v>0</v>
      </c>
      <c r="H29" s="1" t="s">
        <v>41</v>
      </c>
      <c r="I29" s="1" t="s">
        <v>366</v>
      </c>
      <c r="J29" s="1" t="s">
        <v>367</v>
      </c>
      <c r="K29" s="1" t="s">
        <v>368</v>
      </c>
      <c r="L29" s="1">
        <v>1</v>
      </c>
      <c r="M29" s="1">
        <v>0</v>
      </c>
      <c r="N29" s="1" t="s">
        <v>369</v>
      </c>
      <c r="O29" s="1" t="s">
        <v>370</v>
      </c>
      <c r="P29" s="1" t="s">
        <v>371</v>
      </c>
      <c r="Q29" s="1">
        <v>0</v>
      </c>
      <c r="R29" s="1" t="s">
        <v>372</v>
      </c>
      <c r="S29" s="1" t="s">
        <v>373</v>
      </c>
      <c r="U29" s="2">
        <v>56769</v>
      </c>
      <c r="V29" s="1">
        <v>3.4317832890000002</v>
      </c>
      <c r="W29" s="1">
        <v>7500</v>
      </c>
      <c r="X29" s="1">
        <v>1998</v>
      </c>
      <c r="Y29" s="1">
        <v>507</v>
      </c>
      <c r="Z29" s="1">
        <v>728</v>
      </c>
      <c r="AA29" s="1">
        <v>763</v>
      </c>
      <c r="AB29" s="1">
        <v>1</v>
      </c>
      <c r="AC29" s="1">
        <v>5</v>
      </c>
      <c r="AE29" s="1" t="s">
        <v>374</v>
      </c>
      <c r="AF29" s="1" t="s">
        <v>375</v>
      </c>
      <c r="AG29" s="1" t="s">
        <v>376</v>
      </c>
      <c r="AH29" s="1" t="s">
        <v>377</v>
      </c>
      <c r="AI29" s="1">
        <v>4.7699999999999996</v>
      </c>
      <c r="AJ29" s="1">
        <v>426</v>
      </c>
      <c r="AK29" s="1">
        <v>1226</v>
      </c>
      <c r="AL29" s="1">
        <v>85</v>
      </c>
    </row>
    <row r="30" spans="1:38" ht="15.75" customHeight="1">
      <c r="A30" s="1">
        <v>731</v>
      </c>
      <c r="B30" s="1">
        <v>5</v>
      </c>
      <c r="C30" s="1">
        <v>4050</v>
      </c>
      <c r="D30" s="1" t="s">
        <v>38</v>
      </c>
      <c r="E30" s="1" t="s">
        <v>39</v>
      </c>
      <c r="F30" s="1" t="s">
        <v>116</v>
      </c>
      <c r="G30" s="1">
        <v>0</v>
      </c>
      <c r="H30" s="1" t="s">
        <v>41</v>
      </c>
      <c r="I30" s="1" t="s">
        <v>378</v>
      </c>
      <c r="J30" s="1" t="s">
        <v>379</v>
      </c>
      <c r="K30" s="1" t="s">
        <v>380</v>
      </c>
      <c r="L30" s="1">
        <v>1</v>
      </c>
      <c r="M30" s="1">
        <v>0</v>
      </c>
      <c r="N30" s="1" t="s">
        <v>381</v>
      </c>
      <c r="O30" s="1" t="s">
        <v>382</v>
      </c>
      <c r="P30" s="1" t="s">
        <v>383</v>
      </c>
      <c r="Q30" s="1">
        <v>0</v>
      </c>
      <c r="R30" s="1" t="s">
        <v>384</v>
      </c>
      <c r="S30" s="1" t="s">
        <v>385</v>
      </c>
      <c r="U30" s="2">
        <v>56771</v>
      </c>
      <c r="V30" s="1">
        <v>4.5999999999999996</v>
      </c>
      <c r="W30" s="1">
        <v>7500</v>
      </c>
      <c r="X30" s="1">
        <v>2699</v>
      </c>
      <c r="Y30" s="1">
        <v>252</v>
      </c>
      <c r="Z30" s="1">
        <v>1962</v>
      </c>
      <c r="AA30" s="1">
        <v>485</v>
      </c>
      <c r="AB30" s="1">
        <v>0</v>
      </c>
      <c r="AC30" s="1">
        <v>8</v>
      </c>
      <c r="AD30" s="1" t="s">
        <v>62</v>
      </c>
      <c r="AE30" s="1" t="s">
        <v>386</v>
      </c>
      <c r="AF30" s="1" t="s">
        <v>387</v>
      </c>
      <c r="AG30" s="1" t="s">
        <v>388</v>
      </c>
      <c r="AH30" s="1" t="s">
        <v>389</v>
      </c>
      <c r="AI30" s="1">
        <v>4.8899999999999997</v>
      </c>
      <c r="AJ30" s="1">
        <v>1778</v>
      </c>
      <c r="AK30" s="1">
        <v>5138</v>
      </c>
      <c r="AL30" s="1">
        <v>314</v>
      </c>
    </row>
    <row r="31" spans="1:38" ht="15.75" customHeight="1">
      <c r="A31" s="1">
        <v>639</v>
      </c>
      <c r="C31" s="1">
        <v>4050</v>
      </c>
      <c r="D31" s="1" t="s">
        <v>38</v>
      </c>
      <c r="E31" s="1" t="s">
        <v>39</v>
      </c>
      <c r="F31" s="1" t="s">
        <v>390</v>
      </c>
      <c r="G31" s="1">
        <v>0</v>
      </c>
      <c r="H31" s="1" t="s">
        <v>41</v>
      </c>
      <c r="I31" s="1" t="s">
        <v>391</v>
      </c>
      <c r="J31" s="1" t="s">
        <v>392</v>
      </c>
      <c r="K31" s="1" t="s">
        <v>393</v>
      </c>
      <c r="L31" s="1">
        <v>1</v>
      </c>
      <c r="M31" s="1">
        <v>0</v>
      </c>
      <c r="N31" s="1" t="s">
        <v>394</v>
      </c>
      <c r="O31" s="1" t="s">
        <v>395</v>
      </c>
      <c r="P31" s="1" t="s">
        <v>396</v>
      </c>
      <c r="Q31" s="1">
        <v>0</v>
      </c>
      <c r="R31" s="1" t="s">
        <v>397</v>
      </c>
      <c r="S31" s="1" t="s">
        <v>398</v>
      </c>
      <c r="U31" s="2">
        <v>56770</v>
      </c>
      <c r="V31" s="1">
        <v>4.7</v>
      </c>
      <c r="W31" s="1">
        <v>7500</v>
      </c>
      <c r="X31" s="1">
        <v>2038</v>
      </c>
      <c r="Y31" s="1">
        <v>163</v>
      </c>
      <c r="Z31" s="1">
        <v>963</v>
      </c>
      <c r="AA31" s="1">
        <v>912</v>
      </c>
      <c r="AB31" s="1">
        <v>0</v>
      </c>
      <c r="AC31" s="1">
        <v>10</v>
      </c>
      <c r="AD31" s="1" t="s">
        <v>62</v>
      </c>
      <c r="AE31" s="1" t="s">
        <v>399</v>
      </c>
      <c r="AF31" s="1" t="s">
        <v>400</v>
      </c>
      <c r="AG31" s="1" t="s">
        <v>401</v>
      </c>
      <c r="AH31" s="1" t="s">
        <v>402</v>
      </c>
      <c r="AI31" s="1">
        <v>4.5599999999999996</v>
      </c>
      <c r="AJ31" s="1">
        <v>344</v>
      </c>
      <c r="AK31" s="1">
        <v>947</v>
      </c>
      <c r="AL31" s="1">
        <v>22</v>
      </c>
    </row>
    <row r="32" spans="1:38" ht="15.75" customHeight="1">
      <c r="A32" s="1">
        <v>253</v>
      </c>
      <c r="B32" s="1">
        <v>5</v>
      </c>
      <c r="C32" s="1">
        <v>4001</v>
      </c>
      <c r="D32" s="1" t="s">
        <v>51</v>
      </c>
      <c r="E32" s="1" t="s">
        <v>39</v>
      </c>
      <c r="F32" s="1" t="s">
        <v>305</v>
      </c>
      <c r="G32" s="1">
        <v>0</v>
      </c>
      <c r="H32" s="1" t="s">
        <v>53</v>
      </c>
      <c r="I32" s="1" t="s">
        <v>403</v>
      </c>
      <c r="J32" s="1" t="s">
        <v>404</v>
      </c>
      <c r="K32" s="1" t="s">
        <v>404</v>
      </c>
      <c r="L32" s="1">
        <v>0</v>
      </c>
      <c r="M32" s="1">
        <v>0</v>
      </c>
      <c r="N32" s="1" t="s">
        <v>405</v>
      </c>
      <c r="O32" s="1" t="s">
        <v>406</v>
      </c>
      <c r="P32" s="1" t="s">
        <v>407</v>
      </c>
      <c r="Q32" s="1">
        <v>0</v>
      </c>
      <c r="R32" s="1" t="s">
        <v>408</v>
      </c>
      <c r="S32" s="1" t="s">
        <v>409</v>
      </c>
      <c r="U32" s="2">
        <v>56768</v>
      </c>
      <c r="V32" s="1">
        <v>4.5</v>
      </c>
      <c r="W32" s="1">
        <v>7500</v>
      </c>
      <c r="X32" s="1">
        <v>2612</v>
      </c>
      <c r="Y32" s="1">
        <v>339</v>
      </c>
      <c r="Z32" s="1">
        <v>1817</v>
      </c>
      <c r="AA32" s="1">
        <v>456</v>
      </c>
      <c r="AB32" s="1">
        <v>0</v>
      </c>
      <c r="AC32" s="1">
        <v>18</v>
      </c>
      <c r="AD32" s="1" t="s">
        <v>215</v>
      </c>
      <c r="AE32" s="1" t="s">
        <v>410</v>
      </c>
      <c r="AF32" s="1" t="s">
        <v>411</v>
      </c>
      <c r="AG32" s="1" t="s">
        <v>412</v>
      </c>
      <c r="AH32" s="1" t="s">
        <v>413</v>
      </c>
      <c r="AI32" s="1">
        <v>4.5199999999999996</v>
      </c>
      <c r="AJ32" s="1">
        <v>183</v>
      </c>
      <c r="AK32" s="1">
        <v>522</v>
      </c>
    </row>
    <row r="33" spans="1:38" ht="15.75" customHeight="1">
      <c r="A33" s="1">
        <v>966</v>
      </c>
      <c r="C33" s="1">
        <v>4001</v>
      </c>
      <c r="D33" s="1" t="s">
        <v>51</v>
      </c>
      <c r="E33" s="1" t="s">
        <v>39</v>
      </c>
      <c r="F33" s="1" t="s">
        <v>414</v>
      </c>
      <c r="G33" s="1">
        <v>0</v>
      </c>
      <c r="H33" s="1" t="s">
        <v>53</v>
      </c>
      <c r="I33" s="1" t="s">
        <v>415</v>
      </c>
      <c r="J33" s="1" t="s">
        <v>416</v>
      </c>
      <c r="K33" s="1" t="s">
        <v>417</v>
      </c>
      <c r="L33" s="1">
        <v>1</v>
      </c>
      <c r="M33" s="1">
        <v>0</v>
      </c>
      <c r="N33" s="1" t="s">
        <v>418</v>
      </c>
      <c r="O33" s="1" t="s">
        <v>419</v>
      </c>
      <c r="P33" s="1" t="s">
        <v>420</v>
      </c>
      <c r="Q33" s="1">
        <v>0</v>
      </c>
      <c r="R33" s="1" t="s">
        <v>421</v>
      </c>
      <c r="S33" s="1" t="s">
        <v>422</v>
      </c>
      <c r="U33" s="2">
        <v>56773</v>
      </c>
      <c r="V33" s="1">
        <v>4.6781930059999999</v>
      </c>
      <c r="W33" s="1">
        <v>7500</v>
      </c>
      <c r="X33" s="1">
        <v>2718</v>
      </c>
      <c r="Y33" s="1">
        <v>963</v>
      </c>
      <c r="Z33" s="1">
        <v>703</v>
      </c>
      <c r="AA33" s="1">
        <v>1052</v>
      </c>
      <c r="AB33" s="1">
        <v>0</v>
      </c>
      <c r="AC33" s="1">
        <v>7</v>
      </c>
      <c r="AD33" s="1" t="s">
        <v>76</v>
      </c>
      <c r="AE33" s="1" t="s">
        <v>423</v>
      </c>
      <c r="AF33" s="1" t="s">
        <v>424</v>
      </c>
      <c r="AG33" s="1" t="s">
        <v>425</v>
      </c>
      <c r="AH33" s="1" t="s">
        <v>426</v>
      </c>
      <c r="AI33" s="1">
        <v>4.58</v>
      </c>
      <c r="AJ33" s="1">
        <v>254</v>
      </c>
      <c r="AK33" s="1">
        <v>788</v>
      </c>
      <c r="AL33" s="1">
        <v>9</v>
      </c>
    </row>
    <row r="34" spans="1:38" ht="15.75" customHeight="1">
      <c r="A34" s="1">
        <v>1448</v>
      </c>
      <c r="B34" s="1">
        <v>5</v>
      </c>
      <c r="C34" s="1">
        <v>4001</v>
      </c>
      <c r="D34" s="1" t="s">
        <v>51</v>
      </c>
      <c r="E34" s="1" t="s">
        <v>39</v>
      </c>
      <c r="F34" s="1" t="s">
        <v>341</v>
      </c>
      <c r="G34" s="1">
        <v>0</v>
      </c>
      <c r="H34" s="1" t="s">
        <v>41</v>
      </c>
      <c r="I34" s="1" t="s">
        <v>427</v>
      </c>
      <c r="J34" s="1" t="s">
        <v>428</v>
      </c>
      <c r="K34" s="1" t="s">
        <v>429</v>
      </c>
      <c r="L34" s="1">
        <v>1</v>
      </c>
      <c r="M34" s="1">
        <v>1</v>
      </c>
      <c r="N34" s="1" t="s">
        <v>430</v>
      </c>
      <c r="O34" s="1" t="s">
        <v>431</v>
      </c>
      <c r="P34" s="1" t="s">
        <v>432</v>
      </c>
      <c r="Q34" s="1">
        <v>0</v>
      </c>
      <c r="R34" s="1" t="s">
        <v>433</v>
      </c>
      <c r="S34" s="1" t="s">
        <v>434</v>
      </c>
      <c r="U34" s="2">
        <v>56777</v>
      </c>
      <c r="V34" s="1">
        <v>3.4125151090000001</v>
      </c>
      <c r="W34" s="1">
        <v>7500</v>
      </c>
      <c r="X34" s="1">
        <v>2475</v>
      </c>
      <c r="Y34" s="1">
        <v>264</v>
      </c>
      <c r="Z34" s="1">
        <v>1779</v>
      </c>
      <c r="AA34" s="1">
        <v>432</v>
      </c>
      <c r="AB34" s="1">
        <v>0</v>
      </c>
      <c r="AC34" s="1">
        <v>23</v>
      </c>
      <c r="AD34" s="1" t="s">
        <v>62</v>
      </c>
      <c r="AE34" s="1" t="s">
        <v>435</v>
      </c>
      <c r="AF34" s="1" t="s">
        <v>436</v>
      </c>
      <c r="AG34" s="1" t="s">
        <v>437</v>
      </c>
      <c r="AH34" s="1" t="s">
        <v>438</v>
      </c>
      <c r="AI34" s="1">
        <v>4.54</v>
      </c>
      <c r="AJ34" s="1">
        <v>2229</v>
      </c>
      <c r="AK34" s="1">
        <v>6580</v>
      </c>
    </row>
    <row r="35" spans="1:38" ht="15.75" customHeight="1">
      <c r="A35" s="1">
        <v>252</v>
      </c>
      <c r="C35" s="1">
        <v>4001</v>
      </c>
      <c r="D35" s="1" t="s">
        <v>51</v>
      </c>
      <c r="E35" s="1" t="s">
        <v>39</v>
      </c>
      <c r="F35" s="1" t="s">
        <v>341</v>
      </c>
      <c r="G35" s="1">
        <v>0</v>
      </c>
      <c r="H35" s="1" t="s">
        <v>41</v>
      </c>
      <c r="I35" s="1" t="s">
        <v>439</v>
      </c>
      <c r="J35" s="1" t="s">
        <v>440</v>
      </c>
      <c r="K35" s="1" t="s">
        <v>441</v>
      </c>
      <c r="L35" s="1">
        <v>1</v>
      </c>
      <c r="M35" s="1">
        <v>0</v>
      </c>
      <c r="N35" s="1" t="s">
        <v>442</v>
      </c>
      <c r="O35" s="1" t="s">
        <v>443</v>
      </c>
      <c r="P35" s="1" t="s">
        <v>444</v>
      </c>
      <c r="Q35" s="1">
        <v>1</v>
      </c>
      <c r="R35" s="1" t="s">
        <v>445</v>
      </c>
      <c r="S35" s="1" t="s">
        <v>446</v>
      </c>
      <c r="U35" s="2">
        <v>56768</v>
      </c>
      <c r="V35" s="1">
        <v>4.5</v>
      </c>
      <c r="W35" s="1">
        <v>7500</v>
      </c>
      <c r="X35" s="1">
        <v>2432</v>
      </c>
      <c r="Y35" s="1">
        <v>634</v>
      </c>
      <c r="Z35" s="1">
        <v>792</v>
      </c>
      <c r="AA35" s="1">
        <v>1006</v>
      </c>
      <c r="AB35" s="1">
        <v>1</v>
      </c>
      <c r="AC35" s="1">
        <v>16</v>
      </c>
      <c r="AE35" s="1" t="s">
        <v>447</v>
      </c>
      <c r="AF35" s="1" t="s">
        <v>448</v>
      </c>
      <c r="AG35" s="1" t="s">
        <v>449</v>
      </c>
      <c r="AH35" s="1" t="s">
        <v>450</v>
      </c>
      <c r="AI35" s="1">
        <v>4.54</v>
      </c>
      <c r="AJ35" s="1">
        <v>2229</v>
      </c>
      <c r="AK35" s="1">
        <v>6580</v>
      </c>
    </row>
    <row r="36" spans="1:38" ht="15.75" customHeight="1">
      <c r="A36" s="1">
        <v>349</v>
      </c>
      <c r="B36" s="1">
        <v>5</v>
      </c>
      <c r="C36" s="1">
        <v>4050</v>
      </c>
      <c r="D36" s="1" t="s">
        <v>38</v>
      </c>
      <c r="E36" s="1" t="s">
        <v>39</v>
      </c>
      <c r="F36" s="1" t="s">
        <v>451</v>
      </c>
      <c r="G36" s="1">
        <v>0</v>
      </c>
      <c r="H36" s="1" t="s">
        <v>41</v>
      </c>
      <c r="I36" s="1" t="s">
        <v>452</v>
      </c>
      <c r="J36" s="1" t="s">
        <v>453</v>
      </c>
      <c r="K36" s="1" t="s">
        <v>454</v>
      </c>
      <c r="L36" s="1">
        <v>1</v>
      </c>
      <c r="M36" s="1">
        <v>0</v>
      </c>
      <c r="N36" s="1" t="s">
        <v>455</v>
      </c>
      <c r="O36" s="1" t="s">
        <v>456</v>
      </c>
      <c r="P36" s="1" t="s">
        <v>457</v>
      </c>
      <c r="Q36" s="1">
        <v>0</v>
      </c>
      <c r="R36" s="1" t="s">
        <v>458</v>
      </c>
      <c r="U36" s="2">
        <v>56768</v>
      </c>
      <c r="V36" s="1">
        <v>4.8</v>
      </c>
      <c r="W36" s="1">
        <v>7500</v>
      </c>
      <c r="X36" s="1">
        <v>2327</v>
      </c>
      <c r="AA36" s="1">
        <v>1007</v>
      </c>
      <c r="AB36" s="1">
        <v>0</v>
      </c>
      <c r="AC36" s="1">
        <v>17</v>
      </c>
      <c r="AE36" s="1" t="s">
        <v>459</v>
      </c>
      <c r="AF36" s="1" t="s">
        <v>460</v>
      </c>
      <c r="AG36" s="1" t="s">
        <v>461</v>
      </c>
      <c r="AI36" s="1">
        <v>4.7</v>
      </c>
      <c r="AJ36" s="1">
        <v>272</v>
      </c>
      <c r="AK36" s="1">
        <v>931</v>
      </c>
      <c r="AL36" s="1">
        <v>144</v>
      </c>
    </row>
    <row r="37" spans="1:38" ht="15.75" customHeight="1">
      <c r="A37" s="1">
        <v>528</v>
      </c>
      <c r="B37" s="1">
        <v>5</v>
      </c>
      <c r="C37" s="1">
        <v>4050</v>
      </c>
      <c r="D37" s="1" t="s">
        <v>38</v>
      </c>
      <c r="E37" s="1" t="s">
        <v>39</v>
      </c>
      <c r="F37" s="1" t="s">
        <v>280</v>
      </c>
      <c r="G37" s="1">
        <v>0</v>
      </c>
      <c r="H37" s="1" t="s">
        <v>41</v>
      </c>
      <c r="I37" s="1" t="s">
        <v>462</v>
      </c>
      <c r="J37" s="1" t="s">
        <v>463</v>
      </c>
      <c r="K37" s="1" t="s">
        <v>464</v>
      </c>
      <c r="L37" s="1">
        <v>1</v>
      </c>
      <c r="M37" s="1">
        <v>0</v>
      </c>
      <c r="N37" s="1" t="s">
        <v>465</v>
      </c>
      <c r="O37" s="1" t="s">
        <v>466</v>
      </c>
      <c r="P37" s="1" t="s">
        <v>467</v>
      </c>
      <c r="Q37" s="1">
        <v>0</v>
      </c>
      <c r="R37" s="1" t="s">
        <v>468</v>
      </c>
      <c r="S37" s="1" t="s">
        <v>469</v>
      </c>
      <c r="U37" s="2">
        <v>56769</v>
      </c>
      <c r="V37" s="1">
        <v>4.5999999999999996</v>
      </c>
      <c r="W37" s="1">
        <v>7500</v>
      </c>
      <c r="X37" s="1">
        <v>2292</v>
      </c>
      <c r="Y37" s="1">
        <v>1212</v>
      </c>
      <c r="Z37" s="1">
        <v>381</v>
      </c>
      <c r="AA37" s="1">
        <v>699</v>
      </c>
      <c r="AB37" s="1">
        <v>0</v>
      </c>
      <c r="AC37" s="1">
        <v>7</v>
      </c>
      <c r="AD37" s="1" t="s">
        <v>76</v>
      </c>
      <c r="AE37" s="1" t="s">
        <v>470</v>
      </c>
      <c r="AF37" s="1" t="s">
        <v>471</v>
      </c>
      <c r="AG37" s="1" t="s">
        <v>472</v>
      </c>
      <c r="AH37" s="1" t="s">
        <v>473</v>
      </c>
      <c r="AI37" s="1">
        <v>4.49</v>
      </c>
      <c r="AJ37" s="1">
        <v>2315</v>
      </c>
      <c r="AK37" s="1">
        <v>7039</v>
      </c>
      <c r="AL37" s="1">
        <v>763</v>
      </c>
    </row>
    <row r="38" spans="1:38" ht="15.75" customHeight="1">
      <c r="A38" s="1">
        <v>104</v>
      </c>
      <c r="C38" s="1">
        <v>4001</v>
      </c>
      <c r="D38" s="1" t="s">
        <v>51</v>
      </c>
      <c r="E38" s="1" t="s">
        <v>39</v>
      </c>
      <c r="F38" s="1" t="s">
        <v>52</v>
      </c>
      <c r="G38" s="1">
        <v>0</v>
      </c>
      <c r="H38" s="1" t="s">
        <v>53</v>
      </c>
      <c r="I38" s="1" t="s">
        <v>474</v>
      </c>
      <c r="J38" s="1" t="s">
        <v>475</v>
      </c>
      <c r="K38" s="1" t="s">
        <v>476</v>
      </c>
      <c r="L38" s="1">
        <v>1</v>
      </c>
      <c r="M38" s="1">
        <v>0</v>
      </c>
      <c r="N38" s="1" t="s">
        <v>477</v>
      </c>
      <c r="O38" s="1" t="s">
        <v>478</v>
      </c>
      <c r="P38" s="1" t="s">
        <v>479</v>
      </c>
      <c r="Q38" s="1">
        <v>0</v>
      </c>
      <c r="R38" s="1" t="s">
        <v>480</v>
      </c>
      <c r="S38" s="1" t="s">
        <v>481</v>
      </c>
      <c r="U38" s="2">
        <v>56766</v>
      </c>
      <c r="V38" s="1">
        <v>2.6975186459999998</v>
      </c>
      <c r="W38" s="1">
        <v>7500</v>
      </c>
      <c r="X38" s="1">
        <v>1445</v>
      </c>
      <c r="Y38" s="1">
        <v>676</v>
      </c>
      <c r="Z38" s="1">
        <v>251</v>
      </c>
      <c r="AA38" s="1">
        <v>518</v>
      </c>
      <c r="AB38" s="1">
        <v>0</v>
      </c>
      <c r="AC38" s="1">
        <v>4</v>
      </c>
      <c r="AD38" s="1" t="s">
        <v>215</v>
      </c>
      <c r="AE38" s="1" t="s">
        <v>482</v>
      </c>
      <c r="AF38" s="1" t="s">
        <v>483</v>
      </c>
      <c r="AG38" s="1" t="s">
        <v>484</v>
      </c>
      <c r="AH38" s="1" t="s">
        <v>485</v>
      </c>
      <c r="AI38" s="1">
        <v>4.17</v>
      </c>
      <c r="AJ38" s="1">
        <v>457</v>
      </c>
      <c r="AK38" s="1">
        <v>1599</v>
      </c>
    </row>
    <row r="39" spans="1:38" ht="15.75" customHeight="1">
      <c r="A39" s="1">
        <v>195</v>
      </c>
      <c r="B39" s="1">
        <v>5</v>
      </c>
      <c r="C39" s="1">
        <v>4050</v>
      </c>
      <c r="D39" s="1" t="s">
        <v>38</v>
      </c>
      <c r="E39" s="1" t="s">
        <v>39</v>
      </c>
      <c r="F39" s="1" t="s">
        <v>486</v>
      </c>
      <c r="G39" s="1">
        <v>0</v>
      </c>
      <c r="H39" s="1" t="s">
        <v>41</v>
      </c>
      <c r="I39" s="1" t="s">
        <v>487</v>
      </c>
      <c r="J39" s="1" t="s">
        <v>488</v>
      </c>
      <c r="K39" s="1" t="s">
        <v>489</v>
      </c>
      <c r="L39" s="1">
        <v>1</v>
      </c>
      <c r="M39" s="1">
        <v>0</v>
      </c>
      <c r="N39" s="1" t="s">
        <v>490</v>
      </c>
      <c r="O39" s="1" t="s">
        <v>491</v>
      </c>
      <c r="P39" s="1" t="s">
        <v>492</v>
      </c>
      <c r="Q39" s="1">
        <v>0</v>
      </c>
      <c r="R39" s="1" t="s">
        <v>493</v>
      </c>
      <c r="S39" s="1" t="s">
        <v>494</v>
      </c>
      <c r="U39" s="2">
        <v>56767</v>
      </c>
      <c r="V39" s="1">
        <v>4.7</v>
      </c>
      <c r="W39" s="1">
        <v>7500</v>
      </c>
      <c r="X39" s="1">
        <v>2623</v>
      </c>
      <c r="Y39" s="1">
        <v>805</v>
      </c>
      <c r="Z39" s="1">
        <v>953</v>
      </c>
      <c r="AA39" s="1">
        <v>865</v>
      </c>
      <c r="AB39" s="1">
        <v>0</v>
      </c>
      <c r="AC39" s="1">
        <v>5</v>
      </c>
      <c r="AD39" s="1" t="s">
        <v>215</v>
      </c>
      <c r="AE39" s="1" t="s">
        <v>495</v>
      </c>
      <c r="AF39" s="1" t="s">
        <v>496</v>
      </c>
      <c r="AG39" s="1" t="s">
        <v>497</v>
      </c>
      <c r="AH39" s="1" t="s">
        <v>498</v>
      </c>
      <c r="AI39" s="1">
        <v>4.7</v>
      </c>
      <c r="AJ39" s="1">
        <v>212</v>
      </c>
      <c r="AK39" s="1">
        <v>624</v>
      </c>
      <c r="AL39" s="1">
        <v>347</v>
      </c>
    </row>
    <row r="40" spans="1:38" ht="15.75" customHeight="1">
      <c r="A40" s="1">
        <v>735</v>
      </c>
      <c r="B40" s="1">
        <v>1</v>
      </c>
      <c r="C40" s="1">
        <v>4001</v>
      </c>
      <c r="D40" s="1" t="s">
        <v>51</v>
      </c>
      <c r="E40" s="1" t="s">
        <v>39</v>
      </c>
      <c r="F40" s="1" t="s">
        <v>414</v>
      </c>
      <c r="G40" s="1">
        <v>0</v>
      </c>
      <c r="H40" s="1" t="s">
        <v>53</v>
      </c>
      <c r="I40" s="1" t="s">
        <v>499</v>
      </c>
      <c r="J40" s="1" t="s">
        <v>500</v>
      </c>
      <c r="K40" s="1" t="s">
        <v>500</v>
      </c>
      <c r="L40" s="1">
        <v>0</v>
      </c>
      <c r="M40" s="1">
        <v>0</v>
      </c>
      <c r="N40" s="1" t="s">
        <v>501</v>
      </c>
      <c r="O40" s="1" t="s">
        <v>502</v>
      </c>
      <c r="P40" s="1" t="s">
        <v>503</v>
      </c>
      <c r="Q40" s="1">
        <v>0</v>
      </c>
      <c r="R40" s="1" t="s">
        <v>504</v>
      </c>
      <c r="S40" s="1" t="s">
        <v>505</v>
      </c>
      <c r="U40" s="2">
        <v>56775</v>
      </c>
      <c r="V40" s="1">
        <v>4.5</v>
      </c>
      <c r="W40" s="1">
        <v>7500</v>
      </c>
      <c r="X40" s="1">
        <v>1406</v>
      </c>
      <c r="Y40" s="1">
        <v>288</v>
      </c>
      <c r="Z40" s="1">
        <v>482</v>
      </c>
      <c r="AA40" s="1">
        <v>636</v>
      </c>
      <c r="AB40" s="1">
        <v>0</v>
      </c>
      <c r="AC40" s="1">
        <v>6</v>
      </c>
      <c r="AD40" s="1" t="s">
        <v>62</v>
      </c>
      <c r="AE40" s="1" t="s">
        <v>506</v>
      </c>
      <c r="AF40" s="1" t="s">
        <v>507</v>
      </c>
      <c r="AG40" s="1" t="s">
        <v>508</v>
      </c>
      <c r="AH40" s="1" t="s">
        <v>509</v>
      </c>
      <c r="AI40" s="1">
        <v>4.58</v>
      </c>
      <c r="AJ40" s="1">
        <v>254</v>
      </c>
      <c r="AK40" s="1">
        <v>788</v>
      </c>
      <c r="AL40" s="1">
        <v>9</v>
      </c>
    </row>
    <row r="41" spans="1:38" ht="15.75" customHeight="1">
      <c r="A41" s="1">
        <v>518</v>
      </c>
      <c r="B41" s="1">
        <v>5</v>
      </c>
      <c r="C41" s="1">
        <v>4050</v>
      </c>
      <c r="D41" s="1" t="s">
        <v>38</v>
      </c>
      <c r="E41" s="1" t="s">
        <v>39</v>
      </c>
      <c r="F41" s="1" t="s">
        <v>510</v>
      </c>
      <c r="G41" s="1">
        <v>0</v>
      </c>
      <c r="H41" s="1" t="s">
        <v>41</v>
      </c>
      <c r="I41" s="1" t="s">
        <v>511</v>
      </c>
      <c r="J41" s="1" t="s">
        <v>512</v>
      </c>
      <c r="K41" s="1" t="s">
        <v>513</v>
      </c>
      <c r="L41" s="1">
        <v>1</v>
      </c>
      <c r="M41" s="1">
        <v>0</v>
      </c>
      <c r="N41" s="1" t="s">
        <v>514</v>
      </c>
      <c r="O41" s="1" t="s">
        <v>515</v>
      </c>
      <c r="P41" s="1" t="s">
        <v>516</v>
      </c>
      <c r="Q41" s="1">
        <v>0</v>
      </c>
      <c r="R41" s="1" t="s">
        <v>517</v>
      </c>
      <c r="S41" s="1" t="s">
        <v>518</v>
      </c>
      <c r="U41" s="2">
        <v>56769</v>
      </c>
      <c r="V41" s="1">
        <v>4</v>
      </c>
      <c r="W41" s="1">
        <v>7500</v>
      </c>
      <c r="X41" s="1">
        <v>4238</v>
      </c>
      <c r="Y41" s="1">
        <v>374</v>
      </c>
      <c r="Z41" s="1">
        <v>2712</v>
      </c>
      <c r="AA41" s="1">
        <v>1152</v>
      </c>
      <c r="AB41" s="1">
        <v>1</v>
      </c>
      <c r="AC41" s="1">
        <v>8</v>
      </c>
      <c r="AE41" s="1" t="s">
        <v>519</v>
      </c>
      <c r="AF41" s="1" t="s">
        <v>520</v>
      </c>
      <c r="AG41" s="1" t="s">
        <v>521</v>
      </c>
      <c r="AH41" s="1" t="s">
        <v>522</v>
      </c>
      <c r="AI41" s="1">
        <v>4.62</v>
      </c>
      <c r="AJ41" s="1">
        <v>259</v>
      </c>
      <c r="AK41" s="1">
        <v>604</v>
      </c>
      <c r="AL41" s="1">
        <v>21</v>
      </c>
    </row>
    <row r="42" spans="1:38" ht="15.75" customHeight="1">
      <c r="A42" s="1">
        <v>826</v>
      </c>
      <c r="B42" s="1">
        <v>3</v>
      </c>
      <c r="C42" s="1">
        <v>4050</v>
      </c>
      <c r="D42" s="1" t="s">
        <v>38</v>
      </c>
      <c r="E42" s="1" t="s">
        <v>39</v>
      </c>
      <c r="F42" s="1" t="s">
        <v>510</v>
      </c>
      <c r="G42" s="1">
        <v>0</v>
      </c>
      <c r="H42" s="1" t="s">
        <v>41</v>
      </c>
      <c r="I42" s="1" t="s">
        <v>523</v>
      </c>
      <c r="J42" s="1" t="s">
        <v>524</v>
      </c>
      <c r="K42" s="1" t="s">
        <v>524</v>
      </c>
      <c r="L42" s="1">
        <v>0</v>
      </c>
      <c r="M42" s="1">
        <v>0</v>
      </c>
      <c r="N42" s="1" t="s">
        <v>525</v>
      </c>
      <c r="O42" s="1" t="s">
        <v>526</v>
      </c>
      <c r="P42" s="1" t="s">
        <v>527</v>
      </c>
      <c r="Q42" s="1">
        <v>0</v>
      </c>
      <c r="R42" s="1" t="s">
        <v>528</v>
      </c>
      <c r="U42" s="2">
        <v>56772</v>
      </c>
      <c r="V42" s="1">
        <v>4.5999999999999996</v>
      </c>
      <c r="W42" s="1">
        <v>7500</v>
      </c>
      <c r="X42" s="1">
        <v>3473</v>
      </c>
      <c r="AA42" s="1">
        <v>967</v>
      </c>
      <c r="AB42" s="1">
        <v>0</v>
      </c>
      <c r="AC42" s="1">
        <v>5</v>
      </c>
      <c r="AE42" s="1" t="s">
        <v>529</v>
      </c>
      <c r="AF42" s="1" t="s">
        <v>530</v>
      </c>
      <c r="AG42" s="1" t="s">
        <v>531</v>
      </c>
      <c r="AI42" s="1">
        <v>4.62</v>
      </c>
      <c r="AJ42" s="1">
        <v>259</v>
      </c>
      <c r="AK42" s="1">
        <v>604</v>
      </c>
      <c r="AL42" s="1">
        <v>21</v>
      </c>
    </row>
    <row r="43" spans="1:38" ht="15.75" customHeight="1">
      <c r="A43" s="1">
        <v>625</v>
      </c>
      <c r="C43" s="1">
        <v>4050</v>
      </c>
      <c r="D43" s="1" t="s">
        <v>38</v>
      </c>
      <c r="E43" s="1" t="s">
        <v>39</v>
      </c>
      <c r="F43" s="1" t="s">
        <v>532</v>
      </c>
      <c r="G43" s="1">
        <v>0</v>
      </c>
      <c r="H43" s="1" t="s">
        <v>41</v>
      </c>
      <c r="I43" s="1" t="s">
        <v>533</v>
      </c>
      <c r="J43" s="1" t="s">
        <v>534</v>
      </c>
      <c r="K43" s="1" t="s">
        <v>535</v>
      </c>
      <c r="L43" s="1">
        <v>1</v>
      </c>
      <c r="M43" s="1">
        <v>0</v>
      </c>
      <c r="N43" s="1" t="s">
        <v>536</v>
      </c>
      <c r="O43" s="1" t="s">
        <v>537</v>
      </c>
      <c r="P43" s="1" t="s">
        <v>538</v>
      </c>
      <c r="Q43" s="1">
        <v>0</v>
      </c>
      <c r="R43" s="1" t="s">
        <v>539</v>
      </c>
      <c r="S43" s="1" t="s">
        <v>540</v>
      </c>
      <c r="U43" s="2">
        <v>56770</v>
      </c>
      <c r="V43" s="1">
        <v>4.7</v>
      </c>
      <c r="W43" s="1">
        <v>7500</v>
      </c>
      <c r="X43" s="1">
        <v>2129</v>
      </c>
      <c r="Y43" s="1">
        <v>448</v>
      </c>
      <c r="Z43" s="1">
        <v>1264</v>
      </c>
      <c r="AA43" s="1">
        <v>417</v>
      </c>
      <c r="AB43" s="1">
        <v>0</v>
      </c>
      <c r="AC43" s="1">
        <v>7</v>
      </c>
      <c r="AD43" s="1" t="s">
        <v>62</v>
      </c>
      <c r="AE43" s="1" t="s">
        <v>541</v>
      </c>
      <c r="AF43" s="1" t="s">
        <v>542</v>
      </c>
      <c r="AG43" s="1" t="s">
        <v>543</v>
      </c>
      <c r="AH43" s="1" t="s">
        <v>544</v>
      </c>
      <c r="AI43" s="1">
        <v>4.63</v>
      </c>
      <c r="AJ43" s="1">
        <v>241</v>
      </c>
      <c r="AK43" s="1">
        <v>995</v>
      </c>
      <c r="AL43" s="1">
        <v>626</v>
      </c>
    </row>
    <row r="44" spans="1:38" ht="15.75" customHeight="1">
      <c r="A44" s="1">
        <v>587</v>
      </c>
      <c r="C44" s="1">
        <v>4050</v>
      </c>
      <c r="D44" s="1" t="s">
        <v>38</v>
      </c>
      <c r="E44" s="1" t="s">
        <v>39</v>
      </c>
      <c r="F44" s="1" t="s">
        <v>510</v>
      </c>
      <c r="G44" s="1">
        <v>0</v>
      </c>
      <c r="H44" s="1" t="s">
        <v>41</v>
      </c>
      <c r="I44" s="1" t="s">
        <v>545</v>
      </c>
      <c r="J44" s="1" t="s">
        <v>546</v>
      </c>
      <c r="K44" s="1" t="s">
        <v>547</v>
      </c>
      <c r="L44" s="1">
        <v>1</v>
      </c>
      <c r="M44" s="1">
        <v>0</v>
      </c>
      <c r="N44" s="1" t="s">
        <v>548</v>
      </c>
      <c r="O44" s="1" t="s">
        <v>549</v>
      </c>
      <c r="P44" s="1" t="s">
        <v>550</v>
      </c>
      <c r="Q44" s="1">
        <v>0</v>
      </c>
      <c r="R44" s="1" t="s">
        <v>551</v>
      </c>
      <c r="S44" s="1" t="s">
        <v>552</v>
      </c>
      <c r="U44" s="2">
        <v>56770</v>
      </c>
      <c r="V44" s="1">
        <v>4.5</v>
      </c>
      <c r="W44" s="1">
        <v>7500</v>
      </c>
      <c r="X44" s="1">
        <v>2685</v>
      </c>
      <c r="Y44" s="1">
        <v>648</v>
      </c>
      <c r="Z44" s="1">
        <v>511</v>
      </c>
      <c r="AA44" s="1">
        <v>1526</v>
      </c>
      <c r="AB44" s="1">
        <v>1</v>
      </c>
      <c r="AC44" s="1">
        <v>8</v>
      </c>
      <c r="AE44" s="1" t="s">
        <v>553</v>
      </c>
      <c r="AF44" s="1" t="s">
        <v>554</v>
      </c>
      <c r="AG44" s="1" t="s">
        <v>555</v>
      </c>
      <c r="AH44" s="1" t="s">
        <v>556</v>
      </c>
      <c r="AI44" s="1">
        <v>4.62</v>
      </c>
      <c r="AJ44" s="1">
        <v>259</v>
      </c>
      <c r="AK44" s="1">
        <v>604</v>
      </c>
      <c r="AL44" s="1">
        <v>21</v>
      </c>
    </row>
    <row r="45" spans="1:38" ht="15.75" customHeight="1">
      <c r="A45" s="1">
        <v>547</v>
      </c>
      <c r="C45" s="1">
        <v>4001</v>
      </c>
      <c r="D45" s="1" t="s">
        <v>51</v>
      </c>
      <c r="E45" s="1" t="s">
        <v>39</v>
      </c>
      <c r="F45" s="1" t="s">
        <v>92</v>
      </c>
      <c r="G45" s="1">
        <v>0</v>
      </c>
      <c r="H45" s="1" t="s">
        <v>41</v>
      </c>
      <c r="I45" s="1" t="s">
        <v>557</v>
      </c>
      <c r="J45" s="1" t="s">
        <v>558</v>
      </c>
      <c r="K45" s="1" t="s">
        <v>558</v>
      </c>
      <c r="L45" s="1">
        <v>0</v>
      </c>
      <c r="M45" s="1">
        <v>0</v>
      </c>
      <c r="N45" s="1" t="s">
        <v>559</v>
      </c>
      <c r="O45" s="1" t="s">
        <v>560</v>
      </c>
      <c r="P45" s="1" t="s">
        <v>561</v>
      </c>
      <c r="Q45" s="1">
        <v>0</v>
      </c>
      <c r="R45" s="1" t="s">
        <v>562</v>
      </c>
      <c r="S45" s="1" t="s">
        <v>563</v>
      </c>
      <c r="U45" s="2">
        <v>56770</v>
      </c>
      <c r="V45" s="1">
        <v>4.7</v>
      </c>
      <c r="W45" s="1">
        <v>7500</v>
      </c>
      <c r="X45" s="1">
        <v>3204</v>
      </c>
      <c r="Y45" s="1">
        <v>507</v>
      </c>
      <c r="Z45" s="1">
        <v>1982</v>
      </c>
      <c r="AA45" s="1">
        <v>715</v>
      </c>
      <c r="AB45" s="1">
        <v>1</v>
      </c>
      <c r="AC45" s="1">
        <v>5</v>
      </c>
      <c r="AE45" s="1" t="s">
        <v>564</v>
      </c>
      <c r="AF45" s="1" t="s">
        <v>565</v>
      </c>
      <c r="AG45" s="1" t="s">
        <v>566</v>
      </c>
      <c r="AH45" s="1" t="s">
        <v>567</v>
      </c>
      <c r="AI45" s="1">
        <v>4.03</v>
      </c>
      <c r="AJ45" s="1">
        <v>505</v>
      </c>
      <c r="AK45" s="1">
        <v>1721</v>
      </c>
      <c r="AL45" s="1">
        <v>457</v>
      </c>
    </row>
    <row r="46" spans="1:38" ht="15.75" customHeight="1">
      <c r="A46" s="1">
        <v>923</v>
      </c>
      <c r="B46" s="1">
        <v>5</v>
      </c>
      <c r="C46" s="1">
        <v>4050</v>
      </c>
      <c r="D46" s="1" t="s">
        <v>38</v>
      </c>
      <c r="E46" s="1" t="s">
        <v>39</v>
      </c>
      <c r="F46" s="1" t="s">
        <v>195</v>
      </c>
      <c r="G46" s="1">
        <v>0</v>
      </c>
      <c r="H46" s="1" t="s">
        <v>41</v>
      </c>
      <c r="I46" s="1" t="s">
        <v>568</v>
      </c>
      <c r="J46" s="1" t="s">
        <v>43</v>
      </c>
      <c r="K46" s="1" t="s">
        <v>43</v>
      </c>
      <c r="L46" s="1">
        <v>0</v>
      </c>
      <c r="M46" s="1">
        <v>0</v>
      </c>
      <c r="N46" s="1" t="s">
        <v>569</v>
      </c>
      <c r="O46" s="1" t="s">
        <v>570</v>
      </c>
      <c r="P46" s="1" t="s">
        <v>571</v>
      </c>
      <c r="Q46" s="1">
        <v>0</v>
      </c>
      <c r="R46" s="1" t="s">
        <v>572</v>
      </c>
      <c r="S46" s="1" t="s">
        <v>573</v>
      </c>
      <c r="U46" s="2">
        <v>56773</v>
      </c>
      <c r="V46" s="1">
        <v>4.5999999999999996</v>
      </c>
      <c r="W46" s="1">
        <v>7500</v>
      </c>
      <c r="X46" s="1">
        <v>3469</v>
      </c>
      <c r="Y46" s="1">
        <v>1224</v>
      </c>
      <c r="Z46" s="1">
        <v>1069</v>
      </c>
      <c r="AA46" s="1">
        <v>1176</v>
      </c>
      <c r="AB46" s="1">
        <v>0</v>
      </c>
      <c r="AC46" s="1">
        <v>8</v>
      </c>
      <c r="AD46" s="1" t="s">
        <v>76</v>
      </c>
      <c r="AE46" s="1" t="s">
        <v>574</v>
      </c>
      <c r="AF46" s="1" t="s">
        <v>575</v>
      </c>
      <c r="AG46" s="1" t="s">
        <v>576</v>
      </c>
      <c r="AH46" s="1" t="s">
        <v>577</v>
      </c>
      <c r="AI46" s="1">
        <v>4.66</v>
      </c>
      <c r="AJ46" s="1">
        <v>161</v>
      </c>
      <c r="AK46" s="1">
        <v>398</v>
      </c>
    </row>
    <row r="47" spans="1:38" ht="15.75" customHeight="1">
      <c r="A47" s="1">
        <v>139</v>
      </c>
      <c r="B47" s="1">
        <v>1</v>
      </c>
      <c r="C47" s="1">
        <v>4050</v>
      </c>
      <c r="D47" s="1" t="s">
        <v>38</v>
      </c>
      <c r="E47" s="1" t="s">
        <v>39</v>
      </c>
      <c r="F47" s="1" t="s">
        <v>280</v>
      </c>
      <c r="G47" s="1">
        <v>0</v>
      </c>
      <c r="H47" s="1" t="s">
        <v>41</v>
      </c>
      <c r="I47" s="1" t="s">
        <v>578</v>
      </c>
      <c r="J47" s="1" t="s">
        <v>579</v>
      </c>
      <c r="K47" s="1" t="s">
        <v>580</v>
      </c>
      <c r="L47" s="1">
        <v>1</v>
      </c>
      <c r="M47" s="1">
        <v>0</v>
      </c>
      <c r="N47" s="1" t="s">
        <v>581</v>
      </c>
      <c r="O47" s="1" t="s">
        <v>582</v>
      </c>
      <c r="P47" s="1" t="s">
        <v>583</v>
      </c>
      <c r="Q47" s="1">
        <v>0</v>
      </c>
      <c r="R47" s="1" t="s">
        <v>584</v>
      </c>
      <c r="S47" s="1" t="s">
        <v>585</v>
      </c>
      <c r="U47" s="2">
        <v>56767</v>
      </c>
      <c r="V47" s="1">
        <v>4.5999999999999996</v>
      </c>
      <c r="W47" s="1">
        <v>7500</v>
      </c>
      <c r="X47" s="1">
        <v>3363</v>
      </c>
      <c r="Y47" s="1">
        <v>397</v>
      </c>
      <c r="Z47" s="1">
        <v>2128</v>
      </c>
      <c r="AA47" s="1">
        <v>838</v>
      </c>
      <c r="AB47" s="1">
        <v>0</v>
      </c>
      <c r="AC47" s="1">
        <v>6</v>
      </c>
      <c r="AD47" s="1" t="s">
        <v>62</v>
      </c>
      <c r="AE47" s="1" t="s">
        <v>586</v>
      </c>
      <c r="AF47" s="1" t="s">
        <v>587</v>
      </c>
      <c r="AG47" s="1" t="s">
        <v>588</v>
      </c>
      <c r="AH47" s="1" t="s">
        <v>589</v>
      </c>
      <c r="AI47" s="1">
        <v>4.49</v>
      </c>
      <c r="AJ47" s="1">
        <v>2315</v>
      </c>
      <c r="AK47" s="1">
        <v>7039</v>
      </c>
      <c r="AL47" s="1">
        <v>763</v>
      </c>
    </row>
    <row r="48" spans="1:38" ht="15.75" customHeight="1">
      <c r="A48" s="1">
        <v>696</v>
      </c>
      <c r="C48" s="1">
        <v>4001</v>
      </c>
      <c r="D48" s="1" t="s">
        <v>51</v>
      </c>
      <c r="E48" s="1" t="s">
        <v>39</v>
      </c>
      <c r="F48" s="1" t="s">
        <v>341</v>
      </c>
      <c r="G48" s="1">
        <v>0</v>
      </c>
      <c r="H48" s="1" t="s">
        <v>41</v>
      </c>
      <c r="I48" s="1" t="s">
        <v>590</v>
      </c>
      <c r="J48" s="1" t="s">
        <v>591</v>
      </c>
      <c r="K48" s="1" t="s">
        <v>592</v>
      </c>
      <c r="L48" s="1">
        <v>1</v>
      </c>
      <c r="M48" s="1">
        <v>0</v>
      </c>
      <c r="N48" s="1" t="s">
        <v>593</v>
      </c>
      <c r="O48" s="1" t="s">
        <v>594</v>
      </c>
      <c r="P48" s="1" t="s">
        <v>595</v>
      </c>
      <c r="Q48" s="1">
        <v>0</v>
      </c>
      <c r="R48" s="1" t="s">
        <v>596</v>
      </c>
      <c r="S48" s="1" t="s">
        <v>597</v>
      </c>
      <c r="U48" s="2">
        <v>56770</v>
      </c>
      <c r="V48" s="1">
        <v>4.2</v>
      </c>
      <c r="W48" s="1">
        <v>7500</v>
      </c>
      <c r="X48" s="1">
        <v>2468</v>
      </c>
      <c r="Y48" s="1">
        <v>739</v>
      </c>
      <c r="Z48" s="1">
        <v>899</v>
      </c>
      <c r="AA48" s="1">
        <v>830</v>
      </c>
      <c r="AB48" s="1">
        <v>1</v>
      </c>
      <c r="AC48" s="1">
        <v>13</v>
      </c>
      <c r="AE48" s="1" t="s">
        <v>598</v>
      </c>
      <c r="AF48" s="1" t="s">
        <v>599</v>
      </c>
      <c r="AG48" s="1" t="s">
        <v>600</v>
      </c>
      <c r="AH48" s="1" t="s">
        <v>601</v>
      </c>
      <c r="AI48" s="1">
        <v>4.54</v>
      </c>
      <c r="AJ48" s="1">
        <v>2229</v>
      </c>
      <c r="AK48" s="1">
        <v>6580</v>
      </c>
    </row>
    <row r="49" spans="1:38" ht="15.75" customHeight="1">
      <c r="A49" s="1">
        <v>68</v>
      </c>
      <c r="C49" s="1">
        <v>4050</v>
      </c>
      <c r="D49" s="1" t="s">
        <v>38</v>
      </c>
      <c r="E49" s="1" t="s">
        <v>39</v>
      </c>
      <c r="F49" s="1" t="s">
        <v>116</v>
      </c>
      <c r="G49" s="1">
        <v>0</v>
      </c>
      <c r="H49" s="1" t="s">
        <v>41</v>
      </c>
      <c r="I49" s="1" t="s">
        <v>602</v>
      </c>
      <c r="J49" s="1" t="s">
        <v>603</v>
      </c>
      <c r="K49" s="1" t="s">
        <v>604</v>
      </c>
      <c r="L49" s="1">
        <v>1</v>
      </c>
      <c r="M49" s="1">
        <v>0</v>
      </c>
      <c r="N49" s="1" t="s">
        <v>605</v>
      </c>
      <c r="O49" s="1" t="s">
        <v>606</v>
      </c>
      <c r="P49" s="1" t="s">
        <v>607</v>
      </c>
      <c r="Q49" s="1">
        <v>0</v>
      </c>
      <c r="R49" s="1" t="s">
        <v>608</v>
      </c>
      <c r="S49" s="1" t="s">
        <v>609</v>
      </c>
      <c r="U49" s="2">
        <v>56766</v>
      </c>
      <c r="V49" s="1">
        <v>4.7</v>
      </c>
      <c r="W49" s="1">
        <v>7500</v>
      </c>
      <c r="X49" s="1">
        <v>2384</v>
      </c>
      <c r="Y49" s="1">
        <v>1436</v>
      </c>
      <c r="Z49" s="1">
        <v>420</v>
      </c>
      <c r="AA49" s="1">
        <v>528</v>
      </c>
      <c r="AB49" s="1">
        <v>0</v>
      </c>
      <c r="AC49" s="1">
        <v>10</v>
      </c>
      <c r="AD49" s="1" t="s">
        <v>76</v>
      </c>
      <c r="AE49" s="1" t="s">
        <v>610</v>
      </c>
      <c r="AF49" s="1" t="s">
        <v>611</v>
      </c>
      <c r="AG49" s="1" t="s">
        <v>612</v>
      </c>
      <c r="AH49" s="1" t="s">
        <v>613</v>
      </c>
      <c r="AI49" s="1">
        <v>4.8899999999999997</v>
      </c>
      <c r="AJ49" s="1">
        <v>1778</v>
      </c>
      <c r="AK49" s="1">
        <v>5138</v>
      </c>
      <c r="AL49" s="1">
        <v>314</v>
      </c>
    </row>
    <row r="50" spans="1:38" ht="15.75" customHeight="1">
      <c r="A50" s="1">
        <v>387</v>
      </c>
      <c r="C50" s="1">
        <v>4001</v>
      </c>
      <c r="D50" s="1" t="s">
        <v>51</v>
      </c>
      <c r="E50" s="1" t="s">
        <v>39</v>
      </c>
      <c r="F50" s="1" t="s">
        <v>341</v>
      </c>
      <c r="G50" s="1">
        <v>0</v>
      </c>
      <c r="H50" s="1" t="s">
        <v>41</v>
      </c>
      <c r="I50" s="1" t="s">
        <v>614</v>
      </c>
      <c r="J50" s="1" t="s">
        <v>615</v>
      </c>
      <c r="K50" s="1" t="s">
        <v>616</v>
      </c>
      <c r="L50" s="1">
        <v>1</v>
      </c>
      <c r="M50" s="1">
        <v>0</v>
      </c>
      <c r="N50" s="1" t="s">
        <v>617</v>
      </c>
      <c r="O50" s="1" t="s">
        <v>618</v>
      </c>
      <c r="P50" s="1" t="s">
        <v>619</v>
      </c>
      <c r="Q50" s="1">
        <v>0</v>
      </c>
      <c r="R50" s="1" t="s">
        <v>620</v>
      </c>
      <c r="S50" s="1" t="s">
        <v>621</v>
      </c>
      <c r="U50" s="2">
        <v>56768</v>
      </c>
      <c r="V50" s="1">
        <v>4.5999999999999996</v>
      </c>
      <c r="W50" s="1">
        <v>7500</v>
      </c>
      <c r="X50" s="1">
        <v>2025</v>
      </c>
      <c r="Y50" s="1">
        <v>772</v>
      </c>
      <c r="Z50" s="1">
        <v>192</v>
      </c>
      <c r="AA50" s="1">
        <v>1061</v>
      </c>
      <c r="AB50" s="1">
        <v>0</v>
      </c>
      <c r="AC50" s="1">
        <v>4</v>
      </c>
      <c r="AD50" s="1" t="s">
        <v>76</v>
      </c>
      <c r="AE50" s="1" t="s">
        <v>622</v>
      </c>
      <c r="AF50" s="1" t="s">
        <v>623</v>
      </c>
      <c r="AG50" s="1" t="s">
        <v>624</v>
      </c>
      <c r="AH50" s="1" t="s">
        <v>625</v>
      </c>
      <c r="AI50" s="1">
        <v>4.54</v>
      </c>
      <c r="AJ50" s="1">
        <v>2229</v>
      </c>
      <c r="AK50" s="1">
        <v>6580</v>
      </c>
    </row>
    <row r="51" spans="1:38" ht="15.75" customHeight="1">
      <c r="A51" s="1">
        <v>93</v>
      </c>
      <c r="B51" s="1">
        <v>5</v>
      </c>
      <c r="C51" s="1">
        <v>4050</v>
      </c>
      <c r="D51" s="1" t="s">
        <v>38</v>
      </c>
      <c r="E51" s="1" t="s">
        <v>39</v>
      </c>
      <c r="F51" s="1" t="s">
        <v>220</v>
      </c>
      <c r="G51" s="1">
        <v>0</v>
      </c>
      <c r="H51" s="1" t="s">
        <v>41</v>
      </c>
      <c r="I51" s="1" t="s">
        <v>626</v>
      </c>
      <c r="J51" s="1" t="s">
        <v>627</v>
      </c>
      <c r="K51" s="1" t="s">
        <v>628</v>
      </c>
      <c r="L51" s="1">
        <v>1</v>
      </c>
      <c r="M51" s="1">
        <v>0</v>
      </c>
      <c r="N51" s="1" t="s">
        <v>629</v>
      </c>
      <c r="O51" s="1" t="s">
        <v>630</v>
      </c>
      <c r="P51" s="1" t="s">
        <v>631</v>
      </c>
      <c r="Q51" s="1">
        <v>1</v>
      </c>
      <c r="R51" s="1" t="s">
        <v>632</v>
      </c>
      <c r="U51" s="2">
        <v>56766</v>
      </c>
      <c r="V51" s="1">
        <v>4.8</v>
      </c>
      <c r="W51" s="1">
        <v>7500</v>
      </c>
      <c r="X51" s="1">
        <v>3811</v>
      </c>
      <c r="AA51" s="1">
        <v>1004</v>
      </c>
      <c r="AB51" s="1">
        <v>0</v>
      </c>
      <c r="AC51" s="1">
        <v>6</v>
      </c>
      <c r="AE51" s="1" t="s">
        <v>633</v>
      </c>
      <c r="AF51" s="1" t="s">
        <v>634</v>
      </c>
      <c r="AG51" s="1" t="s">
        <v>635</v>
      </c>
      <c r="AI51" s="1">
        <v>4.42</v>
      </c>
      <c r="AJ51" s="1">
        <v>1396</v>
      </c>
      <c r="AK51" s="1">
        <v>4836</v>
      </c>
      <c r="AL51" s="1">
        <v>1278</v>
      </c>
    </row>
    <row r="52" spans="1:38" ht="15.75" customHeight="1">
      <c r="A52" s="1">
        <v>21</v>
      </c>
      <c r="B52" s="1">
        <v>5</v>
      </c>
      <c r="C52" s="1">
        <v>4050</v>
      </c>
      <c r="D52" s="1" t="s">
        <v>38</v>
      </c>
      <c r="E52" s="1" t="s">
        <v>39</v>
      </c>
      <c r="F52" s="1" t="s">
        <v>40</v>
      </c>
      <c r="G52" s="1">
        <v>0</v>
      </c>
      <c r="H52" s="1" t="s">
        <v>41</v>
      </c>
      <c r="I52" s="1" t="s">
        <v>636</v>
      </c>
      <c r="J52" s="1" t="s">
        <v>637</v>
      </c>
      <c r="K52" s="1" t="s">
        <v>638</v>
      </c>
      <c r="L52" s="1">
        <v>1</v>
      </c>
      <c r="M52" s="1">
        <v>0</v>
      </c>
      <c r="N52" s="1" t="s">
        <v>639</v>
      </c>
      <c r="O52" s="1" t="s">
        <v>640</v>
      </c>
      <c r="P52" s="1" t="s">
        <v>641</v>
      </c>
      <c r="Q52" s="1">
        <v>0</v>
      </c>
      <c r="R52" s="1" t="s">
        <v>642</v>
      </c>
      <c r="S52" s="1" t="s">
        <v>643</v>
      </c>
      <c r="U52" s="2">
        <v>56766</v>
      </c>
      <c r="V52" s="1">
        <v>4.5999999999999996</v>
      </c>
      <c r="W52" s="1">
        <v>6500</v>
      </c>
      <c r="X52" s="1">
        <v>3037</v>
      </c>
      <c r="Y52" s="1">
        <v>318</v>
      </c>
      <c r="Z52" s="1">
        <v>2268</v>
      </c>
      <c r="AA52" s="1">
        <v>451</v>
      </c>
      <c r="AB52" s="1">
        <v>0</v>
      </c>
      <c r="AC52" s="1">
        <v>8</v>
      </c>
      <c r="AD52" s="1" t="s">
        <v>62</v>
      </c>
      <c r="AE52" s="1" t="s">
        <v>644</v>
      </c>
      <c r="AF52" s="1" t="s">
        <v>645</v>
      </c>
      <c r="AG52" s="1" t="s">
        <v>646</v>
      </c>
      <c r="AH52" s="1" t="s">
        <v>647</v>
      </c>
      <c r="AI52" s="1">
        <v>4.7</v>
      </c>
      <c r="AJ52" s="1">
        <v>1261</v>
      </c>
      <c r="AK52" s="1">
        <v>3264</v>
      </c>
      <c r="AL52" s="1">
        <v>232</v>
      </c>
    </row>
    <row r="53" spans="1:38" ht="15.75" customHeight="1">
      <c r="A53" s="1">
        <v>697</v>
      </c>
      <c r="C53" s="1">
        <v>4001</v>
      </c>
      <c r="D53" s="1" t="s">
        <v>51</v>
      </c>
      <c r="E53" s="1" t="s">
        <v>39</v>
      </c>
      <c r="F53" s="1" t="s">
        <v>648</v>
      </c>
      <c r="G53" s="1">
        <v>0</v>
      </c>
      <c r="H53" s="1" t="s">
        <v>53</v>
      </c>
      <c r="I53" s="1" t="s">
        <v>649</v>
      </c>
      <c r="J53" s="1" t="s">
        <v>650</v>
      </c>
      <c r="K53" s="1" t="s">
        <v>651</v>
      </c>
      <c r="L53" s="1">
        <v>1</v>
      </c>
      <c r="M53" s="1">
        <v>0</v>
      </c>
      <c r="N53" s="1" t="s">
        <v>652</v>
      </c>
      <c r="O53" s="1" t="s">
        <v>653</v>
      </c>
      <c r="P53" s="1" t="s">
        <v>654</v>
      </c>
      <c r="Q53" s="1">
        <v>0</v>
      </c>
      <c r="R53" s="1" t="s">
        <v>655</v>
      </c>
      <c r="S53" s="1" t="s">
        <v>656</v>
      </c>
      <c r="U53" s="2">
        <v>56770</v>
      </c>
      <c r="V53" s="1">
        <v>3.8</v>
      </c>
      <c r="W53" s="1">
        <v>6500</v>
      </c>
      <c r="X53" s="1">
        <v>3088</v>
      </c>
      <c r="Y53" s="1">
        <v>517</v>
      </c>
      <c r="Z53" s="1">
        <v>956</v>
      </c>
      <c r="AA53" s="1">
        <v>1615</v>
      </c>
      <c r="AB53" s="1">
        <v>0</v>
      </c>
      <c r="AC53" s="1">
        <v>5</v>
      </c>
      <c r="AD53" s="1" t="s">
        <v>215</v>
      </c>
      <c r="AE53" s="1" t="s">
        <v>657</v>
      </c>
      <c r="AF53" s="1" t="s">
        <v>658</v>
      </c>
      <c r="AG53" s="1" t="s">
        <v>659</v>
      </c>
      <c r="AH53" s="1" t="s">
        <v>660</v>
      </c>
      <c r="AI53" s="1">
        <v>4.7</v>
      </c>
      <c r="AJ53" s="1">
        <v>443</v>
      </c>
      <c r="AK53" s="1">
        <v>1579</v>
      </c>
    </row>
    <row r="54" spans="1:38" ht="15.75" customHeight="1">
      <c r="A54" s="1">
        <v>916</v>
      </c>
      <c r="B54" s="1">
        <v>5</v>
      </c>
      <c r="C54" s="1">
        <v>4001</v>
      </c>
      <c r="D54" s="1" t="s">
        <v>51</v>
      </c>
      <c r="E54" s="1" t="s">
        <v>39</v>
      </c>
      <c r="F54" s="1" t="s">
        <v>414</v>
      </c>
      <c r="G54" s="1">
        <v>0</v>
      </c>
      <c r="H54" s="1" t="s">
        <v>53</v>
      </c>
      <c r="I54" s="1" t="s">
        <v>661</v>
      </c>
      <c r="J54" s="1" t="s">
        <v>662</v>
      </c>
      <c r="K54" s="1" t="s">
        <v>663</v>
      </c>
      <c r="L54" s="1">
        <v>1</v>
      </c>
      <c r="M54" s="1">
        <v>0</v>
      </c>
      <c r="N54" s="1" t="s">
        <v>664</v>
      </c>
      <c r="O54" s="1" t="s">
        <v>665</v>
      </c>
      <c r="P54" s="1" t="s">
        <v>666</v>
      </c>
      <c r="Q54" s="1">
        <v>0</v>
      </c>
      <c r="R54" s="1" t="s">
        <v>667</v>
      </c>
      <c r="S54" s="1" t="s">
        <v>668</v>
      </c>
      <c r="U54" s="2">
        <v>56772</v>
      </c>
      <c r="V54" s="1">
        <v>3.6558414620000002</v>
      </c>
      <c r="W54" s="1">
        <v>6500</v>
      </c>
      <c r="X54" s="1">
        <v>1748</v>
      </c>
      <c r="Y54" s="1">
        <v>397</v>
      </c>
      <c r="Z54" s="1">
        <v>881</v>
      </c>
      <c r="AA54" s="1">
        <v>470</v>
      </c>
      <c r="AB54" s="1">
        <v>0</v>
      </c>
      <c r="AC54" s="1">
        <v>5</v>
      </c>
      <c r="AD54" s="1" t="s">
        <v>62</v>
      </c>
      <c r="AE54" s="1" t="s">
        <v>669</v>
      </c>
      <c r="AF54" s="1" t="s">
        <v>670</v>
      </c>
      <c r="AG54" s="1" t="s">
        <v>671</v>
      </c>
      <c r="AH54" s="1" t="s">
        <v>672</v>
      </c>
      <c r="AI54" s="1">
        <v>4.58</v>
      </c>
      <c r="AJ54" s="1">
        <v>254</v>
      </c>
      <c r="AK54" s="1">
        <v>788</v>
      </c>
      <c r="AL54" s="1">
        <v>9</v>
      </c>
    </row>
    <row r="55" spans="1:38" ht="15.75" customHeight="1">
      <c r="A55" s="1">
        <v>900</v>
      </c>
      <c r="B55" s="1">
        <v>5</v>
      </c>
      <c r="C55" s="1">
        <v>4050</v>
      </c>
      <c r="D55" s="1" t="s">
        <v>38</v>
      </c>
      <c r="E55" s="1" t="s">
        <v>39</v>
      </c>
      <c r="F55" s="1" t="s">
        <v>280</v>
      </c>
      <c r="G55" s="1">
        <v>0</v>
      </c>
      <c r="H55" s="1" t="s">
        <v>41</v>
      </c>
      <c r="I55" s="1" t="s">
        <v>673</v>
      </c>
      <c r="J55" s="1" t="s">
        <v>674</v>
      </c>
      <c r="K55" s="1" t="s">
        <v>675</v>
      </c>
      <c r="L55" s="1">
        <v>1</v>
      </c>
      <c r="M55" s="1">
        <v>0</v>
      </c>
      <c r="N55" s="1" t="s">
        <v>676</v>
      </c>
      <c r="O55" s="1" t="s">
        <v>677</v>
      </c>
      <c r="P55" s="1" t="s">
        <v>678</v>
      </c>
      <c r="Q55" s="1">
        <v>0</v>
      </c>
      <c r="R55" s="1" t="s">
        <v>679</v>
      </c>
      <c r="U55" s="2">
        <v>56772</v>
      </c>
      <c r="V55" s="1">
        <v>4.7</v>
      </c>
      <c r="W55" s="1">
        <v>6500</v>
      </c>
      <c r="X55" s="1">
        <v>1798</v>
      </c>
      <c r="AA55" s="1">
        <v>783</v>
      </c>
      <c r="AB55" s="1">
        <v>0</v>
      </c>
      <c r="AC55" s="1">
        <v>10</v>
      </c>
      <c r="AE55" s="1" t="s">
        <v>680</v>
      </c>
      <c r="AF55" s="1" t="s">
        <v>681</v>
      </c>
      <c r="AG55" s="1" t="s">
        <v>682</v>
      </c>
      <c r="AI55" s="1">
        <v>4.49</v>
      </c>
      <c r="AJ55" s="1">
        <v>2315</v>
      </c>
      <c r="AK55" s="1">
        <v>7039</v>
      </c>
      <c r="AL55" s="1">
        <v>763</v>
      </c>
    </row>
    <row r="56" spans="1:38" ht="15.75" customHeight="1">
      <c r="A56" s="1">
        <v>895</v>
      </c>
      <c r="B56" s="1">
        <v>5</v>
      </c>
      <c r="C56" s="1">
        <v>4050</v>
      </c>
      <c r="D56" s="1" t="s">
        <v>38</v>
      </c>
      <c r="E56" s="1" t="s">
        <v>39</v>
      </c>
      <c r="F56" s="1" t="s">
        <v>116</v>
      </c>
      <c r="G56" s="1">
        <v>0</v>
      </c>
      <c r="H56" s="1" t="s">
        <v>41</v>
      </c>
      <c r="I56" s="1" t="s">
        <v>683</v>
      </c>
      <c r="J56" s="1" t="s">
        <v>684</v>
      </c>
      <c r="K56" s="1" t="s">
        <v>685</v>
      </c>
      <c r="L56" s="1">
        <v>1</v>
      </c>
      <c r="M56" s="1">
        <v>0</v>
      </c>
      <c r="N56" s="1" t="s">
        <v>686</v>
      </c>
      <c r="O56" s="1" t="s">
        <v>687</v>
      </c>
      <c r="P56" s="1" t="s">
        <v>688</v>
      </c>
      <c r="Q56" s="1">
        <v>0</v>
      </c>
      <c r="R56" s="1" t="s">
        <v>689</v>
      </c>
      <c r="S56" s="1" t="s">
        <v>690</v>
      </c>
      <c r="U56" s="2">
        <v>56772</v>
      </c>
      <c r="V56" s="1">
        <v>4.5999999999999996</v>
      </c>
      <c r="W56" s="1">
        <v>6500</v>
      </c>
      <c r="X56" s="1">
        <v>1720</v>
      </c>
      <c r="Y56" s="1">
        <v>983</v>
      </c>
      <c r="Z56" s="1">
        <v>282</v>
      </c>
      <c r="AA56" s="1">
        <v>455</v>
      </c>
      <c r="AB56" s="1">
        <v>0</v>
      </c>
      <c r="AC56" s="1">
        <v>4</v>
      </c>
      <c r="AD56" s="1" t="s">
        <v>76</v>
      </c>
      <c r="AE56" s="1" t="s">
        <v>691</v>
      </c>
      <c r="AF56" s="1" t="s">
        <v>692</v>
      </c>
      <c r="AG56" s="1" t="s">
        <v>693</v>
      </c>
      <c r="AH56" s="1" t="s">
        <v>694</v>
      </c>
      <c r="AI56" s="1">
        <v>4.8899999999999997</v>
      </c>
      <c r="AJ56" s="1">
        <v>1778</v>
      </c>
      <c r="AK56" s="1">
        <v>5138</v>
      </c>
      <c r="AL56" s="1">
        <v>314</v>
      </c>
    </row>
    <row r="57" spans="1:38" ht="15.75" customHeight="1">
      <c r="A57" s="1">
        <v>451</v>
      </c>
      <c r="C57" s="1">
        <v>4050</v>
      </c>
      <c r="D57" s="1" t="s">
        <v>38</v>
      </c>
      <c r="E57" s="1" t="s">
        <v>39</v>
      </c>
      <c r="F57" s="1" t="s">
        <v>695</v>
      </c>
      <c r="G57" s="1">
        <v>0</v>
      </c>
      <c r="H57" s="1" t="s">
        <v>41</v>
      </c>
      <c r="I57" s="1" t="s">
        <v>696</v>
      </c>
      <c r="J57" s="1" t="s">
        <v>697</v>
      </c>
      <c r="K57" s="1" t="s">
        <v>698</v>
      </c>
      <c r="L57" s="1">
        <v>1</v>
      </c>
      <c r="M57" s="1">
        <v>0</v>
      </c>
      <c r="N57" s="1" t="s">
        <v>699</v>
      </c>
      <c r="O57" s="1" t="s">
        <v>700</v>
      </c>
      <c r="P57" s="1" t="s">
        <v>701</v>
      </c>
      <c r="Q57" s="1">
        <v>0</v>
      </c>
      <c r="R57" s="1" t="s">
        <v>702</v>
      </c>
      <c r="S57" s="1" t="s">
        <v>703</v>
      </c>
      <c r="U57" s="2">
        <v>56769</v>
      </c>
      <c r="V57" s="1">
        <v>4.7</v>
      </c>
      <c r="W57" s="1">
        <v>6500</v>
      </c>
      <c r="X57" s="1">
        <v>3143</v>
      </c>
      <c r="Y57" s="1">
        <v>661</v>
      </c>
      <c r="Z57" s="1">
        <v>1129</v>
      </c>
      <c r="AA57" s="1">
        <v>1353</v>
      </c>
      <c r="AB57" s="1">
        <v>0</v>
      </c>
      <c r="AC57" s="1">
        <v>8</v>
      </c>
      <c r="AD57" s="1" t="s">
        <v>62</v>
      </c>
      <c r="AE57" s="1" t="s">
        <v>704</v>
      </c>
      <c r="AF57" s="1" t="s">
        <v>705</v>
      </c>
      <c r="AG57" s="1" t="s">
        <v>706</v>
      </c>
      <c r="AH57" s="1" t="s">
        <v>707</v>
      </c>
      <c r="AI57" s="1">
        <v>4.38</v>
      </c>
      <c r="AJ57" s="1">
        <v>196</v>
      </c>
      <c r="AK57" s="1">
        <v>626</v>
      </c>
    </row>
    <row r="58" spans="1:38" ht="15.75" customHeight="1">
      <c r="A58" s="1">
        <v>184</v>
      </c>
      <c r="C58" s="1">
        <v>4001</v>
      </c>
      <c r="D58" s="1" t="s">
        <v>51</v>
      </c>
      <c r="E58" s="1" t="s">
        <v>39</v>
      </c>
      <c r="F58" s="1" t="s">
        <v>708</v>
      </c>
      <c r="G58" s="1">
        <v>0</v>
      </c>
      <c r="H58" s="1" t="s">
        <v>53</v>
      </c>
      <c r="I58" s="1" t="s">
        <v>709</v>
      </c>
      <c r="J58" s="1" t="s">
        <v>710</v>
      </c>
      <c r="K58" s="1" t="s">
        <v>711</v>
      </c>
      <c r="L58" s="1">
        <v>1</v>
      </c>
      <c r="M58" s="1">
        <v>0</v>
      </c>
      <c r="N58" s="1" t="s">
        <v>712</v>
      </c>
      <c r="O58" s="1" t="s">
        <v>713</v>
      </c>
      <c r="P58" s="1" t="s">
        <v>714</v>
      </c>
      <c r="Q58" s="1">
        <v>0</v>
      </c>
      <c r="R58" s="1" t="s">
        <v>715</v>
      </c>
      <c r="S58" s="1" t="s">
        <v>716</v>
      </c>
      <c r="U58" s="2">
        <v>56767</v>
      </c>
      <c r="V58" s="1">
        <v>4.0183339780000003</v>
      </c>
      <c r="W58" s="1">
        <v>6500</v>
      </c>
      <c r="X58" s="1">
        <v>3323</v>
      </c>
      <c r="Y58" s="1">
        <v>1171</v>
      </c>
      <c r="AA58" s="1">
        <v>2295</v>
      </c>
      <c r="AB58" s="1">
        <v>0</v>
      </c>
      <c r="AC58" s="1">
        <v>4</v>
      </c>
      <c r="AD58" s="1" t="s">
        <v>76</v>
      </c>
      <c r="AE58" s="1" t="s">
        <v>717</v>
      </c>
      <c r="AF58" s="1" t="s">
        <v>718</v>
      </c>
      <c r="AG58" s="1" t="s">
        <v>719</v>
      </c>
      <c r="AH58" s="1" t="s">
        <v>720</v>
      </c>
      <c r="AI58" s="1">
        <v>4.5999999999999996</v>
      </c>
      <c r="AJ58" s="1">
        <v>292</v>
      </c>
      <c r="AK58" s="1">
        <v>1027</v>
      </c>
      <c r="AL58" s="1">
        <v>26</v>
      </c>
    </row>
    <row r="59" spans="1:38" ht="15.75" customHeight="1">
      <c r="A59" s="1">
        <v>209</v>
      </c>
      <c r="B59" s="1">
        <v>5</v>
      </c>
      <c r="C59" s="1">
        <v>4050</v>
      </c>
      <c r="D59" s="1" t="s">
        <v>38</v>
      </c>
      <c r="E59" s="1" t="s">
        <v>39</v>
      </c>
      <c r="F59" s="1" t="s">
        <v>486</v>
      </c>
      <c r="G59" s="1">
        <v>0</v>
      </c>
      <c r="H59" s="1" t="s">
        <v>41</v>
      </c>
      <c r="I59" s="1" t="s">
        <v>721</v>
      </c>
      <c r="J59" s="1" t="s">
        <v>722</v>
      </c>
      <c r="K59" s="1" t="s">
        <v>723</v>
      </c>
      <c r="L59" s="1">
        <v>1</v>
      </c>
      <c r="M59" s="1">
        <v>0</v>
      </c>
      <c r="N59" s="1" t="s">
        <v>724</v>
      </c>
      <c r="O59" s="1" t="s">
        <v>725</v>
      </c>
      <c r="P59" s="1" t="s">
        <v>726</v>
      </c>
      <c r="Q59" s="1">
        <v>0</v>
      </c>
      <c r="R59" s="1" t="s">
        <v>727</v>
      </c>
      <c r="S59" s="1" t="s">
        <v>728</v>
      </c>
      <c r="U59" s="2">
        <v>56767</v>
      </c>
      <c r="V59" s="1">
        <v>4.8</v>
      </c>
      <c r="W59" s="1">
        <v>6500</v>
      </c>
      <c r="X59" s="1">
        <v>1453</v>
      </c>
      <c r="Y59" s="1">
        <v>193</v>
      </c>
      <c r="Z59" s="1">
        <v>202</v>
      </c>
      <c r="AA59" s="1">
        <v>1058</v>
      </c>
      <c r="AB59" s="1">
        <v>0</v>
      </c>
      <c r="AC59" s="1">
        <v>6</v>
      </c>
      <c r="AD59" s="1" t="s">
        <v>215</v>
      </c>
      <c r="AE59" s="1" t="s">
        <v>729</v>
      </c>
      <c r="AF59" s="1" t="s">
        <v>730</v>
      </c>
      <c r="AG59" s="1" t="s">
        <v>731</v>
      </c>
      <c r="AH59" s="1" t="s">
        <v>732</v>
      </c>
      <c r="AI59" s="1">
        <v>4.7</v>
      </c>
      <c r="AJ59" s="1">
        <v>212</v>
      </c>
      <c r="AK59" s="1">
        <v>624</v>
      </c>
      <c r="AL59" s="1">
        <v>347</v>
      </c>
    </row>
    <row r="60" spans="1:38" ht="15.75" customHeight="1">
      <c r="A60" s="1">
        <v>644</v>
      </c>
      <c r="B60" s="1">
        <v>5</v>
      </c>
      <c r="C60" s="1">
        <v>4050</v>
      </c>
      <c r="D60" s="1" t="s">
        <v>38</v>
      </c>
      <c r="E60" s="1" t="s">
        <v>39</v>
      </c>
      <c r="F60" s="1" t="s">
        <v>40</v>
      </c>
      <c r="G60" s="1">
        <v>0</v>
      </c>
      <c r="H60" s="1" t="s">
        <v>41</v>
      </c>
      <c r="I60" s="1" t="s">
        <v>733</v>
      </c>
      <c r="J60" s="1" t="s">
        <v>734</v>
      </c>
      <c r="K60" s="1" t="s">
        <v>735</v>
      </c>
      <c r="L60" s="1">
        <v>1</v>
      </c>
      <c r="M60" s="1">
        <v>0</v>
      </c>
      <c r="N60" s="1" t="s">
        <v>736</v>
      </c>
      <c r="O60" s="1" t="s">
        <v>737</v>
      </c>
      <c r="P60" s="1" t="s">
        <v>738</v>
      </c>
      <c r="Q60" s="1">
        <v>0</v>
      </c>
      <c r="R60" s="1" t="s">
        <v>739</v>
      </c>
      <c r="S60" s="1" t="s">
        <v>740</v>
      </c>
      <c r="U60" s="2">
        <v>56770</v>
      </c>
      <c r="V60" s="1">
        <v>4.7</v>
      </c>
      <c r="W60" s="1">
        <v>6500</v>
      </c>
      <c r="X60" s="1">
        <v>1727</v>
      </c>
      <c r="Y60" s="1">
        <v>618</v>
      </c>
      <c r="Z60" s="1">
        <v>522</v>
      </c>
      <c r="AA60" s="1">
        <v>587</v>
      </c>
      <c r="AB60" s="1">
        <v>0</v>
      </c>
      <c r="AC60" s="1">
        <v>5</v>
      </c>
      <c r="AD60" s="1" t="s">
        <v>76</v>
      </c>
      <c r="AE60" s="1" t="s">
        <v>741</v>
      </c>
      <c r="AF60" s="1" t="s">
        <v>742</v>
      </c>
      <c r="AG60" s="1" t="s">
        <v>743</v>
      </c>
      <c r="AH60" s="1" t="s">
        <v>744</v>
      </c>
      <c r="AI60" s="1">
        <v>4.7</v>
      </c>
      <c r="AJ60" s="1">
        <v>1261</v>
      </c>
      <c r="AK60" s="1">
        <v>3264</v>
      </c>
      <c r="AL60" s="1">
        <v>232</v>
      </c>
    </row>
    <row r="61" spans="1:38" ht="15.75" customHeight="1">
      <c r="A61" s="1">
        <v>1153</v>
      </c>
      <c r="C61" s="1">
        <v>4001</v>
      </c>
      <c r="D61" s="1" t="s">
        <v>51</v>
      </c>
      <c r="E61" s="1" t="s">
        <v>39</v>
      </c>
      <c r="F61" s="1" t="s">
        <v>745</v>
      </c>
      <c r="G61" s="1">
        <v>0</v>
      </c>
      <c r="H61" s="1" t="s">
        <v>53</v>
      </c>
      <c r="I61" s="1" t="s">
        <v>746</v>
      </c>
      <c r="J61" s="1" t="s">
        <v>747</v>
      </c>
      <c r="K61" s="1" t="s">
        <v>748</v>
      </c>
      <c r="L61" s="1">
        <v>1</v>
      </c>
      <c r="M61" s="1">
        <v>0</v>
      </c>
      <c r="N61" s="1" t="s">
        <v>749</v>
      </c>
      <c r="O61" s="1" t="s">
        <v>750</v>
      </c>
      <c r="P61" s="1" t="s">
        <v>751</v>
      </c>
      <c r="Q61" s="1">
        <v>0</v>
      </c>
      <c r="R61" s="1" t="s">
        <v>752</v>
      </c>
      <c r="S61" s="1" t="s">
        <v>753</v>
      </c>
      <c r="U61" s="2">
        <v>56775</v>
      </c>
      <c r="V61" s="1">
        <v>4.3</v>
      </c>
      <c r="W61" s="1">
        <v>6500</v>
      </c>
      <c r="X61" s="1">
        <v>2304</v>
      </c>
      <c r="Y61" s="1">
        <v>639</v>
      </c>
      <c r="Z61" s="1">
        <v>1654</v>
      </c>
      <c r="AA61" s="1">
        <v>11</v>
      </c>
      <c r="AB61" s="1">
        <v>0</v>
      </c>
      <c r="AC61" s="1">
        <v>12</v>
      </c>
      <c r="AD61" s="1" t="s">
        <v>62</v>
      </c>
      <c r="AE61" s="1" t="s">
        <v>754</v>
      </c>
      <c r="AF61" s="1" t="s">
        <v>755</v>
      </c>
      <c r="AG61" s="1" t="s">
        <v>756</v>
      </c>
      <c r="AH61" s="1" t="s">
        <v>757</v>
      </c>
      <c r="AI61" s="1">
        <v>4.72</v>
      </c>
      <c r="AJ61" s="1">
        <v>141</v>
      </c>
      <c r="AK61" s="1">
        <v>418</v>
      </c>
      <c r="AL61" s="1">
        <v>90</v>
      </c>
    </row>
    <row r="62" spans="1:38" ht="15.75" customHeight="1">
      <c r="A62" s="1">
        <v>753</v>
      </c>
      <c r="B62" s="1">
        <v>5</v>
      </c>
      <c r="C62" s="1">
        <v>4050</v>
      </c>
      <c r="D62" s="1" t="s">
        <v>38</v>
      </c>
      <c r="E62" s="1" t="s">
        <v>39</v>
      </c>
      <c r="F62" s="1" t="s">
        <v>390</v>
      </c>
      <c r="G62" s="1">
        <v>0</v>
      </c>
      <c r="H62" s="1" t="s">
        <v>41</v>
      </c>
      <c r="I62" s="1" t="s">
        <v>758</v>
      </c>
      <c r="J62" s="1" t="s">
        <v>759</v>
      </c>
      <c r="K62" s="1" t="s">
        <v>760</v>
      </c>
      <c r="L62" s="1">
        <v>1</v>
      </c>
      <c r="M62" s="1">
        <v>0</v>
      </c>
      <c r="N62" s="1" t="s">
        <v>761</v>
      </c>
      <c r="O62" s="1" t="s">
        <v>762</v>
      </c>
      <c r="P62" s="1" t="s">
        <v>763</v>
      </c>
      <c r="Q62" s="1">
        <v>0</v>
      </c>
      <c r="R62" s="1" t="s">
        <v>764</v>
      </c>
      <c r="S62" s="1" t="s">
        <v>765</v>
      </c>
      <c r="U62" s="2">
        <v>56771</v>
      </c>
      <c r="V62" s="1">
        <v>4.5</v>
      </c>
      <c r="W62" s="1">
        <v>6500</v>
      </c>
      <c r="X62" s="1">
        <v>2080</v>
      </c>
      <c r="Y62" s="1">
        <v>283</v>
      </c>
      <c r="Z62" s="1">
        <v>926</v>
      </c>
      <c r="AA62" s="1">
        <v>871</v>
      </c>
      <c r="AB62" s="1">
        <v>0</v>
      </c>
      <c r="AC62" s="1">
        <v>9</v>
      </c>
      <c r="AD62" s="1" t="s">
        <v>62</v>
      </c>
      <c r="AE62" s="1" t="s">
        <v>766</v>
      </c>
      <c r="AF62" s="1" t="s">
        <v>767</v>
      </c>
      <c r="AG62" s="1" t="s">
        <v>768</v>
      </c>
      <c r="AH62" s="1" t="s">
        <v>769</v>
      </c>
      <c r="AI62" s="1">
        <v>4.5599999999999996</v>
      </c>
      <c r="AJ62" s="1">
        <v>344</v>
      </c>
      <c r="AK62" s="1">
        <v>947</v>
      </c>
      <c r="AL62" s="1">
        <v>22</v>
      </c>
    </row>
    <row r="63" spans="1:38" ht="15.75" customHeight="1">
      <c r="A63" s="1">
        <v>49</v>
      </c>
      <c r="B63" s="1">
        <v>2</v>
      </c>
      <c r="C63" s="1">
        <v>4001</v>
      </c>
      <c r="D63" s="1" t="s">
        <v>51</v>
      </c>
      <c r="E63" s="1" t="s">
        <v>39</v>
      </c>
      <c r="F63" s="1" t="s">
        <v>648</v>
      </c>
      <c r="G63" s="1">
        <v>0</v>
      </c>
      <c r="H63" s="1" t="s">
        <v>53</v>
      </c>
      <c r="I63" s="1" t="s">
        <v>770</v>
      </c>
      <c r="J63" s="1" t="s">
        <v>771</v>
      </c>
      <c r="K63" s="1" t="s">
        <v>772</v>
      </c>
      <c r="L63" s="1">
        <v>1</v>
      </c>
      <c r="M63" s="1">
        <v>0</v>
      </c>
      <c r="N63" s="1" t="s">
        <v>773</v>
      </c>
      <c r="O63" s="1" t="s">
        <v>774</v>
      </c>
      <c r="P63" s="1" t="s">
        <v>775</v>
      </c>
      <c r="Q63" s="1">
        <v>0</v>
      </c>
      <c r="R63" s="1" t="s">
        <v>776</v>
      </c>
      <c r="S63" s="1" t="s">
        <v>777</v>
      </c>
      <c r="U63" s="2">
        <v>56766</v>
      </c>
      <c r="V63" s="1">
        <v>3.7</v>
      </c>
      <c r="W63" s="1">
        <v>6500</v>
      </c>
      <c r="X63" s="1">
        <v>1680</v>
      </c>
      <c r="Y63" s="1">
        <v>791</v>
      </c>
      <c r="Z63" s="1">
        <v>181</v>
      </c>
      <c r="AA63" s="1">
        <v>708</v>
      </c>
      <c r="AB63" s="1">
        <v>0</v>
      </c>
      <c r="AC63" s="1">
        <v>5</v>
      </c>
      <c r="AD63" s="1" t="s">
        <v>215</v>
      </c>
      <c r="AE63" s="1" t="s">
        <v>778</v>
      </c>
      <c r="AF63" s="1" t="s">
        <v>779</v>
      </c>
      <c r="AG63" s="1" t="s">
        <v>780</v>
      </c>
      <c r="AH63" s="1" t="s">
        <v>781</v>
      </c>
      <c r="AI63" s="1">
        <v>4.7</v>
      </c>
      <c r="AJ63" s="1">
        <v>443</v>
      </c>
      <c r="AK63" s="1">
        <v>1579</v>
      </c>
    </row>
    <row r="64" spans="1:38" ht="15.75" customHeight="1">
      <c r="A64" s="1">
        <v>493</v>
      </c>
      <c r="C64" s="1">
        <v>4001</v>
      </c>
      <c r="D64" s="1" t="s">
        <v>51</v>
      </c>
      <c r="E64" s="1" t="s">
        <v>39</v>
      </c>
      <c r="F64" s="1" t="s">
        <v>414</v>
      </c>
      <c r="G64" s="1">
        <v>0</v>
      </c>
      <c r="H64" s="1" t="s">
        <v>53</v>
      </c>
      <c r="I64" s="1" t="s">
        <v>782</v>
      </c>
      <c r="J64" s="1" t="s">
        <v>783</v>
      </c>
      <c r="K64" s="1" t="s">
        <v>784</v>
      </c>
      <c r="L64" s="1">
        <v>1</v>
      </c>
      <c r="M64" s="1">
        <v>0</v>
      </c>
      <c r="N64" s="1" t="s">
        <v>785</v>
      </c>
      <c r="O64" s="1" t="s">
        <v>786</v>
      </c>
      <c r="P64" s="1" t="s">
        <v>787</v>
      </c>
      <c r="Q64" s="1">
        <v>0</v>
      </c>
      <c r="R64" s="1" t="s">
        <v>788</v>
      </c>
      <c r="S64" s="1" t="s">
        <v>789</v>
      </c>
      <c r="U64" s="2">
        <v>56769</v>
      </c>
      <c r="V64" s="1">
        <v>4.5</v>
      </c>
      <c r="W64" s="1">
        <v>6500</v>
      </c>
      <c r="X64" s="1">
        <v>955</v>
      </c>
      <c r="Y64" s="1">
        <v>557</v>
      </c>
      <c r="AA64" s="1">
        <v>401</v>
      </c>
      <c r="AB64" s="1">
        <v>0</v>
      </c>
      <c r="AC64" s="1">
        <v>5</v>
      </c>
      <c r="AD64" s="1" t="s">
        <v>215</v>
      </c>
      <c r="AE64" s="1" t="s">
        <v>790</v>
      </c>
      <c r="AF64" s="1" t="s">
        <v>791</v>
      </c>
      <c r="AG64" s="1" t="s">
        <v>792</v>
      </c>
      <c r="AH64" s="1" t="s">
        <v>793</v>
      </c>
      <c r="AI64" s="1">
        <v>4.58</v>
      </c>
      <c r="AJ64" s="1">
        <v>254</v>
      </c>
      <c r="AK64" s="1">
        <v>788</v>
      </c>
      <c r="AL64" s="1">
        <v>9</v>
      </c>
    </row>
    <row r="65" spans="1:38" ht="15.75" customHeight="1">
      <c r="A65" s="1">
        <v>446</v>
      </c>
      <c r="C65" s="1">
        <v>4050</v>
      </c>
      <c r="D65" s="1" t="s">
        <v>38</v>
      </c>
      <c r="E65" s="1" t="s">
        <v>39</v>
      </c>
      <c r="F65" s="1" t="s">
        <v>40</v>
      </c>
      <c r="G65" s="1">
        <v>0</v>
      </c>
      <c r="H65" s="1" t="s">
        <v>41</v>
      </c>
      <c r="I65" s="1" t="s">
        <v>794</v>
      </c>
      <c r="J65" s="1" t="s">
        <v>795</v>
      </c>
      <c r="K65" s="1" t="s">
        <v>796</v>
      </c>
      <c r="L65" s="1">
        <v>1</v>
      </c>
      <c r="M65" s="1">
        <v>0</v>
      </c>
      <c r="N65" s="1" t="s">
        <v>797</v>
      </c>
      <c r="O65" s="1" t="s">
        <v>798</v>
      </c>
      <c r="P65" s="1" t="s">
        <v>799</v>
      </c>
      <c r="Q65" s="1">
        <v>0</v>
      </c>
      <c r="R65" s="1" t="s">
        <v>800</v>
      </c>
      <c r="S65" s="1" t="s">
        <v>801</v>
      </c>
      <c r="U65" s="2">
        <v>56769</v>
      </c>
      <c r="V65" s="1">
        <v>4.5999999999999996</v>
      </c>
      <c r="W65" s="1">
        <v>6500</v>
      </c>
      <c r="X65" s="1">
        <v>2196</v>
      </c>
      <c r="Y65" s="1">
        <v>377</v>
      </c>
      <c r="Z65" s="1">
        <v>1109</v>
      </c>
      <c r="AA65" s="1">
        <v>710</v>
      </c>
      <c r="AB65" s="1">
        <v>0</v>
      </c>
      <c r="AC65" s="1">
        <v>9</v>
      </c>
      <c r="AD65" s="1" t="s">
        <v>62</v>
      </c>
      <c r="AE65" s="1" t="s">
        <v>802</v>
      </c>
      <c r="AF65" s="1" t="s">
        <v>803</v>
      </c>
      <c r="AG65" s="1" t="s">
        <v>804</v>
      </c>
      <c r="AH65" s="1" t="s">
        <v>805</v>
      </c>
      <c r="AI65" s="1">
        <v>4.7</v>
      </c>
      <c r="AJ65" s="1">
        <v>1261</v>
      </c>
      <c r="AK65" s="1">
        <v>3264</v>
      </c>
      <c r="AL65" s="1">
        <v>232</v>
      </c>
    </row>
    <row r="66" spans="1:38" ht="15.75" customHeight="1">
      <c r="A66" s="1">
        <v>725</v>
      </c>
      <c r="B66" s="1">
        <v>3</v>
      </c>
      <c r="C66" s="1">
        <v>4050</v>
      </c>
      <c r="D66" s="1" t="s">
        <v>38</v>
      </c>
      <c r="E66" s="1" t="s">
        <v>39</v>
      </c>
      <c r="F66" s="1" t="s">
        <v>486</v>
      </c>
      <c r="G66" s="1">
        <v>0</v>
      </c>
      <c r="H66" s="1" t="s">
        <v>41</v>
      </c>
      <c r="I66" s="1" t="s">
        <v>806</v>
      </c>
      <c r="J66" s="1" t="s">
        <v>807</v>
      </c>
      <c r="K66" s="1" t="s">
        <v>808</v>
      </c>
      <c r="L66" s="1">
        <v>1</v>
      </c>
      <c r="M66" s="1">
        <v>0</v>
      </c>
      <c r="N66" s="1" t="s">
        <v>809</v>
      </c>
      <c r="O66" s="1" t="s">
        <v>810</v>
      </c>
      <c r="P66" s="1" t="s">
        <v>811</v>
      </c>
      <c r="Q66" s="1">
        <v>0</v>
      </c>
      <c r="R66" s="1" t="s">
        <v>812</v>
      </c>
      <c r="S66" s="1" t="s">
        <v>813</v>
      </c>
      <c r="U66" s="2">
        <v>56771</v>
      </c>
      <c r="V66" s="1">
        <v>4.5</v>
      </c>
      <c r="W66" s="1">
        <v>6500</v>
      </c>
      <c r="X66" s="1">
        <v>3774</v>
      </c>
      <c r="Y66" s="1">
        <v>469</v>
      </c>
      <c r="Z66" s="1">
        <v>1729</v>
      </c>
      <c r="AA66" s="1">
        <v>1576</v>
      </c>
      <c r="AB66" s="1">
        <v>0</v>
      </c>
      <c r="AC66" s="1">
        <v>7</v>
      </c>
      <c r="AD66" s="1" t="s">
        <v>215</v>
      </c>
      <c r="AE66" s="1" t="s">
        <v>814</v>
      </c>
      <c r="AF66" s="1" t="s">
        <v>815</v>
      </c>
      <c r="AG66" s="1" t="s">
        <v>816</v>
      </c>
      <c r="AH66" s="1" t="s">
        <v>817</v>
      </c>
      <c r="AI66" s="1">
        <v>4.7</v>
      </c>
      <c r="AJ66" s="1">
        <v>212</v>
      </c>
      <c r="AK66" s="1">
        <v>624</v>
      </c>
      <c r="AL66" s="1">
        <v>347</v>
      </c>
    </row>
    <row r="67" spans="1:38" ht="15.75" customHeight="1">
      <c r="A67" s="1">
        <v>462</v>
      </c>
      <c r="C67" s="1">
        <v>4050</v>
      </c>
      <c r="D67" s="1" t="s">
        <v>38</v>
      </c>
      <c r="E67" s="1" t="s">
        <v>39</v>
      </c>
      <c r="F67" s="1" t="s">
        <v>510</v>
      </c>
      <c r="G67" s="1">
        <v>0</v>
      </c>
      <c r="H67" s="1" t="s">
        <v>41</v>
      </c>
      <c r="I67" s="1" t="s">
        <v>818</v>
      </c>
      <c r="J67" s="1" t="s">
        <v>819</v>
      </c>
      <c r="K67" s="1" t="s">
        <v>820</v>
      </c>
      <c r="L67" s="1">
        <v>1</v>
      </c>
      <c r="M67" s="1">
        <v>0</v>
      </c>
      <c r="N67" s="1" t="s">
        <v>821</v>
      </c>
      <c r="O67" s="1" t="s">
        <v>822</v>
      </c>
      <c r="P67" s="1" t="s">
        <v>823</v>
      </c>
      <c r="Q67" s="1">
        <v>0</v>
      </c>
      <c r="R67" s="1" t="s">
        <v>824</v>
      </c>
      <c r="S67" s="1" t="s">
        <v>825</v>
      </c>
      <c r="U67" s="2">
        <v>56769</v>
      </c>
      <c r="V67" s="1">
        <v>4.7</v>
      </c>
      <c r="W67" s="1">
        <v>6500</v>
      </c>
      <c r="X67" s="1">
        <v>2246</v>
      </c>
      <c r="Y67" s="1">
        <v>560</v>
      </c>
      <c r="Z67" s="1">
        <v>835</v>
      </c>
      <c r="AA67" s="1">
        <v>851</v>
      </c>
      <c r="AB67" s="1">
        <v>0</v>
      </c>
      <c r="AC67" s="1">
        <v>5</v>
      </c>
      <c r="AD67" s="1" t="s">
        <v>76</v>
      </c>
      <c r="AE67" s="1" t="s">
        <v>826</v>
      </c>
      <c r="AF67" s="1" t="s">
        <v>827</v>
      </c>
      <c r="AG67" s="1" t="s">
        <v>828</v>
      </c>
      <c r="AH67" s="1" t="s">
        <v>829</v>
      </c>
      <c r="AI67" s="1">
        <v>4.62</v>
      </c>
      <c r="AJ67" s="1">
        <v>259</v>
      </c>
      <c r="AK67" s="1">
        <v>604</v>
      </c>
      <c r="AL67" s="1">
        <v>21</v>
      </c>
    </row>
    <row r="68" spans="1:38" ht="15.75" customHeight="1">
      <c r="A68" s="1">
        <v>127</v>
      </c>
      <c r="C68" s="1">
        <v>4050</v>
      </c>
      <c r="D68" s="1" t="s">
        <v>38</v>
      </c>
      <c r="E68" s="1" t="s">
        <v>39</v>
      </c>
      <c r="F68" s="1" t="s">
        <v>695</v>
      </c>
      <c r="G68" s="1">
        <v>0</v>
      </c>
      <c r="H68" s="1" t="s">
        <v>41</v>
      </c>
      <c r="I68" s="1" t="s">
        <v>830</v>
      </c>
      <c r="J68" s="1" t="s">
        <v>831</v>
      </c>
      <c r="K68" s="1" t="s">
        <v>832</v>
      </c>
      <c r="L68" s="1">
        <v>1</v>
      </c>
      <c r="M68" s="1">
        <v>0</v>
      </c>
      <c r="N68" s="1" t="s">
        <v>833</v>
      </c>
      <c r="O68" s="1" t="s">
        <v>834</v>
      </c>
      <c r="P68" s="1" t="s">
        <v>835</v>
      </c>
      <c r="Q68" s="1">
        <v>0</v>
      </c>
      <c r="R68" s="1" t="s">
        <v>836</v>
      </c>
      <c r="S68" s="1" t="s">
        <v>837</v>
      </c>
      <c r="U68" s="2">
        <v>56767</v>
      </c>
      <c r="V68" s="1">
        <v>4.5</v>
      </c>
      <c r="W68" s="1">
        <v>6500</v>
      </c>
      <c r="X68" s="1">
        <v>4220</v>
      </c>
      <c r="Y68" s="1">
        <v>2938</v>
      </c>
      <c r="Z68" s="1">
        <v>160</v>
      </c>
      <c r="AA68" s="1">
        <v>1122</v>
      </c>
      <c r="AB68" s="1">
        <v>0</v>
      </c>
      <c r="AC68" s="1">
        <v>7</v>
      </c>
      <c r="AD68" s="1" t="s">
        <v>76</v>
      </c>
      <c r="AE68" s="1" t="s">
        <v>838</v>
      </c>
      <c r="AF68" s="1" t="s">
        <v>839</v>
      </c>
      <c r="AG68" s="1" t="s">
        <v>840</v>
      </c>
      <c r="AH68" s="1" t="s">
        <v>841</v>
      </c>
      <c r="AI68" s="1">
        <v>4.38</v>
      </c>
      <c r="AJ68" s="1">
        <v>196</v>
      </c>
      <c r="AK68" s="1">
        <v>626</v>
      </c>
    </row>
    <row r="69" spans="1:38" ht="15.75" customHeight="1">
      <c r="A69" s="1">
        <v>153</v>
      </c>
      <c r="C69" s="1">
        <v>4050</v>
      </c>
      <c r="D69" s="1" t="s">
        <v>38</v>
      </c>
      <c r="E69" s="1" t="s">
        <v>39</v>
      </c>
      <c r="F69" s="1" t="s">
        <v>195</v>
      </c>
      <c r="G69" s="1">
        <v>0</v>
      </c>
      <c r="H69" s="1" t="s">
        <v>41</v>
      </c>
      <c r="I69" s="1" t="s">
        <v>842</v>
      </c>
      <c r="J69" s="1" t="s">
        <v>843</v>
      </c>
      <c r="K69" s="1" t="s">
        <v>844</v>
      </c>
      <c r="L69" s="1">
        <v>1</v>
      </c>
      <c r="M69" s="1">
        <v>0</v>
      </c>
      <c r="N69" s="1" t="s">
        <v>845</v>
      </c>
      <c r="O69" s="1" t="s">
        <v>846</v>
      </c>
      <c r="P69" s="1" t="s">
        <v>847</v>
      </c>
      <c r="Q69" s="1">
        <v>0</v>
      </c>
      <c r="R69" s="1" t="s">
        <v>848</v>
      </c>
      <c r="S69" s="1" t="s">
        <v>849</v>
      </c>
      <c r="U69" s="2">
        <v>56767</v>
      </c>
      <c r="V69" s="1">
        <v>4.5999999999999996</v>
      </c>
      <c r="W69" s="1">
        <v>6500</v>
      </c>
      <c r="X69" s="1">
        <v>3204</v>
      </c>
      <c r="Y69" s="1">
        <v>748</v>
      </c>
      <c r="Z69" s="1">
        <v>628</v>
      </c>
      <c r="AA69" s="1">
        <v>1828</v>
      </c>
      <c r="AB69" s="1">
        <v>0</v>
      </c>
      <c r="AC69" s="1">
        <v>9</v>
      </c>
      <c r="AD69" s="1" t="s">
        <v>215</v>
      </c>
      <c r="AE69" s="1" t="s">
        <v>850</v>
      </c>
      <c r="AF69" s="1" t="s">
        <v>851</v>
      </c>
      <c r="AG69" s="1" t="s">
        <v>852</v>
      </c>
      <c r="AH69" s="1" t="s">
        <v>853</v>
      </c>
      <c r="AI69" s="1">
        <v>4.66</v>
      </c>
      <c r="AJ69" s="1">
        <v>161</v>
      </c>
      <c r="AK69" s="1">
        <v>398</v>
      </c>
    </row>
    <row r="70" spans="1:38" ht="15.75" customHeight="1">
      <c r="A70" s="1">
        <v>787</v>
      </c>
      <c r="B70" s="1">
        <v>5</v>
      </c>
      <c r="C70" s="1">
        <v>4050</v>
      </c>
      <c r="D70" s="1" t="s">
        <v>38</v>
      </c>
      <c r="E70" s="1" t="s">
        <v>39</v>
      </c>
      <c r="F70" s="1" t="s">
        <v>116</v>
      </c>
      <c r="G70" s="1">
        <v>0</v>
      </c>
      <c r="H70" s="1" t="s">
        <v>41</v>
      </c>
      <c r="I70" s="1" t="s">
        <v>854</v>
      </c>
      <c r="J70" s="1" t="s">
        <v>855</v>
      </c>
      <c r="K70" s="1" t="s">
        <v>856</v>
      </c>
      <c r="L70" s="1">
        <v>1</v>
      </c>
      <c r="M70" s="1">
        <v>0</v>
      </c>
      <c r="N70" s="1" t="s">
        <v>857</v>
      </c>
      <c r="O70" s="1" t="s">
        <v>858</v>
      </c>
      <c r="P70" s="1" t="s">
        <v>859</v>
      </c>
      <c r="Q70" s="1">
        <v>0</v>
      </c>
      <c r="R70" s="1" t="s">
        <v>860</v>
      </c>
      <c r="S70" s="1" t="s">
        <v>861</v>
      </c>
      <c r="U70" s="2">
        <v>56771</v>
      </c>
      <c r="V70" s="1">
        <v>4.7</v>
      </c>
      <c r="W70" s="1">
        <v>6500</v>
      </c>
      <c r="X70" s="1">
        <v>2229</v>
      </c>
      <c r="Y70" s="1">
        <v>572</v>
      </c>
      <c r="Z70" s="1">
        <v>1265</v>
      </c>
      <c r="AA70" s="1">
        <v>392</v>
      </c>
      <c r="AB70" s="1">
        <v>0</v>
      </c>
      <c r="AC70" s="1">
        <v>7</v>
      </c>
      <c r="AD70" s="1" t="s">
        <v>62</v>
      </c>
      <c r="AE70" s="1" t="s">
        <v>862</v>
      </c>
      <c r="AF70" s="1" t="s">
        <v>863</v>
      </c>
      <c r="AG70" s="1" t="s">
        <v>864</v>
      </c>
      <c r="AH70" s="1" t="s">
        <v>865</v>
      </c>
      <c r="AI70" s="1">
        <v>4.8899999999999997</v>
      </c>
      <c r="AJ70" s="1">
        <v>1778</v>
      </c>
      <c r="AK70" s="1">
        <v>5138</v>
      </c>
      <c r="AL70" s="1">
        <v>314</v>
      </c>
    </row>
    <row r="71" spans="1:38" ht="15.75" customHeight="1">
      <c r="A71" s="1">
        <v>76</v>
      </c>
      <c r="B71" s="1">
        <v>5</v>
      </c>
      <c r="C71" s="1">
        <v>4001</v>
      </c>
      <c r="D71" s="1" t="s">
        <v>51</v>
      </c>
      <c r="E71" s="1" t="s">
        <v>39</v>
      </c>
      <c r="F71" s="1" t="s">
        <v>52</v>
      </c>
      <c r="G71" s="1">
        <v>0</v>
      </c>
      <c r="H71" s="1" t="s">
        <v>53</v>
      </c>
      <c r="I71" s="1" t="s">
        <v>866</v>
      </c>
      <c r="J71" s="1" t="s">
        <v>867</v>
      </c>
      <c r="K71" s="1" t="s">
        <v>868</v>
      </c>
      <c r="L71" s="1">
        <v>1</v>
      </c>
      <c r="M71" s="1">
        <v>0</v>
      </c>
      <c r="N71" s="1" t="s">
        <v>869</v>
      </c>
      <c r="O71" s="1" t="s">
        <v>870</v>
      </c>
      <c r="P71" s="1" t="s">
        <v>871</v>
      </c>
      <c r="Q71" s="1">
        <v>0</v>
      </c>
      <c r="R71" s="1" t="s">
        <v>872</v>
      </c>
      <c r="S71" s="1" t="s">
        <v>873</v>
      </c>
      <c r="U71" s="2">
        <v>56766</v>
      </c>
      <c r="V71" s="1">
        <v>2.971304843</v>
      </c>
      <c r="W71" s="1">
        <v>6500</v>
      </c>
      <c r="X71" s="1">
        <v>2302</v>
      </c>
      <c r="Y71" s="1">
        <v>1629</v>
      </c>
      <c r="AA71" s="1">
        <v>706</v>
      </c>
      <c r="AB71" s="1">
        <v>0</v>
      </c>
      <c r="AC71" s="1">
        <v>4</v>
      </c>
      <c r="AD71" s="1" t="s">
        <v>76</v>
      </c>
      <c r="AE71" s="1" t="s">
        <v>874</v>
      </c>
      <c r="AF71" s="1" t="s">
        <v>875</v>
      </c>
      <c r="AG71" s="1" t="s">
        <v>876</v>
      </c>
      <c r="AH71" s="1" t="s">
        <v>877</v>
      </c>
      <c r="AI71" s="1">
        <v>4.17</v>
      </c>
      <c r="AJ71" s="1">
        <v>457</v>
      </c>
      <c r="AK71" s="1">
        <v>1599</v>
      </c>
    </row>
    <row r="72" spans="1:38" ht="15.75" customHeight="1">
      <c r="A72" s="1">
        <v>617</v>
      </c>
      <c r="C72" s="1">
        <v>4001</v>
      </c>
      <c r="D72" s="1" t="s">
        <v>51</v>
      </c>
      <c r="E72" s="1" t="s">
        <v>39</v>
      </c>
      <c r="F72" s="1" t="s">
        <v>92</v>
      </c>
      <c r="G72" s="1">
        <v>0</v>
      </c>
      <c r="H72" s="1" t="s">
        <v>41</v>
      </c>
      <c r="I72" s="1" t="s">
        <v>878</v>
      </c>
      <c r="J72" s="1" t="s">
        <v>879</v>
      </c>
      <c r="K72" s="1" t="s">
        <v>880</v>
      </c>
      <c r="L72" s="1">
        <v>1</v>
      </c>
      <c r="M72" s="1">
        <v>0</v>
      </c>
      <c r="N72" s="1" t="s">
        <v>881</v>
      </c>
      <c r="O72" s="1" t="s">
        <v>882</v>
      </c>
      <c r="P72" s="1" t="s">
        <v>883</v>
      </c>
      <c r="Q72" s="1">
        <v>0</v>
      </c>
      <c r="R72" s="1" t="s">
        <v>884</v>
      </c>
      <c r="S72" s="1" t="s">
        <v>885</v>
      </c>
      <c r="U72" s="2">
        <v>56770</v>
      </c>
      <c r="V72" s="1">
        <v>4.5999999999999996</v>
      </c>
      <c r="W72" s="1">
        <v>6500</v>
      </c>
      <c r="X72" s="1">
        <v>1217</v>
      </c>
      <c r="Y72" s="1">
        <v>332</v>
      </c>
      <c r="Z72" s="1">
        <v>512</v>
      </c>
      <c r="AA72" s="1">
        <v>373</v>
      </c>
      <c r="AB72" s="1">
        <v>0</v>
      </c>
      <c r="AC72" s="1">
        <v>8</v>
      </c>
      <c r="AD72" s="1" t="s">
        <v>62</v>
      </c>
      <c r="AE72" s="1" t="s">
        <v>886</v>
      </c>
      <c r="AF72" s="1" t="s">
        <v>887</v>
      </c>
      <c r="AG72" s="1" t="s">
        <v>888</v>
      </c>
      <c r="AH72" s="1" t="s">
        <v>889</v>
      </c>
      <c r="AI72" s="1">
        <v>4.03</v>
      </c>
      <c r="AJ72" s="1">
        <v>505</v>
      </c>
      <c r="AK72" s="1">
        <v>1721</v>
      </c>
      <c r="AL72" s="1">
        <v>457</v>
      </c>
    </row>
    <row r="73" spans="1:38" ht="15.75" customHeight="1">
      <c r="A73" s="1">
        <v>18</v>
      </c>
      <c r="C73" s="1">
        <v>4001</v>
      </c>
      <c r="D73" s="1" t="s">
        <v>51</v>
      </c>
      <c r="E73" s="1" t="s">
        <v>39</v>
      </c>
      <c r="F73" s="1" t="s">
        <v>52</v>
      </c>
      <c r="G73" s="1">
        <v>0</v>
      </c>
      <c r="H73" s="1" t="s">
        <v>53</v>
      </c>
      <c r="I73" s="1" t="s">
        <v>890</v>
      </c>
      <c r="J73" s="1" t="s">
        <v>891</v>
      </c>
      <c r="K73" s="1" t="s">
        <v>892</v>
      </c>
      <c r="L73" s="1">
        <v>1</v>
      </c>
      <c r="M73" s="1">
        <v>0</v>
      </c>
      <c r="N73" s="1" t="s">
        <v>893</v>
      </c>
      <c r="O73" s="1" t="s">
        <v>894</v>
      </c>
      <c r="P73" s="1" t="s">
        <v>895</v>
      </c>
      <c r="Q73" s="1">
        <v>0</v>
      </c>
      <c r="R73" s="1" t="s">
        <v>896</v>
      </c>
      <c r="S73" s="1" t="s">
        <v>897</v>
      </c>
      <c r="U73" s="2">
        <v>56766</v>
      </c>
      <c r="V73" s="1">
        <v>4.5</v>
      </c>
      <c r="W73" s="1">
        <v>6500</v>
      </c>
      <c r="X73" s="1">
        <v>6016</v>
      </c>
      <c r="Y73" s="1">
        <v>1948</v>
      </c>
      <c r="Z73" s="1">
        <v>3113</v>
      </c>
      <c r="AA73" s="1">
        <v>955</v>
      </c>
      <c r="AB73" s="1">
        <v>1</v>
      </c>
      <c r="AC73" s="1">
        <v>5</v>
      </c>
      <c r="AE73" s="1" t="s">
        <v>898</v>
      </c>
      <c r="AF73" s="1" t="s">
        <v>899</v>
      </c>
      <c r="AG73" s="1" t="s">
        <v>900</v>
      </c>
      <c r="AH73" s="1" t="s">
        <v>901</v>
      </c>
      <c r="AI73" s="1">
        <v>4.17</v>
      </c>
      <c r="AJ73" s="1">
        <v>457</v>
      </c>
      <c r="AK73" s="1">
        <v>1599</v>
      </c>
    </row>
    <row r="74" spans="1:38" ht="15.75" customHeight="1">
      <c r="A74" s="1">
        <v>642</v>
      </c>
      <c r="C74" s="1">
        <v>4001</v>
      </c>
      <c r="D74" s="1" t="s">
        <v>51</v>
      </c>
      <c r="E74" s="1" t="s">
        <v>39</v>
      </c>
      <c r="F74" s="1" t="s">
        <v>52</v>
      </c>
      <c r="G74" s="1">
        <v>0</v>
      </c>
      <c r="H74" s="1" t="s">
        <v>53</v>
      </c>
      <c r="I74" s="1" t="s">
        <v>902</v>
      </c>
      <c r="J74" s="1" t="s">
        <v>903</v>
      </c>
      <c r="K74" s="1" t="s">
        <v>904</v>
      </c>
      <c r="L74" s="1">
        <v>1</v>
      </c>
      <c r="M74" s="1">
        <v>0</v>
      </c>
      <c r="N74" s="1" t="s">
        <v>905</v>
      </c>
      <c r="O74" s="1" t="s">
        <v>906</v>
      </c>
      <c r="P74" s="1" t="s">
        <v>907</v>
      </c>
      <c r="Q74" s="1">
        <v>0</v>
      </c>
      <c r="R74" s="1" t="s">
        <v>908</v>
      </c>
      <c r="S74" s="1" t="s">
        <v>909</v>
      </c>
      <c r="U74" s="2">
        <v>56770</v>
      </c>
      <c r="V74" s="1">
        <v>4.1198783150000002</v>
      </c>
      <c r="W74" s="1">
        <v>5500</v>
      </c>
      <c r="X74" s="1">
        <v>3994</v>
      </c>
      <c r="Y74" s="1">
        <v>3190</v>
      </c>
      <c r="Z74" s="1">
        <v>376</v>
      </c>
      <c r="AA74" s="1">
        <v>428</v>
      </c>
      <c r="AB74" s="1">
        <v>1</v>
      </c>
      <c r="AC74" s="1">
        <v>3</v>
      </c>
      <c r="AE74" s="1" t="s">
        <v>910</v>
      </c>
      <c r="AF74" s="1" t="s">
        <v>911</v>
      </c>
      <c r="AG74" s="1" t="s">
        <v>912</v>
      </c>
      <c r="AH74" s="1" t="s">
        <v>913</v>
      </c>
      <c r="AI74" s="1">
        <v>4.17</v>
      </c>
      <c r="AJ74" s="1">
        <v>457</v>
      </c>
      <c r="AK74" s="1">
        <v>1599</v>
      </c>
    </row>
    <row r="75" spans="1:38" ht="15.75" customHeight="1">
      <c r="A75" s="1">
        <v>743</v>
      </c>
      <c r="C75" s="1">
        <v>4050</v>
      </c>
      <c r="D75" s="1" t="s">
        <v>38</v>
      </c>
      <c r="E75" s="1" t="s">
        <v>39</v>
      </c>
      <c r="F75" s="1" t="s">
        <v>914</v>
      </c>
      <c r="G75" s="1">
        <v>0</v>
      </c>
      <c r="H75" s="1" t="s">
        <v>41</v>
      </c>
      <c r="I75" s="1" t="s">
        <v>915</v>
      </c>
      <c r="J75" s="1" t="s">
        <v>916</v>
      </c>
      <c r="K75" s="1" t="s">
        <v>917</v>
      </c>
      <c r="L75" s="1">
        <v>1</v>
      </c>
      <c r="M75" s="1">
        <v>1</v>
      </c>
      <c r="N75" s="1" t="s">
        <v>918</v>
      </c>
      <c r="O75" s="1" t="s">
        <v>919</v>
      </c>
      <c r="P75" s="1" t="s">
        <v>920</v>
      </c>
      <c r="Q75" s="1">
        <v>0</v>
      </c>
      <c r="R75" s="1" t="s">
        <v>921</v>
      </c>
      <c r="S75" s="1" t="s">
        <v>922</v>
      </c>
      <c r="U75" s="2">
        <v>56771</v>
      </c>
      <c r="V75" s="1">
        <v>3.1396871439999998</v>
      </c>
      <c r="W75" s="1">
        <v>5500</v>
      </c>
      <c r="X75" s="1">
        <v>1447</v>
      </c>
      <c r="Y75" s="1">
        <v>411</v>
      </c>
      <c r="Z75" s="1">
        <v>403</v>
      </c>
      <c r="AA75" s="1">
        <v>633</v>
      </c>
      <c r="AB75" s="1">
        <v>0</v>
      </c>
      <c r="AC75" s="1">
        <v>5</v>
      </c>
      <c r="AD75" s="1" t="s">
        <v>76</v>
      </c>
      <c r="AE75" s="1" t="s">
        <v>923</v>
      </c>
      <c r="AF75" s="1" t="s">
        <v>924</v>
      </c>
      <c r="AG75" s="1" t="s">
        <v>925</v>
      </c>
      <c r="AH75" s="1" t="s">
        <v>926</v>
      </c>
      <c r="AI75" s="1">
        <v>4.6900000000000004</v>
      </c>
      <c r="AJ75" s="1">
        <v>89</v>
      </c>
      <c r="AK75" s="1">
        <v>258</v>
      </c>
      <c r="AL75" s="1">
        <v>154</v>
      </c>
    </row>
    <row r="76" spans="1:38" ht="15.75" customHeight="1">
      <c r="A76" s="1">
        <v>13</v>
      </c>
      <c r="C76" s="1">
        <v>4001</v>
      </c>
      <c r="D76" s="1" t="s">
        <v>51</v>
      </c>
      <c r="E76" s="1" t="s">
        <v>39</v>
      </c>
      <c r="F76" s="1" t="s">
        <v>305</v>
      </c>
      <c r="G76" s="1">
        <v>0</v>
      </c>
      <c r="H76" s="1" t="s">
        <v>53</v>
      </c>
      <c r="I76" s="1" t="s">
        <v>927</v>
      </c>
      <c r="J76" s="1" t="s">
        <v>928</v>
      </c>
      <c r="K76" s="1" t="s">
        <v>929</v>
      </c>
      <c r="L76" s="1">
        <v>1</v>
      </c>
      <c r="M76" s="1">
        <v>0</v>
      </c>
      <c r="N76" s="1" t="s">
        <v>930</v>
      </c>
      <c r="O76" s="1" t="s">
        <v>931</v>
      </c>
      <c r="P76" s="1" t="s">
        <v>932</v>
      </c>
      <c r="Q76" s="1">
        <v>0</v>
      </c>
      <c r="R76" s="1" t="s">
        <v>933</v>
      </c>
      <c r="S76" s="1" t="s">
        <v>934</v>
      </c>
      <c r="U76" s="2">
        <v>56766</v>
      </c>
      <c r="V76" s="1">
        <v>3.9792116329999998</v>
      </c>
      <c r="W76" s="1">
        <v>5500</v>
      </c>
      <c r="X76" s="1">
        <v>2486</v>
      </c>
      <c r="Y76" s="1">
        <v>283</v>
      </c>
      <c r="Z76" s="1">
        <v>1621</v>
      </c>
      <c r="AA76" s="1">
        <v>582</v>
      </c>
      <c r="AB76" s="1">
        <v>1</v>
      </c>
      <c r="AC76" s="1">
        <v>6</v>
      </c>
      <c r="AE76" s="1" t="s">
        <v>935</v>
      </c>
      <c r="AF76" s="1" t="s">
        <v>936</v>
      </c>
      <c r="AG76" s="1" t="s">
        <v>937</v>
      </c>
      <c r="AH76" s="1" t="s">
        <v>938</v>
      </c>
      <c r="AI76" s="1">
        <v>4.5199999999999996</v>
      </c>
      <c r="AJ76" s="1">
        <v>183</v>
      </c>
      <c r="AK76" s="1">
        <v>522</v>
      </c>
    </row>
    <row r="77" spans="1:38" ht="15.75" customHeight="1">
      <c r="A77" s="1">
        <v>1120</v>
      </c>
      <c r="B77" s="1">
        <v>5</v>
      </c>
      <c r="C77" s="1">
        <v>4001</v>
      </c>
      <c r="D77" s="1" t="s">
        <v>51</v>
      </c>
      <c r="E77" s="1" t="s">
        <v>39</v>
      </c>
      <c r="F77" s="1" t="s">
        <v>104</v>
      </c>
      <c r="G77" s="1">
        <v>0</v>
      </c>
      <c r="H77" s="1" t="s">
        <v>41</v>
      </c>
      <c r="I77" s="1" t="s">
        <v>939</v>
      </c>
      <c r="J77" s="1" t="s">
        <v>940</v>
      </c>
      <c r="K77" s="1" t="s">
        <v>941</v>
      </c>
      <c r="L77" s="1">
        <v>1</v>
      </c>
      <c r="M77" s="1">
        <v>0</v>
      </c>
      <c r="N77" s="1" t="s">
        <v>942</v>
      </c>
      <c r="O77" s="1" t="s">
        <v>943</v>
      </c>
      <c r="P77" s="1" t="s">
        <v>944</v>
      </c>
      <c r="Q77" s="1">
        <v>0</v>
      </c>
      <c r="R77" s="1" t="s">
        <v>945</v>
      </c>
      <c r="S77" s="1" t="s">
        <v>946</v>
      </c>
      <c r="U77" s="2">
        <v>56775</v>
      </c>
      <c r="V77" s="1">
        <v>3.4761875010000001</v>
      </c>
      <c r="W77" s="1">
        <v>5500</v>
      </c>
      <c r="X77" s="1">
        <v>3784</v>
      </c>
      <c r="Y77" s="1">
        <v>2374</v>
      </c>
      <c r="Z77" s="1">
        <v>250</v>
      </c>
      <c r="AA77" s="1">
        <v>1160</v>
      </c>
      <c r="AB77" s="1">
        <v>0</v>
      </c>
      <c r="AC77" s="1">
        <v>7</v>
      </c>
      <c r="AD77" s="1" t="s">
        <v>76</v>
      </c>
      <c r="AE77" s="1" t="s">
        <v>947</v>
      </c>
      <c r="AF77" s="1" t="s">
        <v>948</v>
      </c>
      <c r="AG77" s="1" t="s">
        <v>949</v>
      </c>
      <c r="AH77" s="1" t="s">
        <v>950</v>
      </c>
      <c r="AI77" s="1">
        <v>4.5199999999999996</v>
      </c>
      <c r="AJ77" s="1">
        <v>269</v>
      </c>
      <c r="AK77" s="1">
        <v>895</v>
      </c>
      <c r="AL77" s="1">
        <v>23</v>
      </c>
    </row>
    <row r="78" spans="1:38" ht="15.75" customHeight="1">
      <c r="A78" s="1">
        <v>452</v>
      </c>
      <c r="B78" s="1">
        <v>5</v>
      </c>
      <c r="C78" s="1">
        <v>4050</v>
      </c>
      <c r="D78" s="1" t="s">
        <v>38</v>
      </c>
      <c r="E78" s="1" t="s">
        <v>39</v>
      </c>
      <c r="F78" s="1" t="s">
        <v>40</v>
      </c>
      <c r="G78" s="1">
        <v>0</v>
      </c>
      <c r="H78" s="1" t="s">
        <v>41</v>
      </c>
      <c r="I78" s="1" t="s">
        <v>951</v>
      </c>
      <c r="J78" s="1" t="s">
        <v>952</v>
      </c>
      <c r="K78" s="1" t="s">
        <v>953</v>
      </c>
      <c r="L78" s="1">
        <v>1</v>
      </c>
      <c r="M78" s="1">
        <v>0</v>
      </c>
      <c r="N78" s="1" t="s">
        <v>954</v>
      </c>
      <c r="O78" s="1" t="s">
        <v>955</v>
      </c>
      <c r="P78" s="1" t="s">
        <v>956</v>
      </c>
      <c r="Q78" s="1">
        <v>0</v>
      </c>
      <c r="R78" s="1" t="s">
        <v>957</v>
      </c>
      <c r="U78" s="2">
        <v>56769</v>
      </c>
      <c r="V78" s="1">
        <v>4.4000000000000004</v>
      </c>
      <c r="W78" s="1">
        <v>5500</v>
      </c>
      <c r="X78" s="1">
        <v>3688</v>
      </c>
      <c r="AA78" s="1">
        <v>788</v>
      </c>
      <c r="AB78" s="1">
        <v>0</v>
      </c>
      <c r="AC78" s="1">
        <v>4</v>
      </c>
      <c r="AE78" s="1" t="s">
        <v>958</v>
      </c>
      <c r="AF78" s="1" t="s">
        <v>959</v>
      </c>
      <c r="AG78" s="1" t="s">
        <v>960</v>
      </c>
      <c r="AI78" s="1">
        <v>4.7</v>
      </c>
      <c r="AJ78" s="1">
        <v>1261</v>
      </c>
      <c r="AK78" s="1">
        <v>3264</v>
      </c>
      <c r="AL78" s="1">
        <v>232</v>
      </c>
    </row>
    <row r="79" spans="1:38" ht="15.75" customHeight="1">
      <c r="A79" s="1">
        <v>167</v>
      </c>
      <c r="C79" s="1">
        <v>4050</v>
      </c>
      <c r="D79" s="1" t="s">
        <v>38</v>
      </c>
      <c r="E79" s="1" t="s">
        <v>39</v>
      </c>
      <c r="F79" s="1" t="s">
        <v>510</v>
      </c>
      <c r="G79" s="1">
        <v>0</v>
      </c>
      <c r="H79" s="1" t="s">
        <v>41</v>
      </c>
      <c r="I79" s="1" t="s">
        <v>961</v>
      </c>
      <c r="J79" s="1" t="s">
        <v>962</v>
      </c>
      <c r="K79" s="1" t="s">
        <v>962</v>
      </c>
      <c r="L79" s="1">
        <v>0</v>
      </c>
      <c r="M79" s="1">
        <v>0</v>
      </c>
      <c r="N79" s="1" t="s">
        <v>963</v>
      </c>
      <c r="O79" s="1" t="s">
        <v>964</v>
      </c>
      <c r="P79" s="1" t="s">
        <v>965</v>
      </c>
      <c r="Q79" s="1">
        <v>0</v>
      </c>
      <c r="R79" s="1" t="s">
        <v>966</v>
      </c>
      <c r="S79" s="1" t="s">
        <v>967</v>
      </c>
      <c r="U79" s="2">
        <v>56767</v>
      </c>
      <c r="V79" s="1">
        <v>4.5</v>
      </c>
      <c r="W79" s="1">
        <v>5500</v>
      </c>
      <c r="X79" s="1">
        <v>2213</v>
      </c>
      <c r="Y79" s="1">
        <v>1185</v>
      </c>
      <c r="Z79" s="1">
        <v>301</v>
      </c>
      <c r="AA79" s="1">
        <v>727</v>
      </c>
      <c r="AB79" s="1">
        <v>0</v>
      </c>
      <c r="AC79" s="1">
        <v>5</v>
      </c>
      <c r="AD79" s="1" t="s">
        <v>76</v>
      </c>
      <c r="AE79" s="1" t="s">
        <v>968</v>
      </c>
      <c r="AF79" s="1" t="s">
        <v>969</v>
      </c>
      <c r="AG79" s="1" t="s">
        <v>970</v>
      </c>
      <c r="AH79" s="1" t="s">
        <v>971</v>
      </c>
      <c r="AI79" s="1">
        <v>4.62</v>
      </c>
      <c r="AJ79" s="1">
        <v>259</v>
      </c>
      <c r="AK79" s="1">
        <v>604</v>
      </c>
      <c r="AL79" s="1">
        <v>21</v>
      </c>
    </row>
    <row r="80" spans="1:38" ht="15.75" customHeight="1">
      <c r="A80" s="1">
        <v>723</v>
      </c>
      <c r="C80" s="1">
        <v>4001</v>
      </c>
      <c r="D80" s="1" t="s">
        <v>51</v>
      </c>
      <c r="E80" s="1" t="s">
        <v>39</v>
      </c>
      <c r="F80" s="1" t="s">
        <v>67</v>
      </c>
      <c r="G80" s="1">
        <v>0</v>
      </c>
      <c r="H80" s="1" t="s">
        <v>41</v>
      </c>
      <c r="I80" s="1" t="s">
        <v>972</v>
      </c>
      <c r="J80" s="1" t="s">
        <v>973</v>
      </c>
      <c r="K80" s="1" t="s">
        <v>974</v>
      </c>
      <c r="L80" s="1">
        <v>1</v>
      </c>
      <c r="M80" s="1">
        <v>0</v>
      </c>
      <c r="N80" s="1" t="s">
        <v>975</v>
      </c>
      <c r="O80" s="1" t="s">
        <v>976</v>
      </c>
      <c r="P80" s="1" t="s">
        <v>977</v>
      </c>
      <c r="Q80" s="1">
        <v>0</v>
      </c>
      <c r="R80" s="1" t="s">
        <v>978</v>
      </c>
      <c r="S80" s="1" t="s">
        <v>979</v>
      </c>
      <c r="U80" s="2">
        <v>56771</v>
      </c>
      <c r="V80" s="1">
        <v>4.3</v>
      </c>
      <c r="W80" s="1">
        <v>5500</v>
      </c>
      <c r="X80" s="1">
        <v>2430</v>
      </c>
      <c r="Y80" s="1">
        <v>1037</v>
      </c>
      <c r="Z80" s="1">
        <v>200</v>
      </c>
      <c r="AA80" s="1">
        <v>1193</v>
      </c>
      <c r="AB80" s="1">
        <v>0</v>
      </c>
      <c r="AC80" s="1">
        <v>9</v>
      </c>
      <c r="AD80" s="1" t="s">
        <v>76</v>
      </c>
      <c r="AE80" s="1" t="s">
        <v>980</v>
      </c>
      <c r="AF80" s="1" t="s">
        <v>981</v>
      </c>
      <c r="AG80" s="1" t="s">
        <v>982</v>
      </c>
      <c r="AH80" s="1" t="s">
        <v>983</v>
      </c>
      <c r="AI80" s="1">
        <v>3.82</v>
      </c>
      <c r="AJ80" s="1">
        <v>174</v>
      </c>
      <c r="AK80" s="1">
        <v>773</v>
      </c>
    </row>
    <row r="81" spans="1:38" ht="15.75" customHeight="1">
      <c r="A81" s="1">
        <v>455</v>
      </c>
      <c r="C81" s="1">
        <v>4050</v>
      </c>
      <c r="D81" s="1" t="s">
        <v>38</v>
      </c>
      <c r="E81" s="1" t="s">
        <v>39</v>
      </c>
      <c r="F81" s="1" t="s">
        <v>280</v>
      </c>
      <c r="G81" s="1">
        <v>0</v>
      </c>
      <c r="H81" s="1" t="s">
        <v>41</v>
      </c>
      <c r="I81" s="1" t="s">
        <v>984</v>
      </c>
      <c r="J81" s="1" t="s">
        <v>985</v>
      </c>
      <c r="K81" s="1" t="s">
        <v>986</v>
      </c>
      <c r="L81" s="1">
        <v>1</v>
      </c>
      <c r="M81" s="1">
        <v>0</v>
      </c>
      <c r="N81" s="1" t="s">
        <v>987</v>
      </c>
      <c r="O81" s="1" t="s">
        <v>988</v>
      </c>
      <c r="P81" s="1" t="s">
        <v>989</v>
      </c>
      <c r="Q81" s="1">
        <v>0</v>
      </c>
      <c r="R81" s="1" t="s">
        <v>990</v>
      </c>
      <c r="S81" s="1" t="s">
        <v>991</v>
      </c>
      <c r="U81" s="2">
        <v>56769</v>
      </c>
      <c r="V81" s="1">
        <v>4.8</v>
      </c>
      <c r="W81" s="1">
        <v>5500</v>
      </c>
      <c r="X81" s="1">
        <v>3269</v>
      </c>
      <c r="Y81" s="1">
        <v>796</v>
      </c>
      <c r="Z81" s="1">
        <v>1605</v>
      </c>
      <c r="AA81" s="1">
        <v>868</v>
      </c>
      <c r="AB81" s="1">
        <v>0</v>
      </c>
      <c r="AC81" s="1">
        <v>4</v>
      </c>
      <c r="AE81" s="1" t="s">
        <v>992</v>
      </c>
      <c r="AF81" s="1" t="s">
        <v>993</v>
      </c>
      <c r="AG81" s="1" t="s">
        <v>994</v>
      </c>
      <c r="AH81" s="1" t="s">
        <v>995</v>
      </c>
      <c r="AI81" s="1">
        <v>4.49</v>
      </c>
      <c r="AJ81" s="1">
        <v>2315</v>
      </c>
      <c r="AK81" s="1">
        <v>7039</v>
      </c>
      <c r="AL81" s="1">
        <v>763</v>
      </c>
    </row>
    <row r="82" spans="1:38" ht="15.75" customHeight="1">
      <c r="A82" s="1">
        <v>32</v>
      </c>
      <c r="C82" s="1">
        <v>4050</v>
      </c>
      <c r="D82" s="1" t="s">
        <v>38</v>
      </c>
      <c r="E82" s="1" t="s">
        <v>39</v>
      </c>
      <c r="F82" s="1" t="s">
        <v>116</v>
      </c>
      <c r="G82" s="1">
        <v>0</v>
      </c>
      <c r="H82" s="1" t="s">
        <v>41</v>
      </c>
      <c r="I82" s="1" t="s">
        <v>996</v>
      </c>
      <c r="J82" s="1" t="s">
        <v>997</v>
      </c>
      <c r="K82" s="1" t="s">
        <v>998</v>
      </c>
      <c r="L82" s="1">
        <v>1</v>
      </c>
      <c r="M82" s="1">
        <v>0</v>
      </c>
      <c r="N82" s="1" t="s">
        <v>999</v>
      </c>
      <c r="O82" s="1" t="s">
        <v>1000</v>
      </c>
      <c r="P82" s="1" t="s">
        <v>1001</v>
      </c>
      <c r="Q82" s="1">
        <v>0</v>
      </c>
      <c r="R82" s="1" t="s">
        <v>1002</v>
      </c>
      <c r="S82" s="1" t="s">
        <v>1003</v>
      </c>
      <c r="U82" s="2">
        <v>56766</v>
      </c>
      <c r="V82" s="1">
        <v>4.5</v>
      </c>
      <c r="W82" s="1">
        <v>5500</v>
      </c>
      <c r="X82" s="1">
        <v>1935</v>
      </c>
      <c r="Y82" s="1">
        <v>542</v>
      </c>
      <c r="Z82" s="1">
        <v>723</v>
      </c>
      <c r="AA82" s="1">
        <v>670</v>
      </c>
      <c r="AB82" s="1">
        <v>0</v>
      </c>
      <c r="AC82" s="1">
        <v>25</v>
      </c>
      <c r="AD82" s="1" t="s">
        <v>76</v>
      </c>
      <c r="AE82" s="1" t="s">
        <v>1004</v>
      </c>
      <c r="AF82" s="1" t="s">
        <v>1005</v>
      </c>
      <c r="AG82" s="1" t="s">
        <v>1006</v>
      </c>
      <c r="AH82" s="1" t="s">
        <v>1007</v>
      </c>
      <c r="AI82" s="1">
        <v>4.8899999999999997</v>
      </c>
      <c r="AJ82" s="1">
        <v>1778</v>
      </c>
      <c r="AK82" s="1">
        <v>5138</v>
      </c>
      <c r="AL82" s="1">
        <v>314</v>
      </c>
    </row>
    <row r="83" spans="1:38" ht="15.75" customHeight="1">
      <c r="A83" s="1">
        <v>416</v>
      </c>
      <c r="B83" s="1">
        <v>5</v>
      </c>
      <c r="C83" s="1">
        <v>4050</v>
      </c>
      <c r="D83" s="1" t="s">
        <v>38</v>
      </c>
      <c r="E83" s="1" t="s">
        <v>39</v>
      </c>
      <c r="F83" s="1" t="s">
        <v>365</v>
      </c>
      <c r="G83" s="1">
        <v>0</v>
      </c>
      <c r="H83" s="1" t="s">
        <v>41</v>
      </c>
      <c r="I83" s="1" t="s">
        <v>1008</v>
      </c>
      <c r="J83" s="1" t="s">
        <v>1009</v>
      </c>
      <c r="K83" s="1" t="s">
        <v>1010</v>
      </c>
      <c r="L83" s="1">
        <v>1</v>
      </c>
      <c r="M83" s="1">
        <v>0</v>
      </c>
      <c r="N83" s="1" t="s">
        <v>1011</v>
      </c>
      <c r="O83" s="1" t="s">
        <v>1012</v>
      </c>
      <c r="P83" s="1" t="s">
        <v>1013</v>
      </c>
      <c r="Q83" s="1">
        <v>0</v>
      </c>
      <c r="R83" s="1" t="s">
        <v>1014</v>
      </c>
      <c r="S83" s="1" t="s">
        <v>1015</v>
      </c>
      <c r="U83" s="2">
        <v>56769</v>
      </c>
      <c r="V83" s="1">
        <v>4.5</v>
      </c>
      <c r="W83" s="1">
        <v>5500</v>
      </c>
      <c r="X83" s="1">
        <v>2737</v>
      </c>
      <c r="Y83" s="1">
        <v>865</v>
      </c>
      <c r="Z83" s="1">
        <v>1508</v>
      </c>
      <c r="AA83" s="1">
        <v>364</v>
      </c>
      <c r="AB83" s="1">
        <v>0</v>
      </c>
      <c r="AC83" s="1">
        <v>7</v>
      </c>
      <c r="AD83" s="1" t="s">
        <v>215</v>
      </c>
      <c r="AE83" s="1" t="s">
        <v>1016</v>
      </c>
      <c r="AF83" s="1" t="s">
        <v>1017</v>
      </c>
      <c r="AG83" s="1" t="s">
        <v>1018</v>
      </c>
      <c r="AH83" s="1" t="s">
        <v>1019</v>
      </c>
      <c r="AI83" s="1">
        <v>4.7699999999999996</v>
      </c>
      <c r="AJ83" s="1">
        <v>426</v>
      </c>
      <c r="AK83" s="1">
        <v>1226</v>
      </c>
      <c r="AL83" s="1">
        <v>85</v>
      </c>
    </row>
    <row r="84" spans="1:38" ht="15.75" customHeight="1">
      <c r="A84" s="1">
        <v>196</v>
      </c>
      <c r="C84" s="1">
        <v>4001</v>
      </c>
      <c r="D84" s="1" t="s">
        <v>51</v>
      </c>
      <c r="E84" s="1" t="s">
        <v>39</v>
      </c>
      <c r="F84" s="1" t="s">
        <v>232</v>
      </c>
      <c r="G84" s="1">
        <v>0</v>
      </c>
      <c r="H84" s="1" t="s">
        <v>53</v>
      </c>
      <c r="I84" s="1" t="s">
        <v>1020</v>
      </c>
      <c r="J84" s="1" t="s">
        <v>1021</v>
      </c>
      <c r="K84" s="1" t="s">
        <v>1022</v>
      </c>
      <c r="L84" s="1">
        <v>1</v>
      </c>
      <c r="M84" s="1">
        <v>0</v>
      </c>
      <c r="N84" s="1" t="s">
        <v>1023</v>
      </c>
      <c r="O84" s="1" t="s">
        <v>1024</v>
      </c>
      <c r="P84" s="1" t="s">
        <v>1025</v>
      </c>
      <c r="Q84" s="1">
        <v>0</v>
      </c>
      <c r="R84" s="1" t="s">
        <v>1026</v>
      </c>
      <c r="S84" s="1" t="s">
        <v>1027</v>
      </c>
      <c r="U84" s="2">
        <v>56767</v>
      </c>
      <c r="V84" s="1">
        <v>4.5</v>
      </c>
      <c r="W84" s="1">
        <v>5500</v>
      </c>
      <c r="X84" s="1">
        <v>1919</v>
      </c>
      <c r="Y84" s="1">
        <v>622</v>
      </c>
      <c r="Z84" s="1">
        <v>19</v>
      </c>
      <c r="AA84" s="1">
        <v>1278</v>
      </c>
      <c r="AB84" s="1">
        <v>0</v>
      </c>
      <c r="AC84" s="1">
        <v>8</v>
      </c>
      <c r="AD84" s="1" t="s">
        <v>76</v>
      </c>
      <c r="AE84" s="1" t="s">
        <v>1028</v>
      </c>
      <c r="AF84" s="1" t="s">
        <v>1029</v>
      </c>
      <c r="AG84" s="1" t="s">
        <v>1030</v>
      </c>
      <c r="AH84" s="1" t="s">
        <v>1031</v>
      </c>
      <c r="AI84" s="1">
        <v>4.5599999999999996</v>
      </c>
      <c r="AJ84" s="1">
        <v>765</v>
      </c>
      <c r="AK84" s="1">
        <v>2618</v>
      </c>
    </row>
    <row r="85" spans="1:38" ht="15.75" customHeight="1">
      <c r="A85" s="1">
        <v>998</v>
      </c>
      <c r="B85" s="1">
        <v>5</v>
      </c>
      <c r="C85" s="1">
        <v>4001</v>
      </c>
      <c r="D85" s="1" t="s">
        <v>51</v>
      </c>
      <c r="E85" s="1" t="s">
        <v>39</v>
      </c>
      <c r="F85" s="1" t="s">
        <v>52</v>
      </c>
      <c r="G85" s="1">
        <v>0</v>
      </c>
      <c r="H85" s="1" t="s">
        <v>53</v>
      </c>
      <c r="I85" s="1" t="s">
        <v>1032</v>
      </c>
      <c r="J85" s="1" t="s">
        <v>1033</v>
      </c>
      <c r="K85" s="1" t="s">
        <v>1034</v>
      </c>
      <c r="L85" s="1">
        <v>1</v>
      </c>
      <c r="M85" s="1">
        <v>0</v>
      </c>
      <c r="N85" s="1" t="s">
        <v>1035</v>
      </c>
      <c r="O85" s="1" t="s">
        <v>1036</v>
      </c>
      <c r="P85" s="1" t="s">
        <v>1037</v>
      </c>
      <c r="Q85" s="1">
        <v>0</v>
      </c>
      <c r="R85" s="1" t="s">
        <v>1038</v>
      </c>
      <c r="S85" s="1" t="s">
        <v>1039</v>
      </c>
      <c r="U85" s="2">
        <v>56773</v>
      </c>
      <c r="V85" s="1">
        <v>2.723971422</v>
      </c>
      <c r="W85" s="1">
        <v>5500</v>
      </c>
      <c r="X85" s="1">
        <v>1817</v>
      </c>
      <c r="Y85" s="1">
        <v>274</v>
      </c>
      <c r="Z85" s="1">
        <v>1073</v>
      </c>
      <c r="AA85" s="1">
        <v>470</v>
      </c>
      <c r="AB85" s="1">
        <v>0</v>
      </c>
      <c r="AC85" s="1">
        <v>3</v>
      </c>
      <c r="AD85" s="1" t="s">
        <v>62</v>
      </c>
      <c r="AE85" s="1" t="s">
        <v>1040</v>
      </c>
      <c r="AF85" s="1" t="s">
        <v>1041</v>
      </c>
      <c r="AG85" s="1" t="s">
        <v>1042</v>
      </c>
      <c r="AH85" s="1" t="s">
        <v>1043</v>
      </c>
      <c r="AI85" s="1">
        <v>4.17</v>
      </c>
      <c r="AJ85" s="1">
        <v>457</v>
      </c>
      <c r="AK85" s="1">
        <v>1599</v>
      </c>
    </row>
    <row r="86" spans="1:38" ht="15.75" customHeight="1">
      <c r="A86" s="1">
        <v>1069</v>
      </c>
      <c r="C86" s="1">
        <v>4001</v>
      </c>
      <c r="D86" s="1" t="s">
        <v>51</v>
      </c>
      <c r="E86" s="1" t="s">
        <v>39</v>
      </c>
      <c r="F86" s="1" t="s">
        <v>92</v>
      </c>
      <c r="G86" s="1">
        <v>0</v>
      </c>
      <c r="H86" s="1" t="s">
        <v>41</v>
      </c>
      <c r="I86" s="1" t="s">
        <v>1044</v>
      </c>
      <c r="J86" s="1" t="s">
        <v>1045</v>
      </c>
      <c r="K86" s="1" t="s">
        <v>1046</v>
      </c>
      <c r="L86" s="1">
        <v>1</v>
      </c>
      <c r="M86" s="1">
        <v>0</v>
      </c>
      <c r="N86" s="1" t="s">
        <v>1047</v>
      </c>
      <c r="O86" s="1" t="s">
        <v>1048</v>
      </c>
      <c r="P86" s="1" t="s">
        <v>1049</v>
      </c>
      <c r="Q86" s="1">
        <v>0</v>
      </c>
      <c r="R86" s="1" t="s">
        <v>1050</v>
      </c>
      <c r="S86" s="1" t="s">
        <v>1051</v>
      </c>
      <c r="U86" s="2">
        <v>56774</v>
      </c>
      <c r="V86" s="1">
        <v>4.5999999999999996</v>
      </c>
      <c r="W86" s="1">
        <v>5500</v>
      </c>
      <c r="X86" s="1">
        <v>2187</v>
      </c>
      <c r="Y86" s="1">
        <v>668</v>
      </c>
      <c r="Z86" s="1">
        <v>1504</v>
      </c>
      <c r="AA86" s="1">
        <v>15</v>
      </c>
      <c r="AB86" s="1">
        <v>0</v>
      </c>
      <c r="AC86" s="1">
        <v>6</v>
      </c>
      <c r="AD86" s="1" t="s">
        <v>215</v>
      </c>
      <c r="AE86" s="1" t="s">
        <v>1052</v>
      </c>
      <c r="AF86" s="1" t="s">
        <v>1053</v>
      </c>
      <c r="AG86" s="1" t="s">
        <v>1054</v>
      </c>
      <c r="AH86" s="1" t="s">
        <v>1055</v>
      </c>
      <c r="AI86" s="1">
        <v>4.03</v>
      </c>
      <c r="AJ86" s="1">
        <v>505</v>
      </c>
      <c r="AK86" s="1">
        <v>1721</v>
      </c>
      <c r="AL86" s="1">
        <v>457</v>
      </c>
    </row>
    <row r="87" spans="1:38" ht="15.75" customHeight="1">
      <c r="A87" s="1">
        <v>261</v>
      </c>
      <c r="B87" s="1">
        <v>5</v>
      </c>
      <c r="C87" s="1">
        <v>4050</v>
      </c>
      <c r="D87" s="1" t="s">
        <v>38</v>
      </c>
      <c r="E87" s="1" t="s">
        <v>39</v>
      </c>
      <c r="F87" s="1" t="s">
        <v>195</v>
      </c>
      <c r="G87" s="1">
        <v>0</v>
      </c>
      <c r="H87" s="1" t="s">
        <v>41</v>
      </c>
      <c r="I87" s="1" t="s">
        <v>1056</v>
      </c>
      <c r="J87" s="1" t="s">
        <v>1057</v>
      </c>
      <c r="K87" s="1" t="s">
        <v>1058</v>
      </c>
      <c r="L87" s="1">
        <v>1</v>
      </c>
      <c r="M87" s="1">
        <v>0</v>
      </c>
      <c r="N87" s="1" t="s">
        <v>1059</v>
      </c>
      <c r="O87" s="1" t="s">
        <v>1060</v>
      </c>
      <c r="P87" s="1" t="s">
        <v>1061</v>
      </c>
      <c r="Q87" s="1">
        <v>0</v>
      </c>
      <c r="R87" s="1" t="s">
        <v>1062</v>
      </c>
      <c r="S87" s="1" t="s">
        <v>1063</v>
      </c>
      <c r="U87" s="2">
        <v>56768</v>
      </c>
      <c r="V87" s="1">
        <v>4.5</v>
      </c>
      <c r="W87" s="1">
        <v>5500</v>
      </c>
      <c r="X87" s="1">
        <v>2616</v>
      </c>
      <c r="Y87" s="1">
        <v>1268</v>
      </c>
      <c r="Z87" s="1">
        <v>405</v>
      </c>
      <c r="AA87" s="1">
        <v>943</v>
      </c>
      <c r="AB87" s="1">
        <v>0</v>
      </c>
      <c r="AC87" s="1">
        <v>3</v>
      </c>
      <c r="AD87" s="1" t="s">
        <v>76</v>
      </c>
      <c r="AE87" s="1" t="s">
        <v>1064</v>
      </c>
      <c r="AF87" s="1" t="s">
        <v>1065</v>
      </c>
      <c r="AG87" s="1" t="s">
        <v>1066</v>
      </c>
      <c r="AH87" s="1" t="s">
        <v>1067</v>
      </c>
      <c r="AI87" s="1">
        <v>4.66</v>
      </c>
      <c r="AJ87" s="1">
        <v>161</v>
      </c>
      <c r="AK87" s="1">
        <v>398</v>
      </c>
    </row>
    <row r="88" spans="1:38" ht="15.75" customHeight="1">
      <c r="A88" s="1">
        <v>740</v>
      </c>
      <c r="B88" s="1">
        <v>5</v>
      </c>
      <c r="C88" s="1">
        <v>4050</v>
      </c>
      <c r="D88" s="1" t="s">
        <v>38</v>
      </c>
      <c r="E88" s="1" t="s">
        <v>39</v>
      </c>
      <c r="F88" s="1" t="s">
        <v>116</v>
      </c>
      <c r="G88" s="1">
        <v>0</v>
      </c>
      <c r="H88" s="1" t="s">
        <v>41</v>
      </c>
      <c r="I88" s="1" t="s">
        <v>1068</v>
      </c>
      <c r="J88" s="1" t="s">
        <v>1069</v>
      </c>
      <c r="K88" s="1" t="s">
        <v>1070</v>
      </c>
      <c r="L88" s="1">
        <v>1</v>
      </c>
      <c r="M88" s="1">
        <v>0</v>
      </c>
      <c r="N88" s="1" t="s">
        <v>1071</v>
      </c>
      <c r="O88" s="1" t="s">
        <v>1072</v>
      </c>
      <c r="P88" s="1" t="s">
        <v>1073</v>
      </c>
      <c r="Q88" s="1">
        <v>0</v>
      </c>
      <c r="R88" s="1" t="s">
        <v>1074</v>
      </c>
      <c r="S88" s="1" t="s">
        <v>1075</v>
      </c>
      <c r="U88" s="2">
        <v>56771</v>
      </c>
      <c r="V88" s="1">
        <v>4.4000000000000004</v>
      </c>
      <c r="W88" s="1">
        <v>5500</v>
      </c>
      <c r="X88" s="1">
        <v>3313</v>
      </c>
      <c r="Y88" s="1">
        <v>597</v>
      </c>
      <c r="Z88" s="1">
        <v>2040</v>
      </c>
      <c r="AA88" s="1">
        <v>676</v>
      </c>
      <c r="AB88" s="1">
        <v>1</v>
      </c>
      <c r="AC88" s="1">
        <v>4</v>
      </c>
      <c r="AE88" s="1" t="s">
        <v>1076</v>
      </c>
      <c r="AF88" s="1" t="s">
        <v>1077</v>
      </c>
      <c r="AG88" s="1" t="s">
        <v>1078</v>
      </c>
      <c r="AH88" s="1" t="s">
        <v>1079</v>
      </c>
      <c r="AI88" s="1">
        <v>4.8899999999999997</v>
      </c>
      <c r="AJ88" s="1">
        <v>1778</v>
      </c>
      <c r="AK88" s="1">
        <v>5138</v>
      </c>
      <c r="AL88" s="1">
        <v>314</v>
      </c>
    </row>
    <row r="89" spans="1:38" ht="15.75" customHeight="1">
      <c r="A89" s="1">
        <v>981</v>
      </c>
      <c r="B89" s="1">
        <v>5</v>
      </c>
      <c r="C89" s="1">
        <v>4001</v>
      </c>
      <c r="D89" s="1" t="s">
        <v>51</v>
      </c>
      <c r="E89" s="1" t="s">
        <v>39</v>
      </c>
      <c r="F89" s="1" t="s">
        <v>414</v>
      </c>
      <c r="G89" s="1">
        <v>0</v>
      </c>
      <c r="H89" s="1" t="s">
        <v>53</v>
      </c>
      <c r="I89" s="1" t="s">
        <v>1080</v>
      </c>
      <c r="J89" s="1" t="s">
        <v>1081</v>
      </c>
      <c r="K89" s="1" t="s">
        <v>1082</v>
      </c>
      <c r="L89" s="1">
        <v>1</v>
      </c>
      <c r="M89" s="1">
        <v>0</v>
      </c>
      <c r="N89" s="1" t="s">
        <v>1083</v>
      </c>
      <c r="O89" s="1" t="s">
        <v>1084</v>
      </c>
      <c r="P89" s="1" t="s">
        <v>1085</v>
      </c>
      <c r="Q89" s="1">
        <v>0</v>
      </c>
      <c r="R89" s="1" t="s">
        <v>1086</v>
      </c>
      <c r="S89" s="1" t="s">
        <v>1087</v>
      </c>
      <c r="U89" s="2">
        <v>56773</v>
      </c>
      <c r="V89" s="1">
        <v>4</v>
      </c>
      <c r="W89" s="1">
        <v>5500</v>
      </c>
      <c r="X89" s="1">
        <v>2653</v>
      </c>
      <c r="Y89" s="1">
        <v>1922</v>
      </c>
      <c r="Z89" s="1">
        <v>175</v>
      </c>
      <c r="AA89" s="1">
        <v>556</v>
      </c>
      <c r="AB89" s="1">
        <v>0</v>
      </c>
      <c r="AC89" s="1">
        <v>6</v>
      </c>
      <c r="AD89" s="1" t="s">
        <v>76</v>
      </c>
      <c r="AE89" s="1" t="s">
        <v>1088</v>
      </c>
      <c r="AF89" s="1" t="s">
        <v>1089</v>
      </c>
      <c r="AG89" s="1" t="s">
        <v>1090</v>
      </c>
      <c r="AH89" s="1" t="s">
        <v>1091</v>
      </c>
      <c r="AI89" s="1">
        <v>4.58</v>
      </c>
      <c r="AJ89" s="1">
        <v>254</v>
      </c>
      <c r="AK89" s="1">
        <v>788</v>
      </c>
      <c r="AL89" s="1">
        <v>9</v>
      </c>
    </row>
    <row r="90" spans="1:38" ht="15.75" customHeight="1">
      <c r="A90" s="1">
        <v>510</v>
      </c>
      <c r="C90" s="1">
        <v>4050</v>
      </c>
      <c r="D90" s="1" t="s">
        <v>38</v>
      </c>
      <c r="E90" s="1" t="s">
        <v>39</v>
      </c>
      <c r="F90" s="1" t="s">
        <v>1092</v>
      </c>
      <c r="G90" s="1">
        <v>0</v>
      </c>
      <c r="H90" s="1" t="s">
        <v>41</v>
      </c>
      <c r="I90" s="1" t="s">
        <v>1093</v>
      </c>
      <c r="J90" s="1" t="s">
        <v>1094</v>
      </c>
      <c r="K90" s="1" t="s">
        <v>1094</v>
      </c>
      <c r="L90" s="1">
        <v>0</v>
      </c>
      <c r="M90" s="1">
        <v>0</v>
      </c>
      <c r="N90" s="1" t="s">
        <v>1095</v>
      </c>
      <c r="O90" s="1" t="s">
        <v>1096</v>
      </c>
      <c r="P90" s="1" t="s">
        <v>1097</v>
      </c>
      <c r="Q90" s="1">
        <v>0</v>
      </c>
      <c r="R90" s="1" t="s">
        <v>1098</v>
      </c>
      <c r="S90" s="1" t="s">
        <v>1099</v>
      </c>
      <c r="U90" s="2">
        <v>56769</v>
      </c>
      <c r="V90" s="1">
        <v>5</v>
      </c>
      <c r="W90" s="1">
        <v>5500</v>
      </c>
      <c r="X90" s="1">
        <v>2140</v>
      </c>
      <c r="Y90" s="1">
        <v>1114</v>
      </c>
      <c r="Z90" s="1">
        <v>149</v>
      </c>
      <c r="AA90" s="1">
        <v>877</v>
      </c>
      <c r="AB90" s="1">
        <v>0</v>
      </c>
      <c r="AC90" s="1">
        <v>5</v>
      </c>
      <c r="AD90" s="1" t="s">
        <v>76</v>
      </c>
      <c r="AE90" s="1" t="s">
        <v>1100</v>
      </c>
      <c r="AF90" s="1" t="s">
        <v>1101</v>
      </c>
      <c r="AG90" s="1" t="s">
        <v>1102</v>
      </c>
      <c r="AH90" s="1" t="s">
        <v>1103</v>
      </c>
      <c r="AI90" s="1">
        <v>4.3764705880000001</v>
      </c>
      <c r="AJ90" s="1">
        <v>62</v>
      </c>
      <c r="AK90" s="1">
        <v>219</v>
      </c>
      <c r="AL90" s="1">
        <v>113</v>
      </c>
    </row>
    <row r="91" spans="1:38" ht="15.75" customHeight="1">
      <c r="A91" s="1">
        <v>699</v>
      </c>
      <c r="B91" s="1">
        <v>5</v>
      </c>
      <c r="C91" s="1">
        <v>4001</v>
      </c>
      <c r="D91" s="1" t="s">
        <v>51</v>
      </c>
      <c r="E91" s="1" t="s">
        <v>39</v>
      </c>
      <c r="F91" s="1" t="s">
        <v>1104</v>
      </c>
      <c r="G91" s="1">
        <v>0</v>
      </c>
      <c r="H91" s="1" t="s">
        <v>41</v>
      </c>
      <c r="I91" s="1" t="s">
        <v>1105</v>
      </c>
      <c r="J91" s="1" t="s">
        <v>1106</v>
      </c>
      <c r="K91" s="1" t="s">
        <v>1107</v>
      </c>
      <c r="L91" s="1">
        <v>1</v>
      </c>
      <c r="M91" s="1">
        <v>0</v>
      </c>
      <c r="N91" s="1" t="s">
        <v>1108</v>
      </c>
      <c r="O91" s="1" t="s">
        <v>1109</v>
      </c>
      <c r="P91" s="1" t="s">
        <v>1110</v>
      </c>
      <c r="Q91" s="1">
        <v>0</v>
      </c>
      <c r="R91" s="1" t="s">
        <v>1111</v>
      </c>
      <c r="S91" s="1" t="s">
        <v>1112</v>
      </c>
      <c r="U91" s="2">
        <v>56770</v>
      </c>
      <c r="V91" s="1">
        <v>4.4000000000000004</v>
      </c>
      <c r="W91" s="1">
        <v>5500</v>
      </c>
      <c r="X91" s="1">
        <v>2943</v>
      </c>
      <c r="Y91" s="1">
        <v>733</v>
      </c>
      <c r="Z91" s="1">
        <v>1349</v>
      </c>
      <c r="AA91" s="1">
        <v>861</v>
      </c>
      <c r="AB91" s="1">
        <v>0</v>
      </c>
      <c r="AC91" s="1">
        <v>3</v>
      </c>
      <c r="AD91" s="1" t="s">
        <v>215</v>
      </c>
      <c r="AE91" s="1" t="s">
        <v>1113</v>
      </c>
      <c r="AF91" s="1" t="s">
        <v>1114</v>
      </c>
      <c r="AG91" s="1" t="s">
        <v>1115</v>
      </c>
      <c r="AH91" s="1" t="s">
        <v>1116</v>
      </c>
      <c r="AI91" s="1">
        <v>4.46</v>
      </c>
      <c r="AJ91" s="1">
        <v>148</v>
      </c>
      <c r="AK91" s="1">
        <v>435</v>
      </c>
    </row>
    <row r="92" spans="1:38" ht="15.75" customHeight="1">
      <c r="A92" s="1">
        <v>549</v>
      </c>
      <c r="C92" s="1">
        <v>4001</v>
      </c>
      <c r="D92" s="1" t="s">
        <v>51</v>
      </c>
      <c r="E92" s="1" t="s">
        <v>39</v>
      </c>
      <c r="F92" s="1" t="s">
        <v>341</v>
      </c>
      <c r="G92" s="1">
        <v>0</v>
      </c>
      <c r="H92" s="1" t="s">
        <v>41</v>
      </c>
      <c r="I92" s="1" t="s">
        <v>1117</v>
      </c>
      <c r="J92" s="1" t="s">
        <v>1118</v>
      </c>
      <c r="K92" s="1" t="s">
        <v>1119</v>
      </c>
      <c r="L92" s="1">
        <v>1</v>
      </c>
      <c r="M92" s="1">
        <v>0</v>
      </c>
      <c r="N92" s="1" t="s">
        <v>1120</v>
      </c>
      <c r="O92" s="1" t="s">
        <v>1121</v>
      </c>
      <c r="P92" s="1" t="s">
        <v>1122</v>
      </c>
      <c r="Q92" s="1">
        <v>0</v>
      </c>
      <c r="R92" s="1" t="s">
        <v>1123</v>
      </c>
      <c r="S92" s="1" t="s">
        <v>1124</v>
      </c>
      <c r="U92" s="2">
        <v>56770</v>
      </c>
      <c r="V92" s="1">
        <v>3.3468128720000001</v>
      </c>
      <c r="W92" s="1">
        <v>5000</v>
      </c>
      <c r="X92" s="1">
        <v>1071</v>
      </c>
      <c r="Y92" s="1">
        <v>325</v>
      </c>
      <c r="Z92" s="1">
        <v>152</v>
      </c>
      <c r="AA92" s="1">
        <v>594</v>
      </c>
      <c r="AB92" s="1">
        <v>0</v>
      </c>
      <c r="AC92" s="1">
        <v>5</v>
      </c>
      <c r="AD92" s="1" t="s">
        <v>62</v>
      </c>
      <c r="AE92" s="1" t="s">
        <v>1125</v>
      </c>
      <c r="AF92" s="1" t="s">
        <v>1126</v>
      </c>
      <c r="AG92" s="1" t="s">
        <v>1127</v>
      </c>
      <c r="AH92" s="1" t="s">
        <v>1128</v>
      </c>
      <c r="AI92" s="1">
        <v>4.54</v>
      </c>
      <c r="AJ92" s="1">
        <v>2229</v>
      </c>
      <c r="AK92" s="1">
        <v>6580</v>
      </c>
    </row>
    <row r="93" spans="1:38" ht="15.75" customHeight="1">
      <c r="A93" s="1">
        <v>657</v>
      </c>
      <c r="C93" s="1">
        <v>4001</v>
      </c>
      <c r="D93" s="1" t="s">
        <v>51</v>
      </c>
      <c r="E93" s="1" t="s">
        <v>39</v>
      </c>
      <c r="F93" s="1" t="s">
        <v>648</v>
      </c>
      <c r="G93" s="1">
        <v>0</v>
      </c>
      <c r="H93" s="1" t="s">
        <v>53</v>
      </c>
      <c r="I93" s="1" t="s">
        <v>1129</v>
      </c>
      <c r="J93" s="1" t="s">
        <v>1130</v>
      </c>
      <c r="K93" s="1" t="s">
        <v>1131</v>
      </c>
      <c r="L93" s="1">
        <v>1</v>
      </c>
      <c r="M93" s="1">
        <v>0</v>
      </c>
      <c r="N93" s="1" t="s">
        <v>1132</v>
      </c>
      <c r="O93" s="1" t="s">
        <v>1133</v>
      </c>
      <c r="P93" s="1" t="s">
        <v>1134</v>
      </c>
      <c r="Q93" s="1">
        <v>0</v>
      </c>
      <c r="R93" s="1" t="s">
        <v>1135</v>
      </c>
      <c r="S93" s="1" t="s">
        <v>1136</v>
      </c>
      <c r="U93" s="2">
        <v>56770</v>
      </c>
      <c r="V93" s="1">
        <v>3.534688848</v>
      </c>
      <c r="W93" s="1">
        <v>5000</v>
      </c>
      <c r="X93" s="1">
        <v>3702</v>
      </c>
      <c r="Y93" s="1">
        <v>708</v>
      </c>
      <c r="Z93" s="1">
        <v>2137</v>
      </c>
      <c r="AA93" s="1">
        <v>857</v>
      </c>
      <c r="AB93" s="1">
        <v>0</v>
      </c>
      <c r="AC93" s="1">
        <v>2</v>
      </c>
      <c r="AD93" s="1" t="s">
        <v>76</v>
      </c>
      <c r="AE93" s="1" t="s">
        <v>1137</v>
      </c>
      <c r="AF93" s="1" t="s">
        <v>1138</v>
      </c>
      <c r="AG93" s="1" t="s">
        <v>1139</v>
      </c>
      <c r="AH93" s="1" t="s">
        <v>1140</v>
      </c>
      <c r="AI93" s="1">
        <v>4.7</v>
      </c>
      <c r="AJ93" s="1">
        <v>443</v>
      </c>
      <c r="AK93" s="1">
        <v>1579</v>
      </c>
    </row>
    <row r="94" spans="1:38" ht="15.75" customHeight="1">
      <c r="A94" s="1">
        <v>492</v>
      </c>
      <c r="C94" s="1">
        <v>4050</v>
      </c>
      <c r="D94" s="1" t="s">
        <v>38</v>
      </c>
      <c r="E94" s="1" t="s">
        <v>39</v>
      </c>
      <c r="F94" s="1" t="s">
        <v>390</v>
      </c>
      <c r="G94" s="1">
        <v>0</v>
      </c>
      <c r="H94" s="1" t="s">
        <v>41</v>
      </c>
      <c r="I94" s="1" t="s">
        <v>1141</v>
      </c>
      <c r="J94" s="1" t="s">
        <v>1142</v>
      </c>
      <c r="K94" s="1" t="s">
        <v>1143</v>
      </c>
      <c r="L94" s="1">
        <v>1</v>
      </c>
      <c r="M94" s="1">
        <v>0</v>
      </c>
      <c r="N94" s="1" t="s">
        <v>1144</v>
      </c>
      <c r="O94" s="1" t="s">
        <v>1145</v>
      </c>
      <c r="P94" s="1" t="s">
        <v>1146</v>
      </c>
      <c r="Q94" s="1">
        <v>0</v>
      </c>
      <c r="R94" s="1" t="s">
        <v>1147</v>
      </c>
      <c r="S94" s="1" t="s">
        <v>1148</v>
      </c>
      <c r="U94" s="2">
        <v>56769</v>
      </c>
      <c r="V94" s="1">
        <v>4.8</v>
      </c>
      <c r="W94" s="1">
        <v>5000</v>
      </c>
      <c r="X94" s="1">
        <v>1776</v>
      </c>
      <c r="Y94" s="1">
        <v>189</v>
      </c>
      <c r="Z94" s="1">
        <v>1071</v>
      </c>
      <c r="AA94" s="1">
        <v>516</v>
      </c>
      <c r="AB94" s="1">
        <v>0</v>
      </c>
      <c r="AC94" s="1">
        <v>6</v>
      </c>
      <c r="AD94" s="1" t="s">
        <v>62</v>
      </c>
      <c r="AE94" s="1" t="s">
        <v>1149</v>
      </c>
      <c r="AF94" s="1" t="s">
        <v>1150</v>
      </c>
      <c r="AG94" s="1" t="s">
        <v>1151</v>
      </c>
      <c r="AH94" s="1" t="s">
        <v>1152</v>
      </c>
      <c r="AI94" s="1">
        <v>4.5599999999999996</v>
      </c>
      <c r="AJ94" s="1">
        <v>344</v>
      </c>
      <c r="AK94" s="1">
        <v>947</v>
      </c>
      <c r="AL94" s="1">
        <v>22</v>
      </c>
    </row>
    <row r="95" spans="1:38" ht="15.75" customHeight="1">
      <c r="A95" s="1">
        <v>629</v>
      </c>
      <c r="C95" s="1">
        <v>4050</v>
      </c>
      <c r="D95" s="1" t="s">
        <v>38</v>
      </c>
      <c r="E95" s="1" t="s">
        <v>39</v>
      </c>
      <c r="F95" s="1" t="s">
        <v>1153</v>
      </c>
      <c r="G95" s="1">
        <v>0</v>
      </c>
      <c r="H95" s="1" t="s">
        <v>41</v>
      </c>
      <c r="I95" s="1" t="s">
        <v>1154</v>
      </c>
      <c r="J95" s="1" t="s">
        <v>1155</v>
      </c>
      <c r="K95" s="1" t="s">
        <v>1156</v>
      </c>
      <c r="L95" s="1">
        <v>1</v>
      </c>
      <c r="M95" s="1">
        <v>0</v>
      </c>
      <c r="N95" s="1" t="s">
        <v>1157</v>
      </c>
      <c r="O95" s="1" t="s">
        <v>1158</v>
      </c>
      <c r="P95" s="1" t="s">
        <v>1159</v>
      </c>
      <c r="Q95" s="1">
        <v>0</v>
      </c>
      <c r="R95" s="1" t="s">
        <v>1160</v>
      </c>
      <c r="S95" s="1" t="s">
        <v>1161</v>
      </c>
      <c r="U95" s="2">
        <v>56770</v>
      </c>
      <c r="V95" s="1">
        <v>4.2</v>
      </c>
      <c r="W95" s="1">
        <v>5000</v>
      </c>
      <c r="X95" s="1">
        <v>5916</v>
      </c>
      <c r="Y95" s="1">
        <v>119</v>
      </c>
      <c r="Z95" s="1">
        <v>4587</v>
      </c>
      <c r="AA95" s="1">
        <v>1210</v>
      </c>
      <c r="AB95" s="1">
        <v>0</v>
      </c>
      <c r="AC95" s="1">
        <v>6</v>
      </c>
      <c r="AD95" s="1" t="s">
        <v>62</v>
      </c>
      <c r="AE95" s="1" t="s">
        <v>1162</v>
      </c>
      <c r="AF95" s="1" t="s">
        <v>1163</v>
      </c>
      <c r="AG95" s="1" t="s">
        <v>1164</v>
      </c>
      <c r="AH95" s="1" t="s">
        <v>1165</v>
      </c>
      <c r="AI95" s="1">
        <v>4.58</v>
      </c>
      <c r="AJ95" s="1">
        <v>679</v>
      </c>
      <c r="AK95" s="1">
        <v>2371</v>
      </c>
      <c r="AL95" s="1">
        <v>1830</v>
      </c>
    </row>
    <row r="96" spans="1:38" ht="15.75" customHeight="1">
      <c r="A96" s="1">
        <v>448</v>
      </c>
      <c r="C96" s="1">
        <v>4050</v>
      </c>
      <c r="D96" s="1" t="s">
        <v>38</v>
      </c>
      <c r="E96" s="1" t="s">
        <v>39</v>
      </c>
      <c r="F96" s="1" t="s">
        <v>510</v>
      </c>
      <c r="G96" s="1">
        <v>0</v>
      </c>
      <c r="H96" s="1" t="s">
        <v>41</v>
      </c>
      <c r="I96" s="1" t="s">
        <v>1166</v>
      </c>
      <c r="J96" s="1" t="s">
        <v>1167</v>
      </c>
      <c r="K96" s="1" t="s">
        <v>1168</v>
      </c>
      <c r="L96" s="1">
        <v>1</v>
      </c>
      <c r="M96" s="1">
        <v>0</v>
      </c>
      <c r="N96" s="1" t="s">
        <v>1169</v>
      </c>
      <c r="O96" s="1" t="s">
        <v>1170</v>
      </c>
      <c r="P96" s="1" t="s">
        <v>1171</v>
      </c>
      <c r="Q96" s="1">
        <v>0</v>
      </c>
      <c r="R96" s="1" t="s">
        <v>1172</v>
      </c>
      <c r="S96" s="1" t="s">
        <v>1173</v>
      </c>
      <c r="U96" s="2">
        <v>56769</v>
      </c>
      <c r="V96" s="1">
        <v>4.5999999999999996</v>
      </c>
      <c r="W96" s="1">
        <v>5000</v>
      </c>
      <c r="X96" s="1">
        <v>2121</v>
      </c>
      <c r="Y96" s="1">
        <v>681</v>
      </c>
      <c r="Z96" s="1">
        <v>215</v>
      </c>
      <c r="AA96" s="1">
        <v>1225</v>
      </c>
      <c r="AB96" s="1">
        <v>0</v>
      </c>
      <c r="AC96" s="1">
        <v>7</v>
      </c>
      <c r="AD96" s="1" t="s">
        <v>76</v>
      </c>
      <c r="AE96" s="1" t="s">
        <v>1174</v>
      </c>
      <c r="AF96" s="1" t="s">
        <v>1175</v>
      </c>
      <c r="AG96" s="1" t="s">
        <v>1176</v>
      </c>
      <c r="AH96" s="1" t="s">
        <v>1177</v>
      </c>
      <c r="AI96" s="1">
        <v>4.62</v>
      </c>
      <c r="AJ96" s="1">
        <v>259</v>
      </c>
      <c r="AK96" s="1">
        <v>604</v>
      </c>
      <c r="AL96" s="1">
        <v>21</v>
      </c>
    </row>
    <row r="97" spans="1:38" ht="15.75" customHeight="1">
      <c r="A97" s="1">
        <v>497</v>
      </c>
      <c r="B97" s="1">
        <v>1</v>
      </c>
      <c r="C97" s="1">
        <v>4050</v>
      </c>
      <c r="D97" s="1" t="s">
        <v>38</v>
      </c>
      <c r="E97" s="1" t="s">
        <v>39</v>
      </c>
      <c r="F97" s="1" t="s">
        <v>365</v>
      </c>
      <c r="G97" s="1">
        <v>0</v>
      </c>
      <c r="H97" s="1" t="s">
        <v>41</v>
      </c>
      <c r="I97" s="1" t="s">
        <v>1178</v>
      </c>
      <c r="J97" s="1" t="s">
        <v>1179</v>
      </c>
      <c r="K97" s="1" t="s">
        <v>1180</v>
      </c>
      <c r="L97" s="1">
        <v>1</v>
      </c>
      <c r="M97" s="1">
        <v>0</v>
      </c>
      <c r="N97" s="1" t="s">
        <v>1181</v>
      </c>
      <c r="O97" s="1" t="s">
        <v>1182</v>
      </c>
      <c r="P97" s="1" t="s">
        <v>1183</v>
      </c>
      <c r="Q97" s="1">
        <v>0</v>
      </c>
      <c r="R97" s="1" t="s">
        <v>1184</v>
      </c>
      <c r="S97" s="1" t="s">
        <v>1185</v>
      </c>
      <c r="U97" s="2">
        <v>56769</v>
      </c>
      <c r="V97" s="1">
        <v>3.4317832890000002</v>
      </c>
      <c r="W97" s="1">
        <v>5000</v>
      </c>
      <c r="X97" s="1">
        <v>2562</v>
      </c>
      <c r="Y97" s="1">
        <v>507</v>
      </c>
      <c r="Z97" s="1">
        <v>704</v>
      </c>
      <c r="AA97" s="1">
        <v>1351</v>
      </c>
      <c r="AB97" s="1">
        <v>1</v>
      </c>
      <c r="AC97" s="1">
        <v>5</v>
      </c>
      <c r="AE97" s="1" t="s">
        <v>1186</v>
      </c>
      <c r="AF97" s="1" t="s">
        <v>1187</v>
      </c>
      <c r="AG97" s="1" t="s">
        <v>1188</v>
      </c>
      <c r="AH97" s="1" t="s">
        <v>1189</v>
      </c>
      <c r="AI97" s="1">
        <v>4.7699999999999996</v>
      </c>
      <c r="AJ97" s="1">
        <v>426</v>
      </c>
      <c r="AK97" s="1">
        <v>1226</v>
      </c>
      <c r="AL97" s="1">
        <v>85</v>
      </c>
    </row>
    <row r="98" spans="1:38" ht="15.75" customHeight="1">
      <c r="A98" s="1">
        <v>304</v>
      </c>
      <c r="B98" s="1">
        <v>1</v>
      </c>
      <c r="C98" s="1">
        <v>4050</v>
      </c>
      <c r="D98" s="1" t="s">
        <v>38</v>
      </c>
      <c r="E98" s="1" t="s">
        <v>39</v>
      </c>
      <c r="F98" s="1" t="s">
        <v>116</v>
      </c>
      <c r="G98" s="1">
        <v>0</v>
      </c>
      <c r="H98" s="1" t="s">
        <v>41</v>
      </c>
      <c r="I98" s="1" t="s">
        <v>1190</v>
      </c>
      <c r="J98" s="1" t="s">
        <v>1191</v>
      </c>
      <c r="K98" s="1" t="s">
        <v>1192</v>
      </c>
      <c r="L98" s="1">
        <v>1</v>
      </c>
      <c r="M98" s="1">
        <v>0</v>
      </c>
      <c r="N98" s="1" t="s">
        <v>1193</v>
      </c>
      <c r="O98" s="1" t="s">
        <v>1194</v>
      </c>
      <c r="P98" s="1" t="s">
        <v>1195</v>
      </c>
      <c r="Q98" s="1">
        <v>0</v>
      </c>
      <c r="R98" s="1" t="s">
        <v>1196</v>
      </c>
      <c r="S98" s="1" t="s">
        <v>1197</v>
      </c>
      <c r="U98" s="2">
        <v>56768</v>
      </c>
      <c r="V98" s="1">
        <v>4.2</v>
      </c>
      <c r="W98" s="1">
        <v>5000</v>
      </c>
      <c r="X98" s="1">
        <v>2655</v>
      </c>
      <c r="Y98" s="1">
        <v>676</v>
      </c>
      <c r="Z98" s="1">
        <v>1316</v>
      </c>
      <c r="AA98" s="1">
        <v>663</v>
      </c>
      <c r="AB98" s="1">
        <v>0</v>
      </c>
      <c r="AC98" s="1">
        <v>3</v>
      </c>
      <c r="AD98" s="1" t="s">
        <v>62</v>
      </c>
      <c r="AE98" s="1" t="s">
        <v>1198</v>
      </c>
      <c r="AF98" s="1" t="s">
        <v>1199</v>
      </c>
      <c r="AG98" s="1" t="s">
        <v>1200</v>
      </c>
      <c r="AH98" s="1" t="s">
        <v>1201</v>
      </c>
      <c r="AI98" s="1">
        <v>4.8899999999999997</v>
      </c>
      <c r="AJ98" s="1">
        <v>1778</v>
      </c>
      <c r="AK98" s="1">
        <v>5138</v>
      </c>
      <c r="AL98" s="1">
        <v>314</v>
      </c>
    </row>
    <row r="99" spans="1:38" ht="15.75" customHeight="1">
      <c r="A99" s="1">
        <v>231</v>
      </c>
      <c r="B99" s="1">
        <v>5</v>
      </c>
      <c r="C99" s="1">
        <v>4050</v>
      </c>
      <c r="D99" s="1" t="s">
        <v>38</v>
      </c>
      <c r="E99" s="1" t="s">
        <v>39</v>
      </c>
      <c r="F99" s="1" t="s">
        <v>486</v>
      </c>
      <c r="G99" s="1">
        <v>0</v>
      </c>
      <c r="H99" s="1" t="s">
        <v>41</v>
      </c>
      <c r="I99" s="1" t="s">
        <v>1202</v>
      </c>
      <c r="J99" s="1" t="s">
        <v>1203</v>
      </c>
      <c r="K99" s="1" t="s">
        <v>1204</v>
      </c>
      <c r="L99" s="1">
        <v>1</v>
      </c>
      <c r="M99" s="1">
        <v>0</v>
      </c>
      <c r="N99" s="1" t="s">
        <v>1205</v>
      </c>
      <c r="O99" s="1" t="s">
        <v>1206</v>
      </c>
      <c r="P99" s="1" t="s">
        <v>1207</v>
      </c>
      <c r="Q99" s="1">
        <v>0</v>
      </c>
      <c r="R99" s="1" t="s">
        <v>1208</v>
      </c>
      <c r="S99" s="1" t="s">
        <v>1209</v>
      </c>
      <c r="U99" s="2">
        <v>56767</v>
      </c>
      <c r="V99" s="1">
        <v>4.5999999999999996</v>
      </c>
      <c r="W99" s="1">
        <v>5000</v>
      </c>
      <c r="X99" s="1">
        <v>1573</v>
      </c>
      <c r="Y99" s="1">
        <v>392</v>
      </c>
      <c r="Z99" s="1">
        <v>826</v>
      </c>
      <c r="AA99" s="1">
        <v>355</v>
      </c>
      <c r="AB99" s="1">
        <v>0</v>
      </c>
      <c r="AC99" s="1">
        <v>6</v>
      </c>
      <c r="AD99" s="1" t="s">
        <v>62</v>
      </c>
      <c r="AE99" s="1" t="s">
        <v>1210</v>
      </c>
      <c r="AF99" s="1" t="s">
        <v>1211</v>
      </c>
      <c r="AG99" s="1" t="s">
        <v>1212</v>
      </c>
      <c r="AH99" s="1" t="s">
        <v>1213</v>
      </c>
      <c r="AI99" s="1">
        <v>4.7</v>
      </c>
      <c r="AJ99" s="1">
        <v>212</v>
      </c>
      <c r="AK99" s="1">
        <v>624</v>
      </c>
      <c r="AL99" s="1">
        <v>347</v>
      </c>
    </row>
    <row r="100" spans="1:38" ht="15.75" customHeight="1">
      <c r="A100" s="1">
        <v>443</v>
      </c>
      <c r="B100" s="1">
        <v>5</v>
      </c>
      <c r="C100" s="1">
        <v>4050</v>
      </c>
      <c r="D100" s="1" t="s">
        <v>38</v>
      </c>
      <c r="E100" s="1" t="s">
        <v>39</v>
      </c>
      <c r="F100" s="1" t="s">
        <v>280</v>
      </c>
      <c r="G100" s="1">
        <v>0</v>
      </c>
      <c r="H100" s="1" t="s">
        <v>41</v>
      </c>
      <c r="I100" s="1" t="s">
        <v>1214</v>
      </c>
      <c r="J100" s="1" t="s">
        <v>1215</v>
      </c>
      <c r="K100" s="1" t="s">
        <v>1216</v>
      </c>
      <c r="L100" s="1">
        <v>1</v>
      </c>
      <c r="M100" s="1">
        <v>0</v>
      </c>
      <c r="N100" s="1" t="s">
        <v>1217</v>
      </c>
      <c r="O100" s="1" t="s">
        <v>1218</v>
      </c>
      <c r="P100" s="1" t="s">
        <v>1219</v>
      </c>
      <c r="Q100" s="1">
        <v>0</v>
      </c>
      <c r="R100" s="1" t="s">
        <v>1220</v>
      </c>
      <c r="S100" s="1" t="s">
        <v>1221</v>
      </c>
      <c r="U100" s="2">
        <v>56769</v>
      </c>
      <c r="V100" s="1">
        <v>3.2241250629999998</v>
      </c>
      <c r="W100" s="1">
        <v>5000</v>
      </c>
      <c r="X100" s="1">
        <v>1538</v>
      </c>
      <c r="Y100" s="1">
        <v>982</v>
      </c>
      <c r="Z100" s="1">
        <v>21</v>
      </c>
      <c r="AA100" s="1">
        <v>535</v>
      </c>
      <c r="AB100" s="1">
        <v>0</v>
      </c>
      <c r="AC100" s="1">
        <v>2</v>
      </c>
      <c r="AD100" s="1" t="s">
        <v>76</v>
      </c>
      <c r="AE100" s="1" t="s">
        <v>1222</v>
      </c>
      <c r="AF100" s="1" t="s">
        <v>1223</v>
      </c>
      <c r="AG100" s="1" t="s">
        <v>1224</v>
      </c>
      <c r="AH100" s="1" t="s">
        <v>1225</v>
      </c>
      <c r="AI100" s="1">
        <v>4.49</v>
      </c>
      <c r="AJ100" s="1">
        <v>2315</v>
      </c>
      <c r="AK100" s="1">
        <v>7039</v>
      </c>
      <c r="AL100" s="1">
        <v>763</v>
      </c>
    </row>
    <row r="101" spans="1:38" ht="15.75" customHeight="1">
      <c r="A101" s="1">
        <v>152</v>
      </c>
      <c r="C101" s="1">
        <v>4050</v>
      </c>
      <c r="D101" s="1" t="s">
        <v>38</v>
      </c>
      <c r="E101" s="1" t="s">
        <v>39</v>
      </c>
      <c r="F101" s="1" t="s">
        <v>280</v>
      </c>
      <c r="G101" s="1">
        <v>0</v>
      </c>
      <c r="H101" s="1" t="s">
        <v>41</v>
      </c>
      <c r="I101" s="1" t="s">
        <v>1226</v>
      </c>
      <c r="J101" s="1" t="s">
        <v>1227</v>
      </c>
      <c r="K101" s="1" t="s">
        <v>1228</v>
      </c>
      <c r="L101" s="1">
        <v>1</v>
      </c>
      <c r="M101" s="1">
        <v>0</v>
      </c>
      <c r="N101" s="1" t="s">
        <v>1229</v>
      </c>
      <c r="O101" s="1" t="s">
        <v>1230</v>
      </c>
      <c r="P101" s="1" t="s">
        <v>1231</v>
      </c>
      <c r="Q101" s="1">
        <v>0</v>
      </c>
      <c r="R101" s="1" t="s">
        <v>1232</v>
      </c>
      <c r="S101" s="1" t="s">
        <v>1233</v>
      </c>
      <c r="U101" s="2">
        <v>56767</v>
      </c>
      <c r="V101" s="1">
        <v>4.5999999999999996</v>
      </c>
      <c r="W101" s="1">
        <v>5000</v>
      </c>
      <c r="X101" s="1">
        <v>2159</v>
      </c>
      <c r="Y101" s="1">
        <v>636</v>
      </c>
      <c r="Z101" s="1">
        <v>1071</v>
      </c>
      <c r="AA101" s="1">
        <v>452</v>
      </c>
      <c r="AB101" s="1">
        <v>0</v>
      </c>
      <c r="AC101" s="1">
        <v>3</v>
      </c>
      <c r="AD101" s="1" t="s">
        <v>62</v>
      </c>
      <c r="AE101" s="1" t="s">
        <v>1234</v>
      </c>
      <c r="AF101" s="1" t="s">
        <v>1235</v>
      </c>
      <c r="AG101" s="1" t="s">
        <v>1236</v>
      </c>
      <c r="AH101" s="1" t="s">
        <v>1237</v>
      </c>
      <c r="AI101" s="1">
        <v>4.49</v>
      </c>
      <c r="AJ101" s="1">
        <v>2315</v>
      </c>
      <c r="AK101" s="1">
        <v>7039</v>
      </c>
      <c r="AL101" s="1">
        <v>763</v>
      </c>
    </row>
    <row r="102" spans="1:38" ht="15.75" customHeight="1">
      <c r="A102" s="1">
        <v>354</v>
      </c>
      <c r="B102" s="1">
        <v>5</v>
      </c>
      <c r="C102" s="1">
        <v>4050</v>
      </c>
      <c r="D102" s="1" t="s">
        <v>38</v>
      </c>
      <c r="E102" s="1" t="s">
        <v>39</v>
      </c>
      <c r="F102" s="1" t="s">
        <v>1238</v>
      </c>
      <c r="G102" s="1">
        <v>0</v>
      </c>
      <c r="H102" s="1" t="s">
        <v>41</v>
      </c>
      <c r="I102" s="1" t="s">
        <v>1239</v>
      </c>
      <c r="J102" s="1" t="s">
        <v>1240</v>
      </c>
      <c r="K102" s="1" t="s">
        <v>1241</v>
      </c>
      <c r="L102" s="1">
        <v>1</v>
      </c>
      <c r="M102" s="1">
        <v>0</v>
      </c>
      <c r="N102" s="1" t="s">
        <v>1242</v>
      </c>
      <c r="O102" s="1" t="s">
        <v>1243</v>
      </c>
      <c r="P102" s="1" t="s">
        <v>1244</v>
      </c>
      <c r="Q102" s="1">
        <v>0</v>
      </c>
      <c r="R102" s="1" t="s">
        <v>1245</v>
      </c>
      <c r="S102" s="1" t="s">
        <v>1246</v>
      </c>
      <c r="U102" s="2">
        <v>56768</v>
      </c>
      <c r="V102" s="1">
        <v>4.5</v>
      </c>
      <c r="W102" s="1">
        <v>5000</v>
      </c>
      <c r="X102" s="1">
        <v>2263</v>
      </c>
      <c r="Y102" s="1">
        <v>520</v>
      </c>
      <c r="Z102" s="1">
        <v>730</v>
      </c>
      <c r="AA102" s="1">
        <v>1013</v>
      </c>
      <c r="AB102" s="1">
        <v>0</v>
      </c>
      <c r="AC102" s="1">
        <v>6</v>
      </c>
      <c r="AD102" s="1" t="s">
        <v>215</v>
      </c>
      <c r="AE102" s="1" t="s">
        <v>1247</v>
      </c>
      <c r="AF102" s="1" t="s">
        <v>1248</v>
      </c>
      <c r="AG102" s="1" t="s">
        <v>1249</v>
      </c>
      <c r="AH102" s="1" t="s">
        <v>1250</v>
      </c>
      <c r="AI102" s="1">
        <v>4.5</v>
      </c>
      <c r="AJ102" s="1">
        <v>55</v>
      </c>
      <c r="AK102" s="1">
        <v>211</v>
      </c>
      <c r="AL102" s="1">
        <v>6</v>
      </c>
    </row>
    <row r="103" spans="1:38" ht="15.75" customHeight="1">
      <c r="A103" s="1">
        <v>1253</v>
      </c>
      <c r="C103" s="1">
        <v>4001</v>
      </c>
      <c r="D103" s="1" t="s">
        <v>51</v>
      </c>
      <c r="E103" s="1" t="s">
        <v>39</v>
      </c>
      <c r="F103" s="1" t="s">
        <v>414</v>
      </c>
      <c r="G103" s="1">
        <v>0</v>
      </c>
      <c r="H103" s="1" t="s">
        <v>53</v>
      </c>
      <c r="I103" s="1" t="s">
        <v>1251</v>
      </c>
      <c r="J103" s="1" t="s">
        <v>1252</v>
      </c>
      <c r="K103" s="1" t="s">
        <v>1253</v>
      </c>
      <c r="L103" s="1">
        <v>1</v>
      </c>
      <c r="M103" s="1">
        <v>0</v>
      </c>
      <c r="N103" s="1" t="s">
        <v>1254</v>
      </c>
      <c r="O103" s="1" t="s">
        <v>1255</v>
      </c>
      <c r="P103" s="1" t="s">
        <v>1256</v>
      </c>
      <c r="Q103" s="1">
        <v>0</v>
      </c>
      <c r="R103" s="1" t="s">
        <v>1257</v>
      </c>
      <c r="S103" s="1" t="s">
        <v>1258</v>
      </c>
      <c r="U103" s="2">
        <v>56776</v>
      </c>
      <c r="V103" s="1">
        <v>3.9</v>
      </c>
      <c r="W103" s="1">
        <v>5000</v>
      </c>
      <c r="X103" s="1">
        <v>1083</v>
      </c>
      <c r="Y103" s="1">
        <v>156</v>
      </c>
      <c r="Z103" s="1">
        <v>468</v>
      </c>
      <c r="AA103" s="1">
        <v>459</v>
      </c>
      <c r="AB103" s="1">
        <v>0</v>
      </c>
      <c r="AC103" s="1">
        <v>3</v>
      </c>
      <c r="AD103" s="1" t="s">
        <v>62</v>
      </c>
      <c r="AE103" s="1" t="s">
        <v>1259</v>
      </c>
      <c r="AF103" s="1" t="s">
        <v>1260</v>
      </c>
      <c r="AG103" s="1" t="s">
        <v>1261</v>
      </c>
      <c r="AH103" s="1" t="s">
        <v>1262</v>
      </c>
      <c r="AI103" s="1">
        <v>4.58</v>
      </c>
      <c r="AJ103" s="1">
        <v>254</v>
      </c>
      <c r="AK103" s="1">
        <v>788</v>
      </c>
      <c r="AL103" s="1">
        <v>9</v>
      </c>
    </row>
    <row r="104" spans="1:38" ht="15.75" customHeight="1">
      <c r="A104" s="1">
        <v>174</v>
      </c>
      <c r="C104" s="1">
        <v>4001</v>
      </c>
      <c r="D104" s="1" t="s">
        <v>51</v>
      </c>
      <c r="E104" s="1" t="s">
        <v>39</v>
      </c>
      <c r="F104" s="1" t="s">
        <v>414</v>
      </c>
      <c r="G104" s="1">
        <v>0</v>
      </c>
      <c r="H104" s="1" t="s">
        <v>53</v>
      </c>
      <c r="I104" s="1" t="s">
        <v>1263</v>
      </c>
      <c r="J104" s="1" t="s">
        <v>1264</v>
      </c>
      <c r="K104" s="1" t="s">
        <v>1265</v>
      </c>
      <c r="L104" s="1">
        <v>1</v>
      </c>
      <c r="M104" s="1">
        <v>0</v>
      </c>
      <c r="N104" s="1" t="s">
        <v>1266</v>
      </c>
      <c r="O104" s="1" t="s">
        <v>1267</v>
      </c>
      <c r="P104" s="1" t="s">
        <v>1268</v>
      </c>
      <c r="Q104" s="1">
        <v>0</v>
      </c>
      <c r="R104" s="1" t="s">
        <v>1269</v>
      </c>
      <c r="S104" s="1" t="s">
        <v>1270</v>
      </c>
      <c r="U104" s="2">
        <v>56767</v>
      </c>
      <c r="V104" s="1">
        <v>2.971304843</v>
      </c>
      <c r="W104" s="1">
        <v>5000</v>
      </c>
      <c r="X104" s="1">
        <v>2061</v>
      </c>
      <c r="Y104" s="1">
        <v>1148</v>
      </c>
      <c r="AA104" s="1">
        <v>916</v>
      </c>
      <c r="AB104" s="1">
        <v>0</v>
      </c>
      <c r="AC104" s="1">
        <v>3</v>
      </c>
      <c r="AD104" s="1" t="s">
        <v>76</v>
      </c>
      <c r="AE104" s="1" t="s">
        <v>1271</v>
      </c>
      <c r="AF104" s="1" t="s">
        <v>1272</v>
      </c>
      <c r="AG104" s="1" t="s">
        <v>1273</v>
      </c>
      <c r="AH104" s="1" t="s">
        <v>1274</v>
      </c>
      <c r="AI104" s="1">
        <v>4.58</v>
      </c>
      <c r="AJ104" s="1">
        <v>254</v>
      </c>
      <c r="AK104" s="1">
        <v>788</v>
      </c>
      <c r="AL104" s="1">
        <v>9</v>
      </c>
    </row>
    <row r="105" spans="1:38" ht="15.75" customHeight="1">
      <c r="A105" s="1">
        <v>111</v>
      </c>
      <c r="B105" s="1">
        <v>5</v>
      </c>
      <c r="C105" s="1">
        <v>4001</v>
      </c>
      <c r="D105" s="1" t="s">
        <v>51</v>
      </c>
      <c r="E105" s="1" t="s">
        <v>39</v>
      </c>
      <c r="F105" s="1" t="s">
        <v>341</v>
      </c>
      <c r="G105" s="1">
        <v>0</v>
      </c>
      <c r="H105" s="1" t="s">
        <v>41</v>
      </c>
      <c r="I105" s="1" t="s">
        <v>1275</v>
      </c>
      <c r="J105" s="1" t="s">
        <v>1276</v>
      </c>
      <c r="K105" s="1" t="s">
        <v>1277</v>
      </c>
      <c r="L105" s="1">
        <v>1</v>
      </c>
      <c r="M105" s="1">
        <v>0</v>
      </c>
      <c r="N105" s="1" t="s">
        <v>1278</v>
      </c>
      <c r="O105" s="1" t="s">
        <v>1279</v>
      </c>
      <c r="P105" s="1" t="s">
        <v>1280</v>
      </c>
      <c r="Q105" s="1">
        <v>0</v>
      </c>
      <c r="R105" s="1" t="s">
        <v>1281</v>
      </c>
      <c r="S105" s="1" t="s">
        <v>1282</v>
      </c>
      <c r="U105" s="2">
        <v>56767</v>
      </c>
      <c r="V105" s="1">
        <v>4.4000000000000004</v>
      </c>
      <c r="W105" s="1">
        <v>5000</v>
      </c>
      <c r="X105" s="1">
        <v>1808</v>
      </c>
      <c r="Y105" s="1">
        <v>416</v>
      </c>
      <c r="Z105" s="1">
        <v>131</v>
      </c>
      <c r="AA105" s="1">
        <v>1261</v>
      </c>
      <c r="AB105" s="1">
        <v>0</v>
      </c>
      <c r="AC105" s="1">
        <v>3</v>
      </c>
      <c r="AD105" s="1" t="s">
        <v>215</v>
      </c>
      <c r="AE105" s="1" t="s">
        <v>1283</v>
      </c>
      <c r="AF105" s="1" t="s">
        <v>1284</v>
      </c>
      <c r="AG105" s="1" t="s">
        <v>1285</v>
      </c>
      <c r="AH105" s="1" t="s">
        <v>1286</v>
      </c>
      <c r="AI105" s="1">
        <v>4.54</v>
      </c>
      <c r="AJ105" s="1">
        <v>2229</v>
      </c>
      <c r="AK105" s="1">
        <v>6580</v>
      </c>
    </row>
    <row r="106" spans="1:38" ht="15.75" customHeight="1">
      <c r="A106" s="1">
        <v>216</v>
      </c>
      <c r="C106" s="1">
        <v>4050</v>
      </c>
      <c r="D106" s="1" t="s">
        <v>38</v>
      </c>
      <c r="E106" s="1" t="s">
        <v>39</v>
      </c>
      <c r="F106" s="1" t="s">
        <v>280</v>
      </c>
      <c r="G106" s="1">
        <v>0</v>
      </c>
      <c r="H106" s="1" t="s">
        <v>41</v>
      </c>
      <c r="I106" s="1" t="s">
        <v>1287</v>
      </c>
      <c r="J106" s="1" t="s">
        <v>1288</v>
      </c>
      <c r="K106" s="1" t="s">
        <v>1289</v>
      </c>
      <c r="L106" s="1">
        <v>1</v>
      </c>
      <c r="M106" s="1">
        <v>0</v>
      </c>
      <c r="N106" s="1" t="s">
        <v>1290</v>
      </c>
      <c r="O106" s="1" t="s">
        <v>1291</v>
      </c>
      <c r="P106" s="1" t="s">
        <v>1292</v>
      </c>
      <c r="Q106" s="1">
        <v>0</v>
      </c>
      <c r="R106" s="1" t="s">
        <v>1293</v>
      </c>
      <c r="S106" s="1" t="s">
        <v>1294</v>
      </c>
      <c r="U106" s="2">
        <v>56767</v>
      </c>
      <c r="V106" s="1">
        <v>4.5999999999999996</v>
      </c>
      <c r="W106" s="1">
        <v>5000</v>
      </c>
      <c r="X106" s="1">
        <v>4040</v>
      </c>
      <c r="Y106" s="1">
        <v>1906</v>
      </c>
      <c r="Z106" s="1">
        <v>1086</v>
      </c>
      <c r="AA106" s="1">
        <v>1048</v>
      </c>
      <c r="AB106" s="1">
        <v>0</v>
      </c>
      <c r="AC106" s="1">
        <v>12</v>
      </c>
      <c r="AD106" s="1" t="s">
        <v>62</v>
      </c>
      <c r="AE106" s="1" t="s">
        <v>1295</v>
      </c>
      <c r="AF106" s="1" t="s">
        <v>1296</v>
      </c>
      <c r="AG106" s="1" t="s">
        <v>1297</v>
      </c>
      <c r="AH106" s="1" t="s">
        <v>1298</v>
      </c>
      <c r="AI106" s="1">
        <v>4.49</v>
      </c>
      <c r="AJ106" s="1">
        <v>2315</v>
      </c>
      <c r="AK106" s="1">
        <v>7039</v>
      </c>
      <c r="AL106" s="1">
        <v>763</v>
      </c>
    </row>
    <row r="107" spans="1:38" ht="15.75" customHeight="1">
      <c r="A107" s="1">
        <v>1423</v>
      </c>
      <c r="C107" s="1">
        <v>4001</v>
      </c>
      <c r="D107" s="1" t="s">
        <v>51</v>
      </c>
      <c r="E107" s="1" t="s">
        <v>39</v>
      </c>
      <c r="F107" s="1" t="s">
        <v>104</v>
      </c>
      <c r="G107" s="1">
        <v>0</v>
      </c>
      <c r="H107" s="1" t="s">
        <v>41</v>
      </c>
      <c r="I107" s="1" t="s">
        <v>1299</v>
      </c>
      <c r="J107" s="1" t="s">
        <v>1300</v>
      </c>
      <c r="K107" s="1" t="s">
        <v>1301</v>
      </c>
      <c r="L107" s="1">
        <v>1</v>
      </c>
      <c r="M107" s="1">
        <v>0</v>
      </c>
      <c r="N107" s="1" t="s">
        <v>1302</v>
      </c>
      <c r="O107" s="1" t="s">
        <v>1303</v>
      </c>
      <c r="P107" s="1" t="s">
        <v>1304</v>
      </c>
      <c r="Q107" s="1">
        <v>0</v>
      </c>
      <c r="R107" s="1" t="s">
        <v>1305</v>
      </c>
      <c r="S107" s="1" t="s">
        <v>1306</v>
      </c>
      <c r="U107" s="2">
        <v>56777</v>
      </c>
      <c r="V107" s="1">
        <v>4.5</v>
      </c>
      <c r="W107" s="1">
        <v>5000</v>
      </c>
      <c r="X107" s="1">
        <v>1927</v>
      </c>
      <c r="Y107" s="1">
        <v>339</v>
      </c>
      <c r="Z107" s="1">
        <v>740</v>
      </c>
      <c r="AA107" s="1">
        <v>848</v>
      </c>
      <c r="AB107" s="1">
        <v>0</v>
      </c>
      <c r="AC107" s="1">
        <v>3</v>
      </c>
      <c r="AD107" s="1" t="s">
        <v>62</v>
      </c>
      <c r="AE107" s="1" t="s">
        <v>1307</v>
      </c>
      <c r="AF107" s="1" t="s">
        <v>1308</v>
      </c>
      <c r="AG107" s="1" t="s">
        <v>1309</v>
      </c>
      <c r="AH107" s="1" t="s">
        <v>1310</v>
      </c>
      <c r="AI107" s="1">
        <v>4.5199999999999996</v>
      </c>
      <c r="AJ107" s="1">
        <v>269</v>
      </c>
      <c r="AK107" s="1">
        <v>895</v>
      </c>
      <c r="AL107" s="1">
        <v>23</v>
      </c>
    </row>
    <row r="108" spans="1:38" ht="15.75" customHeight="1">
      <c r="A108" s="1">
        <v>80</v>
      </c>
      <c r="B108" s="1">
        <v>5</v>
      </c>
      <c r="C108" s="1">
        <v>4001</v>
      </c>
      <c r="D108" s="1" t="s">
        <v>51</v>
      </c>
      <c r="E108" s="1" t="s">
        <v>39</v>
      </c>
      <c r="F108" s="1" t="s">
        <v>648</v>
      </c>
      <c r="G108" s="1">
        <v>0</v>
      </c>
      <c r="H108" s="1" t="s">
        <v>53</v>
      </c>
      <c r="I108" s="1" t="s">
        <v>1311</v>
      </c>
      <c r="J108" s="1" t="s">
        <v>1312</v>
      </c>
      <c r="K108" s="1" t="s">
        <v>1313</v>
      </c>
      <c r="L108" s="1">
        <v>1</v>
      </c>
      <c r="M108" s="1">
        <v>0</v>
      </c>
      <c r="N108" s="1" t="s">
        <v>1314</v>
      </c>
      <c r="O108" s="1" t="s">
        <v>1315</v>
      </c>
      <c r="P108" s="1" t="s">
        <v>1316</v>
      </c>
      <c r="Q108" s="1">
        <v>0</v>
      </c>
      <c r="R108" s="1" t="s">
        <v>1317</v>
      </c>
      <c r="S108" s="1" t="s">
        <v>1318</v>
      </c>
      <c r="U108" s="2">
        <v>56766</v>
      </c>
      <c r="V108" s="1">
        <v>4.5</v>
      </c>
      <c r="W108" s="1">
        <v>5000</v>
      </c>
      <c r="X108" s="1">
        <v>1826</v>
      </c>
      <c r="Y108" s="1">
        <v>262</v>
      </c>
      <c r="Z108" s="1">
        <v>630</v>
      </c>
      <c r="AA108" s="1">
        <v>934</v>
      </c>
      <c r="AB108" s="1">
        <v>0</v>
      </c>
      <c r="AC108" s="1">
        <v>4</v>
      </c>
      <c r="AD108" s="1" t="s">
        <v>62</v>
      </c>
      <c r="AE108" s="1" t="s">
        <v>1319</v>
      </c>
      <c r="AF108" s="1" t="s">
        <v>1320</v>
      </c>
      <c r="AG108" s="1" t="s">
        <v>1321</v>
      </c>
      <c r="AH108" s="1" t="s">
        <v>1322</v>
      </c>
      <c r="AI108" s="1">
        <v>4.7</v>
      </c>
      <c r="AJ108" s="1">
        <v>443</v>
      </c>
      <c r="AK108" s="1">
        <v>1579</v>
      </c>
    </row>
    <row r="109" spans="1:38" ht="15.75" customHeight="1">
      <c r="A109" s="1">
        <v>683</v>
      </c>
      <c r="B109" s="1">
        <v>5</v>
      </c>
      <c r="C109" s="1">
        <v>4050</v>
      </c>
      <c r="D109" s="1" t="s">
        <v>38</v>
      </c>
      <c r="E109" s="1" t="s">
        <v>39</v>
      </c>
      <c r="F109" s="1" t="s">
        <v>1323</v>
      </c>
      <c r="G109" s="1">
        <v>0</v>
      </c>
      <c r="H109" s="1" t="s">
        <v>41</v>
      </c>
      <c r="I109" s="1" t="s">
        <v>1324</v>
      </c>
      <c r="J109" s="1" t="s">
        <v>1325</v>
      </c>
      <c r="K109" s="1" t="s">
        <v>1326</v>
      </c>
      <c r="L109" s="1">
        <v>1</v>
      </c>
      <c r="M109" s="1">
        <v>0</v>
      </c>
      <c r="N109" s="1" t="s">
        <v>1327</v>
      </c>
      <c r="O109" s="1" t="s">
        <v>1328</v>
      </c>
      <c r="P109" s="1" t="s">
        <v>1329</v>
      </c>
      <c r="Q109" s="1">
        <v>0</v>
      </c>
      <c r="R109" s="1" t="s">
        <v>1330</v>
      </c>
      <c r="S109" s="1" t="s">
        <v>1331</v>
      </c>
      <c r="U109" s="2">
        <v>56770</v>
      </c>
      <c r="V109" s="1">
        <v>4.5</v>
      </c>
      <c r="W109" s="1">
        <v>5000</v>
      </c>
      <c r="X109" s="1">
        <v>1895</v>
      </c>
      <c r="Y109" s="1">
        <v>448</v>
      </c>
      <c r="Z109" s="1">
        <v>358</v>
      </c>
      <c r="AA109" s="1">
        <v>1089</v>
      </c>
      <c r="AB109" s="1">
        <v>0</v>
      </c>
      <c r="AC109" s="1">
        <v>6</v>
      </c>
      <c r="AD109" s="1" t="s">
        <v>76</v>
      </c>
      <c r="AE109" s="1" t="s">
        <v>1332</v>
      </c>
      <c r="AF109" s="1" t="s">
        <v>1333</v>
      </c>
      <c r="AG109" s="1" t="s">
        <v>1334</v>
      </c>
      <c r="AH109" s="1" t="s">
        <v>1335</v>
      </c>
      <c r="AI109" s="1">
        <v>4.57</v>
      </c>
      <c r="AJ109" s="1">
        <v>234</v>
      </c>
      <c r="AK109" s="1">
        <v>726</v>
      </c>
      <c r="AL109" s="1">
        <v>99</v>
      </c>
    </row>
    <row r="110" spans="1:38" ht="15.75" customHeight="1">
      <c r="A110" s="1">
        <v>1123</v>
      </c>
      <c r="C110" s="1">
        <v>4001</v>
      </c>
      <c r="D110" s="1" t="s">
        <v>51</v>
      </c>
      <c r="E110" s="1" t="s">
        <v>39</v>
      </c>
      <c r="F110" s="1" t="s">
        <v>341</v>
      </c>
      <c r="G110" s="1">
        <v>0</v>
      </c>
      <c r="H110" s="1" t="s">
        <v>41</v>
      </c>
      <c r="I110" s="1" t="s">
        <v>1336</v>
      </c>
      <c r="J110" s="1" t="s">
        <v>1337</v>
      </c>
      <c r="K110" s="1" t="s">
        <v>1338</v>
      </c>
      <c r="L110" s="1">
        <v>1</v>
      </c>
      <c r="M110" s="1">
        <v>0</v>
      </c>
      <c r="N110" s="1" t="s">
        <v>1339</v>
      </c>
      <c r="O110" s="1" t="s">
        <v>1340</v>
      </c>
      <c r="P110" s="1" t="s">
        <v>1341</v>
      </c>
      <c r="Q110" s="1">
        <v>0</v>
      </c>
      <c r="R110" s="1" t="s">
        <v>1342</v>
      </c>
      <c r="S110" s="1" t="s">
        <v>1343</v>
      </c>
      <c r="U110" s="2">
        <v>56775</v>
      </c>
      <c r="V110" s="1">
        <v>4.4000000000000004</v>
      </c>
      <c r="W110" s="1">
        <v>5000</v>
      </c>
      <c r="X110" s="1">
        <v>1717</v>
      </c>
      <c r="Y110" s="1">
        <v>6</v>
      </c>
      <c r="Z110" s="1">
        <v>595</v>
      </c>
      <c r="AA110" s="1">
        <v>1116</v>
      </c>
      <c r="AB110" s="1">
        <v>1</v>
      </c>
      <c r="AC110" s="1">
        <v>4</v>
      </c>
      <c r="AE110" s="1" t="s">
        <v>1344</v>
      </c>
      <c r="AF110" s="1" t="s">
        <v>1345</v>
      </c>
      <c r="AG110" s="1" t="s">
        <v>1346</v>
      </c>
      <c r="AH110" s="1" t="s">
        <v>1347</v>
      </c>
      <c r="AI110" s="1">
        <v>4.54</v>
      </c>
      <c r="AJ110" s="1">
        <v>2229</v>
      </c>
      <c r="AK110" s="1">
        <v>6580</v>
      </c>
    </row>
    <row r="111" spans="1:38" ht="15.75" customHeight="1">
      <c r="A111" s="1">
        <v>931</v>
      </c>
      <c r="B111" s="1">
        <v>5</v>
      </c>
      <c r="C111" s="1">
        <v>4050</v>
      </c>
      <c r="D111" s="1" t="s">
        <v>38</v>
      </c>
      <c r="E111" s="1" t="s">
        <v>39</v>
      </c>
      <c r="F111" s="1" t="s">
        <v>1348</v>
      </c>
      <c r="G111" s="1">
        <v>0</v>
      </c>
      <c r="H111" s="1" t="s">
        <v>41</v>
      </c>
      <c r="I111" s="1" t="s">
        <v>1349</v>
      </c>
      <c r="J111" s="1" t="s">
        <v>1350</v>
      </c>
      <c r="K111" s="1" t="s">
        <v>1350</v>
      </c>
      <c r="L111" s="1">
        <v>0</v>
      </c>
      <c r="M111" s="1">
        <v>0</v>
      </c>
      <c r="N111" s="1" t="s">
        <v>1351</v>
      </c>
      <c r="O111" s="1" t="s">
        <v>1352</v>
      </c>
      <c r="P111" s="1" t="s">
        <v>1353</v>
      </c>
      <c r="Q111" s="1">
        <v>0</v>
      </c>
      <c r="R111" s="1" t="s">
        <v>1354</v>
      </c>
      <c r="S111" s="1" t="s">
        <v>1355</v>
      </c>
      <c r="U111" s="2">
        <v>56773</v>
      </c>
      <c r="V111" s="1">
        <v>4.5999999999999996</v>
      </c>
      <c r="W111" s="1">
        <v>5000</v>
      </c>
      <c r="X111" s="1">
        <v>2383</v>
      </c>
      <c r="Y111" s="1">
        <v>286</v>
      </c>
      <c r="Z111" s="1">
        <v>1488</v>
      </c>
      <c r="AA111" s="1">
        <v>609</v>
      </c>
      <c r="AB111" s="1">
        <v>0</v>
      </c>
      <c r="AC111" s="1">
        <v>5</v>
      </c>
      <c r="AD111" s="1" t="s">
        <v>62</v>
      </c>
      <c r="AE111" s="1" t="s">
        <v>1356</v>
      </c>
      <c r="AF111" s="1" t="s">
        <v>1357</v>
      </c>
      <c r="AG111" s="1" t="s">
        <v>1358</v>
      </c>
      <c r="AH111" s="1" t="s">
        <v>1359</v>
      </c>
      <c r="AI111" s="1">
        <v>4.79</v>
      </c>
      <c r="AJ111" s="1">
        <v>1007</v>
      </c>
      <c r="AK111" s="1">
        <v>2899</v>
      </c>
      <c r="AL111" s="1">
        <v>1301</v>
      </c>
    </row>
    <row r="112" spans="1:38" ht="15.75" customHeight="1">
      <c r="A112" s="1">
        <v>645</v>
      </c>
      <c r="C112" s="1">
        <v>4001</v>
      </c>
      <c r="D112" s="1" t="s">
        <v>51</v>
      </c>
      <c r="E112" s="1" t="s">
        <v>39</v>
      </c>
      <c r="F112" s="1" t="s">
        <v>341</v>
      </c>
      <c r="G112" s="1">
        <v>0</v>
      </c>
      <c r="H112" s="1" t="s">
        <v>41</v>
      </c>
      <c r="I112" s="1" t="s">
        <v>1360</v>
      </c>
      <c r="J112" s="1" t="s">
        <v>1361</v>
      </c>
      <c r="K112" s="1" t="s">
        <v>1362</v>
      </c>
      <c r="L112" s="1">
        <v>1</v>
      </c>
      <c r="M112" s="1">
        <v>0</v>
      </c>
      <c r="N112" s="1" t="s">
        <v>1363</v>
      </c>
      <c r="O112" s="1" t="s">
        <v>1364</v>
      </c>
      <c r="P112" s="1" t="s">
        <v>1365</v>
      </c>
      <c r="Q112" s="1">
        <v>0</v>
      </c>
      <c r="R112" s="1" t="s">
        <v>1366</v>
      </c>
      <c r="S112" s="1" t="s">
        <v>1367</v>
      </c>
      <c r="U112" s="2">
        <v>56770</v>
      </c>
      <c r="V112" s="1">
        <v>4.4038904350000001</v>
      </c>
      <c r="W112" s="1">
        <v>5000</v>
      </c>
      <c r="X112" s="1">
        <v>1396</v>
      </c>
      <c r="Y112" s="1">
        <v>283</v>
      </c>
      <c r="Z112" s="1">
        <v>447</v>
      </c>
      <c r="AA112" s="1">
        <v>666</v>
      </c>
      <c r="AB112" s="1">
        <v>0</v>
      </c>
      <c r="AC112" s="1">
        <v>5</v>
      </c>
      <c r="AD112" s="1" t="s">
        <v>62</v>
      </c>
      <c r="AE112" s="1" t="s">
        <v>1368</v>
      </c>
      <c r="AF112" s="1" t="s">
        <v>1369</v>
      </c>
      <c r="AG112" s="1" t="s">
        <v>1370</v>
      </c>
      <c r="AH112" s="1" t="s">
        <v>1371</v>
      </c>
      <c r="AI112" s="1">
        <v>4.54</v>
      </c>
      <c r="AJ112" s="1">
        <v>2229</v>
      </c>
      <c r="AK112" s="1">
        <v>6580</v>
      </c>
    </row>
    <row r="113" spans="1:38" ht="15.75" customHeight="1">
      <c r="A113" s="1">
        <v>788</v>
      </c>
      <c r="C113" s="1">
        <v>4050</v>
      </c>
      <c r="D113" s="1" t="s">
        <v>38</v>
      </c>
      <c r="E113" s="1" t="s">
        <v>39</v>
      </c>
      <c r="F113" s="1" t="s">
        <v>1372</v>
      </c>
      <c r="G113" s="1">
        <v>0</v>
      </c>
      <c r="H113" s="1" t="s">
        <v>41</v>
      </c>
      <c r="I113" s="1" t="s">
        <v>1373</v>
      </c>
      <c r="J113" s="1" t="s">
        <v>1374</v>
      </c>
      <c r="K113" s="1" t="s">
        <v>1375</v>
      </c>
      <c r="L113" s="1">
        <v>1</v>
      </c>
      <c r="M113" s="1">
        <v>0</v>
      </c>
      <c r="N113" s="1" t="s">
        <v>1376</v>
      </c>
      <c r="O113" s="1" t="s">
        <v>1377</v>
      </c>
      <c r="P113" s="1" t="s">
        <v>1378</v>
      </c>
      <c r="Q113" s="1">
        <v>0</v>
      </c>
      <c r="R113" s="1" t="s">
        <v>1379</v>
      </c>
      <c r="S113" s="1" t="s">
        <v>1380</v>
      </c>
      <c r="U113" s="2">
        <v>56771</v>
      </c>
      <c r="V113" s="1">
        <v>4.7</v>
      </c>
      <c r="W113" s="1">
        <v>5000</v>
      </c>
      <c r="X113" s="1">
        <v>4846</v>
      </c>
      <c r="Y113" s="1">
        <v>3422</v>
      </c>
      <c r="Z113" s="1">
        <v>197</v>
      </c>
      <c r="AA113" s="1">
        <v>1227</v>
      </c>
      <c r="AB113" s="1">
        <v>0</v>
      </c>
      <c r="AC113" s="1">
        <v>5</v>
      </c>
      <c r="AD113" s="1" t="s">
        <v>76</v>
      </c>
      <c r="AE113" s="1" t="s">
        <v>1381</v>
      </c>
      <c r="AF113" s="1" t="s">
        <v>1382</v>
      </c>
      <c r="AG113" s="1" t="s">
        <v>1383</v>
      </c>
      <c r="AH113" s="1" t="s">
        <v>1384</v>
      </c>
      <c r="AI113" s="1">
        <v>4.4111111110000003</v>
      </c>
      <c r="AJ113" s="1">
        <v>68</v>
      </c>
      <c r="AK113" s="1">
        <v>223</v>
      </c>
      <c r="AL113" s="1">
        <v>118</v>
      </c>
    </row>
    <row r="114" spans="1:38" ht="15.75" customHeight="1">
      <c r="A114" s="1">
        <v>801</v>
      </c>
      <c r="C114" s="1">
        <v>4050</v>
      </c>
      <c r="D114" s="1" t="s">
        <v>38</v>
      </c>
      <c r="E114" s="1" t="s">
        <v>39</v>
      </c>
      <c r="F114" s="1" t="s">
        <v>1348</v>
      </c>
      <c r="G114" s="1">
        <v>0</v>
      </c>
      <c r="H114" s="1" t="s">
        <v>41</v>
      </c>
      <c r="I114" s="1" t="s">
        <v>1385</v>
      </c>
      <c r="J114" s="1" t="s">
        <v>1386</v>
      </c>
      <c r="K114" s="1" t="s">
        <v>1387</v>
      </c>
      <c r="L114" s="1">
        <v>1</v>
      </c>
      <c r="M114" s="1">
        <v>0</v>
      </c>
      <c r="N114" s="1" t="s">
        <v>1388</v>
      </c>
      <c r="O114" s="1" t="s">
        <v>1389</v>
      </c>
      <c r="P114" s="1" t="s">
        <v>1390</v>
      </c>
      <c r="Q114" s="1">
        <v>0</v>
      </c>
      <c r="R114" s="1" t="s">
        <v>1391</v>
      </c>
      <c r="S114" s="1" t="s">
        <v>1392</v>
      </c>
      <c r="U114" s="2">
        <v>56771</v>
      </c>
      <c r="V114" s="1">
        <v>4.8</v>
      </c>
      <c r="W114" s="1">
        <v>5000</v>
      </c>
      <c r="X114" s="1">
        <v>1862</v>
      </c>
      <c r="Y114" s="1">
        <v>1252</v>
      </c>
      <c r="Z114" s="1">
        <v>102</v>
      </c>
      <c r="AA114" s="1">
        <v>508</v>
      </c>
      <c r="AB114" s="1">
        <v>0</v>
      </c>
      <c r="AC114" s="1">
        <v>6</v>
      </c>
      <c r="AD114" s="1" t="s">
        <v>76</v>
      </c>
      <c r="AE114" s="1" t="s">
        <v>1393</v>
      </c>
      <c r="AF114" s="1" t="s">
        <v>1394</v>
      </c>
      <c r="AG114" s="1" t="s">
        <v>1395</v>
      </c>
      <c r="AH114" s="1" t="s">
        <v>1396</v>
      </c>
      <c r="AI114" s="1">
        <v>4.79</v>
      </c>
      <c r="AJ114" s="1">
        <v>1007</v>
      </c>
      <c r="AK114" s="1">
        <v>2899</v>
      </c>
      <c r="AL114" s="1">
        <v>1301</v>
      </c>
    </row>
    <row r="115" spans="1:38" ht="15.75" customHeight="1">
      <c r="A115" s="1">
        <v>887</v>
      </c>
      <c r="B115" s="1">
        <v>1</v>
      </c>
      <c r="C115" s="1">
        <v>4050</v>
      </c>
      <c r="D115" s="1" t="s">
        <v>38</v>
      </c>
      <c r="E115" s="1" t="s">
        <v>39</v>
      </c>
      <c r="F115" s="1" t="s">
        <v>280</v>
      </c>
      <c r="G115" s="1">
        <v>0</v>
      </c>
      <c r="H115" s="1" t="s">
        <v>41</v>
      </c>
      <c r="I115" s="1" t="s">
        <v>1397</v>
      </c>
      <c r="J115" s="1" t="s">
        <v>1398</v>
      </c>
      <c r="K115" s="1" t="s">
        <v>1399</v>
      </c>
      <c r="L115" s="1">
        <v>1</v>
      </c>
      <c r="M115" s="1">
        <v>0</v>
      </c>
      <c r="N115" s="1" t="s">
        <v>1400</v>
      </c>
      <c r="O115" s="1" t="s">
        <v>1401</v>
      </c>
      <c r="P115" s="1" t="s">
        <v>1402</v>
      </c>
      <c r="Q115" s="1">
        <v>0</v>
      </c>
      <c r="R115" s="1" t="s">
        <v>1403</v>
      </c>
      <c r="S115" s="1" t="s">
        <v>1404</v>
      </c>
      <c r="U115" s="2">
        <v>56772</v>
      </c>
      <c r="V115" s="1">
        <v>4.7</v>
      </c>
      <c r="W115" s="1">
        <v>5000</v>
      </c>
      <c r="X115" s="1">
        <v>2587</v>
      </c>
      <c r="Y115" s="1">
        <v>598</v>
      </c>
      <c r="Z115" s="1">
        <v>922</v>
      </c>
      <c r="AA115" s="1">
        <v>1067</v>
      </c>
      <c r="AB115" s="1">
        <v>0</v>
      </c>
      <c r="AC115" s="1">
        <v>5</v>
      </c>
      <c r="AE115" s="1" t="s">
        <v>1405</v>
      </c>
      <c r="AF115" s="1" t="s">
        <v>1406</v>
      </c>
      <c r="AG115" s="1" t="s">
        <v>1407</v>
      </c>
      <c r="AH115" s="1" t="s">
        <v>1408</v>
      </c>
      <c r="AI115" s="1">
        <v>4.49</v>
      </c>
      <c r="AJ115" s="1">
        <v>2315</v>
      </c>
      <c r="AK115" s="1">
        <v>7039</v>
      </c>
      <c r="AL115" s="1">
        <v>763</v>
      </c>
    </row>
    <row r="116" spans="1:38" ht="15.75" customHeight="1">
      <c r="A116" s="1">
        <v>802</v>
      </c>
      <c r="B116" s="1">
        <v>5</v>
      </c>
      <c r="C116" s="1">
        <v>4050</v>
      </c>
      <c r="D116" s="1" t="s">
        <v>38</v>
      </c>
      <c r="E116" s="1" t="s">
        <v>39</v>
      </c>
      <c r="F116" s="1" t="s">
        <v>40</v>
      </c>
      <c r="G116" s="1">
        <v>0</v>
      </c>
      <c r="H116" s="1" t="s">
        <v>41</v>
      </c>
      <c r="I116" s="1" t="s">
        <v>1409</v>
      </c>
      <c r="J116" s="1" t="s">
        <v>1410</v>
      </c>
      <c r="K116" s="1" t="s">
        <v>1411</v>
      </c>
      <c r="L116" s="1">
        <v>1</v>
      </c>
      <c r="M116" s="1">
        <v>0</v>
      </c>
      <c r="N116" s="1" t="s">
        <v>1412</v>
      </c>
      <c r="O116" s="1" t="s">
        <v>1413</v>
      </c>
      <c r="P116" s="1" t="s">
        <v>1414</v>
      </c>
      <c r="Q116" s="1">
        <v>0</v>
      </c>
      <c r="R116" s="1" t="s">
        <v>1415</v>
      </c>
      <c r="S116" s="1" t="s">
        <v>1416</v>
      </c>
      <c r="U116" s="2">
        <v>56771</v>
      </c>
      <c r="V116" s="1">
        <v>2.84311728</v>
      </c>
      <c r="W116" s="1">
        <v>5000</v>
      </c>
      <c r="X116" s="1">
        <v>2319</v>
      </c>
      <c r="Y116" s="1">
        <v>787</v>
      </c>
      <c r="Z116" s="1">
        <v>673</v>
      </c>
      <c r="AA116" s="1">
        <v>859</v>
      </c>
      <c r="AB116" s="1">
        <v>0</v>
      </c>
      <c r="AC116" s="1">
        <v>8</v>
      </c>
      <c r="AD116" s="1" t="s">
        <v>215</v>
      </c>
      <c r="AE116" s="1" t="s">
        <v>1417</v>
      </c>
      <c r="AF116" s="1" t="s">
        <v>1418</v>
      </c>
      <c r="AG116" s="1" t="s">
        <v>1419</v>
      </c>
      <c r="AH116" s="1" t="s">
        <v>1420</v>
      </c>
      <c r="AI116" s="1">
        <v>4.7</v>
      </c>
      <c r="AJ116" s="1">
        <v>1261</v>
      </c>
      <c r="AK116" s="1">
        <v>3264</v>
      </c>
      <c r="AL116" s="1">
        <v>232</v>
      </c>
    </row>
    <row r="117" spans="1:38" ht="15.75" customHeight="1">
      <c r="A117" s="1">
        <v>786</v>
      </c>
      <c r="B117" s="1">
        <v>5</v>
      </c>
      <c r="C117" s="1">
        <v>4050</v>
      </c>
      <c r="D117" s="1" t="s">
        <v>38</v>
      </c>
      <c r="E117" s="1" t="s">
        <v>39</v>
      </c>
      <c r="F117" s="1" t="s">
        <v>40</v>
      </c>
      <c r="G117" s="1">
        <v>0</v>
      </c>
      <c r="H117" s="1" t="s">
        <v>41</v>
      </c>
      <c r="I117" s="1" t="s">
        <v>1421</v>
      </c>
      <c r="J117" s="1" t="s">
        <v>1422</v>
      </c>
      <c r="K117" s="1" t="s">
        <v>1423</v>
      </c>
      <c r="L117" s="1">
        <v>1</v>
      </c>
      <c r="M117" s="1">
        <v>0</v>
      </c>
      <c r="N117" s="1" t="s">
        <v>1424</v>
      </c>
      <c r="O117" s="1" t="s">
        <v>1425</v>
      </c>
      <c r="P117" s="1" t="s">
        <v>1426</v>
      </c>
      <c r="Q117" s="1">
        <v>0</v>
      </c>
      <c r="R117" s="1" t="s">
        <v>1427</v>
      </c>
      <c r="S117" s="1" t="s">
        <v>1428</v>
      </c>
      <c r="U117" s="2">
        <v>56771</v>
      </c>
      <c r="V117" s="1">
        <v>4.7</v>
      </c>
      <c r="W117" s="1">
        <v>5000</v>
      </c>
      <c r="X117" s="1">
        <v>2808</v>
      </c>
      <c r="Y117" s="1">
        <v>481</v>
      </c>
      <c r="Z117" s="1">
        <v>1227</v>
      </c>
      <c r="AA117" s="1">
        <v>1100</v>
      </c>
      <c r="AB117" s="1">
        <v>0</v>
      </c>
      <c r="AC117" s="1">
        <v>4</v>
      </c>
      <c r="AD117" s="1" t="s">
        <v>62</v>
      </c>
      <c r="AE117" s="1" t="s">
        <v>1429</v>
      </c>
      <c r="AF117" s="1" t="s">
        <v>1430</v>
      </c>
      <c r="AG117" s="1" t="s">
        <v>1431</v>
      </c>
      <c r="AH117" s="1" t="s">
        <v>1432</v>
      </c>
      <c r="AI117" s="1">
        <v>4.7</v>
      </c>
      <c r="AJ117" s="1">
        <v>1261</v>
      </c>
      <c r="AK117" s="1">
        <v>3264</v>
      </c>
      <c r="AL117" s="1">
        <v>232</v>
      </c>
    </row>
    <row r="118" spans="1:38" ht="15.75" customHeight="1">
      <c r="A118" s="1">
        <v>395</v>
      </c>
      <c r="B118" s="1">
        <v>5</v>
      </c>
      <c r="C118" s="1">
        <v>4050</v>
      </c>
      <c r="D118" s="1" t="s">
        <v>38</v>
      </c>
      <c r="E118" s="1" t="s">
        <v>39</v>
      </c>
      <c r="F118" s="1" t="s">
        <v>1372</v>
      </c>
      <c r="G118" s="1">
        <v>0</v>
      </c>
      <c r="H118" s="1" t="s">
        <v>41</v>
      </c>
      <c r="I118" s="1" t="s">
        <v>1433</v>
      </c>
      <c r="J118" s="1" t="s">
        <v>1434</v>
      </c>
      <c r="K118" s="1" t="s">
        <v>1434</v>
      </c>
      <c r="L118" s="1">
        <v>0</v>
      </c>
      <c r="M118" s="1">
        <v>0</v>
      </c>
      <c r="N118" s="1" t="s">
        <v>1435</v>
      </c>
      <c r="O118" s="1" t="s">
        <v>1436</v>
      </c>
      <c r="P118" s="1" t="s">
        <v>1437</v>
      </c>
      <c r="Q118" s="1">
        <v>0</v>
      </c>
      <c r="R118" s="1" t="s">
        <v>1438</v>
      </c>
      <c r="S118" s="1" t="s">
        <v>1439</v>
      </c>
      <c r="U118" s="2">
        <v>56769</v>
      </c>
      <c r="V118" s="1">
        <v>4.5</v>
      </c>
      <c r="W118" s="1">
        <v>5000</v>
      </c>
      <c r="X118" s="1">
        <v>2329</v>
      </c>
      <c r="Y118" s="1">
        <v>1465</v>
      </c>
      <c r="Z118" s="1">
        <v>287</v>
      </c>
      <c r="AA118" s="1">
        <v>577</v>
      </c>
      <c r="AB118" s="1">
        <v>0</v>
      </c>
      <c r="AC118" s="1">
        <v>3</v>
      </c>
      <c r="AD118" s="1" t="s">
        <v>76</v>
      </c>
      <c r="AE118" s="1" t="s">
        <v>1440</v>
      </c>
      <c r="AF118" s="1" t="s">
        <v>1441</v>
      </c>
      <c r="AG118" s="1" t="s">
        <v>1442</v>
      </c>
      <c r="AH118" s="1" t="s">
        <v>1443</v>
      </c>
      <c r="AI118" s="1">
        <v>4.4111111110000003</v>
      </c>
      <c r="AJ118" s="1">
        <v>68</v>
      </c>
      <c r="AK118" s="1">
        <v>223</v>
      </c>
      <c r="AL118" s="1">
        <v>118</v>
      </c>
    </row>
    <row r="119" spans="1:38" ht="15.75" customHeight="1">
      <c r="A119" s="1">
        <v>236</v>
      </c>
      <c r="B119" s="1">
        <v>5</v>
      </c>
      <c r="C119" s="1">
        <v>4050</v>
      </c>
      <c r="D119" s="1" t="s">
        <v>38</v>
      </c>
      <c r="E119" s="1" t="s">
        <v>39</v>
      </c>
      <c r="F119" s="1" t="s">
        <v>695</v>
      </c>
      <c r="G119" s="1">
        <v>0</v>
      </c>
      <c r="H119" s="1" t="s">
        <v>41</v>
      </c>
      <c r="I119" s="1" t="s">
        <v>1444</v>
      </c>
      <c r="J119" s="1" t="s">
        <v>1445</v>
      </c>
      <c r="K119" s="1" t="s">
        <v>1446</v>
      </c>
      <c r="L119" s="1">
        <v>1</v>
      </c>
      <c r="M119" s="1">
        <v>0</v>
      </c>
      <c r="N119" s="1" t="s">
        <v>1447</v>
      </c>
      <c r="O119" s="1" t="s">
        <v>1448</v>
      </c>
      <c r="P119" s="1" t="s">
        <v>1449</v>
      </c>
      <c r="Q119" s="1">
        <v>0</v>
      </c>
      <c r="R119" s="1" t="s">
        <v>1450</v>
      </c>
      <c r="S119" s="1" t="s">
        <v>1451</v>
      </c>
      <c r="U119" s="2">
        <v>56767</v>
      </c>
      <c r="V119" s="1">
        <v>4.7</v>
      </c>
      <c r="W119" s="1">
        <v>5000</v>
      </c>
      <c r="X119" s="1">
        <v>2970</v>
      </c>
      <c r="Y119" s="1">
        <v>1996</v>
      </c>
      <c r="Z119" s="1">
        <v>66</v>
      </c>
      <c r="AA119" s="1">
        <v>908</v>
      </c>
      <c r="AB119" s="1">
        <v>0</v>
      </c>
      <c r="AC119" s="1">
        <v>4</v>
      </c>
      <c r="AD119" s="1" t="s">
        <v>76</v>
      </c>
      <c r="AE119" s="1" t="s">
        <v>1452</v>
      </c>
      <c r="AF119" s="1" t="s">
        <v>1453</v>
      </c>
      <c r="AG119" s="1" t="s">
        <v>1454</v>
      </c>
      <c r="AH119" s="1" t="s">
        <v>1455</v>
      </c>
      <c r="AI119" s="1">
        <v>4.38</v>
      </c>
      <c r="AJ119" s="1">
        <v>196</v>
      </c>
      <c r="AK119" s="1">
        <v>626</v>
      </c>
    </row>
    <row r="120" spans="1:38" ht="15.75" customHeight="1">
      <c r="A120" s="1">
        <v>1369</v>
      </c>
      <c r="C120" s="1">
        <v>4001</v>
      </c>
      <c r="D120" s="1" t="s">
        <v>51</v>
      </c>
      <c r="E120" s="1" t="s">
        <v>39</v>
      </c>
      <c r="F120" s="1" t="s">
        <v>1456</v>
      </c>
      <c r="G120" s="1">
        <v>0</v>
      </c>
      <c r="H120" s="1" t="s">
        <v>53</v>
      </c>
      <c r="I120" s="1" t="s">
        <v>1457</v>
      </c>
      <c r="J120" s="1" t="s">
        <v>1458</v>
      </c>
      <c r="K120" s="1" t="s">
        <v>1459</v>
      </c>
      <c r="L120" s="1">
        <v>1</v>
      </c>
      <c r="M120" s="1">
        <v>0</v>
      </c>
      <c r="N120" s="1" t="s">
        <v>1460</v>
      </c>
      <c r="O120" s="1" t="s">
        <v>1461</v>
      </c>
      <c r="P120" s="1" t="s">
        <v>1462</v>
      </c>
      <c r="Q120" s="1">
        <v>0</v>
      </c>
      <c r="R120" s="1" t="s">
        <v>1463</v>
      </c>
      <c r="S120" s="1" t="s">
        <v>1464</v>
      </c>
      <c r="U120" s="2">
        <v>56776</v>
      </c>
      <c r="V120" s="1">
        <v>4.5</v>
      </c>
      <c r="W120" s="1">
        <v>5000</v>
      </c>
      <c r="X120" s="1">
        <v>939</v>
      </c>
      <c r="Y120" s="1">
        <v>591</v>
      </c>
      <c r="Z120" s="1">
        <v>112</v>
      </c>
      <c r="AA120" s="1">
        <v>236</v>
      </c>
      <c r="AB120" s="1">
        <v>0</v>
      </c>
      <c r="AC120" s="1">
        <v>4</v>
      </c>
      <c r="AD120" s="1" t="s">
        <v>215</v>
      </c>
      <c r="AE120" s="1" t="s">
        <v>1465</v>
      </c>
      <c r="AF120" s="1" t="s">
        <v>1466</v>
      </c>
      <c r="AG120" s="1" t="s">
        <v>1467</v>
      </c>
      <c r="AH120" s="1" t="s">
        <v>1468</v>
      </c>
      <c r="AI120" s="1">
        <v>4.5</v>
      </c>
      <c r="AJ120" s="1">
        <v>394</v>
      </c>
      <c r="AK120" s="1">
        <v>1403</v>
      </c>
    </row>
    <row r="121" spans="1:38" ht="15.75" customHeight="1">
      <c r="A121" s="1">
        <v>986</v>
      </c>
      <c r="C121" s="1">
        <v>4001</v>
      </c>
      <c r="D121" s="1" t="s">
        <v>51</v>
      </c>
      <c r="E121" s="1" t="s">
        <v>39</v>
      </c>
      <c r="F121" s="1" t="s">
        <v>708</v>
      </c>
      <c r="G121" s="1">
        <v>0</v>
      </c>
      <c r="H121" s="1" t="s">
        <v>53</v>
      </c>
      <c r="I121" s="1" t="s">
        <v>1469</v>
      </c>
      <c r="J121" s="1" t="s">
        <v>1470</v>
      </c>
      <c r="K121" s="1" t="s">
        <v>1471</v>
      </c>
      <c r="L121" s="1">
        <v>1</v>
      </c>
      <c r="M121" s="1">
        <v>0</v>
      </c>
      <c r="N121" s="1" t="s">
        <v>1472</v>
      </c>
      <c r="O121" s="1" t="s">
        <v>1473</v>
      </c>
      <c r="P121" s="1" t="s">
        <v>1474</v>
      </c>
      <c r="Q121" s="1">
        <v>0</v>
      </c>
      <c r="R121" s="1" t="s">
        <v>1475</v>
      </c>
      <c r="S121" s="1" t="s">
        <v>1476</v>
      </c>
      <c r="U121" s="2">
        <v>56773</v>
      </c>
      <c r="V121" s="1">
        <v>4.1902126380000002</v>
      </c>
      <c r="W121" s="1">
        <v>5000</v>
      </c>
      <c r="X121" s="1">
        <v>2543</v>
      </c>
      <c r="Y121" s="1">
        <v>957</v>
      </c>
      <c r="Z121" s="1">
        <v>565</v>
      </c>
      <c r="AA121" s="1">
        <v>1021</v>
      </c>
      <c r="AB121" s="1">
        <v>0</v>
      </c>
      <c r="AC121" s="1">
        <v>4</v>
      </c>
      <c r="AD121" s="1" t="s">
        <v>76</v>
      </c>
      <c r="AE121" s="1" t="s">
        <v>1477</v>
      </c>
      <c r="AF121" s="1" t="s">
        <v>1478</v>
      </c>
      <c r="AG121" s="1" t="s">
        <v>1479</v>
      </c>
      <c r="AH121" s="1" t="s">
        <v>1480</v>
      </c>
      <c r="AI121" s="1">
        <v>4.5999999999999996</v>
      </c>
      <c r="AJ121" s="1">
        <v>292</v>
      </c>
      <c r="AK121" s="1">
        <v>1027</v>
      </c>
      <c r="AL121" s="1">
        <v>26</v>
      </c>
    </row>
    <row r="122" spans="1:38" ht="15.75" customHeight="1">
      <c r="A122" s="1">
        <v>478</v>
      </c>
      <c r="B122" s="1">
        <v>5</v>
      </c>
      <c r="C122" s="1">
        <v>4050</v>
      </c>
      <c r="D122" s="1" t="s">
        <v>38</v>
      </c>
      <c r="E122" s="1" t="s">
        <v>39</v>
      </c>
      <c r="F122" s="1" t="s">
        <v>280</v>
      </c>
      <c r="G122" s="1">
        <v>0</v>
      </c>
      <c r="H122" s="1" t="s">
        <v>41</v>
      </c>
      <c r="I122" s="1" t="s">
        <v>1481</v>
      </c>
      <c r="J122" s="1" t="s">
        <v>1482</v>
      </c>
      <c r="K122" s="1" t="s">
        <v>1483</v>
      </c>
      <c r="L122" s="1">
        <v>1</v>
      </c>
      <c r="M122" s="1">
        <v>0</v>
      </c>
      <c r="N122" s="1" t="s">
        <v>1484</v>
      </c>
      <c r="O122" s="1" t="s">
        <v>1485</v>
      </c>
      <c r="P122" s="1" t="s">
        <v>1486</v>
      </c>
      <c r="Q122" s="1">
        <v>0</v>
      </c>
      <c r="R122" s="1" t="s">
        <v>1487</v>
      </c>
      <c r="U122" s="2">
        <v>56769</v>
      </c>
      <c r="V122" s="1">
        <v>4.4000000000000004</v>
      </c>
      <c r="W122" s="1">
        <v>5000</v>
      </c>
      <c r="X122" s="1">
        <v>2659</v>
      </c>
      <c r="AA122" s="1">
        <v>961</v>
      </c>
      <c r="AB122" s="1">
        <v>1</v>
      </c>
      <c r="AC122" s="1">
        <v>3</v>
      </c>
      <c r="AE122" s="1" t="s">
        <v>1488</v>
      </c>
      <c r="AF122" s="1" t="s">
        <v>1489</v>
      </c>
      <c r="AG122" s="1" t="s">
        <v>1490</v>
      </c>
      <c r="AI122" s="1">
        <v>4.49</v>
      </c>
      <c r="AJ122" s="1">
        <v>2315</v>
      </c>
      <c r="AK122" s="1">
        <v>7039</v>
      </c>
      <c r="AL122" s="1">
        <v>763</v>
      </c>
    </row>
    <row r="123" spans="1:38" ht="15.75" customHeight="1">
      <c r="A123" s="1">
        <v>60</v>
      </c>
      <c r="B123" s="1">
        <v>5</v>
      </c>
      <c r="C123" s="1">
        <v>4001</v>
      </c>
      <c r="D123" s="1" t="s">
        <v>51</v>
      </c>
      <c r="E123" s="1" t="s">
        <v>39</v>
      </c>
      <c r="F123" s="1" t="s">
        <v>648</v>
      </c>
      <c r="G123" s="1">
        <v>0</v>
      </c>
      <c r="H123" s="1" t="s">
        <v>53</v>
      </c>
      <c r="I123" s="1" t="s">
        <v>1491</v>
      </c>
      <c r="J123" s="1" t="s">
        <v>1492</v>
      </c>
      <c r="K123" s="1" t="s">
        <v>1493</v>
      </c>
      <c r="L123" s="1">
        <v>1</v>
      </c>
      <c r="M123" s="1">
        <v>0</v>
      </c>
      <c r="N123" s="1" t="s">
        <v>1494</v>
      </c>
      <c r="O123" s="1" t="s">
        <v>1495</v>
      </c>
      <c r="P123" s="1" t="s">
        <v>1496</v>
      </c>
      <c r="Q123" s="1">
        <v>0</v>
      </c>
      <c r="R123" s="1" t="s">
        <v>1497</v>
      </c>
      <c r="S123" s="1" t="s">
        <v>1498</v>
      </c>
      <c r="U123" s="2">
        <v>56766</v>
      </c>
      <c r="V123" s="1">
        <v>2.9430330480000002</v>
      </c>
      <c r="W123" s="1">
        <v>4500</v>
      </c>
      <c r="X123" s="1">
        <v>2253</v>
      </c>
      <c r="Y123" s="1">
        <v>560</v>
      </c>
      <c r="Z123" s="1">
        <v>287</v>
      </c>
      <c r="AA123" s="1">
        <v>1406</v>
      </c>
      <c r="AB123" s="1">
        <v>0</v>
      </c>
      <c r="AC123" s="1">
        <v>6</v>
      </c>
      <c r="AD123" s="1" t="s">
        <v>62</v>
      </c>
      <c r="AE123" s="1" t="s">
        <v>1499</v>
      </c>
      <c r="AF123" s="1" t="s">
        <v>1500</v>
      </c>
      <c r="AG123" s="1" t="s">
        <v>1501</v>
      </c>
      <c r="AH123" s="1" t="s">
        <v>1502</v>
      </c>
      <c r="AI123" s="1">
        <v>4.7</v>
      </c>
      <c r="AJ123" s="1">
        <v>443</v>
      </c>
      <c r="AK123" s="1">
        <v>1579</v>
      </c>
    </row>
    <row r="124" spans="1:38" ht="15.75" customHeight="1">
      <c r="A124" s="1">
        <v>1413</v>
      </c>
      <c r="C124" s="1">
        <v>4001</v>
      </c>
      <c r="D124" s="1" t="s">
        <v>51</v>
      </c>
      <c r="E124" s="1" t="s">
        <v>39</v>
      </c>
      <c r="F124" s="1" t="s">
        <v>341</v>
      </c>
      <c r="G124" s="1">
        <v>0</v>
      </c>
      <c r="H124" s="1" t="s">
        <v>41</v>
      </c>
      <c r="I124" s="1" t="s">
        <v>1503</v>
      </c>
      <c r="J124" s="1" t="s">
        <v>1504</v>
      </c>
      <c r="K124" s="1" t="s">
        <v>1505</v>
      </c>
      <c r="L124" s="1">
        <v>1</v>
      </c>
      <c r="M124" s="1">
        <v>0</v>
      </c>
      <c r="N124" s="1" t="s">
        <v>1506</v>
      </c>
      <c r="O124" s="1" t="s">
        <v>1507</v>
      </c>
      <c r="P124" s="1" t="s">
        <v>1508</v>
      </c>
      <c r="Q124" s="1">
        <v>0</v>
      </c>
      <c r="R124" s="1" t="s">
        <v>1509</v>
      </c>
      <c r="S124" s="1" t="s">
        <v>1510</v>
      </c>
      <c r="U124" s="2">
        <v>56777</v>
      </c>
      <c r="V124" s="1">
        <v>3.0240369450000002</v>
      </c>
      <c r="W124" s="1">
        <v>4500</v>
      </c>
      <c r="X124" s="1">
        <v>996</v>
      </c>
      <c r="Y124" s="1">
        <v>8</v>
      </c>
      <c r="Z124" s="1">
        <v>592</v>
      </c>
      <c r="AA124" s="1">
        <v>396</v>
      </c>
      <c r="AB124" s="1">
        <v>0</v>
      </c>
      <c r="AC124" s="1">
        <v>6</v>
      </c>
      <c r="AD124" s="1" t="s">
        <v>62</v>
      </c>
      <c r="AE124" s="1" t="s">
        <v>1511</v>
      </c>
      <c r="AF124" s="1" t="s">
        <v>1512</v>
      </c>
      <c r="AG124" s="1" t="s">
        <v>1513</v>
      </c>
      <c r="AH124" s="1" t="s">
        <v>1514</v>
      </c>
      <c r="AI124" s="1">
        <v>4.54</v>
      </c>
      <c r="AJ124" s="1">
        <v>2229</v>
      </c>
      <c r="AK124" s="1">
        <v>6580</v>
      </c>
    </row>
    <row r="125" spans="1:38" ht="15.75" customHeight="1">
      <c r="A125" s="1">
        <v>512</v>
      </c>
      <c r="B125" s="1">
        <v>2</v>
      </c>
      <c r="C125" s="1">
        <v>4050</v>
      </c>
      <c r="D125" s="1" t="s">
        <v>38</v>
      </c>
      <c r="E125" s="1" t="s">
        <v>39</v>
      </c>
      <c r="F125" s="1" t="s">
        <v>173</v>
      </c>
      <c r="G125" s="1">
        <v>0</v>
      </c>
      <c r="H125" s="1" t="s">
        <v>41</v>
      </c>
      <c r="I125" s="1" t="s">
        <v>1515</v>
      </c>
      <c r="J125" s="1" t="s">
        <v>1516</v>
      </c>
      <c r="K125" s="1" t="s">
        <v>1517</v>
      </c>
      <c r="L125" s="1">
        <v>1</v>
      </c>
      <c r="M125" s="1">
        <v>0</v>
      </c>
      <c r="N125" s="1" t="s">
        <v>1518</v>
      </c>
      <c r="O125" s="1" t="s">
        <v>1519</v>
      </c>
      <c r="P125" s="1" t="s">
        <v>1520</v>
      </c>
      <c r="Q125" s="1">
        <v>0</v>
      </c>
      <c r="R125" s="1" t="s">
        <v>1521</v>
      </c>
      <c r="S125" s="1" t="s">
        <v>1522</v>
      </c>
      <c r="U125" s="2">
        <v>56769</v>
      </c>
      <c r="V125" s="1">
        <v>3.8536493169999999</v>
      </c>
      <c r="W125" s="1">
        <v>4500</v>
      </c>
      <c r="X125" s="1">
        <v>2477</v>
      </c>
      <c r="Y125" s="1">
        <v>1841</v>
      </c>
      <c r="AA125" s="1">
        <v>680</v>
      </c>
      <c r="AB125" s="1">
        <v>0</v>
      </c>
      <c r="AC125" s="1">
        <v>8</v>
      </c>
      <c r="AD125" s="1" t="s">
        <v>76</v>
      </c>
      <c r="AE125" s="1" t="s">
        <v>1523</v>
      </c>
      <c r="AF125" s="1" t="s">
        <v>1524</v>
      </c>
      <c r="AG125" s="1" t="s">
        <v>1525</v>
      </c>
      <c r="AH125" s="1" t="s">
        <v>1526</v>
      </c>
      <c r="AI125" s="1">
        <v>4.22</v>
      </c>
      <c r="AJ125" s="1">
        <v>1551</v>
      </c>
      <c r="AK125" s="1">
        <v>4625</v>
      </c>
    </row>
    <row r="126" spans="1:38" ht="15.75" customHeight="1">
      <c r="A126" s="1">
        <v>38</v>
      </c>
      <c r="B126" s="1">
        <v>4</v>
      </c>
      <c r="C126" s="1">
        <v>4001</v>
      </c>
      <c r="D126" s="1" t="s">
        <v>51</v>
      </c>
      <c r="E126" s="1" t="s">
        <v>39</v>
      </c>
      <c r="F126" s="1" t="s">
        <v>92</v>
      </c>
      <c r="G126" s="1">
        <v>0</v>
      </c>
      <c r="H126" s="1" t="s">
        <v>41</v>
      </c>
      <c r="I126" s="1" t="s">
        <v>1527</v>
      </c>
      <c r="J126" s="1" t="s">
        <v>1528</v>
      </c>
      <c r="K126" s="1" t="s">
        <v>1529</v>
      </c>
      <c r="L126" s="1">
        <v>1</v>
      </c>
      <c r="M126" s="1">
        <v>0</v>
      </c>
      <c r="N126" s="1" t="s">
        <v>1530</v>
      </c>
      <c r="O126" s="1" t="s">
        <v>1531</v>
      </c>
      <c r="P126" s="1" t="s">
        <v>1532</v>
      </c>
      <c r="Q126" s="1">
        <v>0</v>
      </c>
      <c r="R126" s="1" t="s">
        <v>1533</v>
      </c>
      <c r="S126" s="1" t="s">
        <v>1534</v>
      </c>
      <c r="U126" s="2">
        <v>56766</v>
      </c>
      <c r="V126" s="1">
        <v>4.8</v>
      </c>
      <c r="W126" s="1">
        <v>4500</v>
      </c>
      <c r="X126" s="1">
        <v>3283</v>
      </c>
      <c r="Y126" s="1">
        <v>872</v>
      </c>
      <c r="Z126" s="1">
        <v>280</v>
      </c>
      <c r="AA126" s="1">
        <v>2131</v>
      </c>
      <c r="AB126" s="1">
        <v>0</v>
      </c>
      <c r="AC126" s="1">
        <v>5</v>
      </c>
      <c r="AD126" s="1" t="s">
        <v>76</v>
      </c>
      <c r="AE126" s="1" t="s">
        <v>1535</v>
      </c>
      <c r="AF126" s="1" t="s">
        <v>1536</v>
      </c>
      <c r="AG126" s="1" t="s">
        <v>1537</v>
      </c>
      <c r="AH126" s="1" t="s">
        <v>1538</v>
      </c>
      <c r="AI126" s="1">
        <v>4.03</v>
      </c>
      <c r="AJ126" s="1">
        <v>505</v>
      </c>
      <c r="AK126" s="1">
        <v>1721</v>
      </c>
      <c r="AL126" s="1">
        <v>457</v>
      </c>
    </row>
    <row r="127" spans="1:38" ht="15.75" customHeight="1">
      <c r="A127" s="1">
        <v>939</v>
      </c>
      <c r="B127" s="1">
        <v>1</v>
      </c>
      <c r="C127" s="1">
        <v>4050</v>
      </c>
      <c r="D127" s="1" t="s">
        <v>38</v>
      </c>
      <c r="E127" s="1" t="s">
        <v>39</v>
      </c>
      <c r="F127" s="1" t="s">
        <v>116</v>
      </c>
      <c r="G127" s="1">
        <v>0</v>
      </c>
      <c r="H127" s="1" t="s">
        <v>41</v>
      </c>
      <c r="I127" s="1" t="s">
        <v>1539</v>
      </c>
      <c r="J127" s="1" t="s">
        <v>1540</v>
      </c>
      <c r="K127" s="1" t="s">
        <v>1541</v>
      </c>
      <c r="L127" s="1">
        <v>1</v>
      </c>
      <c r="M127" s="1">
        <v>0</v>
      </c>
      <c r="N127" s="1" t="s">
        <v>1542</v>
      </c>
      <c r="O127" s="1" t="s">
        <v>1543</v>
      </c>
      <c r="P127" s="1" t="s">
        <v>1544</v>
      </c>
      <c r="Q127" s="1">
        <v>0</v>
      </c>
      <c r="R127" s="1" t="s">
        <v>1545</v>
      </c>
      <c r="S127" s="1" t="s">
        <v>1546</v>
      </c>
      <c r="U127" s="2">
        <v>56773</v>
      </c>
      <c r="V127" s="1">
        <v>3.995599356</v>
      </c>
      <c r="W127" s="1">
        <v>4500</v>
      </c>
      <c r="X127" s="1">
        <v>2008</v>
      </c>
      <c r="Y127" s="1">
        <v>888</v>
      </c>
      <c r="Z127" s="1">
        <v>773</v>
      </c>
      <c r="AA127" s="1">
        <v>347</v>
      </c>
      <c r="AB127" s="1">
        <v>0</v>
      </c>
      <c r="AC127" s="1">
        <v>7</v>
      </c>
      <c r="AD127" s="1" t="s">
        <v>76</v>
      </c>
      <c r="AE127" s="1" t="s">
        <v>1547</v>
      </c>
      <c r="AF127" s="1" t="s">
        <v>1548</v>
      </c>
      <c r="AG127" s="1" t="s">
        <v>1549</v>
      </c>
      <c r="AH127" s="1" t="s">
        <v>1550</v>
      </c>
      <c r="AI127" s="1">
        <v>4.8899999999999997</v>
      </c>
      <c r="AJ127" s="1">
        <v>1778</v>
      </c>
      <c r="AK127" s="1">
        <v>5138</v>
      </c>
      <c r="AL127" s="1">
        <v>314</v>
      </c>
    </row>
    <row r="128" spans="1:38" ht="15.75" customHeight="1">
      <c r="A128" s="1">
        <v>465</v>
      </c>
      <c r="C128" s="1">
        <v>4050</v>
      </c>
      <c r="D128" s="1" t="s">
        <v>38</v>
      </c>
      <c r="E128" s="1" t="s">
        <v>39</v>
      </c>
      <c r="F128" s="1" t="s">
        <v>1372</v>
      </c>
      <c r="G128" s="1">
        <v>0</v>
      </c>
      <c r="H128" s="1" t="s">
        <v>41</v>
      </c>
      <c r="I128" s="1" t="s">
        <v>1551</v>
      </c>
      <c r="J128" s="1" t="s">
        <v>1552</v>
      </c>
      <c r="K128" s="1" t="s">
        <v>1553</v>
      </c>
      <c r="L128" s="1">
        <v>1</v>
      </c>
      <c r="M128" s="1">
        <v>0</v>
      </c>
      <c r="N128" s="1" t="s">
        <v>1554</v>
      </c>
      <c r="O128" s="1" t="s">
        <v>1555</v>
      </c>
      <c r="P128" s="1" t="s">
        <v>1556</v>
      </c>
      <c r="Q128" s="1">
        <v>0</v>
      </c>
      <c r="R128" s="1" t="s">
        <v>1557</v>
      </c>
      <c r="S128" s="1" t="s">
        <v>1558</v>
      </c>
      <c r="U128" s="2">
        <v>56769</v>
      </c>
      <c r="V128" s="1">
        <v>4.7</v>
      </c>
      <c r="W128" s="1">
        <v>4500</v>
      </c>
      <c r="X128" s="1">
        <v>1642</v>
      </c>
      <c r="Y128" s="1">
        <v>848</v>
      </c>
      <c r="Z128" s="1">
        <v>165</v>
      </c>
      <c r="AA128" s="1">
        <v>629</v>
      </c>
      <c r="AB128" s="1">
        <v>0</v>
      </c>
      <c r="AC128" s="1">
        <v>8</v>
      </c>
      <c r="AD128" s="1" t="s">
        <v>215</v>
      </c>
      <c r="AE128" s="1" t="s">
        <v>1559</v>
      </c>
      <c r="AF128" s="1" t="s">
        <v>1560</v>
      </c>
      <c r="AG128" s="1" t="s">
        <v>1561</v>
      </c>
      <c r="AH128" s="1" t="s">
        <v>1562</v>
      </c>
      <c r="AI128" s="1">
        <v>4.4111111110000003</v>
      </c>
      <c r="AJ128" s="1">
        <v>68</v>
      </c>
      <c r="AK128" s="1">
        <v>223</v>
      </c>
      <c r="AL128" s="1">
        <v>118</v>
      </c>
    </row>
    <row r="129" spans="1:38" ht="15.75" customHeight="1">
      <c r="A129" s="1">
        <v>161</v>
      </c>
      <c r="C129" s="1">
        <v>4050</v>
      </c>
      <c r="D129" s="1" t="s">
        <v>38</v>
      </c>
      <c r="E129" s="1" t="s">
        <v>39</v>
      </c>
      <c r="F129" s="1" t="s">
        <v>151</v>
      </c>
      <c r="G129" s="1">
        <v>0</v>
      </c>
      <c r="H129" s="1" t="s">
        <v>41</v>
      </c>
      <c r="I129" s="1" t="s">
        <v>1563</v>
      </c>
      <c r="J129" s="1" t="s">
        <v>1564</v>
      </c>
      <c r="K129" s="1" t="s">
        <v>1565</v>
      </c>
      <c r="L129" s="1">
        <v>1</v>
      </c>
      <c r="M129" s="1">
        <v>0</v>
      </c>
      <c r="N129" s="1" t="s">
        <v>1566</v>
      </c>
      <c r="O129" s="1" t="s">
        <v>1567</v>
      </c>
      <c r="P129" s="1" t="s">
        <v>1568</v>
      </c>
      <c r="Q129" s="1">
        <v>0</v>
      </c>
      <c r="R129" s="1" t="s">
        <v>1569</v>
      </c>
      <c r="S129" s="1" t="s">
        <v>1570</v>
      </c>
      <c r="U129" s="2">
        <v>56767</v>
      </c>
      <c r="V129" s="1">
        <v>4.5</v>
      </c>
      <c r="W129" s="1">
        <v>4500</v>
      </c>
      <c r="X129" s="1">
        <v>4229</v>
      </c>
      <c r="Y129" s="1">
        <v>1153</v>
      </c>
      <c r="Z129" s="1">
        <v>299</v>
      </c>
      <c r="AA129" s="1">
        <v>2777</v>
      </c>
      <c r="AB129" s="1">
        <v>0</v>
      </c>
      <c r="AC129" s="1">
        <v>4</v>
      </c>
      <c r="AD129" s="1" t="s">
        <v>215</v>
      </c>
      <c r="AE129" s="1" t="s">
        <v>1571</v>
      </c>
      <c r="AF129" s="1" t="s">
        <v>1572</v>
      </c>
      <c r="AG129" s="1" t="s">
        <v>1573</v>
      </c>
      <c r="AH129" s="1" t="s">
        <v>1574</v>
      </c>
      <c r="AI129" s="1">
        <v>4.46</v>
      </c>
      <c r="AJ129" s="1">
        <v>349</v>
      </c>
      <c r="AK129" s="1">
        <v>779</v>
      </c>
    </row>
    <row r="130" spans="1:38" ht="15.75" customHeight="1">
      <c r="A130" s="1">
        <v>343</v>
      </c>
      <c r="B130" s="1">
        <v>5</v>
      </c>
      <c r="C130" s="1">
        <v>4050</v>
      </c>
      <c r="D130" s="1" t="s">
        <v>38</v>
      </c>
      <c r="E130" s="1" t="s">
        <v>39</v>
      </c>
      <c r="F130" s="1" t="s">
        <v>280</v>
      </c>
      <c r="G130" s="1">
        <v>0</v>
      </c>
      <c r="H130" s="1" t="s">
        <v>41</v>
      </c>
      <c r="I130" s="1" t="s">
        <v>1575</v>
      </c>
      <c r="J130" s="1" t="s">
        <v>1576</v>
      </c>
      <c r="K130" s="1" t="s">
        <v>1577</v>
      </c>
      <c r="L130" s="1">
        <v>1</v>
      </c>
      <c r="M130" s="1">
        <v>0</v>
      </c>
      <c r="N130" s="1" t="s">
        <v>1578</v>
      </c>
      <c r="O130" s="1" t="s">
        <v>1579</v>
      </c>
      <c r="P130" s="1" t="s">
        <v>1580</v>
      </c>
      <c r="Q130" s="1">
        <v>0</v>
      </c>
      <c r="R130" s="1" t="s">
        <v>1581</v>
      </c>
      <c r="S130" s="1" t="s">
        <v>1582</v>
      </c>
      <c r="U130" s="2">
        <v>56768</v>
      </c>
      <c r="V130" s="1">
        <v>4.7</v>
      </c>
      <c r="W130" s="1">
        <v>4500</v>
      </c>
      <c r="X130" s="1">
        <v>2065</v>
      </c>
      <c r="Y130" s="1">
        <v>1459</v>
      </c>
      <c r="Z130" s="1">
        <v>5</v>
      </c>
      <c r="AA130" s="1">
        <v>601</v>
      </c>
      <c r="AB130" s="1">
        <v>0</v>
      </c>
      <c r="AC130" s="1">
        <v>3</v>
      </c>
      <c r="AD130" s="1" t="s">
        <v>215</v>
      </c>
      <c r="AE130" s="1" t="s">
        <v>1583</v>
      </c>
      <c r="AF130" s="1" t="s">
        <v>1584</v>
      </c>
      <c r="AG130" s="1" t="s">
        <v>1585</v>
      </c>
      <c r="AH130" s="1" t="s">
        <v>1586</v>
      </c>
      <c r="AI130" s="1">
        <v>4.49</v>
      </c>
      <c r="AJ130" s="1">
        <v>2315</v>
      </c>
      <c r="AK130" s="1">
        <v>7039</v>
      </c>
      <c r="AL130" s="1">
        <v>763</v>
      </c>
    </row>
    <row r="131" spans="1:38" ht="15.75" customHeight="1">
      <c r="A131" s="1">
        <v>1414</v>
      </c>
      <c r="C131" s="1">
        <v>4001</v>
      </c>
      <c r="D131" s="1" t="s">
        <v>51</v>
      </c>
      <c r="E131" s="1" t="s">
        <v>39</v>
      </c>
      <c r="F131" s="1" t="s">
        <v>104</v>
      </c>
      <c r="G131" s="1">
        <v>0</v>
      </c>
      <c r="H131" s="1" t="s">
        <v>41</v>
      </c>
      <c r="I131" s="1" t="s">
        <v>1587</v>
      </c>
      <c r="J131" s="1" t="s">
        <v>1588</v>
      </c>
      <c r="K131" s="1" t="s">
        <v>1589</v>
      </c>
      <c r="L131" s="1">
        <v>1</v>
      </c>
      <c r="M131" s="1">
        <v>0</v>
      </c>
      <c r="N131" s="1" t="s">
        <v>1590</v>
      </c>
      <c r="O131" s="1" t="s">
        <v>1591</v>
      </c>
      <c r="P131" s="1" t="s">
        <v>1592</v>
      </c>
      <c r="Q131" s="1">
        <v>0</v>
      </c>
      <c r="R131" s="1" t="s">
        <v>1593</v>
      </c>
      <c r="S131" s="1" t="s">
        <v>1594</v>
      </c>
      <c r="U131" s="2">
        <v>56777</v>
      </c>
      <c r="V131" s="1">
        <v>4.4176177640000001</v>
      </c>
      <c r="W131" s="1">
        <v>4500</v>
      </c>
      <c r="X131" s="1">
        <v>1875</v>
      </c>
      <c r="Y131" s="1">
        <v>1071</v>
      </c>
      <c r="Z131" s="1">
        <v>155</v>
      </c>
      <c r="AA131" s="1">
        <v>649</v>
      </c>
      <c r="AB131" s="1">
        <v>0</v>
      </c>
      <c r="AC131" s="1">
        <v>6</v>
      </c>
      <c r="AD131" s="1" t="s">
        <v>76</v>
      </c>
      <c r="AE131" s="1" t="s">
        <v>1595</v>
      </c>
      <c r="AF131" s="1" t="s">
        <v>1596</v>
      </c>
      <c r="AG131" s="1" t="s">
        <v>1597</v>
      </c>
      <c r="AH131" s="1" t="s">
        <v>1598</v>
      </c>
      <c r="AI131" s="1">
        <v>4.5199999999999996</v>
      </c>
      <c r="AJ131" s="1">
        <v>269</v>
      </c>
      <c r="AK131" s="1">
        <v>895</v>
      </c>
      <c r="AL131" s="1">
        <v>23</v>
      </c>
    </row>
    <row r="132" spans="1:38" ht="15.75" customHeight="1">
      <c r="A132" s="1">
        <v>1600</v>
      </c>
      <c r="C132" s="1">
        <v>4001</v>
      </c>
      <c r="D132" s="1" t="s">
        <v>51</v>
      </c>
      <c r="E132" s="1" t="s">
        <v>39</v>
      </c>
      <c r="F132" s="1" t="s">
        <v>341</v>
      </c>
      <c r="G132" s="1">
        <v>0</v>
      </c>
      <c r="H132" s="1" t="s">
        <v>41</v>
      </c>
      <c r="I132" s="1" t="s">
        <v>1599</v>
      </c>
      <c r="J132" s="1" t="s">
        <v>1600</v>
      </c>
      <c r="K132" s="1" t="s">
        <v>1601</v>
      </c>
      <c r="L132" s="1">
        <v>1</v>
      </c>
      <c r="M132" s="1">
        <v>0</v>
      </c>
      <c r="N132" s="1" t="s">
        <v>1602</v>
      </c>
      <c r="O132" s="1" t="s">
        <v>1603</v>
      </c>
      <c r="P132" s="1" t="s">
        <v>1604</v>
      </c>
      <c r="Q132" s="1">
        <v>0</v>
      </c>
      <c r="R132" s="1" t="s">
        <v>1605</v>
      </c>
      <c r="S132" s="1" t="s">
        <v>1606</v>
      </c>
      <c r="U132" s="2">
        <v>56778</v>
      </c>
      <c r="V132" s="1">
        <v>3.897026173</v>
      </c>
      <c r="W132" s="1">
        <v>4500</v>
      </c>
      <c r="X132" s="1">
        <v>1188</v>
      </c>
      <c r="Y132" s="1">
        <v>101</v>
      </c>
      <c r="Z132" s="1">
        <v>469</v>
      </c>
      <c r="AA132" s="1">
        <v>618</v>
      </c>
      <c r="AB132" s="1">
        <v>0</v>
      </c>
      <c r="AC132" s="1">
        <v>6</v>
      </c>
      <c r="AD132" s="1" t="s">
        <v>215</v>
      </c>
      <c r="AE132" s="1" t="s">
        <v>1607</v>
      </c>
      <c r="AF132" s="1" t="s">
        <v>1608</v>
      </c>
      <c r="AG132" s="1" t="s">
        <v>1609</v>
      </c>
      <c r="AH132" s="1" t="s">
        <v>1610</v>
      </c>
      <c r="AI132" s="1">
        <v>4.54</v>
      </c>
      <c r="AJ132" s="1">
        <v>2229</v>
      </c>
      <c r="AK132" s="1">
        <v>6580</v>
      </c>
    </row>
    <row r="133" spans="1:38" ht="15.75" customHeight="1">
      <c r="A133" s="1">
        <v>319</v>
      </c>
      <c r="B133" s="1">
        <v>5</v>
      </c>
      <c r="C133" s="1">
        <v>4001</v>
      </c>
      <c r="D133" s="1" t="s">
        <v>51</v>
      </c>
      <c r="E133" s="1" t="s">
        <v>39</v>
      </c>
      <c r="F133" s="1" t="s">
        <v>52</v>
      </c>
      <c r="G133" s="1">
        <v>0</v>
      </c>
      <c r="H133" s="1" t="s">
        <v>53</v>
      </c>
      <c r="I133" s="1" t="s">
        <v>1611</v>
      </c>
      <c r="J133" s="1" t="s">
        <v>1612</v>
      </c>
      <c r="K133" s="1" t="s">
        <v>1613</v>
      </c>
      <c r="L133" s="1">
        <v>1</v>
      </c>
      <c r="M133" s="1">
        <v>0</v>
      </c>
      <c r="N133" s="1" t="s">
        <v>1614</v>
      </c>
      <c r="O133" s="1" t="s">
        <v>1615</v>
      </c>
      <c r="P133" s="1" t="s">
        <v>1616</v>
      </c>
      <c r="Q133" s="1">
        <v>0</v>
      </c>
      <c r="R133" s="1" t="s">
        <v>1617</v>
      </c>
      <c r="U133" s="2">
        <v>56768</v>
      </c>
      <c r="V133" s="1">
        <v>4.2</v>
      </c>
      <c r="W133" s="1">
        <v>4500</v>
      </c>
      <c r="X133" s="1">
        <v>5423</v>
      </c>
      <c r="AA133" s="1">
        <v>1734</v>
      </c>
      <c r="AB133" s="1">
        <v>0</v>
      </c>
      <c r="AC133" s="1">
        <v>8</v>
      </c>
      <c r="AE133" s="1" t="s">
        <v>1618</v>
      </c>
      <c r="AF133" s="1" t="s">
        <v>1619</v>
      </c>
      <c r="AG133" s="1" t="s">
        <v>1620</v>
      </c>
      <c r="AI133" s="1">
        <v>4.17</v>
      </c>
      <c r="AJ133" s="1">
        <v>457</v>
      </c>
      <c r="AK133" s="1">
        <v>1599</v>
      </c>
    </row>
    <row r="134" spans="1:38" ht="15.75" customHeight="1">
      <c r="A134" s="1">
        <v>63</v>
      </c>
      <c r="B134" s="1">
        <v>5</v>
      </c>
      <c r="C134" s="1">
        <v>4050</v>
      </c>
      <c r="D134" s="1" t="s">
        <v>38</v>
      </c>
      <c r="E134" s="1" t="s">
        <v>39</v>
      </c>
      <c r="F134" s="1" t="s">
        <v>1153</v>
      </c>
      <c r="G134" s="1">
        <v>0</v>
      </c>
      <c r="H134" s="1" t="s">
        <v>41</v>
      </c>
      <c r="I134" s="1" t="s">
        <v>1621</v>
      </c>
      <c r="J134" s="1" t="s">
        <v>1622</v>
      </c>
      <c r="K134" s="1" t="s">
        <v>1623</v>
      </c>
      <c r="L134" s="1">
        <v>1</v>
      </c>
      <c r="M134" s="1">
        <v>0</v>
      </c>
      <c r="N134" s="1" t="s">
        <v>1624</v>
      </c>
      <c r="O134" s="1" t="s">
        <v>1625</v>
      </c>
      <c r="P134" s="1" t="s">
        <v>1626</v>
      </c>
      <c r="Q134" s="1">
        <v>0</v>
      </c>
      <c r="R134" s="1" t="s">
        <v>1627</v>
      </c>
      <c r="S134" s="1" t="s">
        <v>1628</v>
      </c>
      <c r="U134" s="2">
        <v>56766</v>
      </c>
      <c r="V134" s="1">
        <v>4.5</v>
      </c>
      <c r="W134" s="1">
        <v>4500</v>
      </c>
      <c r="X134" s="1">
        <v>2290</v>
      </c>
      <c r="Y134" s="1">
        <v>471</v>
      </c>
      <c r="Z134" s="1">
        <v>357</v>
      </c>
      <c r="AA134" s="1">
        <v>1462</v>
      </c>
      <c r="AB134" s="1">
        <v>0</v>
      </c>
      <c r="AC134" s="1">
        <v>3</v>
      </c>
      <c r="AD134" s="1" t="s">
        <v>215</v>
      </c>
      <c r="AE134" s="1" t="s">
        <v>1629</v>
      </c>
      <c r="AF134" s="1" t="s">
        <v>1630</v>
      </c>
      <c r="AG134" s="1" t="s">
        <v>1631</v>
      </c>
      <c r="AH134" s="1" t="s">
        <v>1632</v>
      </c>
      <c r="AI134" s="1">
        <v>4.58</v>
      </c>
      <c r="AJ134" s="1">
        <v>679</v>
      </c>
      <c r="AK134" s="1">
        <v>2371</v>
      </c>
      <c r="AL134" s="1">
        <v>1830</v>
      </c>
    </row>
    <row r="135" spans="1:38" ht="15.75" customHeight="1">
      <c r="A135" s="1">
        <v>526</v>
      </c>
      <c r="B135" s="1">
        <v>5</v>
      </c>
      <c r="C135" s="1">
        <v>4001</v>
      </c>
      <c r="D135" s="1" t="s">
        <v>51</v>
      </c>
      <c r="E135" s="1" t="s">
        <v>39</v>
      </c>
      <c r="F135" s="1" t="s">
        <v>52</v>
      </c>
      <c r="G135" s="1">
        <v>0</v>
      </c>
      <c r="H135" s="1" t="s">
        <v>53</v>
      </c>
      <c r="I135" s="1" t="s">
        <v>1633</v>
      </c>
      <c r="J135" s="1" t="s">
        <v>1634</v>
      </c>
      <c r="K135" s="1" t="s">
        <v>1635</v>
      </c>
      <c r="L135" s="1">
        <v>1</v>
      </c>
      <c r="M135" s="1">
        <v>0</v>
      </c>
      <c r="N135" s="1" t="s">
        <v>1636</v>
      </c>
      <c r="O135" s="1" t="s">
        <v>1637</v>
      </c>
      <c r="P135" s="1" t="s">
        <v>1638</v>
      </c>
      <c r="Q135" s="1">
        <v>0</v>
      </c>
      <c r="R135" s="1" t="s">
        <v>1639</v>
      </c>
      <c r="S135" s="1" t="s">
        <v>1640</v>
      </c>
      <c r="U135" s="2">
        <v>56769</v>
      </c>
      <c r="V135" s="1">
        <v>4.649691893</v>
      </c>
      <c r="W135" s="1">
        <v>4500</v>
      </c>
      <c r="X135" s="1">
        <v>1501</v>
      </c>
      <c r="Y135" s="1">
        <v>1029</v>
      </c>
      <c r="AA135" s="1">
        <v>514</v>
      </c>
      <c r="AB135" s="1">
        <v>1</v>
      </c>
      <c r="AC135" s="1">
        <v>14</v>
      </c>
      <c r="AE135" s="1" t="s">
        <v>1641</v>
      </c>
      <c r="AF135" s="1" t="s">
        <v>1642</v>
      </c>
      <c r="AG135" s="1" t="s">
        <v>1643</v>
      </c>
      <c r="AH135" s="1" t="s">
        <v>1644</v>
      </c>
      <c r="AI135" s="1">
        <v>4.17</v>
      </c>
      <c r="AJ135" s="1">
        <v>457</v>
      </c>
      <c r="AK135" s="1">
        <v>1599</v>
      </c>
    </row>
    <row r="136" spans="1:38" ht="15.75" customHeight="1">
      <c r="A136" s="1">
        <v>768</v>
      </c>
      <c r="B136" s="1">
        <v>5</v>
      </c>
      <c r="C136" s="1">
        <v>4050</v>
      </c>
      <c r="D136" s="1" t="s">
        <v>38</v>
      </c>
      <c r="E136" s="1" t="s">
        <v>39</v>
      </c>
      <c r="F136" s="1" t="s">
        <v>1645</v>
      </c>
      <c r="G136" s="1">
        <v>0</v>
      </c>
      <c r="H136" s="1" t="s">
        <v>41</v>
      </c>
      <c r="I136" s="1" t="s">
        <v>1646</v>
      </c>
      <c r="J136" s="1" t="s">
        <v>1647</v>
      </c>
      <c r="K136" s="1" t="s">
        <v>1648</v>
      </c>
      <c r="L136" s="1">
        <v>1</v>
      </c>
      <c r="M136" s="1">
        <v>0</v>
      </c>
      <c r="N136" s="1" t="s">
        <v>1649</v>
      </c>
      <c r="O136" s="1" t="s">
        <v>1650</v>
      </c>
      <c r="P136" s="1" t="s">
        <v>1651</v>
      </c>
      <c r="Q136" s="1">
        <v>0</v>
      </c>
      <c r="R136" s="1" t="s">
        <v>1652</v>
      </c>
      <c r="S136" s="1" t="s">
        <v>1653</v>
      </c>
      <c r="U136" s="2">
        <v>56771</v>
      </c>
      <c r="V136" s="1">
        <v>4.7</v>
      </c>
      <c r="W136" s="1">
        <v>4500</v>
      </c>
      <c r="X136" s="1">
        <v>2570</v>
      </c>
      <c r="Y136" s="1">
        <v>858</v>
      </c>
      <c r="Z136" s="1">
        <v>270</v>
      </c>
      <c r="AA136" s="1">
        <v>1442</v>
      </c>
      <c r="AB136" s="1">
        <v>1</v>
      </c>
      <c r="AC136" s="1">
        <v>4</v>
      </c>
      <c r="AE136" s="1" t="s">
        <v>1654</v>
      </c>
      <c r="AF136" s="1" t="s">
        <v>1655</v>
      </c>
      <c r="AG136" s="1" t="s">
        <v>1656</v>
      </c>
      <c r="AH136" s="1" t="s">
        <v>1657</v>
      </c>
      <c r="AI136" s="1">
        <v>4.4520547949999996</v>
      </c>
      <c r="AJ136" s="1">
        <v>59</v>
      </c>
      <c r="AK136" s="1">
        <v>171</v>
      </c>
      <c r="AL136" s="1">
        <v>52</v>
      </c>
    </row>
    <row r="137" spans="1:38" ht="15.75" customHeight="1">
      <c r="A137" s="1">
        <v>844</v>
      </c>
      <c r="C137" s="1">
        <v>4050</v>
      </c>
      <c r="D137" s="1" t="s">
        <v>38</v>
      </c>
      <c r="E137" s="1" t="s">
        <v>39</v>
      </c>
      <c r="F137" s="1" t="s">
        <v>116</v>
      </c>
      <c r="G137" s="1">
        <v>0</v>
      </c>
      <c r="H137" s="1" t="s">
        <v>41</v>
      </c>
      <c r="I137" s="1" t="s">
        <v>1658</v>
      </c>
      <c r="J137" s="1" t="s">
        <v>1659</v>
      </c>
      <c r="K137" s="1" t="s">
        <v>1660</v>
      </c>
      <c r="L137" s="1">
        <v>1</v>
      </c>
      <c r="M137" s="1">
        <v>0</v>
      </c>
      <c r="N137" s="1" t="s">
        <v>1661</v>
      </c>
      <c r="O137" s="1" t="s">
        <v>1662</v>
      </c>
      <c r="P137" s="1" t="s">
        <v>1663</v>
      </c>
      <c r="Q137" s="1">
        <v>0</v>
      </c>
      <c r="R137" s="1" t="s">
        <v>1664</v>
      </c>
      <c r="S137" s="1" t="s">
        <v>1665</v>
      </c>
      <c r="U137" s="2">
        <v>56772</v>
      </c>
      <c r="V137" s="1">
        <v>4.8</v>
      </c>
      <c r="W137" s="1">
        <v>4500</v>
      </c>
      <c r="X137" s="1">
        <v>2094</v>
      </c>
      <c r="Y137" s="1">
        <v>768</v>
      </c>
      <c r="Z137" s="1">
        <v>372</v>
      </c>
      <c r="AA137" s="1">
        <v>954</v>
      </c>
      <c r="AB137" s="1">
        <v>0</v>
      </c>
      <c r="AC137" s="1">
        <v>6</v>
      </c>
      <c r="AD137" s="1" t="s">
        <v>62</v>
      </c>
      <c r="AE137" s="1" t="s">
        <v>1666</v>
      </c>
      <c r="AF137" s="1" t="s">
        <v>1667</v>
      </c>
      <c r="AG137" s="1" t="s">
        <v>1668</v>
      </c>
      <c r="AH137" s="1" t="s">
        <v>1669</v>
      </c>
      <c r="AI137" s="1">
        <v>4.8899999999999997</v>
      </c>
      <c r="AJ137" s="1">
        <v>1778</v>
      </c>
      <c r="AK137" s="1">
        <v>5138</v>
      </c>
      <c r="AL137" s="1">
        <v>314</v>
      </c>
    </row>
    <row r="138" spans="1:38" ht="15.75" customHeight="1">
      <c r="A138" s="1">
        <v>1471</v>
      </c>
      <c r="C138" s="1">
        <v>4001</v>
      </c>
      <c r="D138" s="1" t="s">
        <v>51</v>
      </c>
      <c r="E138" s="1" t="s">
        <v>39</v>
      </c>
      <c r="F138" s="1" t="s">
        <v>414</v>
      </c>
      <c r="G138" s="1">
        <v>0</v>
      </c>
      <c r="H138" s="1" t="s">
        <v>53</v>
      </c>
      <c r="I138" s="1" t="s">
        <v>1670</v>
      </c>
      <c r="J138" s="1" t="s">
        <v>1671</v>
      </c>
      <c r="K138" s="1" t="s">
        <v>1672</v>
      </c>
      <c r="L138" s="1">
        <v>1</v>
      </c>
      <c r="M138" s="1">
        <v>0</v>
      </c>
      <c r="N138" s="1" t="s">
        <v>1673</v>
      </c>
      <c r="O138" s="1" t="s">
        <v>1674</v>
      </c>
      <c r="P138" s="1" t="s">
        <v>1675</v>
      </c>
      <c r="Q138" s="1">
        <v>0</v>
      </c>
      <c r="R138" s="1" t="s">
        <v>1676</v>
      </c>
      <c r="U138" s="2">
        <v>56777</v>
      </c>
      <c r="V138" s="1">
        <v>2.474148612</v>
      </c>
      <c r="W138" s="1">
        <v>4500</v>
      </c>
      <c r="X138" s="1">
        <v>1239</v>
      </c>
      <c r="AA138" s="1">
        <v>392</v>
      </c>
      <c r="AB138" s="1">
        <v>0</v>
      </c>
      <c r="AC138" s="1">
        <v>6</v>
      </c>
      <c r="AE138" s="1" t="s">
        <v>1677</v>
      </c>
      <c r="AF138" s="1" t="s">
        <v>1678</v>
      </c>
      <c r="AG138" s="1" t="s">
        <v>1679</v>
      </c>
      <c r="AI138" s="1">
        <v>4.58</v>
      </c>
      <c r="AJ138" s="1">
        <v>254</v>
      </c>
      <c r="AK138" s="1">
        <v>788</v>
      </c>
      <c r="AL138" s="1">
        <v>9</v>
      </c>
    </row>
    <row r="139" spans="1:38" ht="15.75" customHeight="1">
      <c r="A139" s="1">
        <v>563</v>
      </c>
      <c r="B139" s="1">
        <v>5</v>
      </c>
      <c r="C139" s="1">
        <v>4001</v>
      </c>
      <c r="D139" s="1" t="s">
        <v>51</v>
      </c>
      <c r="E139" s="1" t="s">
        <v>39</v>
      </c>
      <c r="F139" s="1" t="s">
        <v>67</v>
      </c>
      <c r="G139" s="1">
        <v>0</v>
      </c>
      <c r="H139" s="1" t="s">
        <v>41</v>
      </c>
      <c r="I139" s="1" t="s">
        <v>1680</v>
      </c>
      <c r="J139" s="1" t="s">
        <v>1681</v>
      </c>
      <c r="K139" s="1" t="s">
        <v>1682</v>
      </c>
      <c r="L139" s="1">
        <v>1</v>
      </c>
      <c r="M139" s="1">
        <v>0</v>
      </c>
      <c r="N139" s="1" t="s">
        <v>1683</v>
      </c>
      <c r="O139" s="1" t="s">
        <v>1684</v>
      </c>
      <c r="P139" s="1" t="s">
        <v>1685</v>
      </c>
      <c r="Q139" s="1">
        <v>0</v>
      </c>
      <c r="R139" s="1" t="s">
        <v>1686</v>
      </c>
      <c r="S139" s="1" t="s">
        <v>1687</v>
      </c>
      <c r="U139" s="2">
        <v>56770</v>
      </c>
      <c r="V139" s="1">
        <v>4.5999999999999996</v>
      </c>
      <c r="W139" s="1">
        <v>4500</v>
      </c>
      <c r="X139" s="1">
        <v>2548</v>
      </c>
      <c r="Y139" s="1">
        <v>726</v>
      </c>
      <c r="Z139" s="1">
        <v>545</v>
      </c>
      <c r="AA139" s="1">
        <v>1277</v>
      </c>
      <c r="AB139" s="1">
        <v>0</v>
      </c>
      <c r="AC139" s="1">
        <v>7</v>
      </c>
      <c r="AD139" s="1" t="s">
        <v>215</v>
      </c>
      <c r="AE139" s="1" t="s">
        <v>1688</v>
      </c>
      <c r="AF139" s="1" t="s">
        <v>1689</v>
      </c>
      <c r="AG139" s="1" t="s">
        <v>1690</v>
      </c>
      <c r="AH139" s="1" t="s">
        <v>1691</v>
      </c>
      <c r="AI139" s="1">
        <v>3.82</v>
      </c>
      <c r="AJ139" s="1">
        <v>174</v>
      </c>
      <c r="AK139" s="1">
        <v>773</v>
      </c>
    </row>
    <row r="140" spans="1:38" ht="15.75" customHeight="1">
      <c r="A140" s="1">
        <v>1404</v>
      </c>
      <c r="C140" s="1">
        <v>4001</v>
      </c>
      <c r="D140" s="1" t="s">
        <v>51</v>
      </c>
      <c r="E140" s="1" t="s">
        <v>39</v>
      </c>
      <c r="F140" s="1" t="s">
        <v>104</v>
      </c>
      <c r="G140" s="1">
        <v>0</v>
      </c>
      <c r="H140" s="1" t="s">
        <v>41</v>
      </c>
      <c r="I140" s="1" t="s">
        <v>1692</v>
      </c>
      <c r="J140" s="1" t="s">
        <v>1693</v>
      </c>
      <c r="K140" s="1" t="s">
        <v>1694</v>
      </c>
      <c r="L140" s="1">
        <v>1</v>
      </c>
      <c r="M140" s="1">
        <v>0</v>
      </c>
      <c r="N140" s="1" t="s">
        <v>1695</v>
      </c>
      <c r="O140" s="1" t="s">
        <v>1696</v>
      </c>
      <c r="P140" s="1" t="s">
        <v>1697</v>
      </c>
      <c r="Q140" s="1">
        <v>0</v>
      </c>
      <c r="R140" s="1" t="s">
        <v>1698</v>
      </c>
      <c r="S140" s="1" t="s">
        <v>1699</v>
      </c>
      <c r="U140" s="2">
        <v>56777</v>
      </c>
      <c r="V140" s="1">
        <v>4.5</v>
      </c>
      <c r="W140" s="1">
        <v>4500</v>
      </c>
      <c r="X140" s="1">
        <v>2408</v>
      </c>
      <c r="Y140" s="1">
        <v>658</v>
      </c>
      <c r="Z140" s="1">
        <v>397</v>
      </c>
      <c r="AA140" s="1">
        <v>1353</v>
      </c>
      <c r="AB140" s="1">
        <v>0</v>
      </c>
      <c r="AC140" s="1">
        <v>3</v>
      </c>
      <c r="AD140" s="1" t="s">
        <v>215</v>
      </c>
      <c r="AE140" s="1" t="s">
        <v>1700</v>
      </c>
      <c r="AF140" s="1" t="s">
        <v>1701</v>
      </c>
      <c r="AG140" s="1" t="s">
        <v>1702</v>
      </c>
      <c r="AH140" s="1" t="s">
        <v>1703</v>
      </c>
      <c r="AI140" s="1">
        <v>4.5199999999999996</v>
      </c>
      <c r="AJ140" s="1">
        <v>269</v>
      </c>
      <c r="AK140" s="1">
        <v>895</v>
      </c>
      <c r="AL140" s="1">
        <v>23</v>
      </c>
    </row>
    <row r="141" spans="1:38" ht="15.75" customHeight="1">
      <c r="A141" s="1">
        <v>1386</v>
      </c>
      <c r="C141" s="1">
        <v>4001</v>
      </c>
      <c r="D141" s="1" t="s">
        <v>51</v>
      </c>
      <c r="E141" s="1" t="s">
        <v>39</v>
      </c>
      <c r="F141" s="1" t="s">
        <v>1456</v>
      </c>
      <c r="G141" s="1">
        <v>0</v>
      </c>
      <c r="H141" s="1" t="s">
        <v>53</v>
      </c>
      <c r="I141" s="1" t="s">
        <v>1704</v>
      </c>
      <c r="J141" s="1" t="s">
        <v>1705</v>
      </c>
      <c r="K141" s="1" t="s">
        <v>1706</v>
      </c>
      <c r="L141" s="1">
        <v>1</v>
      </c>
      <c r="M141" s="1">
        <v>0</v>
      </c>
      <c r="N141" s="1" t="s">
        <v>1707</v>
      </c>
      <c r="O141" s="1" t="s">
        <v>1708</v>
      </c>
      <c r="P141" s="1" t="s">
        <v>1709</v>
      </c>
      <c r="Q141" s="1">
        <v>0</v>
      </c>
      <c r="R141" s="1" t="s">
        <v>1710</v>
      </c>
      <c r="S141" s="1" t="s">
        <v>1711</v>
      </c>
      <c r="U141" s="2">
        <v>56777</v>
      </c>
      <c r="V141" s="1">
        <v>3.0385629600000001</v>
      </c>
      <c r="W141" s="1">
        <v>4500</v>
      </c>
      <c r="X141" s="1">
        <v>2437</v>
      </c>
      <c r="Y141" s="1">
        <v>1539</v>
      </c>
      <c r="Z141" s="1">
        <v>103</v>
      </c>
      <c r="AA141" s="1">
        <v>795</v>
      </c>
      <c r="AB141" s="1">
        <v>0</v>
      </c>
      <c r="AC141" s="1">
        <v>5</v>
      </c>
      <c r="AD141" s="1" t="s">
        <v>76</v>
      </c>
      <c r="AE141" s="1" t="s">
        <v>1712</v>
      </c>
      <c r="AF141" s="1" t="s">
        <v>1713</v>
      </c>
      <c r="AG141" s="1" t="s">
        <v>1714</v>
      </c>
      <c r="AH141" s="1" t="s">
        <v>1715</v>
      </c>
      <c r="AI141" s="1">
        <v>4.5</v>
      </c>
      <c r="AJ141" s="1">
        <v>394</v>
      </c>
      <c r="AK141" s="1">
        <v>1403</v>
      </c>
    </row>
    <row r="142" spans="1:38" ht="15.75" customHeight="1">
      <c r="A142" s="1">
        <v>177</v>
      </c>
      <c r="C142" s="1">
        <v>4050</v>
      </c>
      <c r="D142" s="1" t="s">
        <v>38</v>
      </c>
      <c r="E142" s="1" t="s">
        <v>39</v>
      </c>
      <c r="F142" s="1" t="s">
        <v>365</v>
      </c>
      <c r="G142" s="1">
        <v>0</v>
      </c>
      <c r="H142" s="1" t="s">
        <v>41</v>
      </c>
      <c r="I142" s="1" t="s">
        <v>1716</v>
      </c>
      <c r="J142" s="1" t="s">
        <v>1717</v>
      </c>
      <c r="K142" s="1" t="s">
        <v>1718</v>
      </c>
      <c r="L142" s="1">
        <v>1</v>
      </c>
      <c r="M142" s="1">
        <v>0</v>
      </c>
      <c r="N142" s="1" t="s">
        <v>1719</v>
      </c>
      <c r="O142" s="1" t="s">
        <v>1720</v>
      </c>
      <c r="P142" s="1" t="s">
        <v>1721</v>
      </c>
      <c r="Q142" s="1">
        <v>0</v>
      </c>
      <c r="R142" s="1" t="s">
        <v>1722</v>
      </c>
      <c r="S142" s="1" t="s">
        <v>1723</v>
      </c>
      <c r="U142" s="2">
        <v>56767</v>
      </c>
      <c r="V142" s="1">
        <v>4.7</v>
      </c>
      <c r="W142" s="1">
        <v>4500</v>
      </c>
      <c r="X142" s="1">
        <v>3100</v>
      </c>
      <c r="Y142" s="1">
        <v>1181</v>
      </c>
      <c r="Z142" s="1">
        <v>256</v>
      </c>
      <c r="AA142" s="1">
        <v>1663</v>
      </c>
      <c r="AB142" s="1">
        <v>0</v>
      </c>
      <c r="AC142" s="1">
        <v>4</v>
      </c>
      <c r="AD142" s="1" t="s">
        <v>76</v>
      </c>
      <c r="AE142" s="1" t="s">
        <v>1724</v>
      </c>
      <c r="AF142" s="1" t="s">
        <v>1725</v>
      </c>
      <c r="AG142" s="1" t="s">
        <v>1726</v>
      </c>
      <c r="AH142" s="1" t="s">
        <v>1727</v>
      </c>
      <c r="AI142" s="1">
        <v>4.7699999999999996</v>
      </c>
      <c r="AJ142" s="1">
        <v>426</v>
      </c>
      <c r="AK142" s="1">
        <v>1226</v>
      </c>
      <c r="AL142" s="1">
        <v>85</v>
      </c>
    </row>
    <row r="143" spans="1:38" ht="15.75" customHeight="1">
      <c r="A143" s="1">
        <v>212</v>
      </c>
      <c r="B143" s="1">
        <v>5</v>
      </c>
      <c r="C143" s="1">
        <v>4050</v>
      </c>
      <c r="D143" s="1" t="s">
        <v>38</v>
      </c>
      <c r="E143" s="1" t="s">
        <v>39</v>
      </c>
      <c r="F143" s="1" t="s">
        <v>116</v>
      </c>
      <c r="G143" s="1">
        <v>0</v>
      </c>
      <c r="H143" s="1" t="s">
        <v>41</v>
      </c>
      <c r="I143" s="1" t="s">
        <v>1728</v>
      </c>
      <c r="J143" s="1" t="s">
        <v>1729</v>
      </c>
      <c r="K143" s="1" t="s">
        <v>1730</v>
      </c>
      <c r="L143" s="1">
        <v>1</v>
      </c>
      <c r="M143" s="1">
        <v>0</v>
      </c>
      <c r="N143" s="1" t="s">
        <v>1731</v>
      </c>
      <c r="O143" s="1" t="s">
        <v>1732</v>
      </c>
      <c r="P143" s="1" t="s">
        <v>1733</v>
      </c>
      <c r="Q143" s="1">
        <v>0</v>
      </c>
      <c r="R143" s="1" t="s">
        <v>1734</v>
      </c>
      <c r="U143" s="2">
        <v>56767</v>
      </c>
      <c r="V143" s="1">
        <v>4.5</v>
      </c>
      <c r="W143" s="1">
        <v>4500</v>
      </c>
      <c r="X143" s="1">
        <v>2538</v>
      </c>
      <c r="AA143" s="1">
        <v>693</v>
      </c>
      <c r="AB143" s="1">
        <v>0</v>
      </c>
      <c r="AC143" s="1">
        <v>3</v>
      </c>
      <c r="AE143" s="1" t="s">
        <v>1735</v>
      </c>
      <c r="AF143" s="1" t="s">
        <v>1736</v>
      </c>
      <c r="AG143" s="1" t="s">
        <v>1737</v>
      </c>
      <c r="AI143" s="1">
        <v>4.8899999999999997</v>
      </c>
      <c r="AJ143" s="1">
        <v>1778</v>
      </c>
      <c r="AK143" s="1">
        <v>5138</v>
      </c>
      <c r="AL143" s="1">
        <v>314</v>
      </c>
    </row>
    <row r="144" spans="1:38" ht="15.75" customHeight="1">
      <c r="A144" s="1">
        <v>375</v>
      </c>
      <c r="C144" s="1">
        <v>4050</v>
      </c>
      <c r="D144" s="1" t="s">
        <v>38</v>
      </c>
      <c r="E144" s="1" t="s">
        <v>39</v>
      </c>
      <c r="F144" s="1" t="s">
        <v>1238</v>
      </c>
      <c r="G144" s="1">
        <v>0</v>
      </c>
      <c r="H144" s="1" t="s">
        <v>41</v>
      </c>
      <c r="I144" s="1" t="s">
        <v>1738</v>
      </c>
      <c r="J144" s="1" t="s">
        <v>1739</v>
      </c>
      <c r="K144" s="1" t="s">
        <v>1740</v>
      </c>
      <c r="L144" s="1">
        <v>1</v>
      </c>
      <c r="M144" s="1">
        <v>0</v>
      </c>
      <c r="N144" s="1" t="s">
        <v>1741</v>
      </c>
      <c r="O144" s="1" t="s">
        <v>1742</v>
      </c>
      <c r="P144" s="1" t="s">
        <v>1743</v>
      </c>
      <c r="Q144" s="1">
        <v>0</v>
      </c>
      <c r="R144" s="1" t="s">
        <v>1744</v>
      </c>
      <c r="S144" s="1" t="s">
        <v>1745</v>
      </c>
      <c r="U144" s="2">
        <v>56768</v>
      </c>
      <c r="V144" s="1">
        <v>4.3</v>
      </c>
      <c r="W144" s="1">
        <v>4500</v>
      </c>
      <c r="X144" s="1">
        <v>2184</v>
      </c>
      <c r="Y144" s="1">
        <v>785</v>
      </c>
      <c r="Z144" s="1">
        <v>508</v>
      </c>
      <c r="AA144" s="1">
        <v>891</v>
      </c>
      <c r="AB144" s="1">
        <v>0</v>
      </c>
      <c r="AC144" s="1">
        <v>3</v>
      </c>
      <c r="AD144" s="1" t="s">
        <v>215</v>
      </c>
      <c r="AE144" s="1" t="s">
        <v>1746</v>
      </c>
      <c r="AF144" s="1" t="s">
        <v>1747</v>
      </c>
      <c r="AG144" s="1" t="s">
        <v>1748</v>
      </c>
      <c r="AH144" s="1" t="s">
        <v>1749</v>
      </c>
      <c r="AI144" s="1">
        <v>4.5</v>
      </c>
      <c r="AJ144" s="1">
        <v>55</v>
      </c>
      <c r="AK144" s="1">
        <v>211</v>
      </c>
      <c r="AL144" s="1">
        <v>6</v>
      </c>
    </row>
    <row r="145" spans="1:38" ht="15.75" customHeight="1">
      <c r="A145" s="1">
        <v>698</v>
      </c>
      <c r="B145" s="1">
        <v>4</v>
      </c>
      <c r="C145" s="1">
        <v>4001</v>
      </c>
      <c r="D145" s="1" t="s">
        <v>51</v>
      </c>
      <c r="E145" s="1" t="s">
        <v>39</v>
      </c>
      <c r="F145" s="1" t="s">
        <v>52</v>
      </c>
      <c r="G145" s="1">
        <v>0</v>
      </c>
      <c r="H145" s="1" t="s">
        <v>53</v>
      </c>
      <c r="I145" s="1" t="s">
        <v>1750</v>
      </c>
      <c r="J145" s="1" t="s">
        <v>1751</v>
      </c>
      <c r="K145" s="1" t="s">
        <v>1752</v>
      </c>
      <c r="L145" s="1">
        <v>1</v>
      </c>
      <c r="M145" s="1">
        <v>0</v>
      </c>
      <c r="N145" s="1" t="s">
        <v>1753</v>
      </c>
      <c r="O145" s="1" t="s">
        <v>1754</v>
      </c>
      <c r="P145" s="1" t="s">
        <v>1755</v>
      </c>
      <c r="Q145" s="1">
        <v>0</v>
      </c>
      <c r="R145" s="1" t="s">
        <v>1756</v>
      </c>
      <c r="S145" s="1" t="s">
        <v>1757</v>
      </c>
      <c r="U145" s="2">
        <v>56770</v>
      </c>
      <c r="V145" s="1">
        <v>4.5999999999999996</v>
      </c>
      <c r="W145" s="1">
        <v>4500</v>
      </c>
      <c r="X145" s="1">
        <v>3208</v>
      </c>
      <c r="Y145" s="1">
        <v>508</v>
      </c>
      <c r="Z145" s="1">
        <v>672</v>
      </c>
      <c r="AA145" s="1">
        <v>2028</v>
      </c>
      <c r="AB145" s="1">
        <v>0</v>
      </c>
      <c r="AC145" s="1">
        <v>4</v>
      </c>
      <c r="AD145" s="1" t="s">
        <v>215</v>
      </c>
      <c r="AE145" s="1" t="s">
        <v>1758</v>
      </c>
      <c r="AF145" s="1" t="s">
        <v>1759</v>
      </c>
      <c r="AG145" s="1" t="s">
        <v>1760</v>
      </c>
      <c r="AH145" s="1" t="s">
        <v>1761</v>
      </c>
      <c r="AI145" s="1">
        <v>4.17</v>
      </c>
      <c r="AJ145" s="1">
        <v>457</v>
      </c>
      <c r="AK145" s="1">
        <v>1599</v>
      </c>
    </row>
    <row r="146" spans="1:38" ht="15.75" customHeight="1">
      <c r="A146" s="1">
        <v>381</v>
      </c>
      <c r="B146" s="1">
        <v>5</v>
      </c>
      <c r="C146" s="1">
        <v>4001</v>
      </c>
      <c r="D146" s="1" t="s">
        <v>51</v>
      </c>
      <c r="E146" s="1" t="s">
        <v>39</v>
      </c>
      <c r="F146" s="1" t="s">
        <v>341</v>
      </c>
      <c r="G146" s="1">
        <v>0</v>
      </c>
      <c r="H146" s="1" t="s">
        <v>41</v>
      </c>
      <c r="I146" s="1" t="s">
        <v>1762</v>
      </c>
      <c r="J146" s="1" t="s">
        <v>1763</v>
      </c>
      <c r="K146" s="1" t="s">
        <v>1764</v>
      </c>
      <c r="L146" s="1">
        <v>1</v>
      </c>
      <c r="M146" s="1">
        <v>0</v>
      </c>
      <c r="N146" s="1" t="s">
        <v>1765</v>
      </c>
      <c r="O146" s="1" t="s">
        <v>1766</v>
      </c>
      <c r="P146" s="1" t="s">
        <v>1767</v>
      </c>
      <c r="Q146" s="1">
        <v>0</v>
      </c>
      <c r="R146" s="1" t="s">
        <v>1768</v>
      </c>
      <c r="S146" s="1" t="s">
        <v>1769</v>
      </c>
      <c r="U146" s="2">
        <v>56768</v>
      </c>
      <c r="V146" s="1">
        <v>4.5</v>
      </c>
      <c r="W146" s="1">
        <v>4500</v>
      </c>
      <c r="X146" s="1">
        <v>2472</v>
      </c>
      <c r="Y146" s="1">
        <v>1293</v>
      </c>
      <c r="Z146" s="1">
        <v>168</v>
      </c>
      <c r="AA146" s="1">
        <v>1011</v>
      </c>
      <c r="AB146" s="1">
        <v>0</v>
      </c>
      <c r="AC146" s="1">
        <v>5</v>
      </c>
      <c r="AD146" s="1" t="s">
        <v>76</v>
      </c>
      <c r="AE146" s="1" t="s">
        <v>1770</v>
      </c>
      <c r="AF146" s="1" t="s">
        <v>1771</v>
      </c>
      <c r="AG146" s="1" t="s">
        <v>1772</v>
      </c>
      <c r="AH146" s="1" t="s">
        <v>1773</v>
      </c>
      <c r="AI146" s="1">
        <v>4.54</v>
      </c>
      <c r="AJ146" s="1">
        <v>2229</v>
      </c>
      <c r="AK146" s="1">
        <v>6580</v>
      </c>
    </row>
    <row r="147" spans="1:38" ht="15.75" customHeight="1">
      <c r="A147" s="1">
        <v>35</v>
      </c>
      <c r="B147" s="1">
        <v>5</v>
      </c>
      <c r="C147" s="1">
        <v>4050</v>
      </c>
      <c r="D147" s="1" t="s">
        <v>38</v>
      </c>
      <c r="E147" s="1" t="s">
        <v>39</v>
      </c>
      <c r="F147" s="1" t="s">
        <v>1153</v>
      </c>
      <c r="G147" s="1">
        <v>0</v>
      </c>
      <c r="H147" s="1" t="s">
        <v>41</v>
      </c>
      <c r="I147" s="1" t="s">
        <v>1774</v>
      </c>
      <c r="J147" s="1" t="s">
        <v>1775</v>
      </c>
      <c r="K147" s="1" t="s">
        <v>1776</v>
      </c>
      <c r="L147" s="1">
        <v>1</v>
      </c>
      <c r="M147" s="1">
        <v>0</v>
      </c>
      <c r="N147" s="1" t="s">
        <v>1777</v>
      </c>
      <c r="O147" s="1" t="s">
        <v>1778</v>
      </c>
      <c r="P147" s="1" t="s">
        <v>1779</v>
      </c>
      <c r="Q147" s="1">
        <v>0</v>
      </c>
      <c r="R147" s="1" t="s">
        <v>1780</v>
      </c>
      <c r="S147" s="1" t="s">
        <v>1781</v>
      </c>
      <c r="U147" s="2">
        <v>56766</v>
      </c>
      <c r="V147" s="1">
        <v>4.5999999999999996</v>
      </c>
      <c r="W147" s="1">
        <v>4500</v>
      </c>
      <c r="X147" s="1">
        <v>3592</v>
      </c>
      <c r="Y147" s="1">
        <v>933</v>
      </c>
      <c r="Z147" s="1">
        <v>1361</v>
      </c>
      <c r="AA147" s="1">
        <v>1298</v>
      </c>
      <c r="AB147" s="1">
        <v>0</v>
      </c>
      <c r="AC147" s="1">
        <v>3</v>
      </c>
      <c r="AD147" s="1" t="s">
        <v>215</v>
      </c>
      <c r="AE147" s="1" t="s">
        <v>1782</v>
      </c>
      <c r="AF147" s="1" t="s">
        <v>1783</v>
      </c>
      <c r="AG147" s="1" t="s">
        <v>1784</v>
      </c>
      <c r="AH147" s="1" t="s">
        <v>1785</v>
      </c>
      <c r="AI147" s="1">
        <v>4.58</v>
      </c>
      <c r="AJ147" s="1">
        <v>679</v>
      </c>
      <c r="AK147" s="1">
        <v>2371</v>
      </c>
      <c r="AL147" s="1">
        <v>1830</v>
      </c>
    </row>
    <row r="148" spans="1:38" ht="15.75" customHeight="1">
      <c r="A148" s="1">
        <v>180</v>
      </c>
      <c r="B148" s="1">
        <v>3</v>
      </c>
      <c r="C148" s="1">
        <v>4050</v>
      </c>
      <c r="D148" s="1" t="s">
        <v>38</v>
      </c>
      <c r="E148" s="1" t="s">
        <v>39</v>
      </c>
      <c r="F148" s="1" t="s">
        <v>40</v>
      </c>
      <c r="G148" s="1">
        <v>0</v>
      </c>
      <c r="H148" s="1" t="s">
        <v>41</v>
      </c>
      <c r="I148" s="1" t="s">
        <v>1786</v>
      </c>
      <c r="J148" s="1" t="s">
        <v>1787</v>
      </c>
      <c r="K148" s="1" t="s">
        <v>1788</v>
      </c>
      <c r="L148" s="1">
        <v>1</v>
      </c>
      <c r="M148" s="1">
        <v>0</v>
      </c>
      <c r="N148" s="1" t="s">
        <v>1789</v>
      </c>
      <c r="O148" s="1" t="s">
        <v>1790</v>
      </c>
      <c r="P148" s="1" t="s">
        <v>1791</v>
      </c>
      <c r="Q148" s="1">
        <v>0</v>
      </c>
      <c r="R148" s="1" t="s">
        <v>1792</v>
      </c>
      <c r="U148" s="2">
        <v>56767</v>
      </c>
      <c r="V148" s="1">
        <v>4.4000000000000004</v>
      </c>
      <c r="W148" s="1">
        <v>4500</v>
      </c>
      <c r="X148" s="1">
        <v>1639</v>
      </c>
      <c r="AA148" s="1">
        <v>458</v>
      </c>
      <c r="AB148" s="1">
        <v>0</v>
      </c>
      <c r="AC148" s="1">
        <v>6</v>
      </c>
      <c r="AE148" s="1" t="s">
        <v>1793</v>
      </c>
      <c r="AF148" s="1" t="s">
        <v>1794</v>
      </c>
      <c r="AG148" s="1" t="s">
        <v>1795</v>
      </c>
      <c r="AI148" s="1">
        <v>4.7</v>
      </c>
      <c r="AJ148" s="1">
        <v>1261</v>
      </c>
      <c r="AK148" s="1">
        <v>3264</v>
      </c>
      <c r="AL148" s="1">
        <v>232</v>
      </c>
    </row>
    <row r="149" spans="1:38" ht="15.75" customHeight="1">
      <c r="A149" s="1">
        <v>641</v>
      </c>
      <c r="C149" s="1">
        <v>4001</v>
      </c>
      <c r="D149" s="1" t="s">
        <v>51</v>
      </c>
      <c r="E149" s="1" t="s">
        <v>39</v>
      </c>
      <c r="F149" s="1" t="s">
        <v>1104</v>
      </c>
      <c r="G149" s="1">
        <v>0</v>
      </c>
      <c r="H149" s="1" t="s">
        <v>41</v>
      </c>
      <c r="I149" s="1" t="s">
        <v>1796</v>
      </c>
      <c r="J149" s="1" t="s">
        <v>1797</v>
      </c>
      <c r="K149" s="1" t="s">
        <v>1798</v>
      </c>
      <c r="L149" s="1">
        <v>1</v>
      </c>
      <c r="M149" s="1">
        <v>0</v>
      </c>
      <c r="N149" s="1" t="s">
        <v>1799</v>
      </c>
      <c r="O149" s="1" t="s">
        <v>1800</v>
      </c>
      <c r="P149" s="1" t="s">
        <v>1801</v>
      </c>
      <c r="Q149" s="1">
        <v>0</v>
      </c>
      <c r="R149" s="1" t="s">
        <v>1802</v>
      </c>
      <c r="S149" s="1" t="s">
        <v>1803</v>
      </c>
      <c r="U149" s="2">
        <v>56770</v>
      </c>
      <c r="V149" s="1">
        <v>4.4000000000000004</v>
      </c>
      <c r="W149" s="1">
        <v>4500</v>
      </c>
      <c r="X149" s="1">
        <v>4195</v>
      </c>
      <c r="Y149" s="1">
        <v>1382</v>
      </c>
      <c r="Z149" s="1">
        <v>1069</v>
      </c>
      <c r="AA149" s="1">
        <v>1744</v>
      </c>
      <c r="AB149" s="1">
        <v>1</v>
      </c>
      <c r="AC149" s="1">
        <v>4</v>
      </c>
      <c r="AE149" s="1" t="s">
        <v>1804</v>
      </c>
      <c r="AF149" s="1" t="s">
        <v>1805</v>
      </c>
      <c r="AG149" s="1" t="s">
        <v>1806</v>
      </c>
      <c r="AH149" s="1" t="s">
        <v>1807</v>
      </c>
      <c r="AI149" s="1">
        <v>4.46</v>
      </c>
      <c r="AJ149" s="1">
        <v>148</v>
      </c>
      <c r="AK149" s="1">
        <v>435</v>
      </c>
    </row>
    <row r="150" spans="1:38" ht="15.75" customHeight="1">
      <c r="A150" s="1">
        <v>377</v>
      </c>
      <c r="B150" s="1">
        <v>5</v>
      </c>
      <c r="C150" s="1">
        <v>4050</v>
      </c>
      <c r="D150" s="1" t="s">
        <v>38</v>
      </c>
      <c r="E150" s="1" t="s">
        <v>39</v>
      </c>
      <c r="F150" s="1" t="s">
        <v>365</v>
      </c>
      <c r="G150" s="1">
        <v>0</v>
      </c>
      <c r="H150" s="1" t="s">
        <v>41</v>
      </c>
      <c r="I150" s="1" t="s">
        <v>1808</v>
      </c>
      <c r="J150" s="1" t="s">
        <v>1809</v>
      </c>
      <c r="K150" s="1" t="s">
        <v>1810</v>
      </c>
      <c r="L150" s="1">
        <v>1</v>
      </c>
      <c r="M150" s="1">
        <v>0</v>
      </c>
      <c r="N150" s="1" t="s">
        <v>1811</v>
      </c>
      <c r="O150" s="1" t="s">
        <v>1812</v>
      </c>
      <c r="P150" s="1" t="s">
        <v>1813</v>
      </c>
      <c r="Q150" s="1">
        <v>0</v>
      </c>
      <c r="R150" s="1" t="s">
        <v>1814</v>
      </c>
      <c r="S150" s="1" t="s">
        <v>1815</v>
      </c>
      <c r="U150" s="2">
        <v>56768</v>
      </c>
      <c r="V150" s="1">
        <v>4.5</v>
      </c>
      <c r="W150" s="1">
        <v>4500</v>
      </c>
      <c r="X150" s="1">
        <v>1946</v>
      </c>
      <c r="Y150" s="1">
        <v>464</v>
      </c>
      <c r="Z150" s="1">
        <v>1120</v>
      </c>
      <c r="AA150" s="1">
        <v>362</v>
      </c>
      <c r="AB150" s="1">
        <v>0</v>
      </c>
      <c r="AC150" s="1">
        <v>4</v>
      </c>
      <c r="AD150" s="1" t="s">
        <v>62</v>
      </c>
      <c r="AE150" s="1" t="s">
        <v>1816</v>
      </c>
      <c r="AF150" s="1" t="s">
        <v>1817</v>
      </c>
      <c r="AG150" s="1" t="s">
        <v>1818</v>
      </c>
      <c r="AH150" s="1" t="s">
        <v>1819</v>
      </c>
      <c r="AI150" s="1">
        <v>4.7699999999999996</v>
      </c>
      <c r="AJ150" s="1">
        <v>426</v>
      </c>
      <c r="AK150" s="1">
        <v>1226</v>
      </c>
      <c r="AL150" s="1">
        <v>85</v>
      </c>
    </row>
    <row r="151" spans="1:38" ht="15.75" customHeight="1">
      <c r="A151" s="1">
        <v>660</v>
      </c>
      <c r="B151" s="1">
        <v>5</v>
      </c>
      <c r="C151" s="1">
        <v>4001</v>
      </c>
      <c r="D151" s="1" t="s">
        <v>51</v>
      </c>
      <c r="E151" s="1" t="s">
        <v>39</v>
      </c>
      <c r="F151" s="1" t="s">
        <v>1820</v>
      </c>
      <c r="G151" s="1">
        <v>0</v>
      </c>
      <c r="H151" s="1" t="s">
        <v>41</v>
      </c>
      <c r="I151" s="1" t="s">
        <v>1821</v>
      </c>
      <c r="J151" s="1" t="s">
        <v>1822</v>
      </c>
      <c r="K151" s="1" t="s">
        <v>1823</v>
      </c>
      <c r="L151" s="1">
        <v>1</v>
      </c>
      <c r="M151" s="1">
        <v>0</v>
      </c>
      <c r="N151" s="1" t="s">
        <v>1824</v>
      </c>
      <c r="O151" s="1" t="s">
        <v>1825</v>
      </c>
      <c r="P151" s="1" t="s">
        <v>1826</v>
      </c>
      <c r="Q151" s="1">
        <v>1</v>
      </c>
      <c r="R151" s="1" t="s">
        <v>1827</v>
      </c>
      <c r="U151" s="2">
        <v>56770</v>
      </c>
      <c r="V151" s="1">
        <v>4.2</v>
      </c>
      <c r="W151" s="1">
        <v>4500</v>
      </c>
      <c r="X151" s="1">
        <v>3007</v>
      </c>
      <c r="AA151" s="1">
        <v>2090</v>
      </c>
      <c r="AB151" s="1">
        <v>0</v>
      </c>
      <c r="AC151" s="1">
        <v>9</v>
      </c>
      <c r="AE151" s="1" t="s">
        <v>1828</v>
      </c>
      <c r="AF151" s="1" t="s">
        <v>1829</v>
      </c>
      <c r="AG151" s="1" t="s">
        <v>1830</v>
      </c>
      <c r="AI151" s="1">
        <v>4.53</v>
      </c>
      <c r="AJ151" s="1">
        <v>148</v>
      </c>
      <c r="AK151" s="1">
        <v>435</v>
      </c>
    </row>
    <row r="152" spans="1:38" ht="15.75" customHeight="1">
      <c r="A152" s="1">
        <v>798</v>
      </c>
      <c r="B152" s="1">
        <v>5</v>
      </c>
      <c r="C152" s="1">
        <v>4001</v>
      </c>
      <c r="D152" s="1" t="s">
        <v>51</v>
      </c>
      <c r="E152" s="1" t="s">
        <v>39</v>
      </c>
      <c r="F152" s="1" t="s">
        <v>341</v>
      </c>
      <c r="G152" s="1">
        <v>0</v>
      </c>
      <c r="H152" s="1" t="s">
        <v>41</v>
      </c>
      <c r="I152" s="1" t="s">
        <v>1831</v>
      </c>
      <c r="J152" s="1" t="s">
        <v>1832</v>
      </c>
      <c r="K152" s="1" t="s">
        <v>1833</v>
      </c>
      <c r="L152" s="1">
        <v>1</v>
      </c>
      <c r="M152" s="1">
        <v>0</v>
      </c>
      <c r="N152" s="1" t="s">
        <v>1834</v>
      </c>
      <c r="O152" s="1" t="s">
        <v>1835</v>
      </c>
      <c r="P152" s="1" t="s">
        <v>1836</v>
      </c>
      <c r="Q152" s="1">
        <v>0</v>
      </c>
      <c r="R152" s="1" t="s">
        <v>1837</v>
      </c>
      <c r="S152" s="1" t="s">
        <v>1838</v>
      </c>
      <c r="U152" s="2">
        <v>56771</v>
      </c>
      <c r="V152" s="1">
        <v>4.5</v>
      </c>
      <c r="W152" s="1">
        <v>4500</v>
      </c>
      <c r="X152" s="1">
        <v>2393</v>
      </c>
      <c r="Y152" s="1">
        <v>427</v>
      </c>
      <c r="Z152" s="1">
        <v>1381</v>
      </c>
      <c r="AA152" s="1">
        <v>585</v>
      </c>
      <c r="AB152" s="1">
        <v>0</v>
      </c>
      <c r="AC152" s="1">
        <v>4</v>
      </c>
      <c r="AD152" s="1" t="s">
        <v>215</v>
      </c>
      <c r="AE152" s="1" t="s">
        <v>1839</v>
      </c>
      <c r="AF152" s="1" t="s">
        <v>1840</v>
      </c>
      <c r="AG152" s="1" t="s">
        <v>1841</v>
      </c>
      <c r="AH152" s="1" t="s">
        <v>1842</v>
      </c>
      <c r="AI152" s="1">
        <v>4.54</v>
      </c>
      <c r="AJ152" s="1">
        <v>2229</v>
      </c>
      <c r="AK152" s="1">
        <v>6580</v>
      </c>
    </row>
    <row r="153" spans="1:38" ht="15.75" customHeight="1">
      <c r="A153" s="1">
        <v>82</v>
      </c>
      <c r="C153" s="1">
        <v>4050</v>
      </c>
      <c r="D153" s="1" t="s">
        <v>38</v>
      </c>
      <c r="E153" s="1" t="s">
        <v>39</v>
      </c>
      <c r="F153" s="1" t="s">
        <v>40</v>
      </c>
      <c r="G153" s="1">
        <v>0</v>
      </c>
      <c r="H153" s="1" t="s">
        <v>41</v>
      </c>
      <c r="I153" s="1" t="s">
        <v>1843</v>
      </c>
      <c r="J153" s="1" t="s">
        <v>1844</v>
      </c>
      <c r="K153" s="1" t="s">
        <v>1845</v>
      </c>
      <c r="L153" s="1">
        <v>1</v>
      </c>
      <c r="M153" s="1">
        <v>0</v>
      </c>
      <c r="N153" s="1" t="s">
        <v>1846</v>
      </c>
      <c r="O153" s="1" t="s">
        <v>1847</v>
      </c>
      <c r="P153" s="1" t="s">
        <v>1848</v>
      </c>
      <c r="Q153" s="1">
        <v>0</v>
      </c>
      <c r="R153" s="1" t="s">
        <v>1849</v>
      </c>
      <c r="S153" s="1" t="s">
        <v>1850</v>
      </c>
      <c r="U153" s="2">
        <v>56766</v>
      </c>
      <c r="V153" s="1">
        <v>4.8</v>
      </c>
      <c r="W153" s="1">
        <v>4500</v>
      </c>
      <c r="X153" s="1">
        <v>1818</v>
      </c>
      <c r="Y153" s="1">
        <v>878</v>
      </c>
      <c r="Z153" s="1">
        <v>340</v>
      </c>
      <c r="AA153" s="1">
        <v>600</v>
      </c>
      <c r="AB153" s="1">
        <v>0</v>
      </c>
      <c r="AC153" s="1">
        <v>6</v>
      </c>
      <c r="AD153" s="1" t="s">
        <v>215</v>
      </c>
      <c r="AE153" s="1" t="s">
        <v>1851</v>
      </c>
      <c r="AF153" s="1" t="s">
        <v>1852</v>
      </c>
      <c r="AG153" s="1" t="s">
        <v>1853</v>
      </c>
      <c r="AH153" s="1" t="s">
        <v>1854</v>
      </c>
      <c r="AI153" s="1">
        <v>4.7</v>
      </c>
      <c r="AJ153" s="1">
        <v>1261</v>
      </c>
      <c r="AK153" s="1">
        <v>3264</v>
      </c>
      <c r="AL153" s="1">
        <v>232</v>
      </c>
    </row>
    <row r="154" spans="1:38" ht="15.75" customHeight="1">
      <c r="A154" s="1">
        <v>590</v>
      </c>
      <c r="C154" s="1">
        <v>4001</v>
      </c>
      <c r="D154" s="1" t="s">
        <v>51</v>
      </c>
      <c r="E154" s="1" t="s">
        <v>39</v>
      </c>
      <c r="F154" s="1" t="s">
        <v>92</v>
      </c>
      <c r="G154" s="1">
        <v>0</v>
      </c>
      <c r="H154" s="1" t="s">
        <v>41</v>
      </c>
      <c r="I154" s="1" t="s">
        <v>1855</v>
      </c>
      <c r="J154" s="1" t="s">
        <v>1856</v>
      </c>
      <c r="K154" s="1" t="s">
        <v>1857</v>
      </c>
      <c r="L154" s="1">
        <v>1</v>
      </c>
      <c r="M154" s="1">
        <v>0</v>
      </c>
      <c r="N154" s="1" t="s">
        <v>1858</v>
      </c>
      <c r="O154" s="1" t="s">
        <v>1859</v>
      </c>
      <c r="P154" s="1" t="s">
        <v>1860</v>
      </c>
      <c r="Q154" s="1">
        <v>0</v>
      </c>
      <c r="R154" s="1" t="s">
        <v>1861</v>
      </c>
      <c r="S154" s="1" t="s">
        <v>1862</v>
      </c>
      <c r="U154" s="2">
        <v>56770</v>
      </c>
      <c r="V154" s="1">
        <v>2.9559386669999999</v>
      </c>
      <c r="W154" s="1">
        <v>4500</v>
      </c>
      <c r="X154" s="1">
        <v>1951</v>
      </c>
      <c r="Y154" s="1">
        <v>161</v>
      </c>
      <c r="Z154" s="1">
        <v>249</v>
      </c>
      <c r="AA154" s="1">
        <v>1541</v>
      </c>
      <c r="AB154" s="1">
        <v>0</v>
      </c>
      <c r="AC154" s="1">
        <v>4</v>
      </c>
      <c r="AD154" s="1" t="s">
        <v>62</v>
      </c>
      <c r="AE154" s="1" t="s">
        <v>1863</v>
      </c>
      <c r="AF154" s="1" t="s">
        <v>1864</v>
      </c>
      <c r="AG154" s="1" t="s">
        <v>1865</v>
      </c>
      <c r="AH154" s="1" t="s">
        <v>1866</v>
      </c>
      <c r="AI154" s="1">
        <v>4.03</v>
      </c>
      <c r="AJ154" s="1">
        <v>505</v>
      </c>
      <c r="AK154" s="1">
        <v>1721</v>
      </c>
      <c r="AL154" s="1">
        <v>457</v>
      </c>
    </row>
    <row r="155" spans="1:38" ht="15.75" customHeight="1">
      <c r="A155" s="1">
        <v>461</v>
      </c>
      <c r="C155" s="1">
        <v>4050</v>
      </c>
      <c r="D155" s="1" t="s">
        <v>38</v>
      </c>
      <c r="E155" s="1" t="s">
        <v>39</v>
      </c>
      <c r="F155" s="1" t="s">
        <v>1348</v>
      </c>
      <c r="G155" s="1">
        <v>0</v>
      </c>
      <c r="H155" s="1" t="s">
        <v>41</v>
      </c>
      <c r="I155" s="1" t="s">
        <v>1867</v>
      </c>
      <c r="J155" s="1" t="s">
        <v>1868</v>
      </c>
      <c r="K155" s="1" t="s">
        <v>1869</v>
      </c>
      <c r="L155" s="1">
        <v>1</v>
      </c>
      <c r="M155" s="1">
        <v>0</v>
      </c>
      <c r="N155" s="1" t="s">
        <v>1870</v>
      </c>
      <c r="O155" s="1" t="s">
        <v>1871</v>
      </c>
      <c r="P155" s="1" t="s">
        <v>1872</v>
      </c>
      <c r="Q155" s="1">
        <v>0</v>
      </c>
      <c r="R155" s="1" t="s">
        <v>1873</v>
      </c>
      <c r="S155" s="1" t="s">
        <v>1874</v>
      </c>
      <c r="U155" s="2">
        <v>56769</v>
      </c>
      <c r="V155" s="1">
        <v>4.7</v>
      </c>
      <c r="W155" s="1">
        <v>4500</v>
      </c>
      <c r="X155" s="1">
        <v>1728</v>
      </c>
      <c r="Y155" s="1">
        <v>430</v>
      </c>
      <c r="Z155" s="1">
        <v>1288</v>
      </c>
      <c r="AA155" s="1">
        <v>10</v>
      </c>
      <c r="AB155" s="1">
        <v>0</v>
      </c>
      <c r="AC155" s="1">
        <v>5</v>
      </c>
      <c r="AD155" s="1" t="s">
        <v>62</v>
      </c>
      <c r="AE155" s="1" t="s">
        <v>1875</v>
      </c>
      <c r="AF155" s="1" t="s">
        <v>1876</v>
      </c>
      <c r="AG155" s="1" t="s">
        <v>1877</v>
      </c>
      <c r="AH155" s="1" t="s">
        <v>1878</v>
      </c>
      <c r="AI155" s="1">
        <v>4.79</v>
      </c>
      <c r="AJ155" s="1">
        <v>1007</v>
      </c>
      <c r="AK155" s="1">
        <v>2899</v>
      </c>
      <c r="AL155" s="1">
        <v>1301</v>
      </c>
    </row>
    <row r="156" spans="1:38" ht="15.75" customHeight="1">
      <c r="A156" s="1">
        <v>489</v>
      </c>
      <c r="C156" s="1">
        <v>4050</v>
      </c>
      <c r="D156" s="1" t="s">
        <v>38</v>
      </c>
      <c r="E156" s="1" t="s">
        <v>39</v>
      </c>
      <c r="F156" s="1" t="s">
        <v>695</v>
      </c>
      <c r="G156" s="1">
        <v>0</v>
      </c>
      <c r="H156" s="1" t="s">
        <v>41</v>
      </c>
      <c r="I156" s="1" t="s">
        <v>1879</v>
      </c>
      <c r="J156" s="1" t="s">
        <v>1880</v>
      </c>
      <c r="K156" s="1" t="s">
        <v>1881</v>
      </c>
      <c r="L156" s="1">
        <v>1</v>
      </c>
      <c r="M156" s="1">
        <v>0</v>
      </c>
      <c r="N156" s="1" t="s">
        <v>1882</v>
      </c>
      <c r="O156" s="1" t="s">
        <v>1883</v>
      </c>
      <c r="P156" s="1" t="s">
        <v>1884</v>
      </c>
      <c r="Q156" s="1">
        <v>0</v>
      </c>
      <c r="R156" s="1" t="s">
        <v>1885</v>
      </c>
      <c r="S156" s="1" t="s">
        <v>1886</v>
      </c>
      <c r="U156" s="2">
        <v>56769</v>
      </c>
      <c r="V156" s="1">
        <v>4.8</v>
      </c>
      <c r="W156" s="1">
        <v>4500</v>
      </c>
      <c r="X156" s="1">
        <v>2406</v>
      </c>
      <c r="Y156" s="1">
        <v>1109</v>
      </c>
      <c r="Z156" s="1">
        <v>4</v>
      </c>
      <c r="AA156" s="1">
        <v>1293</v>
      </c>
      <c r="AB156" s="1">
        <v>0</v>
      </c>
      <c r="AC156" s="1">
        <v>6</v>
      </c>
      <c r="AD156" s="1" t="s">
        <v>76</v>
      </c>
      <c r="AE156" s="1" t="s">
        <v>1887</v>
      </c>
      <c r="AF156" s="1" t="s">
        <v>1888</v>
      </c>
      <c r="AG156" s="1" t="s">
        <v>1889</v>
      </c>
      <c r="AH156" s="1" t="s">
        <v>1890</v>
      </c>
      <c r="AI156" s="1">
        <v>4.38</v>
      </c>
      <c r="AJ156" s="1">
        <v>196</v>
      </c>
      <c r="AK156" s="1">
        <v>626</v>
      </c>
    </row>
    <row r="157" spans="1:38" ht="15.75" customHeight="1">
      <c r="A157" s="1">
        <v>109</v>
      </c>
      <c r="C157" s="1">
        <v>4001</v>
      </c>
      <c r="D157" s="1" t="s">
        <v>51</v>
      </c>
      <c r="E157" s="1" t="s">
        <v>39</v>
      </c>
      <c r="F157" s="1" t="s">
        <v>708</v>
      </c>
      <c r="G157" s="1">
        <v>0</v>
      </c>
      <c r="H157" s="1" t="s">
        <v>53</v>
      </c>
      <c r="I157" s="1" t="s">
        <v>1891</v>
      </c>
      <c r="J157" s="1" t="s">
        <v>1892</v>
      </c>
      <c r="K157" s="1" t="s">
        <v>1893</v>
      </c>
      <c r="L157" s="1">
        <v>1</v>
      </c>
      <c r="M157" s="1">
        <v>0</v>
      </c>
      <c r="N157" s="1" t="s">
        <v>1894</v>
      </c>
      <c r="O157" s="1" t="s">
        <v>1895</v>
      </c>
      <c r="P157" s="1" t="s">
        <v>1896</v>
      </c>
      <c r="Q157" s="1">
        <v>0</v>
      </c>
      <c r="R157" s="1" t="s">
        <v>1897</v>
      </c>
      <c r="S157" s="1" t="s">
        <v>1898</v>
      </c>
      <c r="U157" s="2">
        <v>56766</v>
      </c>
      <c r="V157" s="1">
        <v>4.4404262990000003</v>
      </c>
      <c r="W157" s="1">
        <v>4500</v>
      </c>
      <c r="X157" s="1">
        <v>1864</v>
      </c>
      <c r="Y157" s="1">
        <v>654</v>
      </c>
      <c r="Z157" s="1">
        <v>241</v>
      </c>
      <c r="AA157" s="1">
        <v>969</v>
      </c>
      <c r="AB157" s="1">
        <v>0</v>
      </c>
      <c r="AC157" s="1">
        <v>7</v>
      </c>
      <c r="AD157" s="1" t="s">
        <v>76</v>
      </c>
      <c r="AE157" s="1" t="s">
        <v>1899</v>
      </c>
      <c r="AF157" s="1" t="s">
        <v>1900</v>
      </c>
      <c r="AG157" s="1" t="s">
        <v>1901</v>
      </c>
      <c r="AH157" s="1" t="s">
        <v>1902</v>
      </c>
      <c r="AI157" s="1">
        <v>4.5999999999999996</v>
      </c>
      <c r="AJ157" s="1">
        <v>292</v>
      </c>
      <c r="AK157" s="1">
        <v>1027</v>
      </c>
      <c r="AL157" s="1">
        <v>26</v>
      </c>
    </row>
    <row r="158" spans="1:38" ht="15.75" customHeight="1">
      <c r="A158" s="1">
        <v>578</v>
      </c>
      <c r="B158" s="1">
        <v>1</v>
      </c>
      <c r="C158" s="1">
        <v>4001</v>
      </c>
      <c r="D158" s="1" t="s">
        <v>51</v>
      </c>
      <c r="E158" s="1" t="s">
        <v>39</v>
      </c>
      <c r="F158" s="1" t="s">
        <v>92</v>
      </c>
      <c r="G158" s="1">
        <v>0</v>
      </c>
      <c r="H158" s="1" t="s">
        <v>41</v>
      </c>
      <c r="I158" s="1" t="s">
        <v>1903</v>
      </c>
      <c r="J158" s="1" t="s">
        <v>1904</v>
      </c>
      <c r="K158" s="1" t="s">
        <v>1905</v>
      </c>
      <c r="L158" s="1">
        <v>1</v>
      </c>
      <c r="M158" s="1">
        <v>0</v>
      </c>
      <c r="N158" s="1" t="s">
        <v>1906</v>
      </c>
      <c r="O158" s="1" t="s">
        <v>1907</v>
      </c>
      <c r="P158" s="1" t="s">
        <v>1908</v>
      </c>
      <c r="Q158" s="1">
        <v>0</v>
      </c>
      <c r="R158" s="1" t="s">
        <v>1909</v>
      </c>
      <c r="S158" s="1" t="s">
        <v>1910</v>
      </c>
      <c r="U158" s="2">
        <v>56770</v>
      </c>
      <c r="V158" s="1">
        <v>2.945113004</v>
      </c>
      <c r="W158" s="1">
        <v>4500</v>
      </c>
      <c r="X158" s="1">
        <v>1671</v>
      </c>
      <c r="Y158" s="1">
        <v>434</v>
      </c>
      <c r="Z158" s="1">
        <v>975</v>
      </c>
      <c r="AA158" s="1">
        <v>262</v>
      </c>
      <c r="AB158" s="1">
        <v>0</v>
      </c>
      <c r="AC158" s="1">
        <v>5</v>
      </c>
      <c r="AD158" s="1" t="s">
        <v>62</v>
      </c>
      <c r="AE158" s="1" t="s">
        <v>1911</v>
      </c>
      <c r="AF158" s="1" t="s">
        <v>1912</v>
      </c>
      <c r="AG158" s="1" t="s">
        <v>1913</v>
      </c>
      <c r="AH158" s="1" t="s">
        <v>1914</v>
      </c>
      <c r="AI158" s="1">
        <v>4.03</v>
      </c>
      <c r="AJ158" s="1">
        <v>505</v>
      </c>
      <c r="AK158" s="1">
        <v>1721</v>
      </c>
      <c r="AL158" s="1">
        <v>457</v>
      </c>
    </row>
    <row r="159" spans="1:38" ht="15.75" customHeight="1">
      <c r="A159" s="1">
        <v>1597</v>
      </c>
      <c r="B159" s="1">
        <v>5</v>
      </c>
      <c r="C159" s="1">
        <v>4001</v>
      </c>
      <c r="D159" s="1" t="s">
        <v>51</v>
      </c>
      <c r="E159" s="1" t="s">
        <v>39</v>
      </c>
      <c r="F159" s="1" t="s">
        <v>1915</v>
      </c>
      <c r="G159" s="1">
        <v>0</v>
      </c>
      <c r="H159" s="1" t="s">
        <v>53</v>
      </c>
      <c r="I159" s="1" t="s">
        <v>1916</v>
      </c>
      <c r="J159" s="1" t="s">
        <v>1917</v>
      </c>
      <c r="K159" s="1" t="s">
        <v>1918</v>
      </c>
      <c r="L159" s="1">
        <v>1</v>
      </c>
      <c r="M159" s="1">
        <v>0</v>
      </c>
      <c r="N159" s="1" t="s">
        <v>1919</v>
      </c>
      <c r="O159" s="1" t="s">
        <v>1920</v>
      </c>
      <c r="P159" s="1" t="s">
        <v>1921</v>
      </c>
      <c r="Q159" s="1">
        <v>0</v>
      </c>
      <c r="R159" s="1" t="s">
        <v>1922</v>
      </c>
      <c r="S159" s="1" t="s">
        <v>1923</v>
      </c>
      <c r="U159" s="2">
        <v>56778</v>
      </c>
      <c r="V159" s="1">
        <v>4.4000000000000004</v>
      </c>
      <c r="W159" s="1">
        <v>4500</v>
      </c>
      <c r="X159" s="1">
        <v>1717</v>
      </c>
      <c r="Y159" s="1">
        <v>473</v>
      </c>
      <c r="Z159" s="1">
        <v>916</v>
      </c>
      <c r="AA159" s="1">
        <v>328</v>
      </c>
      <c r="AB159" s="1">
        <v>0</v>
      </c>
      <c r="AC159" s="1">
        <v>4</v>
      </c>
      <c r="AD159" s="1" t="s">
        <v>62</v>
      </c>
      <c r="AE159" s="1" t="s">
        <v>1924</v>
      </c>
      <c r="AF159" s="1" t="s">
        <v>1925</v>
      </c>
      <c r="AG159" s="1" t="s">
        <v>1926</v>
      </c>
      <c r="AH159" s="1" t="s">
        <v>1927</v>
      </c>
      <c r="AI159" s="1">
        <v>4.63</v>
      </c>
      <c r="AJ159" s="1">
        <v>242</v>
      </c>
      <c r="AK159" s="1">
        <v>736</v>
      </c>
    </row>
    <row r="160" spans="1:38" ht="15.75" customHeight="1">
      <c r="A160" s="1">
        <v>146</v>
      </c>
      <c r="B160" s="1">
        <v>5</v>
      </c>
      <c r="C160" s="1">
        <v>4050</v>
      </c>
      <c r="D160" s="1" t="s">
        <v>38</v>
      </c>
      <c r="E160" s="1" t="s">
        <v>39</v>
      </c>
      <c r="F160" s="1" t="s">
        <v>280</v>
      </c>
      <c r="G160" s="1">
        <v>0</v>
      </c>
      <c r="H160" s="1" t="s">
        <v>41</v>
      </c>
      <c r="I160" s="1" t="s">
        <v>1928</v>
      </c>
      <c r="J160" s="1" t="s">
        <v>1929</v>
      </c>
      <c r="K160" s="1" t="s">
        <v>1930</v>
      </c>
      <c r="L160" s="1">
        <v>1</v>
      </c>
      <c r="M160" s="1">
        <v>0</v>
      </c>
      <c r="N160" s="1" t="s">
        <v>1931</v>
      </c>
      <c r="O160" s="1" t="s">
        <v>1932</v>
      </c>
      <c r="P160" s="1" t="s">
        <v>1933</v>
      </c>
      <c r="Q160" s="1">
        <v>0</v>
      </c>
      <c r="R160" s="1" t="s">
        <v>1934</v>
      </c>
      <c r="U160" s="2">
        <v>56767</v>
      </c>
      <c r="V160" s="1">
        <v>4.7</v>
      </c>
      <c r="W160" s="1">
        <v>4500</v>
      </c>
      <c r="X160" s="1">
        <v>3327</v>
      </c>
      <c r="AA160" s="1">
        <v>1809</v>
      </c>
      <c r="AB160" s="1">
        <v>0</v>
      </c>
      <c r="AC160" s="1">
        <v>5</v>
      </c>
      <c r="AE160" s="1" t="s">
        <v>1935</v>
      </c>
      <c r="AF160" s="1" t="s">
        <v>1936</v>
      </c>
      <c r="AG160" s="1" t="s">
        <v>1937</v>
      </c>
      <c r="AI160" s="1">
        <v>4.49</v>
      </c>
      <c r="AJ160" s="1">
        <v>2315</v>
      </c>
      <c r="AK160" s="1">
        <v>7039</v>
      </c>
      <c r="AL160" s="1">
        <v>763</v>
      </c>
    </row>
    <row r="161" spans="1:38" ht="15.75" customHeight="1">
      <c r="A161" s="1">
        <v>831</v>
      </c>
      <c r="C161" s="1">
        <v>4050</v>
      </c>
      <c r="D161" s="1" t="s">
        <v>38</v>
      </c>
      <c r="E161" s="1" t="s">
        <v>39</v>
      </c>
      <c r="F161" s="1" t="s">
        <v>280</v>
      </c>
      <c r="G161" s="1">
        <v>0</v>
      </c>
      <c r="H161" s="1" t="s">
        <v>41</v>
      </c>
      <c r="I161" s="1" t="s">
        <v>1938</v>
      </c>
      <c r="J161" s="1" t="s">
        <v>1939</v>
      </c>
      <c r="K161" s="1" t="s">
        <v>1940</v>
      </c>
      <c r="L161" s="1">
        <v>1</v>
      </c>
      <c r="M161" s="1">
        <v>0</v>
      </c>
      <c r="N161" s="1" t="s">
        <v>1941</v>
      </c>
      <c r="O161" s="1" t="s">
        <v>1942</v>
      </c>
      <c r="P161" s="1" t="s">
        <v>1943</v>
      </c>
      <c r="Q161" s="1">
        <v>0</v>
      </c>
      <c r="R161" s="1" t="s">
        <v>1944</v>
      </c>
      <c r="S161" s="1" t="s">
        <v>1945</v>
      </c>
      <c r="U161" s="2">
        <v>56772</v>
      </c>
      <c r="V161" s="1">
        <v>4.8</v>
      </c>
      <c r="W161" s="1">
        <v>4500</v>
      </c>
      <c r="X161" s="1">
        <v>1657</v>
      </c>
      <c r="Y161" s="1">
        <v>615</v>
      </c>
      <c r="Z161" s="1">
        <v>366</v>
      </c>
      <c r="AA161" s="1">
        <v>676</v>
      </c>
      <c r="AB161" s="1">
        <v>0</v>
      </c>
      <c r="AC161" s="1">
        <v>10</v>
      </c>
      <c r="AD161" s="1" t="s">
        <v>215</v>
      </c>
      <c r="AE161" s="1" t="s">
        <v>1946</v>
      </c>
      <c r="AF161" s="1" t="s">
        <v>1947</v>
      </c>
      <c r="AG161" s="1" t="s">
        <v>1948</v>
      </c>
      <c r="AH161" s="1" t="s">
        <v>1949</v>
      </c>
      <c r="AI161" s="1">
        <v>4.49</v>
      </c>
      <c r="AJ161" s="1">
        <v>2315</v>
      </c>
      <c r="AK161" s="1">
        <v>7039</v>
      </c>
      <c r="AL161" s="1">
        <v>763</v>
      </c>
    </row>
    <row r="162" spans="1:38" ht="15.75" customHeight="1">
      <c r="A162" s="1">
        <v>595</v>
      </c>
      <c r="B162" s="1">
        <v>5</v>
      </c>
      <c r="C162" s="1">
        <v>4001</v>
      </c>
      <c r="D162" s="1" t="s">
        <v>51</v>
      </c>
      <c r="E162" s="1" t="s">
        <v>39</v>
      </c>
      <c r="F162" s="1" t="s">
        <v>341</v>
      </c>
      <c r="G162" s="1">
        <v>0</v>
      </c>
      <c r="H162" s="1" t="s">
        <v>41</v>
      </c>
      <c r="I162" s="1" t="s">
        <v>1950</v>
      </c>
      <c r="J162" s="1" t="s">
        <v>1951</v>
      </c>
      <c r="K162" s="1" t="s">
        <v>1952</v>
      </c>
      <c r="L162" s="1">
        <v>1</v>
      </c>
      <c r="M162" s="1">
        <v>0</v>
      </c>
      <c r="N162" s="1" t="s">
        <v>1953</v>
      </c>
      <c r="O162" s="1" t="s">
        <v>1954</v>
      </c>
      <c r="P162" s="1" t="s">
        <v>1955</v>
      </c>
      <c r="Q162" s="1">
        <v>0</v>
      </c>
      <c r="R162" s="1" t="s">
        <v>1956</v>
      </c>
      <c r="S162" s="1" t="s">
        <v>1957</v>
      </c>
      <c r="U162" s="2">
        <v>56770</v>
      </c>
      <c r="V162" s="1">
        <v>4.7</v>
      </c>
      <c r="W162" s="1">
        <v>4500</v>
      </c>
      <c r="X162" s="1">
        <v>2005</v>
      </c>
      <c r="Y162" s="1">
        <v>530</v>
      </c>
      <c r="Z162" s="1">
        <v>953</v>
      </c>
      <c r="AA162" s="1">
        <v>522</v>
      </c>
      <c r="AB162" s="1">
        <v>0</v>
      </c>
      <c r="AC162" s="1">
        <v>4</v>
      </c>
      <c r="AD162" s="1" t="s">
        <v>215</v>
      </c>
      <c r="AE162" s="1" t="s">
        <v>1958</v>
      </c>
      <c r="AF162" s="1" t="s">
        <v>1959</v>
      </c>
      <c r="AG162" s="1" t="s">
        <v>1960</v>
      </c>
      <c r="AH162" s="1" t="s">
        <v>1961</v>
      </c>
      <c r="AI162" s="1">
        <v>4.54</v>
      </c>
      <c r="AJ162" s="1">
        <v>2229</v>
      </c>
      <c r="AK162" s="1">
        <v>6580</v>
      </c>
    </row>
    <row r="163" spans="1:38" ht="15.75" customHeight="1">
      <c r="A163" s="1">
        <v>334</v>
      </c>
      <c r="C163" s="1">
        <v>4050</v>
      </c>
      <c r="D163" s="1" t="s">
        <v>38</v>
      </c>
      <c r="E163" s="1" t="s">
        <v>39</v>
      </c>
      <c r="F163" s="1" t="s">
        <v>40</v>
      </c>
      <c r="G163" s="1">
        <v>0</v>
      </c>
      <c r="H163" s="1" t="s">
        <v>41</v>
      </c>
      <c r="I163" s="1" t="s">
        <v>1962</v>
      </c>
      <c r="J163" s="1" t="s">
        <v>1963</v>
      </c>
      <c r="K163" s="1" t="s">
        <v>1964</v>
      </c>
      <c r="L163" s="1">
        <v>1</v>
      </c>
      <c r="M163" s="1">
        <v>0</v>
      </c>
      <c r="N163" s="1" t="s">
        <v>1965</v>
      </c>
      <c r="O163" s="1" t="s">
        <v>1966</v>
      </c>
      <c r="P163" s="1" t="s">
        <v>1967</v>
      </c>
      <c r="Q163" s="1">
        <v>0</v>
      </c>
      <c r="R163" s="1" t="s">
        <v>1968</v>
      </c>
      <c r="S163" s="1" t="s">
        <v>1969</v>
      </c>
      <c r="U163" s="2">
        <v>56768</v>
      </c>
      <c r="V163" s="1">
        <v>4.2</v>
      </c>
      <c r="W163" s="1">
        <v>4500</v>
      </c>
      <c r="X163" s="1">
        <v>3499</v>
      </c>
      <c r="Y163" s="1">
        <v>1285</v>
      </c>
      <c r="Z163" s="1">
        <v>1225</v>
      </c>
      <c r="AA163" s="1">
        <v>989</v>
      </c>
      <c r="AB163" s="1">
        <v>0</v>
      </c>
      <c r="AC163" s="1">
        <v>2</v>
      </c>
      <c r="AE163" s="1" t="s">
        <v>1970</v>
      </c>
      <c r="AF163" s="1" t="s">
        <v>1971</v>
      </c>
      <c r="AG163" s="1" t="s">
        <v>1972</v>
      </c>
      <c r="AH163" s="1" t="s">
        <v>1973</v>
      </c>
      <c r="AI163" s="1">
        <v>4.7</v>
      </c>
      <c r="AJ163" s="1">
        <v>1261</v>
      </c>
      <c r="AK163" s="1">
        <v>3264</v>
      </c>
      <c r="AL163" s="1">
        <v>232</v>
      </c>
    </row>
    <row r="164" spans="1:38" ht="15.75" customHeight="1">
      <c r="A164" s="1">
        <v>889</v>
      </c>
      <c r="B164" s="1">
        <v>2</v>
      </c>
      <c r="C164" s="1">
        <v>4001</v>
      </c>
      <c r="D164" s="1" t="s">
        <v>51</v>
      </c>
      <c r="E164" s="1" t="s">
        <v>39</v>
      </c>
      <c r="F164" s="1" t="s">
        <v>52</v>
      </c>
      <c r="G164" s="1">
        <v>0</v>
      </c>
      <c r="H164" s="1" t="s">
        <v>53</v>
      </c>
      <c r="I164" s="1" t="s">
        <v>1974</v>
      </c>
      <c r="J164" s="1" t="s">
        <v>1975</v>
      </c>
      <c r="K164" s="1" t="s">
        <v>1975</v>
      </c>
      <c r="L164" s="1">
        <v>0</v>
      </c>
      <c r="M164" s="1">
        <v>0</v>
      </c>
      <c r="N164" s="1" t="s">
        <v>1976</v>
      </c>
      <c r="O164" s="1" t="s">
        <v>1977</v>
      </c>
      <c r="P164" s="1" t="s">
        <v>1978</v>
      </c>
      <c r="Q164" s="1">
        <v>0</v>
      </c>
      <c r="R164" s="1" t="s">
        <v>1979</v>
      </c>
      <c r="S164" s="1" t="s">
        <v>1980</v>
      </c>
      <c r="U164" s="2">
        <v>56772</v>
      </c>
      <c r="V164" s="1">
        <v>3.5759603219999998</v>
      </c>
      <c r="W164" s="1">
        <v>4500</v>
      </c>
      <c r="X164" s="1">
        <v>1567</v>
      </c>
      <c r="Y164" s="1">
        <v>844</v>
      </c>
      <c r="Z164" s="1">
        <v>78</v>
      </c>
      <c r="AA164" s="1">
        <v>645</v>
      </c>
      <c r="AB164" s="1">
        <v>0</v>
      </c>
      <c r="AC164" s="1">
        <v>4</v>
      </c>
      <c r="AD164" s="1" t="s">
        <v>76</v>
      </c>
      <c r="AE164" s="1" t="s">
        <v>1981</v>
      </c>
      <c r="AF164" s="1" t="s">
        <v>1982</v>
      </c>
      <c r="AG164" s="1" t="s">
        <v>1983</v>
      </c>
      <c r="AH164" s="1" t="s">
        <v>1984</v>
      </c>
      <c r="AI164" s="1">
        <v>4.17</v>
      </c>
      <c r="AJ164" s="1">
        <v>457</v>
      </c>
      <c r="AK164" s="1">
        <v>1599</v>
      </c>
    </row>
    <row r="165" spans="1:38" ht="15.75" customHeight="1">
      <c r="A165" s="1">
        <v>935</v>
      </c>
      <c r="C165" s="1">
        <v>4001</v>
      </c>
      <c r="D165" s="1" t="s">
        <v>51</v>
      </c>
      <c r="E165" s="1" t="s">
        <v>39</v>
      </c>
      <c r="F165" s="1" t="s">
        <v>305</v>
      </c>
      <c r="G165" s="1">
        <v>0</v>
      </c>
      <c r="H165" s="1" t="s">
        <v>53</v>
      </c>
      <c r="I165" s="1" t="s">
        <v>1985</v>
      </c>
      <c r="J165" s="1" t="s">
        <v>1986</v>
      </c>
      <c r="K165" s="1" t="s">
        <v>1987</v>
      </c>
      <c r="L165" s="1">
        <v>1</v>
      </c>
      <c r="M165" s="1">
        <v>0</v>
      </c>
      <c r="N165" s="1" t="s">
        <v>1988</v>
      </c>
      <c r="O165" s="1" t="s">
        <v>1989</v>
      </c>
      <c r="P165" s="1" t="s">
        <v>1990</v>
      </c>
      <c r="Q165" s="1">
        <v>0</v>
      </c>
      <c r="R165" s="1" t="s">
        <v>1991</v>
      </c>
      <c r="S165" s="1" t="s">
        <v>1992</v>
      </c>
      <c r="U165" s="2">
        <v>56773</v>
      </c>
      <c r="V165" s="1">
        <v>3.4974061320000001</v>
      </c>
      <c r="W165" s="1">
        <v>4500</v>
      </c>
      <c r="X165" s="1">
        <v>1772</v>
      </c>
      <c r="Y165" s="1">
        <v>422</v>
      </c>
      <c r="Z165" s="1">
        <v>989</v>
      </c>
      <c r="AA165" s="1">
        <v>361</v>
      </c>
      <c r="AB165" s="1">
        <v>1</v>
      </c>
      <c r="AC165" s="1">
        <v>3</v>
      </c>
      <c r="AE165" s="1" t="s">
        <v>1993</v>
      </c>
      <c r="AF165" s="1" t="s">
        <v>1994</v>
      </c>
      <c r="AG165" s="1" t="s">
        <v>1995</v>
      </c>
      <c r="AH165" s="1" t="s">
        <v>1996</v>
      </c>
      <c r="AI165" s="1">
        <v>4.5199999999999996</v>
      </c>
      <c r="AJ165" s="1">
        <v>183</v>
      </c>
      <c r="AK165" s="1">
        <v>522</v>
      </c>
    </row>
    <row r="166" spans="1:38" ht="15.75" customHeight="1">
      <c r="A166" s="1">
        <v>820</v>
      </c>
      <c r="C166" s="1">
        <v>4050</v>
      </c>
      <c r="D166" s="1" t="s">
        <v>38</v>
      </c>
      <c r="E166" s="1" t="s">
        <v>39</v>
      </c>
      <c r="F166" s="1" t="s">
        <v>1348</v>
      </c>
      <c r="G166" s="1">
        <v>0</v>
      </c>
      <c r="H166" s="1" t="s">
        <v>41</v>
      </c>
      <c r="I166" s="1" t="s">
        <v>1997</v>
      </c>
      <c r="J166" s="1" t="s">
        <v>1998</v>
      </c>
      <c r="K166" s="1" t="s">
        <v>1999</v>
      </c>
      <c r="L166" s="1">
        <v>1</v>
      </c>
      <c r="M166" s="1">
        <v>0</v>
      </c>
      <c r="N166" s="1" t="s">
        <v>2000</v>
      </c>
      <c r="O166" s="1" t="s">
        <v>2001</v>
      </c>
      <c r="P166" s="1" t="s">
        <v>2002</v>
      </c>
      <c r="Q166" s="1">
        <v>0</v>
      </c>
      <c r="R166" s="1" t="s">
        <v>2003</v>
      </c>
      <c r="S166" s="1" t="s">
        <v>2004</v>
      </c>
      <c r="U166" s="2">
        <v>56771</v>
      </c>
      <c r="V166" s="1">
        <v>4.4000000000000004</v>
      </c>
      <c r="W166" s="1">
        <v>4500</v>
      </c>
      <c r="X166" s="1">
        <v>2754</v>
      </c>
      <c r="Y166" s="1">
        <v>700</v>
      </c>
      <c r="Z166" s="1">
        <v>1484</v>
      </c>
      <c r="AA166" s="1">
        <v>570</v>
      </c>
      <c r="AB166" s="1">
        <v>0</v>
      </c>
      <c r="AC166" s="1">
        <v>17</v>
      </c>
      <c r="AD166" s="1" t="s">
        <v>62</v>
      </c>
      <c r="AE166" s="1" t="s">
        <v>2005</v>
      </c>
      <c r="AF166" s="1" t="s">
        <v>2006</v>
      </c>
      <c r="AG166" s="1" t="s">
        <v>2007</v>
      </c>
      <c r="AH166" s="1" t="s">
        <v>2008</v>
      </c>
      <c r="AI166" s="1">
        <v>4.79</v>
      </c>
      <c r="AJ166" s="1">
        <v>1007</v>
      </c>
      <c r="AK166" s="1">
        <v>2899</v>
      </c>
      <c r="AL166" s="1">
        <v>1301</v>
      </c>
    </row>
    <row r="167" spans="1:38" ht="15.75" customHeight="1">
      <c r="A167" s="1">
        <v>484</v>
      </c>
      <c r="B167" s="1">
        <v>5</v>
      </c>
      <c r="C167" s="1">
        <v>4050</v>
      </c>
      <c r="D167" s="1" t="s">
        <v>38</v>
      </c>
      <c r="E167" s="1" t="s">
        <v>39</v>
      </c>
      <c r="F167" s="1" t="s">
        <v>365</v>
      </c>
      <c r="G167" s="1">
        <v>0</v>
      </c>
      <c r="H167" s="1" t="s">
        <v>41</v>
      </c>
      <c r="I167" s="1" t="s">
        <v>2009</v>
      </c>
      <c r="J167" s="1" t="s">
        <v>2010</v>
      </c>
      <c r="K167" s="1" t="s">
        <v>2011</v>
      </c>
      <c r="L167" s="1">
        <v>1</v>
      </c>
      <c r="M167" s="1">
        <v>0</v>
      </c>
      <c r="N167" s="1" t="s">
        <v>2012</v>
      </c>
      <c r="O167" s="1" t="s">
        <v>2013</v>
      </c>
      <c r="P167" s="1" t="s">
        <v>2014</v>
      </c>
      <c r="Q167" s="1">
        <v>0</v>
      </c>
      <c r="R167" s="1" t="s">
        <v>2015</v>
      </c>
      <c r="S167" s="1" t="s">
        <v>2016</v>
      </c>
      <c r="U167" s="2">
        <v>56769</v>
      </c>
      <c r="V167" s="1">
        <v>4.7</v>
      </c>
      <c r="W167" s="1">
        <v>4500</v>
      </c>
      <c r="X167" s="1">
        <v>1797</v>
      </c>
      <c r="Y167" s="1">
        <v>844</v>
      </c>
      <c r="Z167" s="1">
        <v>223</v>
      </c>
      <c r="AA167" s="1">
        <v>730</v>
      </c>
      <c r="AB167" s="1">
        <v>0</v>
      </c>
      <c r="AC167" s="1">
        <v>2</v>
      </c>
      <c r="AD167" s="1" t="s">
        <v>76</v>
      </c>
      <c r="AE167" s="1" t="s">
        <v>2017</v>
      </c>
      <c r="AF167" s="1" t="s">
        <v>2018</v>
      </c>
      <c r="AG167" s="1" t="s">
        <v>2019</v>
      </c>
      <c r="AH167" s="1" t="s">
        <v>2020</v>
      </c>
      <c r="AI167" s="1">
        <v>4.7699999999999996</v>
      </c>
      <c r="AJ167" s="1">
        <v>426</v>
      </c>
      <c r="AK167" s="1">
        <v>1226</v>
      </c>
      <c r="AL167" s="1">
        <v>85</v>
      </c>
    </row>
    <row r="168" spans="1:38" ht="15.75" customHeight="1">
      <c r="A168" s="1">
        <v>270</v>
      </c>
      <c r="B168" s="1">
        <v>5</v>
      </c>
      <c r="C168" s="1">
        <v>4001</v>
      </c>
      <c r="D168" s="1" t="s">
        <v>51</v>
      </c>
      <c r="E168" s="1" t="s">
        <v>39</v>
      </c>
      <c r="F168" s="1" t="s">
        <v>2021</v>
      </c>
      <c r="G168" s="1">
        <v>0</v>
      </c>
      <c r="H168" s="1" t="s">
        <v>53</v>
      </c>
      <c r="I168" s="1" t="s">
        <v>2022</v>
      </c>
      <c r="J168" s="1" t="s">
        <v>2023</v>
      </c>
      <c r="K168" s="1" t="s">
        <v>2024</v>
      </c>
      <c r="L168" s="1">
        <v>1</v>
      </c>
      <c r="M168" s="1">
        <v>0</v>
      </c>
      <c r="N168" s="1" t="s">
        <v>2025</v>
      </c>
      <c r="O168" s="1" t="s">
        <v>2026</v>
      </c>
      <c r="P168" s="1" t="s">
        <v>2027</v>
      </c>
      <c r="Q168" s="1">
        <v>0</v>
      </c>
      <c r="R168" s="1" t="s">
        <v>2028</v>
      </c>
      <c r="U168" s="2">
        <v>56768</v>
      </c>
      <c r="V168" s="1">
        <v>4.4000000000000004</v>
      </c>
      <c r="W168" s="1">
        <v>4500</v>
      </c>
      <c r="X168" s="1">
        <v>2039</v>
      </c>
      <c r="AA168" s="1">
        <v>1749</v>
      </c>
      <c r="AB168" s="1">
        <v>0</v>
      </c>
      <c r="AC168" s="1">
        <v>9</v>
      </c>
      <c r="AE168" s="1" t="s">
        <v>2029</v>
      </c>
      <c r="AF168" s="1" t="s">
        <v>2030</v>
      </c>
      <c r="AG168" s="1" t="s">
        <v>2031</v>
      </c>
      <c r="AI168" s="1">
        <v>4.8099999999999996</v>
      </c>
      <c r="AJ168" s="1">
        <v>747</v>
      </c>
      <c r="AK168" s="1">
        <v>2902</v>
      </c>
      <c r="AL168" s="1">
        <v>484</v>
      </c>
    </row>
    <row r="169" spans="1:38" ht="15.75" customHeight="1">
      <c r="A169" s="1">
        <v>202</v>
      </c>
      <c r="C169" s="1">
        <v>4001</v>
      </c>
      <c r="D169" s="1" t="s">
        <v>51</v>
      </c>
      <c r="E169" s="1" t="s">
        <v>39</v>
      </c>
      <c r="F169" s="1" t="s">
        <v>92</v>
      </c>
      <c r="G169" s="1">
        <v>0</v>
      </c>
      <c r="H169" s="1" t="s">
        <v>41</v>
      </c>
      <c r="I169" s="1" t="s">
        <v>2032</v>
      </c>
      <c r="J169" s="1" t="s">
        <v>2033</v>
      </c>
      <c r="K169" s="1" t="s">
        <v>2034</v>
      </c>
      <c r="L169" s="1">
        <v>1</v>
      </c>
      <c r="M169" s="1">
        <v>0</v>
      </c>
      <c r="N169" s="1" t="s">
        <v>2035</v>
      </c>
      <c r="O169" s="1" t="s">
        <v>2036</v>
      </c>
      <c r="P169" s="1" t="s">
        <v>2037</v>
      </c>
      <c r="Q169" s="1">
        <v>0</v>
      </c>
      <c r="R169" s="1" t="s">
        <v>2038</v>
      </c>
      <c r="S169" s="1" t="s">
        <v>2039</v>
      </c>
      <c r="U169" s="2">
        <v>56767</v>
      </c>
      <c r="V169" s="1">
        <v>2.6</v>
      </c>
      <c r="W169" s="1">
        <v>4500</v>
      </c>
      <c r="X169" s="1">
        <v>3012</v>
      </c>
      <c r="Y169" s="1">
        <v>1101</v>
      </c>
      <c r="Z169" s="1">
        <v>986</v>
      </c>
      <c r="AA169" s="1">
        <v>925</v>
      </c>
      <c r="AB169" s="1">
        <v>0</v>
      </c>
      <c r="AC169" s="1">
        <v>3</v>
      </c>
      <c r="AD169" s="1" t="s">
        <v>76</v>
      </c>
      <c r="AE169" s="1" t="s">
        <v>2040</v>
      </c>
      <c r="AF169" s="1" t="s">
        <v>2041</v>
      </c>
      <c r="AG169" s="1" t="s">
        <v>2042</v>
      </c>
      <c r="AH169" s="1" t="s">
        <v>2043</v>
      </c>
      <c r="AI169" s="1">
        <v>4.03</v>
      </c>
      <c r="AJ169" s="1">
        <v>505</v>
      </c>
      <c r="AK169" s="1">
        <v>1721</v>
      </c>
      <c r="AL169" s="1">
        <v>457</v>
      </c>
    </row>
    <row r="170" spans="1:38" ht="15.75" customHeight="1">
      <c r="A170" s="1">
        <v>476</v>
      </c>
      <c r="C170" s="1">
        <v>4001</v>
      </c>
      <c r="D170" s="1" t="s">
        <v>51</v>
      </c>
      <c r="E170" s="1" t="s">
        <v>39</v>
      </c>
      <c r="F170" s="1" t="s">
        <v>2044</v>
      </c>
      <c r="G170" s="1">
        <v>0</v>
      </c>
      <c r="H170" s="1" t="s">
        <v>53</v>
      </c>
      <c r="I170" s="1" t="s">
        <v>2045</v>
      </c>
      <c r="J170" s="1" t="s">
        <v>2046</v>
      </c>
      <c r="K170" s="1" t="s">
        <v>2047</v>
      </c>
      <c r="L170" s="1">
        <v>1</v>
      </c>
      <c r="M170" s="1">
        <v>0</v>
      </c>
      <c r="N170" s="1" t="s">
        <v>2048</v>
      </c>
      <c r="O170" s="1" t="s">
        <v>2049</v>
      </c>
      <c r="P170" s="1" t="s">
        <v>2050</v>
      </c>
      <c r="Q170" s="1">
        <v>0</v>
      </c>
      <c r="R170" s="1" t="s">
        <v>2051</v>
      </c>
      <c r="S170" s="1" t="s">
        <v>2052</v>
      </c>
      <c r="U170" s="2">
        <v>56769</v>
      </c>
      <c r="V170" s="1">
        <v>3.522353683</v>
      </c>
      <c r="W170" s="1">
        <v>4500</v>
      </c>
      <c r="X170" s="1">
        <v>1825</v>
      </c>
      <c r="Y170" s="1">
        <v>720</v>
      </c>
      <c r="Z170" s="1">
        <v>685</v>
      </c>
      <c r="AA170" s="1">
        <v>420</v>
      </c>
      <c r="AB170" s="1">
        <v>0</v>
      </c>
      <c r="AC170" s="1">
        <v>4</v>
      </c>
      <c r="AD170" s="1" t="s">
        <v>76</v>
      </c>
      <c r="AE170" s="1" t="s">
        <v>2053</v>
      </c>
      <c r="AF170" s="1" t="s">
        <v>2054</v>
      </c>
      <c r="AG170" s="1" t="s">
        <v>2055</v>
      </c>
      <c r="AH170" s="1" t="s">
        <v>2056</v>
      </c>
      <c r="AI170" s="1">
        <v>4.63</v>
      </c>
      <c r="AJ170" s="1">
        <v>265</v>
      </c>
      <c r="AK170" s="1">
        <v>905</v>
      </c>
      <c r="AL170" s="1">
        <v>77</v>
      </c>
    </row>
    <row r="171" spans="1:38" ht="15.75" customHeight="1">
      <c r="A171" s="1">
        <v>385</v>
      </c>
      <c r="B171" s="1">
        <v>4</v>
      </c>
      <c r="C171" s="1">
        <v>4050</v>
      </c>
      <c r="D171" s="1" t="s">
        <v>38</v>
      </c>
      <c r="E171" s="1" t="s">
        <v>39</v>
      </c>
      <c r="F171" s="1" t="s">
        <v>220</v>
      </c>
      <c r="G171" s="1">
        <v>0</v>
      </c>
      <c r="H171" s="1" t="s">
        <v>41</v>
      </c>
      <c r="I171" s="1" t="s">
        <v>2057</v>
      </c>
      <c r="J171" s="1" t="s">
        <v>2058</v>
      </c>
      <c r="K171" s="1" t="s">
        <v>2059</v>
      </c>
      <c r="L171" s="1">
        <v>1</v>
      </c>
      <c r="M171" s="1">
        <v>0</v>
      </c>
      <c r="N171" s="1" t="s">
        <v>2060</v>
      </c>
      <c r="O171" s="1" t="s">
        <v>2061</v>
      </c>
      <c r="P171" s="1" t="s">
        <v>2062</v>
      </c>
      <c r="Q171" s="1">
        <v>0</v>
      </c>
      <c r="R171" s="1" t="s">
        <v>2063</v>
      </c>
      <c r="S171" s="1" t="s">
        <v>2064</v>
      </c>
      <c r="U171" s="2">
        <v>56768</v>
      </c>
      <c r="V171" s="1">
        <v>4.5</v>
      </c>
      <c r="W171" s="1">
        <v>4500</v>
      </c>
      <c r="X171" s="1">
        <v>3010</v>
      </c>
      <c r="Y171" s="1">
        <v>497</v>
      </c>
      <c r="Z171" s="1">
        <v>1923</v>
      </c>
      <c r="AA171" s="1">
        <v>590</v>
      </c>
      <c r="AB171" s="1">
        <v>0</v>
      </c>
      <c r="AC171" s="1">
        <v>6</v>
      </c>
      <c r="AE171" s="1" t="s">
        <v>2065</v>
      </c>
      <c r="AF171" s="1" t="s">
        <v>2066</v>
      </c>
      <c r="AG171" s="1" t="s">
        <v>2067</v>
      </c>
      <c r="AH171" s="1" t="s">
        <v>2068</v>
      </c>
      <c r="AI171" s="1">
        <v>4.42</v>
      </c>
      <c r="AJ171" s="1">
        <v>1396</v>
      </c>
      <c r="AK171" s="1">
        <v>4836</v>
      </c>
      <c r="AL171" s="1">
        <v>1278</v>
      </c>
    </row>
    <row r="172" spans="1:38" ht="15.75" customHeight="1">
      <c r="A172" s="1">
        <v>1526</v>
      </c>
      <c r="C172" s="1">
        <v>4001</v>
      </c>
      <c r="D172" s="1" t="s">
        <v>51</v>
      </c>
      <c r="E172" s="1" t="s">
        <v>39</v>
      </c>
      <c r="F172" s="1" t="s">
        <v>708</v>
      </c>
      <c r="G172" s="1">
        <v>0</v>
      </c>
      <c r="H172" s="1" t="s">
        <v>53</v>
      </c>
      <c r="I172" s="1" t="s">
        <v>2069</v>
      </c>
      <c r="J172" s="1" t="s">
        <v>2070</v>
      </c>
      <c r="K172" s="1" t="s">
        <v>2071</v>
      </c>
      <c r="L172" s="1">
        <v>1</v>
      </c>
      <c r="M172" s="1">
        <v>0</v>
      </c>
      <c r="N172" s="1" t="s">
        <v>2072</v>
      </c>
      <c r="O172" s="1" t="s">
        <v>2073</v>
      </c>
      <c r="P172" s="1" t="s">
        <v>2074</v>
      </c>
      <c r="Q172" s="1">
        <v>0</v>
      </c>
      <c r="R172" s="1" t="s">
        <v>2075</v>
      </c>
      <c r="S172" s="1" t="s">
        <v>2076</v>
      </c>
      <c r="U172" s="2">
        <v>56777</v>
      </c>
      <c r="V172" s="1">
        <v>4.5</v>
      </c>
      <c r="W172" s="1">
        <v>4500</v>
      </c>
      <c r="X172" s="1">
        <v>3161</v>
      </c>
      <c r="Y172" s="1">
        <v>2140</v>
      </c>
      <c r="AA172" s="1">
        <v>1233</v>
      </c>
      <c r="AB172" s="1">
        <v>1</v>
      </c>
      <c r="AC172" s="1">
        <v>4</v>
      </c>
      <c r="AE172" s="1" t="s">
        <v>2077</v>
      </c>
      <c r="AF172" s="1" t="s">
        <v>2078</v>
      </c>
      <c r="AG172" s="1" t="s">
        <v>2079</v>
      </c>
      <c r="AH172" s="1" t="s">
        <v>2080</v>
      </c>
      <c r="AI172" s="1">
        <v>4.5999999999999996</v>
      </c>
      <c r="AJ172" s="1">
        <v>292</v>
      </c>
      <c r="AK172" s="1">
        <v>1027</v>
      </c>
      <c r="AL172" s="1">
        <v>26</v>
      </c>
    </row>
    <row r="173" spans="1:38" ht="15.75" customHeight="1">
      <c r="A173" s="1">
        <v>15</v>
      </c>
      <c r="C173" s="1">
        <v>4050</v>
      </c>
      <c r="D173" s="1" t="s">
        <v>38</v>
      </c>
      <c r="E173" s="1" t="s">
        <v>39</v>
      </c>
      <c r="F173" s="1" t="s">
        <v>195</v>
      </c>
      <c r="G173" s="1">
        <v>0</v>
      </c>
      <c r="H173" s="1" t="s">
        <v>41</v>
      </c>
      <c r="I173" s="1" t="s">
        <v>2081</v>
      </c>
      <c r="J173" s="1" t="s">
        <v>2082</v>
      </c>
      <c r="K173" s="1" t="s">
        <v>2083</v>
      </c>
      <c r="L173" s="1">
        <v>1</v>
      </c>
      <c r="M173" s="1">
        <v>0</v>
      </c>
      <c r="N173" s="1" t="s">
        <v>2084</v>
      </c>
      <c r="O173" s="1" t="s">
        <v>2085</v>
      </c>
      <c r="P173" s="1" t="s">
        <v>2086</v>
      </c>
      <c r="Q173" s="1">
        <v>1</v>
      </c>
      <c r="R173" s="1" t="s">
        <v>2087</v>
      </c>
      <c r="S173" s="1" t="s">
        <v>2088</v>
      </c>
      <c r="U173" s="2">
        <v>56766</v>
      </c>
      <c r="V173" s="1">
        <v>2.8482993680000002</v>
      </c>
      <c r="W173" s="1">
        <v>4000</v>
      </c>
      <c r="X173" s="1">
        <v>1979</v>
      </c>
      <c r="Y173" s="1">
        <v>745</v>
      </c>
      <c r="Z173" s="1">
        <v>277</v>
      </c>
      <c r="AA173" s="1">
        <v>957</v>
      </c>
      <c r="AB173" s="1">
        <v>0</v>
      </c>
      <c r="AC173" s="1">
        <v>4</v>
      </c>
      <c r="AD173" s="1" t="s">
        <v>76</v>
      </c>
      <c r="AE173" s="1" t="s">
        <v>2089</v>
      </c>
      <c r="AF173" s="1" t="s">
        <v>2090</v>
      </c>
      <c r="AG173" s="1" t="s">
        <v>2091</v>
      </c>
      <c r="AH173" s="1" t="s">
        <v>2092</v>
      </c>
      <c r="AI173" s="1">
        <v>4.66</v>
      </c>
      <c r="AJ173" s="1">
        <v>161</v>
      </c>
      <c r="AK173" s="1">
        <v>398</v>
      </c>
    </row>
    <row r="174" spans="1:38" ht="15.75" customHeight="1">
      <c r="A174" s="1">
        <v>585</v>
      </c>
      <c r="B174" s="1">
        <v>5</v>
      </c>
      <c r="C174" s="1">
        <v>4050</v>
      </c>
      <c r="D174" s="1" t="s">
        <v>38</v>
      </c>
      <c r="E174" s="1" t="s">
        <v>39</v>
      </c>
      <c r="F174" s="1" t="s">
        <v>1323</v>
      </c>
      <c r="G174" s="1">
        <v>0</v>
      </c>
      <c r="H174" s="1" t="s">
        <v>41</v>
      </c>
      <c r="I174" s="1" t="s">
        <v>2093</v>
      </c>
      <c r="J174" s="1" t="s">
        <v>2094</v>
      </c>
      <c r="K174" s="1" t="s">
        <v>2095</v>
      </c>
      <c r="L174" s="1">
        <v>1</v>
      </c>
      <c r="M174" s="1">
        <v>0</v>
      </c>
      <c r="N174" s="1" t="s">
        <v>2096</v>
      </c>
      <c r="O174" s="1" t="s">
        <v>2097</v>
      </c>
      <c r="P174" s="1" t="s">
        <v>2098</v>
      </c>
      <c r="Q174" s="1">
        <v>0</v>
      </c>
      <c r="R174" s="1" t="s">
        <v>2099</v>
      </c>
      <c r="S174" s="1" t="s">
        <v>2100</v>
      </c>
      <c r="U174" s="2">
        <v>56770</v>
      </c>
      <c r="V174" s="1">
        <v>4.4000000000000004</v>
      </c>
      <c r="W174" s="1">
        <v>4000</v>
      </c>
      <c r="X174" s="1">
        <v>2559</v>
      </c>
      <c r="Y174" s="1">
        <v>1477</v>
      </c>
      <c r="Z174" s="1">
        <v>353</v>
      </c>
      <c r="AA174" s="1">
        <v>729</v>
      </c>
      <c r="AB174" s="1">
        <v>0</v>
      </c>
      <c r="AC174" s="1">
        <v>4</v>
      </c>
      <c r="AD174" s="1" t="s">
        <v>76</v>
      </c>
      <c r="AE174" s="1" t="s">
        <v>2101</v>
      </c>
      <c r="AF174" s="1" t="s">
        <v>2102</v>
      </c>
      <c r="AG174" s="1" t="s">
        <v>2103</v>
      </c>
      <c r="AH174" s="1" t="s">
        <v>2104</v>
      </c>
      <c r="AI174" s="1">
        <v>4.57</v>
      </c>
      <c r="AJ174" s="1">
        <v>234</v>
      </c>
      <c r="AK174" s="1">
        <v>726</v>
      </c>
      <c r="AL174" s="1">
        <v>99</v>
      </c>
    </row>
    <row r="175" spans="1:38" ht="15.75" customHeight="1">
      <c r="A175" s="1">
        <v>805</v>
      </c>
      <c r="C175" s="1">
        <v>4050</v>
      </c>
      <c r="D175" s="1" t="s">
        <v>38</v>
      </c>
      <c r="E175" s="1" t="s">
        <v>39</v>
      </c>
      <c r="F175" s="1" t="s">
        <v>116</v>
      </c>
      <c r="G175" s="1">
        <v>0</v>
      </c>
      <c r="H175" s="1" t="s">
        <v>41</v>
      </c>
      <c r="I175" s="1" t="s">
        <v>2105</v>
      </c>
      <c r="J175" s="1" t="s">
        <v>2106</v>
      </c>
      <c r="K175" s="1" t="s">
        <v>2107</v>
      </c>
      <c r="L175" s="1">
        <v>1</v>
      </c>
      <c r="M175" s="1">
        <v>0</v>
      </c>
      <c r="N175" s="1" t="s">
        <v>2108</v>
      </c>
      <c r="O175" s="1" t="s">
        <v>2109</v>
      </c>
      <c r="P175" s="1" t="s">
        <v>2110</v>
      </c>
      <c r="Q175" s="1">
        <v>0</v>
      </c>
      <c r="R175" s="1" t="s">
        <v>2111</v>
      </c>
      <c r="S175" s="1" t="s">
        <v>2112</v>
      </c>
      <c r="U175" s="2">
        <v>56771</v>
      </c>
      <c r="V175" s="1">
        <v>3.501498169</v>
      </c>
      <c r="W175" s="1">
        <v>4000</v>
      </c>
      <c r="X175" s="1">
        <v>1948</v>
      </c>
      <c r="Y175" s="1">
        <v>869</v>
      </c>
      <c r="Z175" s="1">
        <v>289</v>
      </c>
      <c r="AA175" s="1">
        <v>790</v>
      </c>
      <c r="AB175" s="1">
        <v>0</v>
      </c>
      <c r="AC175" s="1">
        <v>5</v>
      </c>
      <c r="AD175" s="1" t="s">
        <v>76</v>
      </c>
      <c r="AE175" s="1" t="s">
        <v>2113</v>
      </c>
      <c r="AF175" s="1" t="s">
        <v>2114</v>
      </c>
      <c r="AG175" s="1" t="s">
        <v>2115</v>
      </c>
      <c r="AH175" s="1" t="s">
        <v>2116</v>
      </c>
      <c r="AI175" s="1">
        <v>4.8899999999999997</v>
      </c>
      <c r="AJ175" s="1">
        <v>1778</v>
      </c>
      <c r="AK175" s="1">
        <v>5138</v>
      </c>
      <c r="AL175" s="1">
        <v>314</v>
      </c>
    </row>
    <row r="176" spans="1:38" ht="15.75" customHeight="1">
      <c r="A176" s="1">
        <v>48</v>
      </c>
      <c r="C176" s="1">
        <v>4001</v>
      </c>
      <c r="D176" s="1" t="s">
        <v>51</v>
      </c>
      <c r="E176" s="1" t="s">
        <v>39</v>
      </c>
      <c r="F176" s="1" t="s">
        <v>341</v>
      </c>
      <c r="G176" s="1">
        <v>0</v>
      </c>
      <c r="H176" s="1" t="s">
        <v>41</v>
      </c>
      <c r="I176" s="1" t="s">
        <v>2117</v>
      </c>
      <c r="J176" s="1" t="s">
        <v>2118</v>
      </c>
      <c r="K176" s="1" t="s">
        <v>2119</v>
      </c>
      <c r="L176" s="1">
        <v>1</v>
      </c>
      <c r="M176" s="1">
        <v>0</v>
      </c>
      <c r="N176" s="1" t="s">
        <v>2120</v>
      </c>
      <c r="O176" s="1" t="s">
        <v>2121</v>
      </c>
      <c r="P176" s="1" t="s">
        <v>2122</v>
      </c>
      <c r="Q176" s="1">
        <v>0</v>
      </c>
      <c r="R176" s="1" t="s">
        <v>2123</v>
      </c>
      <c r="U176" s="2">
        <v>56766</v>
      </c>
      <c r="V176" s="1">
        <v>5</v>
      </c>
      <c r="W176" s="1">
        <v>4000</v>
      </c>
      <c r="X176" s="1">
        <v>1123</v>
      </c>
      <c r="AA176" s="1">
        <v>569</v>
      </c>
      <c r="AB176" s="1">
        <v>0</v>
      </c>
      <c r="AC176" s="1">
        <v>2</v>
      </c>
      <c r="AE176" s="1" t="s">
        <v>2124</v>
      </c>
      <c r="AF176" s="1" t="s">
        <v>2125</v>
      </c>
      <c r="AG176" s="1" t="s">
        <v>2126</v>
      </c>
      <c r="AI176" s="1">
        <v>4.54</v>
      </c>
      <c r="AJ176" s="1">
        <v>2229</v>
      </c>
      <c r="AK176" s="1">
        <v>6580</v>
      </c>
    </row>
    <row r="177" spans="1:38" ht="15.75" customHeight="1">
      <c r="A177" s="1">
        <v>234</v>
      </c>
      <c r="C177" s="1">
        <v>4001</v>
      </c>
      <c r="D177" s="1" t="s">
        <v>51</v>
      </c>
      <c r="E177" s="1" t="s">
        <v>39</v>
      </c>
      <c r="F177" s="1" t="s">
        <v>232</v>
      </c>
      <c r="G177" s="1">
        <v>0</v>
      </c>
      <c r="H177" s="1" t="s">
        <v>53</v>
      </c>
      <c r="I177" s="1" t="s">
        <v>2127</v>
      </c>
      <c r="J177" s="1" t="s">
        <v>2128</v>
      </c>
      <c r="K177" s="1" t="s">
        <v>2129</v>
      </c>
      <c r="L177" s="1">
        <v>1</v>
      </c>
      <c r="M177" s="1">
        <v>0</v>
      </c>
      <c r="N177" s="1" t="s">
        <v>2130</v>
      </c>
      <c r="O177" s="1" t="s">
        <v>2131</v>
      </c>
      <c r="P177" s="1" t="s">
        <v>2132</v>
      </c>
      <c r="Q177" s="1">
        <v>0</v>
      </c>
      <c r="R177" s="1" t="s">
        <v>2133</v>
      </c>
      <c r="S177" s="1" t="s">
        <v>2134</v>
      </c>
      <c r="U177" s="2">
        <v>56767</v>
      </c>
      <c r="V177" s="1">
        <v>4.5999999999999996</v>
      </c>
      <c r="W177" s="1">
        <v>4000</v>
      </c>
      <c r="X177" s="1">
        <v>1316</v>
      </c>
      <c r="Y177" s="1">
        <v>1074</v>
      </c>
      <c r="AA177" s="1">
        <v>502</v>
      </c>
      <c r="AB177" s="1">
        <v>0</v>
      </c>
      <c r="AC177" s="1">
        <v>4</v>
      </c>
      <c r="AD177" s="1" t="s">
        <v>76</v>
      </c>
      <c r="AE177" s="1" t="s">
        <v>2135</v>
      </c>
      <c r="AF177" s="1" t="s">
        <v>2136</v>
      </c>
      <c r="AG177" s="1" t="s">
        <v>2137</v>
      </c>
      <c r="AH177" s="1" t="s">
        <v>2138</v>
      </c>
      <c r="AI177" s="1">
        <v>4.5599999999999996</v>
      </c>
      <c r="AJ177" s="1">
        <v>765</v>
      </c>
      <c r="AK177" s="1">
        <v>2618</v>
      </c>
    </row>
    <row r="178" spans="1:38" ht="15.75" customHeight="1">
      <c r="A178" s="1">
        <v>907</v>
      </c>
      <c r="C178" s="1">
        <v>4001</v>
      </c>
      <c r="D178" s="1" t="s">
        <v>51</v>
      </c>
      <c r="E178" s="1" t="s">
        <v>39</v>
      </c>
      <c r="F178" s="1" t="s">
        <v>52</v>
      </c>
      <c r="G178" s="1">
        <v>0</v>
      </c>
      <c r="H178" s="1" t="s">
        <v>53</v>
      </c>
      <c r="I178" s="1" t="s">
        <v>2139</v>
      </c>
      <c r="J178" s="1" t="s">
        <v>2140</v>
      </c>
      <c r="K178" s="1" t="s">
        <v>2141</v>
      </c>
      <c r="L178" s="1">
        <v>1</v>
      </c>
      <c r="M178" s="1">
        <v>0</v>
      </c>
      <c r="N178" s="1" t="s">
        <v>2142</v>
      </c>
      <c r="O178" s="1" t="s">
        <v>2143</v>
      </c>
      <c r="P178" s="1" t="s">
        <v>2144</v>
      </c>
      <c r="Q178" s="1">
        <v>0</v>
      </c>
      <c r="R178" s="1" t="s">
        <v>2145</v>
      </c>
      <c r="S178" s="1" t="s">
        <v>2146</v>
      </c>
      <c r="U178" s="2">
        <v>56772</v>
      </c>
      <c r="V178" s="1">
        <v>3.6824716080000002</v>
      </c>
      <c r="W178" s="1">
        <v>4000</v>
      </c>
      <c r="X178" s="1">
        <v>2380</v>
      </c>
      <c r="Y178" s="1">
        <v>925</v>
      </c>
      <c r="Z178" s="1">
        <v>301</v>
      </c>
      <c r="AA178" s="1">
        <v>1154</v>
      </c>
      <c r="AB178" s="1">
        <v>0</v>
      </c>
      <c r="AC178" s="1">
        <v>7</v>
      </c>
      <c r="AD178" s="1" t="s">
        <v>76</v>
      </c>
      <c r="AE178" s="1" t="s">
        <v>2147</v>
      </c>
      <c r="AF178" s="1" t="s">
        <v>2148</v>
      </c>
      <c r="AG178" s="1" t="s">
        <v>2149</v>
      </c>
      <c r="AH178" s="1" t="s">
        <v>2150</v>
      </c>
      <c r="AI178" s="1">
        <v>4.17</v>
      </c>
      <c r="AJ178" s="1">
        <v>457</v>
      </c>
      <c r="AK178" s="1">
        <v>1599</v>
      </c>
    </row>
    <row r="179" spans="1:38" ht="15.75" customHeight="1">
      <c r="A179" s="1">
        <v>333</v>
      </c>
      <c r="C179" s="1">
        <v>4050</v>
      </c>
      <c r="D179" s="1" t="s">
        <v>38</v>
      </c>
      <c r="E179" s="1" t="s">
        <v>39</v>
      </c>
      <c r="F179" s="1" t="s">
        <v>451</v>
      </c>
      <c r="G179" s="1">
        <v>0</v>
      </c>
      <c r="H179" s="1" t="s">
        <v>41</v>
      </c>
      <c r="I179" s="1" t="s">
        <v>2151</v>
      </c>
      <c r="J179" s="1" t="s">
        <v>2152</v>
      </c>
      <c r="K179" s="1" t="s">
        <v>2153</v>
      </c>
      <c r="L179" s="1">
        <v>1</v>
      </c>
      <c r="M179" s="1">
        <v>0</v>
      </c>
      <c r="N179" s="1" t="s">
        <v>2154</v>
      </c>
      <c r="O179" s="1" t="s">
        <v>2155</v>
      </c>
      <c r="P179" s="1" t="s">
        <v>2156</v>
      </c>
      <c r="Q179" s="1">
        <v>0</v>
      </c>
      <c r="R179" s="1" t="s">
        <v>2157</v>
      </c>
      <c r="S179" s="1" t="s">
        <v>2158</v>
      </c>
      <c r="U179" s="2">
        <v>56768</v>
      </c>
      <c r="V179" s="1">
        <v>4.5</v>
      </c>
      <c r="W179" s="1">
        <v>4000</v>
      </c>
      <c r="X179" s="1">
        <v>4523</v>
      </c>
      <c r="Y179" s="1">
        <v>1018</v>
      </c>
      <c r="Z179" s="1">
        <v>1637</v>
      </c>
      <c r="AA179" s="1">
        <v>1868</v>
      </c>
      <c r="AB179" s="1">
        <v>0</v>
      </c>
      <c r="AC179" s="1">
        <v>4</v>
      </c>
      <c r="AD179" s="1" t="s">
        <v>62</v>
      </c>
      <c r="AE179" s="1" t="s">
        <v>2159</v>
      </c>
      <c r="AF179" s="1" t="s">
        <v>2160</v>
      </c>
      <c r="AG179" s="1" t="s">
        <v>2161</v>
      </c>
      <c r="AH179" s="1" t="s">
        <v>2162</v>
      </c>
      <c r="AI179" s="1">
        <v>4.7</v>
      </c>
      <c r="AJ179" s="1">
        <v>272</v>
      </c>
      <c r="AK179" s="1">
        <v>931</v>
      </c>
      <c r="AL179" s="1">
        <v>144</v>
      </c>
    </row>
    <row r="180" spans="1:38" ht="15.75" customHeight="1">
      <c r="A180" s="1">
        <v>1167</v>
      </c>
      <c r="C180" s="1">
        <v>4001</v>
      </c>
      <c r="D180" s="1" t="s">
        <v>51</v>
      </c>
      <c r="E180" s="1" t="s">
        <v>39</v>
      </c>
      <c r="F180" s="1" t="s">
        <v>1915</v>
      </c>
      <c r="G180" s="1">
        <v>0</v>
      </c>
      <c r="H180" s="1" t="s">
        <v>53</v>
      </c>
      <c r="I180" s="1" t="s">
        <v>2163</v>
      </c>
      <c r="J180" s="1" t="s">
        <v>2164</v>
      </c>
      <c r="K180" s="1" t="s">
        <v>2165</v>
      </c>
      <c r="L180" s="1">
        <v>1</v>
      </c>
      <c r="M180" s="1">
        <v>0</v>
      </c>
      <c r="N180" s="1" t="s">
        <v>2166</v>
      </c>
      <c r="O180" s="1" t="s">
        <v>2167</v>
      </c>
      <c r="P180" s="1" t="s">
        <v>2168</v>
      </c>
      <c r="Q180" s="1">
        <v>0</v>
      </c>
      <c r="R180" s="1" t="s">
        <v>2169</v>
      </c>
      <c r="S180" s="1" t="s">
        <v>2170</v>
      </c>
      <c r="U180" s="2">
        <v>56775</v>
      </c>
      <c r="V180" s="1">
        <v>4.0584527850000001</v>
      </c>
      <c r="W180" s="1">
        <v>4000</v>
      </c>
      <c r="X180" s="1">
        <v>3586</v>
      </c>
      <c r="Y180" s="1">
        <v>958</v>
      </c>
      <c r="Z180" s="1">
        <v>543</v>
      </c>
      <c r="AA180" s="1">
        <v>2085</v>
      </c>
      <c r="AB180" s="1">
        <v>0</v>
      </c>
      <c r="AC180" s="1">
        <v>2</v>
      </c>
      <c r="AD180" s="1" t="s">
        <v>76</v>
      </c>
      <c r="AE180" s="1" t="s">
        <v>2171</v>
      </c>
      <c r="AF180" s="1" t="s">
        <v>2172</v>
      </c>
      <c r="AG180" s="1" t="s">
        <v>2173</v>
      </c>
      <c r="AH180" s="1" t="s">
        <v>2174</v>
      </c>
      <c r="AI180" s="1">
        <v>4.63</v>
      </c>
      <c r="AJ180" s="1">
        <v>242</v>
      </c>
      <c r="AK180" s="1">
        <v>736</v>
      </c>
    </row>
    <row r="181" spans="1:38" ht="15.75" customHeight="1">
      <c r="A181" s="1">
        <v>374</v>
      </c>
      <c r="B181" s="1">
        <v>5</v>
      </c>
      <c r="C181" s="1">
        <v>4050</v>
      </c>
      <c r="D181" s="1" t="s">
        <v>38</v>
      </c>
      <c r="E181" s="1" t="s">
        <v>39</v>
      </c>
      <c r="F181" s="1" t="s">
        <v>451</v>
      </c>
      <c r="G181" s="1">
        <v>0</v>
      </c>
      <c r="H181" s="1" t="s">
        <v>41</v>
      </c>
      <c r="I181" s="1" t="s">
        <v>2175</v>
      </c>
      <c r="J181" s="1" t="s">
        <v>2176</v>
      </c>
      <c r="K181" s="1" t="s">
        <v>2177</v>
      </c>
      <c r="L181" s="1">
        <v>1</v>
      </c>
      <c r="M181" s="1">
        <v>0</v>
      </c>
      <c r="N181" s="1" t="s">
        <v>2178</v>
      </c>
      <c r="O181" s="1" t="s">
        <v>2179</v>
      </c>
      <c r="P181" s="1" t="s">
        <v>2180</v>
      </c>
      <c r="Q181" s="1">
        <v>0</v>
      </c>
      <c r="R181" s="1" t="s">
        <v>2181</v>
      </c>
      <c r="S181" s="1" t="s">
        <v>2182</v>
      </c>
      <c r="U181" s="2">
        <v>56768</v>
      </c>
      <c r="V181" s="1">
        <v>2.6122421830000002</v>
      </c>
      <c r="W181" s="1">
        <v>4000</v>
      </c>
      <c r="X181" s="1">
        <v>2517</v>
      </c>
      <c r="Y181" s="1">
        <v>1287</v>
      </c>
      <c r="Z181" s="1">
        <v>324</v>
      </c>
      <c r="AA181" s="1">
        <v>906</v>
      </c>
      <c r="AB181" s="1">
        <v>0</v>
      </c>
      <c r="AC181" s="1">
        <v>6</v>
      </c>
      <c r="AD181" s="1" t="s">
        <v>215</v>
      </c>
      <c r="AE181" s="1" t="s">
        <v>2183</v>
      </c>
      <c r="AF181" s="1" t="s">
        <v>2184</v>
      </c>
      <c r="AG181" s="1" t="s">
        <v>2185</v>
      </c>
      <c r="AH181" s="1" t="s">
        <v>2186</v>
      </c>
      <c r="AI181" s="1">
        <v>4.7</v>
      </c>
      <c r="AJ181" s="1">
        <v>272</v>
      </c>
      <c r="AK181" s="1">
        <v>931</v>
      </c>
      <c r="AL181" s="1">
        <v>144</v>
      </c>
    </row>
    <row r="182" spans="1:38" ht="15.75" customHeight="1">
      <c r="A182" s="1">
        <v>85</v>
      </c>
      <c r="B182" s="1">
        <v>5</v>
      </c>
      <c r="C182" s="1">
        <v>4050</v>
      </c>
      <c r="D182" s="1" t="s">
        <v>38</v>
      </c>
      <c r="E182" s="1" t="s">
        <v>39</v>
      </c>
      <c r="F182" s="1" t="s">
        <v>280</v>
      </c>
      <c r="G182" s="1">
        <v>0</v>
      </c>
      <c r="H182" s="1" t="s">
        <v>41</v>
      </c>
      <c r="I182" s="1" t="s">
        <v>2187</v>
      </c>
      <c r="J182" s="1" t="s">
        <v>2188</v>
      </c>
      <c r="K182" s="1" t="s">
        <v>2189</v>
      </c>
      <c r="L182" s="1">
        <v>1</v>
      </c>
      <c r="M182" s="1">
        <v>0</v>
      </c>
      <c r="N182" s="1" t="s">
        <v>2190</v>
      </c>
      <c r="O182" s="1" t="s">
        <v>2191</v>
      </c>
      <c r="P182" s="1" t="s">
        <v>2192</v>
      </c>
      <c r="Q182" s="1">
        <v>0</v>
      </c>
      <c r="R182" s="1" t="s">
        <v>2193</v>
      </c>
      <c r="U182" s="2">
        <v>56766</v>
      </c>
      <c r="V182" s="1">
        <v>4.5999999999999996</v>
      </c>
      <c r="W182" s="1">
        <v>4000</v>
      </c>
      <c r="X182" s="1">
        <v>2141</v>
      </c>
      <c r="AA182" s="1">
        <v>789</v>
      </c>
      <c r="AB182" s="1">
        <v>0</v>
      </c>
      <c r="AC182" s="1">
        <v>4</v>
      </c>
      <c r="AE182" s="1" t="s">
        <v>2194</v>
      </c>
      <c r="AF182" s="1" t="s">
        <v>2195</v>
      </c>
      <c r="AG182" s="1" t="s">
        <v>2196</v>
      </c>
      <c r="AI182" s="1">
        <v>4.49</v>
      </c>
      <c r="AJ182" s="1">
        <v>2315</v>
      </c>
      <c r="AK182" s="1">
        <v>7039</v>
      </c>
      <c r="AL182" s="1">
        <v>763</v>
      </c>
    </row>
    <row r="183" spans="1:38" ht="15.75" customHeight="1">
      <c r="A183" s="1">
        <v>439</v>
      </c>
      <c r="B183" s="1">
        <v>5</v>
      </c>
      <c r="C183" s="1">
        <v>4050</v>
      </c>
      <c r="D183" s="1" t="s">
        <v>38</v>
      </c>
      <c r="E183" s="1" t="s">
        <v>39</v>
      </c>
      <c r="F183" s="1" t="s">
        <v>280</v>
      </c>
      <c r="G183" s="1">
        <v>0</v>
      </c>
      <c r="H183" s="1" t="s">
        <v>41</v>
      </c>
      <c r="I183" s="1" t="s">
        <v>2197</v>
      </c>
      <c r="J183" s="1" t="s">
        <v>2198</v>
      </c>
      <c r="K183" s="1" t="s">
        <v>2199</v>
      </c>
      <c r="L183" s="1">
        <v>1</v>
      </c>
      <c r="M183" s="1">
        <v>0</v>
      </c>
      <c r="N183" s="1" t="s">
        <v>2200</v>
      </c>
      <c r="O183" s="1" t="s">
        <v>2201</v>
      </c>
      <c r="P183" s="1" t="s">
        <v>2202</v>
      </c>
      <c r="Q183" s="1">
        <v>0</v>
      </c>
      <c r="R183" s="1" t="s">
        <v>2203</v>
      </c>
      <c r="S183" s="1" t="s">
        <v>2204</v>
      </c>
      <c r="U183" s="2">
        <v>56769</v>
      </c>
      <c r="V183" s="1">
        <v>3.0706912329999998</v>
      </c>
      <c r="W183" s="1">
        <v>4000</v>
      </c>
      <c r="X183" s="1">
        <v>1923</v>
      </c>
      <c r="Y183" s="1">
        <v>462</v>
      </c>
      <c r="Z183" s="1">
        <v>901</v>
      </c>
      <c r="AA183" s="1">
        <v>560</v>
      </c>
      <c r="AB183" s="1">
        <v>0</v>
      </c>
      <c r="AC183" s="1">
        <v>5</v>
      </c>
      <c r="AD183" s="1" t="s">
        <v>62</v>
      </c>
      <c r="AE183" s="1" t="s">
        <v>2205</v>
      </c>
      <c r="AF183" s="1" t="s">
        <v>2206</v>
      </c>
      <c r="AG183" s="1" t="s">
        <v>2207</v>
      </c>
      <c r="AH183" s="1" t="s">
        <v>2208</v>
      </c>
      <c r="AI183" s="1">
        <v>4.49</v>
      </c>
      <c r="AJ183" s="1">
        <v>2315</v>
      </c>
      <c r="AK183" s="1">
        <v>7039</v>
      </c>
      <c r="AL183" s="1">
        <v>763</v>
      </c>
    </row>
    <row r="184" spans="1:38" ht="15.75" customHeight="1">
      <c r="A184" s="1">
        <v>851</v>
      </c>
      <c r="B184" s="1">
        <v>4</v>
      </c>
      <c r="C184" s="1">
        <v>4001</v>
      </c>
      <c r="D184" s="1" t="s">
        <v>51</v>
      </c>
      <c r="E184" s="1" t="s">
        <v>39</v>
      </c>
      <c r="F184" s="1" t="s">
        <v>67</v>
      </c>
      <c r="G184" s="1">
        <v>0</v>
      </c>
      <c r="H184" s="1" t="s">
        <v>41</v>
      </c>
      <c r="I184" s="1" t="s">
        <v>2209</v>
      </c>
      <c r="J184" s="1" t="s">
        <v>2210</v>
      </c>
      <c r="K184" s="1" t="s">
        <v>2211</v>
      </c>
      <c r="L184" s="1">
        <v>1</v>
      </c>
      <c r="M184" s="1">
        <v>0</v>
      </c>
      <c r="N184" s="1" t="s">
        <v>2212</v>
      </c>
      <c r="O184" s="1" t="s">
        <v>2213</v>
      </c>
      <c r="P184" s="1" t="s">
        <v>2214</v>
      </c>
      <c r="Q184" s="1">
        <v>0</v>
      </c>
      <c r="R184" s="1" t="s">
        <v>2215</v>
      </c>
      <c r="S184" s="1" t="s">
        <v>2216</v>
      </c>
      <c r="U184" s="2">
        <v>56772</v>
      </c>
      <c r="V184" s="1">
        <v>4.4000000000000004</v>
      </c>
      <c r="W184" s="1">
        <v>4000</v>
      </c>
      <c r="X184" s="1">
        <v>3114</v>
      </c>
      <c r="Y184" s="1">
        <v>654</v>
      </c>
      <c r="Z184" s="1">
        <v>1093</v>
      </c>
      <c r="AA184" s="1">
        <v>1367</v>
      </c>
      <c r="AB184" s="1">
        <v>0</v>
      </c>
      <c r="AC184" s="1">
        <v>4</v>
      </c>
      <c r="AD184" s="1" t="s">
        <v>62</v>
      </c>
      <c r="AE184" s="1" t="s">
        <v>2217</v>
      </c>
      <c r="AF184" s="1" t="s">
        <v>2218</v>
      </c>
      <c r="AG184" s="1" t="s">
        <v>2219</v>
      </c>
      <c r="AH184" s="1" t="s">
        <v>2220</v>
      </c>
      <c r="AI184" s="1">
        <v>3.82</v>
      </c>
      <c r="AJ184" s="1">
        <v>174</v>
      </c>
      <c r="AK184" s="1">
        <v>773</v>
      </c>
    </row>
    <row r="185" spans="1:38" ht="15.75" customHeight="1">
      <c r="A185" s="1">
        <v>162</v>
      </c>
      <c r="C185" s="1">
        <v>4001</v>
      </c>
      <c r="D185" s="1" t="s">
        <v>51</v>
      </c>
      <c r="E185" s="1" t="s">
        <v>39</v>
      </c>
      <c r="F185" s="1" t="s">
        <v>341</v>
      </c>
      <c r="G185" s="1">
        <v>0</v>
      </c>
      <c r="H185" s="1" t="s">
        <v>41</v>
      </c>
      <c r="I185" s="1" t="s">
        <v>2221</v>
      </c>
      <c r="J185" s="1" t="s">
        <v>2222</v>
      </c>
      <c r="K185" s="1" t="s">
        <v>2222</v>
      </c>
      <c r="L185" s="1">
        <v>0</v>
      </c>
      <c r="M185" s="1">
        <v>0</v>
      </c>
      <c r="N185" s="1" t="s">
        <v>2223</v>
      </c>
      <c r="O185" s="1" t="s">
        <v>2224</v>
      </c>
      <c r="P185" s="1" t="s">
        <v>2225</v>
      </c>
      <c r="Q185" s="1">
        <v>0</v>
      </c>
      <c r="R185" s="1" t="s">
        <v>2226</v>
      </c>
      <c r="S185" s="1" t="s">
        <v>2227</v>
      </c>
      <c r="U185" s="2">
        <v>56767</v>
      </c>
      <c r="V185" s="1">
        <v>4.4176177640000001</v>
      </c>
      <c r="W185" s="1">
        <v>4000</v>
      </c>
      <c r="X185" s="1">
        <v>3162</v>
      </c>
      <c r="Y185" s="1">
        <v>2421</v>
      </c>
      <c r="Z185" s="1">
        <v>3</v>
      </c>
      <c r="AA185" s="1">
        <v>738</v>
      </c>
      <c r="AB185" s="1">
        <v>0</v>
      </c>
      <c r="AC185" s="1">
        <v>9</v>
      </c>
      <c r="AD185" s="1" t="s">
        <v>76</v>
      </c>
      <c r="AE185" s="1" t="s">
        <v>2228</v>
      </c>
      <c r="AF185" s="1" t="s">
        <v>2229</v>
      </c>
      <c r="AG185" s="1" t="s">
        <v>2230</v>
      </c>
      <c r="AH185" s="1" t="s">
        <v>2231</v>
      </c>
      <c r="AI185" s="1">
        <v>4.54</v>
      </c>
      <c r="AJ185" s="1">
        <v>2229</v>
      </c>
      <c r="AK185" s="1">
        <v>6580</v>
      </c>
    </row>
    <row r="186" spans="1:38" ht="15.75" customHeight="1">
      <c r="A186" s="1">
        <v>206</v>
      </c>
      <c r="B186" s="1">
        <v>5</v>
      </c>
      <c r="C186" s="1">
        <v>4001</v>
      </c>
      <c r="D186" s="1" t="s">
        <v>51</v>
      </c>
      <c r="E186" s="1" t="s">
        <v>39</v>
      </c>
      <c r="F186" s="1" t="s">
        <v>92</v>
      </c>
      <c r="G186" s="1">
        <v>0</v>
      </c>
      <c r="H186" s="1" t="s">
        <v>41</v>
      </c>
      <c r="I186" s="1" t="s">
        <v>2232</v>
      </c>
      <c r="J186" s="1" t="s">
        <v>2233</v>
      </c>
      <c r="K186" s="1" t="s">
        <v>2234</v>
      </c>
      <c r="L186" s="1">
        <v>1</v>
      </c>
      <c r="M186" s="1">
        <v>0</v>
      </c>
      <c r="N186" s="1" t="s">
        <v>2235</v>
      </c>
      <c r="O186" s="1" t="s">
        <v>2236</v>
      </c>
      <c r="P186" s="1" t="s">
        <v>2237</v>
      </c>
      <c r="Q186" s="1">
        <v>0</v>
      </c>
      <c r="R186" s="1" t="s">
        <v>2238</v>
      </c>
      <c r="U186" s="2">
        <v>56767</v>
      </c>
      <c r="V186" s="1">
        <v>3.9808434109999999</v>
      </c>
      <c r="W186" s="1">
        <v>4000</v>
      </c>
      <c r="X186" s="1">
        <v>1229</v>
      </c>
      <c r="AA186" s="1">
        <v>781</v>
      </c>
      <c r="AB186" s="1">
        <v>0</v>
      </c>
      <c r="AC186" s="1">
        <v>3</v>
      </c>
      <c r="AE186" s="1" t="s">
        <v>2239</v>
      </c>
      <c r="AF186" s="1" t="s">
        <v>2240</v>
      </c>
      <c r="AG186" s="1" t="s">
        <v>2241</v>
      </c>
      <c r="AI186" s="1">
        <v>4.03</v>
      </c>
      <c r="AJ186" s="1">
        <v>505</v>
      </c>
      <c r="AK186" s="1">
        <v>1721</v>
      </c>
      <c r="AL186" s="1">
        <v>457</v>
      </c>
    </row>
    <row r="187" spans="1:38" ht="15.75" customHeight="1">
      <c r="A187" s="1">
        <v>378</v>
      </c>
      <c r="C187" s="1">
        <v>4001</v>
      </c>
      <c r="D187" s="1" t="s">
        <v>51</v>
      </c>
      <c r="E187" s="1" t="s">
        <v>39</v>
      </c>
      <c r="F187" s="1" t="s">
        <v>2044</v>
      </c>
      <c r="G187" s="1">
        <v>0</v>
      </c>
      <c r="H187" s="1" t="s">
        <v>53</v>
      </c>
      <c r="I187" s="1" t="s">
        <v>2242</v>
      </c>
      <c r="J187" s="1" t="s">
        <v>2243</v>
      </c>
      <c r="K187" s="1" t="s">
        <v>2244</v>
      </c>
      <c r="L187" s="1">
        <v>1</v>
      </c>
      <c r="M187" s="1">
        <v>0</v>
      </c>
      <c r="N187" s="1" t="s">
        <v>2245</v>
      </c>
      <c r="O187" s="1" t="s">
        <v>2246</v>
      </c>
      <c r="P187" s="1" t="s">
        <v>2247</v>
      </c>
      <c r="Q187" s="1">
        <v>0</v>
      </c>
      <c r="R187" s="1" t="s">
        <v>2248</v>
      </c>
      <c r="S187" s="1" t="s">
        <v>2249</v>
      </c>
      <c r="U187" s="2">
        <v>56768</v>
      </c>
      <c r="V187" s="1">
        <v>4.7</v>
      </c>
      <c r="W187" s="1">
        <v>4000</v>
      </c>
      <c r="X187" s="1">
        <v>1918</v>
      </c>
      <c r="Y187" s="1">
        <v>658</v>
      </c>
      <c r="Z187" s="1">
        <v>837</v>
      </c>
      <c r="AA187" s="1">
        <v>423</v>
      </c>
      <c r="AB187" s="1">
        <v>0</v>
      </c>
      <c r="AC187" s="1">
        <v>6</v>
      </c>
      <c r="AD187" s="1" t="s">
        <v>215</v>
      </c>
      <c r="AE187" s="1" t="s">
        <v>2250</v>
      </c>
      <c r="AF187" s="1" t="s">
        <v>2251</v>
      </c>
      <c r="AG187" s="1" t="s">
        <v>2252</v>
      </c>
      <c r="AH187" s="1" t="s">
        <v>2253</v>
      </c>
      <c r="AI187" s="1">
        <v>4.63</v>
      </c>
      <c r="AJ187" s="1">
        <v>265</v>
      </c>
      <c r="AK187" s="1">
        <v>905</v>
      </c>
      <c r="AL187" s="1">
        <v>77</v>
      </c>
    </row>
    <row r="188" spans="1:38" ht="15.75" customHeight="1">
      <c r="A188" s="1">
        <v>789</v>
      </c>
      <c r="C188" s="1">
        <v>4050</v>
      </c>
      <c r="D188" s="1" t="s">
        <v>38</v>
      </c>
      <c r="E188" s="1" t="s">
        <v>39</v>
      </c>
      <c r="F188" s="1" t="s">
        <v>1348</v>
      </c>
      <c r="G188" s="1">
        <v>0</v>
      </c>
      <c r="H188" s="1" t="s">
        <v>41</v>
      </c>
      <c r="I188" s="1" t="s">
        <v>2254</v>
      </c>
      <c r="J188" s="1" t="s">
        <v>2255</v>
      </c>
      <c r="K188" s="1" t="s">
        <v>2256</v>
      </c>
      <c r="L188" s="1">
        <v>1</v>
      </c>
      <c r="M188" s="1">
        <v>0</v>
      </c>
      <c r="N188" s="1" t="s">
        <v>2257</v>
      </c>
      <c r="O188" s="1" t="s">
        <v>2258</v>
      </c>
      <c r="P188" s="1" t="s">
        <v>2259</v>
      </c>
      <c r="Q188" s="1">
        <v>0</v>
      </c>
      <c r="R188" s="1" t="s">
        <v>2260</v>
      </c>
      <c r="S188" s="1" t="s">
        <v>2261</v>
      </c>
      <c r="U188" s="2">
        <v>56771</v>
      </c>
      <c r="V188" s="1">
        <v>3.9343890159999999</v>
      </c>
      <c r="W188" s="1">
        <v>4000</v>
      </c>
      <c r="X188" s="1">
        <v>2753</v>
      </c>
      <c r="Y188" s="1">
        <v>1551</v>
      </c>
      <c r="Z188" s="1">
        <v>221</v>
      </c>
      <c r="AA188" s="1">
        <v>981</v>
      </c>
      <c r="AB188" s="1">
        <v>0</v>
      </c>
      <c r="AC188" s="1">
        <v>5</v>
      </c>
      <c r="AD188" s="1" t="s">
        <v>76</v>
      </c>
      <c r="AE188" s="1" t="s">
        <v>2262</v>
      </c>
      <c r="AF188" s="1" t="s">
        <v>2263</v>
      </c>
      <c r="AG188" s="1" t="s">
        <v>2264</v>
      </c>
      <c r="AH188" s="1" t="s">
        <v>2265</v>
      </c>
      <c r="AI188" s="1">
        <v>4.79</v>
      </c>
      <c r="AJ188" s="1">
        <v>1007</v>
      </c>
      <c r="AK188" s="1">
        <v>2899</v>
      </c>
      <c r="AL188" s="1">
        <v>1301</v>
      </c>
    </row>
    <row r="189" spans="1:38" ht="15.75" customHeight="1">
      <c r="A189" s="1">
        <v>839</v>
      </c>
      <c r="C189" s="1">
        <v>4050</v>
      </c>
      <c r="D189" s="1" t="s">
        <v>38</v>
      </c>
      <c r="E189" s="1" t="s">
        <v>39</v>
      </c>
      <c r="F189" s="1" t="s">
        <v>116</v>
      </c>
      <c r="G189" s="1">
        <v>0</v>
      </c>
      <c r="H189" s="1" t="s">
        <v>41</v>
      </c>
      <c r="I189" s="1" t="s">
        <v>2266</v>
      </c>
      <c r="J189" s="1" t="s">
        <v>2267</v>
      </c>
      <c r="K189" s="1" t="s">
        <v>2268</v>
      </c>
      <c r="L189" s="1">
        <v>1</v>
      </c>
      <c r="M189" s="1">
        <v>0</v>
      </c>
      <c r="N189" s="1" t="s">
        <v>2269</v>
      </c>
      <c r="O189" s="1" t="s">
        <v>2270</v>
      </c>
      <c r="P189" s="1" t="s">
        <v>2271</v>
      </c>
      <c r="Q189" s="1">
        <v>0</v>
      </c>
      <c r="R189" s="1" t="s">
        <v>2272</v>
      </c>
      <c r="S189" s="1" t="s">
        <v>2273</v>
      </c>
      <c r="U189" s="2">
        <v>56772</v>
      </c>
      <c r="V189" s="1">
        <v>4.5999999999999996</v>
      </c>
      <c r="W189" s="1">
        <v>4000</v>
      </c>
      <c r="X189" s="1">
        <v>1655</v>
      </c>
      <c r="Y189" s="1">
        <v>296</v>
      </c>
      <c r="Z189" s="1">
        <v>844</v>
      </c>
      <c r="AA189" s="1">
        <v>515</v>
      </c>
      <c r="AB189" s="1">
        <v>0</v>
      </c>
      <c r="AC189" s="1">
        <v>4</v>
      </c>
      <c r="AD189" s="1" t="s">
        <v>62</v>
      </c>
      <c r="AE189" s="1" t="s">
        <v>2274</v>
      </c>
      <c r="AF189" s="1" t="s">
        <v>2275</v>
      </c>
      <c r="AG189" s="1" t="s">
        <v>2276</v>
      </c>
      <c r="AH189" s="1" t="s">
        <v>2277</v>
      </c>
      <c r="AI189" s="1">
        <v>4.8899999999999997</v>
      </c>
      <c r="AJ189" s="1">
        <v>1778</v>
      </c>
      <c r="AK189" s="1">
        <v>5138</v>
      </c>
      <c r="AL189" s="1">
        <v>314</v>
      </c>
    </row>
    <row r="190" spans="1:38" ht="15.75" customHeight="1">
      <c r="A190" s="1">
        <v>479</v>
      </c>
      <c r="C190" s="1">
        <v>4050</v>
      </c>
      <c r="D190" s="1" t="s">
        <v>38</v>
      </c>
      <c r="E190" s="1" t="s">
        <v>39</v>
      </c>
      <c r="F190" s="1" t="s">
        <v>510</v>
      </c>
      <c r="G190" s="1">
        <v>0</v>
      </c>
      <c r="H190" s="1" t="s">
        <v>41</v>
      </c>
      <c r="I190" s="1" t="s">
        <v>2278</v>
      </c>
      <c r="J190" s="1" t="s">
        <v>2279</v>
      </c>
      <c r="K190" s="1" t="s">
        <v>2280</v>
      </c>
      <c r="L190" s="1">
        <v>1</v>
      </c>
      <c r="M190" s="1">
        <v>0</v>
      </c>
      <c r="N190" s="1" t="s">
        <v>2281</v>
      </c>
      <c r="O190" s="1" t="s">
        <v>2282</v>
      </c>
      <c r="P190" s="1" t="s">
        <v>2283</v>
      </c>
      <c r="Q190" s="1">
        <v>0</v>
      </c>
      <c r="R190" s="1" t="s">
        <v>2284</v>
      </c>
      <c r="S190" s="1" t="s">
        <v>2285</v>
      </c>
      <c r="U190" s="2">
        <v>56769</v>
      </c>
      <c r="V190" s="1">
        <v>4.3</v>
      </c>
      <c r="W190" s="1">
        <v>4000</v>
      </c>
      <c r="X190" s="1">
        <v>1897</v>
      </c>
      <c r="Y190" s="1">
        <v>799</v>
      </c>
      <c r="Z190" s="1">
        <v>400</v>
      </c>
      <c r="AA190" s="1">
        <v>698</v>
      </c>
      <c r="AB190" s="1">
        <v>1</v>
      </c>
      <c r="AC190" s="1">
        <v>3</v>
      </c>
      <c r="AE190" s="1" t="s">
        <v>2286</v>
      </c>
      <c r="AF190" s="1" t="s">
        <v>2287</v>
      </c>
      <c r="AG190" s="1" t="s">
        <v>2288</v>
      </c>
      <c r="AH190" s="1" t="s">
        <v>2289</v>
      </c>
      <c r="AI190" s="1">
        <v>4.62</v>
      </c>
      <c r="AJ190" s="1">
        <v>259</v>
      </c>
      <c r="AK190" s="1">
        <v>604</v>
      </c>
      <c r="AL190" s="1">
        <v>21</v>
      </c>
    </row>
    <row r="191" spans="1:38" ht="15.75" customHeight="1">
      <c r="A191" s="1">
        <v>524</v>
      </c>
      <c r="C191" s="1">
        <v>4001</v>
      </c>
      <c r="D191" s="1" t="s">
        <v>51</v>
      </c>
      <c r="E191" s="1" t="s">
        <v>39</v>
      </c>
      <c r="F191" s="1" t="s">
        <v>648</v>
      </c>
      <c r="G191" s="1">
        <v>0</v>
      </c>
      <c r="H191" s="1" t="s">
        <v>53</v>
      </c>
      <c r="I191" s="1" t="s">
        <v>2290</v>
      </c>
      <c r="J191" s="1" t="s">
        <v>2291</v>
      </c>
      <c r="K191" s="1" t="s">
        <v>2292</v>
      </c>
      <c r="L191" s="1">
        <v>1</v>
      </c>
      <c r="M191" s="1">
        <v>0</v>
      </c>
      <c r="N191" s="1" t="s">
        <v>2293</v>
      </c>
      <c r="O191" s="1" t="s">
        <v>2294</v>
      </c>
      <c r="P191" s="1" t="s">
        <v>2295</v>
      </c>
      <c r="Q191" s="1">
        <v>0</v>
      </c>
      <c r="R191" s="1" t="s">
        <v>2296</v>
      </c>
      <c r="S191" s="1" t="s">
        <v>2297</v>
      </c>
      <c r="U191" s="2">
        <v>56769</v>
      </c>
      <c r="V191" s="1">
        <v>3.1045887620000001</v>
      </c>
      <c r="W191" s="1">
        <v>4000</v>
      </c>
      <c r="X191" s="1">
        <v>2565</v>
      </c>
      <c r="Y191" s="1">
        <v>851</v>
      </c>
      <c r="Z191" s="1">
        <v>801</v>
      </c>
      <c r="AA191" s="1">
        <v>913</v>
      </c>
      <c r="AB191" s="1">
        <v>0</v>
      </c>
      <c r="AC191" s="1">
        <v>13</v>
      </c>
      <c r="AD191" s="1" t="s">
        <v>62</v>
      </c>
      <c r="AE191" s="1" t="s">
        <v>2298</v>
      </c>
      <c r="AF191" s="1" t="s">
        <v>2299</v>
      </c>
      <c r="AG191" s="1" t="s">
        <v>2300</v>
      </c>
      <c r="AH191" s="1" t="s">
        <v>2301</v>
      </c>
      <c r="AI191" s="1">
        <v>4.7</v>
      </c>
      <c r="AJ191" s="1">
        <v>443</v>
      </c>
      <c r="AK191" s="1">
        <v>1579</v>
      </c>
    </row>
    <row r="192" spans="1:38" ht="15.75" customHeight="1">
      <c r="A192" s="1">
        <v>249</v>
      </c>
      <c r="C192" s="1">
        <v>4001</v>
      </c>
      <c r="D192" s="1" t="s">
        <v>51</v>
      </c>
      <c r="E192" s="1" t="s">
        <v>39</v>
      </c>
      <c r="F192" s="1" t="s">
        <v>92</v>
      </c>
      <c r="G192" s="1">
        <v>0</v>
      </c>
      <c r="H192" s="1" t="s">
        <v>41</v>
      </c>
      <c r="I192" s="1" t="s">
        <v>2302</v>
      </c>
      <c r="J192" s="1" t="s">
        <v>2303</v>
      </c>
      <c r="K192" s="1" t="s">
        <v>2304</v>
      </c>
      <c r="L192" s="1">
        <v>1</v>
      </c>
      <c r="M192" s="1">
        <v>0</v>
      </c>
      <c r="N192" s="1" t="s">
        <v>2305</v>
      </c>
      <c r="O192" s="1" t="s">
        <v>2306</v>
      </c>
      <c r="P192" s="1" t="s">
        <v>2307</v>
      </c>
      <c r="Q192" s="1">
        <v>0</v>
      </c>
      <c r="R192" s="1" t="s">
        <v>2308</v>
      </c>
      <c r="S192" s="1" t="s">
        <v>2309</v>
      </c>
      <c r="U192" s="2">
        <v>56767</v>
      </c>
      <c r="V192" s="1">
        <v>4</v>
      </c>
      <c r="W192" s="1">
        <v>4000</v>
      </c>
      <c r="X192" s="1">
        <v>3282</v>
      </c>
      <c r="Y192" s="1">
        <v>1457</v>
      </c>
      <c r="Z192" s="1">
        <v>869</v>
      </c>
      <c r="AA192" s="1">
        <v>956</v>
      </c>
      <c r="AB192" s="1">
        <v>0</v>
      </c>
      <c r="AC192" s="1">
        <v>6</v>
      </c>
      <c r="AD192" s="1" t="s">
        <v>76</v>
      </c>
      <c r="AE192" s="1" t="s">
        <v>2310</v>
      </c>
      <c r="AF192" s="1" t="s">
        <v>2311</v>
      </c>
      <c r="AG192" s="1" t="s">
        <v>2312</v>
      </c>
      <c r="AH192" s="1" t="s">
        <v>2313</v>
      </c>
      <c r="AI192" s="1">
        <v>4.03</v>
      </c>
      <c r="AJ192" s="1">
        <v>505</v>
      </c>
      <c r="AK192" s="1">
        <v>1721</v>
      </c>
      <c r="AL192" s="1">
        <v>457</v>
      </c>
    </row>
    <row r="193" spans="1:38" ht="15.75" customHeight="1">
      <c r="A193" s="1">
        <v>553</v>
      </c>
      <c r="C193" s="1">
        <v>4001</v>
      </c>
      <c r="D193" s="1" t="s">
        <v>51</v>
      </c>
      <c r="E193" s="1" t="s">
        <v>39</v>
      </c>
      <c r="F193" s="1" t="s">
        <v>341</v>
      </c>
      <c r="G193" s="1">
        <v>0</v>
      </c>
      <c r="H193" s="1" t="s">
        <v>41</v>
      </c>
      <c r="I193" s="1" t="s">
        <v>2314</v>
      </c>
      <c r="J193" s="1" t="s">
        <v>2315</v>
      </c>
      <c r="K193" s="1" t="s">
        <v>2316</v>
      </c>
      <c r="L193" s="1">
        <v>1</v>
      </c>
      <c r="M193" s="1">
        <v>0</v>
      </c>
      <c r="N193" s="1" t="s">
        <v>2317</v>
      </c>
      <c r="O193" s="1" t="s">
        <v>2318</v>
      </c>
      <c r="P193" s="1" t="s">
        <v>2319</v>
      </c>
      <c r="Q193" s="1">
        <v>0</v>
      </c>
      <c r="R193" s="1" t="s">
        <v>2320</v>
      </c>
      <c r="S193" s="1" t="s">
        <v>2321</v>
      </c>
      <c r="U193" s="2">
        <v>56770</v>
      </c>
      <c r="V193" s="1">
        <v>4.3</v>
      </c>
      <c r="W193" s="1">
        <v>4000</v>
      </c>
      <c r="X193" s="1">
        <v>1344</v>
      </c>
      <c r="Y193" s="1">
        <v>509</v>
      </c>
      <c r="Z193" s="1">
        <v>434</v>
      </c>
      <c r="AA193" s="1">
        <v>401</v>
      </c>
      <c r="AB193" s="1">
        <v>0</v>
      </c>
      <c r="AC193" s="1">
        <v>8</v>
      </c>
      <c r="AD193" s="1" t="s">
        <v>215</v>
      </c>
      <c r="AE193" s="1" t="s">
        <v>2322</v>
      </c>
      <c r="AF193" s="1" t="s">
        <v>2323</v>
      </c>
      <c r="AG193" s="1" t="s">
        <v>2324</v>
      </c>
      <c r="AH193" s="1" t="s">
        <v>2325</v>
      </c>
      <c r="AI193" s="1">
        <v>4.54</v>
      </c>
      <c r="AJ193" s="1">
        <v>2229</v>
      </c>
      <c r="AK193" s="1">
        <v>6580</v>
      </c>
    </row>
    <row r="194" spans="1:38" ht="15.75" customHeight="1">
      <c r="A194" s="1">
        <v>668</v>
      </c>
      <c r="C194" s="1">
        <v>4001</v>
      </c>
      <c r="D194" s="1" t="s">
        <v>51</v>
      </c>
      <c r="E194" s="1" t="s">
        <v>39</v>
      </c>
      <c r="F194" s="1" t="s">
        <v>1104</v>
      </c>
      <c r="G194" s="1">
        <v>0</v>
      </c>
      <c r="H194" s="1" t="s">
        <v>41</v>
      </c>
      <c r="I194" s="1" t="s">
        <v>2326</v>
      </c>
      <c r="J194" s="1" t="s">
        <v>2327</v>
      </c>
      <c r="K194" s="1" t="s">
        <v>2328</v>
      </c>
      <c r="L194" s="1">
        <v>1</v>
      </c>
      <c r="M194" s="1">
        <v>0</v>
      </c>
      <c r="N194" s="1" t="s">
        <v>2329</v>
      </c>
      <c r="O194" s="1" t="s">
        <v>2330</v>
      </c>
      <c r="P194" s="1" t="s">
        <v>2331</v>
      </c>
      <c r="Q194" s="1">
        <v>0</v>
      </c>
      <c r="R194" s="1" t="s">
        <v>2332</v>
      </c>
      <c r="S194" s="1" t="s">
        <v>2333</v>
      </c>
      <c r="U194" s="2">
        <v>56770</v>
      </c>
      <c r="V194" s="1">
        <v>4.5999999999999996</v>
      </c>
      <c r="W194" s="1">
        <v>4000</v>
      </c>
      <c r="X194" s="1">
        <v>1432</v>
      </c>
      <c r="Y194" s="1">
        <v>412</v>
      </c>
      <c r="Z194" s="1">
        <v>1012</v>
      </c>
      <c r="AA194" s="1">
        <v>8</v>
      </c>
      <c r="AB194" s="1">
        <v>0</v>
      </c>
      <c r="AC194" s="1">
        <v>3</v>
      </c>
      <c r="AD194" s="1" t="s">
        <v>76</v>
      </c>
      <c r="AE194" s="1" t="s">
        <v>2334</v>
      </c>
      <c r="AF194" s="1" t="s">
        <v>2335</v>
      </c>
      <c r="AG194" s="1" t="s">
        <v>2336</v>
      </c>
      <c r="AH194" s="1" t="s">
        <v>2337</v>
      </c>
      <c r="AI194" s="1">
        <v>4.46</v>
      </c>
      <c r="AJ194" s="1">
        <v>148</v>
      </c>
      <c r="AK194" s="1">
        <v>435</v>
      </c>
    </row>
    <row r="195" spans="1:38" ht="15.75" customHeight="1">
      <c r="A195" s="1">
        <v>1010</v>
      </c>
      <c r="B195" s="1">
        <v>5</v>
      </c>
      <c r="C195" s="1">
        <v>4001</v>
      </c>
      <c r="D195" s="1" t="s">
        <v>51</v>
      </c>
      <c r="E195" s="1" t="s">
        <v>39</v>
      </c>
      <c r="F195" s="1" t="s">
        <v>2338</v>
      </c>
      <c r="G195" s="1">
        <v>0</v>
      </c>
      <c r="H195" s="1" t="s">
        <v>53</v>
      </c>
      <c r="I195" s="1" t="s">
        <v>2339</v>
      </c>
      <c r="J195" s="1" t="s">
        <v>2340</v>
      </c>
      <c r="K195" s="1" t="s">
        <v>2340</v>
      </c>
      <c r="L195" s="1">
        <v>0</v>
      </c>
      <c r="M195" s="1">
        <v>0</v>
      </c>
      <c r="N195" s="1" t="s">
        <v>2341</v>
      </c>
      <c r="O195" s="1" t="s">
        <v>2342</v>
      </c>
      <c r="P195" s="1" t="s">
        <v>2343</v>
      </c>
      <c r="Q195" s="1">
        <v>0</v>
      </c>
      <c r="R195" s="1" t="s">
        <v>2344</v>
      </c>
      <c r="S195" s="1" t="s">
        <v>2345</v>
      </c>
      <c r="U195" s="2">
        <v>56774</v>
      </c>
      <c r="V195" s="1">
        <v>4.5</v>
      </c>
      <c r="W195" s="1">
        <v>4000</v>
      </c>
      <c r="X195" s="1">
        <v>1866</v>
      </c>
      <c r="Y195" s="1">
        <v>1346</v>
      </c>
      <c r="Z195" s="1">
        <v>122</v>
      </c>
      <c r="AA195" s="1">
        <v>398</v>
      </c>
      <c r="AB195" s="1">
        <v>0</v>
      </c>
      <c r="AC195" s="1">
        <v>5</v>
      </c>
      <c r="AD195" s="1" t="s">
        <v>76</v>
      </c>
      <c r="AE195" s="1" t="s">
        <v>2346</v>
      </c>
      <c r="AF195" s="1" t="s">
        <v>2347</v>
      </c>
      <c r="AG195" s="1" t="s">
        <v>2348</v>
      </c>
      <c r="AH195" s="1" t="s">
        <v>2349</v>
      </c>
      <c r="AI195" s="1">
        <v>4.3510638300000002</v>
      </c>
      <c r="AJ195" s="1">
        <v>62</v>
      </c>
      <c r="AK195" s="1">
        <v>228</v>
      </c>
    </row>
    <row r="196" spans="1:38" ht="15.75" customHeight="1">
      <c r="A196" s="1">
        <v>411</v>
      </c>
      <c r="C196" s="1">
        <v>4050</v>
      </c>
      <c r="D196" s="1" t="s">
        <v>38</v>
      </c>
      <c r="E196" s="1" t="s">
        <v>39</v>
      </c>
      <c r="F196" s="1" t="s">
        <v>1372</v>
      </c>
      <c r="G196" s="1">
        <v>0</v>
      </c>
      <c r="H196" s="1" t="s">
        <v>41</v>
      </c>
      <c r="I196" s="1" t="s">
        <v>2350</v>
      </c>
      <c r="J196" s="1" t="s">
        <v>2351</v>
      </c>
      <c r="K196" s="1" t="s">
        <v>2352</v>
      </c>
      <c r="L196" s="1">
        <v>1</v>
      </c>
      <c r="M196" s="1">
        <v>0</v>
      </c>
      <c r="N196" s="1" t="s">
        <v>2353</v>
      </c>
      <c r="O196" s="1" t="s">
        <v>2354</v>
      </c>
      <c r="P196" s="1" t="s">
        <v>2355</v>
      </c>
      <c r="Q196" s="1">
        <v>0</v>
      </c>
      <c r="R196" s="1" t="s">
        <v>2356</v>
      </c>
      <c r="S196" s="1" t="s">
        <v>2357</v>
      </c>
      <c r="U196" s="2">
        <v>56769</v>
      </c>
      <c r="V196" s="1">
        <v>4.5999999999999996</v>
      </c>
      <c r="W196" s="1">
        <v>4000</v>
      </c>
      <c r="X196" s="1">
        <v>2935</v>
      </c>
      <c r="Y196" s="1">
        <v>1800</v>
      </c>
      <c r="Z196" s="1">
        <v>16</v>
      </c>
      <c r="AA196" s="1">
        <v>1119</v>
      </c>
      <c r="AB196" s="1">
        <v>0</v>
      </c>
      <c r="AC196" s="1">
        <v>4</v>
      </c>
      <c r="AD196" s="1" t="s">
        <v>76</v>
      </c>
      <c r="AE196" s="1" t="s">
        <v>2358</v>
      </c>
      <c r="AF196" s="1" t="s">
        <v>2359</v>
      </c>
      <c r="AG196" s="1" t="s">
        <v>2360</v>
      </c>
      <c r="AH196" s="1" t="s">
        <v>2361</v>
      </c>
      <c r="AI196" s="1">
        <v>4.4111111110000003</v>
      </c>
      <c r="AJ196" s="1">
        <v>68</v>
      </c>
      <c r="AK196" s="1">
        <v>223</v>
      </c>
      <c r="AL196" s="1">
        <v>118</v>
      </c>
    </row>
    <row r="197" spans="1:38" ht="15.75" customHeight="1">
      <c r="A197" s="1">
        <v>612</v>
      </c>
      <c r="C197" s="1">
        <v>4050</v>
      </c>
      <c r="D197" s="1" t="s">
        <v>38</v>
      </c>
      <c r="E197" s="1" t="s">
        <v>39</v>
      </c>
      <c r="F197" s="1" t="s">
        <v>695</v>
      </c>
      <c r="G197" s="1">
        <v>0</v>
      </c>
      <c r="H197" s="1" t="s">
        <v>41</v>
      </c>
      <c r="I197" s="1" t="s">
        <v>2362</v>
      </c>
      <c r="J197" s="1" t="s">
        <v>2363</v>
      </c>
      <c r="K197" s="1" t="s">
        <v>2364</v>
      </c>
      <c r="L197" s="1">
        <v>1</v>
      </c>
      <c r="M197" s="1">
        <v>0</v>
      </c>
      <c r="N197" s="1" t="s">
        <v>2365</v>
      </c>
      <c r="O197" s="1" t="s">
        <v>2366</v>
      </c>
      <c r="P197" s="1" t="s">
        <v>2367</v>
      </c>
      <c r="Q197" s="1">
        <v>0</v>
      </c>
      <c r="R197" s="1" t="s">
        <v>2368</v>
      </c>
      <c r="S197" s="1" t="s">
        <v>2369</v>
      </c>
      <c r="U197" s="2">
        <v>56770</v>
      </c>
      <c r="V197" s="1">
        <v>4.4000000000000004</v>
      </c>
      <c r="W197" s="1">
        <v>4000</v>
      </c>
      <c r="X197" s="1">
        <v>2269</v>
      </c>
      <c r="Y197" s="1">
        <v>1248</v>
      </c>
      <c r="Z197" s="1">
        <v>19</v>
      </c>
      <c r="AA197" s="1">
        <v>1002</v>
      </c>
      <c r="AB197" s="1">
        <v>0</v>
      </c>
      <c r="AC197" s="1">
        <v>3</v>
      </c>
      <c r="AD197" s="1" t="s">
        <v>76</v>
      </c>
      <c r="AE197" s="1" t="s">
        <v>2370</v>
      </c>
      <c r="AF197" s="1" t="s">
        <v>2371</v>
      </c>
      <c r="AG197" s="1" t="s">
        <v>2372</v>
      </c>
      <c r="AH197" s="1" t="s">
        <v>2373</v>
      </c>
      <c r="AI197" s="1">
        <v>4.38</v>
      </c>
      <c r="AJ197" s="1">
        <v>196</v>
      </c>
      <c r="AK197" s="1">
        <v>626</v>
      </c>
    </row>
    <row r="198" spans="1:38" ht="15.75" customHeight="1">
      <c r="A198" s="1">
        <v>320</v>
      </c>
      <c r="B198" s="1">
        <v>5</v>
      </c>
      <c r="C198" s="1">
        <v>4050</v>
      </c>
      <c r="D198" s="1" t="s">
        <v>38</v>
      </c>
      <c r="E198" s="1" t="s">
        <v>39</v>
      </c>
      <c r="F198" s="1" t="s">
        <v>1348</v>
      </c>
      <c r="G198" s="1">
        <v>0</v>
      </c>
      <c r="H198" s="1" t="s">
        <v>41</v>
      </c>
      <c r="I198" s="1" t="s">
        <v>2374</v>
      </c>
      <c r="J198" s="1" t="s">
        <v>2375</v>
      </c>
      <c r="K198" s="1" t="s">
        <v>2376</v>
      </c>
      <c r="L198" s="1">
        <v>1</v>
      </c>
      <c r="M198" s="1">
        <v>1</v>
      </c>
      <c r="N198" s="1" t="s">
        <v>2377</v>
      </c>
      <c r="O198" s="1" t="s">
        <v>2378</v>
      </c>
      <c r="P198" s="1" t="s">
        <v>2379</v>
      </c>
      <c r="Q198" s="1">
        <v>0</v>
      </c>
      <c r="R198" s="1" t="s">
        <v>2380</v>
      </c>
      <c r="S198" s="1" t="s">
        <v>2381</v>
      </c>
      <c r="U198" s="2">
        <v>56768</v>
      </c>
      <c r="V198" s="1">
        <v>4.0999999999999996</v>
      </c>
      <c r="W198" s="1">
        <v>4000</v>
      </c>
      <c r="X198" s="1">
        <v>2062</v>
      </c>
      <c r="Y198" s="1">
        <v>142</v>
      </c>
      <c r="Z198" s="1">
        <v>1258</v>
      </c>
      <c r="AA198" s="1">
        <v>662</v>
      </c>
      <c r="AB198" s="1">
        <v>0</v>
      </c>
      <c r="AC198" s="1">
        <v>7</v>
      </c>
      <c r="AD198" s="1" t="s">
        <v>62</v>
      </c>
      <c r="AE198" s="1" t="s">
        <v>2382</v>
      </c>
      <c r="AF198" s="1" t="s">
        <v>2383</v>
      </c>
      <c r="AG198" s="1" t="s">
        <v>2384</v>
      </c>
      <c r="AH198" s="1" t="s">
        <v>2385</v>
      </c>
      <c r="AI198" s="1">
        <v>4.79</v>
      </c>
      <c r="AJ198" s="1">
        <v>1007</v>
      </c>
      <c r="AK198" s="1">
        <v>2899</v>
      </c>
      <c r="AL198" s="1">
        <v>1301</v>
      </c>
    </row>
    <row r="199" spans="1:38" ht="15.75" customHeight="1">
      <c r="A199" s="1">
        <v>1322</v>
      </c>
      <c r="C199" s="1">
        <v>4001</v>
      </c>
      <c r="D199" s="1" t="s">
        <v>51</v>
      </c>
      <c r="E199" s="1" t="s">
        <v>39</v>
      </c>
      <c r="F199" s="1" t="s">
        <v>341</v>
      </c>
      <c r="G199" s="1">
        <v>0</v>
      </c>
      <c r="H199" s="1" t="s">
        <v>41</v>
      </c>
      <c r="I199" s="1" t="s">
        <v>2386</v>
      </c>
      <c r="J199" s="1" t="s">
        <v>2387</v>
      </c>
      <c r="K199" s="1" t="s">
        <v>2388</v>
      </c>
      <c r="L199" s="1">
        <v>1</v>
      </c>
      <c r="M199" s="1">
        <v>0</v>
      </c>
      <c r="N199" s="1" t="s">
        <v>2389</v>
      </c>
      <c r="O199" s="1" t="s">
        <v>2390</v>
      </c>
      <c r="P199" s="1" t="s">
        <v>2391</v>
      </c>
      <c r="Q199" s="1">
        <v>0</v>
      </c>
      <c r="R199" s="1" t="s">
        <v>2392</v>
      </c>
      <c r="S199" s="1" t="s">
        <v>2393</v>
      </c>
      <c r="U199" s="2">
        <v>56776</v>
      </c>
      <c r="V199" s="1">
        <v>3.6</v>
      </c>
      <c r="W199" s="1">
        <v>4000</v>
      </c>
      <c r="X199" s="1">
        <v>2156</v>
      </c>
      <c r="Y199" s="1">
        <v>236</v>
      </c>
      <c r="Z199" s="1">
        <v>1193</v>
      </c>
      <c r="AA199" s="1">
        <v>727</v>
      </c>
      <c r="AB199" s="1">
        <v>0</v>
      </c>
      <c r="AC199" s="1">
        <v>2</v>
      </c>
      <c r="AD199" s="1" t="s">
        <v>62</v>
      </c>
      <c r="AE199" s="1" t="s">
        <v>2394</v>
      </c>
      <c r="AF199" s="1" t="s">
        <v>2395</v>
      </c>
      <c r="AG199" s="1" t="s">
        <v>2396</v>
      </c>
      <c r="AH199" s="1" t="s">
        <v>2397</v>
      </c>
      <c r="AI199" s="1">
        <v>4.54</v>
      </c>
      <c r="AJ199" s="1">
        <v>2229</v>
      </c>
      <c r="AK199" s="1">
        <v>6580</v>
      </c>
    </row>
    <row r="200" spans="1:38" ht="15.75" customHeight="1">
      <c r="A200" s="1">
        <v>514</v>
      </c>
      <c r="C200" s="1">
        <v>4050</v>
      </c>
      <c r="D200" s="1" t="s">
        <v>38</v>
      </c>
      <c r="E200" s="1" t="s">
        <v>39</v>
      </c>
      <c r="F200" s="1" t="s">
        <v>1372</v>
      </c>
      <c r="G200" s="1">
        <v>0</v>
      </c>
      <c r="H200" s="1" t="s">
        <v>41</v>
      </c>
      <c r="I200" s="1" t="s">
        <v>2398</v>
      </c>
      <c r="J200" s="1" t="s">
        <v>2399</v>
      </c>
      <c r="K200" s="1" t="s">
        <v>2400</v>
      </c>
      <c r="L200" s="1">
        <v>1</v>
      </c>
      <c r="M200" s="1">
        <v>0</v>
      </c>
      <c r="N200" s="1" t="s">
        <v>2401</v>
      </c>
      <c r="O200" s="1" t="s">
        <v>2402</v>
      </c>
      <c r="P200" s="1" t="s">
        <v>2403</v>
      </c>
      <c r="Q200" s="1">
        <v>0</v>
      </c>
      <c r="R200" s="1" t="s">
        <v>2404</v>
      </c>
      <c r="S200" s="1" t="s">
        <v>2405</v>
      </c>
      <c r="U200" s="2">
        <v>56769</v>
      </c>
      <c r="V200" s="1">
        <v>4.4000000000000004</v>
      </c>
      <c r="W200" s="1">
        <v>4000</v>
      </c>
      <c r="X200" s="1">
        <v>1431</v>
      </c>
      <c r="Y200" s="1">
        <v>747</v>
      </c>
      <c r="Z200" s="1">
        <v>327</v>
      </c>
      <c r="AA200" s="1">
        <v>357</v>
      </c>
      <c r="AB200" s="1">
        <v>0</v>
      </c>
      <c r="AC200" s="1">
        <v>3</v>
      </c>
      <c r="AD200" s="1" t="s">
        <v>76</v>
      </c>
      <c r="AE200" s="1" t="s">
        <v>2406</v>
      </c>
      <c r="AF200" s="1" t="s">
        <v>2407</v>
      </c>
      <c r="AG200" s="1" t="s">
        <v>2408</v>
      </c>
      <c r="AH200" s="1" t="s">
        <v>2409</v>
      </c>
      <c r="AI200" s="1">
        <v>4.4111111110000003</v>
      </c>
      <c r="AJ200" s="1">
        <v>68</v>
      </c>
      <c r="AK200" s="1">
        <v>223</v>
      </c>
      <c r="AL200" s="1">
        <v>118</v>
      </c>
    </row>
    <row r="201" spans="1:38" ht="15.75" customHeight="1">
      <c r="A201" s="1">
        <v>487</v>
      </c>
      <c r="C201" s="1">
        <v>4050</v>
      </c>
      <c r="D201" s="1" t="s">
        <v>38</v>
      </c>
      <c r="E201" s="1" t="s">
        <v>39</v>
      </c>
      <c r="F201" s="1" t="s">
        <v>1348</v>
      </c>
      <c r="G201" s="1">
        <v>0</v>
      </c>
      <c r="H201" s="1" t="s">
        <v>41</v>
      </c>
      <c r="I201" s="1" t="s">
        <v>2410</v>
      </c>
      <c r="J201" s="1" t="s">
        <v>2411</v>
      </c>
      <c r="K201" s="1" t="s">
        <v>2412</v>
      </c>
      <c r="L201" s="1">
        <v>1</v>
      </c>
      <c r="M201" s="1">
        <v>0</v>
      </c>
      <c r="N201" s="1" t="s">
        <v>2413</v>
      </c>
      <c r="O201" s="1" t="s">
        <v>2414</v>
      </c>
      <c r="P201" s="1" t="s">
        <v>2415</v>
      </c>
      <c r="Q201" s="1">
        <v>0</v>
      </c>
      <c r="R201" s="1" t="s">
        <v>2416</v>
      </c>
      <c r="S201" s="1" t="s">
        <v>2417</v>
      </c>
      <c r="U201" s="2">
        <v>56769</v>
      </c>
      <c r="V201" s="1">
        <v>4.7</v>
      </c>
      <c r="W201" s="1">
        <v>4000</v>
      </c>
      <c r="X201" s="1">
        <v>1500</v>
      </c>
      <c r="Y201" s="1">
        <v>378</v>
      </c>
      <c r="Z201" s="1">
        <v>740</v>
      </c>
      <c r="AA201" s="1">
        <v>382</v>
      </c>
      <c r="AB201" s="1">
        <v>0</v>
      </c>
      <c r="AC201" s="1">
        <v>4</v>
      </c>
      <c r="AD201" s="1" t="s">
        <v>76</v>
      </c>
      <c r="AE201" s="1" t="s">
        <v>2418</v>
      </c>
      <c r="AF201" s="1" t="s">
        <v>2419</v>
      </c>
      <c r="AG201" s="1" t="s">
        <v>2420</v>
      </c>
      <c r="AH201" s="1" t="s">
        <v>2421</v>
      </c>
      <c r="AI201" s="1">
        <v>4.79</v>
      </c>
      <c r="AJ201" s="1">
        <v>1007</v>
      </c>
      <c r="AK201" s="1">
        <v>2899</v>
      </c>
      <c r="AL201" s="1">
        <v>1301</v>
      </c>
    </row>
    <row r="202" spans="1:38" ht="15.75" customHeight="1">
      <c r="A202" s="1">
        <v>51</v>
      </c>
      <c r="C202" s="1">
        <v>4050</v>
      </c>
      <c r="D202" s="1" t="s">
        <v>38</v>
      </c>
      <c r="E202" s="1" t="s">
        <v>39</v>
      </c>
      <c r="F202" s="1" t="s">
        <v>280</v>
      </c>
      <c r="G202" s="1">
        <v>0</v>
      </c>
      <c r="H202" s="1" t="s">
        <v>41</v>
      </c>
      <c r="I202" s="1" t="s">
        <v>2422</v>
      </c>
      <c r="J202" s="1" t="s">
        <v>2423</v>
      </c>
      <c r="K202" s="1" t="s">
        <v>2424</v>
      </c>
      <c r="L202" s="1">
        <v>1</v>
      </c>
      <c r="M202" s="1">
        <v>0</v>
      </c>
      <c r="N202" s="1" t="s">
        <v>2425</v>
      </c>
      <c r="O202" s="1" t="s">
        <v>2426</v>
      </c>
      <c r="P202" s="1" t="s">
        <v>2427</v>
      </c>
      <c r="Q202" s="1">
        <v>0</v>
      </c>
      <c r="R202" s="1" t="s">
        <v>2428</v>
      </c>
      <c r="S202" s="1" t="s">
        <v>2429</v>
      </c>
      <c r="U202" s="2">
        <v>56766</v>
      </c>
      <c r="V202" s="1">
        <v>4.5999999999999996</v>
      </c>
      <c r="W202" s="1">
        <v>4000</v>
      </c>
      <c r="X202" s="1">
        <v>2279</v>
      </c>
      <c r="Y202" s="1">
        <v>736</v>
      </c>
      <c r="Z202" s="1">
        <v>298</v>
      </c>
      <c r="AA202" s="1">
        <v>1245</v>
      </c>
      <c r="AB202" s="1">
        <v>0</v>
      </c>
      <c r="AC202" s="1">
        <v>4</v>
      </c>
      <c r="AD202" s="1" t="s">
        <v>215</v>
      </c>
      <c r="AE202" s="1" t="s">
        <v>2430</v>
      </c>
      <c r="AF202" s="1" t="s">
        <v>2431</v>
      </c>
      <c r="AG202" s="1" t="s">
        <v>2432</v>
      </c>
      <c r="AH202" s="1" t="s">
        <v>2433</v>
      </c>
      <c r="AI202" s="1">
        <v>4.49</v>
      </c>
      <c r="AJ202" s="1">
        <v>2315</v>
      </c>
      <c r="AK202" s="1">
        <v>7039</v>
      </c>
      <c r="AL202" s="1">
        <v>763</v>
      </c>
    </row>
    <row r="203" spans="1:38" ht="15.75" customHeight="1">
      <c r="A203" s="1">
        <v>602</v>
      </c>
      <c r="B203" s="1">
        <v>5</v>
      </c>
      <c r="C203" s="1">
        <v>4001</v>
      </c>
      <c r="D203" s="1" t="s">
        <v>51</v>
      </c>
      <c r="E203" s="1" t="s">
        <v>39</v>
      </c>
      <c r="F203" s="1" t="s">
        <v>92</v>
      </c>
      <c r="G203" s="1">
        <v>0</v>
      </c>
      <c r="H203" s="1" t="s">
        <v>41</v>
      </c>
      <c r="I203" s="1" t="s">
        <v>2434</v>
      </c>
      <c r="J203" s="1" t="s">
        <v>2435</v>
      </c>
      <c r="K203" s="1" t="s">
        <v>2436</v>
      </c>
      <c r="L203" s="1">
        <v>1</v>
      </c>
      <c r="M203" s="1">
        <v>0</v>
      </c>
      <c r="N203" s="1" t="s">
        <v>2437</v>
      </c>
      <c r="O203" s="1" t="s">
        <v>2438</v>
      </c>
      <c r="P203" s="1" t="s">
        <v>2439</v>
      </c>
      <c r="Q203" s="1">
        <v>0</v>
      </c>
      <c r="R203" s="1" t="s">
        <v>2440</v>
      </c>
      <c r="S203" s="1" t="s">
        <v>2441</v>
      </c>
      <c r="U203" s="2">
        <v>56770</v>
      </c>
      <c r="V203" s="1">
        <v>4.4000000000000004</v>
      </c>
      <c r="W203" s="1">
        <v>4000</v>
      </c>
      <c r="X203" s="1">
        <v>2164</v>
      </c>
      <c r="Y203" s="1">
        <v>982</v>
      </c>
      <c r="Z203" s="1">
        <v>180</v>
      </c>
      <c r="AA203" s="1">
        <v>1002</v>
      </c>
      <c r="AB203" s="1">
        <v>0</v>
      </c>
      <c r="AC203" s="1">
        <v>3</v>
      </c>
      <c r="AD203" s="1" t="s">
        <v>76</v>
      </c>
      <c r="AE203" s="1" t="s">
        <v>2442</v>
      </c>
      <c r="AF203" s="1" t="s">
        <v>2443</v>
      </c>
      <c r="AG203" s="1" t="s">
        <v>2444</v>
      </c>
      <c r="AH203" s="1" t="s">
        <v>2445</v>
      </c>
      <c r="AI203" s="1">
        <v>4.03</v>
      </c>
      <c r="AJ203" s="1">
        <v>505</v>
      </c>
      <c r="AK203" s="1">
        <v>1721</v>
      </c>
      <c r="AL203" s="1">
        <v>457</v>
      </c>
    </row>
    <row r="204" spans="1:38" ht="15.75" customHeight="1">
      <c r="A204" s="1">
        <v>7</v>
      </c>
      <c r="C204" s="1">
        <v>4001</v>
      </c>
      <c r="D204" s="1" t="s">
        <v>51</v>
      </c>
      <c r="E204" s="1" t="s">
        <v>39</v>
      </c>
      <c r="F204" s="1" t="s">
        <v>305</v>
      </c>
      <c r="G204" s="1">
        <v>0</v>
      </c>
      <c r="H204" s="1" t="s">
        <v>53</v>
      </c>
      <c r="I204" s="1" t="s">
        <v>2446</v>
      </c>
      <c r="J204" s="1" t="s">
        <v>2447</v>
      </c>
      <c r="K204" s="1" t="s">
        <v>2447</v>
      </c>
      <c r="L204" s="1">
        <v>0</v>
      </c>
      <c r="M204" s="1">
        <v>0</v>
      </c>
      <c r="N204" s="1" t="s">
        <v>2448</v>
      </c>
      <c r="O204" s="1" t="s">
        <v>2449</v>
      </c>
      <c r="P204" s="1" t="s">
        <v>2450</v>
      </c>
      <c r="Q204" s="1">
        <v>0</v>
      </c>
      <c r="R204" s="1" t="s">
        <v>2451</v>
      </c>
      <c r="S204" s="1" t="s">
        <v>2452</v>
      </c>
      <c r="U204" s="2">
        <v>56766</v>
      </c>
      <c r="V204" s="1">
        <v>3.4933989300000001</v>
      </c>
      <c r="W204" s="1">
        <v>4000</v>
      </c>
      <c r="X204" s="1">
        <v>2961</v>
      </c>
      <c r="Y204" s="1">
        <v>245</v>
      </c>
      <c r="Z204" s="1">
        <v>1447</v>
      </c>
      <c r="AA204" s="1">
        <v>1269</v>
      </c>
      <c r="AB204" s="1">
        <v>0</v>
      </c>
      <c r="AC204" s="1">
        <v>3</v>
      </c>
      <c r="AD204" s="1" t="s">
        <v>62</v>
      </c>
      <c r="AE204" s="1" t="s">
        <v>2453</v>
      </c>
      <c r="AF204" s="1" t="s">
        <v>2454</v>
      </c>
      <c r="AG204" s="1" t="s">
        <v>2455</v>
      </c>
      <c r="AH204" s="1" t="s">
        <v>2456</v>
      </c>
      <c r="AI204" s="1">
        <v>4.5199999999999996</v>
      </c>
      <c r="AJ204" s="1">
        <v>183</v>
      </c>
      <c r="AK204" s="1">
        <v>522</v>
      </c>
    </row>
    <row r="205" spans="1:38" ht="15.75" customHeight="1">
      <c r="A205" s="1">
        <v>134</v>
      </c>
      <c r="C205" s="1">
        <v>4001</v>
      </c>
      <c r="D205" s="1" t="s">
        <v>51</v>
      </c>
      <c r="E205" s="1" t="s">
        <v>39</v>
      </c>
      <c r="F205" s="1" t="s">
        <v>305</v>
      </c>
      <c r="G205" s="1">
        <v>0</v>
      </c>
      <c r="H205" s="1" t="s">
        <v>53</v>
      </c>
      <c r="I205" s="1" t="s">
        <v>2457</v>
      </c>
      <c r="J205" s="1" t="s">
        <v>2458</v>
      </c>
      <c r="K205" s="1" t="s">
        <v>2459</v>
      </c>
      <c r="L205" s="1">
        <v>1</v>
      </c>
      <c r="M205" s="1">
        <v>0</v>
      </c>
      <c r="N205" s="1" t="s">
        <v>2460</v>
      </c>
      <c r="O205" s="1" t="s">
        <v>2461</v>
      </c>
      <c r="P205" s="1" t="s">
        <v>2462</v>
      </c>
      <c r="Q205" s="1">
        <v>0</v>
      </c>
      <c r="R205" s="1" t="s">
        <v>2463</v>
      </c>
      <c r="S205" s="1" t="s">
        <v>2464</v>
      </c>
      <c r="U205" s="2">
        <v>56767</v>
      </c>
      <c r="V205" s="1">
        <v>3.9792116329999998</v>
      </c>
      <c r="W205" s="1">
        <v>4000</v>
      </c>
      <c r="X205" s="1">
        <v>1643</v>
      </c>
      <c r="Y205" s="1">
        <v>425</v>
      </c>
      <c r="Z205" s="1">
        <v>728</v>
      </c>
      <c r="AA205" s="1">
        <v>490</v>
      </c>
      <c r="AB205" s="1">
        <v>0</v>
      </c>
      <c r="AC205" s="1">
        <v>4</v>
      </c>
      <c r="AD205" s="1" t="s">
        <v>215</v>
      </c>
      <c r="AE205" s="1" t="s">
        <v>2465</v>
      </c>
      <c r="AF205" s="1" t="s">
        <v>2466</v>
      </c>
      <c r="AG205" s="1" t="s">
        <v>2467</v>
      </c>
      <c r="AH205" s="1" t="s">
        <v>2468</v>
      </c>
      <c r="AI205" s="1">
        <v>4.5199999999999996</v>
      </c>
      <c r="AJ205" s="1">
        <v>183</v>
      </c>
      <c r="AK205" s="1">
        <v>522</v>
      </c>
    </row>
    <row r="206" spans="1:38" ht="15.75" customHeight="1">
      <c r="A206" s="1">
        <v>571</v>
      </c>
      <c r="C206" s="1">
        <v>4050</v>
      </c>
      <c r="D206" s="1" t="s">
        <v>38</v>
      </c>
      <c r="E206" s="1" t="s">
        <v>39</v>
      </c>
      <c r="F206" s="1" t="s">
        <v>40</v>
      </c>
      <c r="G206" s="1">
        <v>0</v>
      </c>
      <c r="H206" s="1" t="s">
        <v>41</v>
      </c>
      <c r="I206" s="1" t="s">
        <v>2469</v>
      </c>
      <c r="J206" s="1" t="s">
        <v>2470</v>
      </c>
      <c r="K206" s="1" t="s">
        <v>2471</v>
      </c>
      <c r="L206" s="1">
        <v>1</v>
      </c>
      <c r="M206" s="1">
        <v>0</v>
      </c>
      <c r="N206" s="1" t="s">
        <v>2472</v>
      </c>
      <c r="O206" s="1" t="s">
        <v>2473</v>
      </c>
      <c r="P206" s="1" t="s">
        <v>2474</v>
      </c>
      <c r="Q206" s="1">
        <v>0</v>
      </c>
      <c r="R206" s="1" t="s">
        <v>2475</v>
      </c>
      <c r="S206" s="1" t="s">
        <v>2476</v>
      </c>
      <c r="U206" s="2">
        <v>56770</v>
      </c>
      <c r="V206" s="1">
        <v>4.4000000000000004</v>
      </c>
      <c r="W206" s="1">
        <v>4000</v>
      </c>
      <c r="X206" s="1">
        <v>4087</v>
      </c>
      <c r="Y206" s="1">
        <v>1485</v>
      </c>
      <c r="Z206" s="1">
        <v>137</v>
      </c>
      <c r="AA206" s="1">
        <v>2465</v>
      </c>
      <c r="AB206" s="1">
        <v>1</v>
      </c>
      <c r="AC206" s="1">
        <v>3</v>
      </c>
      <c r="AE206" s="1" t="s">
        <v>2477</v>
      </c>
      <c r="AF206" s="1" t="s">
        <v>2478</v>
      </c>
      <c r="AG206" s="1" t="s">
        <v>2479</v>
      </c>
      <c r="AH206" s="1" t="s">
        <v>2480</v>
      </c>
      <c r="AI206" s="1">
        <v>4.7</v>
      </c>
      <c r="AJ206" s="1">
        <v>1261</v>
      </c>
      <c r="AK206" s="1">
        <v>3264</v>
      </c>
      <c r="AL206" s="1">
        <v>232</v>
      </c>
    </row>
    <row r="207" spans="1:38" ht="15.75" customHeight="1">
      <c r="A207" s="1">
        <v>176</v>
      </c>
      <c r="C207" s="1">
        <v>4001</v>
      </c>
      <c r="D207" s="1" t="s">
        <v>51</v>
      </c>
      <c r="E207" s="1" t="s">
        <v>39</v>
      </c>
      <c r="F207" s="1" t="s">
        <v>341</v>
      </c>
      <c r="G207" s="1">
        <v>0</v>
      </c>
      <c r="H207" s="1" t="s">
        <v>41</v>
      </c>
      <c r="I207" s="1" t="s">
        <v>2481</v>
      </c>
      <c r="J207" s="1" t="s">
        <v>2482</v>
      </c>
      <c r="K207" s="1" t="s">
        <v>2483</v>
      </c>
      <c r="L207" s="1">
        <v>1</v>
      </c>
      <c r="M207" s="1">
        <v>0</v>
      </c>
      <c r="N207" s="1" t="s">
        <v>2484</v>
      </c>
      <c r="O207" s="1" t="s">
        <v>2485</v>
      </c>
      <c r="P207" s="1" t="s">
        <v>2486</v>
      </c>
      <c r="Q207" s="1">
        <v>0</v>
      </c>
      <c r="R207" s="1" t="s">
        <v>2487</v>
      </c>
      <c r="U207" s="2">
        <v>56767</v>
      </c>
      <c r="V207" s="1">
        <v>4.3</v>
      </c>
      <c r="W207" s="1">
        <v>4000</v>
      </c>
      <c r="X207" s="1">
        <v>3198</v>
      </c>
      <c r="AA207" s="1">
        <v>591</v>
      </c>
      <c r="AB207" s="1">
        <v>1</v>
      </c>
      <c r="AC207" s="1">
        <v>8</v>
      </c>
      <c r="AE207" s="1" t="s">
        <v>2488</v>
      </c>
      <c r="AF207" s="1" t="s">
        <v>2489</v>
      </c>
      <c r="AG207" s="1" t="s">
        <v>2490</v>
      </c>
      <c r="AI207" s="1">
        <v>4.54</v>
      </c>
      <c r="AJ207" s="1">
        <v>2229</v>
      </c>
      <c r="AK207" s="1">
        <v>6580</v>
      </c>
    </row>
    <row r="208" spans="1:38" ht="15.75" customHeight="1">
      <c r="A208" s="1">
        <v>894</v>
      </c>
      <c r="B208" s="1">
        <v>5</v>
      </c>
      <c r="C208" s="1">
        <v>4050</v>
      </c>
      <c r="D208" s="1" t="s">
        <v>38</v>
      </c>
      <c r="E208" s="1" t="s">
        <v>39</v>
      </c>
      <c r="F208" s="1" t="s">
        <v>390</v>
      </c>
      <c r="G208" s="1">
        <v>0</v>
      </c>
      <c r="H208" s="1" t="s">
        <v>41</v>
      </c>
      <c r="I208" s="1" t="s">
        <v>2491</v>
      </c>
      <c r="J208" s="1" t="s">
        <v>2492</v>
      </c>
      <c r="K208" s="1" t="s">
        <v>2493</v>
      </c>
      <c r="L208" s="1">
        <v>1</v>
      </c>
      <c r="M208" s="1">
        <v>0</v>
      </c>
      <c r="N208" s="1" t="s">
        <v>2494</v>
      </c>
      <c r="O208" s="1" t="s">
        <v>2495</v>
      </c>
      <c r="P208" s="1" t="s">
        <v>2496</v>
      </c>
      <c r="Q208" s="1">
        <v>0</v>
      </c>
      <c r="R208" s="1" t="s">
        <v>2497</v>
      </c>
      <c r="S208" s="1" t="s">
        <v>2498</v>
      </c>
      <c r="U208" s="2">
        <v>56772</v>
      </c>
      <c r="V208" s="1">
        <v>4.5999999999999996</v>
      </c>
      <c r="W208" s="1">
        <v>4000</v>
      </c>
      <c r="X208" s="1">
        <v>1265</v>
      </c>
      <c r="Y208" s="1">
        <v>317</v>
      </c>
      <c r="Z208" s="1">
        <v>370</v>
      </c>
      <c r="AA208" s="1">
        <v>578</v>
      </c>
      <c r="AB208" s="1">
        <v>0</v>
      </c>
      <c r="AC208" s="1">
        <v>3</v>
      </c>
      <c r="AD208" s="1" t="s">
        <v>76</v>
      </c>
      <c r="AE208" s="1" t="s">
        <v>2499</v>
      </c>
      <c r="AF208" s="1" t="s">
        <v>2500</v>
      </c>
      <c r="AG208" s="1" t="s">
        <v>2501</v>
      </c>
      <c r="AH208" s="1" t="s">
        <v>2502</v>
      </c>
      <c r="AI208" s="1">
        <v>4.5599999999999996</v>
      </c>
      <c r="AJ208" s="1">
        <v>344</v>
      </c>
      <c r="AK208" s="1">
        <v>947</v>
      </c>
      <c r="AL208" s="1">
        <v>22</v>
      </c>
    </row>
    <row r="209" spans="1:38" ht="15.75" customHeight="1">
      <c r="A209" s="1">
        <v>78</v>
      </c>
      <c r="B209" s="1">
        <v>5</v>
      </c>
      <c r="C209" s="1">
        <v>4050</v>
      </c>
      <c r="D209" s="1" t="s">
        <v>38</v>
      </c>
      <c r="E209" s="1" t="s">
        <v>39</v>
      </c>
      <c r="F209" s="1" t="s">
        <v>206</v>
      </c>
      <c r="G209" s="1">
        <v>0</v>
      </c>
      <c r="H209" s="1" t="s">
        <v>41</v>
      </c>
      <c r="I209" s="1" t="s">
        <v>2503</v>
      </c>
      <c r="J209" s="1" t="s">
        <v>2504</v>
      </c>
      <c r="K209" s="1" t="s">
        <v>2505</v>
      </c>
      <c r="L209" s="1">
        <v>1</v>
      </c>
      <c r="M209" s="1">
        <v>0</v>
      </c>
      <c r="N209" s="1" t="s">
        <v>2506</v>
      </c>
      <c r="O209" s="1" t="s">
        <v>2507</v>
      </c>
      <c r="P209" s="1" t="s">
        <v>2508</v>
      </c>
      <c r="Q209" s="1">
        <v>0</v>
      </c>
      <c r="R209" s="1" t="s">
        <v>2509</v>
      </c>
      <c r="S209" s="1" t="s">
        <v>2510</v>
      </c>
      <c r="U209" s="2">
        <v>56766</v>
      </c>
      <c r="V209" s="1">
        <v>4.5999999999999996</v>
      </c>
      <c r="W209" s="1">
        <v>4000</v>
      </c>
      <c r="X209" s="1">
        <v>2355</v>
      </c>
      <c r="Y209" s="1">
        <v>567</v>
      </c>
      <c r="Z209" s="1">
        <v>1152</v>
      </c>
      <c r="AA209" s="1">
        <v>636</v>
      </c>
      <c r="AB209" s="1">
        <v>0</v>
      </c>
      <c r="AC209" s="1">
        <v>2</v>
      </c>
      <c r="AD209" s="1" t="s">
        <v>62</v>
      </c>
      <c r="AE209" s="1" t="s">
        <v>2511</v>
      </c>
      <c r="AF209" s="1" t="s">
        <v>2512</v>
      </c>
      <c r="AG209" s="1" t="s">
        <v>2513</v>
      </c>
      <c r="AH209" s="1" t="s">
        <v>2514</v>
      </c>
      <c r="AI209" s="1">
        <v>4.3670886080000004</v>
      </c>
      <c r="AJ209" s="1">
        <v>59</v>
      </c>
      <c r="AK209" s="1">
        <v>198</v>
      </c>
      <c r="AL209" s="1">
        <v>42</v>
      </c>
    </row>
    <row r="210" spans="1:38" ht="15.75" customHeight="1">
      <c r="A210" s="1">
        <v>221</v>
      </c>
      <c r="C210" s="1">
        <v>4050</v>
      </c>
      <c r="D210" s="1" t="s">
        <v>38</v>
      </c>
      <c r="E210" s="1" t="s">
        <v>39</v>
      </c>
      <c r="F210" s="1" t="s">
        <v>390</v>
      </c>
      <c r="G210" s="1">
        <v>0</v>
      </c>
      <c r="H210" s="1" t="s">
        <v>41</v>
      </c>
      <c r="I210" s="1" t="s">
        <v>2515</v>
      </c>
      <c r="J210" s="1" t="s">
        <v>2516</v>
      </c>
      <c r="K210" s="1" t="s">
        <v>2517</v>
      </c>
      <c r="L210" s="1">
        <v>1</v>
      </c>
      <c r="M210" s="1">
        <v>0</v>
      </c>
      <c r="N210" s="1" t="s">
        <v>2518</v>
      </c>
      <c r="O210" s="1" t="s">
        <v>2519</v>
      </c>
      <c r="P210" s="1" t="s">
        <v>2520</v>
      </c>
      <c r="Q210" s="1">
        <v>0</v>
      </c>
      <c r="R210" s="1" t="s">
        <v>2521</v>
      </c>
      <c r="S210" s="1" t="s">
        <v>2522</v>
      </c>
      <c r="U210" s="2">
        <v>56767</v>
      </c>
      <c r="V210" s="1">
        <v>4.5</v>
      </c>
      <c r="W210" s="1">
        <v>4000</v>
      </c>
      <c r="X210" s="1">
        <v>2355</v>
      </c>
      <c r="Y210" s="1">
        <v>405</v>
      </c>
      <c r="Z210" s="1">
        <v>1184</v>
      </c>
      <c r="AA210" s="1">
        <v>766</v>
      </c>
      <c r="AB210" s="1">
        <v>0</v>
      </c>
      <c r="AC210" s="1">
        <v>4</v>
      </c>
      <c r="AD210" s="1" t="s">
        <v>215</v>
      </c>
      <c r="AE210" s="1" t="s">
        <v>2523</v>
      </c>
      <c r="AF210" s="1" t="s">
        <v>2524</v>
      </c>
      <c r="AG210" s="1" t="s">
        <v>2525</v>
      </c>
      <c r="AH210" s="1" t="s">
        <v>2526</v>
      </c>
      <c r="AI210" s="1">
        <v>4.5599999999999996</v>
      </c>
      <c r="AJ210" s="1">
        <v>344</v>
      </c>
      <c r="AK210" s="1">
        <v>947</v>
      </c>
      <c r="AL210" s="1">
        <v>22</v>
      </c>
    </row>
    <row r="211" spans="1:38" ht="15.75" customHeight="1">
      <c r="A211" s="1">
        <v>647</v>
      </c>
      <c r="B211" s="1">
        <v>5</v>
      </c>
      <c r="C211" s="1">
        <v>4050</v>
      </c>
      <c r="D211" s="1" t="s">
        <v>38</v>
      </c>
      <c r="E211" s="1" t="s">
        <v>39</v>
      </c>
      <c r="F211" s="1" t="s">
        <v>1323</v>
      </c>
      <c r="G211" s="1">
        <v>0</v>
      </c>
      <c r="H211" s="1" t="s">
        <v>41</v>
      </c>
      <c r="I211" s="1" t="s">
        <v>2527</v>
      </c>
      <c r="J211" s="1" t="s">
        <v>2528</v>
      </c>
      <c r="K211" s="1" t="s">
        <v>2529</v>
      </c>
      <c r="L211" s="1">
        <v>1</v>
      </c>
      <c r="M211" s="1">
        <v>0</v>
      </c>
      <c r="N211" s="1" t="s">
        <v>2530</v>
      </c>
      <c r="O211" s="1" t="s">
        <v>2531</v>
      </c>
      <c r="P211" s="1" t="s">
        <v>2532</v>
      </c>
      <c r="Q211" s="1">
        <v>0</v>
      </c>
      <c r="R211" s="1" t="s">
        <v>2533</v>
      </c>
      <c r="S211" s="1" t="s">
        <v>2534</v>
      </c>
      <c r="U211" s="2">
        <v>56770</v>
      </c>
      <c r="V211" s="1">
        <v>4.5</v>
      </c>
      <c r="W211" s="1">
        <v>4000</v>
      </c>
      <c r="X211" s="1">
        <v>3075</v>
      </c>
      <c r="Y211" s="1">
        <v>351</v>
      </c>
      <c r="Z211" s="1">
        <v>1707</v>
      </c>
      <c r="AA211" s="1">
        <v>1017</v>
      </c>
      <c r="AB211" s="1">
        <v>0</v>
      </c>
      <c r="AC211" s="1">
        <v>4</v>
      </c>
      <c r="AD211" s="1" t="s">
        <v>62</v>
      </c>
      <c r="AE211" s="1" t="s">
        <v>2535</v>
      </c>
      <c r="AF211" s="1" t="s">
        <v>2536</v>
      </c>
      <c r="AG211" s="1" t="s">
        <v>2537</v>
      </c>
      <c r="AH211" s="1" t="s">
        <v>2538</v>
      </c>
      <c r="AI211" s="1">
        <v>4.57</v>
      </c>
      <c r="AJ211" s="1">
        <v>234</v>
      </c>
      <c r="AK211" s="1">
        <v>726</v>
      </c>
      <c r="AL211" s="1">
        <v>99</v>
      </c>
    </row>
    <row r="212" spans="1:38" ht="15.75" customHeight="1">
      <c r="A212" s="1">
        <v>896</v>
      </c>
      <c r="C212" s="1">
        <v>4001</v>
      </c>
      <c r="D212" s="1" t="s">
        <v>51</v>
      </c>
      <c r="E212" s="1" t="s">
        <v>39</v>
      </c>
      <c r="F212" s="1" t="s">
        <v>52</v>
      </c>
      <c r="G212" s="1">
        <v>0</v>
      </c>
      <c r="H212" s="1" t="s">
        <v>53</v>
      </c>
      <c r="I212" s="1" t="s">
        <v>2539</v>
      </c>
      <c r="J212" s="1" t="s">
        <v>2540</v>
      </c>
      <c r="K212" s="1" t="s">
        <v>2541</v>
      </c>
      <c r="L212" s="1">
        <v>1</v>
      </c>
      <c r="M212" s="1">
        <v>0</v>
      </c>
      <c r="N212" s="1" t="s">
        <v>2542</v>
      </c>
      <c r="O212" s="1" t="s">
        <v>2543</v>
      </c>
      <c r="P212" s="1" t="s">
        <v>2544</v>
      </c>
      <c r="Q212" s="1">
        <v>0</v>
      </c>
      <c r="R212" s="1" t="s">
        <v>2545</v>
      </c>
      <c r="S212" s="1" t="s">
        <v>2546</v>
      </c>
      <c r="U212" s="2">
        <v>56772</v>
      </c>
      <c r="V212" s="1">
        <v>4.4000000000000004</v>
      </c>
      <c r="W212" s="1">
        <v>4000</v>
      </c>
      <c r="X212" s="1">
        <v>3485</v>
      </c>
      <c r="Y212" s="1">
        <v>2538</v>
      </c>
      <c r="Z212" s="1">
        <v>19</v>
      </c>
      <c r="AA212" s="1">
        <v>928</v>
      </c>
      <c r="AB212" s="1">
        <v>0</v>
      </c>
      <c r="AC212" s="1">
        <v>3</v>
      </c>
      <c r="AD212" s="1" t="s">
        <v>76</v>
      </c>
      <c r="AE212" s="1" t="s">
        <v>2547</v>
      </c>
      <c r="AF212" s="1" t="s">
        <v>2548</v>
      </c>
      <c r="AG212" s="1" t="s">
        <v>2549</v>
      </c>
      <c r="AH212" s="1" t="s">
        <v>2550</v>
      </c>
      <c r="AI212" s="1">
        <v>4.17</v>
      </c>
      <c r="AJ212" s="1">
        <v>457</v>
      </c>
      <c r="AK212" s="1">
        <v>1599</v>
      </c>
    </row>
    <row r="213" spans="1:38" ht="15.75" customHeight="1">
      <c r="A213" s="1">
        <v>918</v>
      </c>
      <c r="C213" s="1">
        <v>4001</v>
      </c>
      <c r="D213" s="1" t="s">
        <v>51</v>
      </c>
      <c r="E213" s="1" t="s">
        <v>39</v>
      </c>
      <c r="F213" s="1" t="s">
        <v>414</v>
      </c>
      <c r="G213" s="1">
        <v>0</v>
      </c>
      <c r="H213" s="1" t="s">
        <v>53</v>
      </c>
      <c r="I213" s="1" t="s">
        <v>2551</v>
      </c>
      <c r="J213" s="1" t="s">
        <v>2552</v>
      </c>
      <c r="K213" s="1" t="s">
        <v>2552</v>
      </c>
      <c r="L213" s="1">
        <v>0</v>
      </c>
      <c r="M213" s="1">
        <v>0</v>
      </c>
      <c r="N213" s="1" t="s">
        <v>2553</v>
      </c>
      <c r="O213" s="1" t="s">
        <v>2554</v>
      </c>
      <c r="P213" s="1" t="s">
        <v>2555</v>
      </c>
      <c r="Q213" s="1">
        <v>0</v>
      </c>
      <c r="R213" s="1" t="s">
        <v>2556</v>
      </c>
      <c r="S213" s="1" t="s">
        <v>2557</v>
      </c>
      <c r="U213" s="2">
        <v>56773</v>
      </c>
      <c r="V213" s="1">
        <v>4.5</v>
      </c>
      <c r="W213" s="1">
        <v>4000</v>
      </c>
      <c r="X213" s="1">
        <v>2542</v>
      </c>
      <c r="Y213" s="1">
        <v>1465</v>
      </c>
      <c r="AA213" s="1">
        <v>1089</v>
      </c>
      <c r="AB213" s="1">
        <v>0</v>
      </c>
      <c r="AC213" s="1">
        <v>7</v>
      </c>
      <c r="AD213" s="1" t="s">
        <v>76</v>
      </c>
      <c r="AE213" s="1" t="s">
        <v>2558</v>
      </c>
      <c r="AF213" s="1" t="s">
        <v>2559</v>
      </c>
      <c r="AG213" s="1" t="s">
        <v>2560</v>
      </c>
      <c r="AH213" s="1" t="s">
        <v>2561</v>
      </c>
      <c r="AI213" s="1">
        <v>4.58</v>
      </c>
      <c r="AJ213" s="1">
        <v>254</v>
      </c>
      <c r="AK213" s="1">
        <v>788</v>
      </c>
      <c r="AL213" s="1">
        <v>9</v>
      </c>
    </row>
    <row r="214" spans="1:38" ht="15.75" customHeight="1">
      <c r="A214" s="1">
        <v>684</v>
      </c>
      <c r="C214" s="1">
        <v>4050</v>
      </c>
      <c r="D214" s="1" t="s">
        <v>38</v>
      </c>
      <c r="E214" s="1" t="s">
        <v>39</v>
      </c>
      <c r="F214" s="1" t="s">
        <v>390</v>
      </c>
      <c r="G214" s="1">
        <v>0</v>
      </c>
      <c r="H214" s="1" t="s">
        <v>41</v>
      </c>
      <c r="I214" s="1" t="s">
        <v>2562</v>
      </c>
      <c r="J214" s="1" t="s">
        <v>2563</v>
      </c>
      <c r="K214" s="1" t="s">
        <v>2564</v>
      </c>
      <c r="L214" s="1">
        <v>1</v>
      </c>
      <c r="M214" s="1">
        <v>0</v>
      </c>
      <c r="N214" s="1" t="s">
        <v>2565</v>
      </c>
      <c r="O214" s="1" t="s">
        <v>2566</v>
      </c>
      <c r="P214" s="1" t="s">
        <v>2567</v>
      </c>
      <c r="Q214" s="1">
        <v>0</v>
      </c>
      <c r="R214" s="1" t="s">
        <v>2568</v>
      </c>
      <c r="S214" s="1" t="s">
        <v>2569</v>
      </c>
      <c r="U214" s="2">
        <v>56770</v>
      </c>
      <c r="V214" s="1">
        <v>4.7</v>
      </c>
      <c r="W214" s="1">
        <v>4000</v>
      </c>
      <c r="X214" s="1">
        <v>1618</v>
      </c>
      <c r="Y214" s="1">
        <v>705</v>
      </c>
      <c r="Z214" s="1">
        <v>392</v>
      </c>
      <c r="AA214" s="1">
        <v>521</v>
      </c>
      <c r="AB214" s="1">
        <v>0</v>
      </c>
      <c r="AC214" s="1">
        <v>5</v>
      </c>
      <c r="AD214" s="1" t="s">
        <v>215</v>
      </c>
      <c r="AE214" s="1" t="s">
        <v>2570</v>
      </c>
      <c r="AF214" s="1" t="s">
        <v>2571</v>
      </c>
      <c r="AG214" s="1" t="s">
        <v>2572</v>
      </c>
      <c r="AH214" s="1" t="s">
        <v>2573</v>
      </c>
      <c r="AI214" s="1">
        <v>4.5599999999999996</v>
      </c>
      <c r="AJ214" s="1">
        <v>344</v>
      </c>
      <c r="AK214" s="1">
        <v>947</v>
      </c>
      <c r="AL214" s="1">
        <v>22</v>
      </c>
    </row>
    <row r="215" spans="1:38" ht="15.75" customHeight="1">
      <c r="A215" s="1">
        <v>64</v>
      </c>
      <c r="C215" s="1">
        <v>4050</v>
      </c>
      <c r="D215" s="1" t="s">
        <v>38</v>
      </c>
      <c r="E215" s="1" t="s">
        <v>39</v>
      </c>
      <c r="F215" s="1" t="s">
        <v>365</v>
      </c>
      <c r="G215" s="1">
        <v>0</v>
      </c>
      <c r="H215" s="1" t="s">
        <v>41</v>
      </c>
      <c r="I215" s="1" t="s">
        <v>2574</v>
      </c>
      <c r="J215" s="1" t="s">
        <v>2575</v>
      </c>
      <c r="K215" s="1" t="s">
        <v>2576</v>
      </c>
      <c r="L215" s="1">
        <v>1</v>
      </c>
      <c r="M215" s="1">
        <v>0</v>
      </c>
      <c r="N215" s="1" t="s">
        <v>2577</v>
      </c>
      <c r="O215" s="1" t="s">
        <v>2578</v>
      </c>
      <c r="P215" s="1" t="s">
        <v>2579</v>
      </c>
      <c r="Q215" s="1">
        <v>0</v>
      </c>
      <c r="R215" s="1" t="s">
        <v>2580</v>
      </c>
      <c r="S215" s="1" t="s">
        <v>2581</v>
      </c>
      <c r="U215" s="2">
        <v>56766</v>
      </c>
      <c r="V215" s="1">
        <v>4.7</v>
      </c>
      <c r="W215" s="1">
        <v>4000</v>
      </c>
      <c r="X215" s="1">
        <v>1941</v>
      </c>
      <c r="Y215" s="1">
        <v>461</v>
      </c>
      <c r="Z215" s="1">
        <v>440</v>
      </c>
      <c r="AA215" s="1">
        <v>1040</v>
      </c>
      <c r="AB215" s="1">
        <v>0</v>
      </c>
      <c r="AC215" s="1">
        <v>5</v>
      </c>
      <c r="AD215" s="1" t="s">
        <v>76</v>
      </c>
      <c r="AE215" s="1" t="s">
        <v>2582</v>
      </c>
      <c r="AF215" s="1" t="s">
        <v>2583</v>
      </c>
      <c r="AG215" s="1" t="s">
        <v>2584</v>
      </c>
      <c r="AH215" s="1" t="s">
        <v>2585</v>
      </c>
      <c r="AI215" s="1">
        <v>4.7699999999999996</v>
      </c>
      <c r="AJ215" s="1">
        <v>426</v>
      </c>
      <c r="AK215" s="1">
        <v>1226</v>
      </c>
      <c r="AL215" s="1">
        <v>85</v>
      </c>
    </row>
    <row r="216" spans="1:38" ht="15.75" customHeight="1">
      <c r="A216" s="1">
        <v>646</v>
      </c>
      <c r="B216" s="1">
        <v>5</v>
      </c>
      <c r="C216" s="1">
        <v>4050</v>
      </c>
      <c r="D216" s="1" t="s">
        <v>38</v>
      </c>
      <c r="E216" s="1" t="s">
        <v>39</v>
      </c>
      <c r="F216" s="1" t="s">
        <v>280</v>
      </c>
      <c r="G216" s="1">
        <v>0</v>
      </c>
      <c r="H216" s="1" t="s">
        <v>41</v>
      </c>
      <c r="I216" s="1" t="s">
        <v>2586</v>
      </c>
      <c r="J216" s="1" t="s">
        <v>2587</v>
      </c>
      <c r="K216" s="1" t="s">
        <v>2588</v>
      </c>
      <c r="L216" s="1">
        <v>1</v>
      </c>
      <c r="M216" s="1">
        <v>0</v>
      </c>
      <c r="N216" s="1" t="s">
        <v>2589</v>
      </c>
      <c r="O216" s="1" t="s">
        <v>2590</v>
      </c>
      <c r="P216" s="1" t="s">
        <v>2591</v>
      </c>
      <c r="Q216" s="1">
        <v>0</v>
      </c>
      <c r="R216" s="1" t="s">
        <v>2592</v>
      </c>
      <c r="S216" s="1" t="s">
        <v>2593</v>
      </c>
      <c r="U216" s="2">
        <v>56770</v>
      </c>
      <c r="V216" s="1">
        <v>4.5</v>
      </c>
      <c r="W216" s="1">
        <v>4000</v>
      </c>
      <c r="X216" s="1">
        <v>3637</v>
      </c>
      <c r="Y216" s="1">
        <v>240</v>
      </c>
      <c r="Z216" s="1">
        <v>2610</v>
      </c>
      <c r="AA216" s="1">
        <v>787</v>
      </c>
      <c r="AB216" s="1">
        <v>1</v>
      </c>
      <c r="AC216" s="1">
        <v>3</v>
      </c>
      <c r="AE216" s="1" t="s">
        <v>2594</v>
      </c>
      <c r="AF216" s="1" t="s">
        <v>2595</v>
      </c>
      <c r="AG216" s="1" t="s">
        <v>2596</v>
      </c>
      <c r="AH216" s="1" t="s">
        <v>2597</v>
      </c>
      <c r="AI216" s="1">
        <v>4.49</v>
      </c>
      <c r="AJ216" s="1">
        <v>2315</v>
      </c>
      <c r="AK216" s="1">
        <v>7039</v>
      </c>
      <c r="AL216" s="1">
        <v>763</v>
      </c>
    </row>
    <row r="217" spans="1:38" ht="15.75" customHeight="1">
      <c r="A217" s="1">
        <v>45</v>
      </c>
      <c r="C217" s="1">
        <v>4050</v>
      </c>
      <c r="D217" s="1" t="s">
        <v>38</v>
      </c>
      <c r="E217" s="1" t="s">
        <v>39</v>
      </c>
      <c r="F217" s="1" t="s">
        <v>220</v>
      </c>
      <c r="G217" s="1">
        <v>0</v>
      </c>
      <c r="H217" s="1" t="s">
        <v>41</v>
      </c>
      <c r="I217" s="1" t="s">
        <v>2598</v>
      </c>
      <c r="J217" s="1" t="s">
        <v>2599</v>
      </c>
      <c r="K217" s="1" t="s">
        <v>2599</v>
      </c>
      <c r="L217" s="1">
        <v>0</v>
      </c>
      <c r="M217" s="1">
        <v>0</v>
      </c>
      <c r="N217" s="1" t="s">
        <v>2600</v>
      </c>
      <c r="O217" s="1" t="s">
        <v>2601</v>
      </c>
      <c r="P217" s="1" t="s">
        <v>2602</v>
      </c>
      <c r="Q217" s="1">
        <v>0</v>
      </c>
      <c r="R217" s="1" t="s">
        <v>2603</v>
      </c>
      <c r="S217" s="1" t="s">
        <v>2604</v>
      </c>
      <c r="U217" s="2">
        <v>56766</v>
      </c>
      <c r="V217" s="1">
        <v>4.4000000000000004</v>
      </c>
      <c r="W217" s="1">
        <v>4000</v>
      </c>
      <c r="X217" s="1">
        <v>2770</v>
      </c>
      <c r="Y217" s="1">
        <v>1166</v>
      </c>
      <c r="Z217" s="1">
        <v>777</v>
      </c>
      <c r="AA217" s="1">
        <v>827</v>
      </c>
      <c r="AB217" s="1">
        <v>0</v>
      </c>
      <c r="AC217" s="1">
        <v>4</v>
      </c>
      <c r="AD217" s="1" t="s">
        <v>76</v>
      </c>
      <c r="AE217" s="1" t="s">
        <v>2605</v>
      </c>
      <c r="AF217" s="1" t="s">
        <v>2606</v>
      </c>
      <c r="AG217" s="1" t="s">
        <v>2607</v>
      </c>
      <c r="AH217" s="1" t="s">
        <v>2608</v>
      </c>
      <c r="AI217" s="1">
        <v>4.42</v>
      </c>
      <c r="AJ217" s="1">
        <v>1396</v>
      </c>
      <c r="AK217" s="1">
        <v>4836</v>
      </c>
      <c r="AL217" s="1">
        <v>1278</v>
      </c>
    </row>
    <row r="218" spans="1:38" ht="15.75" customHeight="1">
      <c r="A218" s="1">
        <v>14</v>
      </c>
      <c r="C218" s="1">
        <v>4001</v>
      </c>
      <c r="D218" s="1" t="s">
        <v>51</v>
      </c>
      <c r="E218" s="1" t="s">
        <v>39</v>
      </c>
      <c r="F218" s="1" t="s">
        <v>305</v>
      </c>
      <c r="G218" s="1">
        <v>0</v>
      </c>
      <c r="H218" s="1" t="s">
        <v>53</v>
      </c>
      <c r="I218" s="1" t="s">
        <v>2609</v>
      </c>
      <c r="J218" s="1" t="s">
        <v>2610</v>
      </c>
      <c r="K218" s="1" t="s">
        <v>2611</v>
      </c>
      <c r="L218" s="1">
        <v>1</v>
      </c>
      <c r="M218" s="1">
        <v>0</v>
      </c>
      <c r="N218" s="1" t="s">
        <v>2612</v>
      </c>
      <c r="O218" s="1" t="s">
        <v>2613</v>
      </c>
      <c r="P218" s="1" t="s">
        <v>2614</v>
      </c>
      <c r="Q218" s="1">
        <v>0</v>
      </c>
      <c r="R218" s="1" t="s">
        <v>2615</v>
      </c>
      <c r="S218" s="1" t="s">
        <v>2616</v>
      </c>
      <c r="U218" s="2">
        <v>56766</v>
      </c>
      <c r="V218" s="1">
        <v>3.9792116329999998</v>
      </c>
      <c r="W218" s="1">
        <v>4000</v>
      </c>
      <c r="X218" s="1">
        <v>3201</v>
      </c>
      <c r="Y218" s="1">
        <v>2989</v>
      </c>
      <c r="AA218" s="1">
        <v>266</v>
      </c>
      <c r="AB218" s="1">
        <v>1</v>
      </c>
      <c r="AC218" s="1">
        <v>4</v>
      </c>
      <c r="AE218" s="1" t="s">
        <v>2617</v>
      </c>
      <c r="AF218" s="1" t="s">
        <v>2618</v>
      </c>
      <c r="AG218" s="1" t="s">
        <v>2619</v>
      </c>
      <c r="AH218" s="1" t="s">
        <v>2620</v>
      </c>
      <c r="AI218" s="1">
        <v>4.5199999999999996</v>
      </c>
      <c r="AJ218" s="1">
        <v>183</v>
      </c>
      <c r="AK218" s="1">
        <v>522</v>
      </c>
    </row>
    <row r="219" spans="1:38" ht="15.75" customHeight="1">
      <c r="A219" s="1">
        <v>55</v>
      </c>
      <c r="C219" s="1">
        <v>4050</v>
      </c>
      <c r="D219" s="1" t="s">
        <v>38</v>
      </c>
      <c r="E219" s="1" t="s">
        <v>39</v>
      </c>
      <c r="F219" s="1" t="s">
        <v>40</v>
      </c>
      <c r="G219" s="1">
        <v>0</v>
      </c>
      <c r="H219" s="1" t="s">
        <v>41</v>
      </c>
      <c r="I219" s="1" t="s">
        <v>2621</v>
      </c>
      <c r="J219" s="1" t="s">
        <v>2622</v>
      </c>
      <c r="K219" s="1" t="s">
        <v>2623</v>
      </c>
      <c r="L219" s="1">
        <v>1</v>
      </c>
      <c r="M219" s="1">
        <v>0</v>
      </c>
      <c r="N219" s="1" t="s">
        <v>2624</v>
      </c>
      <c r="O219" s="1" t="s">
        <v>2625</v>
      </c>
      <c r="P219" s="1" t="s">
        <v>2626</v>
      </c>
      <c r="Q219" s="1">
        <v>0</v>
      </c>
      <c r="R219" s="1" t="s">
        <v>2627</v>
      </c>
      <c r="S219" s="1" t="s">
        <v>2628</v>
      </c>
      <c r="U219" s="2">
        <v>56766</v>
      </c>
      <c r="V219" s="1">
        <v>4.8</v>
      </c>
      <c r="W219" s="1">
        <v>4000</v>
      </c>
      <c r="X219" s="1">
        <v>1506</v>
      </c>
      <c r="Y219" s="1">
        <v>493</v>
      </c>
      <c r="Z219" s="1">
        <v>100</v>
      </c>
      <c r="AA219" s="1">
        <v>913</v>
      </c>
      <c r="AB219" s="1">
        <v>0</v>
      </c>
      <c r="AC219" s="1">
        <v>4</v>
      </c>
      <c r="AD219" s="1" t="s">
        <v>76</v>
      </c>
      <c r="AE219" s="1" t="s">
        <v>2629</v>
      </c>
      <c r="AF219" s="1" t="s">
        <v>2630</v>
      </c>
      <c r="AG219" s="1" t="s">
        <v>2631</v>
      </c>
      <c r="AH219" s="1" t="s">
        <v>2632</v>
      </c>
      <c r="AI219" s="1">
        <v>4.7</v>
      </c>
      <c r="AJ219" s="1">
        <v>1261</v>
      </c>
      <c r="AK219" s="1">
        <v>3264</v>
      </c>
      <c r="AL219" s="1">
        <v>232</v>
      </c>
    </row>
    <row r="220" spans="1:38" ht="15.75" customHeight="1">
      <c r="A220" s="1">
        <v>126</v>
      </c>
      <c r="C220" s="1">
        <v>4050</v>
      </c>
      <c r="D220" s="1" t="s">
        <v>38</v>
      </c>
      <c r="E220" s="1" t="s">
        <v>39</v>
      </c>
      <c r="F220" s="1" t="s">
        <v>280</v>
      </c>
      <c r="G220" s="1">
        <v>0</v>
      </c>
      <c r="H220" s="1" t="s">
        <v>41</v>
      </c>
      <c r="I220" s="1" t="s">
        <v>2633</v>
      </c>
      <c r="J220" s="1" t="s">
        <v>2634</v>
      </c>
      <c r="K220" s="1" t="s">
        <v>2635</v>
      </c>
      <c r="L220" s="1">
        <v>1</v>
      </c>
      <c r="M220" s="1">
        <v>0</v>
      </c>
      <c r="N220" s="1" t="s">
        <v>2636</v>
      </c>
      <c r="O220" s="1" t="s">
        <v>2637</v>
      </c>
      <c r="P220" s="1" t="s">
        <v>2638</v>
      </c>
      <c r="Q220" s="1">
        <v>0</v>
      </c>
      <c r="R220" s="1" t="s">
        <v>2639</v>
      </c>
      <c r="S220" s="1" t="s">
        <v>2640</v>
      </c>
      <c r="U220" s="2">
        <v>56767</v>
      </c>
      <c r="V220" s="1">
        <v>4.5999999999999996</v>
      </c>
      <c r="W220" s="1">
        <v>4000</v>
      </c>
      <c r="X220" s="1">
        <v>1468</v>
      </c>
      <c r="Y220" s="1">
        <v>537</v>
      </c>
      <c r="Z220" s="1">
        <v>318</v>
      </c>
      <c r="AA220" s="1">
        <v>613</v>
      </c>
      <c r="AB220" s="1">
        <v>1</v>
      </c>
      <c r="AC220" s="1">
        <v>3</v>
      </c>
      <c r="AE220" s="1" t="s">
        <v>2641</v>
      </c>
      <c r="AF220" s="1" t="s">
        <v>2642</v>
      </c>
      <c r="AG220" s="1" t="s">
        <v>2643</v>
      </c>
      <c r="AH220" s="1" t="s">
        <v>2644</v>
      </c>
      <c r="AI220" s="1">
        <v>4.49</v>
      </c>
      <c r="AJ220" s="1">
        <v>2315</v>
      </c>
      <c r="AK220" s="1">
        <v>7039</v>
      </c>
      <c r="AL220" s="1">
        <v>763</v>
      </c>
    </row>
    <row r="221" spans="1:38" ht="15.75" customHeight="1">
      <c r="A221" s="1">
        <v>367</v>
      </c>
      <c r="B221" s="1">
        <v>5</v>
      </c>
      <c r="C221" s="1">
        <v>4050</v>
      </c>
      <c r="D221" s="1" t="s">
        <v>38</v>
      </c>
      <c r="E221" s="1" t="s">
        <v>39</v>
      </c>
      <c r="F221" s="1" t="s">
        <v>280</v>
      </c>
      <c r="G221" s="1">
        <v>0</v>
      </c>
      <c r="H221" s="1" t="s">
        <v>41</v>
      </c>
      <c r="I221" s="1" t="s">
        <v>2645</v>
      </c>
      <c r="J221" s="1" t="s">
        <v>2646</v>
      </c>
      <c r="K221" s="1" t="s">
        <v>2647</v>
      </c>
      <c r="L221" s="1">
        <v>1</v>
      </c>
      <c r="M221" s="1">
        <v>0</v>
      </c>
      <c r="N221" s="1" t="s">
        <v>2648</v>
      </c>
      <c r="O221" s="1" t="s">
        <v>2649</v>
      </c>
      <c r="P221" s="1" t="s">
        <v>2650</v>
      </c>
      <c r="Q221" s="1">
        <v>0</v>
      </c>
      <c r="R221" s="1" t="s">
        <v>2651</v>
      </c>
      <c r="U221" s="2">
        <v>56768</v>
      </c>
      <c r="V221" s="1">
        <v>4.4000000000000004</v>
      </c>
      <c r="W221" s="1">
        <v>4000</v>
      </c>
      <c r="X221" s="1">
        <v>2169</v>
      </c>
      <c r="AA221" s="1">
        <v>914</v>
      </c>
      <c r="AB221" s="1">
        <v>0</v>
      </c>
      <c r="AC221" s="1">
        <v>3</v>
      </c>
      <c r="AE221" s="1" t="s">
        <v>2652</v>
      </c>
      <c r="AF221" s="1" t="s">
        <v>2653</v>
      </c>
      <c r="AG221" s="1" t="s">
        <v>2654</v>
      </c>
      <c r="AI221" s="1">
        <v>4.49</v>
      </c>
      <c r="AJ221" s="1">
        <v>2315</v>
      </c>
      <c r="AK221" s="1">
        <v>7039</v>
      </c>
      <c r="AL221" s="1">
        <v>763</v>
      </c>
    </row>
    <row r="222" spans="1:38" ht="15.75" customHeight="1">
      <c r="A222" s="1">
        <v>1233</v>
      </c>
      <c r="B222" s="1">
        <v>5</v>
      </c>
      <c r="C222" s="1">
        <v>4001</v>
      </c>
      <c r="D222" s="1" t="s">
        <v>51</v>
      </c>
      <c r="E222" s="1" t="s">
        <v>39</v>
      </c>
      <c r="F222" s="1" t="s">
        <v>2338</v>
      </c>
      <c r="G222" s="1">
        <v>0</v>
      </c>
      <c r="H222" s="1" t="s">
        <v>53</v>
      </c>
      <c r="I222" s="1" t="s">
        <v>2655</v>
      </c>
      <c r="J222" s="1" t="s">
        <v>2656</v>
      </c>
      <c r="K222" s="1" t="s">
        <v>2657</v>
      </c>
      <c r="L222" s="1">
        <v>1</v>
      </c>
      <c r="M222" s="1">
        <v>0</v>
      </c>
      <c r="N222" s="1" t="s">
        <v>2658</v>
      </c>
      <c r="O222" s="1" t="s">
        <v>2659</v>
      </c>
      <c r="P222" s="1" t="s">
        <v>2660</v>
      </c>
      <c r="Q222" s="1">
        <v>0</v>
      </c>
      <c r="R222" s="1" t="s">
        <v>2661</v>
      </c>
      <c r="S222" s="1" t="s">
        <v>2662</v>
      </c>
      <c r="U222" s="2">
        <v>56776</v>
      </c>
      <c r="V222" s="1">
        <v>2.7963354219999998</v>
      </c>
      <c r="W222" s="1">
        <v>4000</v>
      </c>
      <c r="X222" s="1">
        <v>5475</v>
      </c>
      <c r="Y222" s="1">
        <v>2211</v>
      </c>
      <c r="Z222" s="1">
        <v>2898</v>
      </c>
      <c r="AA222" s="1">
        <v>366</v>
      </c>
      <c r="AB222" s="1">
        <v>0</v>
      </c>
      <c r="AC222" s="1">
        <v>11</v>
      </c>
      <c r="AD222" s="1" t="s">
        <v>62</v>
      </c>
      <c r="AE222" s="1" t="s">
        <v>2663</v>
      </c>
      <c r="AF222" s="1" t="s">
        <v>2664</v>
      </c>
      <c r="AG222" s="1" t="s">
        <v>2665</v>
      </c>
      <c r="AH222" s="1" t="s">
        <v>2666</v>
      </c>
      <c r="AI222" s="1">
        <v>4.3510638300000002</v>
      </c>
      <c r="AJ222" s="1">
        <v>62</v>
      </c>
      <c r="AK222" s="1">
        <v>228</v>
      </c>
    </row>
    <row r="223" spans="1:38" ht="15.75" customHeight="1">
      <c r="A223" s="1">
        <v>217</v>
      </c>
      <c r="B223" s="1">
        <v>5</v>
      </c>
      <c r="C223" s="1">
        <v>4001</v>
      </c>
      <c r="D223" s="1" t="s">
        <v>51</v>
      </c>
      <c r="E223" s="1" t="s">
        <v>39</v>
      </c>
      <c r="F223" s="1" t="s">
        <v>52</v>
      </c>
      <c r="G223" s="1">
        <v>0</v>
      </c>
      <c r="H223" s="1" t="s">
        <v>53</v>
      </c>
      <c r="I223" s="1" t="s">
        <v>2667</v>
      </c>
      <c r="J223" s="1" t="s">
        <v>2668</v>
      </c>
      <c r="K223" s="1" t="s">
        <v>2669</v>
      </c>
      <c r="L223" s="1">
        <v>1</v>
      </c>
      <c r="M223" s="1">
        <v>0</v>
      </c>
      <c r="N223" s="1" t="s">
        <v>2670</v>
      </c>
      <c r="O223" s="1" t="s">
        <v>2671</v>
      </c>
      <c r="P223" s="1" t="s">
        <v>2672</v>
      </c>
      <c r="Q223" s="1">
        <v>0</v>
      </c>
      <c r="R223" s="1" t="s">
        <v>2673</v>
      </c>
      <c r="S223" s="1" t="s">
        <v>2674</v>
      </c>
      <c r="U223" s="2">
        <v>56767</v>
      </c>
      <c r="V223" s="1">
        <v>4.5999999999999996</v>
      </c>
      <c r="W223" s="1">
        <v>4000</v>
      </c>
      <c r="X223" s="1">
        <v>1034</v>
      </c>
      <c r="Y223" s="1">
        <v>384</v>
      </c>
      <c r="Z223" s="1">
        <v>339</v>
      </c>
      <c r="AA223" s="1">
        <v>311</v>
      </c>
      <c r="AB223" s="1">
        <v>0</v>
      </c>
      <c r="AC223" s="1">
        <v>1</v>
      </c>
      <c r="AD223" s="1" t="s">
        <v>215</v>
      </c>
      <c r="AE223" s="1" t="s">
        <v>2675</v>
      </c>
      <c r="AF223" s="1" t="s">
        <v>2676</v>
      </c>
      <c r="AG223" s="1" t="s">
        <v>2677</v>
      </c>
      <c r="AH223" s="1" t="s">
        <v>2678</v>
      </c>
      <c r="AI223" s="1">
        <v>4.17</v>
      </c>
      <c r="AJ223" s="1">
        <v>457</v>
      </c>
      <c r="AK223" s="1">
        <v>1599</v>
      </c>
    </row>
    <row r="224" spans="1:38" ht="15.75" customHeight="1">
      <c r="A224" s="1">
        <v>706</v>
      </c>
      <c r="C224" s="1">
        <v>4050</v>
      </c>
      <c r="D224" s="1" t="s">
        <v>38</v>
      </c>
      <c r="E224" s="1" t="s">
        <v>39</v>
      </c>
      <c r="F224" s="1" t="s">
        <v>695</v>
      </c>
      <c r="G224" s="1">
        <v>0</v>
      </c>
      <c r="H224" s="1" t="s">
        <v>41</v>
      </c>
      <c r="I224" s="1" t="s">
        <v>2679</v>
      </c>
      <c r="J224" s="1" t="s">
        <v>2680</v>
      </c>
      <c r="K224" s="1" t="s">
        <v>2681</v>
      </c>
      <c r="L224" s="1">
        <v>1</v>
      </c>
      <c r="M224" s="1">
        <v>0</v>
      </c>
      <c r="N224" s="1" t="s">
        <v>2682</v>
      </c>
      <c r="O224" s="1" t="s">
        <v>2683</v>
      </c>
      <c r="P224" s="1" t="s">
        <v>2684</v>
      </c>
      <c r="Q224" s="1">
        <v>0</v>
      </c>
      <c r="R224" s="1" t="s">
        <v>2685</v>
      </c>
      <c r="S224" s="1" t="s">
        <v>2686</v>
      </c>
      <c r="U224" s="2">
        <v>56770</v>
      </c>
      <c r="V224" s="1">
        <v>3.0330217259999999</v>
      </c>
      <c r="W224" s="1">
        <v>4000</v>
      </c>
      <c r="X224" s="1">
        <v>4892</v>
      </c>
      <c r="Y224" s="1">
        <v>3420</v>
      </c>
      <c r="Z224" s="1">
        <v>307</v>
      </c>
      <c r="AA224" s="1">
        <v>1165</v>
      </c>
      <c r="AB224" s="1">
        <v>0</v>
      </c>
      <c r="AC224" s="1">
        <v>1</v>
      </c>
      <c r="AD224" s="1" t="s">
        <v>76</v>
      </c>
      <c r="AE224" s="1" t="s">
        <v>2687</v>
      </c>
      <c r="AF224" s="1" t="s">
        <v>2688</v>
      </c>
      <c r="AG224" s="1" t="s">
        <v>2689</v>
      </c>
      <c r="AH224" s="1" t="s">
        <v>2690</v>
      </c>
      <c r="AI224" s="1">
        <v>4.38</v>
      </c>
      <c r="AJ224" s="1">
        <v>196</v>
      </c>
      <c r="AK224" s="1">
        <v>626</v>
      </c>
    </row>
    <row r="225" spans="1:38" ht="15.75" customHeight="1">
      <c r="A225" s="1">
        <v>977</v>
      </c>
      <c r="C225" s="1">
        <v>4001</v>
      </c>
      <c r="D225" s="1" t="s">
        <v>51</v>
      </c>
      <c r="E225" s="1" t="s">
        <v>39</v>
      </c>
      <c r="F225" s="1" t="s">
        <v>52</v>
      </c>
      <c r="G225" s="1">
        <v>0</v>
      </c>
      <c r="H225" s="1" t="s">
        <v>53</v>
      </c>
      <c r="I225" s="1" t="s">
        <v>2691</v>
      </c>
      <c r="J225" s="1" t="s">
        <v>2692</v>
      </c>
      <c r="K225" s="1" t="s">
        <v>2693</v>
      </c>
      <c r="L225" s="1">
        <v>1</v>
      </c>
      <c r="M225" s="1">
        <v>1</v>
      </c>
      <c r="N225" s="1" t="s">
        <v>2694</v>
      </c>
      <c r="O225" s="1" t="s">
        <v>2695</v>
      </c>
      <c r="P225" s="1" t="s">
        <v>2696</v>
      </c>
      <c r="Q225" s="1">
        <v>0</v>
      </c>
      <c r="R225" s="1" t="s">
        <v>2697</v>
      </c>
      <c r="S225" s="1" t="s">
        <v>2698</v>
      </c>
      <c r="U225" s="2">
        <v>56773</v>
      </c>
      <c r="V225" s="1">
        <v>2.4638751769999998</v>
      </c>
      <c r="W225" s="1">
        <v>4000</v>
      </c>
      <c r="X225" s="1">
        <v>2168</v>
      </c>
      <c r="Y225" s="1">
        <v>678</v>
      </c>
      <c r="Z225" s="1">
        <v>524</v>
      </c>
      <c r="AA225" s="1">
        <v>966</v>
      </c>
      <c r="AB225" s="1">
        <v>0</v>
      </c>
      <c r="AC225" s="1">
        <v>4</v>
      </c>
      <c r="AD225" s="1" t="s">
        <v>215</v>
      </c>
      <c r="AE225" s="1" t="s">
        <v>2699</v>
      </c>
      <c r="AF225" s="1" t="s">
        <v>2700</v>
      </c>
      <c r="AG225" s="1" t="s">
        <v>2701</v>
      </c>
      <c r="AH225" s="1" t="s">
        <v>2702</v>
      </c>
      <c r="AI225" s="1">
        <v>4.17</v>
      </c>
      <c r="AJ225" s="1">
        <v>457</v>
      </c>
      <c r="AK225" s="1">
        <v>1599</v>
      </c>
    </row>
    <row r="226" spans="1:38" ht="15.75" customHeight="1">
      <c r="A226" s="1">
        <v>1385</v>
      </c>
      <c r="B226" s="1">
        <v>5</v>
      </c>
      <c r="C226" s="1">
        <v>4001</v>
      </c>
      <c r="D226" s="1" t="s">
        <v>51</v>
      </c>
      <c r="E226" s="1" t="s">
        <v>39</v>
      </c>
      <c r="F226" s="1" t="s">
        <v>341</v>
      </c>
      <c r="G226" s="1">
        <v>0</v>
      </c>
      <c r="H226" s="1" t="s">
        <v>41</v>
      </c>
      <c r="I226" s="1" t="s">
        <v>2703</v>
      </c>
      <c r="J226" s="1" t="s">
        <v>2704</v>
      </c>
      <c r="K226" s="1" t="s">
        <v>2705</v>
      </c>
      <c r="L226" s="1">
        <v>1</v>
      </c>
      <c r="M226" s="1">
        <v>0</v>
      </c>
      <c r="N226" s="1" t="s">
        <v>2706</v>
      </c>
      <c r="O226" s="1" t="s">
        <v>2707</v>
      </c>
      <c r="P226" s="1" t="s">
        <v>2708</v>
      </c>
      <c r="Q226" s="1">
        <v>0</v>
      </c>
      <c r="R226" s="1" t="s">
        <v>2709</v>
      </c>
      <c r="S226" s="1" t="s">
        <v>2710</v>
      </c>
      <c r="U226" s="2">
        <v>56777</v>
      </c>
      <c r="V226" s="1">
        <v>3.1616308609999999</v>
      </c>
      <c r="W226" s="1">
        <v>4000</v>
      </c>
      <c r="X226" s="1">
        <v>2370</v>
      </c>
      <c r="Y226" s="1">
        <v>159</v>
      </c>
      <c r="Z226" s="1">
        <v>1720</v>
      </c>
      <c r="AA226" s="1">
        <v>491</v>
      </c>
      <c r="AB226" s="1">
        <v>1</v>
      </c>
      <c r="AC226" s="1">
        <v>3</v>
      </c>
      <c r="AE226" s="1" t="s">
        <v>2711</v>
      </c>
      <c r="AF226" s="1" t="s">
        <v>2712</v>
      </c>
      <c r="AG226" s="1" t="s">
        <v>2713</v>
      </c>
      <c r="AH226" s="1" t="s">
        <v>2714</v>
      </c>
      <c r="AI226" s="1">
        <v>4.54</v>
      </c>
      <c r="AJ226" s="1">
        <v>2229</v>
      </c>
      <c r="AK226" s="1">
        <v>6580</v>
      </c>
    </row>
    <row r="227" spans="1:38" ht="15.75" customHeight="1">
      <c r="A227" s="1">
        <v>624</v>
      </c>
      <c r="C227" s="1">
        <v>4050</v>
      </c>
      <c r="D227" s="1" t="s">
        <v>38</v>
      </c>
      <c r="E227" s="1" t="s">
        <v>39</v>
      </c>
      <c r="F227" s="1" t="s">
        <v>160</v>
      </c>
      <c r="G227" s="1">
        <v>0</v>
      </c>
      <c r="H227" s="1" t="s">
        <v>41</v>
      </c>
      <c r="I227" s="1" t="s">
        <v>2715</v>
      </c>
      <c r="J227" s="1" t="s">
        <v>2716</v>
      </c>
      <c r="K227" s="1" t="s">
        <v>2717</v>
      </c>
      <c r="L227" s="1">
        <v>1</v>
      </c>
      <c r="M227" s="1">
        <v>0</v>
      </c>
      <c r="N227" s="1" t="s">
        <v>2718</v>
      </c>
      <c r="O227" s="1" t="s">
        <v>2719</v>
      </c>
      <c r="P227" s="1" t="s">
        <v>2720</v>
      </c>
      <c r="Q227" s="1">
        <v>0</v>
      </c>
      <c r="R227" s="1" t="s">
        <v>2721</v>
      </c>
      <c r="S227" s="1" t="s">
        <v>2722</v>
      </c>
      <c r="U227" s="2">
        <v>56770</v>
      </c>
      <c r="V227" s="1">
        <v>4.5999999999999996</v>
      </c>
      <c r="W227" s="1">
        <v>4000</v>
      </c>
      <c r="X227" s="1">
        <v>2958</v>
      </c>
      <c r="Y227" s="1">
        <v>1023</v>
      </c>
      <c r="Z227" s="1">
        <v>1108</v>
      </c>
      <c r="AA227" s="1">
        <v>827</v>
      </c>
      <c r="AB227" s="1">
        <v>0</v>
      </c>
      <c r="AC227" s="1">
        <v>11</v>
      </c>
      <c r="AD227" s="1" t="s">
        <v>215</v>
      </c>
      <c r="AE227" s="1" t="s">
        <v>2723</v>
      </c>
      <c r="AF227" s="1" t="s">
        <v>2724</v>
      </c>
      <c r="AG227" s="1" t="s">
        <v>2725</v>
      </c>
      <c r="AH227" s="1" t="s">
        <v>2726</v>
      </c>
      <c r="AI227" s="1">
        <v>4.7407407409999998</v>
      </c>
      <c r="AJ227" s="1">
        <v>43</v>
      </c>
      <c r="AK227" s="1">
        <v>144</v>
      </c>
      <c r="AL227" s="1">
        <v>80</v>
      </c>
    </row>
    <row r="228" spans="1:38" ht="15.75" customHeight="1">
      <c r="A228" s="1">
        <v>75</v>
      </c>
      <c r="C228" s="1">
        <v>4001</v>
      </c>
      <c r="D228" s="1" t="s">
        <v>51</v>
      </c>
      <c r="E228" s="1" t="s">
        <v>39</v>
      </c>
      <c r="F228" s="1" t="s">
        <v>708</v>
      </c>
      <c r="G228" s="1">
        <v>0</v>
      </c>
      <c r="H228" s="1" t="s">
        <v>53</v>
      </c>
      <c r="I228" s="1" t="s">
        <v>2727</v>
      </c>
      <c r="J228" s="1" t="s">
        <v>2728</v>
      </c>
      <c r="K228" s="1" t="s">
        <v>2729</v>
      </c>
      <c r="L228" s="1">
        <v>1</v>
      </c>
      <c r="M228" s="1">
        <v>0</v>
      </c>
      <c r="N228" s="1" t="s">
        <v>2730</v>
      </c>
      <c r="O228" s="1" t="s">
        <v>2731</v>
      </c>
      <c r="P228" s="1" t="s">
        <v>2732</v>
      </c>
      <c r="Q228" s="1">
        <v>0</v>
      </c>
      <c r="R228" s="1" t="s">
        <v>2733</v>
      </c>
      <c r="S228" s="1" t="s">
        <v>2734</v>
      </c>
      <c r="U228" s="2">
        <v>56766</v>
      </c>
      <c r="V228" s="1">
        <v>4</v>
      </c>
      <c r="W228" s="1">
        <v>4000</v>
      </c>
      <c r="X228" s="1">
        <v>3059</v>
      </c>
      <c r="Y228" s="1">
        <v>867</v>
      </c>
      <c r="Z228" s="1">
        <v>1034</v>
      </c>
      <c r="AA228" s="1">
        <v>1158</v>
      </c>
      <c r="AB228" s="1">
        <v>0</v>
      </c>
      <c r="AC228" s="1">
        <v>4</v>
      </c>
      <c r="AD228" s="1" t="s">
        <v>76</v>
      </c>
      <c r="AE228" s="1" t="s">
        <v>2735</v>
      </c>
      <c r="AF228" s="1" t="s">
        <v>2736</v>
      </c>
      <c r="AG228" s="1" t="s">
        <v>2737</v>
      </c>
      <c r="AH228" s="1" t="s">
        <v>2738</v>
      </c>
      <c r="AI228" s="1">
        <v>4.5999999999999996</v>
      </c>
      <c r="AJ228" s="1">
        <v>292</v>
      </c>
      <c r="AK228" s="1">
        <v>1027</v>
      </c>
      <c r="AL228" s="1">
        <v>26</v>
      </c>
    </row>
    <row r="229" spans="1:38" ht="15.75" customHeight="1">
      <c r="A229" s="1">
        <v>776</v>
      </c>
      <c r="C229" s="1">
        <v>4001</v>
      </c>
      <c r="D229" s="1" t="s">
        <v>51</v>
      </c>
      <c r="E229" s="1" t="s">
        <v>39</v>
      </c>
      <c r="F229" s="1" t="s">
        <v>341</v>
      </c>
      <c r="G229" s="1">
        <v>0</v>
      </c>
      <c r="H229" s="1" t="s">
        <v>41</v>
      </c>
      <c r="I229" s="1" t="s">
        <v>2739</v>
      </c>
      <c r="J229" s="1" t="s">
        <v>2740</v>
      </c>
      <c r="K229" s="1" t="s">
        <v>2741</v>
      </c>
      <c r="L229" s="1">
        <v>1</v>
      </c>
      <c r="M229" s="1">
        <v>0</v>
      </c>
      <c r="N229" s="1" t="s">
        <v>2742</v>
      </c>
      <c r="O229" s="1" t="s">
        <v>2743</v>
      </c>
      <c r="P229" s="1" t="s">
        <v>2744</v>
      </c>
      <c r="Q229" s="1">
        <v>0</v>
      </c>
      <c r="R229" s="1" t="s">
        <v>2745</v>
      </c>
      <c r="S229" s="1" t="s">
        <v>2746</v>
      </c>
      <c r="U229" s="2">
        <v>56771</v>
      </c>
      <c r="V229" s="1">
        <v>4.4000000000000004</v>
      </c>
      <c r="W229" s="1">
        <v>4000</v>
      </c>
      <c r="X229" s="1">
        <v>2077</v>
      </c>
      <c r="Y229" s="1">
        <v>428</v>
      </c>
      <c r="Z229" s="1">
        <v>1066</v>
      </c>
      <c r="AA229" s="1">
        <v>583</v>
      </c>
      <c r="AB229" s="1">
        <v>0</v>
      </c>
      <c r="AC229" s="1">
        <v>5</v>
      </c>
      <c r="AD229" s="1" t="s">
        <v>62</v>
      </c>
      <c r="AE229" s="1" t="s">
        <v>2747</v>
      </c>
      <c r="AF229" s="1" t="s">
        <v>2748</v>
      </c>
      <c r="AG229" s="1" t="s">
        <v>2749</v>
      </c>
      <c r="AH229" s="1" t="s">
        <v>2750</v>
      </c>
      <c r="AI229" s="1">
        <v>4.54</v>
      </c>
      <c r="AJ229" s="1">
        <v>2229</v>
      </c>
      <c r="AK229" s="1">
        <v>6580</v>
      </c>
    </row>
    <row r="230" spans="1:38" ht="15.75" customHeight="1">
      <c r="A230" s="1">
        <v>342</v>
      </c>
      <c r="B230" s="1">
        <v>5</v>
      </c>
      <c r="C230" s="1">
        <v>4050</v>
      </c>
      <c r="D230" s="1" t="s">
        <v>38</v>
      </c>
      <c r="E230" s="1" t="s">
        <v>39</v>
      </c>
      <c r="F230" s="1" t="s">
        <v>220</v>
      </c>
      <c r="G230" s="1">
        <v>0</v>
      </c>
      <c r="H230" s="1" t="s">
        <v>41</v>
      </c>
      <c r="I230" s="1" t="s">
        <v>2751</v>
      </c>
      <c r="J230" s="1" t="s">
        <v>2752</v>
      </c>
      <c r="K230" s="1" t="s">
        <v>2753</v>
      </c>
      <c r="L230" s="1">
        <v>1</v>
      </c>
      <c r="M230" s="1">
        <v>0</v>
      </c>
      <c r="N230" s="1" t="s">
        <v>2754</v>
      </c>
      <c r="O230" s="1" t="s">
        <v>2755</v>
      </c>
      <c r="P230" s="1" t="s">
        <v>2756</v>
      </c>
      <c r="Q230" s="1">
        <v>0</v>
      </c>
      <c r="R230" s="1" t="s">
        <v>2757</v>
      </c>
      <c r="S230" s="1" t="s">
        <v>2758</v>
      </c>
      <c r="U230" s="2">
        <v>56768</v>
      </c>
      <c r="V230" s="1">
        <v>4.5</v>
      </c>
      <c r="W230" s="1">
        <v>4000</v>
      </c>
      <c r="X230" s="1">
        <v>3125</v>
      </c>
      <c r="Y230" s="1">
        <v>1020</v>
      </c>
      <c r="Z230" s="1">
        <v>1336</v>
      </c>
      <c r="AA230" s="1">
        <v>769</v>
      </c>
      <c r="AB230" s="1">
        <v>0</v>
      </c>
      <c r="AC230" s="1">
        <v>3</v>
      </c>
      <c r="AE230" s="1" t="s">
        <v>2759</v>
      </c>
      <c r="AF230" s="1" t="s">
        <v>2760</v>
      </c>
      <c r="AG230" s="1" t="s">
        <v>2761</v>
      </c>
      <c r="AH230" s="1" t="s">
        <v>2762</v>
      </c>
      <c r="AI230" s="1">
        <v>4.42</v>
      </c>
      <c r="AJ230" s="1">
        <v>1396</v>
      </c>
      <c r="AK230" s="1">
        <v>4836</v>
      </c>
      <c r="AL230" s="1">
        <v>1278</v>
      </c>
    </row>
    <row r="231" spans="1:38" ht="15.75" customHeight="1">
      <c r="A231" s="1">
        <v>322</v>
      </c>
      <c r="C231" s="1">
        <v>4001</v>
      </c>
      <c r="D231" s="1" t="s">
        <v>51</v>
      </c>
      <c r="E231" s="1" t="s">
        <v>39</v>
      </c>
      <c r="F231" s="1" t="s">
        <v>648</v>
      </c>
      <c r="G231" s="1">
        <v>0</v>
      </c>
      <c r="H231" s="1" t="s">
        <v>53</v>
      </c>
      <c r="I231" s="1" t="s">
        <v>2763</v>
      </c>
      <c r="J231" s="1" t="s">
        <v>2764</v>
      </c>
      <c r="K231" s="1" t="s">
        <v>2765</v>
      </c>
      <c r="L231" s="1">
        <v>1</v>
      </c>
      <c r="M231" s="1">
        <v>0</v>
      </c>
      <c r="N231" s="1" t="s">
        <v>2766</v>
      </c>
      <c r="O231" s="1" t="s">
        <v>2767</v>
      </c>
      <c r="P231" s="1" t="s">
        <v>2768</v>
      </c>
      <c r="Q231" s="1">
        <v>0</v>
      </c>
      <c r="R231" s="1" t="s">
        <v>2769</v>
      </c>
      <c r="S231" s="1" t="s">
        <v>2770</v>
      </c>
      <c r="U231" s="2">
        <v>56768</v>
      </c>
      <c r="V231" s="1">
        <v>4.1771995459999998</v>
      </c>
      <c r="W231" s="1">
        <v>4000</v>
      </c>
      <c r="X231" s="1">
        <v>1473</v>
      </c>
      <c r="Y231" s="1">
        <v>850</v>
      </c>
      <c r="AA231" s="1">
        <v>786</v>
      </c>
      <c r="AB231" s="1">
        <v>0</v>
      </c>
      <c r="AC231" s="1">
        <v>2</v>
      </c>
      <c r="AD231" s="1" t="s">
        <v>76</v>
      </c>
      <c r="AE231" s="1" t="s">
        <v>2771</v>
      </c>
      <c r="AF231" s="1" t="s">
        <v>2772</v>
      </c>
      <c r="AG231" s="1" t="s">
        <v>2773</v>
      </c>
      <c r="AH231" s="1" t="s">
        <v>2774</v>
      </c>
      <c r="AI231" s="1">
        <v>4.7</v>
      </c>
      <c r="AJ231" s="1">
        <v>443</v>
      </c>
      <c r="AK231" s="1">
        <v>1579</v>
      </c>
    </row>
    <row r="232" spans="1:38" ht="15.75" customHeight="1">
      <c r="A232" s="1">
        <v>888</v>
      </c>
      <c r="C232" s="1">
        <v>4050</v>
      </c>
      <c r="D232" s="1" t="s">
        <v>38</v>
      </c>
      <c r="E232" s="1" t="s">
        <v>39</v>
      </c>
      <c r="F232" s="1" t="s">
        <v>510</v>
      </c>
      <c r="G232" s="1">
        <v>0</v>
      </c>
      <c r="H232" s="1" t="s">
        <v>41</v>
      </c>
      <c r="I232" s="1" t="s">
        <v>2775</v>
      </c>
      <c r="J232" s="1" t="s">
        <v>2776</v>
      </c>
      <c r="K232" s="1" t="s">
        <v>2777</v>
      </c>
      <c r="L232" s="1">
        <v>1</v>
      </c>
      <c r="M232" s="1">
        <v>0</v>
      </c>
      <c r="N232" s="1" t="s">
        <v>2778</v>
      </c>
      <c r="O232" s="1" t="s">
        <v>2779</v>
      </c>
      <c r="P232" s="1" t="s">
        <v>2780</v>
      </c>
      <c r="Q232" s="1">
        <v>0</v>
      </c>
      <c r="R232" s="1" t="s">
        <v>2781</v>
      </c>
      <c r="S232" s="1" t="s">
        <v>2782</v>
      </c>
      <c r="U232" s="2">
        <v>56772</v>
      </c>
      <c r="V232" s="1">
        <v>4.5</v>
      </c>
      <c r="W232" s="1">
        <v>4000</v>
      </c>
      <c r="X232" s="1">
        <v>1981</v>
      </c>
      <c r="Y232" s="1">
        <v>654</v>
      </c>
      <c r="Z232" s="1">
        <v>320</v>
      </c>
      <c r="AA232" s="1">
        <v>1007</v>
      </c>
      <c r="AB232" s="1">
        <v>0</v>
      </c>
      <c r="AC232" s="1">
        <v>3</v>
      </c>
      <c r="AD232" s="1" t="s">
        <v>215</v>
      </c>
      <c r="AE232" s="1" t="s">
        <v>2783</v>
      </c>
      <c r="AF232" s="1" t="s">
        <v>2784</v>
      </c>
      <c r="AG232" s="1" t="s">
        <v>2785</v>
      </c>
      <c r="AH232" s="1" t="s">
        <v>2786</v>
      </c>
      <c r="AI232" s="1">
        <v>4.62</v>
      </c>
      <c r="AJ232" s="1">
        <v>259</v>
      </c>
      <c r="AK232" s="1">
        <v>604</v>
      </c>
      <c r="AL232" s="1">
        <v>21</v>
      </c>
    </row>
    <row r="233" spans="1:38" ht="15.75" customHeight="1">
      <c r="A233" s="1">
        <v>1391</v>
      </c>
      <c r="B233" s="1">
        <v>1</v>
      </c>
      <c r="C233" s="1">
        <v>4001</v>
      </c>
      <c r="D233" s="1" t="s">
        <v>51</v>
      </c>
      <c r="E233" s="1" t="s">
        <v>39</v>
      </c>
      <c r="F233" s="1" t="s">
        <v>341</v>
      </c>
      <c r="G233" s="1">
        <v>0</v>
      </c>
      <c r="H233" s="1" t="s">
        <v>41</v>
      </c>
      <c r="I233" s="1" t="s">
        <v>2787</v>
      </c>
      <c r="J233" s="1" t="s">
        <v>2788</v>
      </c>
      <c r="K233" s="1" t="s">
        <v>2789</v>
      </c>
      <c r="L233" s="1">
        <v>1</v>
      </c>
      <c r="M233" s="1">
        <v>0</v>
      </c>
      <c r="N233" s="1" t="s">
        <v>2790</v>
      </c>
      <c r="O233" s="1" t="s">
        <v>2791</v>
      </c>
      <c r="P233" s="1" t="s">
        <v>2792</v>
      </c>
      <c r="Q233" s="1">
        <v>0</v>
      </c>
      <c r="R233" s="1" t="s">
        <v>2793</v>
      </c>
      <c r="S233" s="1" t="s">
        <v>2794</v>
      </c>
      <c r="U233" s="2">
        <v>56777</v>
      </c>
      <c r="V233" s="1">
        <v>4.5999999999999996</v>
      </c>
      <c r="W233" s="1">
        <v>4000</v>
      </c>
      <c r="X233" s="1">
        <v>1661</v>
      </c>
      <c r="Y233" s="1">
        <v>388</v>
      </c>
      <c r="Z233" s="1">
        <v>412</v>
      </c>
      <c r="AA233" s="1">
        <v>861</v>
      </c>
      <c r="AB233" s="1">
        <v>0</v>
      </c>
      <c r="AC233" s="1">
        <v>9</v>
      </c>
      <c r="AD233" s="1" t="s">
        <v>215</v>
      </c>
      <c r="AE233" s="1" t="s">
        <v>2795</v>
      </c>
      <c r="AF233" s="1" t="s">
        <v>2796</v>
      </c>
      <c r="AG233" s="1" t="s">
        <v>2797</v>
      </c>
      <c r="AH233" s="1" t="s">
        <v>2798</v>
      </c>
      <c r="AI233" s="1">
        <v>4.54</v>
      </c>
      <c r="AJ233" s="1">
        <v>2229</v>
      </c>
      <c r="AK233" s="1">
        <v>6580</v>
      </c>
    </row>
    <row r="234" spans="1:38" ht="15.75" customHeight="1">
      <c r="A234" s="1">
        <v>1438</v>
      </c>
      <c r="C234" s="1">
        <v>4001</v>
      </c>
      <c r="D234" s="1" t="s">
        <v>51</v>
      </c>
      <c r="E234" s="1" t="s">
        <v>39</v>
      </c>
      <c r="F234" s="1" t="s">
        <v>341</v>
      </c>
      <c r="G234" s="1">
        <v>0</v>
      </c>
      <c r="H234" s="1" t="s">
        <v>41</v>
      </c>
      <c r="I234" s="1" t="s">
        <v>2799</v>
      </c>
      <c r="J234" s="1" t="s">
        <v>2800</v>
      </c>
      <c r="K234" s="1" t="s">
        <v>2801</v>
      </c>
      <c r="L234" s="1">
        <v>1</v>
      </c>
      <c r="M234" s="1">
        <v>0</v>
      </c>
      <c r="N234" s="1" t="s">
        <v>2802</v>
      </c>
      <c r="O234" s="1" t="s">
        <v>2803</v>
      </c>
      <c r="P234" s="1" t="s">
        <v>2804</v>
      </c>
      <c r="Q234" s="1">
        <v>0</v>
      </c>
      <c r="R234" s="1" t="s">
        <v>2805</v>
      </c>
      <c r="S234" s="1" t="s">
        <v>2806</v>
      </c>
      <c r="U234" s="2">
        <v>56777</v>
      </c>
      <c r="V234" s="1">
        <v>4.2</v>
      </c>
      <c r="W234" s="1">
        <v>4000</v>
      </c>
      <c r="X234" s="1">
        <v>3238</v>
      </c>
      <c r="Y234" s="1">
        <v>1178</v>
      </c>
      <c r="Z234" s="1">
        <v>952</v>
      </c>
      <c r="AA234" s="1">
        <v>1108</v>
      </c>
      <c r="AB234" s="1">
        <v>1</v>
      </c>
      <c r="AC234" s="1">
        <v>9</v>
      </c>
      <c r="AE234" s="1" t="s">
        <v>2807</v>
      </c>
      <c r="AF234" s="1" t="s">
        <v>2808</v>
      </c>
      <c r="AG234" s="1" t="s">
        <v>2809</v>
      </c>
      <c r="AH234" s="1" t="s">
        <v>2810</v>
      </c>
      <c r="AI234" s="1">
        <v>4.54</v>
      </c>
      <c r="AJ234" s="1">
        <v>2229</v>
      </c>
      <c r="AK234" s="1">
        <v>6580</v>
      </c>
    </row>
    <row r="235" spans="1:38" ht="15.75" customHeight="1">
      <c r="A235" s="1">
        <v>810</v>
      </c>
      <c r="B235" s="1">
        <v>5</v>
      </c>
      <c r="C235" s="1">
        <v>4050</v>
      </c>
      <c r="D235" s="1" t="s">
        <v>38</v>
      </c>
      <c r="E235" s="1" t="s">
        <v>39</v>
      </c>
      <c r="F235" s="1" t="s">
        <v>2811</v>
      </c>
      <c r="G235" s="1">
        <v>0</v>
      </c>
      <c r="H235" s="1" t="s">
        <v>41</v>
      </c>
      <c r="I235" s="1" t="s">
        <v>2812</v>
      </c>
      <c r="J235" s="1" t="s">
        <v>2813</v>
      </c>
      <c r="K235" s="1" t="s">
        <v>2814</v>
      </c>
      <c r="L235" s="1">
        <v>1</v>
      </c>
      <c r="M235" s="1">
        <v>0</v>
      </c>
      <c r="N235" s="1" t="s">
        <v>2815</v>
      </c>
      <c r="O235" s="1" t="s">
        <v>2816</v>
      </c>
      <c r="P235" s="1" t="s">
        <v>2817</v>
      </c>
      <c r="Q235" s="1">
        <v>0</v>
      </c>
      <c r="R235" s="1" t="s">
        <v>2818</v>
      </c>
      <c r="S235" s="1" t="s">
        <v>2819</v>
      </c>
      <c r="U235" s="2">
        <v>56771</v>
      </c>
      <c r="V235" s="1">
        <v>3.4317832890000002</v>
      </c>
      <c r="W235" s="1">
        <v>4000</v>
      </c>
      <c r="X235" s="1">
        <v>2220</v>
      </c>
      <c r="Y235" s="1">
        <v>389</v>
      </c>
      <c r="Z235" s="1">
        <v>950</v>
      </c>
      <c r="AA235" s="1">
        <v>881</v>
      </c>
      <c r="AB235" s="1">
        <v>0</v>
      </c>
      <c r="AC235" s="1">
        <v>4</v>
      </c>
      <c r="AD235" s="1" t="s">
        <v>62</v>
      </c>
      <c r="AE235" s="1" t="s">
        <v>2820</v>
      </c>
      <c r="AF235" s="1" t="s">
        <v>2821</v>
      </c>
      <c r="AG235" s="1" t="s">
        <v>2822</v>
      </c>
      <c r="AH235" s="1" t="s">
        <v>2823</v>
      </c>
      <c r="AI235" s="1">
        <v>5</v>
      </c>
      <c r="AJ235" s="1">
        <v>6</v>
      </c>
      <c r="AK235" s="1">
        <v>20</v>
      </c>
      <c r="AL235" s="1">
        <v>5</v>
      </c>
    </row>
    <row r="236" spans="1:38" ht="15.75" customHeight="1">
      <c r="A236" s="1">
        <v>165</v>
      </c>
      <c r="B236" s="1">
        <v>5</v>
      </c>
      <c r="C236" s="1">
        <v>4050</v>
      </c>
      <c r="D236" s="1" t="s">
        <v>38</v>
      </c>
      <c r="E236" s="1" t="s">
        <v>39</v>
      </c>
      <c r="F236" s="1" t="s">
        <v>510</v>
      </c>
      <c r="G236" s="1">
        <v>0</v>
      </c>
      <c r="H236" s="1" t="s">
        <v>41</v>
      </c>
      <c r="I236" s="1" t="s">
        <v>2824</v>
      </c>
      <c r="J236" s="1" t="s">
        <v>2825</v>
      </c>
      <c r="K236" s="1" t="s">
        <v>2826</v>
      </c>
      <c r="L236" s="1">
        <v>1</v>
      </c>
      <c r="M236" s="1">
        <v>0</v>
      </c>
      <c r="N236" s="1" t="s">
        <v>2827</v>
      </c>
      <c r="O236" s="1" t="s">
        <v>2828</v>
      </c>
      <c r="P236" s="1" t="s">
        <v>2829</v>
      </c>
      <c r="Q236" s="1">
        <v>1</v>
      </c>
      <c r="R236" s="1" t="s">
        <v>2830</v>
      </c>
      <c r="S236" s="1" t="s">
        <v>2831</v>
      </c>
      <c r="U236" s="2">
        <v>56767</v>
      </c>
      <c r="V236" s="1">
        <v>4.8</v>
      </c>
      <c r="W236" s="1">
        <v>3500</v>
      </c>
      <c r="X236" s="1">
        <v>1242</v>
      </c>
      <c r="Y236" s="1">
        <v>616</v>
      </c>
      <c r="Z236" s="1">
        <v>166</v>
      </c>
      <c r="AA236" s="1">
        <v>460</v>
      </c>
      <c r="AB236" s="1">
        <v>0</v>
      </c>
      <c r="AC236" s="1">
        <v>3</v>
      </c>
      <c r="AD236" s="1" t="s">
        <v>215</v>
      </c>
      <c r="AE236" s="1" t="s">
        <v>2832</v>
      </c>
      <c r="AF236" s="1" t="s">
        <v>2833</v>
      </c>
      <c r="AG236" s="1" t="s">
        <v>2834</v>
      </c>
      <c r="AH236" s="1" t="s">
        <v>2835</v>
      </c>
      <c r="AI236" s="1">
        <v>4.62</v>
      </c>
      <c r="AJ236" s="1">
        <v>259</v>
      </c>
      <c r="AK236" s="1">
        <v>604</v>
      </c>
      <c r="AL236" s="1">
        <v>21</v>
      </c>
    </row>
    <row r="237" spans="1:38" ht="15.75" customHeight="1">
      <c r="A237" s="1">
        <v>363</v>
      </c>
      <c r="C237" s="1">
        <v>4050</v>
      </c>
      <c r="D237" s="1" t="s">
        <v>38</v>
      </c>
      <c r="E237" s="1" t="s">
        <v>39</v>
      </c>
      <c r="F237" s="1" t="s">
        <v>451</v>
      </c>
      <c r="G237" s="1">
        <v>0</v>
      </c>
      <c r="H237" s="1" t="s">
        <v>41</v>
      </c>
      <c r="I237" s="1" t="s">
        <v>2836</v>
      </c>
      <c r="J237" s="1" t="s">
        <v>2837</v>
      </c>
      <c r="K237" s="1" t="s">
        <v>2838</v>
      </c>
      <c r="L237" s="1">
        <v>1</v>
      </c>
      <c r="M237" s="1">
        <v>0</v>
      </c>
      <c r="N237" s="1" t="s">
        <v>2839</v>
      </c>
      <c r="O237" s="1" t="s">
        <v>2840</v>
      </c>
      <c r="P237" s="1" t="s">
        <v>2841</v>
      </c>
      <c r="Q237" s="1">
        <v>0</v>
      </c>
      <c r="R237" s="1" t="s">
        <v>2842</v>
      </c>
      <c r="U237" s="2">
        <v>56768</v>
      </c>
      <c r="V237" s="1">
        <v>4.5999999999999996</v>
      </c>
      <c r="W237" s="1">
        <v>3500</v>
      </c>
      <c r="X237" s="1">
        <v>2523</v>
      </c>
      <c r="AA237" s="1">
        <v>1082</v>
      </c>
      <c r="AB237" s="1">
        <v>0</v>
      </c>
      <c r="AC237" s="1">
        <v>3</v>
      </c>
      <c r="AE237" s="1" t="s">
        <v>2843</v>
      </c>
      <c r="AF237" s="1" t="s">
        <v>2844</v>
      </c>
      <c r="AG237" s="1" t="s">
        <v>2845</v>
      </c>
      <c r="AI237" s="1">
        <v>4.7</v>
      </c>
      <c r="AJ237" s="1">
        <v>272</v>
      </c>
      <c r="AK237" s="1">
        <v>931</v>
      </c>
      <c r="AL237" s="1">
        <v>144</v>
      </c>
    </row>
    <row r="238" spans="1:38" ht="15.75" customHeight="1">
      <c r="A238" s="1">
        <v>622</v>
      </c>
      <c r="C238" s="1">
        <v>4050</v>
      </c>
      <c r="D238" s="1" t="s">
        <v>38</v>
      </c>
      <c r="E238" s="1" t="s">
        <v>39</v>
      </c>
      <c r="F238" s="1" t="s">
        <v>390</v>
      </c>
      <c r="G238" s="1">
        <v>0</v>
      </c>
      <c r="H238" s="1" t="s">
        <v>41</v>
      </c>
      <c r="I238" s="1" t="s">
        <v>2846</v>
      </c>
      <c r="J238" s="1" t="s">
        <v>2847</v>
      </c>
      <c r="K238" s="1" t="s">
        <v>2848</v>
      </c>
      <c r="L238" s="1">
        <v>1</v>
      </c>
      <c r="M238" s="1">
        <v>0</v>
      </c>
      <c r="N238" s="1" t="s">
        <v>2849</v>
      </c>
      <c r="O238" s="1" t="s">
        <v>2850</v>
      </c>
      <c r="P238" s="1" t="s">
        <v>2851</v>
      </c>
      <c r="Q238" s="1">
        <v>0</v>
      </c>
      <c r="R238" s="1" t="s">
        <v>2852</v>
      </c>
      <c r="S238" s="1" t="s">
        <v>2853</v>
      </c>
      <c r="U238" s="2">
        <v>56770</v>
      </c>
      <c r="V238" s="1">
        <v>4.7</v>
      </c>
      <c r="W238" s="1">
        <v>3500</v>
      </c>
      <c r="X238" s="1">
        <v>2327</v>
      </c>
      <c r="Y238" s="1">
        <v>645</v>
      </c>
      <c r="Z238" s="1">
        <v>1055</v>
      </c>
      <c r="AA238" s="1">
        <v>627</v>
      </c>
      <c r="AB238" s="1">
        <v>0</v>
      </c>
      <c r="AC238" s="1">
        <v>2</v>
      </c>
      <c r="AD238" s="1" t="s">
        <v>215</v>
      </c>
      <c r="AE238" s="1" t="s">
        <v>2854</v>
      </c>
      <c r="AF238" s="1" t="s">
        <v>2855</v>
      </c>
      <c r="AG238" s="1" t="s">
        <v>2856</v>
      </c>
      <c r="AH238" s="1" t="s">
        <v>2857</v>
      </c>
      <c r="AI238" s="1">
        <v>4.5599999999999996</v>
      </c>
      <c r="AJ238" s="1">
        <v>344</v>
      </c>
      <c r="AK238" s="1">
        <v>947</v>
      </c>
      <c r="AL238" s="1">
        <v>22</v>
      </c>
    </row>
    <row r="239" spans="1:38" ht="15.75" customHeight="1">
      <c r="A239" s="1">
        <v>1306</v>
      </c>
      <c r="C239" s="1">
        <v>4001</v>
      </c>
      <c r="D239" s="1" t="s">
        <v>51</v>
      </c>
      <c r="E239" s="1" t="s">
        <v>39</v>
      </c>
      <c r="F239" s="1" t="s">
        <v>708</v>
      </c>
      <c r="G239" s="1">
        <v>0</v>
      </c>
      <c r="H239" s="1" t="s">
        <v>53</v>
      </c>
      <c r="I239" s="1" t="s">
        <v>2858</v>
      </c>
      <c r="J239" s="1" t="s">
        <v>2859</v>
      </c>
      <c r="K239" s="1" t="s">
        <v>2860</v>
      </c>
      <c r="L239" s="1">
        <v>1</v>
      </c>
      <c r="M239" s="1">
        <v>0</v>
      </c>
      <c r="N239" s="1" t="s">
        <v>2861</v>
      </c>
      <c r="O239" s="1" t="s">
        <v>2862</v>
      </c>
      <c r="P239" s="1" t="s">
        <v>2863</v>
      </c>
      <c r="Q239" s="1">
        <v>0</v>
      </c>
      <c r="R239" s="1" t="s">
        <v>2864</v>
      </c>
      <c r="S239" s="1" t="s">
        <v>2865</v>
      </c>
      <c r="U239" s="2">
        <v>56776</v>
      </c>
      <c r="V239" s="1">
        <v>3.3758996410000002</v>
      </c>
      <c r="W239" s="1">
        <v>3500</v>
      </c>
      <c r="X239" s="1">
        <v>1656</v>
      </c>
      <c r="Y239" s="1">
        <v>872</v>
      </c>
      <c r="AA239" s="1">
        <v>879</v>
      </c>
      <c r="AB239" s="1">
        <v>0</v>
      </c>
      <c r="AC239" s="1">
        <v>2</v>
      </c>
      <c r="AD239" s="1" t="s">
        <v>76</v>
      </c>
      <c r="AE239" s="1" t="s">
        <v>2866</v>
      </c>
      <c r="AF239" s="1" t="s">
        <v>2867</v>
      </c>
      <c r="AG239" s="1" t="s">
        <v>2868</v>
      </c>
      <c r="AH239" s="1" t="s">
        <v>2869</v>
      </c>
      <c r="AI239" s="1">
        <v>4.5999999999999996</v>
      </c>
      <c r="AJ239" s="1">
        <v>292</v>
      </c>
      <c r="AK239" s="1">
        <v>1027</v>
      </c>
      <c r="AL239" s="1">
        <v>26</v>
      </c>
    </row>
    <row r="240" spans="1:38" ht="15.75" customHeight="1">
      <c r="A240" s="1">
        <v>183</v>
      </c>
      <c r="B240" s="1">
        <v>2</v>
      </c>
      <c r="C240" s="1">
        <v>4050</v>
      </c>
      <c r="D240" s="1" t="s">
        <v>38</v>
      </c>
      <c r="E240" s="1" t="s">
        <v>39</v>
      </c>
      <c r="F240" s="1" t="s">
        <v>695</v>
      </c>
      <c r="G240" s="1">
        <v>0</v>
      </c>
      <c r="H240" s="1" t="s">
        <v>41</v>
      </c>
      <c r="I240" s="1" t="s">
        <v>2870</v>
      </c>
      <c r="J240" s="1" t="s">
        <v>2871</v>
      </c>
      <c r="K240" s="1" t="s">
        <v>2872</v>
      </c>
      <c r="L240" s="1">
        <v>1</v>
      </c>
      <c r="M240" s="1">
        <v>0</v>
      </c>
      <c r="N240" s="1" t="s">
        <v>2873</v>
      </c>
      <c r="O240" s="1" t="s">
        <v>2874</v>
      </c>
      <c r="P240" s="1" t="s">
        <v>2875</v>
      </c>
      <c r="Q240" s="1">
        <v>0</v>
      </c>
      <c r="R240" s="1" t="s">
        <v>2876</v>
      </c>
      <c r="S240" s="1" t="s">
        <v>2877</v>
      </c>
      <c r="U240" s="2">
        <v>56767</v>
      </c>
      <c r="V240" s="1">
        <v>3.4317832890000002</v>
      </c>
      <c r="W240" s="1">
        <v>3500</v>
      </c>
      <c r="X240" s="1">
        <v>2099</v>
      </c>
      <c r="Y240" s="1">
        <v>1310</v>
      </c>
      <c r="AA240" s="1">
        <v>791</v>
      </c>
      <c r="AB240" s="1">
        <v>0</v>
      </c>
      <c r="AC240" s="1">
        <v>2</v>
      </c>
      <c r="AD240" s="1" t="s">
        <v>76</v>
      </c>
      <c r="AE240" s="1" t="s">
        <v>2878</v>
      </c>
      <c r="AF240" s="1" t="s">
        <v>2879</v>
      </c>
      <c r="AG240" s="1" t="s">
        <v>2880</v>
      </c>
      <c r="AH240" s="1" t="s">
        <v>2881</v>
      </c>
      <c r="AI240" s="1">
        <v>4.38</v>
      </c>
      <c r="AJ240" s="1">
        <v>196</v>
      </c>
      <c r="AK240" s="1">
        <v>626</v>
      </c>
    </row>
    <row r="241" spans="1:38" ht="15.75" customHeight="1">
      <c r="A241" s="1">
        <v>579</v>
      </c>
      <c r="B241" s="1">
        <v>5</v>
      </c>
      <c r="C241" s="1">
        <v>4001</v>
      </c>
      <c r="D241" s="1" t="s">
        <v>51</v>
      </c>
      <c r="E241" s="1" t="s">
        <v>39</v>
      </c>
      <c r="F241" s="1" t="s">
        <v>341</v>
      </c>
      <c r="G241" s="1">
        <v>0</v>
      </c>
      <c r="H241" s="1" t="s">
        <v>41</v>
      </c>
      <c r="I241" s="1" t="s">
        <v>2882</v>
      </c>
      <c r="J241" s="1" t="s">
        <v>2883</v>
      </c>
      <c r="K241" s="1" t="s">
        <v>2884</v>
      </c>
      <c r="L241" s="1">
        <v>1</v>
      </c>
      <c r="M241" s="1">
        <v>0</v>
      </c>
      <c r="N241" s="1" t="s">
        <v>2885</v>
      </c>
      <c r="O241" s="1" t="s">
        <v>2886</v>
      </c>
      <c r="P241" s="1" t="s">
        <v>2887</v>
      </c>
      <c r="Q241" s="1">
        <v>0</v>
      </c>
      <c r="R241" s="1" t="s">
        <v>2888</v>
      </c>
      <c r="S241" s="1" t="s">
        <v>2889</v>
      </c>
      <c r="U241" s="2">
        <v>56770</v>
      </c>
      <c r="V241" s="1">
        <v>4.4000000000000004</v>
      </c>
      <c r="W241" s="1">
        <v>3500</v>
      </c>
      <c r="X241" s="1">
        <v>1429</v>
      </c>
      <c r="Y241" s="1">
        <v>335</v>
      </c>
      <c r="Z241" s="1">
        <v>250</v>
      </c>
      <c r="AA241" s="1">
        <v>844</v>
      </c>
      <c r="AB241" s="1">
        <v>1</v>
      </c>
      <c r="AC241" s="1">
        <v>3</v>
      </c>
      <c r="AE241" s="1" t="s">
        <v>2890</v>
      </c>
      <c r="AF241" s="1" t="s">
        <v>2891</v>
      </c>
      <c r="AG241" s="1" t="s">
        <v>2892</v>
      </c>
      <c r="AH241" s="1" t="s">
        <v>2893</v>
      </c>
      <c r="AI241" s="1">
        <v>4.54</v>
      </c>
      <c r="AJ241" s="1">
        <v>2229</v>
      </c>
      <c r="AK241" s="1">
        <v>6580</v>
      </c>
    </row>
    <row r="242" spans="1:38" ht="15.75" customHeight="1">
      <c r="A242" s="1">
        <v>858</v>
      </c>
      <c r="C242" s="1">
        <v>4050</v>
      </c>
      <c r="D242" s="1" t="s">
        <v>38</v>
      </c>
      <c r="E242" s="1" t="s">
        <v>39</v>
      </c>
      <c r="F242" s="1" t="s">
        <v>1348</v>
      </c>
      <c r="G242" s="1">
        <v>0</v>
      </c>
      <c r="H242" s="1" t="s">
        <v>41</v>
      </c>
      <c r="I242" s="1" t="s">
        <v>2894</v>
      </c>
      <c r="J242" s="1" t="s">
        <v>2895</v>
      </c>
      <c r="K242" s="1" t="s">
        <v>2896</v>
      </c>
      <c r="L242" s="1">
        <v>1</v>
      </c>
      <c r="M242" s="1">
        <v>0</v>
      </c>
      <c r="N242" s="1" t="s">
        <v>2897</v>
      </c>
      <c r="O242" s="1" t="s">
        <v>2898</v>
      </c>
      <c r="P242" s="1" t="s">
        <v>2899</v>
      </c>
      <c r="Q242" s="1">
        <v>0</v>
      </c>
      <c r="R242" s="1" t="s">
        <v>2900</v>
      </c>
      <c r="S242" s="1" t="s">
        <v>2901</v>
      </c>
      <c r="U242" s="2">
        <v>56772</v>
      </c>
      <c r="V242" s="1">
        <v>4.7</v>
      </c>
      <c r="W242" s="1">
        <v>3500</v>
      </c>
      <c r="X242" s="1">
        <v>2204</v>
      </c>
      <c r="Y242" s="1">
        <v>1121</v>
      </c>
      <c r="Z242" s="1">
        <v>599</v>
      </c>
      <c r="AA242" s="1">
        <v>484</v>
      </c>
      <c r="AB242" s="1">
        <v>0</v>
      </c>
      <c r="AC242" s="1">
        <v>3</v>
      </c>
      <c r="AD242" s="1" t="s">
        <v>62</v>
      </c>
      <c r="AE242" s="1" t="s">
        <v>2902</v>
      </c>
      <c r="AF242" s="1" t="s">
        <v>2903</v>
      </c>
      <c r="AG242" s="1" t="s">
        <v>2904</v>
      </c>
      <c r="AH242" s="1" t="s">
        <v>2905</v>
      </c>
      <c r="AI242" s="1">
        <v>4.79</v>
      </c>
      <c r="AJ242" s="1">
        <v>1007</v>
      </c>
      <c r="AK242" s="1">
        <v>2899</v>
      </c>
      <c r="AL242" s="1">
        <v>1301</v>
      </c>
    </row>
    <row r="243" spans="1:38" ht="15.75" customHeight="1">
      <c r="A243" s="1">
        <v>245</v>
      </c>
      <c r="C243" s="1">
        <v>4050</v>
      </c>
      <c r="D243" s="1" t="s">
        <v>38</v>
      </c>
      <c r="E243" s="1" t="s">
        <v>39</v>
      </c>
      <c r="F243" s="1" t="s">
        <v>390</v>
      </c>
      <c r="G243" s="1">
        <v>0</v>
      </c>
      <c r="H243" s="1" t="s">
        <v>41</v>
      </c>
      <c r="I243" s="1" t="s">
        <v>2906</v>
      </c>
      <c r="J243" s="1" t="s">
        <v>2907</v>
      </c>
      <c r="K243" s="1" t="s">
        <v>2908</v>
      </c>
      <c r="L243" s="1">
        <v>1</v>
      </c>
      <c r="M243" s="1">
        <v>0</v>
      </c>
      <c r="N243" s="1" t="s">
        <v>2909</v>
      </c>
      <c r="O243" s="1" t="s">
        <v>2910</v>
      </c>
      <c r="P243" s="1" t="s">
        <v>2911</v>
      </c>
      <c r="Q243" s="1">
        <v>0</v>
      </c>
      <c r="R243" s="1" t="s">
        <v>2912</v>
      </c>
      <c r="S243" s="1" t="s">
        <v>2913</v>
      </c>
      <c r="U243" s="2">
        <v>56767</v>
      </c>
      <c r="V243" s="1">
        <v>2.7618480189999999</v>
      </c>
      <c r="W243" s="1">
        <v>3500</v>
      </c>
      <c r="X243" s="1">
        <v>2205</v>
      </c>
      <c r="Y243" s="1">
        <v>1050</v>
      </c>
      <c r="Z243" s="1">
        <v>31</v>
      </c>
      <c r="AA243" s="1">
        <v>1124</v>
      </c>
      <c r="AB243" s="1">
        <v>0</v>
      </c>
      <c r="AC243" s="1">
        <v>4</v>
      </c>
      <c r="AD243" s="1" t="s">
        <v>76</v>
      </c>
      <c r="AE243" s="1" t="s">
        <v>2914</v>
      </c>
      <c r="AF243" s="1" t="s">
        <v>2915</v>
      </c>
      <c r="AG243" s="1" t="s">
        <v>2916</v>
      </c>
      <c r="AH243" s="1" t="s">
        <v>2917</v>
      </c>
      <c r="AI243" s="1">
        <v>4.5599999999999996</v>
      </c>
      <c r="AJ243" s="1">
        <v>344</v>
      </c>
      <c r="AK243" s="1">
        <v>947</v>
      </c>
      <c r="AL243" s="1">
        <v>22</v>
      </c>
    </row>
    <row r="244" spans="1:38" ht="15.75" customHeight="1">
      <c r="A244" s="1">
        <v>636</v>
      </c>
      <c r="C244" s="1">
        <v>4001</v>
      </c>
      <c r="D244" s="1" t="s">
        <v>51</v>
      </c>
      <c r="E244" s="1" t="s">
        <v>39</v>
      </c>
      <c r="F244" s="1" t="s">
        <v>1104</v>
      </c>
      <c r="G244" s="1">
        <v>0</v>
      </c>
      <c r="H244" s="1" t="s">
        <v>41</v>
      </c>
      <c r="I244" s="1" t="s">
        <v>2918</v>
      </c>
      <c r="J244" s="1" t="s">
        <v>2919</v>
      </c>
      <c r="K244" s="1" t="s">
        <v>2920</v>
      </c>
      <c r="L244" s="1">
        <v>1</v>
      </c>
      <c r="M244" s="1">
        <v>0</v>
      </c>
      <c r="N244" s="1" t="s">
        <v>2921</v>
      </c>
      <c r="O244" s="1" t="s">
        <v>2922</v>
      </c>
      <c r="P244" s="1" t="s">
        <v>2923</v>
      </c>
      <c r="Q244" s="1">
        <v>0</v>
      </c>
      <c r="R244" s="1" t="s">
        <v>2924</v>
      </c>
      <c r="S244" s="1" t="s">
        <v>2925</v>
      </c>
      <c r="U244" s="2">
        <v>56770</v>
      </c>
      <c r="V244" s="1">
        <v>4.4000000000000004</v>
      </c>
      <c r="W244" s="1">
        <v>3500</v>
      </c>
      <c r="X244" s="1">
        <v>3321</v>
      </c>
      <c r="Y244" s="1">
        <v>1356</v>
      </c>
      <c r="Z244" s="1">
        <v>1077</v>
      </c>
      <c r="AA244" s="1">
        <v>888</v>
      </c>
      <c r="AB244" s="1">
        <v>1</v>
      </c>
      <c r="AC244" s="1">
        <v>4</v>
      </c>
      <c r="AE244" s="1" t="s">
        <v>2926</v>
      </c>
      <c r="AF244" s="1" t="s">
        <v>2927</v>
      </c>
      <c r="AG244" s="1" t="s">
        <v>2928</v>
      </c>
      <c r="AH244" s="1" t="s">
        <v>2929</v>
      </c>
      <c r="AI244" s="1">
        <v>4.46</v>
      </c>
      <c r="AJ244" s="1">
        <v>148</v>
      </c>
      <c r="AK244" s="1">
        <v>435</v>
      </c>
    </row>
    <row r="245" spans="1:38" ht="15.75" customHeight="1">
      <c r="A245" s="1">
        <v>288</v>
      </c>
      <c r="B245" s="1">
        <v>5</v>
      </c>
      <c r="C245" s="1">
        <v>4050</v>
      </c>
      <c r="D245" s="1" t="s">
        <v>38</v>
      </c>
      <c r="E245" s="1" t="s">
        <v>39</v>
      </c>
      <c r="F245" s="1" t="s">
        <v>40</v>
      </c>
      <c r="G245" s="1">
        <v>0</v>
      </c>
      <c r="H245" s="1" t="s">
        <v>41</v>
      </c>
      <c r="I245" s="1" t="s">
        <v>2930</v>
      </c>
      <c r="J245" s="1" t="s">
        <v>2931</v>
      </c>
      <c r="K245" s="1" t="s">
        <v>2932</v>
      </c>
      <c r="L245" s="1">
        <v>1</v>
      </c>
      <c r="M245" s="1">
        <v>0</v>
      </c>
      <c r="N245" s="1" t="s">
        <v>2933</v>
      </c>
      <c r="O245" s="1" t="s">
        <v>2934</v>
      </c>
      <c r="P245" s="1" t="s">
        <v>2935</v>
      </c>
      <c r="Q245" s="1">
        <v>0</v>
      </c>
      <c r="R245" s="1" t="s">
        <v>2936</v>
      </c>
      <c r="S245" s="1" t="s">
        <v>2937</v>
      </c>
      <c r="U245" s="2">
        <v>56768</v>
      </c>
      <c r="V245" s="1">
        <v>4.5999999999999996</v>
      </c>
      <c r="W245" s="1">
        <v>3500</v>
      </c>
      <c r="X245" s="1">
        <v>1943</v>
      </c>
      <c r="Y245" s="1">
        <v>1081</v>
      </c>
      <c r="Z245" s="1">
        <v>193</v>
      </c>
      <c r="AA245" s="1">
        <v>669</v>
      </c>
      <c r="AB245" s="1">
        <v>0</v>
      </c>
      <c r="AC245" s="1">
        <v>3</v>
      </c>
      <c r="AD245" s="1" t="s">
        <v>76</v>
      </c>
      <c r="AE245" s="1" t="s">
        <v>2938</v>
      </c>
      <c r="AF245" s="1" t="s">
        <v>2939</v>
      </c>
      <c r="AG245" s="1" t="s">
        <v>2940</v>
      </c>
      <c r="AH245" s="1" t="s">
        <v>2941</v>
      </c>
      <c r="AI245" s="1">
        <v>4.7</v>
      </c>
      <c r="AJ245" s="1">
        <v>1261</v>
      </c>
      <c r="AK245" s="1">
        <v>3264</v>
      </c>
      <c r="AL245" s="1">
        <v>232</v>
      </c>
    </row>
    <row r="246" spans="1:38" ht="15.75" customHeight="1">
      <c r="A246" s="1">
        <v>511</v>
      </c>
      <c r="B246" s="1">
        <v>5</v>
      </c>
      <c r="C246" s="1">
        <v>4050</v>
      </c>
      <c r="D246" s="1" t="s">
        <v>38</v>
      </c>
      <c r="E246" s="1" t="s">
        <v>39</v>
      </c>
      <c r="F246" s="1" t="s">
        <v>280</v>
      </c>
      <c r="G246" s="1">
        <v>0</v>
      </c>
      <c r="H246" s="1" t="s">
        <v>41</v>
      </c>
      <c r="I246" s="1" t="s">
        <v>2942</v>
      </c>
      <c r="J246" s="1" t="s">
        <v>2943</v>
      </c>
      <c r="K246" s="1" t="s">
        <v>2944</v>
      </c>
      <c r="L246" s="1">
        <v>1</v>
      </c>
      <c r="M246" s="1">
        <v>0</v>
      </c>
      <c r="N246" s="1" t="s">
        <v>2945</v>
      </c>
      <c r="O246" s="1" t="s">
        <v>2946</v>
      </c>
      <c r="P246" s="1" t="s">
        <v>2947</v>
      </c>
      <c r="Q246" s="1">
        <v>0</v>
      </c>
      <c r="R246" s="1" t="s">
        <v>2948</v>
      </c>
      <c r="S246" s="1" t="s">
        <v>2949</v>
      </c>
      <c r="U246" s="2">
        <v>56769</v>
      </c>
      <c r="V246" s="1">
        <v>3.501498169</v>
      </c>
      <c r="W246" s="1">
        <v>3500</v>
      </c>
      <c r="X246" s="1">
        <v>2657</v>
      </c>
      <c r="Y246" s="1">
        <v>518</v>
      </c>
      <c r="Z246" s="1">
        <v>1258</v>
      </c>
      <c r="AA246" s="1">
        <v>881</v>
      </c>
      <c r="AB246" s="1">
        <v>0</v>
      </c>
      <c r="AC246" s="1">
        <v>6</v>
      </c>
      <c r="AD246" s="1" t="s">
        <v>62</v>
      </c>
      <c r="AE246" s="1" t="s">
        <v>2950</v>
      </c>
      <c r="AF246" s="1" t="s">
        <v>2951</v>
      </c>
      <c r="AG246" s="1" t="s">
        <v>2952</v>
      </c>
      <c r="AH246" s="1" t="s">
        <v>2953</v>
      </c>
      <c r="AI246" s="1">
        <v>4.49</v>
      </c>
      <c r="AJ246" s="1">
        <v>2315</v>
      </c>
      <c r="AK246" s="1">
        <v>7039</v>
      </c>
      <c r="AL246" s="1">
        <v>763</v>
      </c>
    </row>
    <row r="247" spans="1:38" ht="15.75" customHeight="1">
      <c r="A247" s="1">
        <v>1556</v>
      </c>
      <c r="C247" s="1">
        <v>4001</v>
      </c>
      <c r="D247" s="1" t="s">
        <v>51</v>
      </c>
      <c r="E247" s="1" t="s">
        <v>39</v>
      </c>
      <c r="F247" s="1" t="s">
        <v>341</v>
      </c>
      <c r="G247" s="1">
        <v>0</v>
      </c>
      <c r="H247" s="1" t="s">
        <v>41</v>
      </c>
      <c r="I247" s="1" t="s">
        <v>2954</v>
      </c>
      <c r="J247" s="1" t="s">
        <v>2955</v>
      </c>
      <c r="K247" s="1" t="s">
        <v>2956</v>
      </c>
      <c r="L247" s="1">
        <v>1</v>
      </c>
      <c r="M247" s="1">
        <v>0</v>
      </c>
      <c r="N247" s="1" t="s">
        <v>2957</v>
      </c>
      <c r="O247" s="1" t="s">
        <v>2958</v>
      </c>
      <c r="P247" s="1" t="s">
        <v>2959</v>
      </c>
      <c r="Q247" s="1">
        <v>0</v>
      </c>
      <c r="R247" s="1" t="s">
        <v>2960</v>
      </c>
      <c r="S247" s="1" t="s">
        <v>2961</v>
      </c>
      <c r="U247" s="2">
        <v>56778</v>
      </c>
      <c r="V247" s="1">
        <v>4.5</v>
      </c>
      <c r="W247" s="1">
        <v>3500</v>
      </c>
      <c r="X247" s="1">
        <v>1529</v>
      </c>
      <c r="Y247" s="1">
        <v>599</v>
      </c>
      <c r="Z247" s="1">
        <v>440</v>
      </c>
      <c r="AA247" s="1">
        <v>490</v>
      </c>
      <c r="AB247" s="1">
        <v>0</v>
      </c>
      <c r="AC247" s="1">
        <v>3</v>
      </c>
      <c r="AD247" s="1" t="s">
        <v>215</v>
      </c>
      <c r="AE247" s="1" t="s">
        <v>2962</v>
      </c>
      <c r="AF247" s="1" t="s">
        <v>2963</v>
      </c>
      <c r="AG247" s="1" t="s">
        <v>2964</v>
      </c>
      <c r="AH247" s="1" t="s">
        <v>2965</v>
      </c>
      <c r="AI247" s="1">
        <v>4.54</v>
      </c>
      <c r="AJ247" s="1">
        <v>2229</v>
      </c>
      <c r="AK247" s="1">
        <v>6580</v>
      </c>
    </row>
    <row r="248" spans="1:38" ht="15.75" customHeight="1">
      <c r="A248" s="1">
        <v>1263</v>
      </c>
      <c r="B248" s="1">
        <v>5</v>
      </c>
      <c r="C248" s="1">
        <v>4001</v>
      </c>
      <c r="D248" s="1" t="s">
        <v>51</v>
      </c>
      <c r="E248" s="1" t="s">
        <v>39</v>
      </c>
      <c r="F248" s="1" t="s">
        <v>414</v>
      </c>
      <c r="G248" s="1">
        <v>0</v>
      </c>
      <c r="H248" s="1" t="s">
        <v>53</v>
      </c>
      <c r="I248" s="1" t="s">
        <v>2966</v>
      </c>
      <c r="J248" s="1" t="s">
        <v>2967</v>
      </c>
      <c r="K248" s="1" t="s">
        <v>2968</v>
      </c>
      <c r="L248" s="1">
        <v>1</v>
      </c>
      <c r="M248" s="1">
        <v>0</v>
      </c>
      <c r="N248" s="1" t="s">
        <v>2969</v>
      </c>
      <c r="O248" s="1" t="s">
        <v>2970</v>
      </c>
      <c r="P248" s="1" t="s">
        <v>2971</v>
      </c>
      <c r="Q248" s="1">
        <v>0</v>
      </c>
      <c r="R248" s="1" t="s">
        <v>2972</v>
      </c>
      <c r="S248" s="1" t="s">
        <v>2973</v>
      </c>
      <c r="U248" s="2">
        <v>56776</v>
      </c>
      <c r="V248" s="1">
        <v>4.5</v>
      </c>
      <c r="W248" s="1">
        <v>3500</v>
      </c>
      <c r="X248" s="1">
        <v>1314</v>
      </c>
      <c r="Y248" s="1">
        <v>268</v>
      </c>
      <c r="Z248" s="1">
        <v>369</v>
      </c>
      <c r="AA248" s="1">
        <v>677</v>
      </c>
      <c r="AB248" s="1">
        <v>0</v>
      </c>
      <c r="AC248" s="1">
        <v>2</v>
      </c>
      <c r="AD248" s="1" t="s">
        <v>215</v>
      </c>
      <c r="AE248" s="1" t="s">
        <v>2974</v>
      </c>
      <c r="AF248" s="1" t="s">
        <v>2975</v>
      </c>
      <c r="AG248" s="1" t="s">
        <v>2976</v>
      </c>
      <c r="AH248" s="1" t="s">
        <v>2977</v>
      </c>
      <c r="AI248" s="1">
        <v>4.58</v>
      </c>
      <c r="AJ248" s="1">
        <v>254</v>
      </c>
      <c r="AK248" s="1">
        <v>788</v>
      </c>
      <c r="AL248" s="1">
        <v>9</v>
      </c>
    </row>
    <row r="249" spans="1:38" ht="15.75" customHeight="1">
      <c r="A249" s="1">
        <v>415</v>
      </c>
      <c r="B249" s="1">
        <v>5</v>
      </c>
      <c r="C249" s="1">
        <v>4050</v>
      </c>
      <c r="D249" s="1" t="s">
        <v>38</v>
      </c>
      <c r="E249" s="1" t="s">
        <v>39</v>
      </c>
      <c r="F249" s="1" t="s">
        <v>280</v>
      </c>
      <c r="G249" s="1">
        <v>0</v>
      </c>
      <c r="H249" s="1" t="s">
        <v>41</v>
      </c>
      <c r="I249" s="1" t="s">
        <v>2978</v>
      </c>
      <c r="J249" s="1" t="s">
        <v>2979</v>
      </c>
      <c r="K249" s="1" t="s">
        <v>2980</v>
      </c>
      <c r="L249" s="1">
        <v>1</v>
      </c>
      <c r="M249" s="1">
        <v>0</v>
      </c>
      <c r="N249" s="1" t="s">
        <v>2981</v>
      </c>
      <c r="O249" s="1" t="s">
        <v>2982</v>
      </c>
      <c r="P249" s="1" t="s">
        <v>2983</v>
      </c>
      <c r="Q249" s="1">
        <v>0</v>
      </c>
      <c r="R249" s="1" t="s">
        <v>2984</v>
      </c>
      <c r="S249" s="1" t="s">
        <v>2985</v>
      </c>
      <c r="U249" s="2">
        <v>56769</v>
      </c>
      <c r="V249" s="1">
        <v>4.3</v>
      </c>
      <c r="W249" s="1">
        <v>3500</v>
      </c>
      <c r="X249" s="1">
        <v>2767</v>
      </c>
      <c r="Y249" s="1">
        <v>1062</v>
      </c>
      <c r="Z249" s="1">
        <v>386</v>
      </c>
      <c r="AA249" s="1">
        <v>1319</v>
      </c>
      <c r="AB249" s="1">
        <v>0</v>
      </c>
      <c r="AC249" s="1">
        <v>4</v>
      </c>
      <c r="AD249" s="1" t="s">
        <v>62</v>
      </c>
      <c r="AE249" s="1" t="s">
        <v>2986</v>
      </c>
      <c r="AF249" s="1" t="s">
        <v>2987</v>
      </c>
      <c r="AG249" s="1" t="s">
        <v>2988</v>
      </c>
      <c r="AH249" s="1" t="s">
        <v>2989</v>
      </c>
      <c r="AI249" s="1">
        <v>4.49</v>
      </c>
      <c r="AJ249" s="1">
        <v>2315</v>
      </c>
      <c r="AK249" s="1">
        <v>7039</v>
      </c>
      <c r="AL249" s="1">
        <v>763</v>
      </c>
    </row>
    <row r="250" spans="1:38" ht="15.75" customHeight="1">
      <c r="A250" s="1">
        <v>603</v>
      </c>
      <c r="B250" s="1">
        <v>3</v>
      </c>
      <c r="C250" s="1">
        <v>4050</v>
      </c>
      <c r="D250" s="1" t="s">
        <v>38</v>
      </c>
      <c r="E250" s="1" t="s">
        <v>39</v>
      </c>
      <c r="F250" s="1" t="s">
        <v>695</v>
      </c>
      <c r="G250" s="1">
        <v>0</v>
      </c>
      <c r="H250" s="1" t="s">
        <v>41</v>
      </c>
      <c r="I250" s="1" t="s">
        <v>2990</v>
      </c>
      <c r="J250" s="1" t="s">
        <v>2991</v>
      </c>
      <c r="K250" s="1" t="s">
        <v>2992</v>
      </c>
      <c r="L250" s="1">
        <v>1</v>
      </c>
      <c r="M250" s="1">
        <v>0</v>
      </c>
      <c r="N250" s="1" t="s">
        <v>2993</v>
      </c>
      <c r="O250" s="1" t="s">
        <v>2994</v>
      </c>
      <c r="P250" s="1" t="s">
        <v>2995</v>
      </c>
      <c r="Q250" s="1">
        <v>0</v>
      </c>
      <c r="R250" s="1" t="s">
        <v>2996</v>
      </c>
      <c r="S250" s="1" t="s">
        <v>2997</v>
      </c>
      <c r="U250" s="2">
        <v>56770</v>
      </c>
      <c r="V250" s="1">
        <v>3.4317832890000002</v>
      </c>
      <c r="W250" s="1">
        <v>3500</v>
      </c>
      <c r="X250" s="1">
        <v>2090</v>
      </c>
      <c r="Y250" s="1">
        <v>1014</v>
      </c>
      <c r="Z250" s="1">
        <v>69</v>
      </c>
      <c r="AA250" s="1">
        <v>1007</v>
      </c>
      <c r="AB250" s="1">
        <v>0</v>
      </c>
      <c r="AC250" s="1">
        <v>4</v>
      </c>
      <c r="AD250" s="1" t="s">
        <v>76</v>
      </c>
      <c r="AE250" s="1" t="s">
        <v>2998</v>
      </c>
      <c r="AF250" s="1" t="s">
        <v>2999</v>
      </c>
      <c r="AG250" s="1" t="s">
        <v>3000</v>
      </c>
      <c r="AH250" s="1" t="s">
        <v>3001</v>
      </c>
      <c r="AI250" s="1">
        <v>4.38</v>
      </c>
      <c r="AJ250" s="1">
        <v>196</v>
      </c>
      <c r="AK250" s="1">
        <v>626</v>
      </c>
    </row>
    <row r="251" spans="1:38" ht="15.75" customHeight="1">
      <c r="A251" s="1">
        <v>638</v>
      </c>
      <c r="B251" s="1">
        <v>5</v>
      </c>
      <c r="C251" s="1">
        <v>4050</v>
      </c>
      <c r="D251" s="1" t="s">
        <v>38</v>
      </c>
      <c r="E251" s="1" t="s">
        <v>39</v>
      </c>
      <c r="F251" s="1" t="s">
        <v>695</v>
      </c>
      <c r="G251" s="1">
        <v>0</v>
      </c>
      <c r="H251" s="1" t="s">
        <v>41</v>
      </c>
      <c r="I251" s="1" t="s">
        <v>3002</v>
      </c>
      <c r="J251" s="1" t="s">
        <v>3003</v>
      </c>
      <c r="K251" s="1" t="s">
        <v>3004</v>
      </c>
      <c r="L251" s="1">
        <v>1</v>
      </c>
      <c r="M251" s="1">
        <v>0</v>
      </c>
      <c r="N251" s="1" t="s">
        <v>3005</v>
      </c>
      <c r="O251" s="1" t="s">
        <v>3006</v>
      </c>
      <c r="P251" s="1" t="s">
        <v>3007</v>
      </c>
      <c r="Q251" s="1">
        <v>0</v>
      </c>
      <c r="R251" s="1" t="s">
        <v>3008</v>
      </c>
      <c r="S251" s="1" t="s">
        <v>3009</v>
      </c>
      <c r="U251" s="2">
        <v>56770</v>
      </c>
      <c r="V251" s="1">
        <v>4.7</v>
      </c>
      <c r="W251" s="1">
        <v>3500</v>
      </c>
      <c r="X251" s="1">
        <v>2153</v>
      </c>
      <c r="Y251" s="1">
        <v>1659</v>
      </c>
      <c r="Z251" s="1">
        <v>85</v>
      </c>
      <c r="AA251" s="1">
        <v>409</v>
      </c>
      <c r="AB251" s="1">
        <v>0</v>
      </c>
      <c r="AC251" s="1">
        <v>3</v>
      </c>
      <c r="AD251" s="1" t="s">
        <v>76</v>
      </c>
      <c r="AE251" s="1" t="s">
        <v>3010</v>
      </c>
      <c r="AF251" s="1" t="s">
        <v>3011</v>
      </c>
      <c r="AG251" s="1" t="s">
        <v>3012</v>
      </c>
      <c r="AH251" s="1" t="s">
        <v>3013</v>
      </c>
      <c r="AI251" s="1">
        <v>4.38</v>
      </c>
      <c r="AJ251" s="1">
        <v>196</v>
      </c>
      <c r="AK251" s="1">
        <v>626</v>
      </c>
    </row>
    <row r="252" spans="1:38" ht="15.75" customHeight="1">
      <c r="A252" s="1">
        <v>86</v>
      </c>
      <c r="C252" s="1">
        <v>4050</v>
      </c>
      <c r="D252" s="1" t="s">
        <v>38</v>
      </c>
      <c r="E252" s="1" t="s">
        <v>39</v>
      </c>
      <c r="F252" s="1" t="s">
        <v>1153</v>
      </c>
      <c r="G252" s="1">
        <v>0</v>
      </c>
      <c r="H252" s="1" t="s">
        <v>41</v>
      </c>
      <c r="I252" s="1" t="s">
        <v>3014</v>
      </c>
      <c r="J252" s="1" t="s">
        <v>3015</v>
      </c>
      <c r="K252" s="1" t="s">
        <v>3016</v>
      </c>
      <c r="L252" s="1">
        <v>1</v>
      </c>
      <c r="M252" s="1">
        <v>0</v>
      </c>
      <c r="N252" s="1" t="s">
        <v>3017</v>
      </c>
      <c r="O252" s="1" t="s">
        <v>3018</v>
      </c>
      <c r="P252" s="1" t="s">
        <v>3019</v>
      </c>
      <c r="Q252" s="1">
        <v>1</v>
      </c>
      <c r="R252" s="1" t="s">
        <v>3020</v>
      </c>
      <c r="S252" s="1" t="s">
        <v>3021</v>
      </c>
      <c r="U252" s="2">
        <v>56766</v>
      </c>
      <c r="V252" s="1">
        <v>4.7</v>
      </c>
      <c r="W252" s="1">
        <v>3500</v>
      </c>
      <c r="X252" s="1">
        <v>2419</v>
      </c>
      <c r="Y252" s="1">
        <v>1239</v>
      </c>
      <c r="Z252" s="1">
        <v>373</v>
      </c>
      <c r="AA252" s="1">
        <v>807</v>
      </c>
      <c r="AB252" s="1">
        <v>0</v>
      </c>
      <c r="AC252" s="1">
        <v>2</v>
      </c>
      <c r="AD252" s="1" t="s">
        <v>76</v>
      </c>
      <c r="AE252" s="1" t="s">
        <v>3022</v>
      </c>
      <c r="AF252" s="1" t="s">
        <v>3023</v>
      </c>
      <c r="AG252" s="1" t="s">
        <v>3024</v>
      </c>
      <c r="AH252" s="1" t="s">
        <v>3025</v>
      </c>
      <c r="AI252" s="1">
        <v>4.58</v>
      </c>
      <c r="AJ252" s="1">
        <v>679</v>
      </c>
      <c r="AK252" s="1">
        <v>2371</v>
      </c>
      <c r="AL252" s="1">
        <v>1830</v>
      </c>
    </row>
    <row r="253" spans="1:38" ht="15.75" customHeight="1">
      <c r="A253" s="1">
        <v>468</v>
      </c>
      <c r="C253" s="1">
        <v>4001</v>
      </c>
      <c r="D253" s="1" t="s">
        <v>51</v>
      </c>
      <c r="E253" s="1" t="s">
        <v>39</v>
      </c>
      <c r="F253" s="1" t="s">
        <v>52</v>
      </c>
      <c r="G253" s="1">
        <v>0</v>
      </c>
      <c r="H253" s="1" t="s">
        <v>53</v>
      </c>
      <c r="I253" s="1" t="s">
        <v>3026</v>
      </c>
      <c r="J253" s="1" t="s">
        <v>3027</v>
      </c>
      <c r="K253" s="1" t="s">
        <v>3028</v>
      </c>
      <c r="L253" s="1">
        <v>1</v>
      </c>
      <c r="M253" s="1">
        <v>0</v>
      </c>
      <c r="N253" s="1" t="s">
        <v>3029</v>
      </c>
      <c r="O253" s="1" t="s">
        <v>3030</v>
      </c>
      <c r="P253" s="1" t="s">
        <v>3031</v>
      </c>
      <c r="Q253" s="1">
        <v>0</v>
      </c>
      <c r="R253" s="1" t="s">
        <v>3032</v>
      </c>
      <c r="S253" s="1" t="s">
        <v>3033</v>
      </c>
      <c r="U253" s="2">
        <v>56769</v>
      </c>
      <c r="V253" s="1">
        <v>3.7</v>
      </c>
      <c r="W253" s="1">
        <v>3500</v>
      </c>
      <c r="X253" s="1">
        <v>2778</v>
      </c>
      <c r="Y253" s="1">
        <v>2490</v>
      </c>
      <c r="AA253" s="1">
        <v>1072</v>
      </c>
      <c r="AB253" s="1">
        <v>0</v>
      </c>
      <c r="AC253" s="1">
        <v>2</v>
      </c>
      <c r="AD253" s="1" t="s">
        <v>76</v>
      </c>
      <c r="AE253" s="1" t="s">
        <v>3034</v>
      </c>
      <c r="AF253" s="1" t="s">
        <v>3035</v>
      </c>
      <c r="AG253" s="1" t="s">
        <v>3036</v>
      </c>
      <c r="AH253" s="1" t="s">
        <v>3037</v>
      </c>
      <c r="AI253" s="1">
        <v>4.17</v>
      </c>
      <c r="AJ253" s="1">
        <v>457</v>
      </c>
      <c r="AK253" s="1">
        <v>1599</v>
      </c>
    </row>
    <row r="254" spans="1:38" ht="15.75" customHeight="1">
      <c r="A254" s="1">
        <v>626</v>
      </c>
      <c r="C254" s="1">
        <v>4050</v>
      </c>
      <c r="D254" s="1" t="s">
        <v>38</v>
      </c>
      <c r="E254" s="1" t="s">
        <v>39</v>
      </c>
      <c r="F254" s="1" t="s">
        <v>510</v>
      </c>
      <c r="G254" s="1">
        <v>0</v>
      </c>
      <c r="H254" s="1" t="s">
        <v>41</v>
      </c>
      <c r="I254" s="1" t="s">
        <v>3038</v>
      </c>
      <c r="J254" s="1" t="s">
        <v>3039</v>
      </c>
      <c r="K254" s="1" t="s">
        <v>3040</v>
      </c>
      <c r="L254" s="1">
        <v>1</v>
      </c>
      <c r="M254" s="1">
        <v>0</v>
      </c>
      <c r="N254" s="1" t="s">
        <v>3041</v>
      </c>
      <c r="O254" s="1" t="s">
        <v>3042</v>
      </c>
      <c r="P254" s="1" t="s">
        <v>3043</v>
      </c>
      <c r="Q254" s="1">
        <v>0</v>
      </c>
      <c r="R254" s="1" t="s">
        <v>3044</v>
      </c>
      <c r="S254" s="1" t="s">
        <v>3045</v>
      </c>
      <c r="U254" s="2">
        <v>56770</v>
      </c>
      <c r="V254" s="1">
        <v>4.5</v>
      </c>
      <c r="W254" s="1">
        <v>3500</v>
      </c>
      <c r="X254" s="1">
        <v>1341</v>
      </c>
      <c r="Y254" s="1">
        <v>183</v>
      </c>
      <c r="Z254" s="1">
        <v>623</v>
      </c>
      <c r="AA254" s="1">
        <v>535</v>
      </c>
      <c r="AB254" s="1">
        <v>0</v>
      </c>
      <c r="AC254" s="1">
        <v>5</v>
      </c>
      <c r="AD254" s="1" t="s">
        <v>62</v>
      </c>
      <c r="AE254" s="1" t="s">
        <v>3046</v>
      </c>
      <c r="AF254" s="1" t="s">
        <v>3047</v>
      </c>
      <c r="AG254" s="1" t="s">
        <v>3048</v>
      </c>
      <c r="AH254" s="1" t="s">
        <v>3049</v>
      </c>
      <c r="AI254" s="1">
        <v>4.62</v>
      </c>
      <c r="AJ254" s="1">
        <v>259</v>
      </c>
      <c r="AK254" s="1">
        <v>604</v>
      </c>
      <c r="AL254" s="1">
        <v>21</v>
      </c>
    </row>
    <row r="255" spans="1:38" ht="15.75" customHeight="1">
      <c r="A255" s="1">
        <v>938</v>
      </c>
      <c r="C255" s="1">
        <v>4050</v>
      </c>
      <c r="D255" s="1" t="s">
        <v>38</v>
      </c>
      <c r="E255" s="1" t="s">
        <v>39</v>
      </c>
      <c r="F255" s="1" t="s">
        <v>280</v>
      </c>
      <c r="G255" s="1">
        <v>0</v>
      </c>
      <c r="H255" s="1" t="s">
        <v>41</v>
      </c>
      <c r="I255" s="1" t="s">
        <v>3050</v>
      </c>
      <c r="J255" s="1" t="s">
        <v>3051</v>
      </c>
      <c r="K255" s="1" t="s">
        <v>3052</v>
      </c>
      <c r="L255" s="1">
        <v>1</v>
      </c>
      <c r="M255" s="1">
        <v>0</v>
      </c>
      <c r="N255" s="1" t="s">
        <v>3053</v>
      </c>
      <c r="O255" s="1" t="s">
        <v>3054</v>
      </c>
      <c r="P255" s="1" t="s">
        <v>3055</v>
      </c>
      <c r="Q255" s="1">
        <v>0</v>
      </c>
      <c r="R255" s="1" t="s">
        <v>3056</v>
      </c>
      <c r="S255" s="1" t="s">
        <v>3057</v>
      </c>
      <c r="U255" s="2">
        <v>56773</v>
      </c>
      <c r="V255" s="1">
        <v>4.5999999999999996</v>
      </c>
      <c r="W255" s="1">
        <v>3500</v>
      </c>
      <c r="X255" s="1">
        <v>2733</v>
      </c>
      <c r="Y255" s="1">
        <v>1250</v>
      </c>
      <c r="Z255" s="1">
        <v>1075</v>
      </c>
      <c r="AA255" s="1">
        <v>408</v>
      </c>
      <c r="AB255" s="1">
        <v>0</v>
      </c>
      <c r="AC255" s="1">
        <v>3</v>
      </c>
      <c r="AE255" s="1" t="s">
        <v>3058</v>
      </c>
      <c r="AF255" s="1" t="s">
        <v>3059</v>
      </c>
      <c r="AG255" s="1" t="s">
        <v>3060</v>
      </c>
      <c r="AH255" s="1" t="s">
        <v>3061</v>
      </c>
      <c r="AI255" s="1">
        <v>4.49</v>
      </c>
      <c r="AJ255" s="1">
        <v>2315</v>
      </c>
      <c r="AK255" s="1">
        <v>7039</v>
      </c>
      <c r="AL255" s="1">
        <v>763</v>
      </c>
    </row>
    <row r="256" spans="1:38" ht="15.75" customHeight="1">
      <c r="A256" s="1">
        <v>1152</v>
      </c>
      <c r="B256" s="1">
        <v>5</v>
      </c>
      <c r="C256" s="1">
        <v>4001</v>
      </c>
      <c r="D256" s="1" t="s">
        <v>51</v>
      </c>
      <c r="E256" s="1" t="s">
        <v>39</v>
      </c>
      <c r="F256" s="1" t="s">
        <v>305</v>
      </c>
      <c r="G256" s="1">
        <v>0</v>
      </c>
      <c r="H256" s="1" t="s">
        <v>53</v>
      </c>
      <c r="I256" s="1" t="s">
        <v>3062</v>
      </c>
      <c r="J256" s="1" t="s">
        <v>3063</v>
      </c>
      <c r="K256" s="1" t="s">
        <v>3064</v>
      </c>
      <c r="L256" s="1">
        <v>1</v>
      </c>
      <c r="M256" s="1">
        <v>0</v>
      </c>
      <c r="N256" s="1" t="s">
        <v>3065</v>
      </c>
      <c r="O256" s="1" t="s">
        <v>3066</v>
      </c>
      <c r="P256" s="1" t="s">
        <v>3067</v>
      </c>
      <c r="Q256" s="1">
        <v>0</v>
      </c>
      <c r="R256" s="1" t="s">
        <v>3068</v>
      </c>
      <c r="S256" s="1" t="s">
        <v>3069</v>
      </c>
      <c r="U256" s="2">
        <v>56775</v>
      </c>
      <c r="V256" s="1">
        <v>3.1045887620000001</v>
      </c>
      <c r="W256" s="1">
        <v>3500</v>
      </c>
      <c r="X256" s="1">
        <v>1221</v>
      </c>
      <c r="Y256" s="1">
        <v>206</v>
      </c>
      <c r="Z256" s="1">
        <v>324</v>
      </c>
      <c r="AA256" s="1">
        <v>691</v>
      </c>
      <c r="AB256" s="1">
        <v>0</v>
      </c>
      <c r="AC256" s="1">
        <v>4</v>
      </c>
      <c r="AD256" s="1" t="s">
        <v>62</v>
      </c>
      <c r="AE256" s="1" t="s">
        <v>3070</v>
      </c>
      <c r="AF256" s="1" t="s">
        <v>3071</v>
      </c>
      <c r="AG256" s="1" t="s">
        <v>3072</v>
      </c>
      <c r="AH256" s="1" t="s">
        <v>3073</v>
      </c>
      <c r="AI256" s="1">
        <v>4.5199999999999996</v>
      </c>
      <c r="AJ256" s="1">
        <v>183</v>
      </c>
      <c r="AK256" s="1">
        <v>522</v>
      </c>
    </row>
    <row r="257" spans="1:38" ht="15.75" customHeight="1">
      <c r="A257" s="1">
        <v>90</v>
      </c>
      <c r="C257" s="1">
        <v>4050</v>
      </c>
      <c r="D257" s="1" t="s">
        <v>38</v>
      </c>
      <c r="E257" s="1" t="s">
        <v>39</v>
      </c>
      <c r="F257" s="1" t="s">
        <v>173</v>
      </c>
      <c r="G257" s="1">
        <v>0</v>
      </c>
      <c r="H257" s="1" t="s">
        <v>41</v>
      </c>
      <c r="I257" s="1" t="s">
        <v>3074</v>
      </c>
      <c r="J257" s="1" t="s">
        <v>3075</v>
      </c>
      <c r="K257" s="1" t="s">
        <v>3076</v>
      </c>
      <c r="L257" s="1">
        <v>1</v>
      </c>
      <c r="M257" s="1">
        <v>0</v>
      </c>
      <c r="N257" s="1" t="s">
        <v>3077</v>
      </c>
      <c r="O257" s="1" t="s">
        <v>3078</v>
      </c>
      <c r="P257" s="1" t="s">
        <v>3079</v>
      </c>
      <c r="Q257" s="1">
        <v>0</v>
      </c>
      <c r="R257" s="1" t="s">
        <v>3080</v>
      </c>
      <c r="S257" s="1" t="s">
        <v>3081</v>
      </c>
      <c r="U257" s="2">
        <v>56766</v>
      </c>
      <c r="V257" s="1">
        <v>3.285381535</v>
      </c>
      <c r="W257" s="1">
        <v>3500</v>
      </c>
      <c r="X257" s="1">
        <v>1864</v>
      </c>
      <c r="Y257" s="1">
        <v>1412</v>
      </c>
      <c r="AA257" s="1">
        <v>611</v>
      </c>
      <c r="AB257" s="1">
        <v>0</v>
      </c>
      <c r="AC257" s="1">
        <v>4</v>
      </c>
      <c r="AD257" s="1" t="s">
        <v>76</v>
      </c>
      <c r="AE257" s="1" t="s">
        <v>3082</v>
      </c>
      <c r="AF257" s="1" t="s">
        <v>3083</v>
      </c>
      <c r="AG257" s="1" t="s">
        <v>3084</v>
      </c>
      <c r="AH257" s="1" t="s">
        <v>3085</v>
      </c>
      <c r="AI257" s="1">
        <v>4.22</v>
      </c>
      <c r="AJ257" s="1">
        <v>1551</v>
      </c>
      <c r="AK257" s="1">
        <v>4625</v>
      </c>
    </row>
    <row r="258" spans="1:38" ht="15.75" customHeight="1">
      <c r="A258" s="1">
        <v>223</v>
      </c>
      <c r="C258" s="1">
        <v>4001</v>
      </c>
      <c r="D258" s="1" t="s">
        <v>51</v>
      </c>
      <c r="E258" s="1" t="s">
        <v>39</v>
      </c>
      <c r="F258" s="1" t="s">
        <v>52</v>
      </c>
      <c r="G258" s="1">
        <v>0</v>
      </c>
      <c r="H258" s="1" t="s">
        <v>53</v>
      </c>
      <c r="I258" s="1" t="s">
        <v>3086</v>
      </c>
      <c r="J258" s="1" t="s">
        <v>3087</v>
      </c>
      <c r="K258" s="1" t="s">
        <v>3088</v>
      </c>
      <c r="L258" s="1">
        <v>1</v>
      </c>
      <c r="M258" s="1">
        <v>0</v>
      </c>
      <c r="N258" s="1" t="s">
        <v>3089</v>
      </c>
      <c r="O258" s="1" t="s">
        <v>3090</v>
      </c>
      <c r="P258" s="1" t="s">
        <v>3091</v>
      </c>
      <c r="Q258" s="1">
        <v>0</v>
      </c>
      <c r="R258" s="1" t="s">
        <v>3092</v>
      </c>
      <c r="S258" s="1" t="s">
        <v>3093</v>
      </c>
      <c r="U258" s="2">
        <v>56767</v>
      </c>
      <c r="V258" s="1">
        <v>2.8969235750000002</v>
      </c>
      <c r="W258" s="1">
        <v>3500</v>
      </c>
      <c r="X258" s="1">
        <v>1234</v>
      </c>
      <c r="Y258" s="1">
        <v>375</v>
      </c>
      <c r="Z258" s="1">
        <v>156</v>
      </c>
      <c r="AA258" s="1">
        <v>703</v>
      </c>
      <c r="AB258" s="1">
        <v>0</v>
      </c>
      <c r="AC258" s="1">
        <v>3</v>
      </c>
      <c r="AD258" s="1" t="s">
        <v>215</v>
      </c>
      <c r="AE258" s="1" t="s">
        <v>3094</v>
      </c>
      <c r="AF258" s="1" t="s">
        <v>3095</v>
      </c>
      <c r="AG258" s="1" t="s">
        <v>3096</v>
      </c>
      <c r="AH258" s="1" t="s">
        <v>3097</v>
      </c>
      <c r="AI258" s="1">
        <v>4.17</v>
      </c>
      <c r="AJ258" s="1">
        <v>457</v>
      </c>
      <c r="AK258" s="1">
        <v>1599</v>
      </c>
    </row>
    <row r="259" spans="1:38" ht="15.75" customHeight="1">
      <c r="A259" s="1">
        <v>785</v>
      </c>
      <c r="C259" s="1">
        <v>4001</v>
      </c>
      <c r="D259" s="1" t="s">
        <v>51</v>
      </c>
      <c r="E259" s="1" t="s">
        <v>39</v>
      </c>
      <c r="F259" s="1" t="s">
        <v>341</v>
      </c>
      <c r="G259" s="1">
        <v>0</v>
      </c>
      <c r="H259" s="1" t="s">
        <v>41</v>
      </c>
      <c r="I259" s="1" t="s">
        <v>3098</v>
      </c>
      <c r="J259" s="1" t="s">
        <v>3099</v>
      </c>
      <c r="K259" s="1" t="s">
        <v>3100</v>
      </c>
      <c r="L259" s="1">
        <v>1</v>
      </c>
      <c r="M259" s="1">
        <v>0</v>
      </c>
      <c r="N259" s="1" t="s">
        <v>3101</v>
      </c>
      <c r="O259" s="1" t="s">
        <v>3102</v>
      </c>
      <c r="P259" s="1" t="s">
        <v>3103</v>
      </c>
      <c r="Q259" s="1">
        <v>0</v>
      </c>
      <c r="R259" s="1" t="s">
        <v>3104</v>
      </c>
      <c r="S259" s="1" t="s">
        <v>3105</v>
      </c>
      <c r="U259" s="2">
        <v>56771</v>
      </c>
      <c r="V259" s="1">
        <v>4.4000000000000004</v>
      </c>
      <c r="W259" s="1">
        <v>3500</v>
      </c>
      <c r="X259" s="1">
        <v>1650</v>
      </c>
      <c r="Y259" s="1">
        <v>817</v>
      </c>
      <c r="Z259" s="1">
        <v>175</v>
      </c>
      <c r="AA259" s="1">
        <v>658</v>
      </c>
      <c r="AB259" s="1">
        <v>0</v>
      </c>
      <c r="AC259" s="1">
        <v>3</v>
      </c>
      <c r="AD259" s="1" t="s">
        <v>62</v>
      </c>
      <c r="AE259" s="1" t="s">
        <v>3106</v>
      </c>
      <c r="AF259" s="1" t="s">
        <v>3107</v>
      </c>
      <c r="AG259" s="1" t="s">
        <v>3108</v>
      </c>
      <c r="AH259" s="1" t="s">
        <v>3109</v>
      </c>
      <c r="AI259" s="1">
        <v>4.54</v>
      </c>
      <c r="AJ259" s="1">
        <v>2229</v>
      </c>
      <c r="AK259" s="1">
        <v>6580</v>
      </c>
    </row>
    <row r="260" spans="1:38" ht="15.75" customHeight="1">
      <c r="A260" s="1">
        <v>926</v>
      </c>
      <c r="C260" s="1">
        <v>4001</v>
      </c>
      <c r="D260" s="1" t="s">
        <v>51</v>
      </c>
      <c r="E260" s="1" t="s">
        <v>39</v>
      </c>
      <c r="F260" s="1" t="s">
        <v>3110</v>
      </c>
      <c r="G260" s="1">
        <v>0</v>
      </c>
      <c r="H260" s="1" t="s">
        <v>53</v>
      </c>
      <c r="I260" s="1" t="s">
        <v>3111</v>
      </c>
      <c r="J260" s="1" t="s">
        <v>3112</v>
      </c>
      <c r="K260" s="1" t="s">
        <v>3113</v>
      </c>
      <c r="L260" s="1">
        <v>1</v>
      </c>
      <c r="M260" s="1">
        <v>0</v>
      </c>
      <c r="N260" s="1" t="s">
        <v>3114</v>
      </c>
      <c r="O260" s="1" t="s">
        <v>3115</v>
      </c>
      <c r="P260" s="1" t="s">
        <v>3116</v>
      </c>
      <c r="Q260" s="1">
        <v>0</v>
      </c>
      <c r="R260" s="1" t="s">
        <v>3117</v>
      </c>
      <c r="S260" s="1" t="s">
        <v>3118</v>
      </c>
      <c r="U260" s="2">
        <v>56773</v>
      </c>
      <c r="V260" s="1">
        <v>4.4000000000000004</v>
      </c>
      <c r="W260" s="1">
        <v>3500</v>
      </c>
      <c r="X260" s="1">
        <v>1073</v>
      </c>
      <c r="Y260" s="1">
        <v>676</v>
      </c>
      <c r="AA260" s="1">
        <v>400</v>
      </c>
      <c r="AB260" s="1">
        <v>0</v>
      </c>
      <c r="AC260" s="1">
        <v>2</v>
      </c>
      <c r="AD260" s="1" t="s">
        <v>215</v>
      </c>
      <c r="AE260" s="1" t="s">
        <v>3119</v>
      </c>
      <c r="AF260" s="1" t="s">
        <v>3120</v>
      </c>
      <c r="AG260" s="1" t="s">
        <v>3121</v>
      </c>
      <c r="AH260" s="1" t="s">
        <v>3122</v>
      </c>
      <c r="AI260" s="1">
        <v>4.47</v>
      </c>
      <c r="AJ260" s="1">
        <v>78</v>
      </c>
      <c r="AK260" s="1">
        <v>278</v>
      </c>
      <c r="AL260" s="1">
        <v>26</v>
      </c>
    </row>
    <row r="261" spans="1:38" ht="15.75" customHeight="1">
      <c r="A261" s="1">
        <v>317</v>
      </c>
      <c r="B261" s="1">
        <v>5</v>
      </c>
      <c r="C261" s="1">
        <v>4050</v>
      </c>
      <c r="D261" s="1" t="s">
        <v>38</v>
      </c>
      <c r="E261" s="1" t="s">
        <v>39</v>
      </c>
      <c r="F261" s="1" t="s">
        <v>510</v>
      </c>
      <c r="G261" s="1">
        <v>0</v>
      </c>
      <c r="H261" s="1" t="s">
        <v>41</v>
      </c>
      <c r="I261" s="1" t="s">
        <v>3123</v>
      </c>
      <c r="J261" s="1" t="s">
        <v>3124</v>
      </c>
      <c r="K261" s="1" t="s">
        <v>3125</v>
      </c>
      <c r="L261" s="1">
        <v>1</v>
      </c>
      <c r="M261" s="1">
        <v>0</v>
      </c>
      <c r="N261" s="1" t="s">
        <v>3126</v>
      </c>
      <c r="O261" s="1" t="s">
        <v>3127</v>
      </c>
      <c r="P261" s="1" t="s">
        <v>3128</v>
      </c>
      <c r="Q261" s="1">
        <v>0</v>
      </c>
      <c r="R261" s="1" t="s">
        <v>3129</v>
      </c>
      <c r="S261" s="1" t="s">
        <v>3130</v>
      </c>
      <c r="U261" s="2">
        <v>56768</v>
      </c>
      <c r="V261" s="1">
        <v>4.3</v>
      </c>
      <c r="W261" s="1">
        <v>3500</v>
      </c>
      <c r="X261" s="1">
        <v>1965</v>
      </c>
      <c r="Y261" s="1">
        <v>311</v>
      </c>
      <c r="Z261" s="1">
        <v>1015</v>
      </c>
      <c r="AA261" s="1">
        <v>639</v>
      </c>
      <c r="AB261" s="1">
        <v>0</v>
      </c>
      <c r="AC261" s="1">
        <v>9</v>
      </c>
      <c r="AD261" s="1" t="s">
        <v>62</v>
      </c>
      <c r="AE261" s="1" t="s">
        <v>3131</v>
      </c>
      <c r="AF261" s="1" t="s">
        <v>3132</v>
      </c>
      <c r="AG261" s="1" t="s">
        <v>3133</v>
      </c>
      <c r="AH261" s="1" t="s">
        <v>3134</v>
      </c>
      <c r="AI261" s="1">
        <v>4.62</v>
      </c>
      <c r="AJ261" s="1">
        <v>259</v>
      </c>
      <c r="AK261" s="1">
        <v>604</v>
      </c>
      <c r="AL261" s="1">
        <v>21</v>
      </c>
    </row>
    <row r="262" spans="1:38" ht="15.75" customHeight="1">
      <c r="A262" s="1">
        <v>830</v>
      </c>
      <c r="C262" s="1">
        <v>4001</v>
      </c>
      <c r="D262" s="1" t="s">
        <v>51</v>
      </c>
      <c r="E262" s="1" t="s">
        <v>39</v>
      </c>
      <c r="F262" s="1" t="s">
        <v>341</v>
      </c>
      <c r="G262" s="1">
        <v>0</v>
      </c>
      <c r="H262" s="1" t="s">
        <v>41</v>
      </c>
      <c r="I262" s="1" t="s">
        <v>3135</v>
      </c>
      <c r="J262" s="1" t="s">
        <v>3136</v>
      </c>
      <c r="K262" s="1" t="s">
        <v>3137</v>
      </c>
      <c r="L262" s="1">
        <v>1</v>
      </c>
      <c r="M262" s="1">
        <v>0</v>
      </c>
      <c r="N262" s="1" t="s">
        <v>3138</v>
      </c>
      <c r="O262" s="1" t="s">
        <v>3139</v>
      </c>
      <c r="P262" s="1" t="s">
        <v>3140</v>
      </c>
      <c r="Q262" s="1">
        <v>0</v>
      </c>
      <c r="R262" s="1" t="s">
        <v>3141</v>
      </c>
      <c r="S262" s="1" t="s">
        <v>3142</v>
      </c>
      <c r="U262" s="2">
        <v>56772</v>
      </c>
      <c r="V262" s="1">
        <v>2.9691438730000002</v>
      </c>
      <c r="W262" s="1">
        <v>3500</v>
      </c>
      <c r="X262" s="1">
        <v>1965</v>
      </c>
      <c r="Y262" s="1">
        <v>435</v>
      </c>
      <c r="Z262" s="1">
        <v>875</v>
      </c>
      <c r="AA262" s="1">
        <v>655</v>
      </c>
      <c r="AB262" s="1">
        <v>0</v>
      </c>
      <c r="AC262" s="1">
        <v>12</v>
      </c>
      <c r="AD262" s="1" t="s">
        <v>215</v>
      </c>
      <c r="AE262" s="1" t="s">
        <v>3143</v>
      </c>
      <c r="AF262" s="1" t="s">
        <v>3144</v>
      </c>
      <c r="AG262" s="1" t="s">
        <v>3145</v>
      </c>
      <c r="AH262" s="1" t="s">
        <v>3146</v>
      </c>
      <c r="AI262" s="1">
        <v>4.54</v>
      </c>
      <c r="AJ262" s="1">
        <v>2229</v>
      </c>
      <c r="AK262" s="1">
        <v>6580</v>
      </c>
    </row>
    <row r="263" spans="1:38" ht="15.75" customHeight="1">
      <c r="A263" s="1">
        <v>185</v>
      </c>
      <c r="C263" s="1">
        <v>4050</v>
      </c>
      <c r="D263" s="1" t="s">
        <v>38</v>
      </c>
      <c r="E263" s="1" t="s">
        <v>39</v>
      </c>
      <c r="F263" s="1" t="s">
        <v>390</v>
      </c>
      <c r="G263" s="1">
        <v>0</v>
      </c>
      <c r="H263" s="1" t="s">
        <v>41</v>
      </c>
      <c r="I263" s="1" t="s">
        <v>3147</v>
      </c>
      <c r="J263" s="1" t="s">
        <v>3148</v>
      </c>
      <c r="K263" s="1" t="s">
        <v>3149</v>
      </c>
      <c r="L263" s="1">
        <v>1</v>
      </c>
      <c r="M263" s="1">
        <v>0</v>
      </c>
      <c r="N263" s="1" t="s">
        <v>3150</v>
      </c>
      <c r="O263" s="1" t="s">
        <v>3151</v>
      </c>
      <c r="P263" s="1" t="s">
        <v>3152</v>
      </c>
      <c r="Q263" s="1">
        <v>0</v>
      </c>
      <c r="R263" s="1" t="s">
        <v>3153</v>
      </c>
      <c r="U263" s="2">
        <v>56767</v>
      </c>
      <c r="V263" s="1">
        <v>2.558877442</v>
      </c>
      <c r="W263" s="1">
        <v>3500</v>
      </c>
      <c r="X263" s="1">
        <v>4652</v>
      </c>
      <c r="AA263" s="1">
        <v>1083</v>
      </c>
      <c r="AB263" s="1">
        <v>0</v>
      </c>
      <c r="AC263" s="1">
        <v>5</v>
      </c>
      <c r="AE263" s="1" t="s">
        <v>3154</v>
      </c>
      <c r="AF263" s="1" t="s">
        <v>3155</v>
      </c>
      <c r="AG263" s="1" t="s">
        <v>3156</v>
      </c>
      <c r="AI263" s="1">
        <v>4.5599999999999996</v>
      </c>
      <c r="AJ263" s="1">
        <v>344</v>
      </c>
      <c r="AK263" s="1">
        <v>947</v>
      </c>
      <c r="AL263" s="1">
        <v>22</v>
      </c>
    </row>
    <row r="264" spans="1:38" ht="15.75" customHeight="1">
      <c r="A264" s="1">
        <v>420</v>
      </c>
      <c r="B264" s="1">
        <v>5</v>
      </c>
      <c r="C264" s="1">
        <v>4050</v>
      </c>
      <c r="D264" s="1" t="s">
        <v>38</v>
      </c>
      <c r="E264" s="1" t="s">
        <v>39</v>
      </c>
      <c r="F264" s="1" t="s">
        <v>40</v>
      </c>
      <c r="G264" s="1">
        <v>0</v>
      </c>
      <c r="H264" s="1" t="s">
        <v>41</v>
      </c>
      <c r="I264" s="1" t="s">
        <v>3157</v>
      </c>
      <c r="J264" s="1" t="s">
        <v>3158</v>
      </c>
      <c r="K264" s="1" t="s">
        <v>3159</v>
      </c>
      <c r="L264" s="1">
        <v>1</v>
      </c>
      <c r="M264" s="1">
        <v>0</v>
      </c>
      <c r="N264" s="1" t="s">
        <v>3160</v>
      </c>
      <c r="O264" s="1" t="s">
        <v>3161</v>
      </c>
      <c r="P264" s="1" t="s">
        <v>3162</v>
      </c>
      <c r="Q264" s="1">
        <v>0</v>
      </c>
      <c r="R264" s="1" t="s">
        <v>3163</v>
      </c>
      <c r="S264" s="1" t="s">
        <v>3164</v>
      </c>
      <c r="U264" s="2">
        <v>56769</v>
      </c>
      <c r="V264" s="1">
        <v>4.5999999999999996</v>
      </c>
      <c r="W264" s="1">
        <v>3500</v>
      </c>
      <c r="X264" s="1">
        <v>2132</v>
      </c>
      <c r="Y264" s="1">
        <v>1221</v>
      </c>
      <c r="AA264" s="1">
        <v>980</v>
      </c>
      <c r="AB264" s="1">
        <v>0</v>
      </c>
      <c r="AC264" s="1">
        <v>7</v>
      </c>
      <c r="AD264" s="1" t="s">
        <v>215</v>
      </c>
      <c r="AE264" s="1" t="s">
        <v>3165</v>
      </c>
      <c r="AF264" s="1" t="s">
        <v>3166</v>
      </c>
      <c r="AG264" s="1" t="s">
        <v>3167</v>
      </c>
      <c r="AH264" s="1" t="s">
        <v>3168</v>
      </c>
      <c r="AI264" s="1">
        <v>4.7</v>
      </c>
      <c r="AJ264" s="1">
        <v>1261</v>
      </c>
      <c r="AK264" s="1">
        <v>3264</v>
      </c>
      <c r="AL264" s="1">
        <v>232</v>
      </c>
    </row>
    <row r="265" spans="1:38" ht="15.75" customHeight="1">
      <c r="A265" s="1">
        <v>633</v>
      </c>
      <c r="B265" s="1">
        <v>5</v>
      </c>
      <c r="C265" s="1">
        <v>4050</v>
      </c>
      <c r="D265" s="1" t="s">
        <v>38</v>
      </c>
      <c r="E265" s="1" t="s">
        <v>39</v>
      </c>
      <c r="F265" s="1" t="s">
        <v>40</v>
      </c>
      <c r="G265" s="1">
        <v>0</v>
      </c>
      <c r="H265" s="1" t="s">
        <v>41</v>
      </c>
      <c r="I265" s="1" t="s">
        <v>3169</v>
      </c>
      <c r="J265" s="1" t="s">
        <v>3170</v>
      </c>
      <c r="K265" s="1" t="s">
        <v>3171</v>
      </c>
      <c r="L265" s="1">
        <v>1</v>
      </c>
      <c r="M265" s="1">
        <v>0</v>
      </c>
      <c r="N265" s="1" t="s">
        <v>3172</v>
      </c>
      <c r="O265" s="1" t="s">
        <v>3173</v>
      </c>
      <c r="P265" s="1" t="s">
        <v>3174</v>
      </c>
      <c r="Q265" s="1">
        <v>0</v>
      </c>
      <c r="R265" s="1" t="s">
        <v>3175</v>
      </c>
      <c r="S265" s="1" t="s">
        <v>3176</v>
      </c>
      <c r="U265" s="2">
        <v>56770</v>
      </c>
      <c r="V265" s="1">
        <v>4.5999999999999996</v>
      </c>
      <c r="W265" s="1">
        <v>3500</v>
      </c>
      <c r="X265" s="1">
        <v>3126</v>
      </c>
      <c r="Y265" s="1">
        <v>1055</v>
      </c>
      <c r="Z265" s="1">
        <v>1371</v>
      </c>
      <c r="AA265" s="1">
        <v>700</v>
      </c>
      <c r="AB265" s="1">
        <v>0</v>
      </c>
      <c r="AC265" s="1">
        <v>2</v>
      </c>
      <c r="AE265" s="1" t="s">
        <v>3177</v>
      </c>
      <c r="AF265" s="1" t="s">
        <v>3178</v>
      </c>
      <c r="AG265" s="1" t="s">
        <v>3179</v>
      </c>
      <c r="AH265" s="1" t="s">
        <v>3180</v>
      </c>
      <c r="AI265" s="1">
        <v>4.7</v>
      </c>
      <c r="AJ265" s="1">
        <v>1261</v>
      </c>
      <c r="AK265" s="1">
        <v>3264</v>
      </c>
      <c r="AL265" s="1">
        <v>232</v>
      </c>
    </row>
    <row r="266" spans="1:38" ht="15.75" customHeight="1">
      <c r="A266" s="1">
        <v>933</v>
      </c>
      <c r="C266" s="1">
        <v>4001</v>
      </c>
      <c r="D266" s="1" t="s">
        <v>51</v>
      </c>
      <c r="E266" s="1" t="s">
        <v>39</v>
      </c>
      <c r="F266" s="1" t="s">
        <v>3110</v>
      </c>
      <c r="G266" s="1">
        <v>0</v>
      </c>
      <c r="H266" s="1" t="s">
        <v>53</v>
      </c>
      <c r="I266" s="1" t="s">
        <v>3181</v>
      </c>
      <c r="J266" s="1" t="s">
        <v>3182</v>
      </c>
      <c r="K266" s="1" t="s">
        <v>3183</v>
      </c>
      <c r="L266" s="1">
        <v>1</v>
      </c>
      <c r="M266" s="1">
        <v>0</v>
      </c>
      <c r="N266" s="1" t="s">
        <v>3184</v>
      </c>
      <c r="O266" s="1" t="s">
        <v>3185</v>
      </c>
      <c r="P266" s="1" t="s">
        <v>3186</v>
      </c>
      <c r="Q266" s="1">
        <v>0</v>
      </c>
      <c r="R266" s="1" t="s">
        <v>3187</v>
      </c>
      <c r="S266" s="1" t="s">
        <v>3188</v>
      </c>
      <c r="U266" s="2">
        <v>56773</v>
      </c>
      <c r="V266" s="1">
        <v>4.3</v>
      </c>
      <c r="W266" s="1">
        <v>3500</v>
      </c>
      <c r="X266" s="1">
        <v>2384</v>
      </c>
      <c r="Y266" s="1">
        <v>658</v>
      </c>
      <c r="Z266" s="1">
        <v>7</v>
      </c>
      <c r="AA266" s="1">
        <v>1719</v>
      </c>
      <c r="AB266" s="1">
        <v>0</v>
      </c>
      <c r="AC266" s="1">
        <v>3</v>
      </c>
      <c r="AD266" s="1" t="s">
        <v>76</v>
      </c>
      <c r="AE266" s="1" t="s">
        <v>3189</v>
      </c>
      <c r="AF266" s="1" t="s">
        <v>3190</v>
      </c>
      <c r="AG266" s="1" t="s">
        <v>3191</v>
      </c>
      <c r="AH266" s="1" t="s">
        <v>3192</v>
      </c>
      <c r="AI266" s="1">
        <v>4.47</v>
      </c>
      <c r="AJ266" s="1">
        <v>78</v>
      </c>
      <c r="AK266" s="1">
        <v>278</v>
      </c>
      <c r="AL266" s="1">
        <v>26</v>
      </c>
    </row>
    <row r="267" spans="1:38" ht="15.75" customHeight="1">
      <c r="A267" s="1">
        <v>979</v>
      </c>
      <c r="C267" s="1">
        <v>4001</v>
      </c>
      <c r="D267" s="1" t="s">
        <v>51</v>
      </c>
      <c r="E267" s="1" t="s">
        <v>39</v>
      </c>
      <c r="F267" s="1" t="s">
        <v>341</v>
      </c>
      <c r="G267" s="1">
        <v>0</v>
      </c>
      <c r="H267" s="1" t="s">
        <v>41</v>
      </c>
      <c r="I267" s="1" t="s">
        <v>3193</v>
      </c>
      <c r="J267" s="1" t="s">
        <v>3194</v>
      </c>
      <c r="K267" s="1" t="s">
        <v>3195</v>
      </c>
      <c r="L267" s="1">
        <v>1</v>
      </c>
      <c r="M267" s="1">
        <v>0</v>
      </c>
      <c r="N267" s="1" t="s">
        <v>3196</v>
      </c>
      <c r="O267" s="1" t="s">
        <v>3197</v>
      </c>
      <c r="P267" s="1" t="s">
        <v>3198</v>
      </c>
      <c r="Q267" s="1">
        <v>0</v>
      </c>
      <c r="R267" s="1" t="s">
        <v>3199</v>
      </c>
      <c r="S267" s="1" t="s">
        <v>3200</v>
      </c>
      <c r="U267" s="2">
        <v>56773</v>
      </c>
      <c r="V267" s="1">
        <v>4.0999999999999996</v>
      </c>
      <c r="W267" s="1">
        <v>3500</v>
      </c>
      <c r="X267" s="1">
        <v>1067</v>
      </c>
      <c r="Y267" s="1">
        <v>328</v>
      </c>
      <c r="Z267" s="1">
        <v>237</v>
      </c>
      <c r="AA267" s="1">
        <v>502</v>
      </c>
      <c r="AB267" s="1">
        <v>0</v>
      </c>
      <c r="AC267" s="1">
        <v>4</v>
      </c>
      <c r="AD267" s="1" t="s">
        <v>76</v>
      </c>
      <c r="AE267" s="1" t="s">
        <v>3201</v>
      </c>
      <c r="AF267" s="1" t="s">
        <v>3202</v>
      </c>
      <c r="AG267" s="1" t="s">
        <v>3203</v>
      </c>
      <c r="AH267" s="1" t="s">
        <v>3204</v>
      </c>
      <c r="AI267" s="1">
        <v>4.54</v>
      </c>
      <c r="AJ267" s="1">
        <v>2229</v>
      </c>
      <c r="AK267" s="1">
        <v>6580</v>
      </c>
    </row>
    <row r="268" spans="1:38" ht="15.75" customHeight="1">
      <c r="A268" s="1">
        <v>1241</v>
      </c>
      <c r="B268" s="1">
        <v>5</v>
      </c>
      <c r="C268" s="1">
        <v>4001</v>
      </c>
      <c r="D268" s="1" t="s">
        <v>51</v>
      </c>
      <c r="E268" s="1" t="s">
        <v>39</v>
      </c>
      <c r="F268" s="1" t="s">
        <v>414</v>
      </c>
      <c r="G268" s="1">
        <v>0</v>
      </c>
      <c r="H268" s="1" t="s">
        <v>53</v>
      </c>
      <c r="I268" s="1" t="s">
        <v>3205</v>
      </c>
      <c r="J268" s="1" t="s">
        <v>3206</v>
      </c>
      <c r="K268" s="1" t="s">
        <v>3207</v>
      </c>
      <c r="L268" s="1">
        <v>1</v>
      </c>
      <c r="M268" s="1">
        <v>0</v>
      </c>
      <c r="N268" s="1" t="s">
        <v>3208</v>
      </c>
      <c r="O268" s="1" t="s">
        <v>3209</v>
      </c>
      <c r="P268" s="1" t="s">
        <v>3210</v>
      </c>
      <c r="Q268" s="1">
        <v>0</v>
      </c>
      <c r="R268" s="1" t="s">
        <v>3211</v>
      </c>
      <c r="S268" s="1" t="s">
        <v>3212</v>
      </c>
      <c r="U268" s="2">
        <v>56776</v>
      </c>
      <c r="V268" s="1">
        <v>4.3</v>
      </c>
      <c r="W268" s="1">
        <v>3500</v>
      </c>
      <c r="X268" s="1">
        <v>894</v>
      </c>
      <c r="Y268" s="1">
        <v>227</v>
      </c>
      <c r="Z268" s="1">
        <v>486</v>
      </c>
      <c r="AA268" s="1">
        <v>181</v>
      </c>
      <c r="AB268" s="1">
        <v>0</v>
      </c>
      <c r="AC268" s="1">
        <v>5</v>
      </c>
      <c r="AD268" s="1" t="s">
        <v>215</v>
      </c>
      <c r="AE268" s="1" t="s">
        <v>3213</v>
      </c>
      <c r="AF268" s="1" t="s">
        <v>3214</v>
      </c>
      <c r="AG268" s="1" t="s">
        <v>3215</v>
      </c>
      <c r="AH268" s="1" t="s">
        <v>3216</v>
      </c>
      <c r="AI268" s="1">
        <v>4.58</v>
      </c>
      <c r="AJ268" s="1">
        <v>254</v>
      </c>
      <c r="AK268" s="1">
        <v>788</v>
      </c>
      <c r="AL268" s="1">
        <v>9</v>
      </c>
    </row>
    <row r="269" spans="1:38" ht="15.75" customHeight="1">
      <c r="A269" s="1">
        <v>83</v>
      </c>
      <c r="B269" s="1">
        <v>3</v>
      </c>
      <c r="C269" s="1">
        <v>4050</v>
      </c>
      <c r="D269" s="1" t="s">
        <v>38</v>
      </c>
      <c r="E269" s="1" t="s">
        <v>39</v>
      </c>
      <c r="F269" s="1" t="s">
        <v>220</v>
      </c>
      <c r="G269" s="1">
        <v>0</v>
      </c>
      <c r="H269" s="1" t="s">
        <v>41</v>
      </c>
      <c r="I269" s="1" t="s">
        <v>3217</v>
      </c>
      <c r="J269" s="1" t="s">
        <v>3218</v>
      </c>
      <c r="K269" s="1" t="s">
        <v>3219</v>
      </c>
      <c r="L269" s="1">
        <v>1</v>
      </c>
      <c r="M269" s="1">
        <v>0</v>
      </c>
      <c r="N269" s="1" t="s">
        <v>3220</v>
      </c>
      <c r="O269" s="1" t="s">
        <v>3221</v>
      </c>
      <c r="P269" s="1" t="s">
        <v>3222</v>
      </c>
      <c r="Q269" s="1">
        <v>0</v>
      </c>
      <c r="R269" s="1" t="s">
        <v>3223</v>
      </c>
      <c r="U269" s="2">
        <v>56766</v>
      </c>
      <c r="V269" s="1">
        <v>4.5</v>
      </c>
      <c r="W269" s="1">
        <v>3500</v>
      </c>
      <c r="X269" s="1">
        <v>2592</v>
      </c>
      <c r="AA269" s="1">
        <v>1510</v>
      </c>
      <c r="AB269" s="1">
        <v>0</v>
      </c>
      <c r="AC269" s="1">
        <v>2</v>
      </c>
      <c r="AE269" s="1" t="s">
        <v>3224</v>
      </c>
      <c r="AF269" s="1" t="s">
        <v>3225</v>
      </c>
      <c r="AG269" s="1" t="s">
        <v>3226</v>
      </c>
      <c r="AI269" s="1">
        <v>4.42</v>
      </c>
      <c r="AJ269" s="1">
        <v>1396</v>
      </c>
      <c r="AK269" s="1">
        <v>4836</v>
      </c>
      <c r="AL269" s="1">
        <v>1278</v>
      </c>
    </row>
    <row r="270" spans="1:38" ht="15.75" customHeight="1">
      <c r="A270" s="1">
        <v>1240</v>
      </c>
      <c r="B270" s="1">
        <v>5</v>
      </c>
      <c r="C270" s="1">
        <v>4001</v>
      </c>
      <c r="D270" s="1" t="s">
        <v>51</v>
      </c>
      <c r="E270" s="1" t="s">
        <v>39</v>
      </c>
      <c r="F270" s="1" t="s">
        <v>341</v>
      </c>
      <c r="G270" s="1">
        <v>0</v>
      </c>
      <c r="H270" s="1" t="s">
        <v>41</v>
      </c>
      <c r="I270" s="1" t="s">
        <v>3227</v>
      </c>
      <c r="J270" s="1" t="s">
        <v>3228</v>
      </c>
      <c r="K270" s="1" t="s">
        <v>3229</v>
      </c>
      <c r="L270" s="1">
        <v>1</v>
      </c>
      <c r="M270" s="1">
        <v>0</v>
      </c>
      <c r="N270" s="1" t="s">
        <v>3230</v>
      </c>
      <c r="O270" s="1" t="s">
        <v>3231</v>
      </c>
      <c r="P270" s="1" t="s">
        <v>3232</v>
      </c>
      <c r="Q270" s="1">
        <v>0</v>
      </c>
      <c r="R270" s="1" t="s">
        <v>3233</v>
      </c>
      <c r="S270" s="1" t="s">
        <v>3234</v>
      </c>
      <c r="U270" s="2">
        <v>56776</v>
      </c>
      <c r="V270" s="1">
        <v>4.5</v>
      </c>
      <c r="W270" s="1">
        <v>3500</v>
      </c>
      <c r="X270" s="1">
        <v>1821</v>
      </c>
      <c r="Y270" s="1">
        <v>656</v>
      </c>
      <c r="Z270" s="1">
        <v>407</v>
      </c>
      <c r="AA270" s="1">
        <v>758</v>
      </c>
      <c r="AB270" s="1">
        <v>0</v>
      </c>
      <c r="AC270" s="1">
        <v>1</v>
      </c>
      <c r="AD270" s="1" t="s">
        <v>215</v>
      </c>
      <c r="AE270" s="1" t="s">
        <v>3235</v>
      </c>
      <c r="AF270" s="1" t="s">
        <v>3236</v>
      </c>
      <c r="AG270" s="1" t="s">
        <v>3237</v>
      </c>
      <c r="AH270" s="1" t="s">
        <v>3238</v>
      </c>
      <c r="AI270" s="1">
        <v>4.54</v>
      </c>
      <c r="AJ270" s="1">
        <v>2229</v>
      </c>
      <c r="AK270" s="1">
        <v>6580</v>
      </c>
    </row>
    <row r="271" spans="1:38" ht="15.75" customHeight="1">
      <c r="A271" s="1">
        <v>1580</v>
      </c>
      <c r="C271" s="1">
        <v>4001</v>
      </c>
      <c r="D271" s="1" t="s">
        <v>51</v>
      </c>
      <c r="E271" s="1" t="s">
        <v>39</v>
      </c>
      <c r="F271" s="1" t="s">
        <v>3239</v>
      </c>
      <c r="G271" s="1">
        <v>0</v>
      </c>
      <c r="H271" s="1" t="s">
        <v>53</v>
      </c>
      <c r="I271" s="1" t="s">
        <v>3240</v>
      </c>
      <c r="J271" s="1" t="s">
        <v>3241</v>
      </c>
      <c r="K271" s="1" t="s">
        <v>3242</v>
      </c>
      <c r="L271" s="1">
        <v>1</v>
      </c>
      <c r="M271" s="1">
        <v>0</v>
      </c>
      <c r="N271" s="1" t="s">
        <v>3243</v>
      </c>
      <c r="O271" s="1" t="s">
        <v>3244</v>
      </c>
      <c r="P271" s="1" t="s">
        <v>3245</v>
      </c>
      <c r="Q271" s="1">
        <v>0</v>
      </c>
      <c r="R271" s="1" t="s">
        <v>3246</v>
      </c>
      <c r="S271" s="1" t="s">
        <v>3247</v>
      </c>
      <c r="U271" s="2">
        <v>56778</v>
      </c>
      <c r="V271" s="1">
        <v>4.5999999999999996</v>
      </c>
      <c r="W271" s="1">
        <v>3500</v>
      </c>
      <c r="X271" s="1">
        <v>1074</v>
      </c>
      <c r="Y271" s="1">
        <v>373</v>
      </c>
      <c r="Z271" s="1">
        <v>267</v>
      </c>
      <c r="AA271" s="1">
        <v>434</v>
      </c>
      <c r="AB271" s="1">
        <v>0</v>
      </c>
      <c r="AC271" s="1">
        <v>3</v>
      </c>
      <c r="AD271" s="1" t="s">
        <v>215</v>
      </c>
      <c r="AE271" s="1" t="s">
        <v>3248</v>
      </c>
      <c r="AF271" s="1" t="s">
        <v>3249</v>
      </c>
      <c r="AG271" s="1" t="s">
        <v>3250</v>
      </c>
      <c r="AH271" s="1" t="s">
        <v>3251</v>
      </c>
      <c r="AI271" s="1">
        <v>4.505263158</v>
      </c>
      <c r="AJ271" s="1">
        <v>79</v>
      </c>
      <c r="AK271" s="1">
        <v>248</v>
      </c>
      <c r="AL271" s="1">
        <v>2</v>
      </c>
    </row>
    <row r="272" spans="1:38" ht="15.75" customHeight="1">
      <c r="A272" s="1">
        <v>509</v>
      </c>
      <c r="B272" s="1">
        <v>5</v>
      </c>
      <c r="C272" s="1">
        <v>4050</v>
      </c>
      <c r="D272" s="1" t="s">
        <v>38</v>
      </c>
      <c r="E272" s="1" t="s">
        <v>39</v>
      </c>
      <c r="F272" s="1" t="s">
        <v>510</v>
      </c>
      <c r="G272" s="1">
        <v>0</v>
      </c>
      <c r="H272" s="1" t="s">
        <v>41</v>
      </c>
      <c r="I272" s="1" t="s">
        <v>3252</v>
      </c>
      <c r="J272" s="1" t="s">
        <v>3253</v>
      </c>
      <c r="K272" s="1" t="s">
        <v>3254</v>
      </c>
      <c r="L272" s="1">
        <v>1</v>
      </c>
      <c r="M272" s="1">
        <v>0</v>
      </c>
      <c r="N272" s="1" t="s">
        <v>3255</v>
      </c>
      <c r="O272" s="1" t="s">
        <v>3256</v>
      </c>
      <c r="P272" s="1" t="s">
        <v>3257</v>
      </c>
      <c r="Q272" s="1">
        <v>0</v>
      </c>
      <c r="R272" s="1" t="s">
        <v>3258</v>
      </c>
      <c r="S272" s="1" t="s">
        <v>3259</v>
      </c>
      <c r="U272" s="2">
        <v>56769</v>
      </c>
      <c r="V272" s="1">
        <v>4.7</v>
      </c>
      <c r="W272" s="1">
        <v>3500</v>
      </c>
      <c r="X272" s="1">
        <v>912</v>
      </c>
      <c r="Y272" s="1">
        <v>313</v>
      </c>
      <c r="Z272" s="1">
        <v>107</v>
      </c>
      <c r="AA272" s="1">
        <v>492</v>
      </c>
      <c r="AB272" s="1">
        <v>1</v>
      </c>
      <c r="AC272" s="1">
        <v>4</v>
      </c>
      <c r="AE272" s="1" t="s">
        <v>3260</v>
      </c>
      <c r="AF272" s="1" t="s">
        <v>3261</v>
      </c>
      <c r="AG272" s="1" t="s">
        <v>3262</v>
      </c>
      <c r="AH272" s="1" t="s">
        <v>3263</v>
      </c>
      <c r="AI272" s="1">
        <v>4.62</v>
      </c>
      <c r="AJ272" s="1">
        <v>259</v>
      </c>
      <c r="AK272" s="1">
        <v>604</v>
      </c>
      <c r="AL272" s="1">
        <v>21</v>
      </c>
    </row>
    <row r="273" spans="1:38" ht="15.75" customHeight="1">
      <c r="A273" s="1">
        <v>702</v>
      </c>
      <c r="C273" s="1">
        <v>4050</v>
      </c>
      <c r="D273" s="1" t="s">
        <v>38</v>
      </c>
      <c r="E273" s="1" t="s">
        <v>39</v>
      </c>
      <c r="F273" s="1" t="s">
        <v>1323</v>
      </c>
      <c r="G273" s="1">
        <v>0</v>
      </c>
      <c r="H273" s="1" t="s">
        <v>41</v>
      </c>
      <c r="I273" s="1" t="s">
        <v>3264</v>
      </c>
      <c r="J273" s="1" t="s">
        <v>3265</v>
      </c>
      <c r="K273" s="1" t="s">
        <v>3266</v>
      </c>
      <c r="L273" s="1">
        <v>1</v>
      </c>
      <c r="M273" s="1">
        <v>0</v>
      </c>
      <c r="N273" s="1" t="s">
        <v>3267</v>
      </c>
      <c r="O273" s="1" t="s">
        <v>3268</v>
      </c>
      <c r="P273" s="1" t="s">
        <v>3269</v>
      </c>
      <c r="Q273" s="1">
        <v>0</v>
      </c>
      <c r="R273" s="1" t="s">
        <v>3270</v>
      </c>
      <c r="S273" s="1" t="s">
        <v>3271</v>
      </c>
      <c r="U273" s="2">
        <v>56770</v>
      </c>
      <c r="V273" s="1">
        <v>4.5</v>
      </c>
      <c r="W273" s="1">
        <v>3500</v>
      </c>
      <c r="X273" s="1">
        <v>2258</v>
      </c>
      <c r="Y273" s="1">
        <v>842</v>
      </c>
      <c r="Z273" s="1">
        <v>795</v>
      </c>
      <c r="AA273" s="1">
        <v>621</v>
      </c>
      <c r="AB273" s="1">
        <v>0</v>
      </c>
      <c r="AC273" s="1">
        <v>3</v>
      </c>
      <c r="AD273" s="1" t="s">
        <v>76</v>
      </c>
      <c r="AE273" s="1" t="s">
        <v>3272</v>
      </c>
      <c r="AF273" s="1" t="s">
        <v>3273</v>
      </c>
      <c r="AG273" s="1" t="s">
        <v>3274</v>
      </c>
      <c r="AH273" s="1" t="s">
        <v>3275</v>
      </c>
      <c r="AI273" s="1">
        <v>4.57</v>
      </c>
      <c r="AJ273" s="1">
        <v>234</v>
      </c>
      <c r="AK273" s="1">
        <v>726</v>
      </c>
      <c r="AL273" s="1">
        <v>99</v>
      </c>
    </row>
    <row r="274" spans="1:38" ht="15.75" customHeight="1">
      <c r="A274" s="1">
        <v>432</v>
      </c>
      <c r="B274" s="1">
        <v>5</v>
      </c>
      <c r="C274" s="1">
        <v>4050</v>
      </c>
      <c r="D274" s="1" t="s">
        <v>38</v>
      </c>
      <c r="E274" s="1" t="s">
        <v>39</v>
      </c>
      <c r="F274" s="1" t="s">
        <v>280</v>
      </c>
      <c r="G274" s="1">
        <v>0</v>
      </c>
      <c r="H274" s="1" t="s">
        <v>41</v>
      </c>
      <c r="I274" s="1" t="s">
        <v>3276</v>
      </c>
      <c r="J274" s="1" t="s">
        <v>3277</v>
      </c>
      <c r="K274" s="1" t="s">
        <v>3278</v>
      </c>
      <c r="L274" s="1">
        <v>1</v>
      </c>
      <c r="M274" s="1">
        <v>0</v>
      </c>
      <c r="N274" s="1" t="s">
        <v>3279</v>
      </c>
      <c r="O274" s="1" t="s">
        <v>3280</v>
      </c>
      <c r="P274" s="1" t="s">
        <v>3281</v>
      </c>
      <c r="Q274" s="1">
        <v>0</v>
      </c>
      <c r="R274" s="1" t="s">
        <v>3282</v>
      </c>
      <c r="S274" s="1" t="s">
        <v>3283</v>
      </c>
      <c r="U274" s="2">
        <v>56769</v>
      </c>
      <c r="V274" s="1">
        <v>3.1502543009999999</v>
      </c>
      <c r="W274" s="1">
        <v>3500</v>
      </c>
      <c r="X274" s="1">
        <v>2075</v>
      </c>
      <c r="Y274" s="1">
        <v>363</v>
      </c>
      <c r="Z274" s="1">
        <v>1341</v>
      </c>
      <c r="AA274" s="1">
        <v>371</v>
      </c>
      <c r="AB274" s="1">
        <v>0</v>
      </c>
      <c r="AC274" s="1">
        <v>3</v>
      </c>
      <c r="AD274" s="1" t="s">
        <v>62</v>
      </c>
      <c r="AE274" s="1" t="s">
        <v>3284</v>
      </c>
      <c r="AF274" s="1" t="s">
        <v>3285</v>
      </c>
      <c r="AG274" s="1" t="s">
        <v>3286</v>
      </c>
      <c r="AH274" s="1" t="s">
        <v>3287</v>
      </c>
      <c r="AI274" s="1">
        <v>4.49</v>
      </c>
      <c r="AJ274" s="1">
        <v>2315</v>
      </c>
      <c r="AK274" s="1">
        <v>7039</v>
      </c>
      <c r="AL274" s="1">
        <v>763</v>
      </c>
    </row>
    <row r="275" spans="1:38" ht="15.75" customHeight="1">
      <c r="A275" s="1">
        <v>1027</v>
      </c>
      <c r="B275" s="1">
        <v>3</v>
      </c>
      <c r="C275" s="1">
        <v>4001</v>
      </c>
      <c r="D275" s="1" t="s">
        <v>51</v>
      </c>
      <c r="E275" s="1" t="s">
        <v>39</v>
      </c>
      <c r="F275" s="1" t="s">
        <v>305</v>
      </c>
      <c r="G275" s="1">
        <v>0</v>
      </c>
      <c r="H275" s="1" t="s">
        <v>53</v>
      </c>
      <c r="I275" s="1" t="s">
        <v>3288</v>
      </c>
      <c r="J275" s="1" t="s">
        <v>3289</v>
      </c>
      <c r="K275" s="1" t="s">
        <v>3290</v>
      </c>
      <c r="L275" s="1">
        <v>1</v>
      </c>
      <c r="M275" s="1">
        <v>0</v>
      </c>
      <c r="N275" s="1" t="s">
        <v>3291</v>
      </c>
      <c r="O275" s="1" t="s">
        <v>3292</v>
      </c>
      <c r="P275" s="1" t="s">
        <v>3293</v>
      </c>
      <c r="Q275" s="1">
        <v>0</v>
      </c>
      <c r="R275" s="1" t="s">
        <v>3294</v>
      </c>
      <c r="S275" s="1" t="s">
        <v>3295</v>
      </c>
      <c r="U275" s="2">
        <v>56774</v>
      </c>
      <c r="V275" s="1">
        <v>4.2</v>
      </c>
      <c r="W275" s="1">
        <v>3500</v>
      </c>
      <c r="X275" s="1">
        <v>1689</v>
      </c>
      <c r="Y275" s="1">
        <v>292</v>
      </c>
      <c r="Z275" s="1">
        <v>899</v>
      </c>
      <c r="AA275" s="1">
        <v>498</v>
      </c>
      <c r="AB275" s="1">
        <v>0</v>
      </c>
      <c r="AC275" s="1">
        <v>3</v>
      </c>
      <c r="AD275" s="1" t="s">
        <v>62</v>
      </c>
      <c r="AE275" s="1" t="s">
        <v>3296</v>
      </c>
      <c r="AF275" s="1" t="s">
        <v>3297</v>
      </c>
      <c r="AG275" s="1" t="s">
        <v>3298</v>
      </c>
      <c r="AH275" s="1" t="s">
        <v>3299</v>
      </c>
      <c r="AI275" s="1">
        <v>4.5199999999999996</v>
      </c>
      <c r="AJ275" s="1">
        <v>183</v>
      </c>
      <c r="AK275" s="1">
        <v>522</v>
      </c>
    </row>
    <row r="276" spans="1:38" ht="15.75" customHeight="1">
      <c r="A276" s="1">
        <v>98</v>
      </c>
      <c r="B276" s="1">
        <v>5</v>
      </c>
      <c r="C276" s="1">
        <v>4001</v>
      </c>
      <c r="D276" s="1" t="s">
        <v>51</v>
      </c>
      <c r="E276" s="1" t="s">
        <v>39</v>
      </c>
      <c r="F276" s="1" t="s">
        <v>232</v>
      </c>
      <c r="G276" s="1">
        <v>0</v>
      </c>
      <c r="H276" s="1" t="s">
        <v>53</v>
      </c>
      <c r="I276" s="1" t="s">
        <v>3300</v>
      </c>
      <c r="J276" s="1" t="s">
        <v>3301</v>
      </c>
      <c r="K276" s="1" t="s">
        <v>3302</v>
      </c>
      <c r="L276" s="1">
        <v>1</v>
      </c>
      <c r="M276" s="1">
        <v>0</v>
      </c>
      <c r="N276" s="1" t="s">
        <v>3303</v>
      </c>
      <c r="O276" s="1" t="s">
        <v>3304</v>
      </c>
      <c r="P276" s="1" t="s">
        <v>3305</v>
      </c>
      <c r="Q276" s="1">
        <v>0</v>
      </c>
      <c r="R276" s="1" t="s">
        <v>3306</v>
      </c>
      <c r="S276" s="1" t="s">
        <v>3307</v>
      </c>
      <c r="U276" s="2">
        <v>56766</v>
      </c>
      <c r="V276" s="1">
        <v>4.4056206070000004</v>
      </c>
      <c r="W276" s="1">
        <v>3500</v>
      </c>
      <c r="X276" s="1">
        <v>2964</v>
      </c>
      <c r="Y276" s="1">
        <v>1232</v>
      </c>
      <c r="Z276" s="1">
        <v>576</v>
      </c>
      <c r="AA276" s="1">
        <v>1156</v>
      </c>
      <c r="AB276" s="1">
        <v>0</v>
      </c>
      <c r="AC276" s="1">
        <v>3</v>
      </c>
      <c r="AD276" s="1" t="s">
        <v>62</v>
      </c>
      <c r="AE276" s="1" t="s">
        <v>3308</v>
      </c>
      <c r="AF276" s="1" t="s">
        <v>3309</v>
      </c>
      <c r="AG276" s="1" t="s">
        <v>3310</v>
      </c>
      <c r="AH276" s="1" t="s">
        <v>3311</v>
      </c>
      <c r="AI276" s="1">
        <v>4.5599999999999996</v>
      </c>
      <c r="AJ276" s="1">
        <v>765</v>
      </c>
      <c r="AK276" s="1">
        <v>2618</v>
      </c>
    </row>
    <row r="277" spans="1:38" ht="15.75" customHeight="1">
      <c r="A277" s="1">
        <v>119</v>
      </c>
      <c r="C277" s="1">
        <v>4001</v>
      </c>
      <c r="D277" s="1" t="s">
        <v>51</v>
      </c>
      <c r="E277" s="1" t="s">
        <v>39</v>
      </c>
      <c r="F277" s="1" t="s">
        <v>341</v>
      </c>
      <c r="G277" s="1">
        <v>0</v>
      </c>
      <c r="H277" s="1" t="s">
        <v>41</v>
      </c>
      <c r="I277" s="1" t="s">
        <v>3312</v>
      </c>
      <c r="J277" s="1" t="s">
        <v>3313</v>
      </c>
      <c r="K277" s="1" t="s">
        <v>3314</v>
      </c>
      <c r="L277" s="1">
        <v>1</v>
      </c>
      <c r="M277" s="1">
        <v>0</v>
      </c>
      <c r="N277" s="1" t="s">
        <v>3315</v>
      </c>
      <c r="O277" s="1" t="s">
        <v>3316</v>
      </c>
      <c r="P277" s="1" t="s">
        <v>3317</v>
      </c>
      <c r="Q277" s="1">
        <v>0</v>
      </c>
      <c r="R277" s="1" t="s">
        <v>3318</v>
      </c>
      <c r="S277" s="1" t="s">
        <v>3319</v>
      </c>
      <c r="U277" s="2">
        <v>56767</v>
      </c>
      <c r="V277" s="1">
        <v>4.3</v>
      </c>
      <c r="W277" s="1">
        <v>3500</v>
      </c>
      <c r="X277" s="1">
        <v>4298</v>
      </c>
      <c r="Y277" s="1">
        <v>10</v>
      </c>
      <c r="Z277" s="1">
        <v>3737</v>
      </c>
      <c r="AA277" s="1">
        <v>551</v>
      </c>
      <c r="AB277" s="1">
        <v>1</v>
      </c>
      <c r="AC277" s="1">
        <v>3</v>
      </c>
      <c r="AE277" s="1" t="s">
        <v>3320</v>
      </c>
      <c r="AF277" s="1" t="s">
        <v>3321</v>
      </c>
      <c r="AG277" s="1" t="s">
        <v>3322</v>
      </c>
      <c r="AH277" s="1" t="s">
        <v>3323</v>
      </c>
      <c r="AI277" s="1">
        <v>4.54</v>
      </c>
      <c r="AJ277" s="1">
        <v>2229</v>
      </c>
      <c r="AK277" s="1">
        <v>6580</v>
      </c>
    </row>
    <row r="278" spans="1:38" ht="15.75" customHeight="1">
      <c r="A278" s="1">
        <v>258</v>
      </c>
      <c r="C278" s="1">
        <v>4001</v>
      </c>
      <c r="D278" s="1" t="s">
        <v>51</v>
      </c>
      <c r="E278" s="1" t="s">
        <v>39</v>
      </c>
      <c r="F278" s="1" t="s">
        <v>341</v>
      </c>
      <c r="G278" s="1">
        <v>0</v>
      </c>
      <c r="H278" s="1" t="s">
        <v>41</v>
      </c>
      <c r="I278" s="1" t="s">
        <v>3324</v>
      </c>
      <c r="J278" s="1" t="s">
        <v>3325</v>
      </c>
      <c r="K278" s="1" t="s">
        <v>3326</v>
      </c>
      <c r="L278" s="1">
        <v>1</v>
      </c>
      <c r="M278" s="1">
        <v>0</v>
      </c>
      <c r="N278" s="1" t="s">
        <v>3327</v>
      </c>
      <c r="O278" s="1" t="s">
        <v>3328</v>
      </c>
      <c r="P278" s="1" t="s">
        <v>3329</v>
      </c>
      <c r="Q278" s="1">
        <v>0</v>
      </c>
      <c r="R278" s="1" t="s">
        <v>3330</v>
      </c>
      <c r="S278" s="1" t="s">
        <v>3331</v>
      </c>
      <c r="U278" s="2">
        <v>56768</v>
      </c>
      <c r="V278" s="1">
        <v>3.9792116329999998</v>
      </c>
      <c r="W278" s="1">
        <v>3500</v>
      </c>
      <c r="X278" s="1">
        <v>1760</v>
      </c>
      <c r="Y278" s="1">
        <v>535</v>
      </c>
      <c r="Z278" s="1">
        <v>754</v>
      </c>
      <c r="AA278" s="1">
        <v>471</v>
      </c>
      <c r="AB278" s="1">
        <v>0</v>
      </c>
      <c r="AC278" s="1">
        <v>6</v>
      </c>
      <c r="AD278" s="1" t="s">
        <v>62</v>
      </c>
      <c r="AE278" s="1" t="s">
        <v>3332</v>
      </c>
      <c r="AF278" s="1" t="s">
        <v>3333</v>
      </c>
      <c r="AG278" s="1" t="s">
        <v>3334</v>
      </c>
      <c r="AH278" s="1" t="s">
        <v>3335</v>
      </c>
      <c r="AI278" s="1">
        <v>4.54</v>
      </c>
      <c r="AJ278" s="1">
        <v>2229</v>
      </c>
      <c r="AK278" s="1">
        <v>6580</v>
      </c>
    </row>
    <row r="279" spans="1:38" ht="15.75" customHeight="1">
      <c r="A279" s="1">
        <v>447</v>
      </c>
      <c r="B279" s="1">
        <v>5</v>
      </c>
      <c r="C279" s="1">
        <v>4050</v>
      </c>
      <c r="D279" s="1" t="s">
        <v>38</v>
      </c>
      <c r="E279" s="1" t="s">
        <v>39</v>
      </c>
      <c r="F279" s="1" t="s">
        <v>1153</v>
      </c>
      <c r="G279" s="1">
        <v>0</v>
      </c>
      <c r="H279" s="1" t="s">
        <v>41</v>
      </c>
      <c r="I279" s="1" t="s">
        <v>3336</v>
      </c>
      <c r="J279" s="1" t="s">
        <v>3337</v>
      </c>
      <c r="K279" s="1" t="s">
        <v>3338</v>
      </c>
      <c r="L279" s="1">
        <v>1</v>
      </c>
      <c r="M279" s="1">
        <v>0</v>
      </c>
      <c r="N279" s="1" t="s">
        <v>3339</v>
      </c>
      <c r="O279" s="1" t="s">
        <v>3340</v>
      </c>
      <c r="P279" s="1" t="s">
        <v>3341</v>
      </c>
      <c r="Q279" s="1">
        <v>0</v>
      </c>
      <c r="R279" s="1" t="s">
        <v>3342</v>
      </c>
      <c r="S279" s="1" t="s">
        <v>3343</v>
      </c>
      <c r="U279" s="2">
        <v>56769</v>
      </c>
      <c r="V279" s="1">
        <v>2.5465771820000001</v>
      </c>
      <c r="W279" s="1">
        <v>3500</v>
      </c>
      <c r="X279" s="1">
        <v>3367</v>
      </c>
      <c r="Y279" s="1">
        <v>714</v>
      </c>
      <c r="Z279" s="1">
        <v>917</v>
      </c>
      <c r="AA279" s="1">
        <v>1736</v>
      </c>
      <c r="AB279" s="1">
        <v>0</v>
      </c>
      <c r="AC279" s="1">
        <v>3</v>
      </c>
      <c r="AD279" s="1" t="s">
        <v>215</v>
      </c>
      <c r="AE279" s="1" t="s">
        <v>3344</v>
      </c>
      <c r="AF279" s="1" t="s">
        <v>3345</v>
      </c>
      <c r="AG279" s="1" t="s">
        <v>3346</v>
      </c>
      <c r="AH279" s="1" t="s">
        <v>3347</v>
      </c>
      <c r="AI279" s="1">
        <v>4.58</v>
      </c>
      <c r="AJ279" s="1">
        <v>679</v>
      </c>
      <c r="AK279" s="1">
        <v>2371</v>
      </c>
      <c r="AL279" s="1">
        <v>1830</v>
      </c>
    </row>
    <row r="280" spans="1:38" ht="15.75" customHeight="1">
      <c r="A280" s="1">
        <v>990</v>
      </c>
      <c r="C280" s="1">
        <v>4001</v>
      </c>
      <c r="D280" s="1" t="s">
        <v>51</v>
      </c>
      <c r="E280" s="1" t="s">
        <v>39</v>
      </c>
      <c r="F280" s="1" t="s">
        <v>52</v>
      </c>
      <c r="G280" s="1">
        <v>0</v>
      </c>
      <c r="H280" s="1" t="s">
        <v>53</v>
      </c>
      <c r="I280" s="1" t="s">
        <v>3348</v>
      </c>
      <c r="J280" s="1" t="s">
        <v>3349</v>
      </c>
      <c r="K280" s="1" t="s">
        <v>3350</v>
      </c>
      <c r="L280" s="1">
        <v>1</v>
      </c>
      <c r="M280" s="1">
        <v>0</v>
      </c>
      <c r="N280" s="1" t="s">
        <v>3351</v>
      </c>
      <c r="O280" s="1" t="s">
        <v>3352</v>
      </c>
      <c r="P280" s="1" t="s">
        <v>3353</v>
      </c>
      <c r="Q280" s="1">
        <v>0</v>
      </c>
      <c r="R280" s="1" t="s">
        <v>3354</v>
      </c>
      <c r="S280" s="1" t="s">
        <v>3355</v>
      </c>
      <c r="U280" s="2">
        <v>56773</v>
      </c>
      <c r="V280" s="1">
        <v>4.8</v>
      </c>
      <c r="W280" s="1">
        <v>3500</v>
      </c>
      <c r="X280" s="1">
        <v>1408</v>
      </c>
      <c r="Y280" s="1">
        <v>370</v>
      </c>
      <c r="Z280" s="1">
        <v>313</v>
      </c>
      <c r="AA280" s="1">
        <v>725</v>
      </c>
      <c r="AB280" s="1">
        <v>0</v>
      </c>
      <c r="AC280" s="1">
        <v>6</v>
      </c>
      <c r="AD280" s="1" t="s">
        <v>215</v>
      </c>
      <c r="AE280" s="1" t="s">
        <v>3356</v>
      </c>
      <c r="AF280" s="1" t="s">
        <v>3357</v>
      </c>
      <c r="AG280" s="1" t="s">
        <v>3358</v>
      </c>
      <c r="AH280" s="1" t="s">
        <v>3359</v>
      </c>
      <c r="AI280" s="1">
        <v>4.17</v>
      </c>
      <c r="AJ280" s="1">
        <v>457</v>
      </c>
      <c r="AK280" s="1">
        <v>1599</v>
      </c>
    </row>
    <row r="281" spans="1:38" ht="15.75" customHeight="1">
      <c r="A281" s="1">
        <v>995</v>
      </c>
      <c r="C281" s="1">
        <v>4001</v>
      </c>
      <c r="D281" s="1" t="s">
        <v>51</v>
      </c>
      <c r="E281" s="1" t="s">
        <v>39</v>
      </c>
      <c r="F281" s="1" t="s">
        <v>708</v>
      </c>
      <c r="G281" s="1">
        <v>0</v>
      </c>
      <c r="H281" s="1" t="s">
        <v>53</v>
      </c>
      <c r="I281" s="1" t="s">
        <v>3360</v>
      </c>
      <c r="J281" s="1" t="s">
        <v>3361</v>
      </c>
      <c r="K281" s="1" t="s">
        <v>3362</v>
      </c>
      <c r="L281" s="1">
        <v>1</v>
      </c>
      <c r="M281" s="1">
        <v>0</v>
      </c>
      <c r="N281" s="1" t="s">
        <v>3363</v>
      </c>
      <c r="O281" s="1" t="s">
        <v>3364</v>
      </c>
      <c r="P281" s="1" t="s">
        <v>3365</v>
      </c>
      <c r="Q281" s="1">
        <v>0</v>
      </c>
      <c r="R281" s="1" t="s">
        <v>3366</v>
      </c>
      <c r="S281" s="1" t="s">
        <v>3367</v>
      </c>
      <c r="U281" s="2">
        <v>56773</v>
      </c>
      <c r="V281" s="1">
        <v>3.7467923970000001</v>
      </c>
      <c r="W281" s="1">
        <v>3500</v>
      </c>
      <c r="X281" s="1">
        <v>2232</v>
      </c>
      <c r="Y281" s="1">
        <v>945</v>
      </c>
      <c r="Z281" s="1">
        <v>697</v>
      </c>
      <c r="AA281" s="1">
        <v>590</v>
      </c>
      <c r="AB281" s="1">
        <v>0</v>
      </c>
      <c r="AC281" s="1">
        <v>2</v>
      </c>
      <c r="AD281" s="1" t="s">
        <v>76</v>
      </c>
      <c r="AE281" s="1" t="s">
        <v>3368</v>
      </c>
      <c r="AF281" s="1" t="s">
        <v>3369</v>
      </c>
      <c r="AG281" s="1" t="s">
        <v>3370</v>
      </c>
      <c r="AH281" s="1" t="s">
        <v>3371</v>
      </c>
      <c r="AI281" s="1">
        <v>4.5999999999999996</v>
      </c>
      <c r="AJ281" s="1">
        <v>292</v>
      </c>
      <c r="AK281" s="1">
        <v>1027</v>
      </c>
      <c r="AL281" s="1">
        <v>26</v>
      </c>
    </row>
    <row r="282" spans="1:38" ht="15.75" customHeight="1">
      <c r="A282" s="1">
        <v>681</v>
      </c>
      <c r="B282" s="1">
        <v>5</v>
      </c>
      <c r="C282" s="1">
        <v>4050</v>
      </c>
      <c r="D282" s="1" t="s">
        <v>38</v>
      </c>
      <c r="E282" s="1" t="s">
        <v>39</v>
      </c>
      <c r="F282" s="1" t="s">
        <v>3372</v>
      </c>
      <c r="G282" s="1">
        <v>0</v>
      </c>
      <c r="H282" s="1" t="s">
        <v>41</v>
      </c>
      <c r="I282" s="1" t="s">
        <v>3373</v>
      </c>
      <c r="J282" s="1" t="s">
        <v>3374</v>
      </c>
      <c r="K282" s="1" t="s">
        <v>3375</v>
      </c>
      <c r="L282" s="1">
        <v>1</v>
      </c>
      <c r="M282" s="1">
        <v>0</v>
      </c>
      <c r="N282" s="1" t="s">
        <v>3376</v>
      </c>
      <c r="O282" s="1" t="s">
        <v>3377</v>
      </c>
      <c r="P282" s="1" t="s">
        <v>3378</v>
      </c>
      <c r="Q282" s="1">
        <v>0</v>
      </c>
      <c r="R282" s="1" t="s">
        <v>3379</v>
      </c>
      <c r="S282" s="1" t="s">
        <v>3380</v>
      </c>
      <c r="U282" s="2">
        <v>56770</v>
      </c>
      <c r="V282" s="1">
        <v>4.7</v>
      </c>
      <c r="W282" s="1">
        <v>3500</v>
      </c>
      <c r="X282" s="1">
        <v>1876</v>
      </c>
      <c r="Y282" s="1">
        <v>368</v>
      </c>
      <c r="Z282" s="1">
        <v>670</v>
      </c>
      <c r="AA282" s="1">
        <v>838</v>
      </c>
      <c r="AB282" s="1">
        <v>0</v>
      </c>
      <c r="AC282" s="1">
        <v>2</v>
      </c>
      <c r="AD282" s="1" t="s">
        <v>62</v>
      </c>
      <c r="AE282" s="1" t="s">
        <v>3381</v>
      </c>
      <c r="AF282" s="1" t="s">
        <v>3382</v>
      </c>
      <c r="AG282" s="1" t="s">
        <v>3383</v>
      </c>
      <c r="AH282" s="1" t="s">
        <v>3384</v>
      </c>
      <c r="AI282" s="1">
        <v>4.4782608699999997</v>
      </c>
      <c r="AJ282" s="1">
        <v>17</v>
      </c>
      <c r="AK282" s="1">
        <v>56</v>
      </c>
      <c r="AL282" s="1">
        <v>8</v>
      </c>
    </row>
    <row r="283" spans="1:38" ht="15.75" customHeight="1">
      <c r="A283" s="1">
        <v>1484</v>
      </c>
      <c r="C283" s="1">
        <v>4001</v>
      </c>
      <c r="D283" s="1" t="s">
        <v>51</v>
      </c>
      <c r="E283" s="1" t="s">
        <v>39</v>
      </c>
      <c r="F283" s="1" t="s">
        <v>708</v>
      </c>
      <c r="G283" s="1">
        <v>0</v>
      </c>
      <c r="H283" s="1" t="s">
        <v>53</v>
      </c>
      <c r="I283" s="1" t="s">
        <v>3385</v>
      </c>
      <c r="J283" s="1" t="s">
        <v>3386</v>
      </c>
      <c r="K283" s="1" t="s">
        <v>3387</v>
      </c>
      <c r="L283" s="1">
        <v>1</v>
      </c>
      <c r="M283" s="1">
        <v>0</v>
      </c>
      <c r="N283" s="1" t="s">
        <v>3388</v>
      </c>
      <c r="O283" s="1" t="s">
        <v>3389</v>
      </c>
      <c r="P283" s="1" t="s">
        <v>3390</v>
      </c>
      <c r="Q283" s="1">
        <v>0</v>
      </c>
      <c r="R283" s="1" t="s">
        <v>3391</v>
      </c>
      <c r="S283" s="1" t="s">
        <v>3392</v>
      </c>
      <c r="U283" s="2">
        <v>56777</v>
      </c>
      <c r="V283" s="1">
        <v>4.5</v>
      </c>
      <c r="W283" s="1">
        <v>3500</v>
      </c>
      <c r="X283" s="1">
        <v>2930</v>
      </c>
      <c r="Y283" s="1">
        <v>720</v>
      </c>
      <c r="Z283" s="1">
        <v>914</v>
      </c>
      <c r="AA283" s="1">
        <v>1296</v>
      </c>
      <c r="AB283" s="1">
        <v>0</v>
      </c>
      <c r="AC283" s="1">
        <v>4</v>
      </c>
      <c r="AE283" s="1" t="s">
        <v>3393</v>
      </c>
      <c r="AF283" s="1" t="s">
        <v>3394</v>
      </c>
      <c r="AG283" s="1" t="s">
        <v>3395</v>
      </c>
      <c r="AH283" s="1" t="s">
        <v>3396</v>
      </c>
      <c r="AI283" s="1">
        <v>4.5999999999999996</v>
      </c>
      <c r="AJ283" s="1">
        <v>292</v>
      </c>
      <c r="AK283" s="1">
        <v>1027</v>
      </c>
      <c r="AL283" s="1">
        <v>26</v>
      </c>
    </row>
    <row r="284" spans="1:38" ht="15.75" customHeight="1">
      <c r="A284" s="1">
        <v>849</v>
      </c>
      <c r="B284" s="1">
        <v>5</v>
      </c>
      <c r="C284" s="1">
        <v>4001</v>
      </c>
      <c r="D284" s="1" t="s">
        <v>51</v>
      </c>
      <c r="E284" s="1" t="s">
        <v>39</v>
      </c>
      <c r="F284" s="1" t="s">
        <v>3397</v>
      </c>
      <c r="G284" s="1">
        <v>0</v>
      </c>
      <c r="H284" s="1" t="s">
        <v>41</v>
      </c>
      <c r="I284" s="1" t="s">
        <v>3398</v>
      </c>
      <c r="J284" s="1" t="s">
        <v>3399</v>
      </c>
      <c r="K284" s="1" t="s">
        <v>3400</v>
      </c>
      <c r="L284" s="1">
        <v>1</v>
      </c>
      <c r="M284" s="1">
        <v>0</v>
      </c>
      <c r="N284" s="1" t="s">
        <v>3401</v>
      </c>
      <c r="O284" s="1" t="s">
        <v>3402</v>
      </c>
      <c r="P284" s="1" t="s">
        <v>3403</v>
      </c>
      <c r="Q284" s="1">
        <v>0</v>
      </c>
      <c r="R284" s="1" t="s">
        <v>3404</v>
      </c>
      <c r="S284" s="1" t="s">
        <v>3405</v>
      </c>
      <c r="U284" s="2">
        <v>56772</v>
      </c>
      <c r="V284" s="1">
        <v>4.5</v>
      </c>
      <c r="W284" s="1">
        <v>3500</v>
      </c>
      <c r="X284" s="1">
        <v>4001</v>
      </c>
      <c r="Y284" s="1">
        <v>2898</v>
      </c>
      <c r="Z284" s="1">
        <v>281</v>
      </c>
      <c r="AA284" s="1">
        <v>822</v>
      </c>
      <c r="AB284" s="1">
        <v>0</v>
      </c>
      <c r="AC284" s="1">
        <v>2</v>
      </c>
      <c r="AD284" s="1" t="s">
        <v>76</v>
      </c>
      <c r="AE284" s="1" t="s">
        <v>3406</v>
      </c>
      <c r="AF284" s="1" t="s">
        <v>3407</v>
      </c>
      <c r="AG284" s="1" t="s">
        <v>3408</v>
      </c>
      <c r="AH284" s="1" t="s">
        <v>3409</v>
      </c>
      <c r="AI284" s="1">
        <v>4.26</v>
      </c>
      <c r="AJ284" s="1">
        <v>141</v>
      </c>
      <c r="AK284" s="1">
        <v>500</v>
      </c>
      <c r="AL284" s="1">
        <v>37</v>
      </c>
    </row>
    <row r="285" spans="1:38" ht="15.75" customHeight="1">
      <c r="A285" s="1">
        <v>871</v>
      </c>
      <c r="B285" s="1">
        <v>5</v>
      </c>
      <c r="C285" s="1">
        <v>4050</v>
      </c>
      <c r="D285" s="1" t="s">
        <v>38</v>
      </c>
      <c r="E285" s="1" t="s">
        <v>39</v>
      </c>
      <c r="F285" s="1" t="s">
        <v>280</v>
      </c>
      <c r="G285" s="1">
        <v>0</v>
      </c>
      <c r="H285" s="1" t="s">
        <v>41</v>
      </c>
      <c r="I285" s="1" t="s">
        <v>3410</v>
      </c>
      <c r="J285" s="1" t="s">
        <v>3411</v>
      </c>
      <c r="K285" s="1" t="s">
        <v>3411</v>
      </c>
      <c r="L285" s="1">
        <v>0</v>
      </c>
      <c r="M285" s="1">
        <v>0</v>
      </c>
      <c r="N285" s="1" t="s">
        <v>3412</v>
      </c>
      <c r="O285" s="1" t="s">
        <v>3413</v>
      </c>
      <c r="P285" s="1" t="s">
        <v>3414</v>
      </c>
      <c r="Q285" s="1">
        <v>0</v>
      </c>
      <c r="R285" s="1" t="s">
        <v>3415</v>
      </c>
      <c r="S285" s="1" t="s">
        <v>3416</v>
      </c>
      <c r="U285" s="2">
        <v>56772</v>
      </c>
      <c r="V285" s="1">
        <v>3.0036984580000001</v>
      </c>
      <c r="W285" s="1">
        <v>3500</v>
      </c>
      <c r="X285" s="1">
        <v>3231</v>
      </c>
      <c r="Y285" s="1">
        <v>1460</v>
      </c>
      <c r="Z285" s="1">
        <v>315</v>
      </c>
      <c r="AA285" s="1">
        <v>1456</v>
      </c>
      <c r="AB285" s="1">
        <v>0</v>
      </c>
      <c r="AC285" s="1">
        <v>3</v>
      </c>
      <c r="AD285" s="1" t="s">
        <v>76</v>
      </c>
      <c r="AE285" s="1" t="s">
        <v>3417</v>
      </c>
      <c r="AF285" s="1" t="s">
        <v>3418</v>
      </c>
      <c r="AG285" s="1" t="s">
        <v>3419</v>
      </c>
      <c r="AH285" s="1" t="s">
        <v>3420</v>
      </c>
      <c r="AI285" s="1">
        <v>4.49</v>
      </c>
      <c r="AJ285" s="1">
        <v>2315</v>
      </c>
      <c r="AK285" s="1">
        <v>7039</v>
      </c>
      <c r="AL285" s="1">
        <v>763</v>
      </c>
    </row>
    <row r="286" spans="1:38" ht="15.75" customHeight="1">
      <c r="A286" s="1">
        <v>211</v>
      </c>
      <c r="B286" s="1">
        <v>5</v>
      </c>
      <c r="C286" s="1">
        <v>4050</v>
      </c>
      <c r="D286" s="1" t="s">
        <v>38</v>
      </c>
      <c r="E286" s="1" t="s">
        <v>39</v>
      </c>
      <c r="F286" s="1" t="s">
        <v>695</v>
      </c>
      <c r="G286" s="1">
        <v>0</v>
      </c>
      <c r="H286" s="1" t="s">
        <v>41</v>
      </c>
      <c r="I286" s="1" t="s">
        <v>3421</v>
      </c>
      <c r="J286" s="1" t="s">
        <v>3422</v>
      </c>
      <c r="K286" s="1" t="s">
        <v>3423</v>
      </c>
      <c r="L286" s="1">
        <v>1</v>
      </c>
      <c r="M286" s="1">
        <v>0</v>
      </c>
      <c r="N286" s="1" t="s">
        <v>3424</v>
      </c>
      <c r="O286" s="1" t="s">
        <v>3425</v>
      </c>
      <c r="P286" s="1" t="s">
        <v>3426</v>
      </c>
      <c r="Q286" s="1">
        <v>0</v>
      </c>
      <c r="R286" s="1" t="s">
        <v>3427</v>
      </c>
      <c r="S286" s="1" t="s">
        <v>3428</v>
      </c>
      <c r="U286" s="2">
        <v>56767</v>
      </c>
      <c r="V286" s="1">
        <v>4.7</v>
      </c>
      <c r="W286" s="1">
        <v>3500</v>
      </c>
      <c r="X286" s="1">
        <v>2789</v>
      </c>
      <c r="Y286" s="1">
        <v>1985</v>
      </c>
      <c r="Z286" s="1">
        <v>144</v>
      </c>
      <c r="AA286" s="1">
        <v>660</v>
      </c>
      <c r="AB286" s="1">
        <v>0</v>
      </c>
      <c r="AC286" s="1">
        <v>2</v>
      </c>
      <c r="AD286" s="1" t="s">
        <v>76</v>
      </c>
      <c r="AE286" s="1" t="s">
        <v>3429</v>
      </c>
      <c r="AF286" s="1" t="s">
        <v>3430</v>
      </c>
      <c r="AG286" s="1" t="s">
        <v>3431</v>
      </c>
      <c r="AH286" s="1" t="s">
        <v>3432</v>
      </c>
      <c r="AI286" s="1">
        <v>4.38</v>
      </c>
      <c r="AJ286" s="1">
        <v>196</v>
      </c>
      <c r="AK286" s="1">
        <v>626</v>
      </c>
    </row>
    <row r="287" spans="1:38" ht="15.75" customHeight="1">
      <c r="A287" s="1">
        <v>482</v>
      </c>
      <c r="B287" s="1">
        <v>5</v>
      </c>
      <c r="C287" s="1">
        <v>4050</v>
      </c>
      <c r="D287" s="1" t="s">
        <v>38</v>
      </c>
      <c r="E287" s="1" t="s">
        <v>39</v>
      </c>
      <c r="F287" s="1" t="s">
        <v>510</v>
      </c>
      <c r="G287" s="1">
        <v>0</v>
      </c>
      <c r="H287" s="1" t="s">
        <v>41</v>
      </c>
      <c r="I287" s="1" t="s">
        <v>3433</v>
      </c>
      <c r="J287" s="1" t="s">
        <v>3434</v>
      </c>
      <c r="K287" s="1" t="s">
        <v>3435</v>
      </c>
      <c r="L287" s="1">
        <v>1</v>
      </c>
      <c r="M287" s="1">
        <v>0</v>
      </c>
      <c r="N287" s="1" t="s">
        <v>3436</v>
      </c>
      <c r="O287" s="1" t="s">
        <v>3437</v>
      </c>
      <c r="P287" s="1" t="s">
        <v>3438</v>
      </c>
      <c r="Q287" s="1">
        <v>0</v>
      </c>
      <c r="R287" s="1" t="s">
        <v>3439</v>
      </c>
      <c r="S287" s="1" t="s">
        <v>3440</v>
      </c>
      <c r="U287" s="2">
        <v>56769</v>
      </c>
      <c r="V287" s="1">
        <v>3.285381535</v>
      </c>
      <c r="W287" s="1">
        <v>3500</v>
      </c>
      <c r="X287" s="1">
        <v>2934</v>
      </c>
      <c r="Y287" s="1">
        <v>1264</v>
      </c>
      <c r="Z287" s="1">
        <v>148</v>
      </c>
      <c r="AA287" s="1">
        <v>1522</v>
      </c>
      <c r="AB287" s="1">
        <v>1</v>
      </c>
      <c r="AC287" s="1">
        <v>4</v>
      </c>
      <c r="AE287" s="1" t="s">
        <v>3441</v>
      </c>
      <c r="AF287" s="1" t="s">
        <v>3442</v>
      </c>
      <c r="AG287" s="1" t="s">
        <v>3443</v>
      </c>
      <c r="AH287" s="1" t="s">
        <v>3444</v>
      </c>
      <c r="AI287" s="1">
        <v>4.62</v>
      </c>
      <c r="AJ287" s="1">
        <v>259</v>
      </c>
      <c r="AK287" s="1">
        <v>604</v>
      </c>
      <c r="AL287" s="1">
        <v>21</v>
      </c>
    </row>
    <row r="288" spans="1:38" ht="15.75" customHeight="1">
      <c r="A288" s="1">
        <v>574</v>
      </c>
      <c r="B288" s="1">
        <v>5</v>
      </c>
      <c r="C288" s="1">
        <v>4050</v>
      </c>
      <c r="D288" s="1" t="s">
        <v>38</v>
      </c>
      <c r="E288" s="1" t="s">
        <v>39</v>
      </c>
      <c r="F288" s="1" t="s">
        <v>1323</v>
      </c>
      <c r="G288" s="1">
        <v>0</v>
      </c>
      <c r="H288" s="1" t="s">
        <v>41</v>
      </c>
      <c r="I288" s="1" t="s">
        <v>3445</v>
      </c>
      <c r="J288" s="1" t="s">
        <v>3446</v>
      </c>
      <c r="K288" s="1" t="s">
        <v>3447</v>
      </c>
      <c r="L288" s="1">
        <v>1</v>
      </c>
      <c r="M288" s="1">
        <v>0</v>
      </c>
      <c r="N288" s="1" t="s">
        <v>3448</v>
      </c>
      <c r="O288" s="1" t="s">
        <v>3449</v>
      </c>
      <c r="P288" s="1" t="s">
        <v>3450</v>
      </c>
      <c r="Q288" s="1">
        <v>0</v>
      </c>
      <c r="R288" s="1" t="s">
        <v>3451</v>
      </c>
      <c r="S288" s="1" t="s">
        <v>3452</v>
      </c>
      <c r="U288" s="2">
        <v>56770</v>
      </c>
      <c r="V288" s="1">
        <v>4.7</v>
      </c>
      <c r="W288" s="1">
        <v>3500</v>
      </c>
      <c r="X288" s="1">
        <v>1958</v>
      </c>
      <c r="Y288" s="1">
        <v>939</v>
      </c>
      <c r="Z288" s="1">
        <v>123</v>
      </c>
      <c r="AA288" s="1">
        <v>896</v>
      </c>
      <c r="AB288" s="1">
        <v>0</v>
      </c>
      <c r="AC288" s="1">
        <v>2</v>
      </c>
      <c r="AD288" s="1" t="s">
        <v>76</v>
      </c>
      <c r="AE288" s="1" t="s">
        <v>3453</v>
      </c>
      <c r="AF288" s="1" t="s">
        <v>3454</v>
      </c>
      <c r="AG288" s="1" t="s">
        <v>3455</v>
      </c>
      <c r="AH288" s="1" t="s">
        <v>3456</v>
      </c>
      <c r="AI288" s="1">
        <v>4.57</v>
      </c>
      <c r="AJ288" s="1">
        <v>234</v>
      </c>
      <c r="AK288" s="1">
        <v>726</v>
      </c>
      <c r="AL288" s="1">
        <v>99</v>
      </c>
    </row>
    <row r="289" spans="1:38" ht="15.75" customHeight="1">
      <c r="A289" s="1">
        <v>834</v>
      </c>
      <c r="B289" s="1">
        <v>5</v>
      </c>
      <c r="C289" s="1">
        <v>4050</v>
      </c>
      <c r="D289" s="1" t="s">
        <v>38</v>
      </c>
      <c r="E289" s="1" t="s">
        <v>39</v>
      </c>
      <c r="F289" s="1" t="s">
        <v>280</v>
      </c>
      <c r="G289" s="1">
        <v>0</v>
      </c>
      <c r="H289" s="1" t="s">
        <v>41</v>
      </c>
      <c r="I289" s="1" t="s">
        <v>3457</v>
      </c>
      <c r="J289" s="1" t="s">
        <v>3458</v>
      </c>
      <c r="K289" s="1" t="s">
        <v>3459</v>
      </c>
      <c r="L289" s="1">
        <v>1</v>
      </c>
      <c r="M289" s="1">
        <v>0</v>
      </c>
      <c r="N289" s="1" t="s">
        <v>3460</v>
      </c>
      <c r="O289" s="1" t="s">
        <v>3461</v>
      </c>
      <c r="P289" s="1" t="s">
        <v>3462</v>
      </c>
      <c r="Q289" s="1">
        <v>0</v>
      </c>
      <c r="R289" s="1" t="s">
        <v>3463</v>
      </c>
      <c r="U289" s="2">
        <v>56772</v>
      </c>
      <c r="V289" s="1">
        <v>4.5</v>
      </c>
      <c r="W289" s="1">
        <v>3500</v>
      </c>
      <c r="X289" s="1">
        <v>1592</v>
      </c>
      <c r="AA289" s="1">
        <v>911</v>
      </c>
      <c r="AB289" s="1">
        <v>0</v>
      </c>
      <c r="AC289" s="1">
        <v>2</v>
      </c>
      <c r="AE289" s="1" t="s">
        <v>3464</v>
      </c>
      <c r="AF289" s="1" t="s">
        <v>3465</v>
      </c>
      <c r="AG289" s="1" t="s">
        <v>3466</v>
      </c>
      <c r="AI289" s="1">
        <v>4.49</v>
      </c>
      <c r="AJ289" s="1">
        <v>2315</v>
      </c>
      <c r="AK289" s="1">
        <v>7039</v>
      </c>
      <c r="AL289" s="1">
        <v>763</v>
      </c>
    </row>
    <row r="290" spans="1:38" ht="15.75" customHeight="1">
      <c r="A290" s="1">
        <v>1589</v>
      </c>
      <c r="B290" s="1">
        <v>5</v>
      </c>
      <c r="C290" s="1">
        <v>4001</v>
      </c>
      <c r="D290" s="1" t="s">
        <v>51</v>
      </c>
      <c r="E290" s="1" t="s">
        <v>39</v>
      </c>
      <c r="F290" s="1" t="s">
        <v>648</v>
      </c>
      <c r="G290" s="1">
        <v>0</v>
      </c>
      <c r="H290" s="1" t="s">
        <v>53</v>
      </c>
      <c r="I290" s="1" t="s">
        <v>3467</v>
      </c>
      <c r="J290" s="1" t="s">
        <v>3468</v>
      </c>
      <c r="K290" s="1" t="s">
        <v>3468</v>
      </c>
      <c r="L290" s="1">
        <v>0</v>
      </c>
      <c r="M290" s="1">
        <v>0</v>
      </c>
      <c r="N290" s="1" t="s">
        <v>3469</v>
      </c>
      <c r="O290" s="1" t="s">
        <v>3470</v>
      </c>
      <c r="P290" s="1" t="s">
        <v>3471</v>
      </c>
      <c r="Q290" s="1">
        <v>0</v>
      </c>
      <c r="R290" s="1" t="s">
        <v>3472</v>
      </c>
      <c r="S290" s="1" t="s">
        <v>3473</v>
      </c>
      <c r="U290" s="2">
        <v>56778</v>
      </c>
      <c r="V290" s="1">
        <v>4.2</v>
      </c>
      <c r="W290" s="1">
        <v>3500</v>
      </c>
      <c r="X290" s="1">
        <v>1126</v>
      </c>
      <c r="Y290" s="1">
        <v>233</v>
      </c>
      <c r="Z290" s="1">
        <v>379</v>
      </c>
      <c r="AA290" s="1">
        <v>514</v>
      </c>
      <c r="AB290" s="1">
        <v>0</v>
      </c>
      <c r="AC290" s="1">
        <v>6</v>
      </c>
      <c r="AD290" s="1" t="s">
        <v>215</v>
      </c>
      <c r="AE290" s="1" t="s">
        <v>3474</v>
      </c>
      <c r="AF290" s="1" t="s">
        <v>3475</v>
      </c>
      <c r="AG290" s="1" t="s">
        <v>3476</v>
      </c>
      <c r="AH290" s="1" t="s">
        <v>3477</v>
      </c>
      <c r="AI290" s="1">
        <v>4.7</v>
      </c>
      <c r="AJ290" s="1">
        <v>443</v>
      </c>
      <c r="AK290" s="1">
        <v>1579</v>
      </c>
    </row>
    <row r="291" spans="1:38" ht="15.75" customHeight="1">
      <c r="A291" s="1">
        <v>1457</v>
      </c>
      <c r="B291" s="1">
        <v>4</v>
      </c>
      <c r="C291" s="1">
        <v>4001</v>
      </c>
      <c r="D291" s="1" t="s">
        <v>51</v>
      </c>
      <c r="E291" s="1" t="s">
        <v>39</v>
      </c>
      <c r="F291" s="1" t="s">
        <v>414</v>
      </c>
      <c r="G291" s="1">
        <v>0</v>
      </c>
      <c r="H291" s="1" t="s">
        <v>53</v>
      </c>
      <c r="I291" s="1" t="s">
        <v>3478</v>
      </c>
      <c r="J291" s="1" t="s">
        <v>3479</v>
      </c>
      <c r="K291" s="1" t="s">
        <v>3479</v>
      </c>
      <c r="L291" s="1">
        <v>0</v>
      </c>
      <c r="M291" s="1">
        <v>0</v>
      </c>
      <c r="N291" s="1" t="s">
        <v>3480</v>
      </c>
      <c r="O291" s="1" t="s">
        <v>3481</v>
      </c>
      <c r="P291" s="1" t="s">
        <v>3482</v>
      </c>
      <c r="Q291" s="1">
        <v>0</v>
      </c>
      <c r="R291" s="1" t="s">
        <v>3483</v>
      </c>
      <c r="S291" s="1" t="s">
        <v>3484</v>
      </c>
      <c r="U291" s="2">
        <v>56777</v>
      </c>
      <c r="V291" s="1">
        <v>4.3423398940000002</v>
      </c>
      <c r="W291" s="1">
        <v>3500</v>
      </c>
      <c r="X291" s="1">
        <v>1401</v>
      </c>
      <c r="Y291" s="1">
        <v>519</v>
      </c>
      <c r="Z291" s="1">
        <v>341</v>
      </c>
      <c r="AA291" s="1">
        <v>541</v>
      </c>
      <c r="AB291" s="1">
        <v>0</v>
      </c>
      <c r="AC291" s="1">
        <v>2</v>
      </c>
      <c r="AD291" s="1" t="s">
        <v>76</v>
      </c>
      <c r="AE291" s="1" t="s">
        <v>3485</v>
      </c>
      <c r="AF291" s="1" t="s">
        <v>3486</v>
      </c>
      <c r="AG291" s="1" t="s">
        <v>3487</v>
      </c>
      <c r="AH291" s="1" t="s">
        <v>3488</v>
      </c>
      <c r="AI291" s="1">
        <v>4.58</v>
      </c>
      <c r="AJ291" s="1">
        <v>254</v>
      </c>
      <c r="AK291" s="1">
        <v>788</v>
      </c>
      <c r="AL291" s="1">
        <v>9</v>
      </c>
    </row>
    <row r="292" spans="1:38" ht="15.75" customHeight="1">
      <c r="A292" s="1">
        <v>1068</v>
      </c>
      <c r="C292" s="1">
        <v>4001</v>
      </c>
      <c r="D292" s="1" t="s">
        <v>51</v>
      </c>
      <c r="E292" s="1" t="s">
        <v>39</v>
      </c>
      <c r="F292" s="1" t="s">
        <v>52</v>
      </c>
      <c r="G292" s="1">
        <v>0</v>
      </c>
      <c r="H292" s="1" t="s">
        <v>53</v>
      </c>
      <c r="I292" s="1" t="s">
        <v>3489</v>
      </c>
      <c r="J292" s="1" t="s">
        <v>3490</v>
      </c>
      <c r="K292" s="1" t="s">
        <v>3491</v>
      </c>
      <c r="L292" s="1">
        <v>1</v>
      </c>
      <c r="M292" s="1">
        <v>0</v>
      </c>
      <c r="N292" s="1" t="s">
        <v>3492</v>
      </c>
      <c r="O292" s="1" t="s">
        <v>3493</v>
      </c>
      <c r="P292" s="1" t="s">
        <v>3494</v>
      </c>
      <c r="Q292" s="1">
        <v>0</v>
      </c>
      <c r="R292" s="1" t="s">
        <v>3495</v>
      </c>
      <c r="S292" s="1" t="s">
        <v>3496</v>
      </c>
      <c r="U292" s="2">
        <v>56774</v>
      </c>
      <c r="V292" s="1">
        <v>4.3</v>
      </c>
      <c r="W292" s="1">
        <v>3500</v>
      </c>
      <c r="X292" s="1">
        <v>2195</v>
      </c>
      <c r="Y292" s="1">
        <v>884</v>
      </c>
      <c r="Z292" s="1">
        <v>382</v>
      </c>
      <c r="AA292" s="1">
        <v>929</v>
      </c>
      <c r="AB292" s="1">
        <v>0</v>
      </c>
      <c r="AC292" s="1">
        <v>3</v>
      </c>
      <c r="AD292" s="1" t="s">
        <v>76</v>
      </c>
      <c r="AE292" s="1" t="s">
        <v>3497</v>
      </c>
      <c r="AF292" s="1" t="s">
        <v>3498</v>
      </c>
      <c r="AG292" s="1" t="s">
        <v>3499</v>
      </c>
      <c r="AH292" s="1" t="s">
        <v>3500</v>
      </c>
      <c r="AI292" s="1">
        <v>4.17</v>
      </c>
      <c r="AJ292" s="1">
        <v>457</v>
      </c>
      <c r="AK292" s="1">
        <v>1599</v>
      </c>
    </row>
    <row r="293" spans="1:38" ht="15.75" customHeight="1">
      <c r="A293" s="1">
        <v>1480</v>
      </c>
      <c r="B293" s="1">
        <v>5</v>
      </c>
      <c r="C293" s="1">
        <v>4001</v>
      </c>
      <c r="D293" s="1" t="s">
        <v>51</v>
      </c>
      <c r="E293" s="1" t="s">
        <v>39</v>
      </c>
      <c r="F293" s="1" t="s">
        <v>341</v>
      </c>
      <c r="G293" s="1">
        <v>0</v>
      </c>
      <c r="H293" s="1" t="s">
        <v>41</v>
      </c>
      <c r="I293" s="1" t="s">
        <v>3501</v>
      </c>
      <c r="J293" s="1" t="s">
        <v>3502</v>
      </c>
      <c r="K293" s="1" t="s">
        <v>3503</v>
      </c>
      <c r="L293" s="1">
        <v>1</v>
      </c>
      <c r="M293" s="1">
        <v>0</v>
      </c>
      <c r="N293" s="1" t="s">
        <v>3504</v>
      </c>
      <c r="O293" s="1" t="s">
        <v>3505</v>
      </c>
      <c r="P293" s="1" t="s">
        <v>3506</v>
      </c>
      <c r="Q293" s="1">
        <v>0</v>
      </c>
      <c r="R293" s="1" t="s">
        <v>3507</v>
      </c>
      <c r="S293" s="1" t="s">
        <v>3508</v>
      </c>
      <c r="U293" s="2">
        <v>56777</v>
      </c>
      <c r="V293" s="1">
        <v>2.8628177940000001</v>
      </c>
      <c r="W293" s="1">
        <v>3500</v>
      </c>
      <c r="X293" s="1">
        <v>1352</v>
      </c>
      <c r="Y293" s="1">
        <v>178</v>
      </c>
      <c r="Z293" s="1">
        <v>592</v>
      </c>
      <c r="AA293" s="1">
        <v>582</v>
      </c>
      <c r="AB293" s="1">
        <v>0</v>
      </c>
      <c r="AC293" s="1">
        <v>4</v>
      </c>
      <c r="AD293" s="1" t="s">
        <v>62</v>
      </c>
      <c r="AE293" s="1" t="s">
        <v>3509</v>
      </c>
      <c r="AF293" s="1" t="s">
        <v>3510</v>
      </c>
      <c r="AG293" s="1" t="s">
        <v>3511</v>
      </c>
      <c r="AH293" s="1" t="s">
        <v>3512</v>
      </c>
      <c r="AI293" s="1">
        <v>4.54</v>
      </c>
      <c r="AJ293" s="1">
        <v>2229</v>
      </c>
      <c r="AK293" s="1">
        <v>6580</v>
      </c>
    </row>
    <row r="294" spans="1:38" ht="15.75" customHeight="1">
      <c r="A294" s="1">
        <v>438</v>
      </c>
      <c r="C294" s="1">
        <v>4050</v>
      </c>
      <c r="D294" s="1" t="s">
        <v>38</v>
      </c>
      <c r="E294" s="1" t="s">
        <v>39</v>
      </c>
      <c r="F294" s="1" t="s">
        <v>40</v>
      </c>
      <c r="G294" s="1">
        <v>0</v>
      </c>
      <c r="H294" s="1" t="s">
        <v>41</v>
      </c>
      <c r="I294" s="1" t="s">
        <v>3513</v>
      </c>
      <c r="J294" s="1" t="s">
        <v>3514</v>
      </c>
      <c r="K294" s="1" t="s">
        <v>3514</v>
      </c>
      <c r="L294" s="1">
        <v>0</v>
      </c>
      <c r="M294" s="1">
        <v>0</v>
      </c>
      <c r="N294" s="1" t="s">
        <v>3515</v>
      </c>
      <c r="O294" s="1" t="s">
        <v>3516</v>
      </c>
      <c r="P294" s="1" t="s">
        <v>3517</v>
      </c>
      <c r="Q294" s="1">
        <v>0</v>
      </c>
      <c r="R294" s="1" t="s">
        <v>3518</v>
      </c>
      <c r="S294" s="1" t="s">
        <v>3519</v>
      </c>
      <c r="U294" s="2">
        <v>56769</v>
      </c>
      <c r="V294" s="1">
        <v>4.5</v>
      </c>
      <c r="W294" s="1">
        <v>3500</v>
      </c>
      <c r="X294" s="1">
        <v>1507</v>
      </c>
      <c r="Y294" s="1">
        <v>350</v>
      </c>
      <c r="Z294" s="1">
        <v>320</v>
      </c>
      <c r="AA294" s="1">
        <v>837</v>
      </c>
      <c r="AB294" s="1">
        <v>0</v>
      </c>
      <c r="AC294" s="1">
        <v>5</v>
      </c>
      <c r="AD294" s="1" t="s">
        <v>215</v>
      </c>
      <c r="AE294" s="1" t="s">
        <v>3520</v>
      </c>
      <c r="AF294" s="1" t="s">
        <v>3521</v>
      </c>
      <c r="AG294" s="1" t="s">
        <v>3522</v>
      </c>
      <c r="AH294" s="1" t="s">
        <v>3523</v>
      </c>
      <c r="AI294" s="1">
        <v>4.7</v>
      </c>
      <c r="AJ294" s="1">
        <v>1261</v>
      </c>
      <c r="AK294" s="1">
        <v>3264</v>
      </c>
      <c r="AL294" s="1">
        <v>232</v>
      </c>
    </row>
    <row r="295" spans="1:38" ht="15.75" customHeight="1">
      <c r="A295" s="1">
        <v>34</v>
      </c>
      <c r="C295" s="1">
        <v>4050</v>
      </c>
      <c r="D295" s="1" t="s">
        <v>38</v>
      </c>
      <c r="E295" s="1" t="s">
        <v>39</v>
      </c>
      <c r="F295" s="1" t="s">
        <v>1238</v>
      </c>
      <c r="G295" s="1">
        <v>0</v>
      </c>
      <c r="H295" s="1" t="s">
        <v>41</v>
      </c>
      <c r="I295" s="1" t="s">
        <v>3524</v>
      </c>
      <c r="J295" s="1" t="s">
        <v>3525</v>
      </c>
      <c r="K295" s="1" t="s">
        <v>3526</v>
      </c>
      <c r="L295" s="1">
        <v>1</v>
      </c>
      <c r="M295" s="1">
        <v>0</v>
      </c>
      <c r="N295" s="1" t="s">
        <v>3527</v>
      </c>
      <c r="O295" s="1" t="s">
        <v>3528</v>
      </c>
      <c r="P295" s="1" t="s">
        <v>3529</v>
      </c>
      <c r="Q295" s="1">
        <v>0</v>
      </c>
      <c r="R295" s="1" t="s">
        <v>3530</v>
      </c>
      <c r="S295" s="1" t="s">
        <v>3531</v>
      </c>
      <c r="U295" s="2">
        <v>56766</v>
      </c>
      <c r="V295" s="1">
        <v>4.7</v>
      </c>
      <c r="W295" s="1">
        <v>3500</v>
      </c>
      <c r="X295" s="1">
        <v>2292</v>
      </c>
      <c r="Y295" s="1">
        <v>17</v>
      </c>
      <c r="Z295" s="1">
        <v>1034</v>
      </c>
      <c r="AA295" s="1">
        <v>1241</v>
      </c>
      <c r="AB295" s="1">
        <v>0</v>
      </c>
      <c r="AC295" s="1">
        <v>4</v>
      </c>
      <c r="AE295" s="1" t="s">
        <v>3532</v>
      </c>
      <c r="AF295" s="1" t="s">
        <v>3533</v>
      </c>
      <c r="AG295" s="1" t="s">
        <v>3534</v>
      </c>
      <c r="AH295" s="1" t="s">
        <v>3535</v>
      </c>
      <c r="AI295" s="1">
        <v>4.5</v>
      </c>
      <c r="AJ295" s="1">
        <v>55</v>
      </c>
      <c r="AK295" s="1">
        <v>211</v>
      </c>
      <c r="AL295" s="1">
        <v>6</v>
      </c>
    </row>
    <row r="296" spans="1:38" ht="15.75" customHeight="1">
      <c r="A296" s="1">
        <v>618</v>
      </c>
      <c r="B296" s="1">
        <v>5</v>
      </c>
      <c r="C296" s="1">
        <v>4050</v>
      </c>
      <c r="D296" s="1" t="s">
        <v>38</v>
      </c>
      <c r="E296" s="1" t="s">
        <v>39</v>
      </c>
      <c r="F296" s="1" t="s">
        <v>40</v>
      </c>
      <c r="G296" s="1">
        <v>0</v>
      </c>
      <c r="H296" s="1" t="s">
        <v>41</v>
      </c>
      <c r="I296" s="1" t="s">
        <v>3536</v>
      </c>
      <c r="J296" s="1" t="s">
        <v>3537</v>
      </c>
      <c r="K296" s="1" t="s">
        <v>3538</v>
      </c>
      <c r="L296" s="1">
        <v>1</v>
      </c>
      <c r="M296" s="1">
        <v>0</v>
      </c>
      <c r="N296" s="1" t="s">
        <v>3539</v>
      </c>
      <c r="O296" s="1" t="s">
        <v>3540</v>
      </c>
      <c r="P296" s="1" t="s">
        <v>3541</v>
      </c>
      <c r="Q296" s="1">
        <v>0</v>
      </c>
      <c r="R296" s="1" t="s">
        <v>3542</v>
      </c>
      <c r="S296" s="1" t="s">
        <v>3543</v>
      </c>
      <c r="U296" s="2">
        <v>56770</v>
      </c>
      <c r="V296" s="1">
        <v>4.7</v>
      </c>
      <c r="W296" s="1">
        <v>3500</v>
      </c>
      <c r="X296" s="1">
        <v>1868</v>
      </c>
      <c r="Y296" s="1">
        <v>773</v>
      </c>
      <c r="Z296" s="1">
        <v>85</v>
      </c>
      <c r="AA296" s="1">
        <v>1010</v>
      </c>
      <c r="AB296" s="1">
        <v>0</v>
      </c>
      <c r="AC296" s="1">
        <v>4</v>
      </c>
      <c r="AD296" s="1" t="s">
        <v>76</v>
      </c>
      <c r="AE296" s="1" t="s">
        <v>3544</v>
      </c>
      <c r="AF296" s="1" t="s">
        <v>3545</v>
      </c>
      <c r="AG296" s="1" t="s">
        <v>3546</v>
      </c>
      <c r="AH296" s="1" t="s">
        <v>3547</v>
      </c>
      <c r="AI296" s="1">
        <v>4.7</v>
      </c>
      <c r="AJ296" s="1">
        <v>1261</v>
      </c>
      <c r="AK296" s="1">
        <v>3264</v>
      </c>
      <c r="AL296" s="1">
        <v>232</v>
      </c>
    </row>
    <row r="297" spans="1:38" ht="15.75" customHeight="1">
      <c r="A297" s="1">
        <v>719</v>
      </c>
      <c r="B297" s="1">
        <v>5</v>
      </c>
      <c r="C297" s="1">
        <v>4001</v>
      </c>
      <c r="D297" s="1" t="s">
        <v>51</v>
      </c>
      <c r="E297" s="1" t="s">
        <v>39</v>
      </c>
      <c r="F297" s="1" t="s">
        <v>341</v>
      </c>
      <c r="G297" s="1">
        <v>0</v>
      </c>
      <c r="H297" s="1" t="s">
        <v>41</v>
      </c>
      <c r="I297" s="1" t="s">
        <v>3548</v>
      </c>
      <c r="J297" s="1" t="s">
        <v>3549</v>
      </c>
      <c r="K297" s="1" t="s">
        <v>3550</v>
      </c>
      <c r="L297" s="1">
        <v>1</v>
      </c>
      <c r="M297" s="1">
        <v>0</v>
      </c>
      <c r="N297" s="1" t="s">
        <v>3551</v>
      </c>
      <c r="O297" s="1" t="s">
        <v>3552</v>
      </c>
      <c r="P297" s="1" t="s">
        <v>3553</v>
      </c>
      <c r="Q297" s="1">
        <v>0</v>
      </c>
      <c r="R297" s="1" t="s">
        <v>3554</v>
      </c>
      <c r="S297" s="1" t="s">
        <v>3555</v>
      </c>
      <c r="U297" s="2">
        <v>56770</v>
      </c>
      <c r="V297" s="1">
        <v>4.5999999999999996</v>
      </c>
      <c r="W297" s="1">
        <v>3500</v>
      </c>
      <c r="X297" s="1">
        <v>1975</v>
      </c>
      <c r="Y297" s="1">
        <v>419</v>
      </c>
      <c r="Z297" s="1">
        <v>1030</v>
      </c>
      <c r="AA297" s="1">
        <v>526</v>
      </c>
      <c r="AB297" s="1">
        <v>1</v>
      </c>
      <c r="AC297" s="1">
        <v>2</v>
      </c>
      <c r="AE297" s="1" t="s">
        <v>3556</v>
      </c>
      <c r="AF297" s="1" t="s">
        <v>3557</v>
      </c>
      <c r="AG297" s="1" t="s">
        <v>3558</v>
      </c>
      <c r="AH297" s="1" t="s">
        <v>3559</v>
      </c>
      <c r="AI297" s="1">
        <v>4.54</v>
      </c>
      <c r="AJ297" s="1">
        <v>2229</v>
      </c>
      <c r="AK297" s="1">
        <v>6580</v>
      </c>
    </row>
    <row r="298" spans="1:38" ht="15.75" customHeight="1">
      <c r="A298" s="1">
        <v>332</v>
      </c>
      <c r="B298" s="1">
        <v>5</v>
      </c>
      <c r="C298" s="1">
        <v>4050</v>
      </c>
      <c r="D298" s="1" t="s">
        <v>38</v>
      </c>
      <c r="E298" s="1" t="s">
        <v>39</v>
      </c>
      <c r="F298" s="1" t="s">
        <v>486</v>
      </c>
      <c r="G298" s="1">
        <v>0</v>
      </c>
      <c r="H298" s="1" t="s">
        <v>41</v>
      </c>
      <c r="I298" s="1" t="s">
        <v>3560</v>
      </c>
      <c r="J298" s="1" t="s">
        <v>3561</v>
      </c>
      <c r="K298" s="1" t="s">
        <v>3562</v>
      </c>
      <c r="L298" s="1">
        <v>1</v>
      </c>
      <c r="M298" s="1">
        <v>0</v>
      </c>
      <c r="N298" s="1" t="s">
        <v>3563</v>
      </c>
      <c r="O298" s="1" t="s">
        <v>3564</v>
      </c>
      <c r="P298" s="1" t="s">
        <v>3565</v>
      </c>
      <c r="Q298" s="1">
        <v>0</v>
      </c>
      <c r="R298" s="1" t="s">
        <v>3566</v>
      </c>
      <c r="S298" s="1" t="s">
        <v>3567</v>
      </c>
      <c r="U298" s="2">
        <v>56768</v>
      </c>
      <c r="V298" s="1">
        <v>3.274736613</v>
      </c>
      <c r="W298" s="1">
        <v>3500</v>
      </c>
      <c r="X298" s="1">
        <v>2011</v>
      </c>
      <c r="Y298" s="1">
        <v>1527</v>
      </c>
      <c r="Z298" s="1">
        <v>259</v>
      </c>
      <c r="AA298" s="1">
        <v>225</v>
      </c>
      <c r="AB298" s="1">
        <v>0</v>
      </c>
      <c r="AC298" s="1">
        <v>4</v>
      </c>
      <c r="AD298" s="1" t="s">
        <v>76</v>
      </c>
      <c r="AE298" s="1" t="s">
        <v>3568</v>
      </c>
      <c r="AF298" s="1" t="s">
        <v>3569</v>
      </c>
      <c r="AG298" s="1" t="s">
        <v>3570</v>
      </c>
      <c r="AH298" s="1" t="s">
        <v>3571</v>
      </c>
      <c r="AI298" s="1">
        <v>4.7</v>
      </c>
      <c r="AJ298" s="1">
        <v>212</v>
      </c>
      <c r="AK298" s="1">
        <v>624</v>
      </c>
      <c r="AL298" s="1">
        <v>347</v>
      </c>
    </row>
    <row r="299" spans="1:38" ht="15.75" customHeight="1">
      <c r="A299" s="1">
        <v>57</v>
      </c>
      <c r="B299" s="1">
        <v>5</v>
      </c>
      <c r="C299" s="1">
        <v>4001</v>
      </c>
      <c r="D299" s="1" t="s">
        <v>51</v>
      </c>
      <c r="E299" s="1" t="s">
        <v>39</v>
      </c>
      <c r="F299" s="1" t="s">
        <v>92</v>
      </c>
      <c r="G299" s="1">
        <v>0</v>
      </c>
      <c r="H299" s="1" t="s">
        <v>41</v>
      </c>
      <c r="I299" s="1" t="s">
        <v>3572</v>
      </c>
      <c r="J299" s="1" t="s">
        <v>3573</v>
      </c>
      <c r="K299" s="1" t="s">
        <v>3574</v>
      </c>
      <c r="L299" s="1">
        <v>1</v>
      </c>
      <c r="M299" s="1">
        <v>0</v>
      </c>
      <c r="N299" s="1" t="s">
        <v>3575</v>
      </c>
      <c r="O299" s="1" t="s">
        <v>3576</v>
      </c>
      <c r="P299" s="1" t="s">
        <v>3577</v>
      </c>
      <c r="Q299" s="1">
        <v>0</v>
      </c>
      <c r="R299" s="1" t="s">
        <v>3578</v>
      </c>
      <c r="S299" s="1" t="s">
        <v>3579</v>
      </c>
      <c r="U299" s="2">
        <v>56766</v>
      </c>
      <c r="V299" s="1">
        <v>4.7</v>
      </c>
      <c r="W299" s="1">
        <v>3500</v>
      </c>
      <c r="X299" s="1">
        <v>2607</v>
      </c>
      <c r="Y299" s="1">
        <v>1035</v>
      </c>
      <c r="Z299" s="1">
        <v>129</v>
      </c>
      <c r="AA299" s="1">
        <v>1443</v>
      </c>
      <c r="AB299" s="1">
        <v>0</v>
      </c>
      <c r="AC299" s="1">
        <v>3</v>
      </c>
      <c r="AD299" s="1" t="s">
        <v>76</v>
      </c>
      <c r="AE299" s="1" t="s">
        <v>3580</v>
      </c>
      <c r="AF299" s="1" t="s">
        <v>3581</v>
      </c>
      <c r="AG299" s="1" t="s">
        <v>3582</v>
      </c>
      <c r="AH299" s="1" t="s">
        <v>3583</v>
      </c>
      <c r="AI299" s="1">
        <v>4.03</v>
      </c>
      <c r="AJ299" s="1">
        <v>505</v>
      </c>
      <c r="AK299" s="1">
        <v>1721</v>
      </c>
      <c r="AL299" s="1">
        <v>457</v>
      </c>
    </row>
    <row r="300" spans="1:38" ht="15.75" customHeight="1">
      <c r="A300" s="1">
        <v>182</v>
      </c>
      <c r="B300" s="1">
        <v>5</v>
      </c>
      <c r="C300" s="1">
        <v>4050</v>
      </c>
      <c r="D300" s="1" t="s">
        <v>38</v>
      </c>
      <c r="E300" s="1" t="s">
        <v>39</v>
      </c>
      <c r="F300" s="1" t="s">
        <v>280</v>
      </c>
      <c r="G300" s="1">
        <v>0</v>
      </c>
      <c r="H300" s="1" t="s">
        <v>41</v>
      </c>
      <c r="I300" s="1" t="s">
        <v>3584</v>
      </c>
      <c r="J300" s="1" t="s">
        <v>3585</v>
      </c>
      <c r="K300" s="1" t="s">
        <v>3586</v>
      </c>
      <c r="L300" s="1">
        <v>1</v>
      </c>
      <c r="M300" s="1">
        <v>0</v>
      </c>
      <c r="N300" s="1" t="s">
        <v>3587</v>
      </c>
      <c r="O300" s="1" t="s">
        <v>3588</v>
      </c>
      <c r="P300" s="1" t="s">
        <v>3589</v>
      </c>
      <c r="Q300" s="1">
        <v>0</v>
      </c>
      <c r="R300" s="1" t="s">
        <v>3590</v>
      </c>
      <c r="S300" s="1" t="s">
        <v>3591</v>
      </c>
      <c r="U300" s="2">
        <v>56767</v>
      </c>
      <c r="V300" s="1">
        <v>4.5</v>
      </c>
      <c r="W300" s="1">
        <v>3500</v>
      </c>
      <c r="X300" s="1">
        <v>1910</v>
      </c>
      <c r="Y300" s="1">
        <v>530</v>
      </c>
      <c r="Z300" s="1">
        <v>586</v>
      </c>
      <c r="AA300" s="1">
        <v>794</v>
      </c>
      <c r="AB300" s="1">
        <v>0</v>
      </c>
      <c r="AC300" s="1">
        <v>3</v>
      </c>
      <c r="AD300" s="1" t="s">
        <v>62</v>
      </c>
      <c r="AE300" s="1" t="s">
        <v>3592</v>
      </c>
      <c r="AF300" s="1" t="s">
        <v>3593</v>
      </c>
      <c r="AG300" s="1" t="s">
        <v>3594</v>
      </c>
      <c r="AH300" s="1" t="s">
        <v>3595</v>
      </c>
      <c r="AI300" s="1">
        <v>4.49</v>
      </c>
      <c r="AJ300" s="1">
        <v>2315</v>
      </c>
      <c r="AK300" s="1">
        <v>7039</v>
      </c>
      <c r="AL300" s="1">
        <v>763</v>
      </c>
    </row>
    <row r="301" spans="1:38" ht="15.75" customHeight="1">
      <c r="A301" s="1">
        <v>535</v>
      </c>
      <c r="B301" s="1">
        <v>5</v>
      </c>
      <c r="C301" s="1">
        <v>4001</v>
      </c>
      <c r="D301" s="1" t="s">
        <v>51</v>
      </c>
      <c r="E301" s="1" t="s">
        <v>39</v>
      </c>
      <c r="F301" s="1" t="s">
        <v>52</v>
      </c>
      <c r="G301" s="1">
        <v>0</v>
      </c>
      <c r="H301" s="1" t="s">
        <v>53</v>
      </c>
      <c r="I301" s="1" t="s">
        <v>3596</v>
      </c>
      <c r="J301" s="1" t="s">
        <v>3597</v>
      </c>
      <c r="K301" s="1" t="s">
        <v>3598</v>
      </c>
      <c r="L301" s="1">
        <v>1</v>
      </c>
      <c r="M301" s="1">
        <v>0</v>
      </c>
      <c r="N301" s="1" t="s">
        <v>3599</v>
      </c>
      <c r="O301" s="1" t="s">
        <v>3600</v>
      </c>
      <c r="P301" s="1" t="s">
        <v>3601</v>
      </c>
      <c r="Q301" s="1">
        <v>0</v>
      </c>
      <c r="R301" s="1" t="s">
        <v>3602</v>
      </c>
      <c r="S301" s="1" t="s">
        <v>3603</v>
      </c>
      <c r="U301" s="2">
        <v>56769</v>
      </c>
      <c r="V301" s="1">
        <v>4.3</v>
      </c>
      <c r="W301" s="1">
        <v>3500</v>
      </c>
      <c r="X301" s="1">
        <v>2396</v>
      </c>
      <c r="Y301" s="1">
        <v>569</v>
      </c>
      <c r="Z301" s="1">
        <v>1344</v>
      </c>
      <c r="AA301" s="1">
        <v>483</v>
      </c>
      <c r="AB301" s="1">
        <v>0</v>
      </c>
      <c r="AC301" s="1">
        <v>6</v>
      </c>
      <c r="AD301" s="1" t="s">
        <v>62</v>
      </c>
      <c r="AE301" s="1" t="s">
        <v>3604</v>
      </c>
      <c r="AF301" s="1" t="s">
        <v>3605</v>
      </c>
      <c r="AG301" s="1" t="s">
        <v>3606</v>
      </c>
      <c r="AH301" s="1" t="s">
        <v>3607</v>
      </c>
      <c r="AI301" s="1">
        <v>4.17</v>
      </c>
      <c r="AJ301" s="1">
        <v>457</v>
      </c>
      <c r="AK301" s="1">
        <v>1599</v>
      </c>
    </row>
    <row r="302" spans="1:38" ht="15.75" customHeight="1">
      <c r="A302" s="1">
        <v>540</v>
      </c>
      <c r="B302" s="1">
        <v>5</v>
      </c>
      <c r="C302" s="1">
        <v>4001</v>
      </c>
      <c r="D302" s="1" t="s">
        <v>51</v>
      </c>
      <c r="E302" s="1" t="s">
        <v>39</v>
      </c>
      <c r="F302" s="1" t="s">
        <v>341</v>
      </c>
      <c r="G302" s="1">
        <v>0</v>
      </c>
      <c r="H302" s="1" t="s">
        <v>41</v>
      </c>
      <c r="I302" s="1" t="s">
        <v>3608</v>
      </c>
      <c r="J302" s="1" t="s">
        <v>3609</v>
      </c>
      <c r="K302" s="1" t="s">
        <v>3610</v>
      </c>
      <c r="L302" s="1">
        <v>1</v>
      </c>
      <c r="M302" s="1">
        <v>0</v>
      </c>
      <c r="N302" s="1" t="s">
        <v>3611</v>
      </c>
      <c r="O302" s="1" t="s">
        <v>3612</v>
      </c>
      <c r="P302" s="1" t="s">
        <v>3613</v>
      </c>
      <c r="Q302" s="1">
        <v>0</v>
      </c>
      <c r="R302" s="1" t="s">
        <v>3614</v>
      </c>
      <c r="S302" s="1" t="s">
        <v>3615</v>
      </c>
      <c r="U302" s="2">
        <v>56770</v>
      </c>
      <c r="V302" s="1">
        <v>4.3</v>
      </c>
      <c r="W302" s="1">
        <v>3500</v>
      </c>
      <c r="X302" s="1">
        <v>2094</v>
      </c>
      <c r="Y302" s="1">
        <v>598</v>
      </c>
      <c r="Z302" s="1">
        <v>1153</v>
      </c>
      <c r="AA302" s="1">
        <v>343</v>
      </c>
      <c r="AB302" s="1">
        <v>0</v>
      </c>
      <c r="AC302" s="1">
        <v>6</v>
      </c>
      <c r="AD302" s="1" t="s">
        <v>215</v>
      </c>
      <c r="AE302" s="1" t="s">
        <v>3616</v>
      </c>
      <c r="AF302" s="1" t="s">
        <v>3617</v>
      </c>
      <c r="AG302" s="1" t="s">
        <v>3618</v>
      </c>
      <c r="AH302" s="1" t="s">
        <v>3619</v>
      </c>
      <c r="AI302" s="1">
        <v>4.54</v>
      </c>
      <c r="AJ302" s="1">
        <v>2229</v>
      </c>
      <c r="AK302" s="1">
        <v>6580</v>
      </c>
    </row>
    <row r="303" spans="1:38" ht="15.75" customHeight="1">
      <c r="A303" s="1">
        <v>386</v>
      </c>
      <c r="C303" s="1">
        <v>4050</v>
      </c>
      <c r="D303" s="1" t="s">
        <v>38</v>
      </c>
      <c r="E303" s="1" t="s">
        <v>39</v>
      </c>
      <c r="F303" s="1" t="s">
        <v>1238</v>
      </c>
      <c r="G303" s="1">
        <v>0</v>
      </c>
      <c r="H303" s="1" t="s">
        <v>41</v>
      </c>
      <c r="I303" s="1" t="s">
        <v>3620</v>
      </c>
      <c r="J303" s="1" t="s">
        <v>3621</v>
      </c>
      <c r="K303" s="1" t="s">
        <v>3622</v>
      </c>
      <c r="L303" s="1">
        <v>1</v>
      </c>
      <c r="M303" s="1">
        <v>0</v>
      </c>
      <c r="N303" s="1" t="s">
        <v>3623</v>
      </c>
      <c r="O303" s="1" t="s">
        <v>3624</v>
      </c>
      <c r="P303" s="1" t="s">
        <v>3625</v>
      </c>
      <c r="Q303" s="1">
        <v>0</v>
      </c>
      <c r="R303" s="1" t="s">
        <v>3626</v>
      </c>
      <c r="S303" s="1" t="s">
        <v>3627</v>
      </c>
      <c r="U303" s="2">
        <v>56768</v>
      </c>
      <c r="V303" s="1">
        <v>2.5910914900000002</v>
      </c>
      <c r="W303" s="1">
        <v>3500</v>
      </c>
      <c r="X303" s="1">
        <v>2074</v>
      </c>
      <c r="Y303" s="1">
        <v>948</v>
      </c>
      <c r="Z303" s="1">
        <v>240</v>
      </c>
      <c r="AA303" s="1">
        <v>886</v>
      </c>
      <c r="AB303" s="1">
        <v>0</v>
      </c>
      <c r="AC303" s="1">
        <v>12</v>
      </c>
      <c r="AD303" s="1" t="s">
        <v>62</v>
      </c>
      <c r="AE303" s="1" t="s">
        <v>3628</v>
      </c>
      <c r="AF303" s="1" t="s">
        <v>3629</v>
      </c>
      <c r="AG303" s="1" t="s">
        <v>3630</v>
      </c>
      <c r="AH303" s="1" t="s">
        <v>3631</v>
      </c>
      <c r="AI303" s="1">
        <v>4.5</v>
      </c>
      <c r="AJ303" s="1">
        <v>55</v>
      </c>
      <c r="AK303" s="1">
        <v>211</v>
      </c>
      <c r="AL303" s="1">
        <v>6</v>
      </c>
    </row>
    <row r="304" spans="1:38" ht="15.75" customHeight="1">
      <c r="A304" s="1">
        <v>885</v>
      </c>
      <c r="C304" s="1">
        <v>4050</v>
      </c>
      <c r="D304" s="1" t="s">
        <v>38</v>
      </c>
      <c r="E304" s="1" t="s">
        <v>39</v>
      </c>
      <c r="F304" s="1" t="s">
        <v>116</v>
      </c>
      <c r="G304" s="1">
        <v>0</v>
      </c>
      <c r="H304" s="1" t="s">
        <v>41</v>
      </c>
      <c r="I304" s="1" t="s">
        <v>3632</v>
      </c>
      <c r="J304" s="1" t="s">
        <v>3633</v>
      </c>
      <c r="K304" s="1" t="s">
        <v>3634</v>
      </c>
      <c r="L304" s="1">
        <v>1</v>
      </c>
      <c r="M304" s="1">
        <v>0</v>
      </c>
      <c r="N304" s="1" t="s">
        <v>3635</v>
      </c>
      <c r="O304" s="1" t="s">
        <v>3636</v>
      </c>
      <c r="P304" s="1" t="s">
        <v>3637</v>
      </c>
      <c r="Q304" s="1">
        <v>0</v>
      </c>
      <c r="R304" s="1" t="s">
        <v>3638</v>
      </c>
      <c r="S304" s="1" t="s">
        <v>3639</v>
      </c>
      <c r="U304" s="2">
        <v>56772</v>
      </c>
      <c r="V304" s="1">
        <v>4.5</v>
      </c>
      <c r="W304" s="1">
        <v>3500</v>
      </c>
      <c r="X304" s="1">
        <v>2645</v>
      </c>
      <c r="Y304" s="1">
        <v>85</v>
      </c>
      <c r="Z304" s="1">
        <v>1867</v>
      </c>
      <c r="AA304" s="1">
        <v>693</v>
      </c>
      <c r="AB304" s="1">
        <v>0</v>
      </c>
      <c r="AC304" s="1">
        <v>2</v>
      </c>
      <c r="AD304" s="1" t="s">
        <v>62</v>
      </c>
      <c r="AE304" s="1" t="s">
        <v>3640</v>
      </c>
      <c r="AF304" s="1" t="s">
        <v>3641</v>
      </c>
      <c r="AG304" s="1" t="s">
        <v>3642</v>
      </c>
      <c r="AH304" s="1" t="s">
        <v>3643</v>
      </c>
      <c r="AI304" s="1">
        <v>4.8899999999999997</v>
      </c>
      <c r="AJ304" s="1">
        <v>1778</v>
      </c>
      <c r="AK304" s="1">
        <v>5138</v>
      </c>
      <c r="AL304" s="1">
        <v>314</v>
      </c>
    </row>
    <row r="305" spans="1:38" ht="15.75" customHeight="1">
      <c r="A305" s="1">
        <v>592</v>
      </c>
      <c r="C305" s="1">
        <v>4050</v>
      </c>
      <c r="D305" s="1" t="s">
        <v>38</v>
      </c>
      <c r="E305" s="1" t="s">
        <v>39</v>
      </c>
      <c r="F305" s="1" t="s">
        <v>280</v>
      </c>
      <c r="G305" s="1">
        <v>0</v>
      </c>
      <c r="H305" s="1" t="s">
        <v>41</v>
      </c>
      <c r="I305" s="1" t="s">
        <v>3644</v>
      </c>
      <c r="J305" s="1" t="s">
        <v>3645</v>
      </c>
      <c r="K305" s="1" t="s">
        <v>3646</v>
      </c>
      <c r="L305" s="1">
        <v>1</v>
      </c>
      <c r="M305" s="1">
        <v>0</v>
      </c>
      <c r="N305" s="1" t="s">
        <v>3647</v>
      </c>
      <c r="O305" s="1" t="s">
        <v>3648</v>
      </c>
      <c r="P305" s="1" t="s">
        <v>3649</v>
      </c>
      <c r="Q305" s="1">
        <v>0</v>
      </c>
      <c r="R305" s="1" t="s">
        <v>3650</v>
      </c>
      <c r="S305" s="1" t="s">
        <v>3651</v>
      </c>
      <c r="U305" s="2">
        <v>56770</v>
      </c>
      <c r="V305" s="1">
        <v>4.5999999999999996</v>
      </c>
      <c r="W305" s="1">
        <v>3500</v>
      </c>
      <c r="X305" s="1">
        <v>3010</v>
      </c>
      <c r="Y305" s="1">
        <v>1868</v>
      </c>
      <c r="AA305" s="1">
        <v>1146</v>
      </c>
      <c r="AB305" s="1">
        <v>0</v>
      </c>
      <c r="AC305" s="1">
        <v>6</v>
      </c>
      <c r="AD305" s="1" t="s">
        <v>76</v>
      </c>
      <c r="AE305" s="1" t="s">
        <v>3652</v>
      </c>
      <c r="AF305" s="1" t="s">
        <v>3653</v>
      </c>
      <c r="AG305" s="1" t="s">
        <v>3654</v>
      </c>
      <c r="AH305" s="1" t="s">
        <v>3655</v>
      </c>
      <c r="AI305" s="1">
        <v>4.49</v>
      </c>
      <c r="AJ305" s="1">
        <v>2315</v>
      </c>
      <c r="AK305" s="1">
        <v>7039</v>
      </c>
      <c r="AL305" s="1">
        <v>763</v>
      </c>
    </row>
    <row r="306" spans="1:38" ht="15.75" customHeight="1">
      <c r="A306" s="1">
        <v>1543</v>
      </c>
      <c r="B306" s="1">
        <v>5</v>
      </c>
      <c r="C306" s="1">
        <v>4001</v>
      </c>
      <c r="D306" s="1" t="s">
        <v>51</v>
      </c>
      <c r="E306" s="1" t="s">
        <v>39</v>
      </c>
      <c r="F306" s="1" t="s">
        <v>708</v>
      </c>
      <c r="G306" s="1">
        <v>0</v>
      </c>
      <c r="H306" s="1" t="s">
        <v>53</v>
      </c>
      <c r="I306" s="1" t="s">
        <v>3656</v>
      </c>
      <c r="J306" s="1" t="s">
        <v>3657</v>
      </c>
      <c r="K306" s="1" t="s">
        <v>3658</v>
      </c>
      <c r="L306" s="1">
        <v>1</v>
      </c>
      <c r="M306" s="1">
        <v>0</v>
      </c>
      <c r="N306" s="1" t="s">
        <v>3659</v>
      </c>
      <c r="O306" s="1" t="s">
        <v>3660</v>
      </c>
      <c r="P306" s="1" t="s">
        <v>3661</v>
      </c>
      <c r="Q306" s="1">
        <v>0</v>
      </c>
      <c r="R306" s="1" t="s">
        <v>3662</v>
      </c>
      <c r="S306" s="1" t="s">
        <v>3663</v>
      </c>
      <c r="U306" s="2">
        <v>56777</v>
      </c>
      <c r="V306" s="1">
        <v>3.5888432969999999</v>
      </c>
      <c r="W306" s="1">
        <v>3500</v>
      </c>
      <c r="X306" s="1">
        <v>2327</v>
      </c>
      <c r="Y306" s="1">
        <v>966</v>
      </c>
      <c r="Z306" s="1">
        <v>215</v>
      </c>
      <c r="AA306" s="1">
        <v>1146</v>
      </c>
      <c r="AB306" s="1">
        <v>1</v>
      </c>
      <c r="AC306" s="1">
        <v>2</v>
      </c>
      <c r="AE306" s="1" t="s">
        <v>3664</v>
      </c>
      <c r="AF306" s="1" t="s">
        <v>3665</v>
      </c>
      <c r="AG306" s="1" t="s">
        <v>3666</v>
      </c>
      <c r="AH306" s="1" t="s">
        <v>3667</v>
      </c>
      <c r="AI306" s="1">
        <v>4.5999999999999996</v>
      </c>
      <c r="AJ306" s="1">
        <v>292</v>
      </c>
      <c r="AK306" s="1">
        <v>1027</v>
      </c>
      <c r="AL306" s="1">
        <v>26</v>
      </c>
    </row>
    <row r="307" spans="1:38" ht="15.75" customHeight="1">
      <c r="A307" s="1">
        <v>124</v>
      </c>
      <c r="C307" s="1">
        <v>4050</v>
      </c>
      <c r="D307" s="1" t="s">
        <v>38</v>
      </c>
      <c r="E307" s="1" t="s">
        <v>39</v>
      </c>
      <c r="F307" s="1" t="s">
        <v>195</v>
      </c>
      <c r="G307" s="1">
        <v>0</v>
      </c>
      <c r="H307" s="1" t="s">
        <v>41</v>
      </c>
      <c r="I307" s="1" t="s">
        <v>3668</v>
      </c>
      <c r="J307" s="1" t="s">
        <v>3669</v>
      </c>
      <c r="K307" s="1" t="s">
        <v>3670</v>
      </c>
      <c r="L307" s="1">
        <v>1</v>
      </c>
      <c r="M307" s="1">
        <v>0</v>
      </c>
      <c r="N307" s="1" t="s">
        <v>3671</v>
      </c>
      <c r="O307" s="1" t="s">
        <v>3672</v>
      </c>
      <c r="P307" s="1" t="s">
        <v>3673</v>
      </c>
      <c r="Q307" s="1">
        <v>0</v>
      </c>
      <c r="R307" s="1" t="s">
        <v>3674</v>
      </c>
      <c r="S307" s="1" t="s">
        <v>3675</v>
      </c>
      <c r="U307" s="2">
        <v>56767</v>
      </c>
      <c r="V307" s="1">
        <v>4.5999999999999996</v>
      </c>
      <c r="W307" s="1">
        <v>3500</v>
      </c>
      <c r="X307" s="1">
        <v>2636</v>
      </c>
      <c r="Y307" s="1">
        <v>545</v>
      </c>
      <c r="Z307" s="1">
        <v>634</v>
      </c>
      <c r="AA307" s="1">
        <v>1457</v>
      </c>
      <c r="AB307" s="1">
        <v>0</v>
      </c>
      <c r="AC307" s="1">
        <v>6</v>
      </c>
      <c r="AD307" s="1" t="s">
        <v>215</v>
      </c>
      <c r="AE307" s="1" t="s">
        <v>3676</v>
      </c>
      <c r="AF307" s="1" t="s">
        <v>3677</v>
      </c>
      <c r="AG307" s="1" t="s">
        <v>3678</v>
      </c>
      <c r="AH307" s="1" t="s">
        <v>3679</v>
      </c>
      <c r="AI307" s="1">
        <v>4.66</v>
      </c>
      <c r="AJ307" s="1">
        <v>161</v>
      </c>
      <c r="AK307" s="1">
        <v>398</v>
      </c>
    </row>
    <row r="308" spans="1:38" ht="15.75" customHeight="1">
      <c r="A308" s="1">
        <v>67</v>
      </c>
      <c r="C308" s="1">
        <v>4001</v>
      </c>
      <c r="D308" s="1" t="s">
        <v>51</v>
      </c>
      <c r="E308" s="1" t="s">
        <v>39</v>
      </c>
      <c r="F308" s="1" t="s">
        <v>52</v>
      </c>
      <c r="G308" s="1">
        <v>0</v>
      </c>
      <c r="H308" s="1" t="s">
        <v>53</v>
      </c>
      <c r="I308" s="1" t="s">
        <v>3680</v>
      </c>
      <c r="J308" s="1" t="s">
        <v>3681</v>
      </c>
      <c r="K308" s="1" t="s">
        <v>3682</v>
      </c>
      <c r="L308" s="1">
        <v>1</v>
      </c>
      <c r="M308" s="1">
        <v>0</v>
      </c>
      <c r="N308" s="1" t="s">
        <v>3683</v>
      </c>
      <c r="O308" s="1" t="s">
        <v>3684</v>
      </c>
      <c r="P308" s="1" t="s">
        <v>3685</v>
      </c>
      <c r="Q308" s="1">
        <v>0</v>
      </c>
      <c r="R308" s="1" t="s">
        <v>3686</v>
      </c>
      <c r="S308" s="1" t="s">
        <v>3687</v>
      </c>
      <c r="U308" s="2">
        <v>56766</v>
      </c>
      <c r="V308" s="1">
        <v>4.5</v>
      </c>
      <c r="W308" s="1">
        <v>3500</v>
      </c>
      <c r="X308" s="1">
        <v>1306</v>
      </c>
      <c r="Y308" s="1">
        <v>887</v>
      </c>
      <c r="AA308" s="1">
        <v>419</v>
      </c>
      <c r="AB308" s="1">
        <v>0</v>
      </c>
      <c r="AC308" s="1">
        <v>4</v>
      </c>
      <c r="AD308" s="1" t="s">
        <v>76</v>
      </c>
      <c r="AE308" s="1" t="s">
        <v>3688</v>
      </c>
      <c r="AF308" s="1" t="s">
        <v>3689</v>
      </c>
      <c r="AG308" s="1" t="s">
        <v>3690</v>
      </c>
      <c r="AH308" s="1" t="s">
        <v>3691</v>
      </c>
      <c r="AI308" s="1">
        <v>4.17</v>
      </c>
      <c r="AJ308" s="1">
        <v>457</v>
      </c>
      <c r="AK308" s="1">
        <v>1599</v>
      </c>
    </row>
    <row r="309" spans="1:38" ht="15.75" customHeight="1">
      <c r="A309" s="1">
        <v>164</v>
      </c>
      <c r="B309" s="1">
        <v>4</v>
      </c>
      <c r="C309" s="1">
        <v>4050</v>
      </c>
      <c r="D309" s="1" t="s">
        <v>38</v>
      </c>
      <c r="E309" s="1" t="s">
        <v>39</v>
      </c>
      <c r="F309" s="1" t="s">
        <v>486</v>
      </c>
      <c r="G309" s="1">
        <v>0</v>
      </c>
      <c r="H309" s="1" t="s">
        <v>41</v>
      </c>
      <c r="I309" s="1" t="s">
        <v>3692</v>
      </c>
      <c r="J309" s="1" t="s">
        <v>3693</v>
      </c>
      <c r="K309" s="1" t="s">
        <v>3694</v>
      </c>
      <c r="L309" s="1">
        <v>1</v>
      </c>
      <c r="M309" s="1">
        <v>0</v>
      </c>
      <c r="N309" s="1" t="s">
        <v>3695</v>
      </c>
      <c r="O309" s="1" t="s">
        <v>3696</v>
      </c>
      <c r="P309" s="1" t="s">
        <v>3697</v>
      </c>
      <c r="Q309" s="1">
        <v>0</v>
      </c>
      <c r="R309" s="1" t="s">
        <v>3698</v>
      </c>
      <c r="S309" s="1" t="s">
        <v>3699</v>
      </c>
      <c r="U309" s="2">
        <v>56767</v>
      </c>
      <c r="V309" s="1">
        <v>4.7</v>
      </c>
      <c r="W309" s="1">
        <v>3000</v>
      </c>
      <c r="X309" s="1">
        <v>4885</v>
      </c>
      <c r="Y309" s="1">
        <v>1316</v>
      </c>
      <c r="Z309" s="1">
        <v>2171</v>
      </c>
      <c r="AA309" s="1">
        <v>1398</v>
      </c>
      <c r="AB309" s="1">
        <v>0</v>
      </c>
      <c r="AC309" s="1">
        <v>4</v>
      </c>
      <c r="AD309" s="1" t="s">
        <v>62</v>
      </c>
      <c r="AE309" s="1" t="s">
        <v>3700</v>
      </c>
      <c r="AF309" s="1" t="s">
        <v>3701</v>
      </c>
      <c r="AG309" s="1" t="s">
        <v>3702</v>
      </c>
      <c r="AH309" s="1" t="s">
        <v>3703</v>
      </c>
      <c r="AI309" s="1">
        <v>4.7</v>
      </c>
      <c r="AJ309" s="1">
        <v>212</v>
      </c>
      <c r="AK309" s="1">
        <v>624</v>
      </c>
      <c r="AL309" s="1">
        <v>347</v>
      </c>
    </row>
    <row r="310" spans="1:38" ht="15.75" customHeight="1">
      <c r="A310" s="1">
        <v>198</v>
      </c>
      <c r="B310" s="1">
        <v>5</v>
      </c>
      <c r="C310" s="1">
        <v>4050</v>
      </c>
      <c r="D310" s="1" t="s">
        <v>38</v>
      </c>
      <c r="E310" s="1" t="s">
        <v>39</v>
      </c>
      <c r="F310" s="1" t="s">
        <v>365</v>
      </c>
      <c r="G310" s="1">
        <v>0</v>
      </c>
      <c r="H310" s="1" t="s">
        <v>41</v>
      </c>
      <c r="I310" s="1" t="s">
        <v>3704</v>
      </c>
      <c r="J310" s="1" t="s">
        <v>3705</v>
      </c>
      <c r="K310" s="1" t="s">
        <v>3706</v>
      </c>
      <c r="L310" s="1">
        <v>1</v>
      </c>
      <c r="M310" s="1">
        <v>0</v>
      </c>
      <c r="N310" s="1" t="s">
        <v>3707</v>
      </c>
      <c r="O310" s="1" t="s">
        <v>3708</v>
      </c>
      <c r="P310" s="1" t="s">
        <v>3709</v>
      </c>
      <c r="Q310" s="1">
        <v>0</v>
      </c>
      <c r="R310" s="1" t="s">
        <v>3710</v>
      </c>
      <c r="S310" s="1" t="s">
        <v>3711</v>
      </c>
      <c r="U310" s="2">
        <v>56767</v>
      </c>
      <c r="V310" s="1">
        <v>4.7</v>
      </c>
      <c r="W310" s="1">
        <v>3000</v>
      </c>
      <c r="X310" s="1">
        <v>2713</v>
      </c>
      <c r="Y310" s="1">
        <v>1034</v>
      </c>
      <c r="Z310" s="1">
        <v>673</v>
      </c>
      <c r="AA310" s="1">
        <v>1006</v>
      </c>
      <c r="AB310" s="1">
        <v>0</v>
      </c>
      <c r="AC310" s="1">
        <v>2</v>
      </c>
      <c r="AD310" s="1" t="s">
        <v>215</v>
      </c>
      <c r="AE310" s="1" t="s">
        <v>3712</v>
      </c>
      <c r="AF310" s="1" t="s">
        <v>3713</v>
      </c>
      <c r="AG310" s="1" t="s">
        <v>3714</v>
      </c>
      <c r="AH310" s="1" t="s">
        <v>3715</v>
      </c>
      <c r="AI310" s="1">
        <v>4.7699999999999996</v>
      </c>
      <c r="AJ310" s="1">
        <v>426</v>
      </c>
      <c r="AK310" s="1">
        <v>1226</v>
      </c>
      <c r="AL310" s="1">
        <v>85</v>
      </c>
    </row>
    <row r="311" spans="1:38" ht="15.75" customHeight="1">
      <c r="A311" s="1">
        <v>325</v>
      </c>
      <c r="B311" s="1">
        <v>5</v>
      </c>
      <c r="C311" s="1">
        <v>4001</v>
      </c>
      <c r="D311" s="1" t="s">
        <v>51</v>
      </c>
      <c r="E311" s="1" t="s">
        <v>39</v>
      </c>
      <c r="F311" s="1" t="s">
        <v>341</v>
      </c>
      <c r="G311" s="1">
        <v>0</v>
      </c>
      <c r="H311" s="1" t="s">
        <v>41</v>
      </c>
      <c r="I311" s="1" t="s">
        <v>3716</v>
      </c>
      <c r="J311" s="1" t="s">
        <v>3717</v>
      </c>
      <c r="K311" s="1" t="s">
        <v>3718</v>
      </c>
      <c r="L311" s="1">
        <v>1</v>
      </c>
      <c r="M311" s="1">
        <v>0</v>
      </c>
      <c r="N311" s="1" t="s">
        <v>3719</v>
      </c>
      <c r="O311" s="1" t="s">
        <v>3720</v>
      </c>
      <c r="P311" s="1" t="s">
        <v>3721</v>
      </c>
      <c r="Q311" s="1">
        <v>0</v>
      </c>
      <c r="R311" s="1" t="s">
        <v>3722</v>
      </c>
      <c r="S311" s="1" t="s">
        <v>3723</v>
      </c>
      <c r="U311" s="2">
        <v>56768</v>
      </c>
      <c r="V311" s="1">
        <v>4.5999999999999996</v>
      </c>
      <c r="W311" s="1">
        <v>3000</v>
      </c>
      <c r="X311" s="1">
        <v>1990</v>
      </c>
      <c r="Y311" s="1">
        <v>171</v>
      </c>
      <c r="Z311" s="1">
        <v>616</v>
      </c>
      <c r="AA311" s="1">
        <v>1203</v>
      </c>
      <c r="AB311" s="1">
        <v>0</v>
      </c>
      <c r="AC311" s="1">
        <v>3</v>
      </c>
      <c r="AD311" s="1" t="s">
        <v>215</v>
      </c>
      <c r="AE311" s="1" t="s">
        <v>3724</v>
      </c>
      <c r="AF311" s="1" t="s">
        <v>3725</v>
      </c>
      <c r="AG311" s="1" t="s">
        <v>3726</v>
      </c>
      <c r="AH311" s="1" t="s">
        <v>3727</v>
      </c>
      <c r="AI311" s="1">
        <v>4.54</v>
      </c>
      <c r="AJ311" s="1">
        <v>2229</v>
      </c>
      <c r="AK311" s="1">
        <v>6580</v>
      </c>
    </row>
    <row r="312" spans="1:38" ht="15.75" customHeight="1">
      <c r="A312" s="1">
        <v>460</v>
      </c>
      <c r="B312" s="1">
        <v>5</v>
      </c>
      <c r="C312" s="1">
        <v>4050</v>
      </c>
      <c r="D312" s="1" t="s">
        <v>38</v>
      </c>
      <c r="E312" s="1" t="s">
        <v>39</v>
      </c>
      <c r="F312" s="1" t="s">
        <v>365</v>
      </c>
      <c r="G312" s="1">
        <v>0</v>
      </c>
      <c r="H312" s="1" t="s">
        <v>41</v>
      </c>
      <c r="I312" s="1" t="s">
        <v>3728</v>
      </c>
      <c r="J312" s="1" t="s">
        <v>3729</v>
      </c>
      <c r="K312" s="1" t="s">
        <v>3730</v>
      </c>
      <c r="L312" s="1">
        <v>1</v>
      </c>
      <c r="M312" s="1">
        <v>0</v>
      </c>
      <c r="N312" s="1" t="s">
        <v>3731</v>
      </c>
      <c r="O312" s="1" t="s">
        <v>3732</v>
      </c>
      <c r="P312" s="1" t="s">
        <v>3733</v>
      </c>
      <c r="Q312" s="1">
        <v>0</v>
      </c>
      <c r="R312" s="1" t="s">
        <v>3734</v>
      </c>
      <c r="S312" s="1" t="s">
        <v>3735</v>
      </c>
      <c r="U312" s="2">
        <v>56769</v>
      </c>
      <c r="V312" s="1">
        <v>4.5999999999999996</v>
      </c>
      <c r="W312" s="1">
        <v>3000</v>
      </c>
      <c r="X312" s="1">
        <v>2420</v>
      </c>
      <c r="Y312" s="1">
        <v>660</v>
      </c>
      <c r="Z312" s="1">
        <v>523</v>
      </c>
      <c r="AA312" s="1">
        <v>1237</v>
      </c>
      <c r="AB312" s="1">
        <v>0</v>
      </c>
      <c r="AC312" s="1">
        <v>2</v>
      </c>
      <c r="AD312" s="1" t="s">
        <v>215</v>
      </c>
      <c r="AE312" s="1" t="s">
        <v>3736</v>
      </c>
      <c r="AF312" s="1" t="s">
        <v>3737</v>
      </c>
      <c r="AG312" s="1" t="s">
        <v>3738</v>
      </c>
      <c r="AH312" s="1" t="s">
        <v>3739</v>
      </c>
      <c r="AI312" s="1">
        <v>4.7699999999999996</v>
      </c>
      <c r="AJ312" s="1">
        <v>426</v>
      </c>
      <c r="AK312" s="1">
        <v>1226</v>
      </c>
      <c r="AL312" s="1">
        <v>85</v>
      </c>
    </row>
    <row r="313" spans="1:38" ht="15.75" customHeight="1">
      <c r="A313" s="1">
        <v>527</v>
      </c>
      <c r="C313" s="1">
        <v>4050</v>
      </c>
      <c r="D313" s="1" t="s">
        <v>38</v>
      </c>
      <c r="E313" s="1" t="s">
        <v>39</v>
      </c>
      <c r="F313" s="1" t="s">
        <v>173</v>
      </c>
      <c r="G313" s="1">
        <v>0</v>
      </c>
      <c r="H313" s="1" t="s">
        <v>41</v>
      </c>
      <c r="I313" s="1" t="s">
        <v>3740</v>
      </c>
      <c r="J313" s="1" t="s">
        <v>3741</v>
      </c>
      <c r="K313" s="1" t="s">
        <v>3742</v>
      </c>
      <c r="L313" s="1">
        <v>1</v>
      </c>
      <c r="M313" s="1">
        <v>0</v>
      </c>
      <c r="N313" s="1" t="s">
        <v>3743</v>
      </c>
      <c r="O313" s="1" t="s">
        <v>3744</v>
      </c>
      <c r="P313" s="1" t="s">
        <v>3745</v>
      </c>
      <c r="Q313" s="1">
        <v>0</v>
      </c>
      <c r="R313" s="1" t="s">
        <v>3746</v>
      </c>
      <c r="U313" s="2">
        <v>56769</v>
      </c>
      <c r="V313" s="1">
        <v>4.4000000000000004</v>
      </c>
      <c r="W313" s="1">
        <v>3000</v>
      </c>
      <c r="X313" s="1">
        <v>3257</v>
      </c>
      <c r="AA313" s="1">
        <v>1098</v>
      </c>
      <c r="AB313" s="1">
        <v>0</v>
      </c>
      <c r="AC313" s="1">
        <v>2</v>
      </c>
      <c r="AE313" s="1" t="s">
        <v>3747</v>
      </c>
      <c r="AF313" s="1" t="s">
        <v>3748</v>
      </c>
      <c r="AG313" s="1" t="s">
        <v>3749</v>
      </c>
      <c r="AI313" s="1">
        <v>4.22</v>
      </c>
      <c r="AJ313" s="1">
        <v>1551</v>
      </c>
      <c r="AK313" s="1">
        <v>4625</v>
      </c>
    </row>
    <row r="314" spans="1:38" ht="15.75" customHeight="1">
      <c r="A314" s="1">
        <v>619</v>
      </c>
      <c r="B314" s="1">
        <v>5</v>
      </c>
      <c r="C314" s="1">
        <v>4001</v>
      </c>
      <c r="D314" s="1" t="s">
        <v>51</v>
      </c>
      <c r="E314" s="1" t="s">
        <v>39</v>
      </c>
      <c r="F314" s="1" t="s">
        <v>1104</v>
      </c>
      <c r="G314" s="1">
        <v>0</v>
      </c>
      <c r="H314" s="1" t="s">
        <v>41</v>
      </c>
      <c r="I314" s="1" t="s">
        <v>3750</v>
      </c>
      <c r="J314" s="1" t="s">
        <v>3751</v>
      </c>
      <c r="K314" s="1" t="s">
        <v>3752</v>
      </c>
      <c r="L314" s="1">
        <v>1</v>
      </c>
      <c r="M314" s="1">
        <v>0</v>
      </c>
      <c r="N314" s="1" t="s">
        <v>3753</v>
      </c>
      <c r="O314" s="1" t="s">
        <v>3754</v>
      </c>
      <c r="P314" s="1" t="s">
        <v>3755</v>
      </c>
      <c r="Q314" s="1">
        <v>0</v>
      </c>
      <c r="R314" s="1" t="s">
        <v>3756</v>
      </c>
      <c r="S314" s="1" t="s">
        <v>3757</v>
      </c>
      <c r="U314" s="2">
        <v>56770</v>
      </c>
      <c r="V314" s="1">
        <v>4.5</v>
      </c>
      <c r="W314" s="1">
        <v>3000</v>
      </c>
      <c r="X314" s="1">
        <v>2948</v>
      </c>
      <c r="Y314" s="1">
        <v>1809</v>
      </c>
      <c r="Z314" s="1">
        <v>134</v>
      </c>
      <c r="AA314" s="1">
        <v>1005</v>
      </c>
      <c r="AB314" s="1">
        <v>0</v>
      </c>
      <c r="AC314" s="1">
        <v>2</v>
      </c>
      <c r="AD314" s="1" t="s">
        <v>76</v>
      </c>
      <c r="AE314" s="1" t="s">
        <v>3758</v>
      </c>
      <c r="AF314" s="1" t="s">
        <v>3759</v>
      </c>
      <c r="AG314" s="1" t="s">
        <v>3760</v>
      </c>
      <c r="AH314" s="1" t="s">
        <v>3761</v>
      </c>
      <c r="AI314" s="1">
        <v>4.46</v>
      </c>
      <c r="AJ314" s="1">
        <v>148</v>
      </c>
      <c r="AK314" s="1">
        <v>435</v>
      </c>
    </row>
    <row r="315" spans="1:38" ht="15.75" customHeight="1">
      <c r="A315" s="1">
        <v>750</v>
      </c>
      <c r="C315" s="1">
        <v>4050</v>
      </c>
      <c r="D315" s="1" t="s">
        <v>38</v>
      </c>
      <c r="E315" s="1" t="s">
        <v>39</v>
      </c>
      <c r="F315" s="1" t="s">
        <v>695</v>
      </c>
      <c r="G315" s="1">
        <v>0</v>
      </c>
      <c r="H315" s="1" t="s">
        <v>41</v>
      </c>
      <c r="I315" s="1" t="s">
        <v>3762</v>
      </c>
      <c r="J315" s="1" t="s">
        <v>3763</v>
      </c>
      <c r="K315" s="1" t="s">
        <v>3764</v>
      </c>
      <c r="L315" s="1">
        <v>1</v>
      </c>
      <c r="M315" s="1">
        <v>0</v>
      </c>
      <c r="N315" s="1" t="s">
        <v>3765</v>
      </c>
      <c r="O315" s="1" t="s">
        <v>3766</v>
      </c>
      <c r="P315" s="1" t="s">
        <v>3767</v>
      </c>
      <c r="Q315" s="1">
        <v>0</v>
      </c>
      <c r="R315" s="1" t="s">
        <v>3768</v>
      </c>
      <c r="S315" s="1" t="s">
        <v>3769</v>
      </c>
      <c r="U315" s="2">
        <v>56771</v>
      </c>
      <c r="V315" s="1">
        <v>4.8</v>
      </c>
      <c r="W315" s="1">
        <v>3000</v>
      </c>
      <c r="X315" s="1">
        <v>1967</v>
      </c>
      <c r="Y315" s="1">
        <v>1386</v>
      </c>
      <c r="Z315" s="1">
        <v>32</v>
      </c>
      <c r="AA315" s="1">
        <v>549</v>
      </c>
      <c r="AB315" s="1">
        <v>0</v>
      </c>
      <c r="AC315" s="1">
        <v>4</v>
      </c>
      <c r="AD315" s="1" t="s">
        <v>76</v>
      </c>
      <c r="AE315" s="1" t="s">
        <v>3770</v>
      </c>
      <c r="AF315" s="1" t="s">
        <v>3771</v>
      </c>
      <c r="AG315" s="1" t="s">
        <v>3772</v>
      </c>
      <c r="AH315" s="1" t="s">
        <v>3773</v>
      </c>
      <c r="AI315" s="1">
        <v>4.38</v>
      </c>
      <c r="AJ315" s="1">
        <v>196</v>
      </c>
      <c r="AK315" s="1">
        <v>626</v>
      </c>
    </row>
    <row r="316" spans="1:38" ht="15.75" customHeight="1">
      <c r="A316" s="1">
        <v>957</v>
      </c>
      <c r="B316" s="1">
        <v>5</v>
      </c>
      <c r="C316" s="1">
        <v>4001</v>
      </c>
      <c r="D316" s="1" t="s">
        <v>51</v>
      </c>
      <c r="E316" s="1" t="s">
        <v>39</v>
      </c>
      <c r="F316" s="1" t="s">
        <v>341</v>
      </c>
      <c r="G316" s="1">
        <v>0</v>
      </c>
      <c r="H316" s="1" t="s">
        <v>41</v>
      </c>
      <c r="I316" s="1" t="s">
        <v>3774</v>
      </c>
      <c r="J316" s="1" t="s">
        <v>3775</v>
      </c>
      <c r="K316" s="1" t="s">
        <v>3776</v>
      </c>
      <c r="L316" s="1">
        <v>1</v>
      </c>
      <c r="M316" s="1">
        <v>0</v>
      </c>
      <c r="N316" s="1" t="s">
        <v>3777</v>
      </c>
      <c r="O316" s="1" t="s">
        <v>3778</v>
      </c>
      <c r="P316" s="1" t="s">
        <v>3779</v>
      </c>
      <c r="Q316" s="1">
        <v>1</v>
      </c>
      <c r="R316" s="1" t="s">
        <v>3780</v>
      </c>
      <c r="S316" s="1" t="s">
        <v>3781</v>
      </c>
      <c r="U316" s="2">
        <v>56773</v>
      </c>
      <c r="V316" s="1">
        <v>4.5</v>
      </c>
      <c r="W316" s="1">
        <v>3000</v>
      </c>
      <c r="X316" s="1">
        <v>1982</v>
      </c>
      <c r="Y316" s="1">
        <v>775</v>
      </c>
      <c r="Z316" s="1">
        <v>267</v>
      </c>
      <c r="AA316" s="1">
        <v>940</v>
      </c>
      <c r="AB316" s="1">
        <v>1</v>
      </c>
      <c r="AC316" s="1">
        <v>3</v>
      </c>
      <c r="AE316" s="1" t="s">
        <v>3782</v>
      </c>
      <c r="AF316" s="1" t="s">
        <v>3783</v>
      </c>
      <c r="AG316" s="1" t="s">
        <v>3784</v>
      </c>
      <c r="AH316" s="1" t="s">
        <v>3785</v>
      </c>
      <c r="AI316" s="1">
        <v>4.54</v>
      </c>
      <c r="AJ316" s="1">
        <v>2229</v>
      </c>
      <c r="AK316" s="1">
        <v>6580</v>
      </c>
    </row>
    <row r="317" spans="1:38" ht="15.75" customHeight="1">
      <c r="A317" s="1">
        <v>1365</v>
      </c>
      <c r="C317" s="1">
        <v>4001</v>
      </c>
      <c r="D317" s="1" t="s">
        <v>51</v>
      </c>
      <c r="E317" s="1" t="s">
        <v>39</v>
      </c>
      <c r="F317" s="1" t="s">
        <v>414</v>
      </c>
      <c r="G317" s="1">
        <v>0</v>
      </c>
      <c r="H317" s="1" t="s">
        <v>53</v>
      </c>
      <c r="I317" s="1" t="s">
        <v>3786</v>
      </c>
      <c r="J317" s="1" t="s">
        <v>3787</v>
      </c>
      <c r="K317" s="1" t="s">
        <v>3788</v>
      </c>
      <c r="L317" s="1">
        <v>1</v>
      </c>
      <c r="M317" s="1">
        <v>0</v>
      </c>
      <c r="N317" s="1" t="s">
        <v>3789</v>
      </c>
      <c r="O317" s="1" t="s">
        <v>3790</v>
      </c>
      <c r="P317" s="1" t="s">
        <v>3791</v>
      </c>
      <c r="Q317" s="1">
        <v>0</v>
      </c>
      <c r="R317" s="1" t="s">
        <v>3792</v>
      </c>
      <c r="S317" s="1" t="s">
        <v>3793</v>
      </c>
      <c r="U317" s="2">
        <v>56776</v>
      </c>
      <c r="V317" s="1">
        <v>4.4000000000000004</v>
      </c>
      <c r="W317" s="1">
        <v>3000</v>
      </c>
      <c r="X317" s="1">
        <v>2067</v>
      </c>
      <c r="Y317" s="1">
        <v>579</v>
      </c>
      <c r="Z317" s="1">
        <v>764</v>
      </c>
      <c r="AA317" s="1">
        <v>724</v>
      </c>
      <c r="AB317" s="1">
        <v>0</v>
      </c>
      <c r="AC317" s="1">
        <v>2</v>
      </c>
      <c r="AD317" s="1" t="s">
        <v>62</v>
      </c>
      <c r="AE317" s="1" t="s">
        <v>3794</v>
      </c>
      <c r="AF317" s="1" t="s">
        <v>3795</v>
      </c>
      <c r="AG317" s="1" t="s">
        <v>3796</v>
      </c>
      <c r="AH317" s="1" t="s">
        <v>3797</v>
      </c>
      <c r="AI317" s="1">
        <v>4.58</v>
      </c>
      <c r="AJ317" s="1">
        <v>254</v>
      </c>
      <c r="AK317" s="1">
        <v>788</v>
      </c>
      <c r="AL317" s="1">
        <v>9</v>
      </c>
    </row>
    <row r="318" spans="1:38" ht="15.75" customHeight="1">
      <c r="A318" s="1">
        <v>1467</v>
      </c>
      <c r="C318" s="1">
        <v>4001</v>
      </c>
      <c r="D318" s="1" t="s">
        <v>51</v>
      </c>
      <c r="E318" s="1" t="s">
        <v>39</v>
      </c>
      <c r="F318" s="1" t="s">
        <v>341</v>
      </c>
      <c r="G318" s="1">
        <v>0</v>
      </c>
      <c r="H318" s="1" t="s">
        <v>41</v>
      </c>
      <c r="I318" s="1" t="s">
        <v>3798</v>
      </c>
      <c r="J318" s="1" t="s">
        <v>3799</v>
      </c>
      <c r="K318" s="1" t="s">
        <v>3800</v>
      </c>
      <c r="L318" s="1">
        <v>1</v>
      </c>
      <c r="M318" s="1">
        <v>0</v>
      </c>
      <c r="N318" s="1" t="s">
        <v>3801</v>
      </c>
      <c r="O318" s="1" t="s">
        <v>3802</v>
      </c>
      <c r="P318" s="1" t="s">
        <v>3803</v>
      </c>
      <c r="Q318" s="1">
        <v>0</v>
      </c>
      <c r="R318" s="1" t="s">
        <v>3804</v>
      </c>
      <c r="S318" s="1" t="s">
        <v>3805</v>
      </c>
      <c r="U318" s="2">
        <v>56777</v>
      </c>
      <c r="V318" s="1">
        <v>4.4000000000000004</v>
      </c>
      <c r="W318" s="1">
        <v>3000</v>
      </c>
      <c r="X318" s="1">
        <v>1999</v>
      </c>
      <c r="Y318" s="1">
        <v>308</v>
      </c>
      <c r="Z318" s="1">
        <v>914</v>
      </c>
      <c r="AA318" s="1">
        <v>777</v>
      </c>
      <c r="AB318" s="1">
        <v>0</v>
      </c>
      <c r="AC318" s="1">
        <v>3</v>
      </c>
      <c r="AD318" s="1" t="s">
        <v>62</v>
      </c>
      <c r="AE318" s="1" t="s">
        <v>3806</v>
      </c>
      <c r="AF318" s="1" t="s">
        <v>3807</v>
      </c>
      <c r="AG318" s="1" t="s">
        <v>3808</v>
      </c>
      <c r="AH318" s="1" t="s">
        <v>3809</v>
      </c>
      <c r="AI318" s="1">
        <v>4.54</v>
      </c>
      <c r="AJ318" s="1">
        <v>2229</v>
      </c>
      <c r="AK318" s="1">
        <v>6580</v>
      </c>
    </row>
    <row r="319" spans="1:38" ht="15.75" customHeight="1">
      <c r="A319" s="1">
        <v>816</v>
      </c>
      <c r="C319" s="1">
        <v>4001</v>
      </c>
      <c r="D319" s="1" t="s">
        <v>51</v>
      </c>
      <c r="E319" s="1" t="s">
        <v>39</v>
      </c>
      <c r="F319" s="1" t="s">
        <v>341</v>
      </c>
      <c r="G319" s="1">
        <v>0</v>
      </c>
      <c r="H319" s="1" t="s">
        <v>41</v>
      </c>
      <c r="I319" s="1" t="s">
        <v>3810</v>
      </c>
      <c r="J319" s="1" t="s">
        <v>3811</v>
      </c>
      <c r="K319" s="1" t="s">
        <v>3812</v>
      </c>
      <c r="L319" s="1">
        <v>1</v>
      </c>
      <c r="M319" s="1">
        <v>0</v>
      </c>
      <c r="N319" s="1" t="s">
        <v>3813</v>
      </c>
      <c r="O319" s="1" t="s">
        <v>3814</v>
      </c>
      <c r="P319" s="1" t="s">
        <v>3815</v>
      </c>
      <c r="Q319" s="1">
        <v>0</v>
      </c>
      <c r="R319" s="1" t="s">
        <v>3816</v>
      </c>
      <c r="S319" s="1" t="s">
        <v>3817</v>
      </c>
      <c r="U319" s="2">
        <v>56771</v>
      </c>
      <c r="V319" s="1">
        <v>4.5</v>
      </c>
      <c r="W319" s="1">
        <v>3000</v>
      </c>
      <c r="X319" s="1">
        <v>1363</v>
      </c>
      <c r="Y319" s="1">
        <v>924</v>
      </c>
      <c r="Z319" s="1">
        <v>114</v>
      </c>
      <c r="AA319" s="1">
        <v>325</v>
      </c>
      <c r="AB319" s="1">
        <v>0</v>
      </c>
      <c r="AC319" s="1">
        <v>3</v>
      </c>
      <c r="AD319" s="1" t="s">
        <v>76</v>
      </c>
      <c r="AE319" s="1" t="s">
        <v>3818</v>
      </c>
      <c r="AF319" s="1" t="s">
        <v>3819</v>
      </c>
      <c r="AG319" s="1" t="s">
        <v>3820</v>
      </c>
      <c r="AH319" s="1" t="s">
        <v>3821</v>
      </c>
      <c r="AI319" s="1">
        <v>4.54</v>
      </c>
      <c r="AJ319" s="1">
        <v>2229</v>
      </c>
      <c r="AK319" s="1">
        <v>6580</v>
      </c>
    </row>
    <row r="320" spans="1:38" ht="15.75" customHeight="1">
      <c r="A320" s="1">
        <v>133</v>
      </c>
      <c r="B320" s="1">
        <v>5</v>
      </c>
      <c r="C320" s="1">
        <v>4050</v>
      </c>
      <c r="D320" s="1" t="s">
        <v>38</v>
      </c>
      <c r="E320" s="1" t="s">
        <v>39</v>
      </c>
      <c r="F320" s="1" t="s">
        <v>40</v>
      </c>
      <c r="G320" s="1">
        <v>0</v>
      </c>
      <c r="H320" s="1" t="s">
        <v>41</v>
      </c>
      <c r="I320" s="1" t="s">
        <v>3822</v>
      </c>
      <c r="J320" s="1" t="s">
        <v>3823</v>
      </c>
      <c r="K320" s="1" t="s">
        <v>3824</v>
      </c>
      <c r="L320" s="1">
        <v>1</v>
      </c>
      <c r="M320" s="1">
        <v>0</v>
      </c>
      <c r="N320" s="1" t="s">
        <v>3825</v>
      </c>
      <c r="O320" s="1" t="s">
        <v>3826</v>
      </c>
      <c r="P320" s="1" t="s">
        <v>3827</v>
      </c>
      <c r="Q320" s="1">
        <v>0</v>
      </c>
      <c r="R320" s="1" t="s">
        <v>3828</v>
      </c>
      <c r="S320" s="1" t="s">
        <v>3829</v>
      </c>
      <c r="U320" s="2">
        <v>56767</v>
      </c>
      <c r="V320" s="1">
        <v>4.5999999999999996</v>
      </c>
      <c r="W320" s="1">
        <v>3000</v>
      </c>
      <c r="X320" s="1">
        <v>1955</v>
      </c>
      <c r="Y320" s="1">
        <v>483</v>
      </c>
      <c r="Z320" s="1">
        <v>686</v>
      </c>
      <c r="AA320" s="1">
        <v>786</v>
      </c>
      <c r="AB320" s="1">
        <v>1</v>
      </c>
      <c r="AC320" s="1">
        <v>14</v>
      </c>
      <c r="AE320" s="1" t="s">
        <v>3830</v>
      </c>
      <c r="AF320" s="1" t="s">
        <v>3831</v>
      </c>
      <c r="AG320" s="1" t="s">
        <v>3832</v>
      </c>
      <c r="AH320" s="1" t="s">
        <v>3833</v>
      </c>
      <c r="AI320" s="1">
        <v>4.7</v>
      </c>
      <c r="AJ320" s="1">
        <v>1261</v>
      </c>
      <c r="AK320" s="1">
        <v>3264</v>
      </c>
      <c r="AL320" s="1">
        <v>232</v>
      </c>
    </row>
    <row r="321" spans="1:38" ht="15.75" customHeight="1">
      <c r="A321" s="1">
        <v>1495</v>
      </c>
      <c r="B321" s="1">
        <v>5</v>
      </c>
      <c r="C321" s="1">
        <v>4001</v>
      </c>
      <c r="D321" s="1" t="s">
        <v>51</v>
      </c>
      <c r="E321" s="1" t="s">
        <v>39</v>
      </c>
      <c r="F321" s="1" t="s">
        <v>341</v>
      </c>
      <c r="G321" s="1">
        <v>0</v>
      </c>
      <c r="H321" s="1" t="s">
        <v>41</v>
      </c>
      <c r="I321" s="1" t="s">
        <v>3834</v>
      </c>
      <c r="J321" s="1" t="s">
        <v>3835</v>
      </c>
      <c r="K321" s="1" t="s">
        <v>3836</v>
      </c>
      <c r="L321" s="1">
        <v>1</v>
      </c>
      <c r="M321" s="1">
        <v>0</v>
      </c>
      <c r="N321" s="1" t="s">
        <v>3837</v>
      </c>
      <c r="O321" s="1" t="s">
        <v>3838</v>
      </c>
      <c r="P321" s="1" t="s">
        <v>3839</v>
      </c>
      <c r="Q321" s="1">
        <v>0</v>
      </c>
      <c r="R321" s="1" t="s">
        <v>3840</v>
      </c>
      <c r="S321" s="1" t="s">
        <v>3841</v>
      </c>
      <c r="U321" s="2">
        <v>56777</v>
      </c>
      <c r="V321" s="1">
        <v>4.4000000000000004</v>
      </c>
      <c r="W321" s="1">
        <v>3000</v>
      </c>
      <c r="X321" s="1">
        <v>2122</v>
      </c>
      <c r="Y321" s="1">
        <v>433</v>
      </c>
      <c r="Z321" s="1">
        <v>1190</v>
      </c>
      <c r="AA321" s="1">
        <v>499</v>
      </c>
      <c r="AB321" s="1">
        <v>0</v>
      </c>
      <c r="AC321" s="1">
        <v>3</v>
      </c>
      <c r="AD321" s="1" t="s">
        <v>215</v>
      </c>
      <c r="AE321" s="1" t="s">
        <v>3842</v>
      </c>
      <c r="AF321" s="1" t="s">
        <v>3843</v>
      </c>
      <c r="AG321" s="1" t="s">
        <v>3844</v>
      </c>
      <c r="AH321" s="1" t="s">
        <v>3845</v>
      </c>
      <c r="AI321" s="1">
        <v>4.54</v>
      </c>
      <c r="AJ321" s="1">
        <v>2229</v>
      </c>
      <c r="AK321" s="1">
        <v>6580</v>
      </c>
    </row>
    <row r="322" spans="1:38" ht="15.75" customHeight="1">
      <c r="A322" s="1">
        <v>449</v>
      </c>
      <c r="B322" s="1">
        <v>5</v>
      </c>
      <c r="C322" s="1">
        <v>4050</v>
      </c>
      <c r="D322" s="1" t="s">
        <v>38</v>
      </c>
      <c r="E322" s="1" t="s">
        <v>39</v>
      </c>
      <c r="F322" s="1" t="s">
        <v>280</v>
      </c>
      <c r="G322" s="1">
        <v>0</v>
      </c>
      <c r="H322" s="1" t="s">
        <v>41</v>
      </c>
      <c r="I322" s="1" t="s">
        <v>3846</v>
      </c>
      <c r="J322" s="1" t="s">
        <v>3847</v>
      </c>
      <c r="K322" s="1" t="s">
        <v>3848</v>
      </c>
      <c r="L322" s="1">
        <v>1</v>
      </c>
      <c r="M322" s="1">
        <v>0</v>
      </c>
      <c r="N322" s="1" t="s">
        <v>3849</v>
      </c>
      <c r="O322" s="1" t="s">
        <v>3850</v>
      </c>
      <c r="P322" s="1" t="s">
        <v>3851</v>
      </c>
      <c r="Q322" s="1">
        <v>0</v>
      </c>
      <c r="R322" s="1" t="s">
        <v>3852</v>
      </c>
      <c r="S322" s="1" t="s">
        <v>3853</v>
      </c>
      <c r="U322" s="2">
        <v>56769</v>
      </c>
      <c r="V322" s="1">
        <v>4.3</v>
      </c>
      <c r="W322" s="1">
        <v>3000</v>
      </c>
      <c r="X322" s="1">
        <v>1693</v>
      </c>
      <c r="Y322" s="1">
        <v>418</v>
      </c>
      <c r="Z322" s="1">
        <v>289</v>
      </c>
      <c r="AA322" s="1">
        <v>986</v>
      </c>
      <c r="AB322" s="1">
        <v>0</v>
      </c>
      <c r="AC322" s="1">
        <v>1</v>
      </c>
      <c r="AD322" s="1" t="s">
        <v>62</v>
      </c>
      <c r="AE322" s="1" t="s">
        <v>3854</v>
      </c>
      <c r="AF322" s="1" t="s">
        <v>3855</v>
      </c>
      <c r="AG322" s="1" t="s">
        <v>3856</v>
      </c>
      <c r="AH322" s="1" t="s">
        <v>3857</v>
      </c>
      <c r="AI322" s="1">
        <v>4.49</v>
      </c>
      <c r="AJ322" s="1">
        <v>2315</v>
      </c>
      <c r="AK322" s="1">
        <v>7039</v>
      </c>
      <c r="AL322" s="1">
        <v>763</v>
      </c>
    </row>
    <row r="323" spans="1:38" ht="15.75" customHeight="1">
      <c r="A323" s="1">
        <v>244</v>
      </c>
      <c r="C323" s="1">
        <v>4001</v>
      </c>
      <c r="D323" s="1" t="s">
        <v>51</v>
      </c>
      <c r="E323" s="1" t="s">
        <v>39</v>
      </c>
      <c r="F323" s="1" t="s">
        <v>232</v>
      </c>
      <c r="G323" s="1">
        <v>0</v>
      </c>
      <c r="H323" s="1" t="s">
        <v>53</v>
      </c>
      <c r="I323" s="1" t="s">
        <v>3858</v>
      </c>
      <c r="J323" s="1" t="s">
        <v>3859</v>
      </c>
      <c r="K323" s="1" t="s">
        <v>3860</v>
      </c>
      <c r="L323" s="1">
        <v>1</v>
      </c>
      <c r="M323" s="1">
        <v>0</v>
      </c>
      <c r="N323" s="1" t="s">
        <v>3861</v>
      </c>
      <c r="O323" s="1" t="s">
        <v>3862</v>
      </c>
      <c r="P323" s="1" t="s">
        <v>3863</v>
      </c>
      <c r="Q323" s="1">
        <v>0</v>
      </c>
      <c r="R323" s="1" t="s">
        <v>3864</v>
      </c>
      <c r="U323" s="2">
        <v>56767</v>
      </c>
      <c r="V323" s="1">
        <v>4.4000000000000004</v>
      </c>
      <c r="W323" s="1">
        <v>3000</v>
      </c>
      <c r="X323" s="1">
        <v>1469</v>
      </c>
      <c r="AA323" s="1">
        <v>1078</v>
      </c>
      <c r="AB323" s="1">
        <v>0</v>
      </c>
      <c r="AC323" s="1">
        <v>3</v>
      </c>
      <c r="AE323" s="1" t="s">
        <v>3865</v>
      </c>
      <c r="AF323" s="1" t="s">
        <v>3866</v>
      </c>
      <c r="AG323" s="1" t="s">
        <v>3867</v>
      </c>
      <c r="AI323" s="1">
        <v>4.5599999999999996</v>
      </c>
      <c r="AJ323" s="1">
        <v>765</v>
      </c>
      <c r="AK323" s="1">
        <v>2618</v>
      </c>
    </row>
    <row r="324" spans="1:38" ht="15.75" customHeight="1">
      <c r="A324" s="1">
        <v>902</v>
      </c>
      <c r="C324" s="1">
        <v>4050</v>
      </c>
      <c r="D324" s="1" t="s">
        <v>38</v>
      </c>
      <c r="E324" s="1" t="s">
        <v>39</v>
      </c>
      <c r="F324" s="1" t="s">
        <v>116</v>
      </c>
      <c r="G324" s="1">
        <v>0</v>
      </c>
      <c r="H324" s="1" t="s">
        <v>41</v>
      </c>
      <c r="I324" s="1" t="s">
        <v>3868</v>
      </c>
      <c r="J324" s="1" t="s">
        <v>3869</v>
      </c>
      <c r="K324" s="1" t="s">
        <v>3870</v>
      </c>
      <c r="L324" s="1">
        <v>1</v>
      </c>
      <c r="M324" s="1">
        <v>0</v>
      </c>
      <c r="N324" s="1" t="s">
        <v>3871</v>
      </c>
      <c r="O324" s="1" t="s">
        <v>3872</v>
      </c>
      <c r="P324" s="1" t="s">
        <v>3873</v>
      </c>
      <c r="Q324" s="1">
        <v>0</v>
      </c>
      <c r="R324" s="1" t="s">
        <v>3874</v>
      </c>
      <c r="U324" s="2">
        <v>56772</v>
      </c>
      <c r="V324" s="1">
        <v>4.5999999999999996</v>
      </c>
      <c r="W324" s="1">
        <v>3000</v>
      </c>
      <c r="X324" s="1">
        <v>4484</v>
      </c>
      <c r="AA324" s="1">
        <v>13</v>
      </c>
      <c r="AB324" s="1">
        <v>0</v>
      </c>
      <c r="AC324" s="1">
        <v>5</v>
      </c>
      <c r="AE324" s="1" t="s">
        <v>3875</v>
      </c>
      <c r="AF324" s="1" t="s">
        <v>3876</v>
      </c>
      <c r="AG324" s="1" t="s">
        <v>3877</v>
      </c>
      <c r="AI324" s="1">
        <v>4.8899999999999997</v>
      </c>
      <c r="AJ324" s="1">
        <v>1778</v>
      </c>
      <c r="AK324" s="1">
        <v>5138</v>
      </c>
      <c r="AL324" s="1">
        <v>314</v>
      </c>
    </row>
    <row r="325" spans="1:38" ht="15.75" customHeight="1">
      <c r="A325" s="1">
        <v>326</v>
      </c>
      <c r="C325" s="1">
        <v>4050</v>
      </c>
      <c r="D325" s="1" t="s">
        <v>38</v>
      </c>
      <c r="E325" s="1" t="s">
        <v>39</v>
      </c>
      <c r="F325" s="1" t="s">
        <v>116</v>
      </c>
      <c r="G325" s="1">
        <v>0</v>
      </c>
      <c r="H325" s="1" t="s">
        <v>41</v>
      </c>
      <c r="I325" s="1" t="s">
        <v>3878</v>
      </c>
      <c r="J325" s="1" t="s">
        <v>3879</v>
      </c>
      <c r="K325" s="1" t="s">
        <v>3880</v>
      </c>
      <c r="L325" s="1">
        <v>1</v>
      </c>
      <c r="M325" s="1">
        <v>0</v>
      </c>
      <c r="N325" s="1" t="s">
        <v>3881</v>
      </c>
      <c r="O325" s="1" t="s">
        <v>3882</v>
      </c>
      <c r="P325" s="1" t="s">
        <v>3883</v>
      </c>
      <c r="Q325" s="1">
        <v>0</v>
      </c>
      <c r="R325" s="1" t="s">
        <v>3884</v>
      </c>
      <c r="S325" s="1" t="s">
        <v>3885</v>
      </c>
      <c r="U325" s="2">
        <v>56768</v>
      </c>
      <c r="V325" s="1">
        <v>4.5</v>
      </c>
      <c r="W325" s="1">
        <v>3000</v>
      </c>
      <c r="X325" s="1">
        <v>2675</v>
      </c>
      <c r="Y325" s="1">
        <v>1228</v>
      </c>
      <c r="Z325" s="1">
        <v>284</v>
      </c>
      <c r="AA325" s="1">
        <v>1163</v>
      </c>
      <c r="AB325" s="1">
        <v>0</v>
      </c>
      <c r="AC325" s="1">
        <v>8</v>
      </c>
      <c r="AD325" s="1" t="s">
        <v>76</v>
      </c>
      <c r="AE325" s="1" t="s">
        <v>3886</v>
      </c>
      <c r="AF325" s="1" t="s">
        <v>3887</v>
      </c>
      <c r="AG325" s="1" t="s">
        <v>3888</v>
      </c>
      <c r="AH325" s="1" t="s">
        <v>3889</v>
      </c>
      <c r="AI325" s="1">
        <v>4.8899999999999997</v>
      </c>
      <c r="AJ325" s="1">
        <v>1778</v>
      </c>
      <c r="AK325" s="1">
        <v>5138</v>
      </c>
      <c r="AL325" s="1">
        <v>314</v>
      </c>
    </row>
    <row r="326" spans="1:38" ht="15.75" customHeight="1">
      <c r="A326" s="1">
        <v>72</v>
      </c>
      <c r="B326" s="1">
        <v>1</v>
      </c>
      <c r="C326" s="1">
        <v>4050</v>
      </c>
      <c r="D326" s="1" t="s">
        <v>38</v>
      </c>
      <c r="E326" s="1" t="s">
        <v>39</v>
      </c>
      <c r="F326" s="1" t="s">
        <v>1348</v>
      </c>
      <c r="G326" s="1">
        <v>0</v>
      </c>
      <c r="H326" s="1" t="s">
        <v>41</v>
      </c>
      <c r="I326" s="1" t="s">
        <v>3890</v>
      </c>
      <c r="J326" s="1" t="s">
        <v>3891</v>
      </c>
      <c r="K326" s="1" t="s">
        <v>3892</v>
      </c>
      <c r="L326" s="1">
        <v>1</v>
      </c>
      <c r="M326" s="1">
        <v>0</v>
      </c>
      <c r="N326" s="1" t="s">
        <v>3893</v>
      </c>
      <c r="O326" s="1" t="s">
        <v>3894</v>
      </c>
      <c r="P326" s="1" t="s">
        <v>3895</v>
      </c>
      <c r="Q326" s="1">
        <v>0</v>
      </c>
      <c r="R326" s="1" t="s">
        <v>3896</v>
      </c>
      <c r="U326" s="2">
        <v>56766</v>
      </c>
      <c r="V326" s="1">
        <v>4.4000000000000004</v>
      </c>
      <c r="W326" s="1">
        <v>3000</v>
      </c>
      <c r="X326" s="1">
        <v>4341</v>
      </c>
      <c r="AA326" s="1">
        <v>1776</v>
      </c>
      <c r="AB326" s="1">
        <v>0</v>
      </c>
      <c r="AC326" s="1">
        <v>2</v>
      </c>
      <c r="AE326" s="1" t="s">
        <v>3897</v>
      </c>
      <c r="AF326" s="1" t="s">
        <v>3898</v>
      </c>
      <c r="AG326" s="1" t="s">
        <v>3899</v>
      </c>
      <c r="AI326" s="1">
        <v>4.79</v>
      </c>
      <c r="AJ326" s="1">
        <v>1007</v>
      </c>
      <c r="AK326" s="1">
        <v>2899</v>
      </c>
      <c r="AL326" s="1">
        <v>1301</v>
      </c>
    </row>
    <row r="327" spans="1:38" ht="15.75" customHeight="1">
      <c r="A327" s="1">
        <v>554</v>
      </c>
      <c r="B327" s="1">
        <v>1</v>
      </c>
      <c r="C327" s="1">
        <v>4050</v>
      </c>
      <c r="D327" s="1" t="s">
        <v>38</v>
      </c>
      <c r="E327" s="1" t="s">
        <v>39</v>
      </c>
      <c r="F327" s="1" t="s">
        <v>280</v>
      </c>
      <c r="G327" s="1">
        <v>0</v>
      </c>
      <c r="H327" s="1" t="s">
        <v>41</v>
      </c>
      <c r="I327" s="1" t="s">
        <v>3900</v>
      </c>
      <c r="J327" s="1" t="s">
        <v>3901</v>
      </c>
      <c r="K327" s="1" t="s">
        <v>3902</v>
      </c>
      <c r="L327" s="1">
        <v>1</v>
      </c>
      <c r="M327" s="1">
        <v>0</v>
      </c>
      <c r="N327" s="1" t="s">
        <v>3903</v>
      </c>
      <c r="O327" s="1" t="s">
        <v>3904</v>
      </c>
      <c r="P327" s="1" t="s">
        <v>3905</v>
      </c>
      <c r="Q327" s="1">
        <v>0</v>
      </c>
      <c r="R327" s="1" t="s">
        <v>3906</v>
      </c>
      <c r="U327" s="2">
        <v>56770</v>
      </c>
      <c r="V327" s="1">
        <v>4.5</v>
      </c>
      <c r="W327" s="1">
        <v>3000</v>
      </c>
      <c r="X327" s="1">
        <v>3683</v>
      </c>
      <c r="AA327" s="1">
        <v>848</v>
      </c>
      <c r="AB327" s="1">
        <v>0</v>
      </c>
      <c r="AC327" s="1">
        <v>6</v>
      </c>
      <c r="AE327" s="1" t="s">
        <v>3907</v>
      </c>
      <c r="AF327" s="1" t="s">
        <v>3908</v>
      </c>
      <c r="AG327" s="1" t="s">
        <v>3909</v>
      </c>
      <c r="AI327" s="1">
        <v>4.49</v>
      </c>
      <c r="AJ327" s="1">
        <v>2315</v>
      </c>
      <c r="AK327" s="1">
        <v>7039</v>
      </c>
      <c r="AL327" s="1">
        <v>763</v>
      </c>
    </row>
    <row r="328" spans="1:38" ht="15.75" customHeight="1">
      <c r="A328" s="1">
        <v>1513</v>
      </c>
      <c r="B328" s="1">
        <v>5</v>
      </c>
      <c r="C328" s="1">
        <v>4001</v>
      </c>
      <c r="D328" s="1" t="s">
        <v>51</v>
      </c>
      <c r="E328" s="1" t="s">
        <v>39</v>
      </c>
      <c r="F328" s="1" t="s">
        <v>708</v>
      </c>
      <c r="G328" s="1">
        <v>0</v>
      </c>
      <c r="H328" s="1" t="s">
        <v>53</v>
      </c>
      <c r="I328" s="1" t="s">
        <v>3910</v>
      </c>
      <c r="J328" s="1" t="s">
        <v>3911</v>
      </c>
      <c r="K328" s="1" t="s">
        <v>3912</v>
      </c>
      <c r="L328" s="1">
        <v>1</v>
      </c>
      <c r="M328" s="1">
        <v>0</v>
      </c>
      <c r="N328" s="1" t="s">
        <v>3913</v>
      </c>
      <c r="O328" s="1" t="s">
        <v>3914</v>
      </c>
      <c r="P328" s="1" t="s">
        <v>3915</v>
      </c>
      <c r="Q328" s="1">
        <v>0</v>
      </c>
      <c r="R328" s="1" t="s">
        <v>3916</v>
      </c>
      <c r="S328" s="1" t="s">
        <v>3917</v>
      </c>
      <c r="U328" s="2">
        <v>56777</v>
      </c>
      <c r="V328" s="1">
        <v>4.5999999999999996</v>
      </c>
      <c r="W328" s="1">
        <v>3000</v>
      </c>
      <c r="X328" s="1">
        <v>4130</v>
      </c>
      <c r="Y328" s="1">
        <v>900</v>
      </c>
      <c r="Z328" s="1">
        <v>919</v>
      </c>
      <c r="AA328" s="1">
        <v>2311</v>
      </c>
      <c r="AB328" s="1">
        <v>1</v>
      </c>
      <c r="AC328" s="1">
        <v>2</v>
      </c>
      <c r="AE328" s="1" t="s">
        <v>3918</v>
      </c>
      <c r="AF328" s="1" t="s">
        <v>3919</v>
      </c>
      <c r="AG328" s="1" t="s">
        <v>3920</v>
      </c>
      <c r="AH328" s="1" t="s">
        <v>3921</v>
      </c>
      <c r="AI328" s="1">
        <v>4.5999999999999996</v>
      </c>
      <c r="AJ328" s="1">
        <v>292</v>
      </c>
      <c r="AK328" s="1">
        <v>1027</v>
      </c>
      <c r="AL328" s="1">
        <v>26</v>
      </c>
    </row>
    <row r="329" spans="1:38" ht="15.75" customHeight="1">
      <c r="A329" s="1">
        <v>1403</v>
      </c>
      <c r="B329" s="1">
        <v>3</v>
      </c>
      <c r="C329" s="1">
        <v>4001</v>
      </c>
      <c r="D329" s="1" t="s">
        <v>51</v>
      </c>
      <c r="E329" s="1" t="s">
        <v>39</v>
      </c>
      <c r="F329" s="1" t="s">
        <v>414</v>
      </c>
      <c r="G329" s="1">
        <v>0</v>
      </c>
      <c r="H329" s="1" t="s">
        <v>53</v>
      </c>
      <c r="I329" s="1" t="s">
        <v>3922</v>
      </c>
      <c r="J329" s="1" t="s">
        <v>3923</v>
      </c>
      <c r="K329" s="1" t="s">
        <v>3924</v>
      </c>
      <c r="L329" s="1">
        <v>1</v>
      </c>
      <c r="M329" s="1">
        <v>0</v>
      </c>
      <c r="N329" s="1" t="s">
        <v>3925</v>
      </c>
      <c r="O329" s="1" t="s">
        <v>3926</v>
      </c>
      <c r="P329" s="1" t="s">
        <v>3927</v>
      </c>
      <c r="Q329" s="1">
        <v>0</v>
      </c>
      <c r="R329" s="1" t="s">
        <v>3928</v>
      </c>
      <c r="S329" s="1" t="s">
        <v>3929</v>
      </c>
      <c r="U329" s="2">
        <v>56777</v>
      </c>
      <c r="V329" s="1">
        <v>4.3</v>
      </c>
      <c r="W329" s="1">
        <v>3000</v>
      </c>
      <c r="X329" s="1">
        <v>2820</v>
      </c>
      <c r="Y329" s="1">
        <v>359</v>
      </c>
      <c r="Z329" s="1">
        <v>2039</v>
      </c>
      <c r="AA329" s="1">
        <v>422</v>
      </c>
      <c r="AB329" s="1">
        <v>0</v>
      </c>
      <c r="AC329" s="1">
        <v>3</v>
      </c>
      <c r="AD329" s="1" t="s">
        <v>62</v>
      </c>
      <c r="AE329" s="1" t="s">
        <v>3930</v>
      </c>
      <c r="AF329" s="1" t="s">
        <v>3931</v>
      </c>
      <c r="AG329" s="1" t="s">
        <v>3932</v>
      </c>
      <c r="AH329" s="1" t="s">
        <v>3933</v>
      </c>
      <c r="AI329" s="1">
        <v>4.58</v>
      </c>
      <c r="AJ329" s="1">
        <v>254</v>
      </c>
      <c r="AK329" s="1">
        <v>788</v>
      </c>
      <c r="AL329" s="1">
        <v>9</v>
      </c>
    </row>
    <row r="330" spans="1:38" ht="15.75" customHeight="1">
      <c r="A330" s="1">
        <v>1038</v>
      </c>
      <c r="B330" s="1">
        <v>5</v>
      </c>
      <c r="C330" s="1">
        <v>4001</v>
      </c>
      <c r="D330" s="1" t="s">
        <v>51</v>
      </c>
      <c r="E330" s="1" t="s">
        <v>39</v>
      </c>
      <c r="F330" s="1" t="s">
        <v>52</v>
      </c>
      <c r="G330" s="1">
        <v>0</v>
      </c>
      <c r="H330" s="1" t="s">
        <v>53</v>
      </c>
      <c r="I330" s="1" t="s">
        <v>3934</v>
      </c>
      <c r="J330" s="1" t="s">
        <v>3935</v>
      </c>
      <c r="K330" s="1" t="s">
        <v>3936</v>
      </c>
      <c r="L330" s="1">
        <v>1</v>
      </c>
      <c r="M330" s="1">
        <v>0</v>
      </c>
      <c r="N330" s="1" t="s">
        <v>3937</v>
      </c>
      <c r="O330" s="1" t="s">
        <v>3938</v>
      </c>
      <c r="P330" s="1" t="s">
        <v>3939</v>
      </c>
      <c r="Q330" s="1">
        <v>0</v>
      </c>
      <c r="R330" s="1" t="s">
        <v>3940</v>
      </c>
      <c r="U330" s="2">
        <v>56774</v>
      </c>
      <c r="V330" s="1">
        <v>3.9792116329999998</v>
      </c>
      <c r="W330" s="1">
        <v>3000</v>
      </c>
      <c r="X330" s="1">
        <v>1360</v>
      </c>
      <c r="AA330" s="1">
        <v>584</v>
      </c>
      <c r="AB330" s="1">
        <v>0</v>
      </c>
      <c r="AC330" s="1">
        <v>4</v>
      </c>
      <c r="AE330" s="1" t="s">
        <v>3941</v>
      </c>
      <c r="AF330" s="1" t="s">
        <v>3942</v>
      </c>
      <c r="AG330" s="1" t="s">
        <v>3943</v>
      </c>
      <c r="AI330" s="1">
        <v>4.17</v>
      </c>
      <c r="AJ330" s="1">
        <v>457</v>
      </c>
      <c r="AK330" s="1">
        <v>1599</v>
      </c>
    </row>
    <row r="331" spans="1:38" ht="15.75" customHeight="1">
      <c r="A331" s="1">
        <v>1311</v>
      </c>
      <c r="C331" s="1">
        <v>4001</v>
      </c>
      <c r="D331" s="1" t="s">
        <v>51</v>
      </c>
      <c r="E331" s="1" t="s">
        <v>39</v>
      </c>
      <c r="F331" s="1" t="s">
        <v>414</v>
      </c>
      <c r="G331" s="1">
        <v>0</v>
      </c>
      <c r="H331" s="1" t="s">
        <v>53</v>
      </c>
      <c r="I331" s="1" t="s">
        <v>3944</v>
      </c>
      <c r="J331" s="1" t="s">
        <v>3945</v>
      </c>
      <c r="K331" s="1" t="s">
        <v>3946</v>
      </c>
      <c r="L331" s="1">
        <v>1</v>
      </c>
      <c r="M331" s="1">
        <v>0</v>
      </c>
      <c r="N331" s="1" t="s">
        <v>3947</v>
      </c>
      <c r="O331" s="1" t="s">
        <v>3948</v>
      </c>
      <c r="P331" s="1" t="s">
        <v>3949</v>
      </c>
      <c r="Q331" s="1">
        <v>0</v>
      </c>
      <c r="R331" s="1" t="s">
        <v>3950</v>
      </c>
      <c r="S331" s="1" t="s">
        <v>3951</v>
      </c>
      <c r="U331" s="2">
        <v>56776</v>
      </c>
      <c r="V331" s="1">
        <v>3.4933989300000001</v>
      </c>
      <c r="W331" s="1">
        <v>3000</v>
      </c>
      <c r="X331" s="1">
        <v>1693</v>
      </c>
      <c r="Y331" s="1">
        <v>353</v>
      </c>
      <c r="Z331" s="1">
        <v>369</v>
      </c>
      <c r="AA331" s="1">
        <v>971</v>
      </c>
      <c r="AB331" s="1">
        <v>0</v>
      </c>
      <c r="AC331" s="1">
        <v>4</v>
      </c>
      <c r="AD331" s="1" t="s">
        <v>215</v>
      </c>
      <c r="AE331" s="1" t="s">
        <v>3952</v>
      </c>
      <c r="AF331" s="1" t="s">
        <v>3953</v>
      </c>
      <c r="AG331" s="1" t="s">
        <v>3954</v>
      </c>
      <c r="AH331" s="1" t="s">
        <v>3955</v>
      </c>
      <c r="AI331" s="1">
        <v>4.58</v>
      </c>
      <c r="AJ331" s="1">
        <v>254</v>
      </c>
      <c r="AK331" s="1">
        <v>788</v>
      </c>
      <c r="AL331" s="1">
        <v>9</v>
      </c>
    </row>
    <row r="332" spans="1:38" ht="15.75" customHeight="1">
      <c r="A332" s="1">
        <v>464</v>
      </c>
      <c r="C332" s="1">
        <v>4050</v>
      </c>
      <c r="D332" s="1" t="s">
        <v>38</v>
      </c>
      <c r="E332" s="1" t="s">
        <v>39</v>
      </c>
      <c r="F332" s="1" t="s">
        <v>695</v>
      </c>
      <c r="G332" s="1">
        <v>0</v>
      </c>
      <c r="H332" s="1" t="s">
        <v>41</v>
      </c>
      <c r="I332" s="1" t="s">
        <v>3956</v>
      </c>
      <c r="J332" s="1" t="s">
        <v>3957</v>
      </c>
      <c r="K332" s="1" t="s">
        <v>3958</v>
      </c>
      <c r="L332" s="1">
        <v>1</v>
      </c>
      <c r="M332" s="1">
        <v>0</v>
      </c>
      <c r="N332" s="1" t="s">
        <v>3959</v>
      </c>
      <c r="O332" s="1" t="s">
        <v>3960</v>
      </c>
      <c r="P332" s="1" t="s">
        <v>3961</v>
      </c>
      <c r="Q332" s="1">
        <v>0</v>
      </c>
      <c r="R332" s="1" t="s">
        <v>3962</v>
      </c>
      <c r="S332" s="1" t="s">
        <v>3963</v>
      </c>
      <c r="U332" s="2">
        <v>56769</v>
      </c>
      <c r="V332" s="1">
        <v>3.9180134610000001</v>
      </c>
      <c r="W332" s="1">
        <v>3000</v>
      </c>
      <c r="X332" s="1">
        <v>3381</v>
      </c>
      <c r="Y332" s="1">
        <v>574</v>
      </c>
      <c r="Z332" s="1">
        <v>2284</v>
      </c>
      <c r="AA332" s="1">
        <v>523</v>
      </c>
      <c r="AB332" s="1">
        <v>0</v>
      </c>
      <c r="AC332" s="1">
        <v>2</v>
      </c>
      <c r="AD332" s="1" t="s">
        <v>62</v>
      </c>
      <c r="AE332" s="1" t="s">
        <v>3964</v>
      </c>
      <c r="AF332" s="1" t="s">
        <v>3965</v>
      </c>
      <c r="AG332" s="1" t="s">
        <v>3966</v>
      </c>
      <c r="AH332" s="1" t="s">
        <v>3967</v>
      </c>
      <c r="AI332" s="1">
        <v>4.38</v>
      </c>
      <c r="AJ332" s="1">
        <v>196</v>
      </c>
      <c r="AK332" s="1">
        <v>626</v>
      </c>
    </row>
    <row r="333" spans="1:38" ht="15.75" customHeight="1">
      <c r="A333" s="1">
        <v>1472</v>
      </c>
      <c r="C333" s="1">
        <v>4001</v>
      </c>
      <c r="D333" s="1" t="s">
        <v>51</v>
      </c>
      <c r="E333" s="1" t="s">
        <v>39</v>
      </c>
      <c r="F333" s="1" t="s">
        <v>232</v>
      </c>
      <c r="G333" s="1">
        <v>0</v>
      </c>
      <c r="H333" s="1" t="s">
        <v>53</v>
      </c>
      <c r="I333" s="1" t="s">
        <v>3968</v>
      </c>
      <c r="J333" s="1" t="s">
        <v>3969</v>
      </c>
      <c r="K333" s="1" t="s">
        <v>3969</v>
      </c>
      <c r="L333" s="1">
        <v>0</v>
      </c>
      <c r="M333" s="1">
        <v>0</v>
      </c>
      <c r="N333" s="1" t="s">
        <v>3970</v>
      </c>
      <c r="O333" s="1" t="s">
        <v>3971</v>
      </c>
      <c r="P333" s="1" t="s">
        <v>3972</v>
      </c>
      <c r="Q333" s="1">
        <v>0</v>
      </c>
      <c r="R333" s="1" t="s">
        <v>3973</v>
      </c>
      <c r="S333" s="1" t="s">
        <v>3974</v>
      </c>
      <c r="U333" s="2">
        <v>56777</v>
      </c>
      <c r="V333" s="1">
        <v>4.4000000000000004</v>
      </c>
      <c r="W333" s="1">
        <v>3000</v>
      </c>
      <c r="X333" s="1">
        <v>2704</v>
      </c>
      <c r="Y333" s="1">
        <v>966</v>
      </c>
      <c r="Z333" s="1">
        <v>698</v>
      </c>
      <c r="AA333" s="1">
        <v>1040</v>
      </c>
      <c r="AB333" s="1">
        <v>0</v>
      </c>
      <c r="AC333" s="1">
        <v>4</v>
      </c>
      <c r="AD333" s="1" t="s">
        <v>215</v>
      </c>
      <c r="AE333" s="1" t="s">
        <v>3975</v>
      </c>
      <c r="AF333" s="1" t="s">
        <v>3976</v>
      </c>
      <c r="AG333" s="1" t="s">
        <v>3977</v>
      </c>
      <c r="AH333" s="1" t="s">
        <v>3978</v>
      </c>
      <c r="AI333" s="1">
        <v>4.5599999999999996</v>
      </c>
      <c r="AJ333" s="1">
        <v>765</v>
      </c>
      <c r="AK333" s="1">
        <v>2618</v>
      </c>
    </row>
    <row r="334" spans="1:38" ht="15.75" customHeight="1">
      <c r="A334" s="1">
        <v>130</v>
      </c>
      <c r="B334" s="1">
        <v>5</v>
      </c>
      <c r="C334" s="1">
        <v>4001</v>
      </c>
      <c r="D334" s="1" t="s">
        <v>51</v>
      </c>
      <c r="E334" s="1" t="s">
        <v>39</v>
      </c>
      <c r="F334" s="1" t="s">
        <v>52</v>
      </c>
      <c r="G334" s="1">
        <v>0</v>
      </c>
      <c r="H334" s="1" t="s">
        <v>53</v>
      </c>
      <c r="I334" s="1" t="s">
        <v>3979</v>
      </c>
      <c r="J334" s="1" t="s">
        <v>3980</v>
      </c>
      <c r="K334" s="1" t="s">
        <v>3981</v>
      </c>
      <c r="L334" s="1">
        <v>1</v>
      </c>
      <c r="M334" s="1">
        <v>0</v>
      </c>
      <c r="N334" s="1" t="s">
        <v>3982</v>
      </c>
      <c r="O334" s="1" t="s">
        <v>3983</v>
      </c>
      <c r="P334" s="1" t="s">
        <v>3984</v>
      </c>
      <c r="Q334" s="1">
        <v>0</v>
      </c>
      <c r="R334" s="1" t="s">
        <v>3985</v>
      </c>
      <c r="S334" s="1" t="s">
        <v>3986</v>
      </c>
      <c r="U334" s="2">
        <v>56767</v>
      </c>
      <c r="V334" s="1">
        <v>3.9</v>
      </c>
      <c r="W334" s="1">
        <v>3000</v>
      </c>
      <c r="X334" s="1">
        <v>3116</v>
      </c>
      <c r="Y334" s="1">
        <v>1343</v>
      </c>
      <c r="Z334" s="1">
        <v>927</v>
      </c>
      <c r="AA334" s="1">
        <v>846</v>
      </c>
      <c r="AB334" s="1">
        <v>0</v>
      </c>
      <c r="AC334" s="1">
        <v>8</v>
      </c>
      <c r="AD334" s="1" t="s">
        <v>62</v>
      </c>
      <c r="AE334" s="1" t="s">
        <v>3987</v>
      </c>
      <c r="AF334" s="1" t="s">
        <v>3988</v>
      </c>
      <c r="AG334" s="1" t="s">
        <v>3989</v>
      </c>
      <c r="AH334" s="1" t="s">
        <v>3990</v>
      </c>
      <c r="AI334" s="1">
        <v>4.17</v>
      </c>
      <c r="AJ334" s="1">
        <v>457</v>
      </c>
      <c r="AK334" s="1">
        <v>1599</v>
      </c>
    </row>
    <row r="335" spans="1:38" ht="15.75" customHeight="1">
      <c r="A335" s="1">
        <v>147</v>
      </c>
      <c r="C335" s="1">
        <v>4050</v>
      </c>
      <c r="D335" s="1" t="s">
        <v>38</v>
      </c>
      <c r="E335" s="1" t="s">
        <v>39</v>
      </c>
      <c r="F335" s="1" t="s">
        <v>510</v>
      </c>
      <c r="G335" s="1">
        <v>0</v>
      </c>
      <c r="H335" s="1" t="s">
        <v>41</v>
      </c>
      <c r="I335" s="1" t="s">
        <v>3991</v>
      </c>
      <c r="J335" s="1" t="s">
        <v>3992</v>
      </c>
      <c r="K335" s="1" t="s">
        <v>3993</v>
      </c>
      <c r="L335" s="1">
        <v>1</v>
      </c>
      <c r="M335" s="1">
        <v>0</v>
      </c>
      <c r="N335" s="1" t="s">
        <v>3994</v>
      </c>
      <c r="O335" s="1" t="s">
        <v>3995</v>
      </c>
      <c r="P335" s="1" t="s">
        <v>3996</v>
      </c>
      <c r="Q335" s="1">
        <v>0</v>
      </c>
      <c r="R335" s="1" t="s">
        <v>3997</v>
      </c>
      <c r="S335" s="1" t="s">
        <v>3998</v>
      </c>
      <c r="U335" s="2">
        <v>56767</v>
      </c>
      <c r="V335" s="1">
        <v>4.5</v>
      </c>
      <c r="W335" s="1">
        <v>3000</v>
      </c>
      <c r="X335" s="1">
        <v>2449</v>
      </c>
      <c r="Y335" s="1">
        <v>1063</v>
      </c>
      <c r="Z335" s="1">
        <v>168</v>
      </c>
      <c r="AA335" s="1">
        <v>1218</v>
      </c>
      <c r="AB335" s="1">
        <v>0</v>
      </c>
      <c r="AC335" s="1">
        <v>1</v>
      </c>
      <c r="AD335" s="1" t="s">
        <v>215</v>
      </c>
      <c r="AE335" s="1" t="s">
        <v>3999</v>
      </c>
      <c r="AF335" s="1" t="s">
        <v>4000</v>
      </c>
      <c r="AG335" s="1" t="s">
        <v>4001</v>
      </c>
      <c r="AH335" s="1" t="s">
        <v>4002</v>
      </c>
      <c r="AI335" s="1">
        <v>4.62</v>
      </c>
      <c r="AJ335" s="1">
        <v>259</v>
      </c>
      <c r="AK335" s="1">
        <v>604</v>
      </c>
      <c r="AL335" s="1">
        <v>21</v>
      </c>
    </row>
    <row r="336" spans="1:38" ht="15.75" customHeight="1">
      <c r="A336" s="1">
        <v>597</v>
      </c>
      <c r="C336" s="1">
        <v>4001</v>
      </c>
      <c r="D336" s="1" t="s">
        <v>51</v>
      </c>
      <c r="E336" s="1" t="s">
        <v>39</v>
      </c>
      <c r="F336" s="1" t="s">
        <v>4003</v>
      </c>
      <c r="G336" s="1">
        <v>0</v>
      </c>
      <c r="H336" s="1" t="s">
        <v>41</v>
      </c>
      <c r="I336" s="1" t="s">
        <v>4004</v>
      </c>
      <c r="J336" s="1" t="s">
        <v>4005</v>
      </c>
      <c r="K336" s="1" t="s">
        <v>4006</v>
      </c>
      <c r="L336" s="1">
        <v>1</v>
      </c>
      <c r="M336" s="1">
        <v>0</v>
      </c>
      <c r="N336" s="1" t="s">
        <v>4007</v>
      </c>
      <c r="O336" s="1" t="s">
        <v>4008</v>
      </c>
      <c r="P336" s="1" t="s">
        <v>4009</v>
      </c>
      <c r="Q336" s="1">
        <v>0</v>
      </c>
      <c r="R336" s="1" t="s">
        <v>4010</v>
      </c>
      <c r="S336" s="1" t="s">
        <v>4011</v>
      </c>
      <c r="U336" s="2">
        <v>56770</v>
      </c>
      <c r="V336" s="1">
        <v>3.6497971109999998</v>
      </c>
      <c r="W336" s="1">
        <v>3000</v>
      </c>
      <c r="X336" s="1">
        <v>3769</v>
      </c>
      <c r="Y336" s="1">
        <v>624</v>
      </c>
      <c r="Z336" s="1">
        <v>158</v>
      </c>
      <c r="AA336" s="1">
        <v>2987</v>
      </c>
      <c r="AB336" s="1">
        <v>0</v>
      </c>
      <c r="AC336" s="1">
        <v>2</v>
      </c>
      <c r="AD336" s="1" t="s">
        <v>215</v>
      </c>
      <c r="AE336" s="1" t="s">
        <v>4012</v>
      </c>
      <c r="AF336" s="1" t="s">
        <v>4013</v>
      </c>
      <c r="AG336" s="1" t="s">
        <v>4014</v>
      </c>
      <c r="AH336" s="1" t="s">
        <v>4015</v>
      </c>
      <c r="AI336" s="1">
        <v>4.4400000000000004</v>
      </c>
      <c r="AJ336" s="1">
        <v>80</v>
      </c>
      <c r="AK336" s="1">
        <v>290</v>
      </c>
      <c r="AL336" s="1">
        <v>31</v>
      </c>
    </row>
    <row r="337" spans="1:38" ht="15.75" customHeight="1">
      <c r="A337" s="1">
        <v>771</v>
      </c>
      <c r="B337" s="1">
        <v>5</v>
      </c>
      <c r="C337" s="1">
        <v>4050</v>
      </c>
      <c r="D337" s="1" t="s">
        <v>38</v>
      </c>
      <c r="E337" s="1" t="s">
        <v>39</v>
      </c>
      <c r="F337" s="1" t="s">
        <v>1645</v>
      </c>
      <c r="G337" s="1">
        <v>0</v>
      </c>
      <c r="H337" s="1" t="s">
        <v>41</v>
      </c>
      <c r="I337" s="1" t="s">
        <v>4016</v>
      </c>
      <c r="J337" s="1" t="s">
        <v>4017</v>
      </c>
      <c r="K337" s="1" t="s">
        <v>4018</v>
      </c>
      <c r="L337" s="1">
        <v>1</v>
      </c>
      <c r="M337" s="1">
        <v>0</v>
      </c>
      <c r="N337" s="1" t="s">
        <v>4019</v>
      </c>
      <c r="O337" s="1" t="s">
        <v>4020</v>
      </c>
      <c r="P337" s="1" t="s">
        <v>4021</v>
      </c>
      <c r="Q337" s="1">
        <v>0</v>
      </c>
      <c r="R337" s="1" t="s">
        <v>4022</v>
      </c>
      <c r="S337" s="1" t="s">
        <v>4023</v>
      </c>
      <c r="U337" s="2">
        <v>56771</v>
      </c>
      <c r="V337" s="1">
        <v>4.7</v>
      </c>
      <c r="W337" s="1">
        <v>3000</v>
      </c>
      <c r="X337" s="1">
        <v>2658</v>
      </c>
      <c r="Y337" s="1">
        <v>238</v>
      </c>
      <c r="Z337" s="1">
        <v>663</v>
      </c>
      <c r="AA337" s="1">
        <v>1757</v>
      </c>
      <c r="AB337" s="1">
        <v>1</v>
      </c>
      <c r="AC337" s="1">
        <v>4</v>
      </c>
      <c r="AE337" s="1" t="s">
        <v>4024</v>
      </c>
      <c r="AF337" s="1" t="s">
        <v>4025</v>
      </c>
      <c r="AG337" s="1" t="s">
        <v>4026</v>
      </c>
      <c r="AH337" s="1" t="s">
        <v>4027</v>
      </c>
      <c r="AI337" s="1">
        <v>4.4520547949999996</v>
      </c>
      <c r="AJ337" s="1">
        <v>59</v>
      </c>
      <c r="AK337" s="1">
        <v>171</v>
      </c>
      <c r="AL337" s="1">
        <v>52</v>
      </c>
    </row>
    <row r="338" spans="1:38" ht="15.75" customHeight="1">
      <c r="A338" s="1">
        <v>1045</v>
      </c>
      <c r="C338" s="1">
        <v>4001</v>
      </c>
      <c r="D338" s="1" t="s">
        <v>51</v>
      </c>
      <c r="E338" s="1" t="s">
        <v>39</v>
      </c>
      <c r="F338" s="1" t="s">
        <v>305</v>
      </c>
      <c r="G338" s="1">
        <v>0</v>
      </c>
      <c r="H338" s="1" t="s">
        <v>53</v>
      </c>
      <c r="I338" s="1" t="s">
        <v>4028</v>
      </c>
      <c r="J338" s="1" t="s">
        <v>4029</v>
      </c>
      <c r="K338" s="1" t="s">
        <v>4030</v>
      </c>
      <c r="L338" s="1">
        <v>1</v>
      </c>
      <c r="M338" s="1">
        <v>0</v>
      </c>
      <c r="N338" s="1" t="s">
        <v>4031</v>
      </c>
      <c r="O338" s="1" t="s">
        <v>4032</v>
      </c>
      <c r="P338" s="1" t="s">
        <v>4033</v>
      </c>
      <c r="Q338" s="1">
        <v>0</v>
      </c>
      <c r="R338" s="1" t="s">
        <v>4034</v>
      </c>
      <c r="S338" s="1" t="s">
        <v>4035</v>
      </c>
      <c r="U338" s="2">
        <v>56774</v>
      </c>
      <c r="V338" s="1">
        <v>3.6497971109999998</v>
      </c>
      <c r="W338" s="1">
        <v>3000</v>
      </c>
      <c r="X338" s="1">
        <v>1986</v>
      </c>
      <c r="Y338" s="1">
        <v>899</v>
      </c>
      <c r="Z338" s="1">
        <v>246</v>
      </c>
      <c r="AA338" s="1">
        <v>841</v>
      </c>
      <c r="AB338" s="1">
        <v>0</v>
      </c>
      <c r="AC338" s="1">
        <v>2</v>
      </c>
      <c r="AD338" s="1" t="s">
        <v>76</v>
      </c>
      <c r="AE338" s="1" t="s">
        <v>4036</v>
      </c>
      <c r="AF338" s="1" t="s">
        <v>4037</v>
      </c>
      <c r="AG338" s="1" t="s">
        <v>4038</v>
      </c>
      <c r="AH338" s="1" t="s">
        <v>4039</v>
      </c>
      <c r="AI338" s="1">
        <v>4.5199999999999996</v>
      </c>
      <c r="AJ338" s="1">
        <v>183</v>
      </c>
      <c r="AK338" s="1">
        <v>522</v>
      </c>
    </row>
    <row r="339" spans="1:38" ht="15.75" customHeight="1">
      <c r="A339" s="1">
        <v>95</v>
      </c>
      <c r="B339" s="1">
        <v>5</v>
      </c>
      <c r="C339" s="1">
        <v>4001</v>
      </c>
      <c r="D339" s="1" t="s">
        <v>51</v>
      </c>
      <c r="E339" s="1" t="s">
        <v>39</v>
      </c>
      <c r="F339" s="1" t="s">
        <v>648</v>
      </c>
      <c r="G339" s="1">
        <v>0</v>
      </c>
      <c r="H339" s="1" t="s">
        <v>53</v>
      </c>
      <c r="I339" s="1" t="s">
        <v>4040</v>
      </c>
      <c r="J339" s="1" t="s">
        <v>4041</v>
      </c>
      <c r="K339" s="1" t="s">
        <v>4042</v>
      </c>
      <c r="L339" s="1">
        <v>1</v>
      </c>
      <c r="M339" s="1">
        <v>0</v>
      </c>
      <c r="N339" s="1" t="s">
        <v>4043</v>
      </c>
      <c r="O339" s="1" t="s">
        <v>4044</v>
      </c>
      <c r="P339" s="1" t="s">
        <v>4045</v>
      </c>
      <c r="Q339" s="1">
        <v>0</v>
      </c>
      <c r="R339" s="1" t="s">
        <v>4046</v>
      </c>
      <c r="S339" s="1" t="s">
        <v>4047</v>
      </c>
      <c r="U339" s="2">
        <v>56766</v>
      </c>
      <c r="V339" s="1">
        <v>4.4000000000000004</v>
      </c>
      <c r="W339" s="1">
        <v>3000</v>
      </c>
      <c r="X339" s="1">
        <v>2169</v>
      </c>
      <c r="Y339" s="1">
        <v>329</v>
      </c>
      <c r="Z339" s="1">
        <v>778</v>
      </c>
      <c r="AA339" s="1">
        <v>1062</v>
      </c>
      <c r="AB339" s="1">
        <v>0</v>
      </c>
      <c r="AC339" s="1">
        <v>6</v>
      </c>
      <c r="AD339" s="1" t="s">
        <v>62</v>
      </c>
      <c r="AE339" s="1" t="s">
        <v>4048</v>
      </c>
      <c r="AF339" s="1" t="s">
        <v>4049</v>
      </c>
      <c r="AG339" s="1" t="s">
        <v>4050</v>
      </c>
      <c r="AH339" s="1" t="s">
        <v>4051</v>
      </c>
      <c r="AI339" s="1">
        <v>4.7</v>
      </c>
      <c r="AJ339" s="1">
        <v>443</v>
      </c>
      <c r="AK339" s="1">
        <v>1579</v>
      </c>
    </row>
    <row r="340" spans="1:38" ht="15.75" customHeight="1">
      <c r="A340" s="1">
        <v>890</v>
      </c>
      <c r="B340" s="1">
        <v>5</v>
      </c>
      <c r="C340" s="1">
        <v>4050</v>
      </c>
      <c r="D340" s="1" t="s">
        <v>38</v>
      </c>
      <c r="E340" s="1" t="s">
        <v>39</v>
      </c>
      <c r="F340" s="1" t="s">
        <v>390</v>
      </c>
      <c r="G340" s="1">
        <v>0</v>
      </c>
      <c r="H340" s="1" t="s">
        <v>41</v>
      </c>
      <c r="I340" s="1" t="s">
        <v>4052</v>
      </c>
      <c r="J340" s="1" t="s">
        <v>4053</v>
      </c>
      <c r="K340" s="1" t="s">
        <v>4054</v>
      </c>
      <c r="L340" s="1">
        <v>1</v>
      </c>
      <c r="M340" s="1">
        <v>0</v>
      </c>
      <c r="N340" s="1" t="s">
        <v>4055</v>
      </c>
      <c r="O340" s="1" t="s">
        <v>4056</v>
      </c>
      <c r="P340" s="1" t="s">
        <v>4057</v>
      </c>
      <c r="Q340" s="1">
        <v>0</v>
      </c>
      <c r="R340" s="1" t="s">
        <v>4058</v>
      </c>
      <c r="U340" s="2">
        <v>56772</v>
      </c>
      <c r="V340" s="1">
        <v>4.5999999999999996</v>
      </c>
      <c r="W340" s="1">
        <v>3000</v>
      </c>
      <c r="X340" s="1">
        <v>1465</v>
      </c>
      <c r="AA340" s="1">
        <v>336</v>
      </c>
      <c r="AB340" s="1">
        <v>0</v>
      </c>
      <c r="AC340" s="1">
        <v>3</v>
      </c>
      <c r="AE340" s="1" t="s">
        <v>4059</v>
      </c>
      <c r="AF340" s="1" t="s">
        <v>4060</v>
      </c>
      <c r="AG340" s="1" t="s">
        <v>4061</v>
      </c>
      <c r="AI340" s="1">
        <v>4.5599999999999996</v>
      </c>
      <c r="AJ340" s="1">
        <v>344</v>
      </c>
      <c r="AK340" s="1">
        <v>947</v>
      </c>
      <c r="AL340" s="1">
        <v>22</v>
      </c>
    </row>
    <row r="341" spans="1:38" ht="15.75" customHeight="1">
      <c r="A341" s="1">
        <v>919</v>
      </c>
      <c r="B341" s="1">
        <v>1</v>
      </c>
      <c r="C341" s="1">
        <v>4001</v>
      </c>
      <c r="D341" s="1" t="s">
        <v>51</v>
      </c>
      <c r="E341" s="1" t="s">
        <v>39</v>
      </c>
      <c r="F341" s="1" t="s">
        <v>3110</v>
      </c>
      <c r="G341" s="1">
        <v>0</v>
      </c>
      <c r="H341" s="1" t="s">
        <v>53</v>
      </c>
      <c r="I341" s="1" t="s">
        <v>4062</v>
      </c>
      <c r="J341" s="1" t="s">
        <v>2552</v>
      </c>
      <c r="K341" s="1" t="s">
        <v>2552</v>
      </c>
      <c r="L341" s="1">
        <v>0</v>
      </c>
      <c r="M341" s="1">
        <v>0</v>
      </c>
      <c r="N341" s="1" t="s">
        <v>4063</v>
      </c>
      <c r="O341" s="1" t="s">
        <v>4064</v>
      </c>
      <c r="P341" s="1" t="s">
        <v>4065</v>
      </c>
      <c r="Q341" s="1">
        <v>1</v>
      </c>
      <c r="R341" s="1" t="s">
        <v>4066</v>
      </c>
      <c r="S341" s="1" t="s">
        <v>4067</v>
      </c>
      <c r="U341" s="2">
        <v>56773</v>
      </c>
      <c r="V341" s="1">
        <v>4.4000000000000004</v>
      </c>
      <c r="W341" s="1">
        <v>3000</v>
      </c>
      <c r="X341" s="1">
        <v>2034</v>
      </c>
      <c r="Y341" s="1">
        <v>1180</v>
      </c>
      <c r="AA341" s="1">
        <v>857</v>
      </c>
      <c r="AB341" s="1">
        <v>0</v>
      </c>
      <c r="AC341" s="1">
        <v>2</v>
      </c>
      <c r="AD341" s="1" t="s">
        <v>76</v>
      </c>
      <c r="AE341" s="1" t="s">
        <v>4068</v>
      </c>
      <c r="AF341" s="1" t="s">
        <v>4069</v>
      </c>
      <c r="AG341" s="1" t="s">
        <v>4070</v>
      </c>
      <c r="AH341" s="1" t="s">
        <v>4071</v>
      </c>
      <c r="AI341" s="1">
        <v>4.47</v>
      </c>
      <c r="AJ341" s="1">
        <v>78</v>
      </c>
      <c r="AK341" s="1">
        <v>278</v>
      </c>
      <c r="AL341" s="1">
        <v>26</v>
      </c>
    </row>
    <row r="342" spans="1:38" ht="15.75" customHeight="1">
      <c r="A342" s="1">
        <v>648</v>
      </c>
      <c r="B342" s="1">
        <v>5</v>
      </c>
      <c r="C342" s="1">
        <v>4050</v>
      </c>
      <c r="D342" s="1" t="s">
        <v>38</v>
      </c>
      <c r="E342" s="1" t="s">
        <v>39</v>
      </c>
      <c r="F342" s="1" t="s">
        <v>160</v>
      </c>
      <c r="G342" s="1">
        <v>0</v>
      </c>
      <c r="H342" s="1" t="s">
        <v>41</v>
      </c>
      <c r="I342" s="1" t="s">
        <v>4072</v>
      </c>
      <c r="J342" s="1" t="s">
        <v>4073</v>
      </c>
      <c r="K342" s="1" t="s">
        <v>4074</v>
      </c>
      <c r="L342" s="1">
        <v>1</v>
      </c>
      <c r="M342" s="1">
        <v>0</v>
      </c>
      <c r="N342" s="1" t="s">
        <v>4075</v>
      </c>
      <c r="O342" s="1" t="s">
        <v>4076</v>
      </c>
      <c r="P342" s="1" t="s">
        <v>4077</v>
      </c>
      <c r="Q342" s="1">
        <v>0</v>
      </c>
      <c r="R342" s="1" t="s">
        <v>4078</v>
      </c>
      <c r="S342" s="1" t="s">
        <v>4079</v>
      </c>
      <c r="U342" s="2">
        <v>56770</v>
      </c>
      <c r="V342" s="1">
        <v>4.8</v>
      </c>
      <c r="W342" s="1">
        <v>3000</v>
      </c>
      <c r="X342" s="1">
        <v>1707</v>
      </c>
      <c r="Y342" s="1">
        <v>1156</v>
      </c>
      <c r="AA342" s="1">
        <v>699</v>
      </c>
      <c r="AB342" s="1">
        <v>0</v>
      </c>
      <c r="AC342" s="1">
        <v>3</v>
      </c>
      <c r="AD342" s="1" t="s">
        <v>76</v>
      </c>
      <c r="AE342" s="1" t="s">
        <v>4080</v>
      </c>
      <c r="AF342" s="1" t="s">
        <v>4081</v>
      </c>
      <c r="AG342" s="1" t="s">
        <v>4082</v>
      </c>
      <c r="AH342" s="1" t="s">
        <v>4083</v>
      </c>
      <c r="AI342" s="1">
        <v>4.7407407409999998</v>
      </c>
      <c r="AJ342" s="1">
        <v>43</v>
      </c>
      <c r="AK342" s="1">
        <v>144</v>
      </c>
      <c r="AL342" s="1">
        <v>80</v>
      </c>
    </row>
    <row r="343" spans="1:38" ht="15.75" customHeight="1">
      <c r="A343" s="1">
        <v>780</v>
      </c>
      <c r="B343" s="1">
        <v>5</v>
      </c>
      <c r="C343" s="1">
        <v>4050</v>
      </c>
      <c r="D343" s="1" t="s">
        <v>38</v>
      </c>
      <c r="E343" s="1" t="s">
        <v>39</v>
      </c>
      <c r="F343" s="1" t="s">
        <v>1645</v>
      </c>
      <c r="G343" s="1">
        <v>0</v>
      </c>
      <c r="H343" s="1" t="s">
        <v>41</v>
      </c>
      <c r="I343" s="1" t="s">
        <v>4084</v>
      </c>
      <c r="J343" s="1" t="s">
        <v>4085</v>
      </c>
      <c r="K343" s="1" t="s">
        <v>4086</v>
      </c>
      <c r="L343" s="1">
        <v>1</v>
      </c>
      <c r="M343" s="1">
        <v>0</v>
      </c>
      <c r="N343" s="1" t="s">
        <v>4087</v>
      </c>
      <c r="O343" s="1" t="s">
        <v>4088</v>
      </c>
      <c r="P343" s="1" t="s">
        <v>4089</v>
      </c>
      <c r="Q343" s="1">
        <v>0</v>
      </c>
      <c r="R343" s="1" t="s">
        <v>4090</v>
      </c>
      <c r="S343" s="1" t="s">
        <v>4091</v>
      </c>
      <c r="U343" s="2">
        <v>56771</v>
      </c>
      <c r="V343" s="1">
        <v>4.5999999999999996</v>
      </c>
      <c r="W343" s="1">
        <v>3000</v>
      </c>
      <c r="X343" s="1">
        <v>2974</v>
      </c>
      <c r="Y343" s="1">
        <v>2244</v>
      </c>
      <c r="Z343" s="1">
        <v>110</v>
      </c>
      <c r="AA343" s="1">
        <v>620</v>
      </c>
      <c r="AB343" s="1">
        <v>0</v>
      </c>
      <c r="AC343" s="1">
        <v>2</v>
      </c>
      <c r="AD343" s="1" t="s">
        <v>76</v>
      </c>
      <c r="AE343" s="1" t="s">
        <v>4092</v>
      </c>
      <c r="AF343" s="1" t="s">
        <v>4093</v>
      </c>
      <c r="AG343" s="1" t="s">
        <v>4094</v>
      </c>
      <c r="AH343" s="1" t="s">
        <v>4095</v>
      </c>
      <c r="AI343" s="1">
        <v>4.4520547949999996</v>
      </c>
      <c r="AJ343" s="1">
        <v>59</v>
      </c>
      <c r="AK343" s="1">
        <v>171</v>
      </c>
      <c r="AL343" s="1">
        <v>52</v>
      </c>
    </row>
    <row r="344" spans="1:38" ht="15.75" customHeight="1">
      <c r="A344" s="1">
        <v>560</v>
      </c>
      <c r="B344" s="1">
        <v>5</v>
      </c>
      <c r="C344" s="1">
        <v>4050</v>
      </c>
      <c r="D344" s="1" t="s">
        <v>38</v>
      </c>
      <c r="E344" s="1" t="s">
        <v>39</v>
      </c>
      <c r="F344" s="1" t="s">
        <v>1323</v>
      </c>
      <c r="G344" s="1">
        <v>0</v>
      </c>
      <c r="H344" s="1" t="s">
        <v>41</v>
      </c>
      <c r="I344" s="1" t="s">
        <v>4096</v>
      </c>
      <c r="J344" s="1" t="s">
        <v>4097</v>
      </c>
      <c r="K344" s="1" t="s">
        <v>4098</v>
      </c>
      <c r="L344" s="1">
        <v>1</v>
      </c>
      <c r="M344" s="1">
        <v>0</v>
      </c>
      <c r="N344" s="1" t="s">
        <v>4099</v>
      </c>
      <c r="O344" s="1" t="s">
        <v>4100</v>
      </c>
      <c r="P344" s="1" t="s">
        <v>4101</v>
      </c>
      <c r="Q344" s="1">
        <v>0</v>
      </c>
      <c r="R344" s="1" t="s">
        <v>4102</v>
      </c>
      <c r="S344" s="1" t="s">
        <v>4103</v>
      </c>
      <c r="U344" s="2">
        <v>56770</v>
      </c>
      <c r="V344" s="1">
        <v>4.7</v>
      </c>
      <c r="W344" s="1">
        <v>3000</v>
      </c>
      <c r="X344" s="1">
        <v>1373</v>
      </c>
      <c r="Y344" s="1">
        <v>540</v>
      </c>
      <c r="Z344" s="1">
        <v>181</v>
      </c>
      <c r="AA344" s="1">
        <v>652</v>
      </c>
      <c r="AB344" s="1">
        <v>0</v>
      </c>
      <c r="AC344" s="1">
        <v>4</v>
      </c>
      <c r="AD344" s="1" t="s">
        <v>215</v>
      </c>
      <c r="AE344" s="1" t="s">
        <v>4104</v>
      </c>
      <c r="AF344" s="1" t="s">
        <v>4105</v>
      </c>
      <c r="AG344" s="1" t="s">
        <v>4106</v>
      </c>
      <c r="AH344" s="1" t="s">
        <v>4107</v>
      </c>
      <c r="AI344" s="1">
        <v>4.57</v>
      </c>
      <c r="AJ344" s="1">
        <v>234</v>
      </c>
      <c r="AK344" s="1">
        <v>726</v>
      </c>
      <c r="AL344" s="1">
        <v>99</v>
      </c>
    </row>
    <row r="345" spans="1:38" ht="15.75" customHeight="1">
      <c r="A345" s="1">
        <v>944</v>
      </c>
      <c r="C345" s="1">
        <v>4001</v>
      </c>
      <c r="D345" s="1" t="s">
        <v>51</v>
      </c>
      <c r="E345" s="1" t="s">
        <v>39</v>
      </c>
      <c r="F345" s="1" t="s">
        <v>3110</v>
      </c>
      <c r="G345" s="1">
        <v>0</v>
      </c>
      <c r="H345" s="1" t="s">
        <v>53</v>
      </c>
      <c r="I345" s="1" t="s">
        <v>4108</v>
      </c>
      <c r="J345" s="1" t="s">
        <v>4109</v>
      </c>
      <c r="K345" s="1" t="s">
        <v>4110</v>
      </c>
      <c r="L345" s="1">
        <v>1</v>
      </c>
      <c r="M345" s="1">
        <v>0</v>
      </c>
      <c r="N345" s="1" t="s">
        <v>4111</v>
      </c>
      <c r="O345" s="1" t="s">
        <v>4112</v>
      </c>
      <c r="P345" s="1" t="s">
        <v>4113</v>
      </c>
      <c r="Q345" s="1">
        <v>0</v>
      </c>
      <c r="R345" s="1" t="s">
        <v>4114</v>
      </c>
      <c r="S345" s="1" t="s">
        <v>4115</v>
      </c>
      <c r="U345" s="2">
        <v>56773</v>
      </c>
      <c r="V345" s="1">
        <v>4.5</v>
      </c>
      <c r="W345" s="1">
        <v>3000</v>
      </c>
      <c r="X345" s="1">
        <v>12391</v>
      </c>
      <c r="Y345" s="1">
        <v>1407</v>
      </c>
      <c r="AA345" s="1">
        <v>10987</v>
      </c>
      <c r="AB345" s="1">
        <v>0</v>
      </c>
      <c r="AC345" s="1">
        <v>5</v>
      </c>
      <c r="AE345" s="1" t="s">
        <v>4116</v>
      </c>
      <c r="AF345" s="1" t="s">
        <v>4117</v>
      </c>
      <c r="AG345" s="1" t="s">
        <v>4118</v>
      </c>
      <c r="AH345" s="1" t="s">
        <v>4119</v>
      </c>
      <c r="AI345" s="1">
        <v>4.47</v>
      </c>
      <c r="AJ345" s="1">
        <v>78</v>
      </c>
      <c r="AK345" s="1">
        <v>278</v>
      </c>
      <c r="AL345" s="1">
        <v>26</v>
      </c>
    </row>
    <row r="346" spans="1:38" ht="15.75" customHeight="1">
      <c r="A346" s="1">
        <v>1559</v>
      </c>
      <c r="B346" s="1">
        <v>5</v>
      </c>
      <c r="C346" s="1">
        <v>4001</v>
      </c>
      <c r="D346" s="1" t="s">
        <v>51</v>
      </c>
      <c r="E346" s="1" t="s">
        <v>39</v>
      </c>
      <c r="F346" s="1" t="s">
        <v>1915</v>
      </c>
      <c r="G346" s="1">
        <v>0</v>
      </c>
      <c r="H346" s="1" t="s">
        <v>53</v>
      </c>
      <c r="I346" s="1" t="s">
        <v>4120</v>
      </c>
      <c r="J346" s="1" t="s">
        <v>4121</v>
      </c>
      <c r="K346" s="1" t="s">
        <v>4122</v>
      </c>
      <c r="L346" s="1">
        <v>1</v>
      </c>
      <c r="M346" s="1">
        <v>0</v>
      </c>
      <c r="N346" s="1" t="s">
        <v>4123</v>
      </c>
      <c r="O346" s="1" t="s">
        <v>4124</v>
      </c>
      <c r="P346" s="1" t="s">
        <v>4125</v>
      </c>
      <c r="Q346" s="1">
        <v>0</v>
      </c>
      <c r="R346" s="1" t="s">
        <v>4126</v>
      </c>
      <c r="S346" s="1" t="s">
        <v>4127</v>
      </c>
      <c r="U346" s="2">
        <v>56778</v>
      </c>
      <c r="V346" s="1">
        <v>3.125244956</v>
      </c>
      <c r="W346" s="1">
        <v>3000</v>
      </c>
      <c r="X346" s="1">
        <v>3528</v>
      </c>
      <c r="Y346" s="1">
        <v>1231</v>
      </c>
      <c r="Z346" s="1">
        <v>316</v>
      </c>
      <c r="AA346" s="1">
        <v>1981</v>
      </c>
      <c r="AB346" s="1">
        <v>0</v>
      </c>
      <c r="AC346" s="1">
        <v>3</v>
      </c>
      <c r="AD346" s="1" t="s">
        <v>76</v>
      </c>
      <c r="AE346" s="1" t="s">
        <v>4128</v>
      </c>
      <c r="AF346" s="1" t="s">
        <v>4129</v>
      </c>
      <c r="AG346" s="1" t="s">
        <v>4130</v>
      </c>
      <c r="AH346" s="1" t="s">
        <v>4131</v>
      </c>
      <c r="AI346" s="1">
        <v>4.63</v>
      </c>
      <c r="AJ346" s="1">
        <v>242</v>
      </c>
      <c r="AK346" s="1">
        <v>736</v>
      </c>
    </row>
    <row r="347" spans="1:38" ht="15.75" customHeight="1">
      <c r="A347" s="1">
        <v>886</v>
      </c>
      <c r="C347" s="1">
        <v>4050</v>
      </c>
      <c r="D347" s="1" t="s">
        <v>38</v>
      </c>
      <c r="E347" s="1" t="s">
        <v>39</v>
      </c>
      <c r="F347" s="1" t="s">
        <v>1348</v>
      </c>
      <c r="G347" s="1">
        <v>0</v>
      </c>
      <c r="H347" s="1" t="s">
        <v>41</v>
      </c>
      <c r="I347" s="1" t="s">
        <v>4132</v>
      </c>
      <c r="J347" s="1" t="s">
        <v>4133</v>
      </c>
      <c r="K347" s="1" t="s">
        <v>4134</v>
      </c>
      <c r="L347" s="1">
        <v>1</v>
      </c>
      <c r="M347" s="1">
        <v>0</v>
      </c>
      <c r="N347" s="1" t="s">
        <v>4135</v>
      </c>
      <c r="O347" s="1" t="s">
        <v>4136</v>
      </c>
      <c r="P347" s="1" t="s">
        <v>4137</v>
      </c>
      <c r="Q347" s="1">
        <v>0</v>
      </c>
      <c r="R347" s="1" t="s">
        <v>4138</v>
      </c>
      <c r="S347" s="1" t="s">
        <v>4139</v>
      </c>
      <c r="U347" s="2">
        <v>56772</v>
      </c>
      <c r="V347" s="1">
        <v>4.7</v>
      </c>
      <c r="W347" s="1">
        <v>3000</v>
      </c>
      <c r="X347" s="1">
        <v>2885</v>
      </c>
      <c r="Y347" s="1">
        <v>1988</v>
      </c>
      <c r="Z347" s="1">
        <v>108</v>
      </c>
      <c r="AA347" s="1">
        <v>789</v>
      </c>
      <c r="AB347" s="1">
        <v>0</v>
      </c>
      <c r="AC347" s="1">
        <v>2</v>
      </c>
      <c r="AD347" s="1" t="s">
        <v>76</v>
      </c>
      <c r="AE347" s="1" t="s">
        <v>4140</v>
      </c>
      <c r="AF347" s="1" t="s">
        <v>4141</v>
      </c>
      <c r="AG347" s="1" t="s">
        <v>4142</v>
      </c>
      <c r="AH347" s="1" t="s">
        <v>4143</v>
      </c>
      <c r="AI347" s="1">
        <v>4.79</v>
      </c>
      <c r="AJ347" s="1">
        <v>1007</v>
      </c>
      <c r="AK347" s="1">
        <v>2899</v>
      </c>
      <c r="AL347" s="1">
        <v>1301</v>
      </c>
    </row>
    <row r="348" spans="1:38" ht="15.75" customHeight="1">
      <c r="A348" s="1">
        <v>763</v>
      </c>
      <c r="B348" s="1">
        <v>5</v>
      </c>
      <c r="C348" s="1">
        <v>4050</v>
      </c>
      <c r="D348" s="1" t="s">
        <v>38</v>
      </c>
      <c r="E348" s="1" t="s">
        <v>39</v>
      </c>
      <c r="F348" s="1" t="s">
        <v>486</v>
      </c>
      <c r="G348" s="1">
        <v>0</v>
      </c>
      <c r="H348" s="1" t="s">
        <v>41</v>
      </c>
      <c r="I348" s="1" t="s">
        <v>4144</v>
      </c>
      <c r="J348" s="1" t="s">
        <v>4145</v>
      </c>
      <c r="K348" s="1" t="s">
        <v>4146</v>
      </c>
      <c r="L348" s="1">
        <v>1</v>
      </c>
      <c r="M348" s="1">
        <v>0</v>
      </c>
      <c r="N348" s="1" t="s">
        <v>4147</v>
      </c>
      <c r="O348" s="1" t="s">
        <v>4148</v>
      </c>
      <c r="P348" s="1" t="s">
        <v>4149</v>
      </c>
      <c r="Q348" s="1">
        <v>0</v>
      </c>
      <c r="R348" s="1" t="s">
        <v>4150</v>
      </c>
      <c r="S348" s="1" t="s">
        <v>4151</v>
      </c>
      <c r="U348" s="2">
        <v>56771</v>
      </c>
      <c r="V348" s="1">
        <v>4.7</v>
      </c>
      <c r="W348" s="1">
        <v>3000</v>
      </c>
      <c r="X348" s="1">
        <v>3164</v>
      </c>
      <c r="Y348" s="1">
        <v>649</v>
      </c>
      <c r="Z348" s="1">
        <v>1414</v>
      </c>
      <c r="AA348" s="1">
        <v>1101</v>
      </c>
      <c r="AB348" s="1">
        <v>0</v>
      </c>
      <c r="AC348" s="1">
        <v>2</v>
      </c>
      <c r="AD348" s="1" t="s">
        <v>215</v>
      </c>
      <c r="AE348" s="1" t="s">
        <v>4152</v>
      </c>
      <c r="AF348" s="1" t="s">
        <v>4153</v>
      </c>
      <c r="AG348" s="1" t="s">
        <v>4154</v>
      </c>
      <c r="AH348" s="1" t="s">
        <v>4155</v>
      </c>
      <c r="AI348" s="1">
        <v>4.7</v>
      </c>
      <c r="AJ348" s="1">
        <v>212</v>
      </c>
      <c r="AK348" s="1">
        <v>624</v>
      </c>
      <c r="AL348" s="1">
        <v>347</v>
      </c>
    </row>
    <row r="349" spans="1:38" ht="15.75" customHeight="1">
      <c r="A349" s="1">
        <v>620</v>
      </c>
      <c r="B349" s="1">
        <v>5</v>
      </c>
      <c r="C349" s="1">
        <v>4050</v>
      </c>
      <c r="D349" s="1" t="s">
        <v>38</v>
      </c>
      <c r="E349" s="1" t="s">
        <v>39</v>
      </c>
      <c r="F349" s="1" t="s">
        <v>532</v>
      </c>
      <c r="G349" s="1">
        <v>0</v>
      </c>
      <c r="H349" s="1" t="s">
        <v>41</v>
      </c>
      <c r="I349" s="1" t="s">
        <v>4156</v>
      </c>
      <c r="J349" s="1" t="s">
        <v>4157</v>
      </c>
      <c r="K349" s="1" t="s">
        <v>4158</v>
      </c>
      <c r="L349" s="1">
        <v>1</v>
      </c>
      <c r="M349" s="1">
        <v>0</v>
      </c>
      <c r="N349" s="1" t="s">
        <v>4159</v>
      </c>
      <c r="O349" s="1" t="s">
        <v>4160</v>
      </c>
      <c r="P349" s="1" t="s">
        <v>4161</v>
      </c>
      <c r="Q349" s="1">
        <v>0</v>
      </c>
      <c r="R349" s="1" t="s">
        <v>4162</v>
      </c>
      <c r="S349" s="1" t="s">
        <v>4163</v>
      </c>
      <c r="U349" s="2">
        <v>56770</v>
      </c>
      <c r="V349" s="1">
        <v>4.8</v>
      </c>
      <c r="W349" s="1">
        <v>3000</v>
      </c>
      <c r="X349" s="1">
        <v>1349</v>
      </c>
      <c r="Y349" s="1">
        <v>111</v>
      </c>
      <c r="Z349" s="1">
        <v>817</v>
      </c>
      <c r="AA349" s="1">
        <v>421</v>
      </c>
      <c r="AB349" s="1">
        <v>0</v>
      </c>
      <c r="AC349" s="1">
        <v>4</v>
      </c>
      <c r="AD349" s="1" t="s">
        <v>62</v>
      </c>
      <c r="AE349" s="1" t="s">
        <v>4164</v>
      </c>
      <c r="AF349" s="1" t="s">
        <v>4165</v>
      </c>
      <c r="AG349" s="1" t="s">
        <v>4166</v>
      </c>
      <c r="AH349" s="1" t="s">
        <v>4167</v>
      </c>
      <c r="AI349" s="1">
        <v>4.63</v>
      </c>
      <c r="AJ349" s="1">
        <v>241</v>
      </c>
      <c r="AK349" s="1">
        <v>995</v>
      </c>
      <c r="AL349" s="1">
        <v>626</v>
      </c>
    </row>
    <row r="350" spans="1:38" ht="15.75" customHeight="1">
      <c r="A350" s="1">
        <v>488</v>
      </c>
      <c r="B350" s="1">
        <v>5</v>
      </c>
      <c r="C350" s="1">
        <v>4050</v>
      </c>
      <c r="D350" s="1" t="s">
        <v>38</v>
      </c>
      <c r="E350" s="1" t="s">
        <v>39</v>
      </c>
      <c r="F350" s="1" t="s">
        <v>1372</v>
      </c>
      <c r="G350" s="1">
        <v>0</v>
      </c>
      <c r="H350" s="1" t="s">
        <v>41</v>
      </c>
      <c r="I350" s="1" t="s">
        <v>4168</v>
      </c>
      <c r="J350" s="1" t="s">
        <v>4169</v>
      </c>
      <c r="K350" s="1" t="s">
        <v>4170</v>
      </c>
      <c r="L350" s="1">
        <v>1</v>
      </c>
      <c r="M350" s="1">
        <v>0</v>
      </c>
      <c r="N350" s="1" t="s">
        <v>4171</v>
      </c>
      <c r="O350" s="1" t="s">
        <v>4172</v>
      </c>
      <c r="P350" s="1" t="s">
        <v>4173</v>
      </c>
      <c r="Q350" s="1">
        <v>0</v>
      </c>
      <c r="R350" s="1" t="s">
        <v>4174</v>
      </c>
      <c r="U350" s="2">
        <v>56769</v>
      </c>
      <c r="V350" s="1">
        <v>4.5999999999999996</v>
      </c>
      <c r="W350" s="1">
        <v>3000</v>
      </c>
      <c r="X350" s="1">
        <v>2877</v>
      </c>
      <c r="AA350" s="1">
        <v>1107</v>
      </c>
      <c r="AB350" s="1">
        <v>0</v>
      </c>
      <c r="AC350" s="1">
        <v>6</v>
      </c>
      <c r="AE350" s="1" t="s">
        <v>4175</v>
      </c>
      <c r="AF350" s="1" t="s">
        <v>4176</v>
      </c>
      <c r="AG350" s="1" t="s">
        <v>4177</v>
      </c>
      <c r="AI350" s="1">
        <v>4.4111111110000003</v>
      </c>
      <c r="AJ350" s="1">
        <v>68</v>
      </c>
      <c r="AK350" s="1">
        <v>223</v>
      </c>
      <c r="AL350" s="1">
        <v>118</v>
      </c>
    </row>
    <row r="351" spans="1:38" ht="15.75" customHeight="1">
      <c r="A351" s="1">
        <v>43</v>
      </c>
      <c r="C351" s="1">
        <v>4001</v>
      </c>
      <c r="D351" s="1" t="s">
        <v>51</v>
      </c>
      <c r="E351" s="1" t="s">
        <v>39</v>
      </c>
      <c r="F351" s="1" t="s">
        <v>232</v>
      </c>
      <c r="G351" s="1">
        <v>0</v>
      </c>
      <c r="H351" s="1" t="s">
        <v>53</v>
      </c>
      <c r="I351" s="1" t="s">
        <v>4178</v>
      </c>
      <c r="J351" s="1" t="s">
        <v>4179</v>
      </c>
      <c r="K351" s="1" t="s">
        <v>4180</v>
      </c>
      <c r="L351" s="1">
        <v>1</v>
      </c>
      <c r="M351" s="1">
        <v>0</v>
      </c>
      <c r="N351" s="1" t="s">
        <v>4181</v>
      </c>
      <c r="O351" s="1" t="s">
        <v>4182</v>
      </c>
      <c r="P351" s="1" t="s">
        <v>4183</v>
      </c>
      <c r="Q351" s="1">
        <v>0</v>
      </c>
      <c r="R351" s="1" t="s">
        <v>4184</v>
      </c>
      <c r="S351" s="1" t="s">
        <v>4185</v>
      </c>
      <c r="U351" s="2">
        <v>56766</v>
      </c>
      <c r="V351" s="1">
        <v>4.5</v>
      </c>
      <c r="W351" s="1">
        <v>3000</v>
      </c>
      <c r="X351" s="1">
        <v>3024</v>
      </c>
      <c r="Y351" s="1">
        <v>964</v>
      </c>
      <c r="Z351" s="1">
        <v>844</v>
      </c>
      <c r="AA351" s="1">
        <v>1216</v>
      </c>
      <c r="AB351" s="1">
        <v>0</v>
      </c>
      <c r="AC351" s="1">
        <v>3</v>
      </c>
      <c r="AD351" s="1" t="s">
        <v>62</v>
      </c>
      <c r="AE351" s="1" t="s">
        <v>4186</v>
      </c>
      <c r="AF351" s="1" t="s">
        <v>4187</v>
      </c>
      <c r="AG351" s="1" t="s">
        <v>4188</v>
      </c>
      <c r="AH351" s="1" t="s">
        <v>4189</v>
      </c>
      <c r="AI351" s="1">
        <v>4.5599999999999996</v>
      </c>
      <c r="AJ351" s="1">
        <v>765</v>
      </c>
      <c r="AK351" s="1">
        <v>2618</v>
      </c>
    </row>
    <row r="352" spans="1:38" ht="15.75" customHeight="1">
      <c r="A352" s="1">
        <v>348</v>
      </c>
      <c r="C352" s="1">
        <v>4050</v>
      </c>
      <c r="D352" s="1" t="s">
        <v>38</v>
      </c>
      <c r="E352" s="1" t="s">
        <v>39</v>
      </c>
      <c r="F352" s="1" t="s">
        <v>510</v>
      </c>
      <c r="G352" s="1">
        <v>0</v>
      </c>
      <c r="H352" s="1" t="s">
        <v>41</v>
      </c>
      <c r="I352" s="1" t="s">
        <v>4190</v>
      </c>
      <c r="J352" s="1" t="s">
        <v>4191</v>
      </c>
      <c r="K352" s="1" t="s">
        <v>4192</v>
      </c>
      <c r="L352" s="1">
        <v>1</v>
      </c>
      <c r="M352" s="1">
        <v>0</v>
      </c>
      <c r="N352" s="1" t="s">
        <v>4193</v>
      </c>
      <c r="O352" s="1" t="s">
        <v>4194</v>
      </c>
      <c r="P352" s="1" t="s">
        <v>4195</v>
      </c>
      <c r="Q352" s="1">
        <v>0</v>
      </c>
      <c r="R352" s="1" t="s">
        <v>4196</v>
      </c>
      <c r="S352" s="1" t="s">
        <v>4197</v>
      </c>
      <c r="U352" s="2">
        <v>56768</v>
      </c>
      <c r="V352" s="1">
        <v>4.3</v>
      </c>
      <c r="W352" s="1">
        <v>3000</v>
      </c>
      <c r="X352" s="1">
        <v>2075</v>
      </c>
      <c r="Y352" s="1">
        <v>1397</v>
      </c>
      <c r="AA352" s="1">
        <v>1066</v>
      </c>
      <c r="AB352" s="1">
        <v>0</v>
      </c>
      <c r="AC352" s="1">
        <v>2</v>
      </c>
      <c r="AD352" s="1" t="s">
        <v>62</v>
      </c>
      <c r="AE352" s="1" t="s">
        <v>4198</v>
      </c>
      <c r="AF352" s="1" t="s">
        <v>4199</v>
      </c>
      <c r="AG352" s="1" t="s">
        <v>4200</v>
      </c>
      <c r="AH352" s="1" t="s">
        <v>4201</v>
      </c>
      <c r="AI352" s="1">
        <v>4.62</v>
      </c>
      <c r="AJ352" s="1">
        <v>259</v>
      </c>
      <c r="AK352" s="1">
        <v>604</v>
      </c>
      <c r="AL352" s="1">
        <v>21</v>
      </c>
    </row>
    <row r="353" spans="1:38" ht="15.75" customHeight="1">
      <c r="A353" s="1">
        <v>693</v>
      </c>
      <c r="C353" s="1">
        <v>4050</v>
      </c>
      <c r="D353" s="1" t="s">
        <v>38</v>
      </c>
      <c r="E353" s="1" t="s">
        <v>39</v>
      </c>
      <c r="F353" s="1" t="s">
        <v>695</v>
      </c>
      <c r="G353" s="1">
        <v>0</v>
      </c>
      <c r="H353" s="1" t="s">
        <v>41</v>
      </c>
      <c r="I353" s="1" t="s">
        <v>4202</v>
      </c>
      <c r="J353" s="1" t="s">
        <v>4203</v>
      </c>
      <c r="K353" s="1" t="s">
        <v>4204</v>
      </c>
      <c r="L353" s="1">
        <v>1</v>
      </c>
      <c r="M353" s="1">
        <v>0</v>
      </c>
      <c r="N353" s="1" t="s">
        <v>4205</v>
      </c>
      <c r="O353" s="1" t="s">
        <v>4206</v>
      </c>
      <c r="P353" s="1" t="s">
        <v>4207</v>
      </c>
      <c r="Q353" s="1">
        <v>0</v>
      </c>
      <c r="R353" s="1" t="s">
        <v>4208</v>
      </c>
      <c r="S353" s="1" t="s">
        <v>4209</v>
      </c>
      <c r="U353" s="2">
        <v>56770</v>
      </c>
      <c r="V353" s="1">
        <v>4.8</v>
      </c>
      <c r="W353" s="1">
        <v>3000</v>
      </c>
      <c r="X353" s="1">
        <v>1362</v>
      </c>
      <c r="Y353" s="1">
        <v>413</v>
      </c>
      <c r="AA353" s="1">
        <v>985</v>
      </c>
      <c r="AB353" s="1">
        <v>0</v>
      </c>
      <c r="AC353" s="1">
        <v>3</v>
      </c>
      <c r="AD353" s="1" t="s">
        <v>76</v>
      </c>
      <c r="AE353" s="1" t="s">
        <v>4210</v>
      </c>
      <c r="AF353" s="1" t="s">
        <v>4211</v>
      </c>
      <c r="AG353" s="1" t="s">
        <v>4212</v>
      </c>
      <c r="AH353" s="1" t="s">
        <v>4213</v>
      </c>
      <c r="AI353" s="1">
        <v>4.38</v>
      </c>
      <c r="AJ353" s="1">
        <v>196</v>
      </c>
      <c r="AK353" s="1">
        <v>626</v>
      </c>
    </row>
    <row r="354" spans="1:38" ht="15.75" customHeight="1">
      <c r="A354" s="1">
        <v>795</v>
      </c>
      <c r="C354" s="1">
        <v>4050</v>
      </c>
      <c r="D354" s="1" t="s">
        <v>38</v>
      </c>
      <c r="E354" s="1" t="s">
        <v>39</v>
      </c>
      <c r="F354" s="1" t="s">
        <v>486</v>
      </c>
      <c r="G354" s="1">
        <v>0</v>
      </c>
      <c r="H354" s="1" t="s">
        <v>41</v>
      </c>
      <c r="I354" s="1" t="s">
        <v>4214</v>
      </c>
      <c r="J354" s="1" t="s">
        <v>4215</v>
      </c>
      <c r="K354" s="1" t="s">
        <v>4216</v>
      </c>
      <c r="L354" s="1">
        <v>1</v>
      </c>
      <c r="M354" s="1">
        <v>0</v>
      </c>
      <c r="N354" s="1" t="s">
        <v>4217</v>
      </c>
      <c r="O354" s="1" t="s">
        <v>4218</v>
      </c>
      <c r="P354" s="1" t="s">
        <v>4219</v>
      </c>
      <c r="Q354" s="1">
        <v>0</v>
      </c>
      <c r="R354" s="1" t="s">
        <v>4220</v>
      </c>
      <c r="S354" s="1" t="s">
        <v>4221</v>
      </c>
      <c r="U354" s="2">
        <v>56771</v>
      </c>
      <c r="V354" s="1">
        <v>3.5822062510000001</v>
      </c>
      <c r="W354" s="1">
        <v>3000</v>
      </c>
      <c r="X354" s="1">
        <v>2144</v>
      </c>
      <c r="Y354" s="1">
        <v>96</v>
      </c>
      <c r="Z354" s="1">
        <v>1292</v>
      </c>
      <c r="AA354" s="1">
        <v>756</v>
      </c>
      <c r="AB354" s="1">
        <v>0</v>
      </c>
      <c r="AC354" s="1">
        <v>3</v>
      </c>
      <c r="AD354" s="1" t="s">
        <v>62</v>
      </c>
      <c r="AE354" s="1" t="s">
        <v>4222</v>
      </c>
      <c r="AF354" s="1" t="s">
        <v>4223</v>
      </c>
      <c r="AG354" s="1" t="s">
        <v>4224</v>
      </c>
      <c r="AH354" s="1" t="s">
        <v>4225</v>
      </c>
      <c r="AI354" s="1">
        <v>4.7</v>
      </c>
      <c r="AJ354" s="1">
        <v>212</v>
      </c>
      <c r="AK354" s="1">
        <v>624</v>
      </c>
      <c r="AL354" s="1">
        <v>347</v>
      </c>
    </row>
    <row r="355" spans="1:38" ht="15.75" customHeight="1">
      <c r="A355" s="1">
        <v>669</v>
      </c>
      <c r="C355" s="1">
        <v>4050</v>
      </c>
      <c r="D355" s="1" t="s">
        <v>38</v>
      </c>
      <c r="E355" s="1" t="s">
        <v>39</v>
      </c>
      <c r="F355" s="1" t="s">
        <v>40</v>
      </c>
      <c r="G355" s="1">
        <v>0</v>
      </c>
      <c r="H355" s="1" t="s">
        <v>41</v>
      </c>
      <c r="I355" s="1" t="s">
        <v>4226</v>
      </c>
      <c r="J355" s="1" t="s">
        <v>4227</v>
      </c>
      <c r="K355" s="1" t="s">
        <v>4228</v>
      </c>
      <c r="L355" s="1">
        <v>1</v>
      </c>
      <c r="M355" s="1">
        <v>0</v>
      </c>
      <c r="N355" s="1" t="s">
        <v>4229</v>
      </c>
      <c r="O355" s="1" t="s">
        <v>4230</v>
      </c>
      <c r="P355" s="1" t="s">
        <v>4231</v>
      </c>
      <c r="Q355" s="1">
        <v>0</v>
      </c>
      <c r="R355" s="1" t="s">
        <v>4232</v>
      </c>
      <c r="S355" s="1" t="s">
        <v>4233</v>
      </c>
      <c r="U355" s="2">
        <v>56770</v>
      </c>
      <c r="V355" s="1">
        <v>4.7</v>
      </c>
      <c r="W355" s="1">
        <v>3000</v>
      </c>
      <c r="X355" s="1">
        <v>1679</v>
      </c>
      <c r="Y355" s="1">
        <v>607</v>
      </c>
      <c r="Z355" s="1">
        <v>455</v>
      </c>
      <c r="AA355" s="1">
        <v>617</v>
      </c>
      <c r="AB355" s="1">
        <v>0</v>
      </c>
      <c r="AC355" s="1">
        <v>2</v>
      </c>
      <c r="AD355" s="1" t="s">
        <v>76</v>
      </c>
      <c r="AE355" s="1" t="s">
        <v>4234</v>
      </c>
      <c r="AF355" s="1" t="s">
        <v>4235</v>
      </c>
      <c r="AG355" s="1" t="s">
        <v>4236</v>
      </c>
      <c r="AH355" s="1" t="s">
        <v>4237</v>
      </c>
      <c r="AI355" s="1">
        <v>4.7</v>
      </c>
      <c r="AJ355" s="1">
        <v>1261</v>
      </c>
      <c r="AK355" s="1">
        <v>3264</v>
      </c>
      <c r="AL355" s="1">
        <v>232</v>
      </c>
    </row>
    <row r="356" spans="1:38" ht="15.75" customHeight="1">
      <c r="A356" s="1">
        <v>284</v>
      </c>
      <c r="C356" s="1">
        <v>4050</v>
      </c>
      <c r="D356" s="1" t="s">
        <v>38</v>
      </c>
      <c r="E356" s="1" t="s">
        <v>39</v>
      </c>
      <c r="F356" s="1" t="s">
        <v>280</v>
      </c>
      <c r="G356" s="1">
        <v>0</v>
      </c>
      <c r="H356" s="1" t="s">
        <v>41</v>
      </c>
      <c r="I356" s="1" t="s">
        <v>4238</v>
      </c>
      <c r="J356" s="1" t="s">
        <v>4239</v>
      </c>
      <c r="K356" s="1" t="s">
        <v>4240</v>
      </c>
      <c r="L356" s="1">
        <v>1</v>
      </c>
      <c r="M356" s="1">
        <v>0</v>
      </c>
      <c r="N356" s="1" t="s">
        <v>4241</v>
      </c>
      <c r="O356" s="1" t="s">
        <v>4242</v>
      </c>
      <c r="P356" s="1" t="s">
        <v>4243</v>
      </c>
      <c r="Q356" s="1">
        <v>0</v>
      </c>
      <c r="R356" s="1" t="s">
        <v>4244</v>
      </c>
      <c r="S356" s="1" t="s">
        <v>4245</v>
      </c>
      <c r="U356" s="2">
        <v>56768</v>
      </c>
      <c r="V356" s="1">
        <v>4.5</v>
      </c>
      <c r="W356" s="1">
        <v>3000</v>
      </c>
      <c r="X356" s="1">
        <v>2905</v>
      </c>
      <c r="Y356" s="1">
        <v>775</v>
      </c>
      <c r="Z356" s="1">
        <v>1241</v>
      </c>
      <c r="AA356" s="1">
        <v>889</v>
      </c>
      <c r="AB356" s="1">
        <v>0</v>
      </c>
      <c r="AC356" s="1">
        <v>3</v>
      </c>
      <c r="AD356" s="1" t="s">
        <v>62</v>
      </c>
      <c r="AE356" s="1" t="s">
        <v>4246</v>
      </c>
      <c r="AF356" s="1" t="s">
        <v>4247</v>
      </c>
      <c r="AG356" s="1" t="s">
        <v>4248</v>
      </c>
      <c r="AH356" s="1" t="s">
        <v>4249</v>
      </c>
      <c r="AI356" s="1">
        <v>4.49</v>
      </c>
      <c r="AJ356" s="1">
        <v>2315</v>
      </c>
      <c r="AK356" s="1">
        <v>7039</v>
      </c>
      <c r="AL356" s="1">
        <v>763</v>
      </c>
    </row>
    <row r="357" spans="1:38" ht="15.75" customHeight="1">
      <c r="A357" s="1">
        <v>163</v>
      </c>
      <c r="B357" s="1">
        <v>5</v>
      </c>
      <c r="C357" s="1">
        <v>4050</v>
      </c>
      <c r="D357" s="1" t="s">
        <v>38</v>
      </c>
      <c r="E357" s="1" t="s">
        <v>39</v>
      </c>
      <c r="F357" s="1" t="s">
        <v>173</v>
      </c>
      <c r="G357" s="1">
        <v>0</v>
      </c>
      <c r="H357" s="1" t="s">
        <v>41</v>
      </c>
      <c r="I357" s="1" t="s">
        <v>4250</v>
      </c>
      <c r="J357" s="1" t="s">
        <v>4251</v>
      </c>
      <c r="K357" s="1" t="s">
        <v>4252</v>
      </c>
      <c r="L357" s="1">
        <v>1</v>
      </c>
      <c r="M357" s="1">
        <v>0</v>
      </c>
      <c r="N357" s="1" t="s">
        <v>4253</v>
      </c>
      <c r="O357" s="1" t="s">
        <v>4254</v>
      </c>
      <c r="P357" s="1" t="s">
        <v>4255</v>
      </c>
      <c r="Q357" s="1">
        <v>1</v>
      </c>
      <c r="R357" s="1" t="s">
        <v>4256</v>
      </c>
      <c r="S357" s="1" t="s">
        <v>4257</v>
      </c>
      <c r="U357" s="2">
        <v>56767</v>
      </c>
      <c r="V357" s="1">
        <v>3.769433614</v>
      </c>
      <c r="W357" s="1">
        <v>3000</v>
      </c>
      <c r="X357" s="1">
        <v>2137</v>
      </c>
      <c r="Y357" s="1">
        <v>626</v>
      </c>
      <c r="Z357" s="1">
        <v>200</v>
      </c>
      <c r="AA357" s="1">
        <v>1311</v>
      </c>
      <c r="AB357" s="1">
        <v>0</v>
      </c>
      <c r="AC357" s="1">
        <v>2</v>
      </c>
      <c r="AD357" s="1" t="s">
        <v>76</v>
      </c>
      <c r="AE357" s="1" t="s">
        <v>4258</v>
      </c>
      <c r="AF357" s="1" t="s">
        <v>4259</v>
      </c>
      <c r="AG357" s="1" t="s">
        <v>4260</v>
      </c>
      <c r="AH357" s="1" t="s">
        <v>4261</v>
      </c>
      <c r="AI357" s="1">
        <v>4.22</v>
      </c>
      <c r="AJ357" s="1">
        <v>1551</v>
      </c>
      <c r="AK357" s="1">
        <v>4625</v>
      </c>
    </row>
    <row r="358" spans="1:38" ht="15.75" customHeight="1">
      <c r="A358" s="1">
        <v>837</v>
      </c>
      <c r="C358" s="1">
        <v>4050</v>
      </c>
      <c r="D358" s="1" t="s">
        <v>38</v>
      </c>
      <c r="E358" s="1" t="s">
        <v>39</v>
      </c>
      <c r="F358" s="1" t="s">
        <v>695</v>
      </c>
      <c r="G358" s="1">
        <v>0</v>
      </c>
      <c r="H358" s="1" t="s">
        <v>41</v>
      </c>
      <c r="I358" s="1" t="s">
        <v>4262</v>
      </c>
      <c r="J358" s="1" t="s">
        <v>4263</v>
      </c>
      <c r="K358" s="1" t="s">
        <v>4264</v>
      </c>
      <c r="L358" s="1">
        <v>1</v>
      </c>
      <c r="M358" s="1">
        <v>0</v>
      </c>
      <c r="N358" s="1" t="s">
        <v>4265</v>
      </c>
      <c r="O358" s="1" t="s">
        <v>4266</v>
      </c>
      <c r="P358" s="1" t="s">
        <v>4267</v>
      </c>
      <c r="Q358" s="1">
        <v>0</v>
      </c>
      <c r="R358" s="1" t="s">
        <v>4268</v>
      </c>
      <c r="S358" s="1" t="s">
        <v>4269</v>
      </c>
      <c r="U358" s="2">
        <v>56772</v>
      </c>
      <c r="V358" s="1">
        <v>4.2</v>
      </c>
      <c r="W358" s="1">
        <v>3000</v>
      </c>
      <c r="X358" s="1">
        <v>4417</v>
      </c>
      <c r="Y358" s="1">
        <v>2206</v>
      </c>
      <c r="Z358" s="1">
        <v>172</v>
      </c>
      <c r="AA358" s="1">
        <v>2039</v>
      </c>
      <c r="AB358" s="1">
        <v>0</v>
      </c>
      <c r="AC358" s="1">
        <v>3</v>
      </c>
      <c r="AD358" s="1" t="s">
        <v>76</v>
      </c>
      <c r="AE358" s="1" t="s">
        <v>4270</v>
      </c>
      <c r="AF358" s="1" t="s">
        <v>4271</v>
      </c>
      <c r="AG358" s="1" t="s">
        <v>4272</v>
      </c>
      <c r="AH358" s="1" t="s">
        <v>4273</v>
      </c>
      <c r="AI358" s="1">
        <v>4.38</v>
      </c>
      <c r="AJ358" s="1">
        <v>196</v>
      </c>
      <c r="AK358" s="1">
        <v>626</v>
      </c>
    </row>
    <row r="359" spans="1:38" ht="15.75" customHeight="1">
      <c r="A359" s="1">
        <v>193</v>
      </c>
      <c r="C359" s="1">
        <v>4050</v>
      </c>
      <c r="D359" s="1" t="s">
        <v>38</v>
      </c>
      <c r="E359" s="1" t="s">
        <v>39</v>
      </c>
      <c r="F359" s="1" t="s">
        <v>173</v>
      </c>
      <c r="G359" s="1">
        <v>0</v>
      </c>
      <c r="H359" s="1" t="s">
        <v>41</v>
      </c>
      <c r="I359" s="1" t="s">
        <v>4274</v>
      </c>
      <c r="J359" s="1" t="s">
        <v>4275</v>
      </c>
      <c r="K359" s="1" t="s">
        <v>4276</v>
      </c>
      <c r="L359" s="1">
        <v>1</v>
      </c>
      <c r="M359" s="1">
        <v>0</v>
      </c>
      <c r="N359" s="1" t="s">
        <v>4277</v>
      </c>
      <c r="O359" s="1" t="s">
        <v>4278</v>
      </c>
      <c r="P359" s="1" t="s">
        <v>4279</v>
      </c>
      <c r="Q359" s="1">
        <v>0</v>
      </c>
      <c r="R359" s="1" t="s">
        <v>4280</v>
      </c>
      <c r="S359" s="1" t="s">
        <v>4281</v>
      </c>
      <c r="U359" s="2">
        <v>56767</v>
      </c>
      <c r="V359" s="1">
        <v>4</v>
      </c>
      <c r="W359" s="1">
        <v>3000</v>
      </c>
      <c r="X359" s="1">
        <v>4008</v>
      </c>
      <c r="Y359" s="1">
        <v>1941</v>
      </c>
      <c r="Z359" s="1">
        <v>265</v>
      </c>
      <c r="AA359" s="1">
        <v>1802</v>
      </c>
      <c r="AB359" s="1">
        <v>0</v>
      </c>
      <c r="AC359" s="1">
        <v>3</v>
      </c>
      <c r="AD359" s="1" t="s">
        <v>76</v>
      </c>
      <c r="AE359" s="1" t="s">
        <v>4282</v>
      </c>
      <c r="AF359" s="1" t="s">
        <v>4283</v>
      </c>
      <c r="AG359" s="1" t="s">
        <v>4284</v>
      </c>
      <c r="AH359" s="1" t="s">
        <v>4285</v>
      </c>
      <c r="AI359" s="1">
        <v>4.22</v>
      </c>
      <c r="AJ359" s="1">
        <v>1551</v>
      </c>
      <c r="AK359" s="1">
        <v>4625</v>
      </c>
    </row>
    <row r="360" spans="1:38" ht="15.75" customHeight="1">
      <c r="A360" s="1">
        <v>748</v>
      </c>
      <c r="B360" s="1">
        <v>5</v>
      </c>
      <c r="C360" s="1">
        <v>4001</v>
      </c>
      <c r="D360" s="1" t="s">
        <v>51</v>
      </c>
      <c r="E360" s="1" t="s">
        <v>39</v>
      </c>
      <c r="F360" s="1" t="s">
        <v>305</v>
      </c>
      <c r="G360" s="1">
        <v>0</v>
      </c>
      <c r="H360" s="1" t="s">
        <v>53</v>
      </c>
      <c r="I360" s="1" t="s">
        <v>4286</v>
      </c>
      <c r="J360" s="1" t="s">
        <v>4287</v>
      </c>
      <c r="K360" s="1" t="s">
        <v>4288</v>
      </c>
      <c r="L360" s="1">
        <v>1</v>
      </c>
      <c r="M360" s="1">
        <v>0</v>
      </c>
      <c r="N360" s="1" t="s">
        <v>4289</v>
      </c>
      <c r="O360" s="1" t="s">
        <v>4290</v>
      </c>
      <c r="P360" s="1" t="s">
        <v>4291</v>
      </c>
      <c r="Q360" s="1">
        <v>0</v>
      </c>
      <c r="R360" s="1" t="s">
        <v>4292</v>
      </c>
      <c r="S360" s="1" t="s">
        <v>4293</v>
      </c>
      <c r="U360" s="2">
        <v>56771</v>
      </c>
      <c r="V360" s="1">
        <v>3.3797930389999999</v>
      </c>
      <c r="W360" s="1">
        <v>3000</v>
      </c>
      <c r="X360" s="1">
        <v>1029</v>
      </c>
      <c r="Y360" s="1">
        <v>259</v>
      </c>
      <c r="Z360" s="1">
        <v>240</v>
      </c>
      <c r="AA360" s="1">
        <v>530</v>
      </c>
      <c r="AB360" s="1">
        <v>0</v>
      </c>
      <c r="AC360" s="1">
        <v>2</v>
      </c>
      <c r="AD360" s="1" t="s">
        <v>215</v>
      </c>
      <c r="AE360" s="1" t="s">
        <v>4294</v>
      </c>
      <c r="AF360" s="1" t="s">
        <v>4295</v>
      </c>
      <c r="AG360" s="1" t="s">
        <v>4296</v>
      </c>
      <c r="AH360" s="1" t="s">
        <v>4297</v>
      </c>
      <c r="AI360" s="1">
        <v>4.5199999999999996</v>
      </c>
      <c r="AJ360" s="1">
        <v>183</v>
      </c>
      <c r="AK360" s="1">
        <v>522</v>
      </c>
    </row>
    <row r="361" spans="1:38" ht="15.75" customHeight="1">
      <c r="A361" s="1">
        <v>651</v>
      </c>
      <c r="B361" s="1">
        <v>5</v>
      </c>
      <c r="C361" s="1">
        <v>4050</v>
      </c>
      <c r="D361" s="1" t="s">
        <v>38</v>
      </c>
      <c r="E361" s="1" t="s">
        <v>39</v>
      </c>
      <c r="F361" s="1" t="s">
        <v>532</v>
      </c>
      <c r="G361" s="1">
        <v>0</v>
      </c>
      <c r="H361" s="1" t="s">
        <v>41</v>
      </c>
      <c r="I361" s="1" t="s">
        <v>4298</v>
      </c>
      <c r="J361" s="1" t="s">
        <v>4299</v>
      </c>
      <c r="K361" s="1" t="s">
        <v>4300</v>
      </c>
      <c r="L361" s="1">
        <v>1</v>
      </c>
      <c r="M361" s="1">
        <v>0</v>
      </c>
      <c r="N361" s="1" t="s">
        <v>4301</v>
      </c>
      <c r="O361" s="1" t="s">
        <v>4302</v>
      </c>
      <c r="P361" s="1" t="s">
        <v>4303</v>
      </c>
      <c r="Q361" s="1">
        <v>0</v>
      </c>
      <c r="R361" s="1" t="s">
        <v>4304</v>
      </c>
      <c r="S361" s="1" t="s">
        <v>4305</v>
      </c>
      <c r="U361" s="2">
        <v>56770</v>
      </c>
      <c r="V361" s="1">
        <v>4.7</v>
      </c>
      <c r="W361" s="1">
        <v>3000</v>
      </c>
      <c r="X361" s="1">
        <v>2421</v>
      </c>
      <c r="Y361" s="1">
        <v>335</v>
      </c>
      <c r="Z361" s="1">
        <v>407</v>
      </c>
      <c r="AA361" s="1">
        <v>1679</v>
      </c>
      <c r="AB361" s="1">
        <v>0</v>
      </c>
      <c r="AC361" s="1">
        <v>3</v>
      </c>
      <c r="AD361" s="1" t="s">
        <v>215</v>
      </c>
      <c r="AE361" s="1" t="s">
        <v>4306</v>
      </c>
      <c r="AF361" s="1" t="s">
        <v>4307</v>
      </c>
      <c r="AG361" s="1" t="s">
        <v>4308</v>
      </c>
      <c r="AH361" s="1" t="s">
        <v>4309</v>
      </c>
      <c r="AI361" s="1">
        <v>4.63</v>
      </c>
      <c r="AJ361" s="1">
        <v>241</v>
      </c>
      <c r="AK361" s="1">
        <v>995</v>
      </c>
      <c r="AL361" s="1">
        <v>626</v>
      </c>
    </row>
    <row r="362" spans="1:38" ht="15.75" customHeight="1">
      <c r="A362" s="1">
        <v>340</v>
      </c>
      <c r="B362" s="1">
        <v>5</v>
      </c>
      <c r="C362" s="1">
        <v>4050</v>
      </c>
      <c r="D362" s="1" t="s">
        <v>38</v>
      </c>
      <c r="E362" s="1" t="s">
        <v>39</v>
      </c>
      <c r="F362" s="1" t="s">
        <v>1238</v>
      </c>
      <c r="G362" s="1">
        <v>0</v>
      </c>
      <c r="H362" s="1" t="s">
        <v>41</v>
      </c>
      <c r="I362" s="1" t="s">
        <v>4310</v>
      </c>
      <c r="J362" s="1" t="s">
        <v>4311</v>
      </c>
      <c r="K362" s="1" t="s">
        <v>4312</v>
      </c>
      <c r="L362" s="1">
        <v>1</v>
      </c>
      <c r="M362" s="1">
        <v>0</v>
      </c>
      <c r="N362" s="1" t="s">
        <v>4313</v>
      </c>
      <c r="O362" s="1" t="s">
        <v>4314</v>
      </c>
      <c r="P362" s="1" t="s">
        <v>4315</v>
      </c>
      <c r="Q362" s="1">
        <v>0</v>
      </c>
      <c r="R362" s="1" t="s">
        <v>4316</v>
      </c>
      <c r="S362" s="1" t="s">
        <v>4317</v>
      </c>
      <c r="U362" s="2">
        <v>56768</v>
      </c>
      <c r="V362" s="1">
        <v>4.7</v>
      </c>
      <c r="W362" s="1">
        <v>3000</v>
      </c>
      <c r="X362" s="1">
        <v>1576</v>
      </c>
      <c r="Y362" s="1">
        <v>495</v>
      </c>
      <c r="Z362" s="1">
        <v>153</v>
      </c>
      <c r="AA362" s="1">
        <v>928</v>
      </c>
      <c r="AB362" s="1">
        <v>0</v>
      </c>
      <c r="AC362" s="1">
        <v>2</v>
      </c>
      <c r="AE362" s="1" t="s">
        <v>4318</v>
      </c>
      <c r="AF362" s="1" t="s">
        <v>4319</v>
      </c>
      <c r="AG362" s="1" t="s">
        <v>4320</v>
      </c>
      <c r="AH362" s="1" t="s">
        <v>4321</v>
      </c>
      <c r="AI362" s="1">
        <v>4.5</v>
      </c>
      <c r="AJ362" s="1">
        <v>55</v>
      </c>
      <c r="AK362" s="1">
        <v>211</v>
      </c>
      <c r="AL362" s="1">
        <v>6</v>
      </c>
    </row>
    <row r="363" spans="1:38" ht="15.75" customHeight="1">
      <c r="A363" s="1">
        <v>467</v>
      </c>
      <c r="B363" s="1">
        <v>4</v>
      </c>
      <c r="C363" s="1">
        <v>4050</v>
      </c>
      <c r="D363" s="1" t="s">
        <v>38</v>
      </c>
      <c r="E363" s="1" t="s">
        <v>39</v>
      </c>
      <c r="F363" s="1" t="s">
        <v>40</v>
      </c>
      <c r="G363" s="1">
        <v>0</v>
      </c>
      <c r="H363" s="1" t="s">
        <v>41</v>
      </c>
      <c r="I363" s="1" t="s">
        <v>4322</v>
      </c>
      <c r="J363" s="1" t="s">
        <v>4323</v>
      </c>
      <c r="K363" s="1" t="s">
        <v>4324</v>
      </c>
      <c r="L363" s="1">
        <v>1</v>
      </c>
      <c r="M363" s="1">
        <v>0</v>
      </c>
      <c r="N363" s="1" t="s">
        <v>4325</v>
      </c>
      <c r="O363" s="1" t="s">
        <v>4326</v>
      </c>
      <c r="P363" s="1" t="s">
        <v>4327</v>
      </c>
      <c r="Q363" s="1">
        <v>0</v>
      </c>
      <c r="R363" s="1" t="s">
        <v>4328</v>
      </c>
      <c r="S363" s="1" t="s">
        <v>4329</v>
      </c>
      <c r="U363" s="2">
        <v>56769</v>
      </c>
      <c r="V363" s="1">
        <v>4.5</v>
      </c>
      <c r="W363" s="1">
        <v>3000</v>
      </c>
      <c r="X363" s="1">
        <v>1550</v>
      </c>
      <c r="Y363" s="1">
        <v>302</v>
      </c>
      <c r="Z363" s="1">
        <v>411</v>
      </c>
      <c r="AA363" s="1">
        <v>837</v>
      </c>
      <c r="AB363" s="1">
        <v>0</v>
      </c>
      <c r="AC363" s="1">
        <v>3</v>
      </c>
      <c r="AD363" s="1" t="s">
        <v>62</v>
      </c>
      <c r="AE363" s="1" t="s">
        <v>4330</v>
      </c>
      <c r="AF363" s="1" t="s">
        <v>4331</v>
      </c>
      <c r="AG363" s="1" t="s">
        <v>4332</v>
      </c>
      <c r="AH363" s="1" t="s">
        <v>4333</v>
      </c>
      <c r="AI363" s="1">
        <v>4.7</v>
      </c>
      <c r="AJ363" s="1">
        <v>1261</v>
      </c>
      <c r="AK363" s="1">
        <v>3264</v>
      </c>
      <c r="AL363" s="1">
        <v>232</v>
      </c>
    </row>
    <row r="364" spans="1:38" ht="15.75" customHeight="1">
      <c r="A364" s="1">
        <v>694</v>
      </c>
      <c r="C364" s="1">
        <v>4050</v>
      </c>
      <c r="D364" s="1" t="s">
        <v>38</v>
      </c>
      <c r="E364" s="1" t="s">
        <v>39</v>
      </c>
      <c r="F364" s="1" t="s">
        <v>280</v>
      </c>
      <c r="G364" s="1">
        <v>0</v>
      </c>
      <c r="H364" s="1" t="s">
        <v>41</v>
      </c>
      <c r="I364" s="1" t="s">
        <v>4334</v>
      </c>
      <c r="J364" s="1" t="s">
        <v>4335</v>
      </c>
      <c r="K364" s="1" t="s">
        <v>4336</v>
      </c>
      <c r="L364" s="1">
        <v>1</v>
      </c>
      <c r="M364" s="1">
        <v>0</v>
      </c>
      <c r="N364" s="1" t="s">
        <v>4337</v>
      </c>
      <c r="O364" s="1" t="s">
        <v>4338</v>
      </c>
      <c r="P364" s="1" t="s">
        <v>4339</v>
      </c>
      <c r="Q364" s="1">
        <v>0</v>
      </c>
      <c r="R364" s="1" t="s">
        <v>4340</v>
      </c>
      <c r="S364" s="1" t="s">
        <v>4341</v>
      </c>
      <c r="U364" s="2">
        <v>56770</v>
      </c>
      <c r="V364" s="1">
        <v>4.7</v>
      </c>
      <c r="W364" s="1">
        <v>3000</v>
      </c>
      <c r="X364" s="1">
        <v>2629</v>
      </c>
      <c r="Y364" s="1">
        <v>1480</v>
      </c>
      <c r="Z364" s="1">
        <v>177</v>
      </c>
      <c r="AA364" s="1">
        <v>972</v>
      </c>
      <c r="AB364" s="1">
        <v>1</v>
      </c>
      <c r="AC364" s="1">
        <v>2</v>
      </c>
      <c r="AE364" s="1" t="s">
        <v>4342</v>
      </c>
      <c r="AF364" s="1" t="s">
        <v>4343</v>
      </c>
      <c r="AG364" s="1" t="s">
        <v>4344</v>
      </c>
      <c r="AH364" s="1" t="s">
        <v>4345</v>
      </c>
      <c r="AI364" s="1">
        <v>4.49</v>
      </c>
      <c r="AJ364" s="1">
        <v>2315</v>
      </c>
      <c r="AK364" s="1">
        <v>7039</v>
      </c>
      <c r="AL364" s="1">
        <v>763</v>
      </c>
    </row>
    <row r="365" spans="1:38" ht="15.75" customHeight="1">
      <c r="A365" s="1">
        <v>477</v>
      </c>
      <c r="C365" s="1">
        <v>4050</v>
      </c>
      <c r="D365" s="1" t="s">
        <v>38</v>
      </c>
      <c r="E365" s="1" t="s">
        <v>39</v>
      </c>
      <c r="F365" s="1" t="s">
        <v>390</v>
      </c>
      <c r="G365" s="1">
        <v>0</v>
      </c>
      <c r="H365" s="1" t="s">
        <v>41</v>
      </c>
      <c r="I365" s="1" t="s">
        <v>4346</v>
      </c>
      <c r="J365" s="1" t="s">
        <v>4347</v>
      </c>
      <c r="K365" s="1" t="s">
        <v>4348</v>
      </c>
      <c r="L365" s="1">
        <v>1</v>
      </c>
      <c r="M365" s="1">
        <v>0</v>
      </c>
      <c r="N365" s="1" t="s">
        <v>4349</v>
      </c>
      <c r="O365" s="1" t="s">
        <v>4350</v>
      </c>
      <c r="P365" s="1" t="s">
        <v>4351</v>
      </c>
      <c r="Q365" s="1">
        <v>0</v>
      </c>
      <c r="R365" s="1" t="s">
        <v>4352</v>
      </c>
      <c r="S365" s="1" t="s">
        <v>4353</v>
      </c>
      <c r="U365" s="2">
        <v>56769</v>
      </c>
      <c r="V365" s="1">
        <v>3.501498169</v>
      </c>
      <c r="W365" s="1">
        <v>3000</v>
      </c>
      <c r="X365" s="1">
        <v>1859</v>
      </c>
      <c r="Y365" s="1">
        <v>295</v>
      </c>
      <c r="Z365" s="1">
        <v>754</v>
      </c>
      <c r="AA365" s="1">
        <v>810</v>
      </c>
      <c r="AB365" s="1">
        <v>0</v>
      </c>
      <c r="AC365" s="1">
        <v>7</v>
      </c>
      <c r="AD365" s="1" t="s">
        <v>62</v>
      </c>
      <c r="AE365" s="1" t="s">
        <v>4354</v>
      </c>
      <c r="AF365" s="1" t="s">
        <v>4355</v>
      </c>
      <c r="AG365" s="1" t="s">
        <v>4356</v>
      </c>
      <c r="AH365" s="1" t="s">
        <v>4357</v>
      </c>
      <c r="AI365" s="1">
        <v>4.5599999999999996</v>
      </c>
      <c r="AJ365" s="1">
        <v>344</v>
      </c>
      <c r="AK365" s="1">
        <v>947</v>
      </c>
      <c r="AL365" s="1">
        <v>22</v>
      </c>
    </row>
    <row r="366" spans="1:38" ht="15.75" customHeight="1">
      <c r="A366" s="1">
        <v>289</v>
      </c>
      <c r="C366" s="1">
        <v>4050</v>
      </c>
      <c r="D366" s="1" t="s">
        <v>38</v>
      </c>
      <c r="E366" s="1" t="s">
        <v>39</v>
      </c>
      <c r="F366" s="1" t="s">
        <v>173</v>
      </c>
      <c r="G366" s="1">
        <v>0</v>
      </c>
      <c r="H366" s="1" t="s">
        <v>41</v>
      </c>
      <c r="I366" s="1" t="s">
        <v>4358</v>
      </c>
      <c r="J366" s="1" t="s">
        <v>4359</v>
      </c>
      <c r="K366" s="1" t="s">
        <v>4360</v>
      </c>
      <c r="L366" s="1">
        <v>1</v>
      </c>
      <c r="M366" s="1">
        <v>0</v>
      </c>
      <c r="N366" s="1" t="s">
        <v>4361</v>
      </c>
      <c r="O366" s="1" t="s">
        <v>4362</v>
      </c>
      <c r="P366" s="1" t="s">
        <v>4363</v>
      </c>
      <c r="Q366" s="1">
        <v>0</v>
      </c>
      <c r="R366" s="1" t="s">
        <v>4364</v>
      </c>
      <c r="S366" s="1" t="s">
        <v>4365</v>
      </c>
      <c r="U366" s="2">
        <v>56768</v>
      </c>
      <c r="V366" s="1">
        <v>4.5</v>
      </c>
      <c r="W366" s="1">
        <v>3000</v>
      </c>
      <c r="X366" s="1">
        <v>2249</v>
      </c>
      <c r="Y366" s="1">
        <v>1117</v>
      </c>
      <c r="Z366" s="1">
        <v>427</v>
      </c>
      <c r="AA366" s="1">
        <v>705</v>
      </c>
      <c r="AB366" s="1">
        <v>0</v>
      </c>
      <c r="AC366" s="1">
        <v>3</v>
      </c>
      <c r="AD366" s="1" t="s">
        <v>76</v>
      </c>
      <c r="AE366" s="1" t="s">
        <v>4366</v>
      </c>
      <c r="AF366" s="1" t="s">
        <v>4367</v>
      </c>
      <c r="AG366" s="1" t="s">
        <v>4368</v>
      </c>
      <c r="AH366" s="1" t="s">
        <v>4369</v>
      </c>
      <c r="AI366" s="1">
        <v>4.22</v>
      </c>
      <c r="AJ366" s="1">
        <v>1551</v>
      </c>
      <c r="AK366" s="1">
        <v>4625</v>
      </c>
    </row>
    <row r="367" spans="1:38" ht="15.75" customHeight="1">
      <c r="A367" s="1">
        <v>203</v>
      </c>
      <c r="B367" s="1">
        <v>3</v>
      </c>
      <c r="C367" s="1">
        <v>4050</v>
      </c>
      <c r="D367" s="1" t="s">
        <v>38</v>
      </c>
      <c r="E367" s="1" t="s">
        <v>39</v>
      </c>
      <c r="F367" s="1" t="s">
        <v>510</v>
      </c>
      <c r="G367" s="1">
        <v>0</v>
      </c>
      <c r="H367" s="1" t="s">
        <v>41</v>
      </c>
      <c r="I367" s="1" t="s">
        <v>4370</v>
      </c>
      <c r="J367" s="1" t="s">
        <v>4371</v>
      </c>
      <c r="K367" s="1" t="s">
        <v>4372</v>
      </c>
      <c r="L367" s="1">
        <v>1</v>
      </c>
      <c r="M367" s="1">
        <v>0</v>
      </c>
      <c r="N367" s="1" t="s">
        <v>4373</v>
      </c>
      <c r="O367" s="1" t="s">
        <v>4374</v>
      </c>
      <c r="P367" s="1" t="s">
        <v>4375</v>
      </c>
      <c r="Q367" s="1">
        <v>0</v>
      </c>
      <c r="R367" s="1" t="s">
        <v>4376</v>
      </c>
      <c r="S367" s="1" t="s">
        <v>4377</v>
      </c>
      <c r="U367" s="2">
        <v>56767</v>
      </c>
      <c r="V367" s="1">
        <v>4.5</v>
      </c>
      <c r="W367" s="1">
        <v>3000</v>
      </c>
      <c r="X367" s="1">
        <v>1387</v>
      </c>
      <c r="Y367" s="1">
        <v>729</v>
      </c>
      <c r="Z367" s="1">
        <v>49</v>
      </c>
      <c r="AA367" s="1">
        <v>609</v>
      </c>
      <c r="AB367" s="1">
        <v>0</v>
      </c>
      <c r="AC367" s="1">
        <v>4</v>
      </c>
      <c r="AD367" s="1" t="s">
        <v>215</v>
      </c>
      <c r="AE367" s="1" t="s">
        <v>4378</v>
      </c>
      <c r="AF367" s="1" t="s">
        <v>4379</v>
      </c>
      <c r="AG367" s="1" t="s">
        <v>4380</v>
      </c>
      <c r="AH367" s="1" t="s">
        <v>4381</v>
      </c>
      <c r="AI367" s="1">
        <v>4.62</v>
      </c>
      <c r="AJ367" s="1">
        <v>259</v>
      </c>
      <c r="AK367" s="1">
        <v>604</v>
      </c>
      <c r="AL367" s="1">
        <v>21</v>
      </c>
    </row>
    <row r="368" spans="1:38" ht="15.75" customHeight="1">
      <c r="A368" s="1">
        <v>347</v>
      </c>
      <c r="C368" s="1">
        <v>4001</v>
      </c>
      <c r="D368" s="1" t="s">
        <v>51</v>
      </c>
      <c r="E368" s="1" t="s">
        <v>39</v>
      </c>
      <c r="F368" s="1" t="s">
        <v>341</v>
      </c>
      <c r="G368" s="1">
        <v>0</v>
      </c>
      <c r="H368" s="1" t="s">
        <v>41</v>
      </c>
      <c r="I368" s="1" t="s">
        <v>4382</v>
      </c>
      <c r="J368" s="1" t="s">
        <v>4383</v>
      </c>
      <c r="K368" s="1" t="s">
        <v>4384</v>
      </c>
      <c r="L368" s="1">
        <v>1</v>
      </c>
      <c r="M368" s="1">
        <v>0</v>
      </c>
      <c r="N368" s="1" t="s">
        <v>4385</v>
      </c>
      <c r="O368" s="1" t="s">
        <v>4386</v>
      </c>
      <c r="P368" s="1" t="s">
        <v>4387</v>
      </c>
      <c r="Q368" s="1">
        <v>0</v>
      </c>
      <c r="R368" s="1" t="s">
        <v>4388</v>
      </c>
      <c r="S368" s="1" t="s">
        <v>4389</v>
      </c>
      <c r="U368" s="2">
        <v>56768</v>
      </c>
      <c r="V368" s="1">
        <v>3.6002455850000001</v>
      </c>
      <c r="W368" s="1">
        <v>3000</v>
      </c>
      <c r="X368" s="1">
        <v>1814</v>
      </c>
      <c r="Y368" s="1">
        <v>578</v>
      </c>
      <c r="Z368" s="1">
        <v>668</v>
      </c>
      <c r="AA368" s="1">
        <v>568</v>
      </c>
      <c r="AB368" s="1">
        <v>0</v>
      </c>
      <c r="AC368" s="1">
        <v>4</v>
      </c>
      <c r="AD368" s="1" t="s">
        <v>62</v>
      </c>
      <c r="AE368" s="1" t="s">
        <v>4390</v>
      </c>
      <c r="AF368" s="1" t="s">
        <v>4391</v>
      </c>
      <c r="AG368" s="1" t="s">
        <v>4392</v>
      </c>
      <c r="AH368" s="1" t="s">
        <v>4393</v>
      </c>
      <c r="AI368" s="1">
        <v>4.54</v>
      </c>
      <c r="AJ368" s="1">
        <v>2229</v>
      </c>
      <c r="AK368" s="1">
        <v>6580</v>
      </c>
    </row>
    <row r="369" spans="1:38" ht="15.75" customHeight="1">
      <c r="A369" s="1">
        <v>392</v>
      </c>
      <c r="C369" s="1">
        <v>4001</v>
      </c>
      <c r="D369" s="1" t="s">
        <v>51</v>
      </c>
      <c r="E369" s="1" t="s">
        <v>39</v>
      </c>
      <c r="F369" s="1" t="s">
        <v>52</v>
      </c>
      <c r="G369" s="1">
        <v>0</v>
      </c>
      <c r="H369" s="1" t="s">
        <v>53</v>
      </c>
      <c r="I369" s="1" t="s">
        <v>4394</v>
      </c>
      <c r="J369" s="1" t="s">
        <v>4395</v>
      </c>
      <c r="K369" s="1" t="s">
        <v>4396</v>
      </c>
      <c r="L369" s="1">
        <v>1</v>
      </c>
      <c r="M369" s="1">
        <v>0</v>
      </c>
      <c r="N369" s="1" t="s">
        <v>4397</v>
      </c>
      <c r="O369" s="1" t="s">
        <v>4398</v>
      </c>
      <c r="P369" s="1" t="s">
        <v>4399</v>
      </c>
      <c r="Q369" s="1">
        <v>0</v>
      </c>
      <c r="R369" s="1" t="s">
        <v>4400</v>
      </c>
      <c r="S369" s="1" t="s">
        <v>4401</v>
      </c>
      <c r="U369" s="2">
        <v>56768</v>
      </c>
      <c r="V369" s="1">
        <v>4.5999999999999996</v>
      </c>
      <c r="W369" s="1">
        <v>3000</v>
      </c>
      <c r="X369" s="1">
        <v>2038</v>
      </c>
      <c r="Y369" s="1">
        <v>402</v>
      </c>
      <c r="Z369" s="1">
        <v>274</v>
      </c>
      <c r="AA369" s="1">
        <v>1362</v>
      </c>
      <c r="AB369" s="1">
        <v>0</v>
      </c>
      <c r="AC369" s="1">
        <v>4</v>
      </c>
      <c r="AD369" s="1" t="s">
        <v>215</v>
      </c>
      <c r="AE369" s="1" t="s">
        <v>4402</v>
      </c>
      <c r="AF369" s="1" t="s">
        <v>4403</v>
      </c>
      <c r="AG369" s="1" t="s">
        <v>4404</v>
      </c>
      <c r="AH369" s="1" t="s">
        <v>4405</v>
      </c>
      <c r="AI369" s="1">
        <v>4.17</v>
      </c>
      <c r="AJ369" s="1">
        <v>457</v>
      </c>
      <c r="AK369" s="1">
        <v>1599</v>
      </c>
    </row>
    <row r="370" spans="1:38" ht="15.75" customHeight="1">
      <c r="A370" s="1">
        <v>440</v>
      </c>
      <c r="C370" s="1">
        <v>4050</v>
      </c>
      <c r="D370" s="1" t="s">
        <v>38</v>
      </c>
      <c r="E370" s="1" t="s">
        <v>39</v>
      </c>
      <c r="F370" s="1" t="s">
        <v>695</v>
      </c>
      <c r="G370" s="1">
        <v>0</v>
      </c>
      <c r="H370" s="1" t="s">
        <v>41</v>
      </c>
      <c r="I370" s="1" t="s">
        <v>4406</v>
      </c>
      <c r="J370" s="1" t="s">
        <v>4407</v>
      </c>
      <c r="K370" s="1" t="s">
        <v>4408</v>
      </c>
      <c r="L370" s="1">
        <v>1</v>
      </c>
      <c r="M370" s="1">
        <v>0</v>
      </c>
      <c r="N370" s="1" t="s">
        <v>4409</v>
      </c>
      <c r="O370" s="1" t="s">
        <v>4410</v>
      </c>
      <c r="P370" s="1" t="s">
        <v>4411</v>
      </c>
      <c r="Q370" s="1">
        <v>0</v>
      </c>
      <c r="R370" s="1" t="s">
        <v>4412</v>
      </c>
      <c r="S370" s="1" t="s">
        <v>4413</v>
      </c>
      <c r="U370" s="2">
        <v>56769</v>
      </c>
      <c r="V370" s="1">
        <v>4.8</v>
      </c>
      <c r="W370" s="1">
        <v>3000</v>
      </c>
      <c r="X370" s="1">
        <v>4015</v>
      </c>
      <c r="Y370" s="1">
        <v>1512</v>
      </c>
      <c r="Z370" s="1">
        <v>1143</v>
      </c>
      <c r="AA370" s="1">
        <v>1360</v>
      </c>
      <c r="AB370" s="1">
        <v>1</v>
      </c>
      <c r="AC370" s="1">
        <v>4</v>
      </c>
      <c r="AE370" s="1" t="s">
        <v>4414</v>
      </c>
      <c r="AF370" s="1" t="s">
        <v>4415</v>
      </c>
      <c r="AG370" s="1" t="s">
        <v>4416</v>
      </c>
      <c r="AH370" s="1" t="s">
        <v>4417</v>
      </c>
      <c r="AI370" s="1">
        <v>4.38</v>
      </c>
      <c r="AJ370" s="1">
        <v>196</v>
      </c>
      <c r="AK370" s="1">
        <v>626</v>
      </c>
    </row>
    <row r="371" spans="1:38" ht="15.75" customHeight="1">
      <c r="A371" s="1">
        <v>920</v>
      </c>
      <c r="C371" s="1">
        <v>4001</v>
      </c>
      <c r="D371" s="1" t="s">
        <v>51</v>
      </c>
      <c r="E371" s="1" t="s">
        <v>39</v>
      </c>
      <c r="F371" s="1" t="s">
        <v>3110</v>
      </c>
      <c r="G371" s="1">
        <v>0</v>
      </c>
      <c r="H371" s="1" t="s">
        <v>53</v>
      </c>
      <c r="I371" s="1" t="s">
        <v>4418</v>
      </c>
      <c r="J371" s="1" t="s">
        <v>4419</v>
      </c>
      <c r="K371" s="1" t="s">
        <v>4419</v>
      </c>
      <c r="L371" s="1">
        <v>0</v>
      </c>
      <c r="M371" s="1">
        <v>0</v>
      </c>
      <c r="N371" s="1" t="s">
        <v>4420</v>
      </c>
      <c r="O371" s="1" t="s">
        <v>4421</v>
      </c>
      <c r="P371" s="1" t="s">
        <v>4422</v>
      </c>
      <c r="Q371" s="1">
        <v>0</v>
      </c>
      <c r="R371" s="1" t="s">
        <v>4423</v>
      </c>
      <c r="S371" s="1" t="s">
        <v>4424</v>
      </c>
      <c r="U371" s="2">
        <v>56773</v>
      </c>
      <c r="V371" s="1">
        <v>4.0590128009999997</v>
      </c>
      <c r="W371" s="1">
        <v>3000</v>
      </c>
      <c r="X371" s="1">
        <v>3796</v>
      </c>
      <c r="Y371" s="1">
        <v>2696</v>
      </c>
      <c r="Z371" s="1">
        <v>206</v>
      </c>
      <c r="AA371" s="1">
        <v>894</v>
      </c>
      <c r="AB371" s="1">
        <v>0</v>
      </c>
      <c r="AC371" s="1">
        <v>3</v>
      </c>
      <c r="AD371" s="1" t="s">
        <v>76</v>
      </c>
      <c r="AE371" s="1" t="s">
        <v>4425</v>
      </c>
      <c r="AF371" s="1" t="s">
        <v>4426</v>
      </c>
      <c r="AG371" s="1" t="s">
        <v>4427</v>
      </c>
      <c r="AH371" s="1" t="s">
        <v>4428</v>
      </c>
      <c r="AI371" s="1">
        <v>4.47</v>
      </c>
      <c r="AJ371" s="1">
        <v>78</v>
      </c>
      <c r="AK371" s="1">
        <v>278</v>
      </c>
      <c r="AL371" s="1">
        <v>26</v>
      </c>
    </row>
    <row r="372" spans="1:38" ht="15.75" customHeight="1">
      <c r="A372" s="1">
        <v>546</v>
      </c>
      <c r="C372" s="1">
        <v>4050</v>
      </c>
      <c r="D372" s="1" t="s">
        <v>38</v>
      </c>
      <c r="E372" s="1" t="s">
        <v>39</v>
      </c>
      <c r="F372" s="1" t="s">
        <v>1348</v>
      </c>
      <c r="G372" s="1">
        <v>0</v>
      </c>
      <c r="H372" s="1" t="s">
        <v>41</v>
      </c>
      <c r="I372" s="1" t="s">
        <v>4429</v>
      </c>
      <c r="J372" s="1" t="s">
        <v>4430</v>
      </c>
      <c r="K372" s="1" t="s">
        <v>4431</v>
      </c>
      <c r="L372" s="1">
        <v>1</v>
      </c>
      <c r="M372" s="1">
        <v>0</v>
      </c>
      <c r="N372" s="1" t="s">
        <v>4432</v>
      </c>
      <c r="O372" s="1" t="s">
        <v>4433</v>
      </c>
      <c r="P372" s="1" t="s">
        <v>4434</v>
      </c>
      <c r="Q372" s="1">
        <v>0</v>
      </c>
      <c r="R372" s="1" t="s">
        <v>4435</v>
      </c>
      <c r="S372" s="1" t="s">
        <v>4436</v>
      </c>
      <c r="U372" s="2">
        <v>56770</v>
      </c>
      <c r="V372" s="1">
        <v>4.5999999999999996</v>
      </c>
      <c r="W372" s="1">
        <v>3000</v>
      </c>
      <c r="X372" s="1">
        <v>2204</v>
      </c>
      <c r="Y372" s="1">
        <v>81</v>
      </c>
      <c r="Z372" s="1">
        <v>1582</v>
      </c>
      <c r="AA372" s="1">
        <v>541</v>
      </c>
      <c r="AB372" s="1">
        <v>1</v>
      </c>
      <c r="AC372" s="1">
        <v>4</v>
      </c>
      <c r="AE372" s="1" t="s">
        <v>4437</v>
      </c>
      <c r="AF372" s="1" t="s">
        <v>4438</v>
      </c>
      <c r="AG372" s="1" t="s">
        <v>4439</v>
      </c>
      <c r="AH372" s="1" t="s">
        <v>4440</v>
      </c>
      <c r="AI372" s="1">
        <v>4.79</v>
      </c>
      <c r="AJ372" s="1">
        <v>1007</v>
      </c>
      <c r="AK372" s="1">
        <v>2899</v>
      </c>
      <c r="AL372" s="1">
        <v>1301</v>
      </c>
    </row>
    <row r="373" spans="1:38" ht="15.75" customHeight="1">
      <c r="A373" s="1">
        <v>238</v>
      </c>
      <c r="C373" s="1">
        <v>4050</v>
      </c>
      <c r="D373" s="1" t="s">
        <v>38</v>
      </c>
      <c r="E373" s="1" t="s">
        <v>39</v>
      </c>
      <c r="F373" s="1" t="s">
        <v>280</v>
      </c>
      <c r="G373" s="1">
        <v>0</v>
      </c>
      <c r="H373" s="1" t="s">
        <v>41</v>
      </c>
      <c r="I373" s="1" t="s">
        <v>4441</v>
      </c>
      <c r="J373" s="1" t="s">
        <v>4442</v>
      </c>
      <c r="K373" s="1" t="s">
        <v>4443</v>
      </c>
      <c r="L373" s="1">
        <v>1</v>
      </c>
      <c r="M373" s="1">
        <v>0</v>
      </c>
      <c r="N373" s="1" t="s">
        <v>4444</v>
      </c>
      <c r="O373" s="1" t="s">
        <v>4445</v>
      </c>
      <c r="P373" s="1" t="s">
        <v>4446</v>
      </c>
      <c r="Q373" s="1">
        <v>0</v>
      </c>
      <c r="R373" s="1" t="s">
        <v>4447</v>
      </c>
      <c r="S373" s="1" t="s">
        <v>4448</v>
      </c>
      <c r="U373" s="2">
        <v>56767</v>
      </c>
      <c r="V373" s="1">
        <v>3.501498169</v>
      </c>
      <c r="W373" s="1">
        <v>3000</v>
      </c>
      <c r="X373" s="1">
        <v>3288</v>
      </c>
      <c r="Y373" s="1">
        <v>1070</v>
      </c>
      <c r="Z373" s="1">
        <v>1387</v>
      </c>
      <c r="AA373" s="1">
        <v>831</v>
      </c>
      <c r="AB373" s="1">
        <v>0</v>
      </c>
      <c r="AC373" s="1">
        <v>2</v>
      </c>
      <c r="AD373" s="1" t="s">
        <v>215</v>
      </c>
      <c r="AE373" s="1" t="s">
        <v>4449</v>
      </c>
      <c r="AF373" s="1" t="s">
        <v>4450</v>
      </c>
      <c r="AG373" s="1" t="s">
        <v>4451</v>
      </c>
      <c r="AH373" s="1" t="s">
        <v>4452</v>
      </c>
      <c r="AI373" s="1">
        <v>4.49</v>
      </c>
      <c r="AJ373" s="1">
        <v>2315</v>
      </c>
      <c r="AK373" s="1">
        <v>7039</v>
      </c>
      <c r="AL373" s="1">
        <v>763</v>
      </c>
    </row>
    <row r="374" spans="1:38" ht="15.75" customHeight="1">
      <c r="A374" s="1">
        <v>937</v>
      </c>
      <c r="C374" s="1">
        <v>4050</v>
      </c>
      <c r="D374" s="1" t="s">
        <v>38</v>
      </c>
      <c r="E374" s="1" t="s">
        <v>39</v>
      </c>
      <c r="F374" s="1" t="s">
        <v>1372</v>
      </c>
      <c r="G374" s="1">
        <v>0</v>
      </c>
      <c r="H374" s="1" t="s">
        <v>41</v>
      </c>
      <c r="I374" s="1" t="s">
        <v>4453</v>
      </c>
      <c r="J374" s="1" t="s">
        <v>4454</v>
      </c>
      <c r="K374" s="1" t="s">
        <v>4455</v>
      </c>
      <c r="L374" s="1">
        <v>1</v>
      </c>
      <c r="M374" s="1">
        <v>0</v>
      </c>
      <c r="N374" s="1" t="s">
        <v>4456</v>
      </c>
      <c r="O374" s="1" t="s">
        <v>4457</v>
      </c>
      <c r="P374" s="1" t="s">
        <v>4458</v>
      </c>
      <c r="Q374" s="1">
        <v>0</v>
      </c>
      <c r="R374" s="1" t="s">
        <v>4459</v>
      </c>
      <c r="S374" s="1" t="s">
        <v>4460</v>
      </c>
      <c r="U374" s="2">
        <v>56773</v>
      </c>
      <c r="V374" s="1">
        <v>4.5</v>
      </c>
      <c r="W374" s="1">
        <v>3000</v>
      </c>
      <c r="X374" s="1">
        <v>2317</v>
      </c>
      <c r="Y374" s="1">
        <v>336</v>
      </c>
      <c r="Z374" s="1">
        <v>932</v>
      </c>
      <c r="AA374" s="1">
        <v>1049</v>
      </c>
      <c r="AB374" s="1">
        <v>0</v>
      </c>
      <c r="AC374" s="1">
        <v>4</v>
      </c>
      <c r="AD374" s="1" t="s">
        <v>62</v>
      </c>
      <c r="AE374" s="1" t="s">
        <v>4461</v>
      </c>
      <c r="AF374" s="1" t="s">
        <v>4462</v>
      </c>
      <c r="AG374" s="1" t="s">
        <v>4463</v>
      </c>
      <c r="AH374" s="1" t="s">
        <v>4464</v>
      </c>
      <c r="AI374" s="1">
        <v>4.4111111110000003</v>
      </c>
      <c r="AJ374" s="1">
        <v>68</v>
      </c>
      <c r="AK374" s="1">
        <v>223</v>
      </c>
      <c r="AL374" s="1">
        <v>118</v>
      </c>
    </row>
    <row r="375" spans="1:38" ht="15.75" customHeight="1">
      <c r="A375" s="1">
        <v>66</v>
      </c>
      <c r="B375" s="1">
        <v>5</v>
      </c>
      <c r="C375" s="1">
        <v>4050</v>
      </c>
      <c r="D375" s="1" t="s">
        <v>38</v>
      </c>
      <c r="E375" s="1" t="s">
        <v>39</v>
      </c>
      <c r="F375" s="1" t="s">
        <v>40</v>
      </c>
      <c r="G375" s="1">
        <v>0</v>
      </c>
      <c r="H375" s="1" t="s">
        <v>41</v>
      </c>
      <c r="I375" s="1" t="s">
        <v>4465</v>
      </c>
      <c r="J375" s="1" t="s">
        <v>4466</v>
      </c>
      <c r="K375" s="1" t="s">
        <v>4467</v>
      </c>
      <c r="L375" s="1">
        <v>1</v>
      </c>
      <c r="M375" s="1">
        <v>0</v>
      </c>
      <c r="N375" s="1" t="s">
        <v>4468</v>
      </c>
      <c r="O375" s="1" t="s">
        <v>4469</v>
      </c>
      <c r="P375" s="1" t="s">
        <v>4470</v>
      </c>
      <c r="Q375" s="1">
        <v>0</v>
      </c>
      <c r="R375" s="1" t="s">
        <v>4471</v>
      </c>
      <c r="U375" s="2">
        <v>56766</v>
      </c>
      <c r="V375" s="1">
        <v>4.7</v>
      </c>
      <c r="W375" s="1">
        <v>3000</v>
      </c>
      <c r="X375" s="1">
        <v>2147</v>
      </c>
      <c r="AA375" s="1">
        <v>980</v>
      </c>
      <c r="AB375" s="1">
        <v>0</v>
      </c>
      <c r="AC375" s="1">
        <v>3</v>
      </c>
      <c r="AE375" s="1" t="s">
        <v>4472</v>
      </c>
      <c r="AF375" s="1" t="s">
        <v>4473</v>
      </c>
      <c r="AG375" s="1" t="s">
        <v>4474</v>
      </c>
      <c r="AI375" s="1">
        <v>4.7</v>
      </c>
      <c r="AJ375" s="1">
        <v>1261</v>
      </c>
      <c r="AK375" s="1">
        <v>3264</v>
      </c>
      <c r="AL375" s="1">
        <v>232</v>
      </c>
    </row>
    <row r="376" spans="1:38" ht="15.75" customHeight="1">
      <c r="A376" s="1">
        <v>353</v>
      </c>
      <c r="C376" s="1">
        <v>4050</v>
      </c>
      <c r="D376" s="1" t="s">
        <v>38</v>
      </c>
      <c r="E376" s="1" t="s">
        <v>39</v>
      </c>
      <c r="F376" s="1" t="s">
        <v>40</v>
      </c>
      <c r="G376" s="1">
        <v>0</v>
      </c>
      <c r="H376" s="1" t="s">
        <v>41</v>
      </c>
      <c r="I376" s="1" t="s">
        <v>4475</v>
      </c>
      <c r="J376" s="1" t="s">
        <v>4476</v>
      </c>
      <c r="K376" s="1" t="s">
        <v>4477</v>
      </c>
      <c r="L376" s="1">
        <v>1</v>
      </c>
      <c r="M376" s="1">
        <v>0</v>
      </c>
      <c r="N376" s="1" t="s">
        <v>4478</v>
      </c>
      <c r="O376" s="1" t="s">
        <v>4479</v>
      </c>
      <c r="P376" s="1" t="s">
        <v>4480</v>
      </c>
      <c r="Q376" s="1">
        <v>0</v>
      </c>
      <c r="R376" s="1" t="s">
        <v>4481</v>
      </c>
      <c r="S376" s="1" t="s">
        <v>4482</v>
      </c>
      <c r="U376" s="2">
        <v>56768</v>
      </c>
      <c r="V376" s="1">
        <v>4.4000000000000004</v>
      </c>
      <c r="W376" s="1">
        <v>3000</v>
      </c>
      <c r="X376" s="1">
        <v>3055</v>
      </c>
      <c r="Y376" s="1">
        <v>1428</v>
      </c>
      <c r="Z376" s="1">
        <v>620</v>
      </c>
      <c r="AA376" s="1">
        <v>1007</v>
      </c>
      <c r="AB376" s="1">
        <v>0</v>
      </c>
      <c r="AC376" s="1">
        <v>3</v>
      </c>
      <c r="AE376" s="1" t="s">
        <v>4483</v>
      </c>
      <c r="AF376" s="1" t="s">
        <v>4484</v>
      </c>
      <c r="AG376" s="1" t="s">
        <v>4485</v>
      </c>
      <c r="AH376" s="1" t="s">
        <v>4486</v>
      </c>
      <c r="AI376" s="1">
        <v>4.7</v>
      </c>
      <c r="AJ376" s="1">
        <v>1261</v>
      </c>
      <c r="AK376" s="1">
        <v>3264</v>
      </c>
      <c r="AL376" s="1">
        <v>232</v>
      </c>
    </row>
    <row r="377" spans="1:38" ht="15.75" customHeight="1">
      <c r="A377" s="1">
        <v>572</v>
      </c>
      <c r="B377" s="1">
        <v>4</v>
      </c>
      <c r="C377" s="1">
        <v>4050</v>
      </c>
      <c r="D377" s="1" t="s">
        <v>38</v>
      </c>
      <c r="E377" s="1" t="s">
        <v>39</v>
      </c>
      <c r="F377" s="1" t="s">
        <v>280</v>
      </c>
      <c r="G377" s="1">
        <v>0</v>
      </c>
      <c r="H377" s="1" t="s">
        <v>41</v>
      </c>
      <c r="I377" s="1" t="s">
        <v>4487</v>
      </c>
      <c r="J377" s="1" t="s">
        <v>4488</v>
      </c>
      <c r="K377" s="1" t="s">
        <v>4489</v>
      </c>
      <c r="L377" s="1">
        <v>1</v>
      </c>
      <c r="M377" s="1">
        <v>0</v>
      </c>
      <c r="N377" s="1" t="s">
        <v>4490</v>
      </c>
      <c r="O377" s="1" t="s">
        <v>4491</v>
      </c>
      <c r="P377" s="1" t="s">
        <v>4492</v>
      </c>
      <c r="Q377" s="1">
        <v>0</v>
      </c>
      <c r="R377" s="1" t="s">
        <v>4493</v>
      </c>
      <c r="S377" s="1" t="s">
        <v>4494</v>
      </c>
      <c r="U377" s="2">
        <v>56770</v>
      </c>
      <c r="V377" s="1">
        <v>4.8</v>
      </c>
      <c r="W377" s="1">
        <v>3000</v>
      </c>
      <c r="X377" s="1">
        <v>2067</v>
      </c>
      <c r="Y377" s="1">
        <v>368</v>
      </c>
      <c r="Z377" s="1">
        <v>602</v>
      </c>
      <c r="AA377" s="1">
        <v>1097</v>
      </c>
      <c r="AB377" s="1">
        <v>1</v>
      </c>
      <c r="AC377" s="1">
        <v>5</v>
      </c>
      <c r="AE377" s="1" t="s">
        <v>4495</v>
      </c>
      <c r="AF377" s="1" t="s">
        <v>4496</v>
      </c>
      <c r="AG377" s="1" t="s">
        <v>4497</v>
      </c>
      <c r="AH377" s="1" t="s">
        <v>4498</v>
      </c>
      <c r="AI377" s="1">
        <v>4.49</v>
      </c>
      <c r="AJ377" s="1">
        <v>2315</v>
      </c>
      <c r="AK377" s="1">
        <v>7039</v>
      </c>
      <c r="AL377" s="1">
        <v>763</v>
      </c>
    </row>
    <row r="378" spans="1:38" ht="15.75" customHeight="1">
      <c r="A378" s="1">
        <v>1254</v>
      </c>
      <c r="C378" s="1">
        <v>4001</v>
      </c>
      <c r="D378" s="1" t="s">
        <v>51</v>
      </c>
      <c r="E378" s="1" t="s">
        <v>39</v>
      </c>
      <c r="F378" s="1" t="s">
        <v>341</v>
      </c>
      <c r="G378" s="1">
        <v>0</v>
      </c>
      <c r="H378" s="1" t="s">
        <v>41</v>
      </c>
      <c r="I378" s="1" t="s">
        <v>4499</v>
      </c>
      <c r="J378" s="1" t="s">
        <v>4500</v>
      </c>
      <c r="K378" s="1" t="s">
        <v>4501</v>
      </c>
      <c r="L378" s="1">
        <v>1</v>
      </c>
      <c r="M378" s="1">
        <v>0</v>
      </c>
      <c r="N378" s="1" t="s">
        <v>4502</v>
      </c>
      <c r="O378" s="1" t="s">
        <v>4503</v>
      </c>
      <c r="P378" s="1" t="s">
        <v>4504</v>
      </c>
      <c r="Q378" s="1">
        <v>0</v>
      </c>
      <c r="R378" s="1" t="s">
        <v>4505</v>
      </c>
      <c r="S378" s="1" t="s">
        <v>4506</v>
      </c>
      <c r="U378" s="2">
        <v>56776</v>
      </c>
      <c r="V378" s="1">
        <v>4.2</v>
      </c>
      <c r="W378" s="1">
        <v>3000</v>
      </c>
      <c r="X378" s="1">
        <v>2577</v>
      </c>
      <c r="Y378" s="1">
        <v>985</v>
      </c>
      <c r="Z378" s="1">
        <v>899</v>
      </c>
      <c r="AA378" s="1">
        <v>693</v>
      </c>
      <c r="AB378" s="1">
        <v>0</v>
      </c>
      <c r="AC378" s="1">
        <v>4</v>
      </c>
      <c r="AD378" s="1" t="s">
        <v>62</v>
      </c>
      <c r="AE378" s="1" t="s">
        <v>4507</v>
      </c>
      <c r="AF378" s="1" t="s">
        <v>4508</v>
      </c>
      <c r="AG378" s="1" t="s">
        <v>4509</v>
      </c>
      <c r="AH378" s="1" t="s">
        <v>4510</v>
      </c>
      <c r="AI378" s="1">
        <v>4.54</v>
      </c>
      <c r="AJ378" s="1">
        <v>2229</v>
      </c>
      <c r="AK378" s="1">
        <v>6580</v>
      </c>
    </row>
    <row r="379" spans="1:38" ht="15.75" customHeight="1">
      <c r="A379" s="1">
        <v>426</v>
      </c>
      <c r="C379" s="1">
        <v>4050</v>
      </c>
      <c r="D379" s="1" t="s">
        <v>38</v>
      </c>
      <c r="E379" s="1" t="s">
        <v>39</v>
      </c>
      <c r="F379" s="1" t="s">
        <v>40</v>
      </c>
      <c r="G379" s="1">
        <v>0</v>
      </c>
      <c r="H379" s="1" t="s">
        <v>41</v>
      </c>
      <c r="I379" s="1" t="s">
        <v>4511</v>
      </c>
      <c r="J379" s="1" t="s">
        <v>4512</v>
      </c>
      <c r="K379" s="1" t="s">
        <v>4513</v>
      </c>
      <c r="L379" s="1">
        <v>1</v>
      </c>
      <c r="M379" s="1">
        <v>0</v>
      </c>
      <c r="N379" s="1" t="s">
        <v>4514</v>
      </c>
      <c r="O379" s="1" t="s">
        <v>4515</v>
      </c>
      <c r="P379" s="1" t="s">
        <v>4516</v>
      </c>
      <c r="Q379" s="1">
        <v>0</v>
      </c>
      <c r="R379" s="1" t="s">
        <v>4517</v>
      </c>
      <c r="S379" s="1" t="s">
        <v>4518</v>
      </c>
      <c r="U379" s="2">
        <v>56769</v>
      </c>
      <c r="V379" s="1">
        <v>4.8</v>
      </c>
      <c r="W379" s="1">
        <v>3000</v>
      </c>
      <c r="X379" s="1">
        <v>2014</v>
      </c>
      <c r="Y379" s="1">
        <v>773</v>
      </c>
      <c r="Z379" s="1">
        <v>445</v>
      </c>
      <c r="AA379" s="1">
        <v>796</v>
      </c>
      <c r="AB379" s="1">
        <v>0</v>
      </c>
      <c r="AC379" s="1">
        <v>4</v>
      </c>
      <c r="AD379" s="1" t="s">
        <v>215</v>
      </c>
      <c r="AE379" s="1" t="s">
        <v>4519</v>
      </c>
      <c r="AF379" s="1" t="s">
        <v>4520</v>
      </c>
      <c r="AG379" s="1" t="s">
        <v>4521</v>
      </c>
      <c r="AH379" s="1" t="s">
        <v>4522</v>
      </c>
      <c r="AI379" s="1">
        <v>4.7</v>
      </c>
      <c r="AJ379" s="1">
        <v>1261</v>
      </c>
      <c r="AK379" s="1">
        <v>3264</v>
      </c>
      <c r="AL379" s="1">
        <v>232</v>
      </c>
    </row>
    <row r="380" spans="1:38" ht="15.75" customHeight="1">
      <c r="A380" s="1">
        <v>496</v>
      </c>
      <c r="B380" s="1">
        <v>5</v>
      </c>
      <c r="C380" s="1">
        <v>4050</v>
      </c>
      <c r="D380" s="1" t="s">
        <v>38</v>
      </c>
      <c r="E380" s="1" t="s">
        <v>39</v>
      </c>
      <c r="F380" s="1" t="s">
        <v>510</v>
      </c>
      <c r="G380" s="1">
        <v>0</v>
      </c>
      <c r="H380" s="1" t="s">
        <v>41</v>
      </c>
      <c r="I380" s="1" t="s">
        <v>4523</v>
      </c>
      <c r="J380" s="1" t="s">
        <v>4524</v>
      </c>
      <c r="K380" s="1" t="s">
        <v>4525</v>
      </c>
      <c r="L380" s="1">
        <v>1</v>
      </c>
      <c r="M380" s="1">
        <v>0</v>
      </c>
      <c r="N380" s="1" t="s">
        <v>4526</v>
      </c>
      <c r="O380" s="1" t="s">
        <v>4527</v>
      </c>
      <c r="P380" s="1" t="s">
        <v>4528</v>
      </c>
      <c r="Q380" s="1">
        <v>0</v>
      </c>
      <c r="R380" s="1" t="s">
        <v>4529</v>
      </c>
      <c r="S380" s="1" t="s">
        <v>4530</v>
      </c>
      <c r="U380" s="2">
        <v>56769</v>
      </c>
      <c r="V380" s="1">
        <v>2.8482993680000002</v>
      </c>
      <c r="W380" s="1">
        <v>3000</v>
      </c>
      <c r="X380" s="1">
        <v>1196</v>
      </c>
      <c r="Y380" s="1">
        <v>246</v>
      </c>
      <c r="Z380" s="1">
        <v>942</v>
      </c>
      <c r="AA380" s="1">
        <v>8</v>
      </c>
      <c r="AB380" s="1">
        <v>0</v>
      </c>
      <c r="AC380" s="1">
        <v>2</v>
      </c>
      <c r="AD380" s="1" t="s">
        <v>215</v>
      </c>
      <c r="AE380" s="1" t="s">
        <v>4531</v>
      </c>
      <c r="AF380" s="1" t="s">
        <v>4532</v>
      </c>
      <c r="AG380" s="1" t="s">
        <v>4533</v>
      </c>
      <c r="AH380" s="1" t="s">
        <v>4534</v>
      </c>
      <c r="AI380" s="1">
        <v>4.62</v>
      </c>
      <c r="AJ380" s="1">
        <v>259</v>
      </c>
      <c r="AK380" s="1">
        <v>604</v>
      </c>
      <c r="AL380" s="1">
        <v>21</v>
      </c>
    </row>
    <row r="381" spans="1:38" ht="15.75" customHeight="1">
      <c r="A381" s="1">
        <v>905</v>
      </c>
      <c r="C381" s="1">
        <v>4001</v>
      </c>
      <c r="D381" s="1" t="s">
        <v>51</v>
      </c>
      <c r="E381" s="1" t="s">
        <v>39</v>
      </c>
      <c r="F381" s="1" t="s">
        <v>414</v>
      </c>
      <c r="G381" s="1">
        <v>0</v>
      </c>
      <c r="H381" s="1" t="s">
        <v>53</v>
      </c>
      <c r="I381" s="1" t="s">
        <v>4535</v>
      </c>
      <c r="J381" s="1" t="s">
        <v>4536</v>
      </c>
      <c r="K381" s="1" t="s">
        <v>4537</v>
      </c>
      <c r="L381" s="1">
        <v>1</v>
      </c>
      <c r="M381" s="1">
        <v>0</v>
      </c>
      <c r="N381" s="1" t="s">
        <v>4538</v>
      </c>
      <c r="O381" s="1" t="s">
        <v>4539</v>
      </c>
      <c r="P381" s="1" t="s">
        <v>4540</v>
      </c>
      <c r="Q381" s="1">
        <v>0</v>
      </c>
      <c r="R381" s="1" t="s">
        <v>4541</v>
      </c>
      <c r="S381" s="1" t="s">
        <v>4542</v>
      </c>
      <c r="U381" s="2">
        <v>56772</v>
      </c>
      <c r="V381" s="1">
        <v>4.4000000000000004</v>
      </c>
      <c r="W381" s="1">
        <v>3000</v>
      </c>
      <c r="X381" s="1">
        <v>2007</v>
      </c>
      <c r="Y381" s="1">
        <v>1081</v>
      </c>
      <c r="AA381" s="1">
        <v>928</v>
      </c>
      <c r="AB381" s="1">
        <v>0</v>
      </c>
      <c r="AC381" s="1">
        <v>3</v>
      </c>
      <c r="AD381" s="1" t="s">
        <v>215</v>
      </c>
      <c r="AE381" s="1" t="s">
        <v>4543</v>
      </c>
      <c r="AF381" s="1" t="s">
        <v>4544</v>
      </c>
      <c r="AG381" s="1" t="s">
        <v>4545</v>
      </c>
      <c r="AH381" s="1" t="s">
        <v>4546</v>
      </c>
      <c r="AI381" s="1">
        <v>4.58</v>
      </c>
      <c r="AJ381" s="1">
        <v>254</v>
      </c>
      <c r="AK381" s="1">
        <v>788</v>
      </c>
      <c r="AL381" s="1">
        <v>9</v>
      </c>
    </row>
    <row r="382" spans="1:38" ht="15.75" customHeight="1">
      <c r="A382" s="1">
        <v>475</v>
      </c>
      <c r="C382" s="1">
        <v>4050</v>
      </c>
      <c r="D382" s="1" t="s">
        <v>38</v>
      </c>
      <c r="E382" s="1" t="s">
        <v>39</v>
      </c>
      <c r="F382" s="1" t="s">
        <v>280</v>
      </c>
      <c r="G382" s="1">
        <v>0</v>
      </c>
      <c r="H382" s="1" t="s">
        <v>41</v>
      </c>
      <c r="I382" s="1" t="s">
        <v>4547</v>
      </c>
      <c r="J382" s="1" t="s">
        <v>4548</v>
      </c>
      <c r="K382" s="1" t="s">
        <v>4549</v>
      </c>
      <c r="L382" s="1">
        <v>1</v>
      </c>
      <c r="M382" s="1">
        <v>0</v>
      </c>
      <c r="N382" s="1" t="s">
        <v>4550</v>
      </c>
      <c r="O382" s="1" t="s">
        <v>4551</v>
      </c>
      <c r="P382" s="1" t="s">
        <v>4552</v>
      </c>
      <c r="Q382" s="1">
        <v>0</v>
      </c>
      <c r="R382" s="1" t="s">
        <v>4553</v>
      </c>
      <c r="U382" s="2">
        <v>56769</v>
      </c>
      <c r="V382" s="1">
        <v>4.4000000000000004</v>
      </c>
      <c r="W382" s="1">
        <v>3000</v>
      </c>
      <c r="X382" s="1">
        <v>2517</v>
      </c>
      <c r="AA382" s="1">
        <v>807</v>
      </c>
      <c r="AB382" s="1">
        <v>1</v>
      </c>
      <c r="AC382" s="1">
        <v>3</v>
      </c>
      <c r="AE382" s="1" t="s">
        <v>4554</v>
      </c>
      <c r="AF382" s="1" t="s">
        <v>4555</v>
      </c>
      <c r="AG382" s="1" t="s">
        <v>4556</v>
      </c>
      <c r="AI382" s="1">
        <v>4.49</v>
      </c>
      <c r="AJ382" s="1">
        <v>2315</v>
      </c>
      <c r="AK382" s="1">
        <v>7039</v>
      </c>
      <c r="AL382" s="1">
        <v>763</v>
      </c>
    </row>
    <row r="383" spans="1:38" ht="15.75" customHeight="1">
      <c r="A383" s="1">
        <v>362</v>
      </c>
      <c r="C383" s="1">
        <v>4050</v>
      </c>
      <c r="D383" s="1" t="s">
        <v>38</v>
      </c>
      <c r="E383" s="1" t="s">
        <v>39</v>
      </c>
      <c r="F383" s="1" t="s">
        <v>365</v>
      </c>
      <c r="G383" s="1">
        <v>0</v>
      </c>
      <c r="H383" s="1" t="s">
        <v>41</v>
      </c>
      <c r="I383" s="1" t="s">
        <v>4557</v>
      </c>
      <c r="J383" s="1" t="s">
        <v>4558</v>
      </c>
      <c r="K383" s="1" t="s">
        <v>4559</v>
      </c>
      <c r="L383" s="1">
        <v>1</v>
      </c>
      <c r="M383" s="1">
        <v>0</v>
      </c>
      <c r="N383" s="1" t="s">
        <v>4560</v>
      </c>
      <c r="O383" s="1" t="s">
        <v>4561</v>
      </c>
      <c r="P383" s="1" t="s">
        <v>4562</v>
      </c>
      <c r="Q383" s="1">
        <v>0</v>
      </c>
      <c r="R383" s="1" t="s">
        <v>4563</v>
      </c>
      <c r="S383" s="1" t="s">
        <v>4564</v>
      </c>
      <c r="U383" s="2">
        <v>56768</v>
      </c>
      <c r="V383" s="1">
        <v>4.5999999999999996</v>
      </c>
      <c r="W383" s="1">
        <v>3000</v>
      </c>
      <c r="X383" s="1">
        <v>2157</v>
      </c>
      <c r="Y383" s="1">
        <v>746</v>
      </c>
      <c r="Z383" s="1">
        <v>586</v>
      </c>
      <c r="AA383" s="1">
        <v>825</v>
      </c>
      <c r="AB383" s="1">
        <v>0</v>
      </c>
      <c r="AC383" s="1">
        <v>4</v>
      </c>
      <c r="AD383" s="1" t="s">
        <v>215</v>
      </c>
      <c r="AE383" s="1" t="s">
        <v>4565</v>
      </c>
      <c r="AF383" s="1" t="s">
        <v>4566</v>
      </c>
      <c r="AG383" s="1" t="s">
        <v>4567</v>
      </c>
      <c r="AH383" s="1" t="s">
        <v>4568</v>
      </c>
      <c r="AI383" s="1">
        <v>4.7699999999999996</v>
      </c>
      <c r="AJ383" s="1">
        <v>426</v>
      </c>
      <c r="AK383" s="1">
        <v>1226</v>
      </c>
      <c r="AL383" s="1">
        <v>85</v>
      </c>
    </row>
    <row r="384" spans="1:38" ht="15.75" customHeight="1">
      <c r="A384" s="1">
        <v>835</v>
      </c>
      <c r="C384" s="1">
        <v>4001</v>
      </c>
      <c r="D384" s="1" t="s">
        <v>51</v>
      </c>
      <c r="E384" s="1" t="s">
        <v>39</v>
      </c>
      <c r="F384" s="1" t="s">
        <v>67</v>
      </c>
      <c r="G384" s="1">
        <v>0</v>
      </c>
      <c r="H384" s="1" t="s">
        <v>41</v>
      </c>
      <c r="I384" s="1" t="s">
        <v>4569</v>
      </c>
      <c r="J384" s="1" t="s">
        <v>4570</v>
      </c>
      <c r="K384" s="1" t="s">
        <v>4571</v>
      </c>
      <c r="L384" s="1">
        <v>1</v>
      </c>
      <c r="M384" s="1">
        <v>0</v>
      </c>
      <c r="N384" s="1" t="s">
        <v>4572</v>
      </c>
      <c r="O384" s="1" t="s">
        <v>4573</v>
      </c>
      <c r="P384" s="1" t="s">
        <v>4574</v>
      </c>
      <c r="Q384" s="1">
        <v>0</v>
      </c>
      <c r="R384" s="1" t="s">
        <v>4575</v>
      </c>
      <c r="S384" s="1" t="s">
        <v>4576</v>
      </c>
      <c r="U384" s="2">
        <v>56772</v>
      </c>
      <c r="V384" s="1">
        <v>4.4000000000000004</v>
      </c>
      <c r="W384" s="1">
        <v>3000</v>
      </c>
      <c r="X384" s="1">
        <v>3716</v>
      </c>
      <c r="Y384" s="1">
        <v>1393</v>
      </c>
      <c r="Z384" s="1">
        <v>338</v>
      </c>
      <c r="AA384" s="1">
        <v>1985</v>
      </c>
      <c r="AB384" s="1">
        <v>1</v>
      </c>
      <c r="AC384" s="1">
        <v>3</v>
      </c>
      <c r="AE384" s="1" t="s">
        <v>4577</v>
      </c>
      <c r="AF384" s="1" t="s">
        <v>4578</v>
      </c>
      <c r="AG384" s="1" t="s">
        <v>4579</v>
      </c>
      <c r="AH384" s="1" t="s">
        <v>4580</v>
      </c>
      <c r="AI384" s="1">
        <v>3.82</v>
      </c>
      <c r="AJ384" s="1">
        <v>174</v>
      </c>
      <c r="AK384" s="1">
        <v>773</v>
      </c>
    </row>
    <row r="385" spans="1:38" ht="15.75" customHeight="1">
      <c r="A385" s="1">
        <v>675</v>
      </c>
      <c r="C385" s="1">
        <v>4050</v>
      </c>
      <c r="D385" s="1" t="s">
        <v>38</v>
      </c>
      <c r="E385" s="1" t="s">
        <v>39</v>
      </c>
      <c r="F385" s="1" t="s">
        <v>280</v>
      </c>
      <c r="G385" s="1">
        <v>0</v>
      </c>
      <c r="H385" s="1" t="s">
        <v>41</v>
      </c>
      <c r="I385" s="1" t="s">
        <v>4581</v>
      </c>
      <c r="J385" s="1" t="s">
        <v>4582</v>
      </c>
      <c r="K385" s="1" t="s">
        <v>4583</v>
      </c>
      <c r="L385" s="1">
        <v>1</v>
      </c>
      <c r="M385" s="1">
        <v>0</v>
      </c>
      <c r="N385" s="1" t="s">
        <v>4584</v>
      </c>
      <c r="O385" s="1" t="s">
        <v>4585</v>
      </c>
      <c r="P385" s="1" t="s">
        <v>4586</v>
      </c>
      <c r="Q385" s="1">
        <v>0</v>
      </c>
      <c r="R385" s="1" t="s">
        <v>4587</v>
      </c>
      <c r="S385" s="1" t="s">
        <v>4588</v>
      </c>
      <c r="U385" s="2">
        <v>56770</v>
      </c>
      <c r="V385" s="1">
        <v>3.0894022720000001</v>
      </c>
      <c r="W385" s="1">
        <v>3000</v>
      </c>
      <c r="X385" s="1">
        <v>1772</v>
      </c>
      <c r="Y385" s="1">
        <v>319</v>
      </c>
      <c r="Z385" s="1">
        <v>586</v>
      </c>
      <c r="AA385" s="1">
        <v>867</v>
      </c>
      <c r="AB385" s="1">
        <v>0</v>
      </c>
      <c r="AC385" s="1">
        <v>3</v>
      </c>
      <c r="AD385" s="1" t="s">
        <v>62</v>
      </c>
      <c r="AE385" s="1" t="s">
        <v>4589</v>
      </c>
      <c r="AF385" s="1" t="s">
        <v>4590</v>
      </c>
      <c r="AG385" s="1" t="s">
        <v>4591</v>
      </c>
      <c r="AH385" s="1" t="s">
        <v>4592</v>
      </c>
      <c r="AI385" s="1">
        <v>4.49</v>
      </c>
      <c r="AJ385" s="1">
        <v>2315</v>
      </c>
      <c r="AK385" s="1">
        <v>7039</v>
      </c>
      <c r="AL385" s="1">
        <v>763</v>
      </c>
    </row>
    <row r="386" spans="1:38" ht="15.75" customHeight="1">
      <c r="A386" s="1">
        <v>635</v>
      </c>
      <c r="C386" s="1">
        <v>4001</v>
      </c>
      <c r="D386" s="1" t="s">
        <v>51</v>
      </c>
      <c r="E386" s="1" t="s">
        <v>39</v>
      </c>
      <c r="F386" s="1" t="s">
        <v>92</v>
      </c>
      <c r="G386" s="1">
        <v>0</v>
      </c>
      <c r="H386" s="1" t="s">
        <v>41</v>
      </c>
      <c r="I386" s="1" t="s">
        <v>4593</v>
      </c>
      <c r="J386" s="1" t="s">
        <v>4594</v>
      </c>
      <c r="K386" s="1" t="s">
        <v>4595</v>
      </c>
      <c r="L386" s="1">
        <v>1</v>
      </c>
      <c r="M386" s="1">
        <v>0</v>
      </c>
      <c r="N386" s="1" t="s">
        <v>4596</v>
      </c>
      <c r="O386" s="1" t="s">
        <v>4597</v>
      </c>
      <c r="P386" s="1" t="s">
        <v>4598</v>
      </c>
      <c r="Q386" s="1">
        <v>0</v>
      </c>
      <c r="R386" s="1" t="s">
        <v>4599</v>
      </c>
      <c r="S386" s="1" t="s">
        <v>4600</v>
      </c>
      <c r="U386" s="2">
        <v>56770</v>
      </c>
      <c r="V386" s="1">
        <v>4.4000000000000004</v>
      </c>
      <c r="W386" s="1">
        <v>3000</v>
      </c>
      <c r="X386" s="1">
        <v>2882</v>
      </c>
      <c r="Y386" s="1">
        <v>1415</v>
      </c>
      <c r="Z386" s="1">
        <v>426</v>
      </c>
      <c r="AA386" s="1">
        <v>1041</v>
      </c>
      <c r="AB386" s="1">
        <v>0</v>
      </c>
      <c r="AC386" s="1">
        <v>2</v>
      </c>
      <c r="AD386" s="1" t="s">
        <v>76</v>
      </c>
      <c r="AE386" s="1" t="s">
        <v>4601</v>
      </c>
      <c r="AF386" s="1" t="s">
        <v>4602</v>
      </c>
      <c r="AG386" s="1" t="s">
        <v>4603</v>
      </c>
      <c r="AH386" s="1" t="s">
        <v>4604</v>
      </c>
      <c r="AI386" s="1">
        <v>4.03</v>
      </c>
      <c r="AJ386" s="1">
        <v>505</v>
      </c>
      <c r="AK386" s="1">
        <v>1721</v>
      </c>
      <c r="AL386" s="1">
        <v>457</v>
      </c>
    </row>
    <row r="387" spans="1:38" ht="15.75" customHeight="1">
      <c r="A387" s="1">
        <v>976</v>
      </c>
      <c r="B387" s="1">
        <v>5</v>
      </c>
      <c r="C387" s="1">
        <v>4001</v>
      </c>
      <c r="D387" s="1" t="s">
        <v>51</v>
      </c>
      <c r="E387" s="1" t="s">
        <v>39</v>
      </c>
      <c r="F387" s="1" t="s">
        <v>341</v>
      </c>
      <c r="G387" s="1">
        <v>0</v>
      </c>
      <c r="H387" s="1" t="s">
        <v>41</v>
      </c>
      <c r="I387" s="1" t="s">
        <v>4605</v>
      </c>
      <c r="J387" s="1" t="s">
        <v>4606</v>
      </c>
      <c r="K387" s="1" t="s">
        <v>4607</v>
      </c>
      <c r="L387" s="1">
        <v>1</v>
      </c>
      <c r="M387" s="1">
        <v>0</v>
      </c>
      <c r="N387" s="1" t="s">
        <v>4608</v>
      </c>
      <c r="O387" s="1" t="s">
        <v>4609</v>
      </c>
      <c r="P387" s="1" t="s">
        <v>4610</v>
      </c>
      <c r="Q387" s="1">
        <v>0</v>
      </c>
      <c r="R387" s="1" t="s">
        <v>4611</v>
      </c>
      <c r="S387" s="1" t="s">
        <v>4612</v>
      </c>
      <c r="U387" s="2">
        <v>56773</v>
      </c>
      <c r="V387" s="1">
        <v>4.0999999999999996</v>
      </c>
      <c r="W387" s="1">
        <v>3000</v>
      </c>
      <c r="X387" s="1">
        <v>1529</v>
      </c>
      <c r="Y387" s="1">
        <v>599</v>
      </c>
      <c r="Z387" s="1">
        <v>202</v>
      </c>
      <c r="AA387" s="1">
        <v>728</v>
      </c>
      <c r="AB387" s="1">
        <v>0</v>
      </c>
      <c r="AC387" s="1">
        <v>3</v>
      </c>
      <c r="AD387" s="1" t="s">
        <v>215</v>
      </c>
      <c r="AE387" s="1" t="s">
        <v>4613</v>
      </c>
      <c r="AF387" s="1" t="s">
        <v>4614</v>
      </c>
      <c r="AG387" s="1" t="s">
        <v>4615</v>
      </c>
      <c r="AH387" s="1" t="s">
        <v>4616</v>
      </c>
      <c r="AI387" s="1">
        <v>4.54</v>
      </c>
      <c r="AJ387" s="1">
        <v>2229</v>
      </c>
      <c r="AK387" s="1">
        <v>6580</v>
      </c>
    </row>
    <row r="388" spans="1:38" ht="15.75" customHeight="1">
      <c r="A388" s="1">
        <v>1220</v>
      </c>
      <c r="B388" s="1">
        <v>5</v>
      </c>
      <c r="C388" s="1">
        <v>4001</v>
      </c>
      <c r="D388" s="1" t="s">
        <v>51</v>
      </c>
      <c r="E388" s="1" t="s">
        <v>39</v>
      </c>
      <c r="F388" s="1" t="s">
        <v>1456</v>
      </c>
      <c r="G388" s="1">
        <v>1</v>
      </c>
      <c r="H388" s="1" t="s">
        <v>53</v>
      </c>
      <c r="I388" s="1" t="s">
        <v>4617</v>
      </c>
      <c r="J388" s="1" t="s">
        <v>4618</v>
      </c>
      <c r="K388" s="1" t="s">
        <v>4619</v>
      </c>
      <c r="L388" s="1">
        <v>1</v>
      </c>
      <c r="M388" s="1">
        <v>0</v>
      </c>
      <c r="N388" s="1" t="s">
        <v>4620</v>
      </c>
      <c r="O388" s="1" t="s">
        <v>4621</v>
      </c>
      <c r="P388" s="1" t="s">
        <v>4622</v>
      </c>
      <c r="Q388" s="1">
        <v>0</v>
      </c>
      <c r="R388" s="1" t="s">
        <v>4623</v>
      </c>
      <c r="S388" s="1" t="s">
        <v>4624</v>
      </c>
      <c r="U388" s="2">
        <v>56775</v>
      </c>
      <c r="V388" s="1">
        <v>4.5999999999999996</v>
      </c>
      <c r="W388" s="1">
        <v>3000</v>
      </c>
      <c r="X388" s="1">
        <v>1758</v>
      </c>
      <c r="Y388" s="1">
        <v>977</v>
      </c>
      <c r="Z388" s="1">
        <v>159</v>
      </c>
      <c r="AA388" s="1">
        <v>622</v>
      </c>
      <c r="AB388" s="1">
        <v>0</v>
      </c>
      <c r="AC388" s="1">
        <v>2</v>
      </c>
      <c r="AD388" s="1" t="s">
        <v>76</v>
      </c>
      <c r="AE388" s="1" t="s">
        <v>4625</v>
      </c>
      <c r="AF388" s="1" t="s">
        <v>4626</v>
      </c>
      <c r="AG388" s="1" t="s">
        <v>4627</v>
      </c>
      <c r="AH388" s="1" t="s">
        <v>4628</v>
      </c>
      <c r="AI388" s="1">
        <v>4.5</v>
      </c>
      <c r="AJ388" s="1">
        <v>394</v>
      </c>
      <c r="AK388" s="1">
        <v>1403</v>
      </c>
    </row>
    <row r="389" spans="1:38" ht="15.75" customHeight="1">
      <c r="A389" s="1">
        <v>1327</v>
      </c>
      <c r="B389" s="1">
        <v>4</v>
      </c>
      <c r="C389" s="1">
        <v>4001</v>
      </c>
      <c r="D389" s="1" t="s">
        <v>51</v>
      </c>
      <c r="E389" s="1" t="s">
        <v>39</v>
      </c>
      <c r="F389" s="1" t="s">
        <v>1456</v>
      </c>
      <c r="G389" s="1">
        <v>0</v>
      </c>
      <c r="H389" s="1" t="s">
        <v>53</v>
      </c>
      <c r="I389" s="1" t="s">
        <v>4629</v>
      </c>
      <c r="J389" s="1" t="s">
        <v>4630</v>
      </c>
      <c r="K389" s="1" t="s">
        <v>4631</v>
      </c>
      <c r="L389" s="1">
        <v>1</v>
      </c>
      <c r="M389" s="1">
        <v>0</v>
      </c>
      <c r="N389" s="1" t="s">
        <v>4632</v>
      </c>
      <c r="O389" s="1" t="s">
        <v>4633</v>
      </c>
      <c r="P389" s="1" t="s">
        <v>4634</v>
      </c>
      <c r="Q389" s="1">
        <v>0</v>
      </c>
      <c r="R389" s="1" t="s">
        <v>4635</v>
      </c>
      <c r="S389" s="1" t="s">
        <v>4636</v>
      </c>
      <c r="U389" s="2">
        <v>56776</v>
      </c>
      <c r="V389" s="1">
        <v>4.5999999999999996</v>
      </c>
      <c r="W389" s="1">
        <v>3000</v>
      </c>
      <c r="X389" s="1">
        <v>2399</v>
      </c>
      <c r="Y389" s="1">
        <v>616</v>
      </c>
      <c r="Z389" s="1">
        <v>219</v>
      </c>
      <c r="AA389" s="1">
        <v>1564</v>
      </c>
      <c r="AB389" s="1">
        <v>0</v>
      </c>
      <c r="AC389" s="1">
        <v>4</v>
      </c>
      <c r="AD389" s="1" t="s">
        <v>76</v>
      </c>
      <c r="AE389" s="1" t="s">
        <v>4637</v>
      </c>
      <c r="AF389" s="1" t="s">
        <v>4638</v>
      </c>
      <c r="AG389" s="1" t="s">
        <v>4639</v>
      </c>
      <c r="AH389" s="1" t="s">
        <v>4640</v>
      </c>
      <c r="AI389" s="1">
        <v>4.5</v>
      </c>
      <c r="AJ389" s="1">
        <v>394</v>
      </c>
      <c r="AK389" s="1">
        <v>1403</v>
      </c>
    </row>
    <row r="390" spans="1:38" ht="15.75" customHeight="1">
      <c r="A390" s="1">
        <v>1356</v>
      </c>
      <c r="C390" s="1">
        <v>4001</v>
      </c>
      <c r="D390" s="1" t="s">
        <v>51</v>
      </c>
      <c r="E390" s="1" t="s">
        <v>39</v>
      </c>
      <c r="F390" s="1" t="s">
        <v>648</v>
      </c>
      <c r="G390" s="1">
        <v>0</v>
      </c>
      <c r="H390" s="1" t="s">
        <v>53</v>
      </c>
      <c r="I390" s="1" t="s">
        <v>4641</v>
      </c>
      <c r="J390" s="1" t="s">
        <v>4642</v>
      </c>
      <c r="K390" s="1" t="s">
        <v>4643</v>
      </c>
      <c r="L390" s="1">
        <v>1</v>
      </c>
      <c r="M390" s="1">
        <v>0</v>
      </c>
      <c r="N390" s="1" t="s">
        <v>4644</v>
      </c>
      <c r="O390" s="1" t="s">
        <v>4645</v>
      </c>
      <c r="P390" s="1" t="s">
        <v>4646</v>
      </c>
      <c r="Q390" s="1">
        <v>0</v>
      </c>
      <c r="R390" s="1" t="s">
        <v>4647</v>
      </c>
      <c r="S390" s="1" t="s">
        <v>4648</v>
      </c>
      <c r="U390" s="2">
        <v>56776</v>
      </c>
      <c r="V390" s="1">
        <v>4.7147049110000001</v>
      </c>
      <c r="W390" s="1">
        <v>3000</v>
      </c>
      <c r="X390" s="1">
        <v>819</v>
      </c>
      <c r="Y390" s="1">
        <v>317</v>
      </c>
      <c r="Z390" s="1">
        <v>135</v>
      </c>
      <c r="AA390" s="1">
        <v>367</v>
      </c>
      <c r="AB390" s="1">
        <v>0</v>
      </c>
      <c r="AC390" s="1">
        <v>3</v>
      </c>
      <c r="AD390" s="1" t="s">
        <v>76</v>
      </c>
      <c r="AE390" s="1" t="s">
        <v>4649</v>
      </c>
      <c r="AF390" s="1" t="s">
        <v>4650</v>
      </c>
      <c r="AG390" s="1" t="s">
        <v>4651</v>
      </c>
      <c r="AH390" s="1" t="s">
        <v>4652</v>
      </c>
      <c r="AI390" s="1">
        <v>4.7</v>
      </c>
      <c r="AJ390" s="1">
        <v>443</v>
      </c>
      <c r="AK390" s="1">
        <v>1579</v>
      </c>
    </row>
    <row r="391" spans="1:38" ht="15.75" customHeight="1">
      <c r="A391" s="1">
        <v>143</v>
      </c>
      <c r="C391" s="1">
        <v>4001</v>
      </c>
      <c r="D391" s="1" t="s">
        <v>51</v>
      </c>
      <c r="E391" s="1" t="s">
        <v>39</v>
      </c>
      <c r="F391" s="1" t="s">
        <v>341</v>
      </c>
      <c r="G391" s="1">
        <v>0</v>
      </c>
      <c r="H391" s="1" t="s">
        <v>41</v>
      </c>
      <c r="I391" s="1" t="s">
        <v>4653</v>
      </c>
      <c r="J391" s="1" t="s">
        <v>4654</v>
      </c>
      <c r="K391" s="1" t="s">
        <v>4655</v>
      </c>
      <c r="L391" s="1">
        <v>1</v>
      </c>
      <c r="M391" s="1">
        <v>0</v>
      </c>
      <c r="N391" s="1" t="s">
        <v>4656</v>
      </c>
      <c r="O391" s="1" t="s">
        <v>4657</v>
      </c>
      <c r="P391" s="1" t="s">
        <v>4658</v>
      </c>
      <c r="Q391" s="1">
        <v>0</v>
      </c>
      <c r="R391" s="1" t="s">
        <v>4659</v>
      </c>
      <c r="S391" s="1" t="s">
        <v>4660</v>
      </c>
      <c r="U391" s="2">
        <v>56767</v>
      </c>
      <c r="V391" s="1">
        <v>3.8</v>
      </c>
      <c r="W391" s="1">
        <v>3000</v>
      </c>
      <c r="X391" s="1">
        <v>1944</v>
      </c>
      <c r="Y391" s="1">
        <v>280</v>
      </c>
      <c r="Z391" s="1">
        <v>1086</v>
      </c>
      <c r="AA391" s="1">
        <v>578</v>
      </c>
      <c r="AB391" s="1">
        <v>0</v>
      </c>
      <c r="AC391" s="1">
        <v>2</v>
      </c>
      <c r="AD391" s="1" t="s">
        <v>62</v>
      </c>
      <c r="AE391" s="1" t="s">
        <v>4661</v>
      </c>
      <c r="AF391" s="1" t="s">
        <v>4662</v>
      </c>
      <c r="AG391" s="1" t="s">
        <v>4663</v>
      </c>
      <c r="AH391" s="1" t="s">
        <v>4664</v>
      </c>
      <c r="AI391" s="1">
        <v>4.54</v>
      </c>
      <c r="AJ391" s="1">
        <v>2229</v>
      </c>
      <c r="AK391" s="1">
        <v>6580</v>
      </c>
    </row>
    <row r="392" spans="1:38" ht="15.75" customHeight="1">
      <c r="A392" s="1">
        <v>458</v>
      </c>
      <c r="C392" s="1">
        <v>4050</v>
      </c>
      <c r="D392" s="1" t="s">
        <v>38</v>
      </c>
      <c r="E392" s="1" t="s">
        <v>39</v>
      </c>
      <c r="F392" s="1" t="s">
        <v>390</v>
      </c>
      <c r="G392" s="1">
        <v>0</v>
      </c>
      <c r="H392" s="1" t="s">
        <v>41</v>
      </c>
      <c r="I392" s="1" t="s">
        <v>4665</v>
      </c>
      <c r="J392" s="1" t="s">
        <v>4666</v>
      </c>
      <c r="K392" s="1" t="s">
        <v>4667</v>
      </c>
      <c r="L392" s="1">
        <v>1</v>
      </c>
      <c r="M392" s="1">
        <v>0</v>
      </c>
      <c r="N392" s="1" t="s">
        <v>4668</v>
      </c>
      <c r="O392" s="1" t="s">
        <v>4669</v>
      </c>
      <c r="P392" s="1" t="s">
        <v>4670</v>
      </c>
      <c r="Q392" s="1">
        <v>0</v>
      </c>
      <c r="R392" s="1" t="s">
        <v>4671</v>
      </c>
      <c r="S392" s="1" t="s">
        <v>4672</v>
      </c>
      <c r="U392" s="2">
        <v>56769</v>
      </c>
      <c r="V392" s="1">
        <v>4.7</v>
      </c>
      <c r="W392" s="1">
        <v>3000</v>
      </c>
      <c r="X392" s="1">
        <v>1400</v>
      </c>
      <c r="Y392" s="1">
        <v>295</v>
      </c>
      <c r="Z392" s="1">
        <v>679</v>
      </c>
      <c r="AA392" s="1">
        <v>426</v>
      </c>
      <c r="AB392" s="1">
        <v>0</v>
      </c>
      <c r="AC392" s="1">
        <v>2</v>
      </c>
      <c r="AD392" s="1" t="s">
        <v>76</v>
      </c>
      <c r="AE392" s="1" t="s">
        <v>4673</v>
      </c>
      <c r="AF392" s="1" t="s">
        <v>4674</v>
      </c>
      <c r="AG392" s="1" t="s">
        <v>4675</v>
      </c>
      <c r="AH392" s="1" t="s">
        <v>4676</v>
      </c>
      <c r="AI392" s="1">
        <v>4.5599999999999996</v>
      </c>
      <c r="AJ392" s="1">
        <v>344</v>
      </c>
      <c r="AK392" s="1">
        <v>947</v>
      </c>
      <c r="AL392" s="1">
        <v>22</v>
      </c>
    </row>
    <row r="393" spans="1:38" ht="15.75" customHeight="1">
      <c r="A393" s="1">
        <v>222</v>
      </c>
      <c r="C393" s="1">
        <v>4001</v>
      </c>
      <c r="D393" s="1" t="s">
        <v>51</v>
      </c>
      <c r="E393" s="1" t="s">
        <v>39</v>
      </c>
      <c r="F393" s="1" t="s">
        <v>92</v>
      </c>
      <c r="G393" s="1">
        <v>0</v>
      </c>
      <c r="H393" s="1" t="s">
        <v>41</v>
      </c>
      <c r="I393" s="1" t="s">
        <v>4677</v>
      </c>
      <c r="J393" s="1" t="s">
        <v>4678</v>
      </c>
      <c r="K393" s="1" t="s">
        <v>4679</v>
      </c>
      <c r="L393" s="1">
        <v>1</v>
      </c>
      <c r="M393" s="1">
        <v>0</v>
      </c>
      <c r="N393" s="1" t="s">
        <v>4680</v>
      </c>
      <c r="O393" s="1" t="s">
        <v>4681</v>
      </c>
      <c r="P393" s="1" t="s">
        <v>4682</v>
      </c>
      <c r="Q393" s="1">
        <v>0</v>
      </c>
      <c r="R393" s="1" t="s">
        <v>4683</v>
      </c>
      <c r="S393" s="1" t="s">
        <v>4684</v>
      </c>
      <c r="U393" s="2">
        <v>56767</v>
      </c>
      <c r="V393" s="1">
        <v>4</v>
      </c>
      <c r="W393" s="1">
        <v>3000</v>
      </c>
      <c r="X393" s="1">
        <v>2884</v>
      </c>
      <c r="Y393" s="1">
        <v>1342</v>
      </c>
      <c r="Z393" s="1">
        <v>237</v>
      </c>
      <c r="AA393" s="1">
        <v>1305</v>
      </c>
      <c r="AB393" s="1">
        <v>0</v>
      </c>
      <c r="AC393" s="1">
        <v>2</v>
      </c>
      <c r="AD393" s="1" t="s">
        <v>76</v>
      </c>
      <c r="AE393" s="1" t="s">
        <v>4685</v>
      </c>
      <c r="AF393" s="1" t="s">
        <v>4686</v>
      </c>
      <c r="AG393" s="1" t="s">
        <v>4687</v>
      </c>
      <c r="AH393" s="1" t="s">
        <v>4688</v>
      </c>
      <c r="AI393" s="1">
        <v>4.03</v>
      </c>
      <c r="AJ393" s="1">
        <v>505</v>
      </c>
      <c r="AK393" s="1">
        <v>1721</v>
      </c>
      <c r="AL393" s="1">
        <v>457</v>
      </c>
    </row>
    <row r="394" spans="1:38" ht="15.75" customHeight="1">
      <c r="A394" s="1">
        <v>1222</v>
      </c>
      <c r="C394" s="1">
        <v>4001</v>
      </c>
      <c r="D394" s="1" t="s">
        <v>51</v>
      </c>
      <c r="E394" s="1" t="s">
        <v>39</v>
      </c>
      <c r="F394" s="1" t="s">
        <v>1915</v>
      </c>
      <c r="G394" s="1">
        <v>0</v>
      </c>
      <c r="H394" s="1" t="s">
        <v>53</v>
      </c>
      <c r="I394" s="1" t="s">
        <v>4689</v>
      </c>
      <c r="J394" s="1" t="s">
        <v>4690</v>
      </c>
      <c r="K394" s="1" t="s">
        <v>4691</v>
      </c>
      <c r="L394" s="1">
        <v>1</v>
      </c>
      <c r="M394" s="1">
        <v>0</v>
      </c>
      <c r="N394" s="1" t="s">
        <v>4692</v>
      </c>
      <c r="O394" s="1" t="s">
        <v>4693</v>
      </c>
      <c r="P394" s="1" t="s">
        <v>4694</v>
      </c>
      <c r="Q394" s="1">
        <v>0</v>
      </c>
      <c r="R394" s="1" t="s">
        <v>4695</v>
      </c>
      <c r="U394" s="2">
        <v>56775</v>
      </c>
      <c r="V394" s="1">
        <v>4.5</v>
      </c>
      <c r="W394" s="1">
        <v>3000</v>
      </c>
      <c r="X394" s="1">
        <v>3261</v>
      </c>
      <c r="AA394" s="1">
        <v>1262</v>
      </c>
      <c r="AB394" s="1">
        <v>0</v>
      </c>
      <c r="AC394" s="1">
        <v>2</v>
      </c>
      <c r="AE394" s="1" t="s">
        <v>4696</v>
      </c>
      <c r="AF394" s="1" t="s">
        <v>4697</v>
      </c>
      <c r="AG394" s="1" t="s">
        <v>4698</v>
      </c>
      <c r="AI394" s="1">
        <v>4.63</v>
      </c>
      <c r="AJ394" s="1">
        <v>242</v>
      </c>
      <c r="AK394" s="1">
        <v>736</v>
      </c>
    </row>
    <row r="395" spans="1:38" ht="15.75" customHeight="1">
      <c r="A395" s="1">
        <v>913</v>
      </c>
      <c r="C395" s="1">
        <v>4050</v>
      </c>
      <c r="D395" s="1" t="s">
        <v>38</v>
      </c>
      <c r="E395" s="1" t="s">
        <v>39</v>
      </c>
      <c r="F395" s="1" t="s">
        <v>1348</v>
      </c>
      <c r="G395" s="1">
        <v>0</v>
      </c>
      <c r="H395" s="1" t="s">
        <v>41</v>
      </c>
      <c r="I395" s="1" t="s">
        <v>4699</v>
      </c>
      <c r="J395" s="1" t="s">
        <v>4700</v>
      </c>
      <c r="K395" s="1" t="s">
        <v>4701</v>
      </c>
      <c r="L395" s="1">
        <v>1</v>
      </c>
      <c r="M395" s="1">
        <v>0</v>
      </c>
      <c r="N395" s="1" t="s">
        <v>4702</v>
      </c>
      <c r="O395" s="1" t="s">
        <v>4703</v>
      </c>
      <c r="P395" s="1" t="s">
        <v>4704</v>
      </c>
      <c r="Q395" s="1">
        <v>0</v>
      </c>
      <c r="R395" s="1" t="s">
        <v>4705</v>
      </c>
      <c r="S395" s="1" t="s">
        <v>4706</v>
      </c>
      <c r="U395" s="2">
        <v>56772</v>
      </c>
      <c r="V395" s="1">
        <v>4.5</v>
      </c>
      <c r="W395" s="1">
        <v>3000</v>
      </c>
      <c r="X395" s="1">
        <v>1807</v>
      </c>
      <c r="Y395" s="1">
        <v>558</v>
      </c>
      <c r="Z395" s="1">
        <v>390</v>
      </c>
      <c r="AA395" s="1">
        <v>859</v>
      </c>
      <c r="AB395" s="1">
        <v>0</v>
      </c>
      <c r="AC395" s="1">
        <v>5</v>
      </c>
      <c r="AD395" s="1" t="s">
        <v>215</v>
      </c>
      <c r="AE395" s="1" t="s">
        <v>4707</v>
      </c>
      <c r="AF395" s="1" t="s">
        <v>4708</v>
      </c>
      <c r="AG395" s="1" t="s">
        <v>4709</v>
      </c>
      <c r="AH395" s="1" t="s">
        <v>4710</v>
      </c>
      <c r="AI395" s="1">
        <v>4.79</v>
      </c>
      <c r="AJ395" s="1">
        <v>1007</v>
      </c>
      <c r="AK395" s="1">
        <v>2899</v>
      </c>
      <c r="AL395" s="1">
        <v>1301</v>
      </c>
    </row>
    <row r="396" spans="1:38" ht="15.75" customHeight="1">
      <c r="A396" s="1">
        <v>178</v>
      </c>
      <c r="C396" s="1">
        <v>4050</v>
      </c>
      <c r="D396" s="1" t="s">
        <v>38</v>
      </c>
      <c r="E396" s="1" t="s">
        <v>39</v>
      </c>
      <c r="F396" s="1" t="s">
        <v>486</v>
      </c>
      <c r="G396" s="1">
        <v>0</v>
      </c>
      <c r="H396" s="1" t="s">
        <v>41</v>
      </c>
      <c r="I396" s="1" t="s">
        <v>4711</v>
      </c>
      <c r="J396" s="1" t="s">
        <v>4712</v>
      </c>
      <c r="K396" s="1" t="s">
        <v>4713</v>
      </c>
      <c r="L396" s="1">
        <v>1</v>
      </c>
      <c r="M396" s="1">
        <v>0</v>
      </c>
      <c r="N396" s="1" t="s">
        <v>4714</v>
      </c>
      <c r="O396" s="1" t="s">
        <v>4715</v>
      </c>
      <c r="P396" s="1" t="s">
        <v>4716</v>
      </c>
      <c r="Q396" s="1">
        <v>0</v>
      </c>
      <c r="R396" s="1" t="s">
        <v>4717</v>
      </c>
      <c r="U396" s="2">
        <v>56767</v>
      </c>
      <c r="V396" s="1">
        <v>4.5</v>
      </c>
      <c r="W396" s="1">
        <v>3000</v>
      </c>
      <c r="X396" s="1">
        <v>429</v>
      </c>
      <c r="AA396" s="1">
        <v>9</v>
      </c>
      <c r="AB396" s="1">
        <v>0</v>
      </c>
      <c r="AC396" s="1">
        <v>3</v>
      </c>
      <c r="AE396" s="1" t="s">
        <v>4718</v>
      </c>
      <c r="AF396" s="1" t="s">
        <v>4719</v>
      </c>
      <c r="AG396" s="1" t="s">
        <v>4720</v>
      </c>
      <c r="AI396" s="1">
        <v>4.7</v>
      </c>
      <c r="AJ396" s="1">
        <v>212</v>
      </c>
      <c r="AK396" s="1">
        <v>624</v>
      </c>
      <c r="AL396" s="1">
        <v>347</v>
      </c>
    </row>
    <row r="397" spans="1:38" ht="15.75" customHeight="1">
      <c r="A397" s="1">
        <v>1550</v>
      </c>
      <c r="C397" s="1">
        <v>4001</v>
      </c>
      <c r="D397" s="1" t="s">
        <v>51</v>
      </c>
      <c r="E397" s="1" t="s">
        <v>39</v>
      </c>
      <c r="F397" s="1" t="s">
        <v>4721</v>
      </c>
      <c r="G397" s="1">
        <v>0</v>
      </c>
      <c r="H397" s="1" t="s">
        <v>53</v>
      </c>
      <c r="I397" s="1" t="s">
        <v>4722</v>
      </c>
      <c r="J397" s="1" t="s">
        <v>4723</v>
      </c>
      <c r="K397" s="1" t="s">
        <v>4723</v>
      </c>
      <c r="L397" s="1">
        <v>0</v>
      </c>
      <c r="M397" s="1">
        <v>0</v>
      </c>
      <c r="N397" s="1" t="s">
        <v>4724</v>
      </c>
      <c r="O397" s="1" t="s">
        <v>4725</v>
      </c>
      <c r="P397" s="1" t="s">
        <v>4726</v>
      </c>
      <c r="Q397" s="1">
        <v>0</v>
      </c>
      <c r="R397" s="1" t="s">
        <v>4727</v>
      </c>
      <c r="S397" s="1" t="s">
        <v>4728</v>
      </c>
      <c r="U397" s="2">
        <v>56778</v>
      </c>
      <c r="V397" s="1">
        <v>4.5999999999999996</v>
      </c>
      <c r="W397" s="1">
        <v>3000</v>
      </c>
      <c r="X397" s="1">
        <v>2332</v>
      </c>
      <c r="Y397" s="1">
        <v>734</v>
      </c>
      <c r="Z397" s="1">
        <v>665</v>
      </c>
      <c r="AA397" s="1">
        <v>933</v>
      </c>
      <c r="AB397" s="1">
        <v>0</v>
      </c>
      <c r="AC397" s="1">
        <v>4</v>
      </c>
      <c r="AD397" s="1" t="s">
        <v>215</v>
      </c>
      <c r="AE397" s="1" t="s">
        <v>4729</v>
      </c>
      <c r="AF397" s="1" t="s">
        <v>4730</v>
      </c>
      <c r="AG397" s="1" t="s">
        <v>4731</v>
      </c>
      <c r="AH397" s="1" t="s">
        <v>4732</v>
      </c>
      <c r="AI397" s="1">
        <v>4.4375</v>
      </c>
      <c r="AJ397" s="1">
        <v>24</v>
      </c>
      <c r="AK397" s="1">
        <v>65</v>
      </c>
    </row>
    <row r="398" spans="1:38" ht="15.75" customHeight="1">
      <c r="A398" s="1">
        <v>770</v>
      </c>
      <c r="B398" s="1">
        <v>5</v>
      </c>
      <c r="C398" s="1">
        <v>4050</v>
      </c>
      <c r="D398" s="1" t="s">
        <v>38</v>
      </c>
      <c r="E398" s="1" t="s">
        <v>39</v>
      </c>
      <c r="F398" s="1" t="s">
        <v>486</v>
      </c>
      <c r="G398" s="1">
        <v>0</v>
      </c>
      <c r="H398" s="1" t="s">
        <v>41</v>
      </c>
      <c r="I398" s="1" t="s">
        <v>4733</v>
      </c>
      <c r="J398" s="1" t="s">
        <v>4734</v>
      </c>
      <c r="K398" s="1" t="s">
        <v>4735</v>
      </c>
      <c r="L398" s="1">
        <v>1</v>
      </c>
      <c r="M398" s="1">
        <v>0</v>
      </c>
      <c r="N398" s="1" t="s">
        <v>4736</v>
      </c>
      <c r="O398" s="1" t="s">
        <v>4737</v>
      </c>
      <c r="P398" s="1" t="s">
        <v>4738</v>
      </c>
      <c r="Q398" s="1">
        <v>0</v>
      </c>
      <c r="R398" s="1" t="s">
        <v>4739</v>
      </c>
      <c r="S398" s="1" t="s">
        <v>4740</v>
      </c>
      <c r="U398" s="2">
        <v>56771</v>
      </c>
      <c r="V398" s="1">
        <v>4.7</v>
      </c>
      <c r="W398" s="1">
        <v>3000</v>
      </c>
      <c r="X398" s="1">
        <v>2761</v>
      </c>
      <c r="Y398" s="1">
        <v>204</v>
      </c>
      <c r="Z398" s="1">
        <v>1466</v>
      </c>
      <c r="AA398" s="1">
        <v>1091</v>
      </c>
      <c r="AB398" s="1">
        <v>0</v>
      </c>
      <c r="AC398" s="1">
        <v>3</v>
      </c>
      <c r="AD398" s="1" t="s">
        <v>62</v>
      </c>
      <c r="AE398" s="1" t="s">
        <v>4741</v>
      </c>
      <c r="AF398" s="1" t="s">
        <v>4742</v>
      </c>
      <c r="AG398" s="1" t="s">
        <v>4743</v>
      </c>
      <c r="AH398" s="1" t="s">
        <v>4744</v>
      </c>
      <c r="AI398" s="1">
        <v>4.7</v>
      </c>
      <c r="AJ398" s="1">
        <v>212</v>
      </c>
      <c r="AK398" s="1">
        <v>624</v>
      </c>
      <c r="AL398" s="1">
        <v>347</v>
      </c>
    </row>
    <row r="399" spans="1:38" ht="15.75" customHeight="1">
      <c r="A399" s="1">
        <v>88</v>
      </c>
      <c r="C399" s="1">
        <v>4050</v>
      </c>
      <c r="D399" s="1" t="s">
        <v>38</v>
      </c>
      <c r="E399" s="1" t="s">
        <v>39</v>
      </c>
      <c r="F399" s="1" t="s">
        <v>486</v>
      </c>
      <c r="G399" s="1">
        <v>0</v>
      </c>
      <c r="H399" s="1" t="s">
        <v>41</v>
      </c>
      <c r="I399" s="1" t="s">
        <v>4745</v>
      </c>
      <c r="J399" s="1" t="s">
        <v>4746</v>
      </c>
      <c r="K399" s="1" t="s">
        <v>4747</v>
      </c>
      <c r="L399" s="1">
        <v>1</v>
      </c>
      <c r="M399" s="1">
        <v>0</v>
      </c>
      <c r="N399" s="1" t="s">
        <v>4748</v>
      </c>
      <c r="O399" s="1" t="s">
        <v>4749</v>
      </c>
      <c r="P399" s="1" t="s">
        <v>4750</v>
      </c>
      <c r="Q399" s="1">
        <v>0</v>
      </c>
      <c r="R399" s="1" t="s">
        <v>4751</v>
      </c>
      <c r="S399" s="1" t="s">
        <v>4752</v>
      </c>
      <c r="U399" s="2">
        <v>56766</v>
      </c>
      <c r="V399" s="1">
        <v>3.0907331060000001</v>
      </c>
      <c r="W399" s="1">
        <v>3000</v>
      </c>
      <c r="X399" s="1">
        <v>1312</v>
      </c>
      <c r="Y399" s="1">
        <v>34</v>
      </c>
      <c r="Z399" s="1">
        <v>638</v>
      </c>
      <c r="AA399" s="1">
        <v>640</v>
      </c>
      <c r="AB399" s="1">
        <v>0</v>
      </c>
      <c r="AC399" s="1">
        <v>4</v>
      </c>
      <c r="AD399" s="1" t="s">
        <v>62</v>
      </c>
      <c r="AE399" s="1" t="s">
        <v>4753</v>
      </c>
      <c r="AF399" s="1" t="s">
        <v>4754</v>
      </c>
      <c r="AG399" s="1" t="s">
        <v>4755</v>
      </c>
      <c r="AH399" s="1" t="s">
        <v>4756</v>
      </c>
      <c r="AI399" s="1">
        <v>4.7</v>
      </c>
      <c r="AJ399" s="1">
        <v>212</v>
      </c>
      <c r="AK399" s="1">
        <v>624</v>
      </c>
      <c r="AL399" s="1">
        <v>347</v>
      </c>
    </row>
    <row r="400" spans="1:38" ht="15.75" customHeight="1">
      <c r="A400" s="1">
        <v>210</v>
      </c>
      <c r="C400" s="1">
        <v>4001</v>
      </c>
      <c r="D400" s="1" t="s">
        <v>51</v>
      </c>
      <c r="E400" s="1" t="s">
        <v>39</v>
      </c>
      <c r="F400" s="1" t="s">
        <v>648</v>
      </c>
      <c r="G400" s="1">
        <v>0</v>
      </c>
      <c r="H400" s="1" t="s">
        <v>53</v>
      </c>
      <c r="I400" s="1" t="s">
        <v>4757</v>
      </c>
      <c r="J400" s="1" t="s">
        <v>4758</v>
      </c>
      <c r="K400" s="1" t="s">
        <v>4759</v>
      </c>
      <c r="L400" s="1">
        <v>1</v>
      </c>
      <c r="M400" s="1">
        <v>0</v>
      </c>
      <c r="N400" s="1" t="s">
        <v>4760</v>
      </c>
      <c r="O400" s="1" t="s">
        <v>4761</v>
      </c>
      <c r="P400" s="1" t="s">
        <v>4762</v>
      </c>
      <c r="Q400" s="1">
        <v>0</v>
      </c>
      <c r="R400" s="1" t="s">
        <v>4763</v>
      </c>
      <c r="S400" s="1" t="s">
        <v>4764</v>
      </c>
      <c r="U400" s="2">
        <v>56767</v>
      </c>
      <c r="V400" s="1">
        <v>4.7</v>
      </c>
      <c r="W400" s="1">
        <v>3000</v>
      </c>
      <c r="X400" s="1">
        <v>1964</v>
      </c>
      <c r="Y400" s="1">
        <v>452</v>
      </c>
      <c r="Z400" s="1">
        <v>649</v>
      </c>
      <c r="AA400" s="1">
        <v>863</v>
      </c>
      <c r="AB400" s="1">
        <v>0</v>
      </c>
      <c r="AC400" s="1">
        <v>7</v>
      </c>
      <c r="AD400" s="1" t="s">
        <v>215</v>
      </c>
      <c r="AE400" s="1" t="s">
        <v>4765</v>
      </c>
      <c r="AF400" s="1" t="s">
        <v>4766</v>
      </c>
      <c r="AG400" s="1" t="s">
        <v>4767</v>
      </c>
      <c r="AH400" s="1" t="s">
        <v>4768</v>
      </c>
      <c r="AI400" s="1">
        <v>4.7</v>
      </c>
      <c r="AJ400" s="1">
        <v>443</v>
      </c>
      <c r="AK400" s="1">
        <v>1579</v>
      </c>
    </row>
    <row r="401" spans="1:38" ht="15.75" customHeight="1">
      <c r="A401" s="1">
        <v>1329</v>
      </c>
      <c r="B401" s="1">
        <v>3</v>
      </c>
      <c r="C401" s="1">
        <v>4001</v>
      </c>
      <c r="D401" s="1" t="s">
        <v>51</v>
      </c>
      <c r="E401" s="1" t="s">
        <v>39</v>
      </c>
      <c r="F401" s="1" t="s">
        <v>414</v>
      </c>
      <c r="G401" s="1">
        <v>0</v>
      </c>
      <c r="H401" s="1" t="s">
        <v>53</v>
      </c>
      <c r="I401" s="1" t="s">
        <v>4769</v>
      </c>
      <c r="J401" s="1" t="s">
        <v>4770</v>
      </c>
      <c r="K401" s="1" t="s">
        <v>4771</v>
      </c>
      <c r="L401" s="1">
        <v>1</v>
      </c>
      <c r="M401" s="1">
        <v>0</v>
      </c>
      <c r="N401" s="1" t="s">
        <v>4772</v>
      </c>
      <c r="O401" s="1" t="s">
        <v>4773</v>
      </c>
      <c r="P401" s="1" t="s">
        <v>4774</v>
      </c>
      <c r="Q401" s="1">
        <v>0</v>
      </c>
      <c r="R401" s="1" t="s">
        <v>4775</v>
      </c>
      <c r="S401" s="1" t="s">
        <v>4776</v>
      </c>
      <c r="U401" s="2">
        <v>56776</v>
      </c>
      <c r="V401" s="1">
        <v>3.6534357079999999</v>
      </c>
      <c r="W401" s="1">
        <v>3000</v>
      </c>
      <c r="X401" s="1">
        <v>1317</v>
      </c>
      <c r="Y401" s="1">
        <v>520</v>
      </c>
      <c r="Z401" s="1">
        <v>503</v>
      </c>
      <c r="AA401" s="1">
        <v>294</v>
      </c>
      <c r="AB401" s="1">
        <v>0</v>
      </c>
      <c r="AC401" s="1">
        <v>3</v>
      </c>
      <c r="AD401" s="1" t="s">
        <v>215</v>
      </c>
      <c r="AE401" s="1" t="s">
        <v>4777</v>
      </c>
      <c r="AF401" s="1" t="s">
        <v>4778</v>
      </c>
      <c r="AG401" s="1" t="s">
        <v>4779</v>
      </c>
      <c r="AH401" s="1" t="s">
        <v>4780</v>
      </c>
      <c r="AI401" s="1">
        <v>4.58</v>
      </c>
      <c r="AJ401" s="1">
        <v>254</v>
      </c>
      <c r="AK401" s="1">
        <v>788</v>
      </c>
      <c r="AL401" s="1">
        <v>9</v>
      </c>
    </row>
    <row r="402" spans="1:38" ht="15.75" customHeight="1">
      <c r="A402" s="1">
        <v>1139</v>
      </c>
      <c r="C402" s="1">
        <v>4001</v>
      </c>
      <c r="D402" s="1" t="s">
        <v>51</v>
      </c>
      <c r="E402" s="1" t="s">
        <v>39</v>
      </c>
      <c r="F402" s="1" t="s">
        <v>305</v>
      </c>
      <c r="G402" s="1">
        <v>0</v>
      </c>
      <c r="H402" s="1" t="s">
        <v>53</v>
      </c>
      <c r="I402" s="1" t="s">
        <v>4781</v>
      </c>
      <c r="J402" s="1" t="s">
        <v>4782</v>
      </c>
      <c r="K402" s="1" t="s">
        <v>4783</v>
      </c>
      <c r="L402" s="1">
        <v>1</v>
      </c>
      <c r="M402" s="1">
        <v>0</v>
      </c>
      <c r="N402" s="1" t="s">
        <v>4784</v>
      </c>
      <c r="O402" s="1" t="s">
        <v>4785</v>
      </c>
      <c r="P402" s="1" t="s">
        <v>4786</v>
      </c>
      <c r="Q402" s="1">
        <v>0</v>
      </c>
      <c r="R402" s="1" t="s">
        <v>4787</v>
      </c>
      <c r="S402" s="1" t="s">
        <v>4788</v>
      </c>
      <c r="U402" s="2">
        <v>56775</v>
      </c>
      <c r="V402" s="1">
        <v>4.2</v>
      </c>
      <c r="W402" s="1">
        <v>3000</v>
      </c>
      <c r="X402" s="1">
        <v>2793</v>
      </c>
      <c r="Y402" s="1">
        <v>474</v>
      </c>
      <c r="Z402" s="1">
        <v>1236</v>
      </c>
      <c r="AA402" s="1">
        <v>1083</v>
      </c>
      <c r="AB402" s="1">
        <v>0</v>
      </c>
      <c r="AC402" s="1">
        <v>4</v>
      </c>
      <c r="AD402" s="1" t="s">
        <v>62</v>
      </c>
      <c r="AE402" s="1" t="s">
        <v>4789</v>
      </c>
      <c r="AF402" s="1" t="s">
        <v>4790</v>
      </c>
      <c r="AG402" s="1" t="s">
        <v>4791</v>
      </c>
      <c r="AH402" s="1" t="s">
        <v>4792</v>
      </c>
      <c r="AI402" s="1">
        <v>4.5199999999999996</v>
      </c>
      <c r="AJ402" s="1">
        <v>183</v>
      </c>
      <c r="AK402" s="1">
        <v>522</v>
      </c>
    </row>
    <row r="403" spans="1:38" ht="15.75" customHeight="1">
      <c r="A403" s="1">
        <v>1148</v>
      </c>
      <c r="C403" s="1">
        <v>4001</v>
      </c>
      <c r="D403" s="1" t="s">
        <v>51</v>
      </c>
      <c r="E403" s="1" t="s">
        <v>39</v>
      </c>
      <c r="F403" s="1" t="s">
        <v>341</v>
      </c>
      <c r="G403" s="1">
        <v>0</v>
      </c>
      <c r="H403" s="1" t="s">
        <v>41</v>
      </c>
      <c r="I403" s="1" t="s">
        <v>4793</v>
      </c>
      <c r="J403" s="1" t="s">
        <v>4794</v>
      </c>
      <c r="K403" s="1" t="s">
        <v>4795</v>
      </c>
      <c r="L403" s="1">
        <v>1</v>
      </c>
      <c r="M403" s="1">
        <v>0</v>
      </c>
      <c r="N403" s="1" t="s">
        <v>4796</v>
      </c>
      <c r="O403" s="1" t="s">
        <v>4797</v>
      </c>
      <c r="P403" s="1" t="s">
        <v>4798</v>
      </c>
      <c r="Q403" s="1">
        <v>0</v>
      </c>
      <c r="R403" s="1" t="s">
        <v>4799</v>
      </c>
      <c r="S403" s="1" t="s">
        <v>4800</v>
      </c>
      <c r="U403" s="2">
        <v>56775</v>
      </c>
      <c r="V403" s="1">
        <v>3.3758996410000002</v>
      </c>
      <c r="W403" s="1">
        <v>3000</v>
      </c>
      <c r="X403" s="1">
        <v>1354</v>
      </c>
      <c r="Y403" s="1">
        <v>655</v>
      </c>
      <c r="Z403" s="1">
        <v>181</v>
      </c>
      <c r="AA403" s="1">
        <v>518</v>
      </c>
      <c r="AB403" s="1">
        <v>0</v>
      </c>
      <c r="AC403" s="1">
        <v>2</v>
      </c>
      <c r="AD403" s="1" t="s">
        <v>215</v>
      </c>
      <c r="AE403" s="1" t="s">
        <v>4801</v>
      </c>
      <c r="AF403" s="1" t="s">
        <v>4802</v>
      </c>
      <c r="AG403" s="1" t="s">
        <v>4803</v>
      </c>
      <c r="AH403" s="1" t="s">
        <v>4804</v>
      </c>
      <c r="AI403" s="1">
        <v>4.54</v>
      </c>
      <c r="AJ403" s="1">
        <v>2229</v>
      </c>
      <c r="AK403" s="1">
        <v>6580</v>
      </c>
    </row>
    <row r="404" spans="1:38" ht="15.75" customHeight="1">
      <c r="A404" s="1">
        <v>784</v>
      </c>
      <c r="C404" s="1">
        <v>4050</v>
      </c>
      <c r="D404" s="1" t="s">
        <v>38</v>
      </c>
      <c r="E404" s="1" t="s">
        <v>39</v>
      </c>
      <c r="F404" s="1" t="s">
        <v>390</v>
      </c>
      <c r="G404" s="1">
        <v>0</v>
      </c>
      <c r="H404" s="1" t="s">
        <v>41</v>
      </c>
      <c r="I404" s="1" t="s">
        <v>4805</v>
      </c>
      <c r="J404" s="1" t="s">
        <v>4806</v>
      </c>
      <c r="K404" s="1" t="s">
        <v>4807</v>
      </c>
      <c r="L404" s="1">
        <v>1</v>
      </c>
      <c r="M404" s="1">
        <v>0</v>
      </c>
      <c r="N404" s="1" t="s">
        <v>4808</v>
      </c>
      <c r="O404" s="1" t="s">
        <v>4809</v>
      </c>
      <c r="P404" s="1" t="s">
        <v>4810</v>
      </c>
      <c r="Q404" s="1">
        <v>0</v>
      </c>
      <c r="R404" s="1" t="s">
        <v>4811</v>
      </c>
      <c r="S404" s="1" t="s">
        <v>4812</v>
      </c>
      <c r="U404" s="2">
        <v>56771</v>
      </c>
      <c r="V404" s="1">
        <v>4.7</v>
      </c>
      <c r="W404" s="1">
        <v>3000</v>
      </c>
      <c r="X404" s="1">
        <v>2205</v>
      </c>
      <c r="Y404" s="1">
        <v>654</v>
      </c>
      <c r="Z404" s="1">
        <v>537</v>
      </c>
      <c r="AA404" s="1">
        <v>1014</v>
      </c>
      <c r="AB404" s="1">
        <v>0</v>
      </c>
      <c r="AC404" s="1">
        <v>2</v>
      </c>
      <c r="AD404" s="1" t="s">
        <v>215</v>
      </c>
      <c r="AE404" s="1" t="s">
        <v>4813</v>
      </c>
      <c r="AF404" s="1" t="s">
        <v>4814</v>
      </c>
      <c r="AG404" s="1" t="s">
        <v>4815</v>
      </c>
      <c r="AH404" s="1" t="s">
        <v>4816</v>
      </c>
      <c r="AI404" s="1">
        <v>4.5599999999999996</v>
      </c>
      <c r="AJ404" s="1">
        <v>344</v>
      </c>
      <c r="AK404" s="1">
        <v>947</v>
      </c>
      <c r="AL404" s="1">
        <v>22</v>
      </c>
    </row>
    <row r="405" spans="1:38" ht="15.75" customHeight="1">
      <c r="A405" s="1">
        <v>682</v>
      </c>
      <c r="C405" s="1">
        <v>4001</v>
      </c>
      <c r="D405" s="1" t="s">
        <v>51</v>
      </c>
      <c r="E405" s="1" t="s">
        <v>39</v>
      </c>
      <c r="F405" s="1" t="s">
        <v>92</v>
      </c>
      <c r="G405" s="1">
        <v>0</v>
      </c>
      <c r="H405" s="1" t="s">
        <v>41</v>
      </c>
      <c r="I405" s="1" t="s">
        <v>4817</v>
      </c>
      <c r="J405" s="1" t="s">
        <v>4818</v>
      </c>
      <c r="K405" s="1" t="s">
        <v>4819</v>
      </c>
      <c r="L405" s="1">
        <v>1</v>
      </c>
      <c r="M405" s="1">
        <v>0</v>
      </c>
      <c r="N405" s="1" t="s">
        <v>4820</v>
      </c>
      <c r="O405" s="1" t="s">
        <v>4821</v>
      </c>
      <c r="P405" s="1" t="s">
        <v>4822</v>
      </c>
      <c r="Q405" s="1">
        <v>0</v>
      </c>
      <c r="R405" s="1" t="s">
        <v>4823</v>
      </c>
      <c r="S405" s="1" t="s">
        <v>4824</v>
      </c>
      <c r="U405" s="2">
        <v>56770</v>
      </c>
      <c r="V405" s="1">
        <v>4.5</v>
      </c>
      <c r="W405" s="1">
        <v>3000</v>
      </c>
      <c r="X405" s="1">
        <v>1490</v>
      </c>
      <c r="Y405" s="1">
        <v>400</v>
      </c>
      <c r="Z405" s="1">
        <v>393</v>
      </c>
      <c r="AA405" s="1">
        <v>697</v>
      </c>
      <c r="AB405" s="1">
        <v>0</v>
      </c>
      <c r="AC405" s="1">
        <v>2</v>
      </c>
      <c r="AD405" s="1" t="s">
        <v>215</v>
      </c>
      <c r="AE405" s="1" t="s">
        <v>4825</v>
      </c>
      <c r="AF405" s="1" t="s">
        <v>4826</v>
      </c>
      <c r="AG405" s="1" t="s">
        <v>4827</v>
      </c>
      <c r="AH405" s="1" t="s">
        <v>4828</v>
      </c>
      <c r="AI405" s="1">
        <v>4.03</v>
      </c>
      <c r="AJ405" s="1">
        <v>505</v>
      </c>
      <c r="AK405" s="1">
        <v>1721</v>
      </c>
      <c r="AL405" s="1">
        <v>457</v>
      </c>
    </row>
    <row r="406" spans="1:38" ht="15.75" customHeight="1">
      <c r="A406" s="1">
        <v>852</v>
      </c>
      <c r="C406" s="1">
        <v>4050</v>
      </c>
      <c r="D406" s="1" t="s">
        <v>38</v>
      </c>
      <c r="E406" s="1" t="s">
        <v>39</v>
      </c>
      <c r="F406" s="1" t="s">
        <v>1348</v>
      </c>
      <c r="G406" s="1">
        <v>0</v>
      </c>
      <c r="H406" s="1" t="s">
        <v>41</v>
      </c>
      <c r="I406" s="1" t="s">
        <v>4829</v>
      </c>
      <c r="J406" s="1" t="s">
        <v>4830</v>
      </c>
      <c r="K406" s="1" t="s">
        <v>4831</v>
      </c>
      <c r="L406" s="1">
        <v>1</v>
      </c>
      <c r="M406" s="1">
        <v>0</v>
      </c>
      <c r="N406" s="1" t="s">
        <v>4832</v>
      </c>
      <c r="O406" s="1" t="s">
        <v>4833</v>
      </c>
      <c r="P406" s="1" t="s">
        <v>4834</v>
      </c>
      <c r="Q406" s="1">
        <v>0</v>
      </c>
      <c r="R406" s="1" t="s">
        <v>4835</v>
      </c>
      <c r="S406" s="1" t="s">
        <v>4836</v>
      </c>
      <c r="U406" s="2">
        <v>56772</v>
      </c>
      <c r="V406" s="1">
        <v>4.9000000000000004</v>
      </c>
      <c r="W406" s="1">
        <v>3000</v>
      </c>
      <c r="X406" s="1">
        <v>2384</v>
      </c>
      <c r="Y406" s="1">
        <v>687</v>
      </c>
      <c r="Z406" s="1">
        <v>913</v>
      </c>
      <c r="AA406" s="1">
        <v>784</v>
      </c>
      <c r="AB406" s="1">
        <v>0</v>
      </c>
      <c r="AC406" s="1">
        <v>3</v>
      </c>
      <c r="AD406" s="1" t="s">
        <v>62</v>
      </c>
      <c r="AE406" s="1" t="s">
        <v>4837</v>
      </c>
      <c r="AF406" s="1" t="s">
        <v>4838</v>
      </c>
      <c r="AG406" s="1" t="s">
        <v>4839</v>
      </c>
      <c r="AH406" s="1" t="s">
        <v>4840</v>
      </c>
      <c r="AI406" s="1">
        <v>4.79</v>
      </c>
      <c r="AJ406" s="1">
        <v>1007</v>
      </c>
      <c r="AK406" s="1">
        <v>2899</v>
      </c>
      <c r="AL406" s="1">
        <v>1301</v>
      </c>
    </row>
    <row r="407" spans="1:38" ht="15.75" customHeight="1">
      <c r="A407" s="1">
        <v>430</v>
      </c>
      <c r="C407" s="1">
        <v>4050</v>
      </c>
      <c r="D407" s="1" t="s">
        <v>38</v>
      </c>
      <c r="E407" s="1" t="s">
        <v>39</v>
      </c>
      <c r="F407" s="1" t="s">
        <v>40</v>
      </c>
      <c r="G407" s="1">
        <v>0</v>
      </c>
      <c r="H407" s="1" t="s">
        <v>41</v>
      </c>
      <c r="I407" s="1" t="s">
        <v>4841</v>
      </c>
      <c r="J407" s="1" t="s">
        <v>4842</v>
      </c>
      <c r="K407" s="1" t="s">
        <v>4843</v>
      </c>
      <c r="L407" s="1">
        <v>1</v>
      </c>
      <c r="M407" s="1">
        <v>0</v>
      </c>
      <c r="N407" s="1" t="s">
        <v>4844</v>
      </c>
      <c r="O407" s="1" t="s">
        <v>4845</v>
      </c>
      <c r="P407" s="1" t="s">
        <v>4846</v>
      </c>
      <c r="Q407" s="1">
        <v>0</v>
      </c>
      <c r="R407" s="1" t="s">
        <v>4847</v>
      </c>
      <c r="U407" s="2">
        <v>56769</v>
      </c>
      <c r="V407" s="1">
        <v>4.5999999999999996</v>
      </c>
      <c r="W407" s="1">
        <v>3000</v>
      </c>
      <c r="X407" s="1">
        <v>1843</v>
      </c>
      <c r="AA407" s="1">
        <v>514</v>
      </c>
      <c r="AB407" s="1">
        <v>0</v>
      </c>
      <c r="AC407" s="1">
        <v>3</v>
      </c>
      <c r="AE407" s="1" t="s">
        <v>4848</v>
      </c>
      <c r="AF407" s="1" t="s">
        <v>4849</v>
      </c>
      <c r="AG407" s="1" t="s">
        <v>4850</v>
      </c>
      <c r="AI407" s="1">
        <v>4.7</v>
      </c>
      <c r="AJ407" s="1">
        <v>1261</v>
      </c>
      <c r="AK407" s="1">
        <v>3264</v>
      </c>
      <c r="AL407" s="1">
        <v>232</v>
      </c>
    </row>
    <row r="408" spans="1:38" ht="15.75" customHeight="1">
      <c r="A408" s="1">
        <v>813</v>
      </c>
      <c r="C408" s="1">
        <v>4001</v>
      </c>
      <c r="D408" s="1" t="s">
        <v>51</v>
      </c>
      <c r="E408" s="1" t="s">
        <v>39</v>
      </c>
      <c r="F408" s="1" t="s">
        <v>52</v>
      </c>
      <c r="G408" s="1">
        <v>0</v>
      </c>
      <c r="H408" s="1" t="s">
        <v>53</v>
      </c>
      <c r="I408" s="1" t="s">
        <v>4851</v>
      </c>
      <c r="J408" s="1" t="s">
        <v>4852</v>
      </c>
      <c r="K408" s="1" t="s">
        <v>4853</v>
      </c>
      <c r="L408" s="1">
        <v>1</v>
      </c>
      <c r="M408" s="1">
        <v>0</v>
      </c>
      <c r="N408" s="1" t="s">
        <v>4854</v>
      </c>
      <c r="O408" s="1" t="s">
        <v>4855</v>
      </c>
      <c r="P408" s="1" t="s">
        <v>4856</v>
      </c>
      <c r="Q408" s="1">
        <v>0</v>
      </c>
      <c r="R408" s="1" t="s">
        <v>4857</v>
      </c>
      <c r="S408" s="1" t="s">
        <v>4858</v>
      </c>
      <c r="U408" s="2">
        <v>56771</v>
      </c>
      <c r="V408" s="1">
        <v>4.5</v>
      </c>
      <c r="W408" s="1">
        <v>3000</v>
      </c>
      <c r="X408" s="1">
        <v>1918</v>
      </c>
      <c r="Y408" s="1">
        <v>471</v>
      </c>
      <c r="Z408" s="1">
        <v>724</v>
      </c>
      <c r="AA408" s="1">
        <v>723</v>
      </c>
      <c r="AB408" s="1">
        <v>0</v>
      </c>
      <c r="AC408" s="1">
        <v>2</v>
      </c>
      <c r="AD408" s="1" t="s">
        <v>215</v>
      </c>
      <c r="AE408" s="1" t="s">
        <v>4859</v>
      </c>
      <c r="AF408" s="1" t="s">
        <v>4860</v>
      </c>
      <c r="AG408" s="1" t="s">
        <v>4861</v>
      </c>
      <c r="AH408" s="1" t="s">
        <v>4862</v>
      </c>
      <c r="AI408" s="1">
        <v>4.17</v>
      </c>
      <c r="AJ408" s="1">
        <v>457</v>
      </c>
      <c r="AK408" s="1">
        <v>1599</v>
      </c>
    </row>
    <row r="409" spans="1:38" ht="15.75" customHeight="1">
      <c r="A409" s="1">
        <v>466</v>
      </c>
      <c r="C409" s="1">
        <v>4050</v>
      </c>
      <c r="D409" s="1" t="s">
        <v>38</v>
      </c>
      <c r="E409" s="1" t="s">
        <v>39</v>
      </c>
      <c r="F409" s="1" t="s">
        <v>390</v>
      </c>
      <c r="G409" s="1">
        <v>0</v>
      </c>
      <c r="H409" s="1" t="s">
        <v>41</v>
      </c>
      <c r="I409" s="1" t="s">
        <v>4863</v>
      </c>
      <c r="J409" s="1" t="s">
        <v>4864</v>
      </c>
      <c r="K409" s="1" t="s">
        <v>4865</v>
      </c>
      <c r="L409" s="1">
        <v>1</v>
      </c>
      <c r="M409" s="1">
        <v>0</v>
      </c>
      <c r="N409" s="1" t="s">
        <v>4866</v>
      </c>
      <c r="O409" s="1" t="s">
        <v>4867</v>
      </c>
      <c r="P409" s="1" t="s">
        <v>4868</v>
      </c>
      <c r="Q409" s="1">
        <v>0</v>
      </c>
      <c r="R409" s="1" t="s">
        <v>4869</v>
      </c>
      <c r="S409" s="1" t="s">
        <v>4870</v>
      </c>
      <c r="U409" s="2">
        <v>56769</v>
      </c>
      <c r="V409" s="1">
        <v>3.501498169</v>
      </c>
      <c r="W409" s="1">
        <v>3000</v>
      </c>
      <c r="X409" s="1">
        <v>1270</v>
      </c>
      <c r="Y409" s="1">
        <v>495</v>
      </c>
      <c r="Z409" s="1">
        <v>338</v>
      </c>
      <c r="AA409" s="1">
        <v>437</v>
      </c>
      <c r="AB409" s="1">
        <v>0</v>
      </c>
      <c r="AC409" s="1">
        <v>5</v>
      </c>
      <c r="AD409" s="1" t="s">
        <v>215</v>
      </c>
      <c r="AE409" s="1" t="s">
        <v>4871</v>
      </c>
      <c r="AF409" s="1" t="s">
        <v>4872</v>
      </c>
      <c r="AG409" s="1" t="s">
        <v>4873</v>
      </c>
      <c r="AH409" s="1" t="s">
        <v>4874</v>
      </c>
      <c r="AI409" s="1">
        <v>4.5599999999999996</v>
      </c>
      <c r="AJ409" s="1">
        <v>344</v>
      </c>
      <c r="AK409" s="1">
        <v>947</v>
      </c>
      <c r="AL409" s="1">
        <v>22</v>
      </c>
    </row>
    <row r="410" spans="1:38" ht="15.75" customHeight="1">
      <c r="A410" s="1">
        <v>138</v>
      </c>
      <c r="B410" s="1">
        <v>5</v>
      </c>
      <c r="C410" s="1">
        <v>4050</v>
      </c>
      <c r="D410" s="1" t="s">
        <v>38</v>
      </c>
      <c r="E410" s="1" t="s">
        <v>39</v>
      </c>
      <c r="F410" s="1" t="s">
        <v>510</v>
      </c>
      <c r="G410" s="1">
        <v>0</v>
      </c>
      <c r="H410" s="1" t="s">
        <v>41</v>
      </c>
      <c r="I410" s="1" t="s">
        <v>4875</v>
      </c>
      <c r="J410" s="1" t="s">
        <v>4876</v>
      </c>
      <c r="K410" s="1" t="s">
        <v>4877</v>
      </c>
      <c r="L410" s="1">
        <v>1</v>
      </c>
      <c r="M410" s="1">
        <v>0</v>
      </c>
      <c r="N410" s="1" t="s">
        <v>4878</v>
      </c>
      <c r="O410" s="1" t="s">
        <v>4879</v>
      </c>
      <c r="P410" s="1" t="s">
        <v>4880</v>
      </c>
      <c r="Q410" s="1">
        <v>0</v>
      </c>
      <c r="R410" s="1" t="s">
        <v>4881</v>
      </c>
      <c r="S410" s="1" t="s">
        <v>4882</v>
      </c>
      <c r="U410" s="2">
        <v>56767</v>
      </c>
      <c r="V410" s="1">
        <v>3.7120707130000001</v>
      </c>
      <c r="W410" s="1">
        <v>3000</v>
      </c>
      <c r="X410" s="1">
        <v>1900</v>
      </c>
      <c r="Z410" s="1">
        <v>1179</v>
      </c>
      <c r="AA410" s="1">
        <v>723</v>
      </c>
      <c r="AB410" s="1">
        <v>0</v>
      </c>
      <c r="AC410" s="1">
        <v>3</v>
      </c>
      <c r="AD410" s="1" t="s">
        <v>62</v>
      </c>
      <c r="AE410" s="1" t="s">
        <v>4883</v>
      </c>
      <c r="AF410" s="1" t="s">
        <v>4884</v>
      </c>
      <c r="AG410" s="1" t="s">
        <v>4885</v>
      </c>
      <c r="AH410" s="1" t="s">
        <v>4886</v>
      </c>
      <c r="AI410" s="1">
        <v>4.62</v>
      </c>
      <c r="AJ410" s="1">
        <v>259</v>
      </c>
      <c r="AK410" s="1">
        <v>604</v>
      </c>
      <c r="AL410" s="1">
        <v>21</v>
      </c>
    </row>
    <row r="411" spans="1:38" ht="15.75" customHeight="1">
      <c r="A411" s="1">
        <v>283</v>
      </c>
      <c r="B411" s="1">
        <v>5</v>
      </c>
      <c r="C411" s="1">
        <v>4001</v>
      </c>
      <c r="D411" s="1" t="s">
        <v>51</v>
      </c>
      <c r="E411" s="1" t="s">
        <v>39</v>
      </c>
      <c r="F411" s="1" t="s">
        <v>648</v>
      </c>
      <c r="G411" s="1">
        <v>0</v>
      </c>
      <c r="H411" s="1" t="s">
        <v>53</v>
      </c>
      <c r="I411" s="1" t="s">
        <v>4887</v>
      </c>
      <c r="J411" s="1" t="s">
        <v>4888</v>
      </c>
      <c r="K411" s="1" t="s">
        <v>4889</v>
      </c>
      <c r="L411" s="1">
        <v>1</v>
      </c>
      <c r="M411" s="1">
        <v>0</v>
      </c>
      <c r="N411" s="1" t="s">
        <v>4890</v>
      </c>
      <c r="O411" s="1" t="s">
        <v>4891</v>
      </c>
      <c r="P411" s="1" t="s">
        <v>4892</v>
      </c>
      <c r="Q411" s="1">
        <v>0</v>
      </c>
      <c r="R411" s="1" t="s">
        <v>4893</v>
      </c>
      <c r="S411" s="1" t="s">
        <v>4894</v>
      </c>
      <c r="U411" s="2">
        <v>56768</v>
      </c>
      <c r="V411" s="1">
        <v>4.5</v>
      </c>
      <c r="W411" s="1">
        <v>3000</v>
      </c>
      <c r="X411" s="1">
        <v>1534</v>
      </c>
      <c r="Y411" s="1">
        <v>519</v>
      </c>
      <c r="Z411" s="1">
        <v>361</v>
      </c>
      <c r="AA411" s="1">
        <v>654</v>
      </c>
      <c r="AB411" s="1">
        <v>0</v>
      </c>
      <c r="AC411" s="1">
        <v>4</v>
      </c>
      <c r="AD411" s="1" t="s">
        <v>62</v>
      </c>
      <c r="AE411" s="1" t="s">
        <v>4895</v>
      </c>
      <c r="AF411" s="1" t="s">
        <v>4896</v>
      </c>
      <c r="AG411" s="1" t="s">
        <v>4897</v>
      </c>
      <c r="AH411" s="1" t="s">
        <v>4898</v>
      </c>
      <c r="AI411" s="1">
        <v>4.7</v>
      </c>
      <c r="AJ411" s="1">
        <v>443</v>
      </c>
      <c r="AK411" s="1">
        <v>1579</v>
      </c>
    </row>
    <row r="412" spans="1:38" ht="15.75" customHeight="1">
      <c r="A412" s="1">
        <v>70</v>
      </c>
      <c r="B412" s="1">
        <v>5</v>
      </c>
      <c r="C412" s="1">
        <v>4001</v>
      </c>
      <c r="D412" s="1" t="s">
        <v>51</v>
      </c>
      <c r="E412" s="1" t="s">
        <v>39</v>
      </c>
      <c r="F412" s="1" t="s">
        <v>648</v>
      </c>
      <c r="G412" s="1">
        <v>0</v>
      </c>
      <c r="H412" s="1" t="s">
        <v>53</v>
      </c>
      <c r="I412" s="1" t="s">
        <v>4899</v>
      </c>
      <c r="J412" s="1" t="s">
        <v>4900</v>
      </c>
      <c r="K412" s="1" t="s">
        <v>4901</v>
      </c>
      <c r="L412" s="1">
        <v>1</v>
      </c>
      <c r="M412" s="1">
        <v>0</v>
      </c>
      <c r="N412" s="1" t="s">
        <v>4902</v>
      </c>
      <c r="O412" s="1" t="s">
        <v>4903</v>
      </c>
      <c r="P412" s="1" t="s">
        <v>4904</v>
      </c>
      <c r="Q412" s="1">
        <v>0</v>
      </c>
      <c r="R412" s="1" t="s">
        <v>4905</v>
      </c>
      <c r="S412" s="1" t="s">
        <v>4906</v>
      </c>
      <c r="U412" s="2">
        <v>56766</v>
      </c>
      <c r="V412" s="1">
        <v>4.8</v>
      </c>
      <c r="W412" s="1">
        <v>2500</v>
      </c>
      <c r="X412" s="1">
        <v>1197</v>
      </c>
      <c r="Y412" s="1">
        <v>392</v>
      </c>
      <c r="Z412" s="1">
        <v>139</v>
      </c>
      <c r="AA412" s="1">
        <v>666</v>
      </c>
      <c r="AB412" s="1">
        <v>0</v>
      </c>
      <c r="AC412" s="1">
        <v>2</v>
      </c>
      <c r="AD412" s="1" t="s">
        <v>76</v>
      </c>
      <c r="AE412" s="1" t="s">
        <v>4907</v>
      </c>
      <c r="AF412" s="1" t="s">
        <v>4908</v>
      </c>
      <c r="AG412" s="1" t="s">
        <v>4909</v>
      </c>
      <c r="AH412" s="1" t="s">
        <v>4910</v>
      </c>
      <c r="AI412" s="1">
        <v>4.7</v>
      </c>
      <c r="AJ412" s="1">
        <v>443</v>
      </c>
      <c r="AK412" s="1">
        <v>1579</v>
      </c>
    </row>
    <row r="413" spans="1:38" ht="15.75" customHeight="1">
      <c r="A413" s="1">
        <v>230</v>
      </c>
      <c r="B413" s="1">
        <v>5</v>
      </c>
      <c r="C413" s="1">
        <v>4050</v>
      </c>
      <c r="D413" s="1" t="s">
        <v>38</v>
      </c>
      <c r="E413" s="1" t="s">
        <v>39</v>
      </c>
      <c r="F413" s="1" t="s">
        <v>510</v>
      </c>
      <c r="G413" s="1">
        <v>0</v>
      </c>
      <c r="H413" s="1" t="s">
        <v>41</v>
      </c>
      <c r="I413" s="1" t="s">
        <v>4911</v>
      </c>
      <c r="J413" s="1" t="s">
        <v>4912</v>
      </c>
      <c r="K413" s="1" t="s">
        <v>4913</v>
      </c>
      <c r="L413" s="1">
        <v>1</v>
      </c>
      <c r="M413" s="1">
        <v>0</v>
      </c>
      <c r="N413" s="1" t="s">
        <v>4914</v>
      </c>
      <c r="O413" s="1" t="s">
        <v>4915</v>
      </c>
      <c r="P413" s="1" t="s">
        <v>4916</v>
      </c>
      <c r="Q413" s="1">
        <v>0</v>
      </c>
      <c r="R413" s="1" t="s">
        <v>4917</v>
      </c>
      <c r="S413" s="1" t="s">
        <v>4918</v>
      </c>
      <c r="U413" s="2">
        <v>56767</v>
      </c>
      <c r="V413" s="1">
        <v>4.5</v>
      </c>
      <c r="W413" s="1">
        <v>2500</v>
      </c>
      <c r="X413" s="1">
        <v>1963</v>
      </c>
      <c r="Y413" s="1">
        <v>417</v>
      </c>
      <c r="Z413" s="1">
        <v>743</v>
      </c>
      <c r="AA413" s="1">
        <v>803</v>
      </c>
      <c r="AB413" s="1">
        <v>0</v>
      </c>
      <c r="AC413" s="1">
        <v>2</v>
      </c>
      <c r="AD413" s="1" t="s">
        <v>215</v>
      </c>
      <c r="AE413" s="1" t="s">
        <v>4919</v>
      </c>
      <c r="AF413" s="1" t="s">
        <v>4920</v>
      </c>
      <c r="AG413" s="1" t="s">
        <v>4921</v>
      </c>
      <c r="AH413" s="1" t="s">
        <v>4922</v>
      </c>
      <c r="AI413" s="1">
        <v>4.62</v>
      </c>
      <c r="AJ413" s="1">
        <v>259</v>
      </c>
      <c r="AK413" s="1">
        <v>604</v>
      </c>
      <c r="AL413" s="1">
        <v>21</v>
      </c>
    </row>
    <row r="414" spans="1:38" ht="15.75" customHeight="1">
      <c r="A414" s="1">
        <v>380</v>
      </c>
      <c r="B414" s="1">
        <v>1</v>
      </c>
      <c r="C414" s="1">
        <v>4050</v>
      </c>
      <c r="D414" s="1" t="s">
        <v>38</v>
      </c>
      <c r="E414" s="1" t="s">
        <v>39</v>
      </c>
      <c r="F414" s="1" t="s">
        <v>365</v>
      </c>
      <c r="G414" s="1">
        <v>0</v>
      </c>
      <c r="H414" s="1" t="s">
        <v>41</v>
      </c>
      <c r="I414" s="1" t="s">
        <v>4923</v>
      </c>
      <c r="J414" s="1" t="s">
        <v>4924</v>
      </c>
      <c r="K414" s="1" t="s">
        <v>4925</v>
      </c>
      <c r="L414" s="1">
        <v>1</v>
      </c>
      <c r="M414" s="1">
        <v>0</v>
      </c>
      <c r="N414" s="1" t="s">
        <v>4926</v>
      </c>
      <c r="O414" s="1" t="s">
        <v>4927</v>
      </c>
      <c r="P414" s="1" t="s">
        <v>4928</v>
      </c>
      <c r="Q414" s="1">
        <v>0</v>
      </c>
      <c r="R414" s="1" t="s">
        <v>4929</v>
      </c>
      <c r="S414" s="1" t="s">
        <v>4930</v>
      </c>
      <c r="U414" s="2">
        <v>56768</v>
      </c>
      <c r="V414" s="1">
        <v>3.0873124760000001</v>
      </c>
      <c r="W414" s="1">
        <v>2500</v>
      </c>
      <c r="X414" s="1">
        <v>3256</v>
      </c>
      <c r="Y414" s="1">
        <v>586</v>
      </c>
      <c r="Z414" s="1">
        <v>1622</v>
      </c>
      <c r="AA414" s="1">
        <v>1048</v>
      </c>
      <c r="AB414" s="1">
        <v>0</v>
      </c>
      <c r="AC414" s="1">
        <v>2</v>
      </c>
      <c r="AD414" s="1" t="s">
        <v>215</v>
      </c>
      <c r="AE414" s="1" t="s">
        <v>4931</v>
      </c>
      <c r="AF414" s="1" t="s">
        <v>4932</v>
      </c>
      <c r="AG414" s="1" t="s">
        <v>4933</v>
      </c>
      <c r="AH414" s="1" t="s">
        <v>4934</v>
      </c>
      <c r="AI414" s="1">
        <v>4.7699999999999996</v>
      </c>
      <c r="AJ414" s="1">
        <v>426</v>
      </c>
      <c r="AK414" s="1">
        <v>1226</v>
      </c>
      <c r="AL414" s="1">
        <v>85</v>
      </c>
    </row>
    <row r="415" spans="1:38" ht="15.75" customHeight="1">
      <c r="A415" s="1">
        <v>483</v>
      </c>
      <c r="C415" s="1">
        <v>4001</v>
      </c>
      <c r="D415" s="1" t="s">
        <v>51</v>
      </c>
      <c r="E415" s="1" t="s">
        <v>39</v>
      </c>
      <c r="F415" s="1" t="s">
        <v>414</v>
      </c>
      <c r="G415" s="1">
        <v>0</v>
      </c>
      <c r="H415" s="1" t="s">
        <v>53</v>
      </c>
      <c r="I415" s="1" t="s">
        <v>4935</v>
      </c>
      <c r="J415" s="1" t="s">
        <v>4936</v>
      </c>
      <c r="K415" s="1" t="s">
        <v>4937</v>
      </c>
      <c r="L415" s="1">
        <v>1</v>
      </c>
      <c r="M415" s="1">
        <v>0</v>
      </c>
      <c r="N415" s="1" t="s">
        <v>4938</v>
      </c>
      <c r="O415" s="1" t="s">
        <v>4939</v>
      </c>
      <c r="P415" s="1" t="s">
        <v>4940</v>
      </c>
      <c r="Q415" s="1">
        <v>0</v>
      </c>
      <c r="R415" s="1" t="s">
        <v>4941</v>
      </c>
      <c r="S415" s="1" t="s">
        <v>4942</v>
      </c>
      <c r="U415" s="2">
        <v>56769</v>
      </c>
      <c r="V415" s="1">
        <v>4.7</v>
      </c>
      <c r="W415" s="1">
        <v>2500</v>
      </c>
      <c r="X415" s="1">
        <v>1158</v>
      </c>
      <c r="Y415" s="1">
        <v>704</v>
      </c>
      <c r="Z415" s="1">
        <v>257</v>
      </c>
      <c r="AA415" s="1">
        <v>197</v>
      </c>
      <c r="AB415" s="1">
        <v>0</v>
      </c>
      <c r="AC415" s="1">
        <v>2</v>
      </c>
      <c r="AD415" s="1" t="s">
        <v>215</v>
      </c>
      <c r="AE415" s="1" t="s">
        <v>4943</v>
      </c>
      <c r="AF415" s="1" t="s">
        <v>4944</v>
      </c>
      <c r="AG415" s="1" t="s">
        <v>4945</v>
      </c>
      <c r="AH415" s="1" t="s">
        <v>4946</v>
      </c>
      <c r="AI415" s="1">
        <v>4.58</v>
      </c>
      <c r="AJ415" s="1">
        <v>254</v>
      </c>
      <c r="AK415" s="1">
        <v>788</v>
      </c>
      <c r="AL415" s="1">
        <v>9</v>
      </c>
    </row>
    <row r="416" spans="1:38" ht="15.75" customHeight="1">
      <c r="A416" s="1">
        <v>701</v>
      </c>
      <c r="C416" s="1">
        <v>4050</v>
      </c>
      <c r="D416" s="1" t="s">
        <v>38</v>
      </c>
      <c r="E416" s="1" t="s">
        <v>39</v>
      </c>
      <c r="F416" s="1" t="s">
        <v>510</v>
      </c>
      <c r="G416" s="1">
        <v>0</v>
      </c>
      <c r="H416" s="1" t="s">
        <v>41</v>
      </c>
      <c r="I416" s="1" t="s">
        <v>4947</v>
      </c>
      <c r="J416" s="1" t="s">
        <v>4948</v>
      </c>
      <c r="K416" s="1" t="s">
        <v>4949</v>
      </c>
      <c r="L416" s="1">
        <v>1</v>
      </c>
      <c r="M416" s="1">
        <v>0</v>
      </c>
      <c r="N416" s="1" t="s">
        <v>4950</v>
      </c>
      <c r="O416" s="1" t="s">
        <v>4951</v>
      </c>
      <c r="P416" s="1" t="s">
        <v>4952</v>
      </c>
      <c r="Q416" s="1">
        <v>0</v>
      </c>
      <c r="R416" s="1" t="s">
        <v>4953</v>
      </c>
      <c r="S416" s="1" t="s">
        <v>4954</v>
      </c>
      <c r="U416" s="2">
        <v>56770</v>
      </c>
      <c r="V416" s="1">
        <v>3.7286075680000001</v>
      </c>
      <c r="W416" s="1">
        <v>2500</v>
      </c>
      <c r="X416" s="1">
        <v>2393</v>
      </c>
      <c r="Y416" s="1">
        <v>541</v>
      </c>
      <c r="Z416" s="1">
        <v>1317</v>
      </c>
      <c r="AA416" s="1">
        <v>535</v>
      </c>
      <c r="AB416" s="1">
        <v>0</v>
      </c>
      <c r="AC416" s="1">
        <v>4</v>
      </c>
      <c r="AD416" s="1" t="s">
        <v>62</v>
      </c>
      <c r="AE416" s="1" t="s">
        <v>4955</v>
      </c>
      <c r="AF416" s="1" t="s">
        <v>4956</v>
      </c>
      <c r="AG416" s="1" t="s">
        <v>4957</v>
      </c>
      <c r="AH416" s="1" t="s">
        <v>4958</v>
      </c>
      <c r="AI416" s="1">
        <v>4.62</v>
      </c>
      <c r="AJ416" s="1">
        <v>259</v>
      </c>
      <c r="AK416" s="1">
        <v>604</v>
      </c>
      <c r="AL416" s="1">
        <v>21</v>
      </c>
    </row>
    <row r="417" spans="1:38" ht="15.75" customHeight="1">
      <c r="A417" s="1">
        <v>721</v>
      </c>
      <c r="C417" s="1">
        <v>4050</v>
      </c>
      <c r="D417" s="1" t="s">
        <v>38</v>
      </c>
      <c r="E417" s="1" t="s">
        <v>39</v>
      </c>
      <c r="F417" s="1" t="s">
        <v>510</v>
      </c>
      <c r="G417" s="1">
        <v>0</v>
      </c>
      <c r="H417" s="1" t="s">
        <v>41</v>
      </c>
      <c r="I417" s="1" t="s">
        <v>4959</v>
      </c>
      <c r="J417" s="1" t="s">
        <v>4960</v>
      </c>
      <c r="K417" s="1" t="s">
        <v>4961</v>
      </c>
      <c r="L417" s="1">
        <v>1</v>
      </c>
      <c r="M417" s="1">
        <v>0</v>
      </c>
      <c r="N417" s="1" t="s">
        <v>4962</v>
      </c>
      <c r="O417" s="1" t="s">
        <v>4963</v>
      </c>
      <c r="P417" s="1" t="s">
        <v>4964</v>
      </c>
      <c r="Q417" s="1">
        <v>0</v>
      </c>
      <c r="R417" s="1" t="s">
        <v>4965</v>
      </c>
      <c r="S417" s="1" t="s">
        <v>4966</v>
      </c>
      <c r="U417" s="2">
        <v>56770</v>
      </c>
      <c r="V417" s="1">
        <v>4.5</v>
      </c>
      <c r="W417" s="1">
        <v>2500</v>
      </c>
      <c r="X417" s="1">
        <v>2261</v>
      </c>
      <c r="Y417" s="1">
        <v>324</v>
      </c>
      <c r="Z417" s="1">
        <v>779</v>
      </c>
      <c r="AA417" s="1">
        <v>1158</v>
      </c>
      <c r="AB417" s="1">
        <v>0</v>
      </c>
      <c r="AC417" s="1">
        <v>6</v>
      </c>
      <c r="AD417" s="1" t="s">
        <v>62</v>
      </c>
      <c r="AE417" s="1" t="s">
        <v>4967</v>
      </c>
      <c r="AF417" s="1" t="s">
        <v>4968</v>
      </c>
      <c r="AG417" s="1" t="s">
        <v>4969</v>
      </c>
      <c r="AH417" s="1" t="s">
        <v>4970</v>
      </c>
      <c r="AI417" s="1">
        <v>4.62</v>
      </c>
      <c r="AJ417" s="1">
        <v>259</v>
      </c>
      <c r="AK417" s="1">
        <v>604</v>
      </c>
      <c r="AL417" s="1">
        <v>21</v>
      </c>
    </row>
    <row r="418" spans="1:38" ht="15.75" customHeight="1">
      <c r="A418" s="1">
        <v>181</v>
      </c>
      <c r="B418" s="1">
        <v>5</v>
      </c>
      <c r="C418" s="1">
        <v>4001</v>
      </c>
      <c r="D418" s="1" t="s">
        <v>51</v>
      </c>
      <c r="E418" s="1" t="s">
        <v>39</v>
      </c>
      <c r="F418" s="1" t="s">
        <v>2044</v>
      </c>
      <c r="G418" s="1">
        <v>0</v>
      </c>
      <c r="H418" s="1" t="s">
        <v>53</v>
      </c>
      <c r="I418" s="1" t="s">
        <v>4971</v>
      </c>
      <c r="J418" s="1" t="s">
        <v>4972</v>
      </c>
      <c r="K418" s="1" t="s">
        <v>4973</v>
      </c>
      <c r="L418" s="1">
        <v>1</v>
      </c>
      <c r="M418" s="1">
        <v>0</v>
      </c>
      <c r="N418" s="1" t="s">
        <v>4974</v>
      </c>
      <c r="O418" s="1" t="s">
        <v>4975</v>
      </c>
      <c r="P418" s="1" t="s">
        <v>4976</v>
      </c>
      <c r="Q418" s="1">
        <v>0</v>
      </c>
      <c r="R418" s="1" t="s">
        <v>4977</v>
      </c>
      <c r="S418" s="1" t="s">
        <v>4978</v>
      </c>
      <c r="U418" s="2">
        <v>56767</v>
      </c>
      <c r="V418" s="1">
        <v>3.1045887620000001</v>
      </c>
      <c r="W418" s="1">
        <v>2500</v>
      </c>
      <c r="X418" s="1">
        <v>1303</v>
      </c>
      <c r="Y418" s="1">
        <v>498</v>
      </c>
      <c r="Z418" s="1">
        <v>243</v>
      </c>
      <c r="AA418" s="1">
        <v>562</v>
      </c>
      <c r="AB418" s="1">
        <v>0</v>
      </c>
      <c r="AC418" s="1">
        <v>1</v>
      </c>
      <c r="AD418" s="1" t="s">
        <v>62</v>
      </c>
      <c r="AE418" s="1" t="s">
        <v>4979</v>
      </c>
      <c r="AF418" s="1" t="s">
        <v>4980</v>
      </c>
      <c r="AG418" s="1" t="s">
        <v>4981</v>
      </c>
      <c r="AH418" s="1" t="s">
        <v>4982</v>
      </c>
      <c r="AI418" s="1">
        <v>4.63</v>
      </c>
      <c r="AJ418" s="1">
        <v>265</v>
      </c>
      <c r="AK418" s="1">
        <v>905</v>
      </c>
      <c r="AL418" s="1">
        <v>77</v>
      </c>
    </row>
    <row r="419" spans="1:38" ht="15.75" customHeight="1">
      <c r="A419" s="1">
        <v>33</v>
      </c>
      <c r="C419" s="1">
        <v>4050</v>
      </c>
      <c r="D419" s="1" t="s">
        <v>38</v>
      </c>
      <c r="E419" s="1" t="s">
        <v>39</v>
      </c>
      <c r="F419" s="1" t="s">
        <v>40</v>
      </c>
      <c r="G419" s="1">
        <v>0</v>
      </c>
      <c r="H419" s="1" t="s">
        <v>41</v>
      </c>
      <c r="I419" s="1" t="s">
        <v>4983</v>
      </c>
      <c r="J419" s="1" t="s">
        <v>4984</v>
      </c>
      <c r="K419" s="1" t="s">
        <v>4985</v>
      </c>
      <c r="L419" s="1">
        <v>1</v>
      </c>
      <c r="M419" s="1">
        <v>0</v>
      </c>
      <c r="N419" s="1" t="s">
        <v>4986</v>
      </c>
      <c r="O419" s="1" t="s">
        <v>4987</v>
      </c>
      <c r="P419" s="1" t="s">
        <v>4988</v>
      </c>
      <c r="Q419" s="1">
        <v>0</v>
      </c>
      <c r="R419" s="1" t="s">
        <v>4989</v>
      </c>
      <c r="U419" s="2">
        <v>56766</v>
      </c>
      <c r="V419" s="1">
        <v>4.4000000000000004</v>
      </c>
      <c r="W419" s="1">
        <v>2500</v>
      </c>
      <c r="X419" s="1">
        <v>2058</v>
      </c>
      <c r="AA419" s="1">
        <v>1378</v>
      </c>
      <c r="AB419" s="1">
        <v>0</v>
      </c>
      <c r="AC419" s="1">
        <v>4</v>
      </c>
      <c r="AE419" s="1" t="s">
        <v>4990</v>
      </c>
      <c r="AF419" s="1" t="s">
        <v>4991</v>
      </c>
      <c r="AG419" s="1" t="s">
        <v>4992</v>
      </c>
      <c r="AI419" s="1">
        <v>4.7</v>
      </c>
      <c r="AJ419" s="1">
        <v>1261</v>
      </c>
      <c r="AK419" s="1">
        <v>3264</v>
      </c>
      <c r="AL419" s="1">
        <v>232</v>
      </c>
    </row>
    <row r="420" spans="1:38" ht="15.75" customHeight="1">
      <c r="A420" s="1">
        <v>383</v>
      </c>
      <c r="B420" s="1">
        <v>4</v>
      </c>
      <c r="C420" s="1">
        <v>4001</v>
      </c>
      <c r="D420" s="1" t="s">
        <v>51</v>
      </c>
      <c r="E420" s="1" t="s">
        <v>39</v>
      </c>
      <c r="F420" s="1" t="s">
        <v>648</v>
      </c>
      <c r="G420" s="1">
        <v>0</v>
      </c>
      <c r="H420" s="1" t="s">
        <v>53</v>
      </c>
      <c r="I420" s="1" t="s">
        <v>4993</v>
      </c>
      <c r="J420" s="1" t="s">
        <v>4994</v>
      </c>
      <c r="K420" s="1" t="s">
        <v>4995</v>
      </c>
      <c r="L420" s="1">
        <v>1</v>
      </c>
      <c r="M420" s="1">
        <v>0</v>
      </c>
      <c r="N420" s="1" t="s">
        <v>4996</v>
      </c>
      <c r="O420" s="1" t="s">
        <v>4997</v>
      </c>
      <c r="P420" s="1" t="s">
        <v>4998</v>
      </c>
      <c r="Q420" s="1">
        <v>0</v>
      </c>
      <c r="R420" s="1" t="s">
        <v>4999</v>
      </c>
      <c r="S420" s="1" t="s">
        <v>5000</v>
      </c>
      <c r="U420" s="2">
        <v>56768</v>
      </c>
      <c r="V420" s="1">
        <v>4.4000000000000004</v>
      </c>
      <c r="W420" s="1">
        <v>2500</v>
      </c>
      <c r="X420" s="1">
        <v>2068</v>
      </c>
      <c r="Y420" s="1">
        <v>894</v>
      </c>
      <c r="Z420" s="1">
        <v>525</v>
      </c>
      <c r="AA420" s="1">
        <v>649</v>
      </c>
      <c r="AB420" s="1">
        <v>0</v>
      </c>
      <c r="AC420" s="1">
        <v>2</v>
      </c>
      <c r="AD420" s="1" t="s">
        <v>76</v>
      </c>
      <c r="AE420" s="1" t="s">
        <v>5001</v>
      </c>
      <c r="AF420" s="1" t="s">
        <v>5002</v>
      </c>
      <c r="AG420" s="1" t="s">
        <v>5003</v>
      </c>
      <c r="AH420" s="1" t="s">
        <v>5004</v>
      </c>
      <c r="AI420" s="1">
        <v>4.7</v>
      </c>
      <c r="AJ420" s="1">
        <v>443</v>
      </c>
      <c r="AK420" s="1">
        <v>1579</v>
      </c>
    </row>
    <row r="421" spans="1:38" ht="15.75" customHeight="1">
      <c r="A421" s="1">
        <v>263</v>
      </c>
      <c r="B421" s="1">
        <v>5</v>
      </c>
      <c r="C421" s="1">
        <v>4001</v>
      </c>
      <c r="D421" s="1" t="s">
        <v>51</v>
      </c>
      <c r="E421" s="1" t="s">
        <v>39</v>
      </c>
      <c r="F421" s="1" t="s">
        <v>2021</v>
      </c>
      <c r="G421" s="1">
        <v>0</v>
      </c>
      <c r="H421" s="1" t="s">
        <v>53</v>
      </c>
      <c r="I421" s="1" t="s">
        <v>5005</v>
      </c>
      <c r="J421" s="1" t="s">
        <v>5006</v>
      </c>
      <c r="K421" s="1" t="s">
        <v>5007</v>
      </c>
      <c r="L421" s="1">
        <v>1</v>
      </c>
      <c r="M421" s="1">
        <v>0</v>
      </c>
      <c r="N421" s="1" t="s">
        <v>5008</v>
      </c>
      <c r="O421" s="1" t="s">
        <v>5009</v>
      </c>
      <c r="P421" s="1" t="s">
        <v>5010</v>
      </c>
      <c r="Q421" s="1">
        <v>0</v>
      </c>
      <c r="R421" s="1" t="s">
        <v>5011</v>
      </c>
      <c r="S421" s="1" t="s">
        <v>5012</v>
      </c>
      <c r="U421" s="2">
        <v>56768</v>
      </c>
      <c r="V421" s="1">
        <v>4.4000000000000004</v>
      </c>
      <c r="W421" s="1">
        <v>2500</v>
      </c>
      <c r="X421" s="1">
        <v>1645</v>
      </c>
      <c r="Y421" s="1">
        <v>1059</v>
      </c>
      <c r="Z421" s="1">
        <v>346</v>
      </c>
      <c r="AA421" s="1">
        <v>240</v>
      </c>
      <c r="AB421" s="1">
        <v>0</v>
      </c>
      <c r="AC421" s="1">
        <v>5</v>
      </c>
      <c r="AD421" s="1" t="s">
        <v>215</v>
      </c>
      <c r="AE421" s="1" t="s">
        <v>5013</v>
      </c>
      <c r="AF421" s="1" t="s">
        <v>5014</v>
      </c>
      <c r="AG421" s="1" t="s">
        <v>5015</v>
      </c>
      <c r="AH421" s="1" t="s">
        <v>5016</v>
      </c>
      <c r="AI421" s="1">
        <v>4.8099999999999996</v>
      </c>
      <c r="AJ421" s="1">
        <v>747</v>
      </c>
      <c r="AK421" s="1">
        <v>2902</v>
      </c>
      <c r="AL421" s="1">
        <v>484</v>
      </c>
    </row>
    <row r="422" spans="1:38" ht="15.75" customHeight="1">
      <c r="A422" s="1">
        <v>1115</v>
      </c>
      <c r="B422" s="1">
        <v>5</v>
      </c>
      <c r="C422" s="1">
        <v>4001</v>
      </c>
      <c r="D422" s="1" t="s">
        <v>51</v>
      </c>
      <c r="E422" s="1" t="s">
        <v>39</v>
      </c>
      <c r="F422" s="1" t="s">
        <v>305</v>
      </c>
      <c r="G422" s="1">
        <v>0</v>
      </c>
      <c r="H422" s="1" t="s">
        <v>53</v>
      </c>
      <c r="I422" s="1" t="s">
        <v>5017</v>
      </c>
      <c r="J422" s="1" t="s">
        <v>106</v>
      </c>
      <c r="K422" s="1" t="s">
        <v>106</v>
      </c>
      <c r="L422" s="1">
        <v>0</v>
      </c>
      <c r="M422" s="1">
        <v>0</v>
      </c>
      <c r="N422" s="1" t="s">
        <v>5018</v>
      </c>
      <c r="O422" s="1" t="s">
        <v>5019</v>
      </c>
      <c r="P422" s="1" t="s">
        <v>5020</v>
      </c>
      <c r="Q422" s="1">
        <v>0</v>
      </c>
      <c r="R422" s="1" t="s">
        <v>5021</v>
      </c>
      <c r="S422" s="1" t="s">
        <v>5022</v>
      </c>
      <c r="U422" s="2">
        <v>56775</v>
      </c>
      <c r="V422" s="1">
        <v>4.4000000000000004</v>
      </c>
      <c r="W422" s="1">
        <v>2500</v>
      </c>
      <c r="X422" s="1">
        <v>2142</v>
      </c>
      <c r="Y422" s="1">
        <v>563</v>
      </c>
      <c r="Z422" s="1">
        <v>1267</v>
      </c>
      <c r="AA422" s="1">
        <v>312</v>
      </c>
      <c r="AB422" s="1">
        <v>0</v>
      </c>
      <c r="AC422" s="1">
        <v>5</v>
      </c>
      <c r="AD422" s="1" t="s">
        <v>62</v>
      </c>
      <c r="AE422" s="1" t="s">
        <v>5023</v>
      </c>
      <c r="AF422" s="1" t="s">
        <v>5024</v>
      </c>
      <c r="AG422" s="1" t="s">
        <v>5025</v>
      </c>
      <c r="AH422" s="1" t="s">
        <v>5026</v>
      </c>
      <c r="AI422" s="1">
        <v>4.5199999999999996</v>
      </c>
      <c r="AJ422" s="1">
        <v>183</v>
      </c>
      <c r="AK422" s="1">
        <v>522</v>
      </c>
    </row>
    <row r="423" spans="1:38" ht="15.75" customHeight="1">
      <c r="A423" s="1">
        <v>1349</v>
      </c>
      <c r="B423" s="1">
        <v>5</v>
      </c>
      <c r="C423" s="1">
        <v>4001</v>
      </c>
      <c r="D423" s="1" t="s">
        <v>51</v>
      </c>
      <c r="E423" s="1" t="s">
        <v>39</v>
      </c>
      <c r="F423" s="1" t="s">
        <v>414</v>
      </c>
      <c r="G423" s="1">
        <v>0</v>
      </c>
      <c r="H423" s="1" t="s">
        <v>53</v>
      </c>
      <c r="I423" s="1" t="s">
        <v>5027</v>
      </c>
      <c r="J423" s="1" t="s">
        <v>5028</v>
      </c>
      <c r="K423" s="1" t="s">
        <v>5029</v>
      </c>
      <c r="L423" s="1">
        <v>1</v>
      </c>
      <c r="M423" s="1">
        <v>0</v>
      </c>
      <c r="N423" s="1" t="s">
        <v>5030</v>
      </c>
      <c r="O423" s="1" t="s">
        <v>5031</v>
      </c>
      <c r="P423" s="1" t="s">
        <v>5032</v>
      </c>
      <c r="Q423" s="1">
        <v>0</v>
      </c>
      <c r="R423" s="1" t="s">
        <v>5033</v>
      </c>
      <c r="S423" s="1" t="s">
        <v>5034</v>
      </c>
      <c r="U423" s="2">
        <v>56776</v>
      </c>
      <c r="V423" s="1">
        <v>4.3</v>
      </c>
      <c r="W423" s="1">
        <v>2500</v>
      </c>
      <c r="X423" s="1">
        <v>3108</v>
      </c>
      <c r="Y423" s="1">
        <v>425</v>
      </c>
      <c r="Z423" s="1">
        <v>2125</v>
      </c>
      <c r="AA423" s="1">
        <v>558</v>
      </c>
      <c r="AB423" s="1">
        <v>1</v>
      </c>
      <c r="AC423" s="1">
        <v>5</v>
      </c>
      <c r="AE423" s="1" t="s">
        <v>5035</v>
      </c>
      <c r="AF423" s="1" t="s">
        <v>5036</v>
      </c>
      <c r="AG423" s="1" t="s">
        <v>5037</v>
      </c>
      <c r="AH423" s="1" t="s">
        <v>5038</v>
      </c>
      <c r="AI423" s="1">
        <v>4.58</v>
      </c>
      <c r="AJ423" s="1">
        <v>254</v>
      </c>
      <c r="AK423" s="1">
        <v>788</v>
      </c>
      <c r="AL423" s="1">
        <v>9</v>
      </c>
    </row>
    <row r="424" spans="1:38" ht="15.75" customHeight="1">
      <c r="A424" s="1">
        <v>663</v>
      </c>
      <c r="C424" s="1">
        <v>4050</v>
      </c>
      <c r="D424" s="1" t="s">
        <v>38</v>
      </c>
      <c r="E424" s="1" t="s">
        <v>39</v>
      </c>
      <c r="F424" s="1" t="s">
        <v>390</v>
      </c>
      <c r="G424" s="1">
        <v>0</v>
      </c>
      <c r="H424" s="1" t="s">
        <v>41</v>
      </c>
      <c r="I424" s="1" t="s">
        <v>5039</v>
      </c>
      <c r="J424" s="1" t="s">
        <v>5040</v>
      </c>
      <c r="K424" s="1" t="s">
        <v>5041</v>
      </c>
      <c r="L424" s="1">
        <v>1</v>
      </c>
      <c r="M424" s="1">
        <v>0</v>
      </c>
      <c r="N424" s="1" t="s">
        <v>5042</v>
      </c>
      <c r="O424" s="1" t="s">
        <v>5043</v>
      </c>
      <c r="P424" s="1" t="s">
        <v>5044</v>
      </c>
      <c r="Q424" s="1">
        <v>0</v>
      </c>
      <c r="R424" s="1" t="s">
        <v>5045</v>
      </c>
      <c r="S424" s="1" t="s">
        <v>5046</v>
      </c>
      <c r="U424" s="2">
        <v>56770</v>
      </c>
      <c r="V424" s="1">
        <v>4.7</v>
      </c>
      <c r="W424" s="1">
        <v>2500</v>
      </c>
      <c r="X424" s="1">
        <v>2328</v>
      </c>
      <c r="Y424" s="1">
        <v>415</v>
      </c>
      <c r="Z424" s="1">
        <v>587</v>
      </c>
      <c r="AA424" s="1">
        <v>1326</v>
      </c>
      <c r="AB424" s="1">
        <v>1</v>
      </c>
      <c r="AC424" s="1">
        <v>3</v>
      </c>
      <c r="AE424" s="1" t="s">
        <v>5047</v>
      </c>
      <c r="AF424" s="1" t="s">
        <v>5048</v>
      </c>
      <c r="AG424" s="1" t="s">
        <v>5049</v>
      </c>
      <c r="AH424" s="1" t="s">
        <v>5050</v>
      </c>
      <c r="AI424" s="1">
        <v>4.5599999999999996</v>
      </c>
      <c r="AJ424" s="1">
        <v>344</v>
      </c>
      <c r="AK424" s="1">
        <v>947</v>
      </c>
      <c r="AL424" s="1">
        <v>22</v>
      </c>
    </row>
    <row r="425" spans="1:38" ht="15.75" customHeight="1">
      <c r="A425" s="1">
        <v>313</v>
      </c>
      <c r="C425" s="1">
        <v>4001</v>
      </c>
      <c r="D425" s="1" t="s">
        <v>51</v>
      </c>
      <c r="E425" s="1" t="s">
        <v>39</v>
      </c>
      <c r="F425" s="1" t="s">
        <v>52</v>
      </c>
      <c r="G425" s="1">
        <v>0</v>
      </c>
      <c r="H425" s="1" t="s">
        <v>53</v>
      </c>
      <c r="I425" s="1" t="s">
        <v>5051</v>
      </c>
      <c r="J425" s="1" t="s">
        <v>5052</v>
      </c>
      <c r="K425" s="1" t="s">
        <v>5053</v>
      </c>
      <c r="L425" s="1">
        <v>1</v>
      </c>
      <c r="M425" s="1">
        <v>0</v>
      </c>
      <c r="N425" s="1" t="s">
        <v>5054</v>
      </c>
      <c r="O425" s="1" t="s">
        <v>5055</v>
      </c>
      <c r="P425" s="1" t="s">
        <v>5056</v>
      </c>
      <c r="Q425" s="1">
        <v>0</v>
      </c>
      <c r="R425" s="1" t="s">
        <v>5057</v>
      </c>
      <c r="S425" s="1" t="s">
        <v>5058</v>
      </c>
      <c r="U425" s="2">
        <v>56768</v>
      </c>
      <c r="V425" s="1">
        <v>4.4000000000000004</v>
      </c>
      <c r="W425" s="1">
        <v>2500</v>
      </c>
      <c r="X425" s="1">
        <v>1814</v>
      </c>
      <c r="Y425" s="1">
        <v>594</v>
      </c>
      <c r="Z425" s="1">
        <v>902</v>
      </c>
      <c r="AA425" s="1">
        <v>318</v>
      </c>
      <c r="AB425" s="1">
        <v>0</v>
      </c>
      <c r="AC425" s="1">
        <v>5</v>
      </c>
      <c r="AD425" s="1" t="s">
        <v>215</v>
      </c>
      <c r="AE425" s="1" t="s">
        <v>5059</v>
      </c>
      <c r="AF425" s="1" t="s">
        <v>5060</v>
      </c>
      <c r="AG425" s="1" t="s">
        <v>5061</v>
      </c>
      <c r="AH425" s="1" t="s">
        <v>5062</v>
      </c>
      <c r="AI425" s="1">
        <v>4.17</v>
      </c>
      <c r="AJ425" s="1">
        <v>457</v>
      </c>
      <c r="AK425" s="1">
        <v>1599</v>
      </c>
    </row>
    <row r="426" spans="1:38" ht="15.75" customHeight="1">
      <c r="A426" s="1">
        <v>267</v>
      </c>
      <c r="C426" s="1">
        <v>4050</v>
      </c>
      <c r="D426" s="1" t="s">
        <v>38</v>
      </c>
      <c r="E426" s="1" t="s">
        <v>39</v>
      </c>
      <c r="F426" s="1" t="s">
        <v>173</v>
      </c>
      <c r="G426" s="1">
        <v>0</v>
      </c>
      <c r="H426" s="1" t="s">
        <v>41</v>
      </c>
      <c r="I426" s="1" t="s">
        <v>5063</v>
      </c>
      <c r="J426" s="1" t="s">
        <v>5064</v>
      </c>
      <c r="K426" s="1" t="s">
        <v>5065</v>
      </c>
      <c r="L426" s="1">
        <v>1</v>
      </c>
      <c r="M426" s="1">
        <v>0</v>
      </c>
      <c r="N426" s="1" t="s">
        <v>5066</v>
      </c>
      <c r="O426" s="1" t="s">
        <v>5067</v>
      </c>
      <c r="P426" s="1" t="s">
        <v>5068</v>
      </c>
      <c r="Q426" s="1">
        <v>0</v>
      </c>
      <c r="R426" s="1" t="s">
        <v>5069</v>
      </c>
      <c r="S426" s="1" t="s">
        <v>5070</v>
      </c>
      <c r="U426" s="2">
        <v>56768</v>
      </c>
      <c r="V426" s="1">
        <v>4.5</v>
      </c>
      <c r="W426" s="1">
        <v>2500</v>
      </c>
      <c r="X426" s="1">
        <v>2008</v>
      </c>
      <c r="Y426" s="1">
        <v>376</v>
      </c>
      <c r="Z426" s="1">
        <v>229</v>
      </c>
      <c r="AA426" s="1">
        <v>1403</v>
      </c>
      <c r="AB426" s="1">
        <v>1</v>
      </c>
      <c r="AC426" s="1">
        <v>3</v>
      </c>
      <c r="AE426" s="1" t="s">
        <v>5071</v>
      </c>
      <c r="AF426" s="1" t="s">
        <v>5072</v>
      </c>
      <c r="AG426" s="1" t="s">
        <v>5073</v>
      </c>
      <c r="AH426" s="1" t="s">
        <v>5074</v>
      </c>
      <c r="AI426" s="1">
        <v>4.22</v>
      </c>
      <c r="AJ426" s="1">
        <v>1551</v>
      </c>
      <c r="AK426" s="1">
        <v>4625</v>
      </c>
    </row>
    <row r="427" spans="1:38" ht="15.75" customHeight="1">
      <c r="A427" s="1">
        <v>778</v>
      </c>
      <c r="C427" s="1">
        <v>4050</v>
      </c>
      <c r="D427" s="1" t="s">
        <v>38</v>
      </c>
      <c r="E427" s="1" t="s">
        <v>39</v>
      </c>
      <c r="F427" s="1" t="s">
        <v>486</v>
      </c>
      <c r="G427" s="1">
        <v>0</v>
      </c>
      <c r="H427" s="1" t="s">
        <v>41</v>
      </c>
      <c r="I427" s="1" t="s">
        <v>5075</v>
      </c>
      <c r="J427" s="1" t="s">
        <v>5076</v>
      </c>
      <c r="K427" s="1" t="s">
        <v>5077</v>
      </c>
      <c r="L427" s="1">
        <v>1</v>
      </c>
      <c r="M427" s="1">
        <v>0</v>
      </c>
      <c r="N427" s="1" t="s">
        <v>5078</v>
      </c>
      <c r="O427" s="1" t="s">
        <v>5079</v>
      </c>
      <c r="P427" s="1" t="s">
        <v>5080</v>
      </c>
      <c r="Q427" s="1">
        <v>0</v>
      </c>
      <c r="R427" s="1" t="s">
        <v>5081</v>
      </c>
      <c r="S427" s="1" t="s">
        <v>5082</v>
      </c>
      <c r="U427" s="2">
        <v>56771</v>
      </c>
      <c r="V427" s="1">
        <v>4.5999999999999996</v>
      </c>
      <c r="W427" s="1">
        <v>2500</v>
      </c>
      <c r="X427" s="1">
        <v>2129</v>
      </c>
      <c r="Y427" s="1">
        <v>930</v>
      </c>
      <c r="Z427" s="1">
        <v>215</v>
      </c>
      <c r="AA427" s="1">
        <v>984</v>
      </c>
      <c r="AB427" s="1">
        <v>1</v>
      </c>
      <c r="AC427" s="1">
        <v>2</v>
      </c>
      <c r="AE427" s="1" t="s">
        <v>5083</v>
      </c>
      <c r="AF427" s="1" t="s">
        <v>5084</v>
      </c>
      <c r="AG427" s="1" t="s">
        <v>5085</v>
      </c>
      <c r="AH427" s="1" t="s">
        <v>5086</v>
      </c>
      <c r="AI427" s="1">
        <v>4.7</v>
      </c>
      <c r="AJ427" s="1">
        <v>212</v>
      </c>
      <c r="AK427" s="1">
        <v>624</v>
      </c>
      <c r="AL427" s="1">
        <v>347</v>
      </c>
    </row>
    <row r="428" spans="1:38" ht="15.75" customHeight="1">
      <c r="A428" s="1">
        <v>1239</v>
      </c>
      <c r="B428" s="1">
        <v>4</v>
      </c>
      <c r="C428" s="1">
        <v>4001</v>
      </c>
      <c r="D428" s="1" t="s">
        <v>51</v>
      </c>
      <c r="E428" s="1" t="s">
        <v>39</v>
      </c>
      <c r="F428" s="1" t="s">
        <v>414</v>
      </c>
      <c r="G428" s="1">
        <v>0</v>
      </c>
      <c r="H428" s="1" t="s">
        <v>53</v>
      </c>
      <c r="I428" s="1" t="s">
        <v>5087</v>
      </c>
      <c r="J428" s="1" t="s">
        <v>5088</v>
      </c>
      <c r="K428" s="1" t="s">
        <v>5089</v>
      </c>
      <c r="L428" s="1">
        <v>1</v>
      </c>
      <c r="M428" s="1">
        <v>0</v>
      </c>
      <c r="N428" s="1" t="s">
        <v>5090</v>
      </c>
      <c r="O428" s="1" t="s">
        <v>5091</v>
      </c>
      <c r="P428" s="1" t="s">
        <v>5092</v>
      </c>
      <c r="Q428" s="1">
        <v>0</v>
      </c>
      <c r="R428" s="1" t="s">
        <v>5093</v>
      </c>
      <c r="S428" s="1" t="s">
        <v>5094</v>
      </c>
      <c r="U428" s="2">
        <v>56776</v>
      </c>
      <c r="V428" s="1">
        <v>3.3797930389999999</v>
      </c>
      <c r="W428" s="1">
        <v>2500</v>
      </c>
      <c r="X428" s="1">
        <v>642</v>
      </c>
      <c r="Y428" s="1">
        <v>328</v>
      </c>
      <c r="Z428" s="1">
        <v>22</v>
      </c>
      <c r="AA428" s="1">
        <v>292</v>
      </c>
      <c r="AB428" s="1">
        <v>0</v>
      </c>
      <c r="AC428" s="1">
        <v>2</v>
      </c>
      <c r="AD428" s="1" t="s">
        <v>62</v>
      </c>
      <c r="AE428" s="1" t="s">
        <v>5095</v>
      </c>
      <c r="AF428" s="1" t="s">
        <v>5096</v>
      </c>
      <c r="AG428" s="1" t="s">
        <v>5097</v>
      </c>
      <c r="AH428" s="1" t="s">
        <v>5098</v>
      </c>
      <c r="AI428" s="1">
        <v>4.58</v>
      </c>
      <c r="AJ428" s="1">
        <v>254</v>
      </c>
      <c r="AK428" s="1">
        <v>788</v>
      </c>
      <c r="AL428" s="1">
        <v>9</v>
      </c>
    </row>
    <row r="429" spans="1:38" ht="15.75" customHeight="1">
      <c r="A429" s="1">
        <v>623</v>
      </c>
      <c r="B429" s="1">
        <v>2</v>
      </c>
      <c r="C429" s="1">
        <v>4050</v>
      </c>
      <c r="D429" s="1" t="s">
        <v>38</v>
      </c>
      <c r="E429" s="1" t="s">
        <v>39</v>
      </c>
      <c r="F429" s="1" t="s">
        <v>695</v>
      </c>
      <c r="G429" s="1">
        <v>0</v>
      </c>
      <c r="H429" s="1" t="s">
        <v>41</v>
      </c>
      <c r="I429" s="1" t="s">
        <v>5099</v>
      </c>
      <c r="J429" s="1" t="s">
        <v>5100</v>
      </c>
      <c r="K429" s="1" t="s">
        <v>5101</v>
      </c>
      <c r="L429" s="1">
        <v>1</v>
      </c>
      <c r="M429" s="1">
        <v>0</v>
      </c>
      <c r="N429" s="1" t="s">
        <v>5102</v>
      </c>
      <c r="O429" s="1" t="s">
        <v>5103</v>
      </c>
      <c r="P429" s="1" t="s">
        <v>5104</v>
      </c>
      <c r="Q429" s="1">
        <v>0</v>
      </c>
      <c r="R429" s="1" t="s">
        <v>5105</v>
      </c>
      <c r="S429" s="1" t="s">
        <v>5106</v>
      </c>
      <c r="U429" s="2">
        <v>56770</v>
      </c>
      <c r="V429" s="1">
        <v>3.9180134610000001</v>
      </c>
      <c r="W429" s="1">
        <v>2500</v>
      </c>
      <c r="X429" s="1">
        <v>2347</v>
      </c>
      <c r="Y429" s="1">
        <v>544</v>
      </c>
      <c r="Z429" s="1">
        <v>402</v>
      </c>
      <c r="AA429" s="1">
        <v>1401</v>
      </c>
      <c r="AB429" s="1">
        <v>0</v>
      </c>
      <c r="AC429" s="1">
        <v>1</v>
      </c>
      <c r="AD429" s="1" t="s">
        <v>62</v>
      </c>
      <c r="AE429" s="1" t="s">
        <v>5107</v>
      </c>
      <c r="AF429" s="1" t="s">
        <v>5108</v>
      </c>
      <c r="AG429" s="1" t="s">
        <v>5109</v>
      </c>
      <c r="AH429" s="1" t="s">
        <v>5110</v>
      </c>
      <c r="AI429" s="1">
        <v>4.38</v>
      </c>
      <c r="AJ429" s="1">
        <v>196</v>
      </c>
      <c r="AK429" s="1">
        <v>626</v>
      </c>
    </row>
    <row r="430" spans="1:38" ht="15.75" customHeight="1">
      <c r="A430" s="1">
        <v>404</v>
      </c>
      <c r="C430" s="1">
        <v>4001</v>
      </c>
      <c r="D430" s="1" t="s">
        <v>51</v>
      </c>
      <c r="E430" s="1" t="s">
        <v>39</v>
      </c>
      <c r="F430" s="1" t="s">
        <v>92</v>
      </c>
      <c r="G430" s="1">
        <v>0</v>
      </c>
      <c r="H430" s="1" t="s">
        <v>41</v>
      </c>
      <c r="I430" s="1" t="s">
        <v>5111</v>
      </c>
      <c r="J430" s="1" t="s">
        <v>5112</v>
      </c>
      <c r="K430" s="1" t="s">
        <v>5113</v>
      </c>
      <c r="L430" s="1">
        <v>1</v>
      </c>
      <c r="M430" s="1">
        <v>1</v>
      </c>
      <c r="N430" s="1" t="s">
        <v>5114</v>
      </c>
      <c r="O430" s="1" t="s">
        <v>5115</v>
      </c>
      <c r="P430" s="1" t="s">
        <v>5116</v>
      </c>
      <c r="Q430" s="1">
        <v>0</v>
      </c>
      <c r="R430" s="1" t="s">
        <v>5117</v>
      </c>
      <c r="S430" s="1" t="s">
        <v>5118</v>
      </c>
      <c r="U430" s="2">
        <v>56769</v>
      </c>
      <c r="V430" s="1">
        <v>2.9691438730000002</v>
      </c>
      <c r="W430" s="1">
        <v>2500</v>
      </c>
      <c r="X430" s="1">
        <v>1509</v>
      </c>
      <c r="Y430" s="1">
        <v>850</v>
      </c>
      <c r="Z430" s="1">
        <v>349</v>
      </c>
      <c r="AA430" s="1">
        <v>310</v>
      </c>
      <c r="AB430" s="1">
        <v>0</v>
      </c>
      <c r="AC430" s="1">
        <v>4</v>
      </c>
      <c r="AD430" s="1" t="s">
        <v>215</v>
      </c>
      <c r="AE430" s="1" t="s">
        <v>5119</v>
      </c>
      <c r="AF430" s="1" t="s">
        <v>5120</v>
      </c>
      <c r="AG430" s="1" t="s">
        <v>5121</v>
      </c>
      <c r="AH430" s="1" t="s">
        <v>5122</v>
      </c>
      <c r="AI430" s="1">
        <v>4.03</v>
      </c>
      <c r="AJ430" s="1">
        <v>505</v>
      </c>
      <c r="AK430" s="1">
        <v>1721</v>
      </c>
      <c r="AL430" s="1">
        <v>457</v>
      </c>
    </row>
    <row r="431" spans="1:38" ht="15.75" customHeight="1">
      <c r="A431" s="1">
        <v>169</v>
      </c>
      <c r="C431" s="1">
        <v>4001</v>
      </c>
      <c r="D431" s="1" t="s">
        <v>51</v>
      </c>
      <c r="E431" s="1" t="s">
        <v>39</v>
      </c>
      <c r="F431" s="1" t="s">
        <v>92</v>
      </c>
      <c r="G431" s="1">
        <v>0</v>
      </c>
      <c r="H431" s="1" t="s">
        <v>41</v>
      </c>
      <c r="I431" s="1" t="s">
        <v>5123</v>
      </c>
      <c r="J431" s="1" t="s">
        <v>5124</v>
      </c>
      <c r="K431" s="1" t="s">
        <v>5125</v>
      </c>
      <c r="L431" s="1">
        <v>1</v>
      </c>
      <c r="M431" s="1">
        <v>0</v>
      </c>
      <c r="N431" s="1" t="s">
        <v>5126</v>
      </c>
      <c r="O431" s="1" t="s">
        <v>5127</v>
      </c>
      <c r="P431" s="1" t="s">
        <v>5128</v>
      </c>
      <c r="Q431" s="1">
        <v>0</v>
      </c>
      <c r="R431" s="1" t="s">
        <v>5129</v>
      </c>
      <c r="S431" s="1" t="s">
        <v>5130</v>
      </c>
      <c r="U431" s="2">
        <v>56767</v>
      </c>
      <c r="V431" s="1">
        <v>3.8</v>
      </c>
      <c r="W431" s="1">
        <v>2500</v>
      </c>
      <c r="X431" s="1">
        <v>4422</v>
      </c>
      <c r="Y431" s="1">
        <v>1819</v>
      </c>
      <c r="Z431" s="1">
        <v>62</v>
      </c>
      <c r="AA431" s="1">
        <v>2541</v>
      </c>
      <c r="AB431" s="1">
        <v>0</v>
      </c>
      <c r="AC431" s="1">
        <v>3</v>
      </c>
      <c r="AD431" s="1" t="s">
        <v>76</v>
      </c>
      <c r="AE431" s="1" t="s">
        <v>5131</v>
      </c>
      <c r="AF431" s="1" t="s">
        <v>5132</v>
      </c>
      <c r="AG431" s="1" t="s">
        <v>5133</v>
      </c>
      <c r="AH431" s="1" t="s">
        <v>5134</v>
      </c>
      <c r="AI431" s="1">
        <v>4.03</v>
      </c>
      <c r="AJ431" s="1">
        <v>505</v>
      </c>
      <c r="AK431" s="1">
        <v>1721</v>
      </c>
      <c r="AL431" s="1">
        <v>457</v>
      </c>
    </row>
    <row r="432" spans="1:38" ht="15.75" customHeight="1">
      <c r="A432" s="1">
        <v>172</v>
      </c>
      <c r="B432" s="1">
        <v>3</v>
      </c>
      <c r="C432" s="1">
        <v>4050</v>
      </c>
      <c r="D432" s="1" t="s">
        <v>38</v>
      </c>
      <c r="E432" s="1" t="s">
        <v>39</v>
      </c>
      <c r="F432" s="1" t="s">
        <v>151</v>
      </c>
      <c r="G432" s="1">
        <v>0</v>
      </c>
      <c r="H432" s="1" t="s">
        <v>41</v>
      </c>
      <c r="I432" s="1" t="s">
        <v>5135</v>
      </c>
      <c r="J432" s="1" t="s">
        <v>5136</v>
      </c>
      <c r="K432" s="1" t="s">
        <v>5137</v>
      </c>
      <c r="L432" s="1">
        <v>1</v>
      </c>
      <c r="M432" s="1">
        <v>0</v>
      </c>
      <c r="N432" s="1" t="s">
        <v>5138</v>
      </c>
      <c r="O432" s="1" t="s">
        <v>5139</v>
      </c>
      <c r="P432" s="1" t="s">
        <v>5140</v>
      </c>
      <c r="Q432" s="1">
        <v>0</v>
      </c>
      <c r="R432" s="1" t="s">
        <v>5141</v>
      </c>
      <c r="S432" s="1" t="s">
        <v>5142</v>
      </c>
      <c r="U432" s="2">
        <v>56767</v>
      </c>
      <c r="V432" s="1">
        <v>4.5</v>
      </c>
      <c r="W432" s="1">
        <v>2500</v>
      </c>
      <c r="X432" s="1">
        <v>5029</v>
      </c>
      <c r="Y432" s="1">
        <v>3590</v>
      </c>
      <c r="Z432" s="1">
        <v>489</v>
      </c>
      <c r="AA432" s="1">
        <v>950</v>
      </c>
      <c r="AB432" s="1">
        <v>0</v>
      </c>
      <c r="AC432" s="1">
        <v>3</v>
      </c>
      <c r="AD432" s="1" t="s">
        <v>62</v>
      </c>
      <c r="AE432" s="1" t="s">
        <v>5143</v>
      </c>
      <c r="AF432" s="1" t="s">
        <v>5144</v>
      </c>
      <c r="AG432" s="1" t="s">
        <v>5145</v>
      </c>
      <c r="AH432" s="1" t="s">
        <v>5146</v>
      </c>
      <c r="AI432" s="1">
        <v>4.46</v>
      </c>
      <c r="AJ432" s="1">
        <v>349</v>
      </c>
      <c r="AK432" s="1">
        <v>779</v>
      </c>
    </row>
    <row r="433" spans="1:38" ht="15.75" customHeight="1">
      <c r="A433" s="1">
        <v>882</v>
      </c>
      <c r="B433" s="1">
        <v>5</v>
      </c>
      <c r="C433" s="1">
        <v>4050</v>
      </c>
      <c r="D433" s="1" t="s">
        <v>38</v>
      </c>
      <c r="E433" s="1" t="s">
        <v>39</v>
      </c>
      <c r="F433" s="1" t="s">
        <v>280</v>
      </c>
      <c r="G433" s="1">
        <v>0</v>
      </c>
      <c r="H433" s="1" t="s">
        <v>41</v>
      </c>
      <c r="I433" s="1" t="s">
        <v>5147</v>
      </c>
      <c r="J433" s="1" t="s">
        <v>5148</v>
      </c>
      <c r="K433" s="1" t="s">
        <v>5149</v>
      </c>
      <c r="L433" s="1">
        <v>1</v>
      </c>
      <c r="M433" s="1">
        <v>0</v>
      </c>
      <c r="N433" s="1" t="s">
        <v>5150</v>
      </c>
      <c r="O433" s="1" t="s">
        <v>5151</v>
      </c>
      <c r="P433" s="1" t="s">
        <v>5152</v>
      </c>
      <c r="Q433" s="1">
        <v>0</v>
      </c>
      <c r="R433" s="1" t="s">
        <v>5153</v>
      </c>
      <c r="U433" s="2">
        <v>56772</v>
      </c>
      <c r="V433" s="1">
        <v>4.4000000000000004</v>
      </c>
      <c r="W433" s="1">
        <v>2500</v>
      </c>
      <c r="X433" s="1">
        <v>1326</v>
      </c>
      <c r="AA433" s="1">
        <v>491</v>
      </c>
      <c r="AB433" s="1">
        <v>0</v>
      </c>
      <c r="AC433" s="1">
        <v>2</v>
      </c>
      <c r="AE433" s="1" t="s">
        <v>5154</v>
      </c>
      <c r="AF433" s="1" t="s">
        <v>5155</v>
      </c>
      <c r="AG433" s="1" t="s">
        <v>5156</v>
      </c>
      <c r="AI433" s="1">
        <v>4.49</v>
      </c>
      <c r="AJ433" s="1">
        <v>2315</v>
      </c>
      <c r="AK433" s="1">
        <v>7039</v>
      </c>
      <c r="AL433" s="1">
        <v>763</v>
      </c>
    </row>
    <row r="434" spans="1:38" ht="15.75" customHeight="1">
      <c r="A434" s="1">
        <v>23</v>
      </c>
      <c r="B434" s="1">
        <v>1</v>
      </c>
      <c r="C434" s="1">
        <v>4050</v>
      </c>
      <c r="D434" s="1" t="s">
        <v>38</v>
      </c>
      <c r="E434" s="1" t="s">
        <v>39</v>
      </c>
      <c r="F434" s="1" t="s">
        <v>116</v>
      </c>
      <c r="G434" s="1">
        <v>0</v>
      </c>
      <c r="H434" s="1" t="s">
        <v>41</v>
      </c>
      <c r="I434" s="1" t="s">
        <v>5157</v>
      </c>
      <c r="J434" s="1" t="s">
        <v>5158</v>
      </c>
      <c r="K434" s="1" t="s">
        <v>5159</v>
      </c>
      <c r="L434" s="1">
        <v>1</v>
      </c>
      <c r="M434" s="1">
        <v>0</v>
      </c>
      <c r="N434" s="1" t="s">
        <v>5160</v>
      </c>
      <c r="O434" s="1" t="s">
        <v>5161</v>
      </c>
      <c r="P434" s="1" t="s">
        <v>5162</v>
      </c>
      <c r="Q434" s="1">
        <v>0</v>
      </c>
      <c r="R434" s="1" t="s">
        <v>5163</v>
      </c>
      <c r="S434" s="1" t="s">
        <v>5164</v>
      </c>
      <c r="U434" s="2">
        <v>56766</v>
      </c>
      <c r="V434" s="1">
        <v>4.5999999999999996</v>
      </c>
      <c r="W434" s="1">
        <v>2500</v>
      </c>
      <c r="X434" s="1">
        <v>1963</v>
      </c>
      <c r="Y434" s="1">
        <v>819</v>
      </c>
      <c r="Z434" s="1">
        <v>516</v>
      </c>
      <c r="AA434" s="1">
        <v>628</v>
      </c>
      <c r="AB434" s="1">
        <v>0</v>
      </c>
      <c r="AC434" s="1">
        <v>2</v>
      </c>
      <c r="AD434" s="1" t="s">
        <v>215</v>
      </c>
      <c r="AE434" s="1" t="s">
        <v>5165</v>
      </c>
      <c r="AF434" s="1" t="s">
        <v>5166</v>
      </c>
      <c r="AG434" s="1" t="s">
        <v>5167</v>
      </c>
      <c r="AH434" s="1" t="s">
        <v>5168</v>
      </c>
      <c r="AI434" s="1">
        <v>4.8899999999999997</v>
      </c>
      <c r="AJ434" s="1">
        <v>1778</v>
      </c>
      <c r="AK434" s="1">
        <v>5138</v>
      </c>
      <c r="AL434" s="1">
        <v>314</v>
      </c>
    </row>
    <row r="435" spans="1:38" ht="15.75" customHeight="1">
      <c r="A435" s="1">
        <v>917</v>
      </c>
      <c r="C435" s="1">
        <v>4001</v>
      </c>
      <c r="D435" s="1" t="s">
        <v>51</v>
      </c>
      <c r="E435" s="1" t="s">
        <v>39</v>
      </c>
      <c r="F435" s="1" t="s">
        <v>414</v>
      </c>
      <c r="G435" s="1">
        <v>0</v>
      </c>
      <c r="H435" s="1" t="s">
        <v>53</v>
      </c>
      <c r="I435" s="1" t="s">
        <v>5169</v>
      </c>
      <c r="J435" s="1" t="s">
        <v>5170</v>
      </c>
      <c r="K435" s="1" t="s">
        <v>5171</v>
      </c>
      <c r="L435" s="1">
        <v>1</v>
      </c>
      <c r="M435" s="1">
        <v>0</v>
      </c>
      <c r="N435" s="1" t="s">
        <v>5172</v>
      </c>
      <c r="O435" s="1" t="s">
        <v>5173</v>
      </c>
      <c r="P435" s="1" t="s">
        <v>5174</v>
      </c>
      <c r="Q435" s="1">
        <v>0</v>
      </c>
      <c r="R435" s="1" t="s">
        <v>5175</v>
      </c>
      <c r="S435" s="1" t="s">
        <v>5176</v>
      </c>
      <c r="U435" s="2">
        <v>56772</v>
      </c>
      <c r="V435" s="1">
        <v>4.5999999999999996</v>
      </c>
      <c r="W435" s="1">
        <v>2500</v>
      </c>
      <c r="X435" s="1">
        <v>1649</v>
      </c>
      <c r="Y435" s="1">
        <v>895</v>
      </c>
      <c r="Z435" s="1">
        <v>35</v>
      </c>
      <c r="AA435" s="1">
        <v>719</v>
      </c>
      <c r="AB435" s="1">
        <v>0</v>
      </c>
      <c r="AC435" s="1">
        <v>4</v>
      </c>
      <c r="AD435" s="1" t="s">
        <v>76</v>
      </c>
      <c r="AE435" s="1" t="s">
        <v>5177</v>
      </c>
      <c r="AF435" s="1" t="s">
        <v>5178</v>
      </c>
      <c r="AG435" s="1" t="s">
        <v>5179</v>
      </c>
      <c r="AH435" s="1" t="s">
        <v>5180</v>
      </c>
      <c r="AI435" s="1">
        <v>4.58</v>
      </c>
      <c r="AJ435" s="1">
        <v>254</v>
      </c>
      <c r="AK435" s="1">
        <v>788</v>
      </c>
      <c r="AL435" s="1">
        <v>9</v>
      </c>
    </row>
    <row r="436" spans="1:38" ht="15.75" customHeight="1">
      <c r="A436" s="1">
        <v>1080</v>
      </c>
      <c r="C436" s="1">
        <v>4001</v>
      </c>
      <c r="D436" s="1" t="s">
        <v>51</v>
      </c>
      <c r="E436" s="1" t="s">
        <v>39</v>
      </c>
      <c r="F436" s="1" t="s">
        <v>52</v>
      </c>
      <c r="G436" s="1">
        <v>0</v>
      </c>
      <c r="H436" s="1" t="s">
        <v>53</v>
      </c>
      <c r="I436" s="1" t="s">
        <v>5181</v>
      </c>
      <c r="J436" s="1" t="s">
        <v>5182</v>
      </c>
      <c r="K436" s="1" t="s">
        <v>5183</v>
      </c>
      <c r="L436" s="1">
        <v>1</v>
      </c>
      <c r="M436" s="1">
        <v>0</v>
      </c>
      <c r="N436" s="1" t="s">
        <v>5184</v>
      </c>
      <c r="O436" s="1" t="s">
        <v>5185</v>
      </c>
      <c r="P436" s="1" t="s">
        <v>5186</v>
      </c>
      <c r="Q436" s="1">
        <v>0</v>
      </c>
      <c r="R436" s="1" t="s">
        <v>5187</v>
      </c>
      <c r="S436" s="1" t="s">
        <v>5188</v>
      </c>
      <c r="U436" s="2">
        <v>56774</v>
      </c>
      <c r="V436" s="1">
        <v>4.5999999999999996</v>
      </c>
      <c r="W436" s="1">
        <v>2500</v>
      </c>
      <c r="X436" s="1">
        <v>3439</v>
      </c>
      <c r="Y436" s="1">
        <v>2668</v>
      </c>
      <c r="AA436" s="1">
        <v>813</v>
      </c>
      <c r="AB436" s="1">
        <v>1</v>
      </c>
      <c r="AC436" s="1">
        <v>3</v>
      </c>
      <c r="AE436" s="1" t="s">
        <v>5189</v>
      </c>
      <c r="AF436" s="1" t="s">
        <v>5190</v>
      </c>
      <c r="AG436" s="1" t="s">
        <v>5191</v>
      </c>
      <c r="AH436" s="1" t="s">
        <v>5192</v>
      </c>
      <c r="AI436" s="1">
        <v>4.17</v>
      </c>
      <c r="AJ436" s="1">
        <v>457</v>
      </c>
      <c r="AK436" s="1">
        <v>1599</v>
      </c>
    </row>
    <row r="437" spans="1:38" ht="15.75" customHeight="1">
      <c r="A437" s="1">
        <v>1330</v>
      </c>
      <c r="B437" s="1">
        <v>4</v>
      </c>
      <c r="C437" s="1">
        <v>4001</v>
      </c>
      <c r="D437" s="1" t="s">
        <v>51</v>
      </c>
      <c r="E437" s="1" t="s">
        <v>39</v>
      </c>
      <c r="F437" s="1" t="s">
        <v>1915</v>
      </c>
      <c r="G437" s="1">
        <v>0</v>
      </c>
      <c r="H437" s="1" t="s">
        <v>53</v>
      </c>
      <c r="I437" s="1" t="s">
        <v>5193</v>
      </c>
      <c r="J437" s="1" t="s">
        <v>5194</v>
      </c>
      <c r="K437" s="1" t="s">
        <v>5195</v>
      </c>
      <c r="L437" s="1">
        <v>1</v>
      </c>
      <c r="M437" s="1">
        <v>0</v>
      </c>
      <c r="N437" s="1" t="s">
        <v>5196</v>
      </c>
      <c r="O437" s="1" t="s">
        <v>5197</v>
      </c>
      <c r="P437" s="1" t="s">
        <v>5198</v>
      </c>
      <c r="Q437" s="1">
        <v>0</v>
      </c>
      <c r="R437" s="1" t="s">
        <v>5199</v>
      </c>
      <c r="S437" s="1" t="s">
        <v>5200</v>
      </c>
      <c r="U437" s="2">
        <v>56776</v>
      </c>
      <c r="V437" s="1">
        <v>4.5999999999999996</v>
      </c>
      <c r="W437" s="1">
        <v>2500</v>
      </c>
      <c r="X437" s="1">
        <v>1621</v>
      </c>
      <c r="Y437" s="1">
        <v>472</v>
      </c>
      <c r="Z437" s="1">
        <v>201</v>
      </c>
      <c r="AA437" s="1">
        <v>948</v>
      </c>
      <c r="AB437" s="1">
        <v>0</v>
      </c>
      <c r="AC437" s="1">
        <v>4</v>
      </c>
      <c r="AD437" s="1" t="s">
        <v>215</v>
      </c>
      <c r="AE437" s="1" t="s">
        <v>5201</v>
      </c>
      <c r="AF437" s="1" t="s">
        <v>5202</v>
      </c>
      <c r="AG437" s="1" t="s">
        <v>5203</v>
      </c>
      <c r="AH437" s="1" t="s">
        <v>5204</v>
      </c>
      <c r="AI437" s="1">
        <v>4.63</v>
      </c>
      <c r="AJ437" s="1">
        <v>242</v>
      </c>
      <c r="AK437" s="1">
        <v>736</v>
      </c>
    </row>
    <row r="438" spans="1:38" ht="15.75" customHeight="1">
      <c r="A438" s="1">
        <v>1512</v>
      </c>
      <c r="C438" s="1">
        <v>4001</v>
      </c>
      <c r="D438" s="1" t="s">
        <v>51</v>
      </c>
      <c r="E438" s="1" t="s">
        <v>39</v>
      </c>
      <c r="F438" s="1" t="s">
        <v>52</v>
      </c>
      <c r="G438" s="1">
        <v>0</v>
      </c>
      <c r="H438" s="1" t="s">
        <v>53</v>
      </c>
      <c r="I438" s="1" t="s">
        <v>5205</v>
      </c>
      <c r="J438" s="1" t="s">
        <v>5206</v>
      </c>
      <c r="K438" s="1" t="s">
        <v>5207</v>
      </c>
      <c r="L438" s="1">
        <v>1</v>
      </c>
      <c r="M438" s="1">
        <v>0</v>
      </c>
      <c r="N438" s="1" t="s">
        <v>5208</v>
      </c>
      <c r="O438" s="1" t="s">
        <v>5209</v>
      </c>
      <c r="P438" s="1" t="s">
        <v>5210</v>
      </c>
      <c r="Q438" s="1">
        <v>0</v>
      </c>
      <c r="R438" s="1" t="s">
        <v>5211</v>
      </c>
      <c r="S438" s="1" t="s">
        <v>5212</v>
      </c>
      <c r="U438" s="2">
        <v>56777</v>
      </c>
      <c r="V438" s="1">
        <v>4.3</v>
      </c>
      <c r="W438" s="1">
        <v>2500</v>
      </c>
      <c r="X438" s="1">
        <v>4631</v>
      </c>
      <c r="Y438" s="1">
        <v>1037</v>
      </c>
      <c r="Z438" s="1">
        <v>2789</v>
      </c>
      <c r="AA438" s="1">
        <v>805</v>
      </c>
      <c r="AB438" s="1">
        <v>0</v>
      </c>
      <c r="AC438" s="1">
        <v>4</v>
      </c>
      <c r="AE438" s="1" t="s">
        <v>5213</v>
      </c>
      <c r="AF438" s="1" t="s">
        <v>5214</v>
      </c>
      <c r="AG438" s="1" t="s">
        <v>5215</v>
      </c>
      <c r="AH438" s="1" t="s">
        <v>5216</v>
      </c>
      <c r="AI438" s="1">
        <v>4.17</v>
      </c>
      <c r="AJ438" s="1">
        <v>457</v>
      </c>
      <c r="AK438" s="1">
        <v>1599</v>
      </c>
    </row>
    <row r="439" spans="1:38" ht="15.75" customHeight="1">
      <c r="A439" s="1">
        <v>370</v>
      </c>
      <c r="B439" s="1">
        <v>5</v>
      </c>
      <c r="C439" s="1">
        <v>4050</v>
      </c>
      <c r="D439" s="1" t="s">
        <v>38</v>
      </c>
      <c r="E439" s="1" t="s">
        <v>39</v>
      </c>
      <c r="F439" s="1" t="s">
        <v>116</v>
      </c>
      <c r="G439" s="1">
        <v>0</v>
      </c>
      <c r="H439" s="1" t="s">
        <v>41</v>
      </c>
      <c r="I439" s="1" t="s">
        <v>5217</v>
      </c>
      <c r="J439" s="1" t="s">
        <v>5218</v>
      </c>
      <c r="K439" s="1" t="s">
        <v>5219</v>
      </c>
      <c r="L439" s="1">
        <v>1</v>
      </c>
      <c r="M439" s="1">
        <v>0</v>
      </c>
      <c r="N439" s="1" t="s">
        <v>5220</v>
      </c>
      <c r="O439" s="1" t="s">
        <v>5221</v>
      </c>
      <c r="P439" s="1" t="s">
        <v>5222</v>
      </c>
      <c r="Q439" s="1">
        <v>0</v>
      </c>
      <c r="R439" s="1" t="s">
        <v>5223</v>
      </c>
      <c r="S439" s="1" t="s">
        <v>5224</v>
      </c>
      <c r="U439" s="2">
        <v>56768</v>
      </c>
      <c r="V439" s="1">
        <v>3.0754074779999998</v>
      </c>
      <c r="W439" s="1">
        <v>2500</v>
      </c>
      <c r="X439" s="1">
        <v>1818</v>
      </c>
      <c r="Y439" s="1">
        <v>423</v>
      </c>
      <c r="Z439" s="1">
        <v>733</v>
      </c>
      <c r="AA439" s="1">
        <v>662</v>
      </c>
      <c r="AB439" s="1">
        <v>0</v>
      </c>
      <c r="AC439" s="1">
        <v>3</v>
      </c>
      <c r="AD439" s="1" t="s">
        <v>62</v>
      </c>
      <c r="AE439" s="1" t="s">
        <v>5225</v>
      </c>
      <c r="AF439" s="1" t="s">
        <v>5226</v>
      </c>
      <c r="AG439" s="1" t="s">
        <v>5227</v>
      </c>
      <c r="AH439" s="1" t="s">
        <v>5228</v>
      </c>
      <c r="AI439" s="1">
        <v>4.8899999999999997</v>
      </c>
      <c r="AJ439" s="1">
        <v>1778</v>
      </c>
      <c r="AK439" s="1">
        <v>5138</v>
      </c>
      <c r="AL439" s="1">
        <v>314</v>
      </c>
    </row>
    <row r="440" spans="1:38" ht="15.75" customHeight="1">
      <c r="A440" s="1">
        <v>1113</v>
      </c>
      <c r="C440" s="1">
        <v>4001</v>
      </c>
      <c r="D440" s="1" t="s">
        <v>51</v>
      </c>
      <c r="E440" s="1" t="s">
        <v>39</v>
      </c>
      <c r="F440" s="1" t="s">
        <v>341</v>
      </c>
      <c r="G440" s="1">
        <v>0</v>
      </c>
      <c r="H440" s="1" t="s">
        <v>41</v>
      </c>
      <c r="I440" s="1" t="s">
        <v>5229</v>
      </c>
      <c r="J440" s="1" t="s">
        <v>5230</v>
      </c>
      <c r="K440" s="1" t="s">
        <v>5231</v>
      </c>
      <c r="L440" s="1">
        <v>1</v>
      </c>
      <c r="M440" s="1">
        <v>0</v>
      </c>
      <c r="N440" s="1" t="s">
        <v>5232</v>
      </c>
      <c r="O440" s="1" t="s">
        <v>5233</v>
      </c>
      <c r="P440" s="1" t="s">
        <v>5234</v>
      </c>
      <c r="Q440" s="1">
        <v>0</v>
      </c>
      <c r="R440" s="1" t="s">
        <v>5235</v>
      </c>
      <c r="S440" s="1" t="s">
        <v>5236</v>
      </c>
      <c r="U440" s="2">
        <v>56775</v>
      </c>
      <c r="V440" s="1">
        <v>4.4000000000000004</v>
      </c>
      <c r="W440" s="1">
        <v>2500</v>
      </c>
      <c r="X440" s="1">
        <v>2333</v>
      </c>
      <c r="Y440" s="1">
        <v>1655</v>
      </c>
      <c r="Z440" s="1">
        <v>133</v>
      </c>
      <c r="AA440" s="1">
        <v>545</v>
      </c>
      <c r="AB440" s="1">
        <v>0</v>
      </c>
      <c r="AC440" s="1">
        <v>5</v>
      </c>
      <c r="AD440" s="1" t="s">
        <v>76</v>
      </c>
      <c r="AE440" s="1" t="s">
        <v>5237</v>
      </c>
      <c r="AF440" s="1" t="s">
        <v>5238</v>
      </c>
      <c r="AG440" s="1" t="s">
        <v>5239</v>
      </c>
      <c r="AH440" s="1" t="s">
        <v>5240</v>
      </c>
      <c r="AI440" s="1">
        <v>4.54</v>
      </c>
      <c r="AJ440" s="1">
        <v>2229</v>
      </c>
      <c r="AK440" s="1">
        <v>6580</v>
      </c>
    </row>
    <row r="441" spans="1:38" ht="15.75" customHeight="1">
      <c r="A441" s="1">
        <v>418</v>
      </c>
      <c r="C441" s="1">
        <v>4050</v>
      </c>
      <c r="D441" s="1" t="s">
        <v>38</v>
      </c>
      <c r="E441" s="1" t="s">
        <v>39</v>
      </c>
      <c r="F441" s="1" t="s">
        <v>280</v>
      </c>
      <c r="G441" s="1">
        <v>0</v>
      </c>
      <c r="H441" s="1" t="s">
        <v>41</v>
      </c>
      <c r="I441" s="1" t="s">
        <v>5241</v>
      </c>
      <c r="J441" s="1" t="s">
        <v>5242</v>
      </c>
      <c r="K441" s="1" t="s">
        <v>5243</v>
      </c>
      <c r="L441" s="1">
        <v>1</v>
      </c>
      <c r="M441" s="1">
        <v>0</v>
      </c>
      <c r="N441" s="1" t="s">
        <v>5244</v>
      </c>
      <c r="O441" s="1" t="s">
        <v>5245</v>
      </c>
      <c r="P441" s="1" t="s">
        <v>5246</v>
      </c>
      <c r="Q441" s="1">
        <v>0</v>
      </c>
      <c r="R441" s="1" t="s">
        <v>5247</v>
      </c>
      <c r="S441" s="1" t="s">
        <v>5248</v>
      </c>
      <c r="U441" s="2">
        <v>56769</v>
      </c>
      <c r="V441" s="1">
        <v>4.5999999999999996</v>
      </c>
      <c r="W441" s="1">
        <v>2500</v>
      </c>
      <c r="X441" s="1">
        <v>1027</v>
      </c>
      <c r="Y441" s="1">
        <v>481</v>
      </c>
      <c r="Z441" s="1">
        <v>241</v>
      </c>
      <c r="AA441" s="1">
        <v>305</v>
      </c>
      <c r="AB441" s="1">
        <v>0</v>
      </c>
      <c r="AC441" s="1">
        <v>3</v>
      </c>
      <c r="AD441" s="1" t="s">
        <v>76</v>
      </c>
      <c r="AE441" s="1" t="s">
        <v>5249</v>
      </c>
      <c r="AF441" s="1" t="s">
        <v>5250</v>
      </c>
      <c r="AG441" s="1" t="s">
        <v>5251</v>
      </c>
      <c r="AH441" s="1" t="s">
        <v>5252</v>
      </c>
      <c r="AI441" s="1">
        <v>4.49</v>
      </c>
      <c r="AJ441" s="1">
        <v>2315</v>
      </c>
      <c r="AK441" s="1">
        <v>7039</v>
      </c>
      <c r="AL441" s="1">
        <v>763</v>
      </c>
    </row>
    <row r="442" spans="1:38" ht="15.75" customHeight="1">
      <c r="A442" s="1">
        <v>240</v>
      </c>
      <c r="C442" s="1">
        <v>4001</v>
      </c>
      <c r="D442" s="1" t="s">
        <v>51</v>
      </c>
      <c r="E442" s="1" t="s">
        <v>39</v>
      </c>
      <c r="F442" s="1" t="s">
        <v>52</v>
      </c>
      <c r="G442" s="1">
        <v>0</v>
      </c>
      <c r="H442" s="1" t="s">
        <v>53</v>
      </c>
      <c r="I442" s="1" t="s">
        <v>5253</v>
      </c>
      <c r="J442" s="1" t="s">
        <v>5254</v>
      </c>
      <c r="K442" s="1" t="s">
        <v>5255</v>
      </c>
      <c r="L442" s="1">
        <v>1</v>
      </c>
      <c r="M442" s="1">
        <v>0</v>
      </c>
      <c r="N442" s="1" t="s">
        <v>5256</v>
      </c>
      <c r="O442" s="1" t="s">
        <v>5257</v>
      </c>
      <c r="P442" s="1" t="s">
        <v>5258</v>
      </c>
      <c r="Q442" s="1">
        <v>0</v>
      </c>
      <c r="R442" s="1" t="s">
        <v>5259</v>
      </c>
      <c r="U442" s="2">
        <v>56767</v>
      </c>
      <c r="V442" s="1">
        <v>3.2101670790000001</v>
      </c>
      <c r="W442" s="1">
        <v>2500</v>
      </c>
      <c r="X442" s="1">
        <v>3172</v>
      </c>
      <c r="AA442" s="1">
        <v>625</v>
      </c>
      <c r="AB442" s="1">
        <v>0</v>
      </c>
      <c r="AC442" s="1">
        <v>2</v>
      </c>
      <c r="AE442" s="1" t="s">
        <v>5260</v>
      </c>
      <c r="AF442" s="1" t="s">
        <v>5261</v>
      </c>
      <c r="AG442" s="1" t="s">
        <v>5262</v>
      </c>
      <c r="AI442" s="1">
        <v>4.17</v>
      </c>
      <c r="AJ442" s="1">
        <v>457</v>
      </c>
      <c r="AK442" s="1">
        <v>1599</v>
      </c>
    </row>
    <row r="443" spans="1:38" ht="15.75" customHeight="1">
      <c r="A443" s="1">
        <v>1360</v>
      </c>
      <c r="B443" s="1">
        <v>5</v>
      </c>
      <c r="C443" s="1">
        <v>4001</v>
      </c>
      <c r="D443" s="1" t="s">
        <v>51</v>
      </c>
      <c r="E443" s="1" t="s">
        <v>39</v>
      </c>
      <c r="F443" s="1" t="s">
        <v>648</v>
      </c>
      <c r="G443" s="1">
        <v>0</v>
      </c>
      <c r="H443" s="1" t="s">
        <v>53</v>
      </c>
      <c r="I443" s="1" t="s">
        <v>5263</v>
      </c>
      <c r="J443" s="1" t="s">
        <v>5264</v>
      </c>
      <c r="K443" s="1" t="s">
        <v>5265</v>
      </c>
      <c r="L443" s="1">
        <v>1</v>
      </c>
      <c r="M443" s="1">
        <v>0</v>
      </c>
      <c r="N443" s="1" t="s">
        <v>5266</v>
      </c>
      <c r="O443" s="1" t="s">
        <v>5267</v>
      </c>
      <c r="P443" s="1" t="s">
        <v>5268</v>
      </c>
      <c r="Q443" s="1">
        <v>0</v>
      </c>
      <c r="R443" s="1" t="s">
        <v>5269</v>
      </c>
      <c r="S443" s="1" t="s">
        <v>5270</v>
      </c>
      <c r="U443" s="2">
        <v>56776</v>
      </c>
      <c r="V443" s="1">
        <v>2.856812235</v>
      </c>
      <c r="W443" s="1">
        <v>2500</v>
      </c>
      <c r="X443" s="1">
        <v>2433</v>
      </c>
      <c r="Y443" s="1">
        <v>798</v>
      </c>
      <c r="Z443" s="1">
        <v>625</v>
      </c>
      <c r="AA443" s="1">
        <v>1010</v>
      </c>
      <c r="AB443" s="1">
        <v>0</v>
      </c>
      <c r="AC443" s="1">
        <v>6</v>
      </c>
      <c r="AD443" s="1" t="s">
        <v>62</v>
      </c>
      <c r="AE443" s="1" t="s">
        <v>5271</v>
      </c>
      <c r="AF443" s="1" t="s">
        <v>5272</v>
      </c>
      <c r="AG443" s="1" t="s">
        <v>5273</v>
      </c>
      <c r="AH443" s="1" t="s">
        <v>5274</v>
      </c>
      <c r="AI443" s="1">
        <v>4.7</v>
      </c>
      <c r="AJ443" s="1">
        <v>443</v>
      </c>
      <c r="AK443" s="1">
        <v>1579</v>
      </c>
    </row>
    <row r="444" spans="1:38" ht="15.75" customHeight="1">
      <c r="A444" s="1">
        <v>52</v>
      </c>
      <c r="C444" s="1">
        <v>4001</v>
      </c>
      <c r="D444" s="1" t="s">
        <v>51</v>
      </c>
      <c r="E444" s="1" t="s">
        <v>39</v>
      </c>
      <c r="F444" s="1" t="s">
        <v>341</v>
      </c>
      <c r="G444" s="1">
        <v>0</v>
      </c>
      <c r="H444" s="1" t="s">
        <v>41</v>
      </c>
      <c r="I444" s="1" t="s">
        <v>5275</v>
      </c>
      <c r="J444" s="1" t="s">
        <v>5276</v>
      </c>
      <c r="K444" s="1" t="s">
        <v>5277</v>
      </c>
      <c r="L444" s="1">
        <v>1</v>
      </c>
      <c r="M444" s="1">
        <v>0</v>
      </c>
      <c r="N444" s="1" t="s">
        <v>5278</v>
      </c>
      <c r="O444" s="1" t="s">
        <v>5279</v>
      </c>
      <c r="P444" s="1" t="s">
        <v>5280</v>
      </c>
      <c r="Q444" s="1">
        <v>0</v>
      </c>
      <c r="R444" s="1" t="s">
        <v>5281</v>
      </c>
      <c r="U444" s="2">
        <v>56766</v>
      </c>
      <c r="V444" s="1">
        <v>4.2</v>
      </c>
      <c r="W444" s="1">
        <v>2500</v>
      </c>
      <c r="X444" s="1">
        <v>1737</v>
      </c>
      <c r="AA444" s="1">
        <v>1294</v>
      </c>
      <c r="AB444" s="1">
        <v>0</v>
      </c>
      <c r="AC444" s="1">
        <v>1</v>
      </c>
      <c r="AE444" s="1" t="s">
        <v>5282</v>
      </c>
      <c r="AF444" s="1" t="s">
        <v>5283</v>
      </c>
      <c r="AG444" s="1" t="s">
        <v>5284</v>
      </c>
      <c r="AI444" s="1">
        <v>4.54</v>
      </c>
      <c r="AJ444" s="1">
        <v>2229</v>
      </c>
      <c r="AK444" s="1">
        <v>6580</v>
      </c>
    </row>
    <row r="445" spans="1:38" ht="15.75" customHeight="1">
      <c r="A445" s="1">
        <v>396</v>
      </c>
      <c r="B445" s="1">
        <v>5</v>
      </c>
      <c r="C445" s="1">
        <v>4001</v>
      </c>
      <c r="D445" s="1" t="s">
        <v>51</v>
      </c>
      <c r="E445" s="1" t="s">
        <v>39</v>
      </c>
      <c r="F445" s="1" t="s">
        <v>92</v>
      </c>
      <c r="G445" s="1">
        <v>0</v>
      </c>
      <c r="H445" s="1" t="s">
        <v>41</v>
      </c>
      <c r="I445" s="1" t="s">
        <v>5285</v>
      </c>
      <c r="J445" s="1" t="s">
        <v>5286</v>
      </c>
      <c r="K445" s="1" t="s">
        <v>5287</v>
      </c>
      <c r="L445" s="1">
        <v>1</v>
      </c>
      <c r="M445" s="1">
        <v>0</v>
      </c>
      <c r="N445" s="1" t="s">
        <v>5288</v>
      </c>
      <c r="O445" s="1" t="s">
        <v>5289</v>
      </c>
      <c r="P445" s="1" t="s">
        <v>5290</v>
      </c>
      <c r="Q445" s="1">
        <v>0</v>
      </c>
      <c r="R445" s="1" t="s">
        <v>5291</v>
      </c>
      <c r="S445" s="1" t="s">
        <v>5292</v>
      </c>
      <c r="U445" s="2">
        <v>56769</v>
      </c>
      <c r="V445" s="1">
        <v>4.4000000000000004</v>
      </c>
      <c r="W445" s="1">
        <v>2500</v>
      </c>
      <c r="X445" s="1">
        <v>1246</v>
      </c>
      <c r="Y445" s="1">
        <v>481</v>
      </c>
      <c r="Z445" s="1">
        <v>471</v>
      </c>
      <c r="AA445" s="1">
        <v>294</v>
      </c>
      <c r="AB445" s="1">
        <v>0</v>
      </c>
      <c r="AC445" s="1">
        <v>4</v>
      </c>
      <c r="AD445" s="1" t="s">
        <v>215</v>
      </c>
      <c r="AE445" s="1" t="s">
        <v>5293</v>
      </c>
      <c r="AF445" s="1" t="s">
        <v>5294</v>
      </c>
      <c r="AG445" s="1" t="s">
        <v>5295</v>
      </c>
      <c r="AH445" s="1" t="s">
        <v>5296</v>
      </c>
      <c r="AI445" s="1">
        <v>4.03</v>
      </c>
      <c r="AJ445" s="1">
        <v>505</v>
      </c>
      <c r="AK445" s="1">
        <v>1721</v>
      </c>
      <c r="AL445" s="1">
        <v>457</v>
      </c>
    </row>
    <row r="446" spans="1:38" ht="15.75" customHeight="1">
      <c r="A446" s="1">
        <v>607</v>
      </c>
      <c r="C446" s="1">
        <v>4001</v>
      </c>
      <c r="D446" s="1" t="s">
        <v>51</v>
      </c>
      <c r="E446" s="1" t="s">
        <v>39</v>
      </c>
      <c r="F446" s="1" t="s">
        <v>1104</v>
      </c>
      <c r="G446" s="1">
        <v>0</v>
      </c>
      <c r="H446" s="1" t="s">
        <v>41</v>
      </c>
      <c r="I446" s="1" t="s">
        <v>5297</v>
      </c>
      <c r="J446" s="1" t="s">
        <v>5298</v>
      </c>
      <c r="K446" s="1" t="s">
        <v>5299</v>
      </c>
      <c r="L446" s="1">
        <v>1</v>
      </c>
      <c r="M446" s="1">
        <v>0</v>
      </c>
      <c r="N446" s="1" t="s">
        <v>5300</v>
      </c>
      <c r="O446" s="1" t="s">
        <v>5301</v>
      </c>
      <c r="P446" s="1" t="s">
        <v>5302</v>
      </c>
      <c r="Q446" s="1">
        <v>0</v>
      </c>
      <c r="R446" s="1" t="s">
        <v>5303</v>
      </c>
      <c r="S446" s="1" t="s">
        <v>5304</v>
      </c>
      <c r="U446" s="2">
        <v>56770</v>
      </c>
      <c r="V446" s="1">
        <v>4</v>
      </c>
      <c r="W446" s="1">
        <v>2500</v>
      </c>
      <c r="X446" s="1">
        <v>2626</v>
      </c>
      <c r="Y446" s="1">
        <v>1078</v>
      </c>
      <c r="Z446" s="1">
        <v>554</v>
      </c>
      <c r="AA446" s="1">
        <v>994</v>
      </c>
      <c r="AB446" s="1">
        <v>0</v>
      </c>
      <c r="AC446" s="1">
        <v>3</v>
      </c>
      <c r="AD446" s="1" t="s">
        <v>76</v>
      </c>
      <c r="AE446" s="1" t="s">
        <v>5305</v>
      </c>
      <c r="AF446" s="1" t="s">
        <v>5306</v>
      </c>
      <c r="AG446" s="1" t="s">
        <v>5307</v>
      </c>
      <c r="AH446" s="1" t="s">
        <v>5308</v>
      </c>
      <c r="AI446" s="1">
        <v>4.46</v>
      </c>
      <c r="AJ446" s="1">
        <v>148</v>
      </c>
      <c r="AK446" s="1">
        <v>435</v>
      </c>
    </row>
    <row r="447" spans="1:38" ht="15.75" customHeight="1">
      <c r="A447" s="1">
        <v>1006</v>
      </c>
      <c r="B447" s="1">
        <v>5</v>
      </c>
      <c r="C447" s="1">
        <v>4001</v>
      </c>
      <c r="D447" s="1" t="s">
        <v>51</v>
      </c>
      <c r="E447" s="1" t="s">
        <v>39</v>
      </c>
      <c r="F447" s="1" t="s">
        <v>341</v>
      </c>
      <c r="G447" s="1">
        <v>0</v>
      </c>
      <c r="H447" s="1" t="s">
        <v>41</v>
      </c>
      <c r="I447" s="1" t="s">
        <v>5309</v>
      </c>
      <c r="J447" s="1" t="s">
        <v>5310</v>
      </c>
      <c r="K447" s="1" t="s">
        <v>5311</v>
      </c>
      <c r="L447" s="1">
        <v>1</v>
      </c>
      <c r="M447" s="1">
        <v>0</v>
      </c>
      <c r="N447" s="1" t="s">
        <v>5312</v>
      </c>
      <c r="O447" s="1" t="s">
        <v>5313</v>
      </c>
      <c r="P447" s="1" t="s">
        <v>5314</v>
      </c>
      <c r="Q447" s="1">
        <v>0</v>
      </c>
      <c r="R447" s="1" t="s">
        <v>5315</v>
      </c>
      <c r="S447" s="1" t="s">
        <v>5316</v>
      </c>
      <c r="U447" s="2">
        <v>56773</v>
      </c>
      <c r="V447" s="1">
        <v>4.5999999999999996</v>
      </c>
      <c r="W447" s="1">
        <v>2500</v>
      </c>
      <c r="X447" s="1">
        <v>2381</v>
      </c>
      <c r="Y447" s="1">
        <v>1718</v>
      </c>
      <c r="Z447" s="1">
        <v>143</v>
      </c>
      <c r="AA447" s="1">
        <v>520</v>
      </c>
      <c r="AB447" s="1">
        <v>0</v>
      </c>
      <c r="AC447" s="1">
        <v>3</v>
      </c>
      <c r="AD447" s="1" t="s">
        <v>76</v>
      </c>
      <c r="AE447" s="1" t="s">
        <v>5317</v>
      </c>
      <c r="AF447" s="1" t="s">
        <v>5318</v>
      </c>
      <c r="AG447" s="1" t="s">
        <v>5319</v>
      </c>
      <c r="AH447" s="1" t="s">
        <v>5320</v>
      </c>
      <c r="AI447" s="1">
        <v>4.54</v>
      </c>
      <c r="AJ447" s="1">
        <v>2229</v>
      </c>
      <c r="AK447" s="1">
        <v>6580</v>
      </c>
    </row>
    <row r="448" spans="1:38" ht="15.75" customHeight="1">
      <c r="A448" s="1">
        <v>561</v>
      </c>
      <c r="C448" s="1">
        <v>4050</v>
      </c>
      <c r="D448" s="1" t="s">
        <v>38</v>
      </c>
      <c r="E448" s="1" t="s">
        <v>39</v>
      </c>
      <c r="F448" s="1" t="s">
        <v>40</v>
      </c>
      <c r="G448" s="1">
        <v>0</v>
      </c>
      <c r="H448" s="1" t="s">
        <v>41</v>
      </c>
      <c r="I448" s="1" t="s">
        <v>5321</v>
      </c>
      <c r="J448" s="1" t="s">
        <v>5322</v>
      </c>
      <c r="K448" s="1" t="s">
        <v>5323</v>
      </c>
      <c r="L448" s="1">
        <v>1</v>
      </c>
      <c r="M448" s="1">
        <v>0</v>
      </c>
      <c r="N448" s="1" t="s">
        <v>5324</v>
      </c>
      <c r="O448" s="1" t="s">
        <v>5325</v>
      </c>
      <c r="P448" s="1" t="s">
        <v>5326</v>
      </c>
      <c r="Q448" s="1">
        <v>0</v>
      </c>
      <c r="R448" s="1" t="s">
        <v>5327</v>
      </c>
      <c r="U448" s="2">
        <v>56770</v>
      </c>
      <c r="V448" s="1">
        <v>4.5999999999999996</v>
      </c>
      <c r="W448" s="1">
        <v>2500</v>
      </c>
      <c r="X448" s="1">
        <v>2030</v>
      </c>
      <c r="AA448" s="1">
        <v>1253</v>
      </c>
      <c r="AB448" s="1">
        <v>0</v>
      </c>
      <c r="AC448" s="1">
        <v>3</v>
      </c>
      <c r="AE448" s="1" t="s">
        <v>5328</v>
      </c>
      <c r="AF448" s="1" t="s">
        <v>5329</v>
      </c>
      <c r="AG448" s="1" t="s">
        <v>5330</v>
      </c>
      <c r="AI448" s="1">
        <v>4.7</v>
      </c>
      <c r="AJ448" s="1">
        <v>1261</v>
      </c>
      <c r="AK448" s="1">
        <v>3264</v>
      </c>
      <c r="AL448" s="1">
        <v>232</v>
      </c>
    </row>
    <row r="449" spans="1:38" ht="15.75" customHeight="1">
      <c r="A449" s="1">
        <v>659</v>
      </c>
      <c r="B449" s="1">
        <v>5</v>
      </c>
      <c r="C449" s="1">
        <v>4050</v>
      </c>
      <c r="D449" s="1" t="s">
        <v>38</v>
      </c>
      <c r="E449" s="1" t="s">
        <v>39</v>
      </c>
      <c r="F449" s="1" t="s">
        <v>532</v>
      </c>
      <c r="G449" s="1">
        <v>0</v>
      </c>
      <c r="H449" s="1" t="s">
        <v>41</v>
      </c>
      <c r="I449" s="1" t="s">
        <v>5331</v>
      </c>
      <c r="J449" s="1" t="s">
        <v>5332</v>
      </c>
      <c r="K449" s="1" t="s">
        <v>5333</v>
      </c>
      <c r="L449" s="1">
        <v>1</v>
      </c>
      <c r="M449" s="1">
        <v>0</v>
      </c>
      <c r="N449" s="1" t="s">
        <v>5334</v>
      </c>
      <c r="O449" s="1" t="s">
        <v>5335</v>
      </c>
      <c r="P449" s="1" t="s">
        <v>5336</v>
      </c>
      <c r="Q449" s="1">
        <v>0</v>
      </c>
      <c r="R449" s="1" t="s">
        <v>5337</v>
      </c>
      <c r="S449" s="1" t="s">
        <v>5338</v>
      </c>
      <c r="U449" s="2">
        <v>56770</v>
      </c>
      <c r="V449" s="1">
        <v>3.0706912329999998</v>
      </c>
      <c r="W449" s="1">
        <v>2500</v>
      </c>
      <c r="X449" s="1">
        <v>1827</v>
      </c>
      <c r="Y449" s="1">
        <v>592</v>
      </c>
      <c r="Z449" s="1">
        <v>236</v>
      </c>
      <c r="AA449" s="1">
        <v>999</v>
      </c>
      <c r="AB449" s="1">
        <v>0</v>
      </c>
      <c r="AC449" s="1">
        <v>1</v>
      </c>
      <c r="AD449" s="1" t="s">
        <v>76</v>
      </c>
      <c r="AE449" s="1" t="s">
        <v>5339</v>
      </c>
      <c r="AF449" s="1" t="s">
        <v>5340</v>
      </c>
      <c r="AG449" s="1" t="s">
        <v>5341</v>
      </c>
      <c r="AH449" s="1" t="s">
        <v>5342</v>
      </c>
      <c r="AI449" s="1">
        <v>4.63</v>
      </c>
      <c r="AJ449" s="1">
        <v>241</v>
      </c>
      <c r="AK449" s="1">
        <v>995</v>
      </c>
      <c r="AL449" s="1">
        <v>626</v>
      </c>
    </row>
    <row r="450" spans="1:38" ht="15.75" customHeight="1">
      <c r="A450" s="1">
        <v>81</v>
      </c>
      <c r="C450" s="1">
        <v>4001</v>
      </c>
      <c r="D450" s="1" t="s">
        <v>51</v>
      </c>
      <c r="E450" s="1" t="s">
        <v>39</v>
      </c>
      <c r="F450" s="1" t="s">
        <v>232</v>
      </c>
      <c r="G450" s="1">
        <v>0</v>
      </c>
      <c r="H450" s="1" t="s">
        <v>53</v>
      </c>
      <c r="I450" s="1" t="s">
        <v>5343</v>
      </c>
      <c r="J450" s="1" t="s">
        <v>5344</v>
      </c>
      <c r="K450" s="1" t="s">
        <v>5345</v>
      </c>
      <c r="L450" s="1">
        <v>1</v>
      </c>
      <c r="M450" s="1">
        <v>0</v>
      </c>
      <c r="N450" s="1" t="s">
        <v>5346</v>
      </c>
      <c r="O450" s="1" t="s">
        <v>5347</v>
      </c>
      <c r="P450" s="1" t="s">
        <v>5348</v>
      </c>
      <c r="Q450" s="1">
        <v>0</v>
      </c>
      <c r="R450" s="1" t="s">
        <v>5349</v>
      </c>
      <c r="S450" s="1" t="s">
        <v>5350</v>
      </c>
      <c r="U450" s="2">
        <v>56766</v>
      </c>
      <c r="V450" s="1">
        <v>4.4000000000000004</v>
      </c>
      <c r="W450" s="1">
        <v>2500</v>
      </c>
      <c r="X450" s="1">
        <v>2811</v>
      </c>
      <c r="Y450" s="1">
        <v>1065</v>
      </c>
      <c r="AA450" s="1">
        <v>1829</v>
      </c>
      <c r="AB450" s="1">
        <v>0</v>
      </c>
      <c r="AC450" s="1">
        <v>2</v>
      </c>
      <c r="AD450" s="1" t="s">
        <v>76</v>
      </c>
      <c r="AE450" s="1" t="s">
        <v>5351</v>
      </c>
      <c r="AF450" s="1" t="s">
        <v>5352</v>
      </c>
      <c r="AG450" s="1" t="s">
        <v>5353</v>
      </c>
      <c r="AH450" s="1" t="s">
        <v>5354</v>
      </c>
      <c r="AI450" s="1">
        <v>4.5599999999999996</v>
      </c>
      <c r="AJ450" s="1">
        <v>765</v>
      </c>
      <c r="AK450" s="1">
        <v>2618</v>
      </c>
    </row>
    <row r="451" spans="1:38" ht="15.75" customHeight="1">
      <c r="A451" s="1">
        <v>157</v>
      </c>
      <c r="C451" s="1">
        <v>4050</v>
      </c>
      <c r="D451" s="1" t="s">
        <v>38</v>
      </c>
      <c r="E451" s="1" t="s">
        <v>39</v>
      </c>
      <c r="F451" s="1" t="s">
        <v>695</v>
      </c>
      <c r="G451" s="1">
        <v>0</v>
      </c>
      <c r="H451" s="1" t="s">
        <v>41</v>
      </c>
      <c r="I451" s="1" t="s">
        <v>5355</v>
      </c>
      <c r="J451" s="1" t="s">
        <v>5356</v>
      </c>
      <c r="K451" s="1" t="s">
        <v>5357</v>
      </c>
      <c r="L451" s="1">
        <v>1</v>
      </c>
      <c r="M451" s="1">
        <v>0</v>
      </c>
      <c r="N451" s="1" t="s">
        <v>5358</v>
      </c>
      <c r="O451" s="1" t="s">
        <v>5359</v>
      </c>
      <c r="P451" s="1" t="s">
        <v>5360</v>
      </c>
      <c r="Q451" s="1">
        <v>0</v>
      </c>
      <c r="R451" s="1" t="s">
        <v>5361</v>
      </c>
      <c r="S451" s="1" t="s">
        <v>5362</v>
      </c>
      <c r="U451" s="2">
        <v>56767</v>
      </c>
      <c r="V451" s="1">
        <v>4.8</v>
      </c>
      <c r="W451" s="1">
        <v>2500</v>
      </c>
      <c r="X451" s="1">
        <v>1188</v>
      </c>
      <c r="Y451" s="1">
        <v>618</v>
      </c>
      <c r="Z451" s="1">
        <v>166</v>
      </c>
      <c r="AA451" s="1">
        <v>404</v>
      </c>
      <c r="AB451" s="1">
        <v>0</v>
      </c>
      <c r="AC451" s="1">
        <v>3</v>
      </c>
      <c r="AD451" s="1" t="s">
        <v>76</v>
      </c>
      <c r="AE451" s="1" t="s">
        <v>5363</v>
      </c>
      <c r="AF451" s="1" t="s">
        <v>5364</v>
      </c>
      <c r="AG451" s="1" t="s">
        <v>5365</v>
      </c>
      <c r="AH451" s="1" t="s">
        <v>5366</v>
      </c>
      <c r="AI451" s="1">
        <v>4.38</v>
      </c>
      <c r="AJ451" s="1">
        <v>196</v>
      </c>
      <c r="AK451" s="1">
        <v>626</v>
      </c>
    </row>
    <row r="452" spans="1:38" ht="15.75" customHeight="1">
      <c r="A452" s="1">
        <v>450</v>
      </c>
      <c r="C452" s="1">
        <v>4001</v>
      </c>
      <c r="D452" s="1" t="s">
        <v>51</v>
      </c>
      <c r="E452" s="1" t="s">
        <v>39</v>
      </c>
      <c r="F452" s="1" t="s">
        <v>232</v>
      </c>
      <c r="G452" s="1">
        <v>0</v>
      </c>
      <c r="H452" s="1" t="s">
        <v>53</v>
      </c>
      <c r="I452" s="1" t="s">
        <v>5367</v>
      </c>
      <c r="J452" s="1" t="s">
        <v>5368</v>
      </c>
      <c r="K452" s="1" t="s">
        <v>5369</v>
      </c>
      <c r="L452" s="1">
        <v>1</v>
      </c>
      <c r="M452" s="1">
        <v>0</v>
      </c>
      <c r="N452" s="1" t="s">
        <v>5370</v>
      </c>
      <c r="O452" s="1" t="s">
        <v>5371</v>
      </c>
      <c r="P452" s="1" t="s">
        <v>5372</v>
      </c>
      <c r="Q452" s="1">
        <v>0</v>
      </c>
      <c r="R452" s="1" t="s">
        <v>5373</v>
      </c>
      <c r="S452" s="1" t="s">
        <v>5374</v>
      </c>
      <c r="U452" s="2">
        <v>56769</v>
      </c>
      <c r="V452" s="1">
        <v>3.2759458279999998</v>
      </c>
      <c r="W452" s="1">
        <v>2500</v>
      </c>
      <c r="X452" s="1">
        <v>1729</v>
      </c>
      <c r="Y452" s="1">
        <v>636</v>
      </c>
      <c r="Z452" s="1">
        <v>427</v>
      </c>
      <c r="AA452" s="1">
        <v>666</v>
      </c>
      <c r="AB452" s="1">
        <v>0</v>
      </c>
      <c r="AC452" s="1">
        <v>7</v>
      </c>
      <c r="AD452" s="1" t="s">
        <v>215</v>
      </c>
      <c r="AE452" s="1" t="s">
        <v>5375</v>
      </c>
      <c r="AF452" s="1" t="s">
        <v>5376</v>
      </c>
      <c r="AG452" s="1" t="s">
        <v>5377</v>
      </c>
      <c r="AH452" s="1" t="s">
        <v>5378</v>
      </c>
      <c r="AI452" s="1">
        <v>4.5599999999999996</v>
      </c>
      <c r="AJ452" s="1">
        <v>765</v>
      </c>
      <c r="AK452" s="1">
        <v>2618</v>
      </c>
    </row>
    <row r="453" spans="1:38" ht="15.75" customHeight="1">
      <c r="A453" s="1">
        <v>208</v>
      </c>
      <c r="C453" s="1">
        <v>4050</v>
      </c>
      <c r="D453" s="1" t="s">
        <v>38</v>
      </c>
      <c r="E453" s="1" t="s">
        <v>39</v>
      </c>
      <c r="F453" s="1" t="s">
        <v>40</v>
      </c>
      <c r="G453" s="1">
        <v>0</v>
      </c>
      <c r="H453" s="1" t="s">
        <v>41</v>
      </c>
      <c r="I453" s="1" t="s">
        <v>5379</v>
      </c>
      <c r="J453" s="1" t="s">
        <v>5380</v>
      </c>
      <c r="K453" s="1" t="s">
        <v>5381</v>
      </c>
      <c r="L453" s="1">
        <v>1</v>
      </c>
      <c r="M453" s="1">
        <v>0</v>
      </c>
      <c r="N453" s="1" t="s">
        <v>5382</v>
      </c>
      <c r="O453" s="1" t="s">
        <v>5383</v>
      </c>
      <c r="P453" s="1" t="s">
        <v>5384</v>
      </c>
      <c r="Q453" s="1">
        <v>0</v>
      </c>
      <c r="R453" s="1" t="s">
        <v>5385</v>
      </c>
      <c r="S453" s="1" t="s">
        <v>5386</v>
      </c>
      <c r="U453" s="2">
        <v>56767</v>
      </c>
      <c r="V453" s="1">
        <v>4.5999999999999996</v>
      </c>
      <c r="W453" s="1">
        <v>2500</v>
      </c>
      <c r="X453" s="1">
        <v>1976</v>
      </c>
      <c r="Y453" s="1">
        <v>521</v>
      </c>
      <c r="Z453" s="1">
        <v>971</v>
      </c>
      <c r="AA453" s="1">
        <v>484</v>
      </c>
      <c r="AB453" s="1">
        <v>0</v>
      </c>
      <c r="AC453" s="1">
        <v>5</v>
      </c>
      <c r="AD453" s="1" t="s">
        <v>62</v>
      </c>
      <c r="AE453" s="1" t="s">
        <v>5387</v>
      </c>
      <c r="AF453" s="1" t="s">
        <v>5388</v>
      </c>
      <c r="AG453" s="1" t="s">
        <v>5389</v>
      </c>
      <c r="AH453" s="1" t="s">
        <v>5390</v>
      </c>
      <c r="AI453" s="1">
        <v>4.7</v>
      </c>
      <c r="AJ453" s="1">
        <v>1261</v>
      </c>
      <c r="AK453" s="1">
        <v>3264</v>
      </c>
      <c r="AL453" s="1">
        <v>232</v>
      </c>
    </row>
    <row r="454" spans="1:38" ht="15.75" customHeight="1">
      <c r="A454" s="1">
        <v>548</v>
      </c>
      <c r="C454" s="1">
        <v>4001</v>
      </c>
      <c r="D454" s="1" t="s">
        <v>51</v>
      </c>
      <c r="E454" s="1" t="s">
        <v>39</v>
      </c>
      <c r="F454" s="1" t="s">
        <v>67</v>
      </c>
      <c r="G454" s="1">
        <v>0</v>
      </c>
      <c r="H454" s="1" t="s">
        <v>41</v>
      </c>
      <c r="I454" s="1" t="s">
        <v>5391</v>
      </c>
      <c r="J454" s="1" t="s">
        <v>5392</v>
      </c>
      <c r="K454" s="1" t="s">
        <v>5393</v>
      </c>
      <c r="L454" s="1">
        <v>1</v>
      </c>
      <c r="M454" s="1">
        <v>0</v>
      </c>
      <c r="N454" s="1" t="s">
        <v>5394</v>
      </c>
      <c r="O454" s="1" t="s">
        <v>5395</v>
      </c>
      <c r="P454" s="1" t="s">
        <v>5396</v>
      </c>
      <c r="Q454" s="1">
        <v>0</v>
      </c>
      <c r="R454" s="1" t="s">
        <v>5397</v>
      </c>
      <c r="S454" s="1" t="s">
        <v>5398</v>
      </c>
      <c r="U454" s="2">
        <v>56770</v>
      </c>
      <c r="V454" s="1">
        <v>3.8851878630000001</v>
      </c>
      <c r="W454" s="1">
        <v>2500</v>
      </c>
      <c r="X454" s="1">
        <v>3371</v>
      </c>
      <c r="Y454" s="1">
        <v>1559</v>
      </c>
      <c r="Z454" s="1">
        <v>503</v>
      </c>
      <c r="AA454" s="1">
        <v>1309</v>
      </c>
      <c r="AB454" s="1">
        <v>0</v>
      </c>
      <c r="AC454" s="1">
        <v>4</v>
      </c>
      <c r="AD454" s="1" t="s">
        <v>76</v>
      </c>
      <c r="AE454" s="1" t="s">
        <v>5399</v>
      </c>
      <c r="AF454" s="1" t="s">
        <v>5400</v>
      </c>
      <c r="AG454" s="1" t="s">
        <v>5401</v>
      </c>
      <c r="AH454" s="1" t="s">
        <v>5402</v>
      </c>
      <c r="AI454" s="1">
        <v>3.82</v>
      </c>
      <c r="AJ454" s="1">
        <v>174</v>
      </c>
      <c r="AK454" s="1">
        <v>773</v>
      </c>
    </row>
    <row r="455" spans="1:38" ht="15.75" customHeight="1">
      <c r="A455" s="1">
        <v>379</v>
      </c>
      <c r="C455" s="1">
        <v>4050</v>
      </c>
      <c r="D455" s="1" t="s">
        <v>38</v>
      </c>
      <c r="E455" s="1" t="s">
        <v>39</v>
      </c>
      <c r="F455" s="1" t="s">
        <v>280</v>
      </c>
      <c r="G455" s="1">
        <v>0</v>
      </c>
      <c r="H455" s="1" t="s">
        <v>41</v>
      </c>
      <c r="I455" s="1" t="s">
        <v>5403</v>
      </c>
      <c r="J455" s="1" t="s">
        <v>5404</v>
      </c>
      <c r="K455" s="1" t="s">
        <v>5405</v>
      </c>
      <c r="L455" s="1">
        <v>1</v>
      </c>
      <c r="M455" s="1">
        <v>0</v>
      </c>
      <c r="N455" s="1" t="s">
        <v>5406</v>
      </c>
      <c r="O455" s="1" t="s">
        <v>5407</v>
      </c>
      <c r="P455" s="1" t="s">
        <v>5408</v>
      </c>
      <c r="Q455" s="1">
        <v>0</v>
      </c>
      <c r="R455" s="1" t="s">
        <v>5409</v>
      </c>
      <c r="S455" s="1" t="s">
        <v>5410</v>
      </c>
      <c r="U455" s="2">
        <v>56768</v>
      </c>
      <c r="V455" s="1">
        <v>4.5999999999999996</v>
      </c>
      <c r="W455" s="1">
        <v>2500</v>
      </c>
      <c r="X455" s="1">
        <v>2636</v>
      </c>
      <c r="Y455" s="1">
        <v>1164</v>
      </c>
      <c r="Z455" s="1">
        <v>469</v>
      </c>
      <c r="AA455" s="1">
        <v>1003</v>
      </c>
      <c r="AB455" s="1">
        <v>0</v>
      </c>
      <c r="AC455" s="1">
        <v>3</v>
      </c>
      <c r="AD455" s="1" t="s">
        <v>76</v>
      </c>
      <c r="AE455" s="1" t="s">
        <v>5411</v>
      </c>
      <c r="AF455" s="1" t="s">
        <v>5412</v>
      </c>
      <c r="AG455" s="1" t="s">
        <v>5413</v>
      </c>
      <c r="AH455" s="1" t="s">
        <v>5414</v>
      </c>
      <c r="AI455" s="1">
        <v>4.49</v>
      </c>
      <c r="AJ455" s="1">
        <v>2315</v>
      </c>
      <c r="AK455" s="1">
        <v>7039</v>
      </c>
      <c r="AL455" s="1">
        <v>763</v>
      </c>
    </row>
    <row r="456" spans="1:38" ht="15.75" customHeight="1">
      <c r="A456" s="1">
        <v>366</v>
      </c>
      <c r="B456" s="1">
        <v>5</v>
      </c>
      <c r="C456" s="1">
        <v>4050</v>
      </c>
      <c r="D456" s="1" t="s">
        <v>38</v>
      </c>
      <c r="E456" s="1" t="s">
        <v>39</v>
      </c>
      <c r="F456" s="1" t="s">
        <v>220</v>
      </c>
      <c r="G456" s="1">
        <v>0</v>
      </c>
      <c r="H456" s="1" t="s">
        <v>41</v>
      </c>
      <c r="I456" s="1" t="s">
        <v>5415</v>
      </c>
      <c r="J456" s="1" t="s">
        <v>5416</v>
      </c>
      <c r="K456" s="1" t="s">
        <v>5417</v>
      </c>
      <c r="L456" s="1">
        <v>1</v>
      </c>
      <c r="M456" s="1">
        <v>0</v>
      </c>
      <c r="N456" s="1" t="s">
        <v>5418</v>
      </c>
      <c r="O456" s="1" t="s">
        <v>5419</v>
      </c>
      <c r="P456" s="1" t="s">
        <v>5420</v>
      </c>
      <c r="Q456" s="1">
        <v>0</v>
      </c>
      <c r="R456" s="1" t="s">
        <v>5421</v>
      </c>
      <c r="U456" s="2">
        <v>56768</v>
      </c>
      <c r="V456" s="1">
        <v>4.5</v>
      </c>
      <c r="W456" s="1">
        <v>2500</v>
      </c>
      <c r="X456" s="1">
        <v>2169</v>
      </c>
      <c r="AA456" s="1">
        <v>970</v>
      </c>
      <c r="AB456" s="1">
        <v>0</v>
      </c>
      <c r="AC456" s="1">
        <v>4</v>
      </c>
      <c r="AE456" s="1" t="s">
        <v>5422</v>
      </c>
      <c r="AF456" s="1" t="s">
        <v>5423</v>
      </c>
      <c r="AG456" s="1" t="s">
        <v>5424</v>
      </c>
      <c r="AI456" s="1">
        <v>4.42</v>
      </c>
      <c r="AJ456" s="1">
        <v>1396</v>
      </c>
      <c r="AK456" s="1">
        <v>4836</v>
      </c>
      <c r="AL456" s="1">
        <v>1278</v>
      </c>
    </row>
    <row r="457" spans="1:38" ht="15.75" customHeight="1">
      <c r="A457" s="1">
        <v>513</v>
      </c>
      <c r="C457" s="1">
        <v>4001</v>
      </c>
      <c r="D457" s="1" t="s">
        <v>51</v>
      </c>
      <c r="E457" s="1" t="s">
        <v>39</v>
      </c>
      <c r="F457" s="1" t="s">
        <v>52</v>
      </c>
      <c r="G457" s="1">
        <v>0</v>
      </c>
      <c r="H457" s="1" t="s">
        <v>53</v>
      </c>
      <c r="I457" s="1" t="s">
        <v>5425</v>
      </c>
      <c r="J457" s="1" t="s">
        <v>5426</v>
      </c>
      <c r="K457" s="1" t="s">
        <v>5427</v>
      </c>
      <c r="L457" s="1">
        <v>1</v>
      </c>
      <c r="M457" s="1">
        <v>0</v>
      </c>
      <c r="N457" s="1" t="s">
        <v>5428</v>
      </c>
      <c r="O457" s="1" t="s">
        <v>5429</v>
      </c>
      <c r="P457" s="1" t="s">
        <v>5430</v>
      </c>
      <c r="Q457" s="1">
        <v>0</v>
      </c>
      <c r="R457" s="1" t="s">
        <v>5431</v>
      </c>
      <c r="U457" s="2">
        <v>56769</v>
      </c>
      <c r="V457" s="1">
        <v>4.5999999999999996</v>
      </c>
      <c r="W457" s="1">
        <v>2500</v>
      </c>
      <c r="X457" s="1">
        <v>2050</v>
      </c>
      <c r="AA457" s="1">
        <v>9</v>
      </c>
      <c r="AB457" s="1">
        <v>0</v>
      </c>
      <c r="AC457" s="1">
        <v>2</v>
      </c>
      <c r="AE457" s="1" t="s">
        <v>5432</v>
      </c>
      <c r="AF457" s="1" t="s">
        <v>5433</v>
      </c>
      <c r="AG457" s="1" t="s">
        <v>5434</v>
      </c>
      <c r="AI457" s="1">
        <v>4.17</v>
      </c>
      <c r="AJ457" s="1">
        <v>457</v>
      </c>
      <c r="AK457" s="1">
        <v>1599</v>
      </c>
    </row>
    <row r="458" spans="1:38" ht="15.75" customHeight="1">
      <c r="A458" s="1">
        <v>1001</v>
      </c>
      <c r="B458" s="1">
        <v>5</v>
      </c>
      <c r="C458" s="1">
        <v>4001</v>
      </c>
      <c r="D458" s="1" t="s">
        <v>51</v>
      </c>
      <c r="E458" s="1" t="s">
        <v>39</v>
      </c>
      <c r="F458" s="1" t="s">
        <v>341</v>
      </c>
      <c r="G458" s="1">
        <v>0</v>
      </c>
      <c r="H458" s="1" t="s">
        <v>41</v>
      </c>
      <c r="I458" s="1" t="s">
        <v>5435</v>
      </c>
      <c r="J458" s="1" t="s">
        <v>5436</v>
      </c>
      <c r="K458" s="1" t="s">
        <v>5437</v>
      </c>
      <c r="L458" s="1">
        <v>1</v>
      </c>
      <c r="M458" s="1">
        <v>0</v>
      </c>
      <c r="N458" s="1" t="s">
        <v>5438</v>
      </c>
      <c r="O458" s="1" t="s">
        <v>5439</v>
      </c>
      <c r="P458" s="1" t="s">
        <v>5440</v>
      </c>
      <c r="Q458" s="1">
        <v>0</v>
      </c>
      <c r="R458" s="1" t="s">
        <v>5441</v>
      </c>
      <c r="S458" s="1" t="s">
        <v>5442</v>
      </c>
      <c r="U458" s="2">
        <v>56773</v>
      </c>
      <c r="V458" s="1">
        <v>4.5</v>
      </c>
      <c r="W458" s="1">
        <v>2500</v>
      </c>
      <c r="X458" s="1">
        <v>1523</v>
      </c>
      <c r="Y458" s="1">
        <v>202</v>
      </c>
      <c r="Z458" s="1">
        <v>713</v>
      </c>
      <c r="AA458" s="1">
        <v>608</v>
      </c>
      <c r="AB458" s="1">
        <v>0</v>
      </c>
      <c r="AC458" s="1">
        <v>1</v>
      </c>
      <c r="AD458" s="1" t="s">
        <v>215</v>
      </c>
      <c r="AE458" s="1" t="s">
        <v>5443</v>
      </c>
      <c r="AF458" s="1" t="s">
        <v>5444</v>
      </c>
      <c r="AG458" s="1" t="s">
        <v>5445</v>
      </c>
      <c r="AH458" s="1" t="s">
        <v>5446</v>
      </c>
      <c r="AI458" s="1">
        <v>4.54</v>
      </c>
      <c r="AJ458" s="1">
        <v>2229</v>
      </c>
      <c r="AK458" s="1">
        <v>6580</v>
      </c>
    </row>
    <row r="459" spans="1:38" ht="15.75" customHeight="1">
      <c r="A459" s="1">
        <v>1247</v>
      </c>
      <c r="C459" s="1">
        <v>4001</v>
      </c>
      <c r="D459" s="1" t="s">
        <v>51</v>
      </c>
      <c r="E459" s="1" t="s">
        <v>39</v>
      </c>
      <c r="F459" s="1" t="s">
        <v>4721</v>
      </c>
      <c r="G459" s="1">
        <v>0</v>
      </c>
      <c r="H459" s="1" t="s">
        <v>53</v>
      </c>
      <c r="I459" s="1" t="s">
        <v>5447</v>
      </c>
      <c r="J459" s="1" t="s">
        <v>5448</v>
      </c>
      <c r="K459" s="1" t="s">
        <v>5449</v>
      </c>
      <c r="L459" s="1">
        <v>1</v>
      </c>
      <c r="M459" s="1">
        <v>0</v>
      </c>
      <c r="N459" s="1" t="s">
        <v>5450</v>
      </c>
      <c r="O459" s="1" t="s">
        <v>5451</v>
      </c>
      <c r="P459" s="1" t="s">
        <v>5452</v>
      </c>
      <c r="Q459" s="1">
        <v>0</v>
      </c>
      <c r="R459" s="1" t="s">
        <v>5453</v>
      </c>
      <c r="S459" s="1" t="s">
        <v>5454</v>
      </c>
      <c r="U459" s="2">
        <v>56776</v>
      </c>
      <c r="V459" s="1">
        <v>4.5999999999999996</v>
      </c>
      <c r="W459" s="1">
        <v>2500</v>
      </c>
      <c r="X459" s="1">
        <v>976</v>
      </c>
      <c r="Y459" s="1">
        <v>155</v>
      </c>
      <c r="Z459" s="1">
        <v>187</v>
      </c>
      <c r="AA459" s="1">
        <v>634</v>
      </c>
      <c r="AB459" s="1">
        <v>0</v>
      </c>
      <c r="AC459" s="1">
        <v>2</v>
      </c>
      <c r="AD459" s="1" t="s">
        <v>62</v>
      </c>
      <c r="AE459" s="1" t="s">
        <v>5455</v>
      </c>
      <c r="AF459" s="1" t="s">
        <v>5456</v>
      </c>
      <c r="AG459" s="1" t="s">
        <v>5457</v>
      </c>
      <c r="AH459" s="1" t="s">
        <v>5458</v>
      </c>
      <c r="AI459" s="1">
        <v>4.4375</v>
      </c>
      <c r="AJ459" s="1">
        <v>24</v>
      </c>
      <c r="AK459" s="1">
        <v>65</v>
      </c>
    </row>
    <row r="460" spans="1:38" ht="15.75" customHeight="1">
      <c r="A460" s="1">
        <v>1397</v>
      </c>
      <c r="B460" s="1">
        <v>5</v>
      </c>
      <c r="C460" s="1">
        <v>4001</v>
      </c>
      <c r="D460" s="1" t="s">
        <v>51</v>
      </c>
      <c r="E460" s="1" t="s">
        <v>39</v>
      </c>
      <c r="F460" s="1" t="s">
        <v>414</v>
      </c>
      <c r="G460" s="1">
        <v>0</v>
      </c>
      <c r="H460" s="1" t="s">
        <v>53</v>
      </c>
      <c r="I460" s="1" t="s">
        <v>5459</v>
      </c>
      <c r="J460" s="1" t="s">
        <v>5460</v>
      </c>
      <c r="K460" s="1" t="s">
        <v>5461</v>
      </c>
      <c r="L460" s="1">
        <v>1</v>
      </c>
      <c r="M460" s="1">
        <v>0</v>
      </c>
      <c r="N460" s="1" t="s">
        <v>5462</v>
      </c>
      <c r="O460" s="1" t="s">
        <v>5463</v>
      </c>
      <c r="P460" s="1" t="s">
        <v>5464</v>
      </c>
      <c r="Q460" s="1">
        <v>0</v>
      </c>
      <c r="R460" s="1" t="s">
        <v>5465</v>
      </c>
      <c r="S460" s="1" t="s">
        <v>5466</v>
      </c>
      <c r="U460" s="2">
        <v>56777</v>
      </c>
      <c r="V460" s="1">
        <v>3.6062579110000001</v>
      </c>
      <c r="W460" s="1">
        <v>2500</v>
      </c>
      <c r="X460" s="1">
        <v>1371</v>
      </c>
      <c r="Y460" s="1">
        <v>278</v>
      </c>
      <c r="Z460" s="1">
        <v>186</v>
      </c>
      <c r="AA460" s="1">
        <v>907</v>
      </c>
      <c r="AB460" s="1">
        <v>0</v>
      </c>
      <c r="AC460" s="1">
        <v>3</v>
      </c>
      <c r="AD460" s="1" t="s">
        <v>215</v>
      </c>
      <c r="AE460" s="1" t="s">
        <v>5467</v>
      </c>
      <c r="AF460" s="1" t="s">
        <v>5468</v>
      </c>
      <c r="AG460" s="1" t="s">
        <v>5469</v>
      </c>
      <c r="AH460" s="1" t="s">
        <v>5470</v>
      </c>
      <c r="AI460" s="1">
        <v>4.58</v>
      </c>
      <c r="AJ460" s="1">
        <v>254</v>
      </c>
      <c r="AK460" s="1">
        <v>788</v>
      </c>
      <c r="AL460" s="1">
        <v>9</v>
      </c>
    </row>
    <row r="461" spans="1:38" ht="15.75" customHeight="1">
      <c r="A461" s="1">
        <v>806</v>
      </c>
      <c r="C461" s="1">
        <v>4050</v>
      </c>
      <c r="D461" s="1" t="s">
        <v>38</v>
      </c>
      <c r="E461" s="1" t="s">
        <v>39</v>
      </c>
      <c r="F461" s="1" t="s">
        <v>1348</v>
      </c>
      <c r="G461" s="1">
        <v>0</v>
      </c>
      <c r="H461" s="1" t="s">
        <v>41</v>
      </c>
      <c r="I461" s="1" t="s">
        <v>5471</v>
      </c>
      <c r="J461" s="1" t="s">
        <v>5472</v>
      </c>
      <c r="K461" s="1" t="s">
        <v>5473</v>
      </c>
      <c r="L461" s="1">
        <v>1</v>
      </c>
      <c r="M461" s="1">
        <v>0</v>
      </c>
      <c r="N461" s="1" t="s">
        <v>5474</v>
      </c>
      <c r="O461" s="1" t="s">
        <v>5475</v>
      </c>
      <c r="P461" s="1" t="s">
        <v>5476</v>
      </c>
      <c r="Q461" s="1">
        <v>0</v>
      </c>
      <c r="R461" s="1" t="s">
        <v>5477</v>
      </c>
      <c r="S461" s="1" t="s">
        <v>5478</v>
      </c>
      <c r="U461" s="2">
        <v>56771</v>
      </c>
      <c r="V461" s="1">
        <v>4.8</v>
      </c>
      <c r="W461" s="1">
        <v>2500</v>
      </c>
      <c r="X461" s="1">
        <v>1149</v>
      </c>
      <c r="Y461" s="1">
        <v>344</v>
      </c>
      <c r="Z461" s="1">
        <v>215</v>
      </c>
      <c r="AA461" s="1">
        <v>590</v>
      </c>
      <c r="AB461" s="1">
        <v>0</v>
      </c>
      <c r="AC461" s="1">
        <v>4</v>
      </c>
      <c r="AD461" s="1" t="s">
        <v>215</v>
      </c>
      <c r="AE461" s="1" t="s">
        <v>5479</v>
      </c>
      <c r="AF461" s="1" t="s">
        <v>5480</v>
      </c>
      <c r="AG461" s="1" t="s">
        <v>5481</v>
      </c>
      <c r="AH461" s="1" t="s">
        <v>5482</v>
      </c>
      <c r="AI461" s="1">
        <v>4.79</v>
      </c>
      <c r="AJ461" s="1">
        <v>1007</v>
      </c>
      <c r="AK461" s="1">
        <v>2899</v>
      </c>
      <c r="AL461" s="1">
        <v>1301</v>
      </c>
    </row>
    <row r="462" spans="1:38" ht="15.75" customHeight="1">
      <c r="A462" s="1">
        <v>521</v>
      </c>
      <c r="C462" s="1">
        <v>4050</v>
      </c>
      <c r="D462" s="1" t="s">
        <v>38</v>
      </c>
      <c r="E462" s="1" t="s">
        <v>39</v>
      </c>
      <c r="F462" s="1" t="s">
        <v>40</v>
      </c>
      <c r="G462" s="1">
        <v>0</v>
      </c>
      <c r="H462" s="1" t="s">
        <v>41</v>
      </c>
      <c r="I462" s="1" t="s">
        <v>5483</v>
      </c>
      <c r="J462" s="1" t="s">
        <v>5484</v>
      </c>
      <c r="K462" s="1" t="s">
        <v>5485</v>
      </c>
      <c r="L462" s="1">
        <v>1</v>
      </c>
      <c r="M462" s="1">
        <v>0</v>
      </c>
      <c r="N462" s="1" t="s">
        <v>5486</v>
      </c>
      <c r="O462" s="1" t="s">
        <v>5487</v>
      </c>
      <c r="P462" s="1" t="s">
        <v>5488</v>
      </c>
      <c r="Q462" s="1">
        <v>0</v>
      </c>
      <c r="R462" s="1" t="s">
        <v>5489</v>
      </c>
      <c r="S462" s="1" t="s">
        <v>5490</v>
      </c>
      <c r="U462" s="2">
        <v>56769</v>
      </c>
      <c r="V462" s="1">
        <v>4.5999999999999996</v>
      </c>
      <c r="W462" s="1">
        <v>2500</v>
      </c>
      <c r="X462" s="1">
        <v>1729</v>
      </c>
      <c r="Y462" s="1">
        <v>520</v>
      </c>
      <c r="Z462" s="1">
        <v>313</v>
      </c>
      <c r="AA462" s="1">
        <v>896</v>
      </c>
      <c r="AB462" s="1">
        <v>0</v>
      </c>
      <c r="AC462" s="1">
        <v>3</v>
      </c>
      <c r="AD462" s="1" t="s">
        <v>76</v>
      </c>
      <c r="AE462" s="1" t="s">
        <v>5491</v>
      </c>
      <c r="AF462" s="1" t="s">
        <v>5492</v>
      </c>
      <c r="AG462" s="1" t="s">
        <v>5493</v>
      </c>
      <c r="AH462" s="1" t="s">
        <v>5494</v>
      </c>
      <c r="AI462" s="1">
        <v>4.7</v>
      </c>
      <c r="AJ462" s="1">
        <v>1261</v>
      </c>
      <c r="AK462" s="1">
        <v>3264</v>
      </c>
      <c r="AL462" s="1">
        <v>232</v>
      </c>
    </row>
    <row r="463" spans="1:38" ht="15.75" customHeight="1">
      <c r="A463" s="1">
        <v>608</v>
      </c>
      <c r="B463" s="1">
        <v>5</v>
      </c>
      <c r="C463" s="1">
        <v>4050</v>
      </c>
      <c r="D463" s="1" t="s">
        <v>38</v>
      </c>
      <c r="E463" s="1" t="s">
        <v>39</v>
      </c>
      <c r="F463" s="1" t="s">
        <v>40</v>
      </c>
      <c r="G463" s="1">
        <v>0</v>
      </c>
      <c r="H463" s="1" t="s">
        <v>41</v>
      </c>
      <c r="I463" s="1" t="s">
        <v>5495</v>
      </c>
      <c r="J463" s="1" t="s">
        <v>5496</v>
      </c>
      <c r="K463" s="1" t="s">
        <v>5497</v>
      </c>
      <c r="L463" s="1">
        <v>1</v>
      </c>
      <c r="M463" s="1">
        <v>0</v>
      </c>
      <c r="N463" s="1" t="s">
        <v>5498</v>
      </c>
      <c r="O463" s="1" t="s">
        <v>5499</v>
      </c>
      <c r="P463" s="1" t="s">
        <v>5500</v>
      </c>
      <c r="Q463" s="1">
        <v>0</v>
      </c>
      <c r="R463" s="1" t="s">
        <v>5501</v>
      </c>
      <c r="S463" s="1" t="s">
        <v>5502</v>
      </c>
      <c r="U463" s="2">
        <v>56770</v>
      </c>
      <c r="V463" s="1">
        <v>4.7</v>
      </c>
      <c r="W463" s="1">
        <v>2500</v>
      </c>
      <c r="X463" s="1">
        <v>1579</v>
      </c>
      <c r="Y463" s="1">
        <v>441</v>
      </c>
      <c r="Z463" s="1">
        <v>79</v>
      </c>
      <c r="AA463" s="1">
        <v>1059</v>
      </c>
      <c r="AB463" s="1">
        <v>0</v>
      </c>
      <c r="AC463" s="1">
        <v>2</v>
      </c>
      <c r="AD463" s="1" t="s">
        <v>62</v>
      </c>
      <c r="AE463" s="1" t="s">
        <v>5503</v>
      </c>
      <c r="AF463" s="1" t="s">
        <v>5504</v>
      </c>
      <c r="AG463" s="1" t="s">
        <v>5505</v>
      </c>
      <c r="AH463" s="1" t="s">
        <v>5506</v>
      </c>
      <c r="AI463" s="1">
        <v>4.7</v>
      </c>
      <c r="AJ463" s="1">
        <v>1261</v>
      </c>
      <c r="AK463" s="1">
        <v>3264</v>
      </c>
      <c r="AL463" s="1">
        <v>232</v>
      </c>
    </row>
    <row r="464" spans="1:38" ht="15.75" customHeight="1">
      <c r="A464" s="1">
        <v>650</v>
      </c>
      <c r="B464" s="1">
        <v>5</v>
      </c>
      <c r="C464" s="1">
        <v>4050</v>
      </c>
      <c r="D464" s="1" t="s">
        <v>38</v>
      </c>
      <c r="E464" s="1" t="s">
        <v>39</v>
      </c>
      <c r="F464" s="1" t="s">
        <v>510</v>
      </c>
      <c r="G464" s="1">
        <v>0</v>
      </c>
      <c r="H464" s="1" t="s">
        <v>41</v>
      </c>
      <c r="I464" s="1" t="s">
        <v>5507</v>
      </c>
      <c r="J464" s="1" t="s">
        <v>5508</v>
      </c>
      <c r="K464" s="1" t="s">
        <v>5509</v>
      </c>
      <c r="L464" s="1">
        <v>1</v>
      </c>
      <c r="M464" s="1">
        <v>0</v>
      </c>
      <c r="N464" s="1" t="s">
        <v>5510</v>
      </c>
      <c r="O464" s="1" t="s">
        <v>5511</v>
      </c>
      <c r="P464" s="1" t="s">
        <v>5512</v>
      </c>
      <c r="Q464" s="1">
        <v>0</v>
      </c>
      <c r="R464" s="1" t="s">
        <v>5513</v>
      </c>
      <c r="S464" s="1" t="s">
        <v>5514</v>
      </c>
      <c r="U464" s="2">
        <v>56770</v>
      </c>
      <c r="V464" s="1">
        <v>4.2</v>
      </c>
      <c r="W464" s="1">
        <v>2500</v>
      </c>
      <c r="X464" s="1">
        <v>3338</v>
      </c>
      <c r="Y464" s="1">
        <v>792</v>
      </c>
      <c r="Z464" s="1">
        <v>1533</v>
      </c>
      <c r="AA464" s="1">
        <v>1013</v>
      </c>
      <c r="AB464" s="1">
        <v>0</v>
      </c>
      <c r="AC464" s="1">
        <v>3</v>
      </c>
      <c r="AD464" s="1" t="s">
        <v>62</v>
      </c>
      <c r="AE464" s="1" t="s">
        <v>5515</v>
      </c>
      <c r="AF464" s="1" t="s">
        <v>5516</v>
      </c>
      <c r="AG464" s="1" t="s">
        <v>5517</v>
      </c>
      <c r="AH464" s="1" t="s">
        <v>5518</v>
      </c>
      <c r="AI464" s="1">
        <v>4.62</v>
      </c>
      <c r="AJ464" s="1">
        <v>259</v>
      </c>
      <c r="AK464" s="1">
        <v>604</v>
      </c>
      <c r="AL464" s="1">
        <v>21</v>
      </c>
    </row>
    <row r="465" spans="1:38" ht="15.75" customHeight="1">
      <c r="A465" s="1">
        <v>1225</v>
      </c>
      <c r="C465" s="1">
        <v>4001</v>
      </c>
      <c r="D465" s="1" t="s">
        <v>51</v>
      </c>
      <c r="E465" s="1" t="s">
        <v>39</v>
      </c>
      <c r="F465" s="1" t="s">
        <v>52</v>
      </c>
      <c r="G465" s="1">
        <v>0</v>
      </c>
      <c r="H465" s="1" t="s">
        <v>53</v>
      </c>
      <c r="I465" s="1" t="s">
        <v>5519</v>
      </c>
      <c r="J465" s="1" t="s">
        <v>5520</v>
      </c>
      <c r="K465" s="1" t="s">
        <v>5521</v>
      </c>
      <c r="L465" s="1">
        <v>1</v>
      </c>
      <c r="M465" s="1">
        <v>0</v>
      </c>
      <c r="N465" s="1" t="s">
        <v>5522</v>
      </c>
      <c r="O465" s="1" t="s">
        <v>5523</v>
      </c>
      <c r="P465" s="1" t="s">
        <v>5524</v>
      </c>
      <c r="Q465" s="1">
        <v>0</v>
      </c>
      <c r="R465" s="1" t="s">
        <v>5525</v>
      </c>
      <c r="S465" s="1" t="s">
        <v>5526</v>
      </c>
      <c r="U465" s="2">
        <v>56775</v>
      </c>
      <c r="V465" s="1">
        <v>4.4000000000000004</v>
      </c>
      <c r="W465" s="1">
        <v>2500</v>
      </c>
      <c r="X465" s="1">
        <v>2870</v>
      </c>
      <c r="Y465" s="1">
        <v>1504</v>
      </c>
      <c r="Z465" s="1">
        <v>670</v>
      </c>
      <c r="AA465" s="1">
        <v>696</v>
      </c>
      <c r="AB465" s="1">
        <v>0</v>
      </c>
      <c r="AC465" s="1">
        <v>6</v>
      </c>
      <c r="AE465" s="1" t="s">
        <v>5527</v>
      </c>
      <c r="AF465" s="1" t="s">
        <v>5528</v>
      </c>
      <c r="AG465" s="1" t="s">
        <v>5529</v>
      </c>
      <c r="AH465" s="1" t="s">
        <v>5530</v>
      </c>
      <c r="AI465" s="1">
        <v>4.17</v>
      </c>
      <c r="AJ465" s="1">
        <v>457</v>
      </c>
      <c r="AK465" s="1">
        <v>1599</v>
      </c>
    </row>
    <row r="466" spans="1:38" ht="15.75" customHeight="1">
      <c r="A466" s="1">
        <v>1427</v>
      </c>
      <c r="B466" s="1">
        <v>5</v>
      </c>
      <c r="C466" s="1">
        <v>4001</v>
      </c>
      <c r="D466" s="1" t="s">
        <v>51</v>
      </c>
      <c r="E466" s="1" t="s">
        <v>39</v>
      </c>
      <c r="F466" s="1" t="s">
        <v>1915</v>
      </c>
      <c r="G466" s="1">
        <v>0</v>
      </c>
      <c r="H466" s="1" t="s">
        <v>53</v>
      </c>
      <c r="I466" s="1" t="s">
        <v>5531</v>
      </c>
      <c r="J466" s="1" t="s">
        <v>5532</v>
      </c>
      <c r="K466" s="1" t="s">
        <v>5533</v>
      </c>
      <c r="L466" s="1">
        <v>1</v>
      </c>
      <c r="M466" s="1">
        <v>0</v>
      </c>
      <c r="N466" s="1" t="s">
        <v>5534</v>
      </c>
      <c r="O466" s="1" t="s">
        <v>5535</v>
      </c>
      <c r="P466" s="1" t="s">
        <v>5536</v>
      </c>
      <c r="Q466" s="1">
        <v>0</v>
      </c>
      <c r="R466" s="1" t="s">
        <v>5537</v>
      </c>
      <c r="S466" s="1" t="s">
        <v>5538</v>
      </c>
      <c r="U466" s="2">
        <v>56777</v>
      </c>
      <c r="V466" s="1">
        <v>4.3</v>
      </c>
      <c r="W466" s="1">
        <v>2500</v>
      </c>
      <c r="X466" s="1">
        <v>2418</v>
      </c>
      <c r="Y466" s="1">
        <v>360</v>
      </c>
      <c r="Z466" s="1">
        <v>717</v>
      </c>
      <c r="AA466" s="1">
        <v>1341</v>
      </c>
      <c r="AB466" s="1">
        <v>0</v>
      </c>
      <c r="AC466" s="1">
        <v>2</v>
      </c>
      <c r="AD466" s="1" t="s">
        <v>62</v>
      </c>
      <c r="AE466" s="1" t="s">
        <v>5539</v>
      </c>
      <c r="AF466" s="1" t="s">
        <v>5540</v>
      </c>
      <c r="AG466" s="1" t="s">
        <v>5541</v>
      </c>
      <c r="AH466" s="1" t="s">
        <v>5542</v>
      </c>
      <c r="AI466" s="1">
        <v>4.63</v>
      </c>
      <c r="AJ466" s="1">
        <v>242</v>
      </c>
      <c r="AK466" s="1">
        <v>736</v>
      </c>
    </row>
    <row r="467" spans="1:38" ht="15.75" customHeight="1">
      <c r="A467" s="1">
        <v>558</v>
      </c>
      <c r="B467" s="1">
        <v>5</v>
      </c>
      <c r="C467" s="1">
        <v>4001</v>
      </c>
      <c r="D467" s="1" t="s">
        <v>51</v>
      </c>
      <c r="E467" s="1" t="s">
        <v>39</v>
      </c>
      <c r="F467" s="1" t="s">
        <v>341</v>
      </c>
      <c r="G467" s="1">
        <v>0</v>
      </c>
      <c r="H467" s="1" t="s">
        <v>41</v>
      </c>
      <c r="I467" s="1" t="s">
        <v>5543</v>
      </c>
      <c r="J467" s="1" t="s">
        <v>5544</v>
      </c>
      <c r="K467" s="1" t="s">
        <v>5545</v>
      </c>
      <c r="L467" s="1">
        <v>1</v>
      </c>
      <c r="M467" s="1">
        <v>0</v>
      </c>
      <c r="N467" s="1" t="s">
        <v>5546</v>
      </c>
      <c r="O467" s="1" t="s">
        <v>5547</v>
      </c>
      <c r="P467" s="1" t="s">
        <v>5548</v>
      </c>
      <c r="Q467" s="1">
        <v>0</v>
      </c>
      <c r="R467" s="1" t="s">
        <v>5549</v>
      </c>
      <c r="S467" s="1" t="s">
        <v>5550</v>
      </c>
      <c r="U467" s="2">
        <v>56770</v>
      </c>
      <c r="V467" s="1">
        <v>4.2</v>
      </c>
      <c r="W467" s="1">
        <v>2500</v>
      </c>
      <c r="X467" s="1">
        <v>2606</v>
      </c>
      <c r="Y467" s="1">
        <v>1102</v>
      </c>
      <c r="Z467" s="1">
        <v>881</v>
      </c>
      <c r="AA467" s="1">
        <v>623</v>
      </c>
      <c r="AB467" s="1">
        <v>1</v>
      </c>
      <c r="AC467" s="1">
        <v>5</v>
      </c>
      <c r="AE467" s="1" t="s">
        <v>5551</v>
      </c>
      <c r="AF467" s="1" t="s">
        <v>5552</v>
      </c>
      <c r="AG467" s="1" t="s">
        <v>5553</v>
      </c>
      <c r="AH467" s="1" t="s">
        <v>5554</v>
      </c>
      <c r="AI467" s="1">
        <v>4.54</v>
      </c>
      <c r="AJ467" s="1">
        <v>2229</v>
      </c>
      <c r="AK467" s="1">
        <v>6580</v>
      </c>
    </row>
    <row r="468" spans="1:38" ht="15.75" customHeight="1">
      <c r="A468" s="1">
        <v>758</v>
      </c>
      <c r="C468" s="1">
        <v>4050</v>
      </c>
      <c r="D468" s="1" t="s">
        <v>38</v>
      </c>
      <c r="E468" s="1" t="s">
        <v>39</v>
      </c>
      <c r="F468" s="1" t="s">
        <v>116</v>
      </c>
      <c r="G468" s="1">
        <v>0</v>
      </c>
      <c r="H468" s="1" t="s">
        <v>41</v>
      </c>
      <c r="I468" s="1" t="s">
        <v>5555</v>
      </c>
      <c r="J468" s="1" t="s">
        <v>5556</v>
      </c>
      <c r="K468" s="1" t="s">
        <v>5557</v>
      </c>
      <c r="L468" s="1">
        <v>1</v>
      </c>
      <c r="M468" s="1">
        <v>0</v>
      </c>
      <c r="N468" s="1" t="s">
        <v>5558</v>
      </c>
      <c r="O468" s="1" t="s">
        <v>5559</v>
      </c>
      <c r="P468" s="1" t="s">
        <v>5560</v>
      </c>
      <c r="Q468" s="1">
        <v>0</v>
      </c>
      <c r="R468" s="1" t="s">
        <v>5561</v>
      </c>
      <c r="S468" s="1" t="s">
        <v>5562</v>
      </c>
      <c r="U468" s="2">
        <v>56771</v>
      </c>
      <c r="V468" s="1">
        <v>4.5999999999999996</v>
      </c>
      <c r="W468" s="1">
        <v>2500</v>
      </c>
      <c r="X468" s="1">
        <v>1089</v>
      </c>
      <c r="Y468" s="1">
        <v>875</v>
      </c>
      <c r="AA468" s="1">
        <v>240</v>
      </c>
      <c r="AB468" s="1">
        <v>0</v>
      </c>
      <c r="AC468" s="1">
        <v>4</v>
      </c>
      <c r="AD468" s="1" t="s">
        <v>76</v>
      </c>
      <c r="AE468" s="1" t="s">
        <v>5563</v>
      </c>
      <c r="AF468" s="1" t="s">
        <v>5564</v>
      </c>
      <c r="AG468" s="1" t="s">
        <v>5565</v>
      </c>
      <c r="AH468" s="1" t="s">
        <v>5566</v>
      </c>
      <c r="AI468" s="1">
        <v>4.8899999999999997</v>
      </c>
      <c r="AJ468" s="1">
        <v>1778</v>
      </c>
      <c r="AK468" s="1">
        <v>5138</v>
      </c>
      <c r="AL468" s="1">
        <v>314</v>
      </c>
    </row>
    <row r="469" spans="1:38" ht="15.75" customHeight="1">
      <c r="A469" s="1">
        <v>811</v>
      </c>
      <c r="C469" s="1">
        <v>4001</v>
      </c>
      <c r="D469" s="1" t="s">
        <v>51</v>
      </c>
      <c r="E469" s="1" t="s">
        <v>39</v>
      </c>
      <c r="F469" s="1" t="s">
        <v>341</v>
      </c>
      <c r="G469" s="1">
        <v>0</v>
      </c>
      <c r="H469" s="1" t="s">
        <v>41</v>
      </c>
      <c r="I469" s="1" t="s">
        <v>5567</v>
      </c>
      <c r="J469" s="1" t="s">
        <v>5568</v>
      </c>
      <c r="K469" s="1" t="s">
        <v>5569</v>
      </c>
      <c r="L469" s="1">
        <v>1</v>
      </c>
      <c r="M469" s="1">
        <v>0</v>
      </c>
      <c r="N469" s="1" t="s">
        <v>5570</v>
      </c>
      <c r="O469" s="1" t="s">
        <v>5571</v>
      </c>
      <c r="P469" s="1" t="s">
        <v>5572</v>
      </c>
      <c r="Q469" s="1">
        <v>0</v>
      </c>
      <c r="R469" s="1" t="s">
        <v>5573</v>
      </c>
      <c r="S469" s="1" t="s">
        <v>5574</v>
      </c>
      <c r="U469" s="2">
        <v>56771</v>
      </c>
      <c r="V469" s="1">
        <v>4.2</v>
      </c>
      <c r="W469" s="1">
        <v>2500</v>
      </c>
      <c r="X469" s="1">
        <v>2504</v>
      </c>
      <c r="Y469" s="1">
        <v>896</v>
      </c>
      <c r="Z469" s="1">
        <v>1066</v>
      </c>
      <c r="AA469" s="1">
        <v>542</v>
      </c>
      <c r="AB469" s="1">
        <v>0</v>
      </c>
      <c r="AC469" s="1">
        <v>4</v>
      </c>
      <c r="AD469" s="1" t="s">
        <v>215</v>
      </c>
      <c r="AE469" s="1" t="s">
        <v>5575</v>
      </c>
      <c r="AF469" s="1" t="s">
        <v>5576</v>
      </c>
      <c r="AG469" s="1" t="s">
        <v>5577</v>
      </c>
      <c r="AH469" s="1" t="s">
        <v>5578</v>
      </c>
      <c r="AI469" s="1">
        <v>4.54</v>
      </c>
      <c r="AJ469" s="1">
        <v>2229</v>
      </c>
      <c r="AK469" s="1">
        <v>6580</v>
      </c>
    </row>
    <row r="470" spans="1:38" ht="15.75" customHeight="1">
      <c r="A470" s="1">
        <v>1181</v>
      </c>
      <c r="C470" s="1">
        <v>4001</v>
      </c>
      <c r="D470" s="1" t="s">
        <v>51</v>
      </c>
      <c r="E470" s="1" t="s">
        <v>39</v>
      </c>
      <c r="F470" s="1" t="s">
        <v>341</v>
      </c>
      <c r="G470" s="1">
        <v>0</v>
      </c>
      <c r="H470" s="1" t="s">
        <v>41</v>
      </c>
      <c r="I470" s="1" t="s">
        <v>5579</v>
      </c>
      <c r="J470" s="1" t="s">
        <v>5580</v>
      </c>
      <c r="K470" s="1" t="s">
        <v>5581</v>
      </c>
      <c r="L470" s="1">
        <v>1</v>
      </c>
      <c r="M470" s="1">
        <v>0</v>
      </c>
      <c r="N470" s="1" t="s">
        <v>5582</v>
      </c>
      <c r="O470" s="1" t="s">
        <v>5583</v>
      </c>
      <c r="P470" s="1" t="s">
        <v>5584</v>
      </c>
      <c r="Q470" s="1">
        <v>0</v>
      </c>
      <c r="R470" s="1" t="s">
        <v>5585</v>
      </c>
      <c r="S470" s="1" t="s">
        <v>5586</v>
      </c>
      <c r="U470" s="2">
        <v>56775</v>
      </c>
      <c r="V470" s="1">
        <v>4.5999999999999996</v>
      </c>
      <c r="W470" s="1">
        <v>2500</v>
      </c>
      <c r="X470" s="1">
        <v>1555</v>
      </c>
      <c r="Y470" s="1">
        <v>234</v>
      </c>
      <c r="Z470" s="1">
        <v>715</v>
      </c>
      <c r="AA470" s="1">
        <v>606</v>
      </c>
      <c r="AB470" s="1">
        <v>0</v>
      </c>
      <c r="AC470" s="1">
        <v>4</v>
      </c>
      <c r="AD470" s="1" t="s">
        <v>62</v>
      </c>
      <c r="AE470" s="1" t="s">
        <v>5587</v>
      </c>
      <c r="AF470" s="1" t="s">
        <v>5588</v>
      </c>
      <c r="AG470" s="1" t="s">
        <v>5589</v>
      </c>
      <c r="AH470" s="1" t="s">
        <v>5590</v>
      </c>
      <c r="AI470" s="1">
        <v>4.54</v>
      </c>
      <c r="AJ470" s="1">
        <v>2229</v>
      </c>
      <c r="AK470" s="1">
        <v>6580</v>
      </c>
    </row>
    <row r="471" spans="1:38" ht="15.75" customHeight="1">
      <c r="A471" s="1">
        <v>39</v>
      </c>
      <c r="B471" s="1">
        <v>5</v>
      </c>
      <c r="C471" s="1">
        <v>4050</v>
      </c>
      <c r="D471" s="1" t="s">
        <v>38</v>
      </c>
      <c r="E471" s="1" t="s">
        <v>39</v>
      </c>
      <c r="F471" s="1" t="s">
        <v>116</v>
      </c>
      <c r="G471" s="1">
        <v>0</v>
      </c>
      <c r="H471" s="1" t="s">
        <v>41</v>
      </c>
      <c r="I471" s="1" t="s">
        <v>5591</v>
      </c>
      <c r="J471" s="1" t="s">
        <v>5592</v>
      </c>
      <c r="K471" s="1" t="s">
        <v>5593</v>
      </c>
      <c r="L471" s="1">
        <v>1</v>
      </c>
      <c r="M471" s="1">
        <v>0</v>
      </c>
      <c r="N471" s="1" t="s">
        <v>5594</v>
      </c>
      <c r="O471" s="1" t="s">
        <v>5595</v>
      </c>
      <c r="P471" s="1" t="s">
        <v>5596</v>
      </c>
      <c r="Q471" s="1">
        <v>0</v>
      </c>
      <c r="R471" s="1" t="s">
        <v>5597</v>
      </c>
      <c r="S471" s="1" t="s">
        <v>5598</v>
      </c>
      <c r="U471" s="2">
        <v>56766</v>
      </c>
      <c r="V471" s="1">
        <v>4.5999999999999996</v>
      </c>
      <c r="W471" s="1">
        <v>2500</v>
      </c>
      <c r="X471" s="1">
        <v>4109</v>
      </c>
      <c r="Y471" s="1">
        <v>1212</v>
      </c>
      <c r="Z471" s="1">
        <v>1881</v>
      </c>
      <c r="AA471" s="1">
        <v>1016</v>
      </c>
      <c r="AB471" s="1">
        <v>1</v>
      </c>
      <c r="AC471" s="1">
        <v>4</v>
      </c>
      <c r="AE471" s="1" t="s">
        <v>5599</v>
      </c>
      <c r="AF471" s="1" t="s">
        <v>5600</v>
      </c>
      <c r="AG471" s="1" t="s">
        <v>5601</v>
      </c>
      <c r="AH471" s="1" t="s">
        <v>5602</v>
      </c>
      <c r="AI471" s="1">
        <v>4.8899999999999997</v>
      </c>
      <c r="AJ471" s="1">
        <v>1778</v>
      </c>
      <c r="AK471" s="1">
        <v>5138</v>
      </c>
      <c r="AL471" s="1">
        <v>314</v>
      </c>
    </row>
    <row r="472" spans="1:38" ht="15.75" customHeight="1">
      <c r="A472" s="1">
        <v>121</v>
      </c>
      <c r="C472" s="1">
        <v>4001</v>
      </c>
      <c r="D472" s="1" t="s">
        <v>51</v>
      </c>
      <c r="E472" s="1" t="s">
        <v>39</v>
      </c>
      <c r="F472" s="1" t="s">
        <v>648</v>
      </c>
      <c r="G472" s="1">
        <v>0</v>
      </c>
      <c r="H472" s="1" t="s">
        <v>53</v>
      </c>
      <c r="I472" s="1" t="s">
        <v>5603</v>
      </c>
      <c r="J472" s="1" t="s">
        <v>5604</v>
      </c>
      <c r="K472" s="1" t="s">
        <v>5605</v>
      </c>
      <c r="L472" s="1">
        <v>1</v>
      </c>
      <c r="M472" s="1">
        <v>0</v>
      </c>
      <c r="N472" s="1" t="s">
        <v>5606</v>
      </c>
      <c r="O472" s="1" t="s">
        <v>5607</v>
      </c>
      <c r="P472" s="1" t="s">
        <v>5608</v>
      </c>
      <c r="Q472" s="1">
        <v>0</v>
      </c>
      <c r="R472" s="1" t="s">
        <v>5609</v>
      </c>
      <c r="S472" s="1" t="s">
        <v>5610</v>
      </c>
      <c r="U472" s="2">
        <v>56767</v>
      </c>
      <c r="V472" s="1">
        <v>4.5425217959999999</v>
      </c>
      <c r="W472" s="1">
        <v>2500</v>
      </c>
      <c r="X472" s="1">
        <v>1762</v>
      </c>
      <c r="Y472" s="1">
        <v>332</v>
      </c>
      <c r="Z472" s="1">
        <v>877</v>
      </c>
      <c r="AA472" s="1">
        <v>553</v>
      </c>
      <c r="AB472" s="1">
        <v>0</v>
      </c>
      <c r="AC472" s="1">
        <v>2</v>
      </c>
      <c r="AD472" s="1" t="s">
        <v>62</v>
      </c>
      <c r="AE472" s="1" t="s">
        <v>5611</v>
      </c>
      <c r="AF472" s="1" t="s">
        <v>5612</v>
      </c>
      <c r="AG472" s="1" t="s">
        <v>5613</v>
      </c>
      <c r="AH472" s="1" t="s">
        <v>5614</v>
      </c>
      <c r="AI472" s="1">
        <v>4.7</v>
      </c>
      <c r="AJ472" s="1">
        <v>443</v>
      </c>
      <c r="AK472" s="1">
        <v>1579</v>
      </c>
    </row>
    <row r="473" spans="1:38" ht="15.75" customHeight="1">
      <c r="A473" s="1">
        <v>170</v>
      </c>
      <c r="B473" s="1">
        <v>5</v>
      </c>
      <c r="C473" s="1">
        <v>4001</v>
      </c>
      <c r="D473" s="1" t="s">
        <v>51</v>
      </c>
      <c r="E473" s="1" t="s">
        <v>39</v>
      </c>
      <c r="F473" s="1" t="s">
        <v>232</v>
      </c>
      <c r="G473" s="1">
        <v>0</v>
      </c>
      <c r="H473" s="1" t="s">
        <v>53</v>
      </c>
      <c r="I473" s="1" t="s">
        <v>5615</v>
      </c>
      <c r="J473" s="1" t="s">
        <v>5616</v>
      </c>
      <c r="K473" s="1" t="s">
        <v>5617</v>
      </c>
      <c r="L473" s="1">
        <v>1</v>
      </c>
      <c r="M473" s="1">
        <v>0</v>
      </c>
      <c r="N473" s="1" t="s">
        <v>5618</v>
      </c>
      <c r="O473" s="1" t="s">
        <v>5619</v>
      </c>
      <c r="P473" s="1" t="s">
        <v>5620</v>
      </c>
      <c r="Q473" s="1">
        <v>0</v>
      </c>
      <c r="R473" s="1" t="s">
        <v>5621</v>
      </c>
      <c r="S473" s="1" t="s">
        <v>5622</v>
      </c>
      <c r="U473" s="2">
        <v>56767</v>
      </c>
      <c r="V473" s="1">
        <v>4.5</v>
      </c>
      <c r="W473" s="1">
        <v>2500</v>
      </c>
      <c r="X473" s="1">
        <v>2258</v>
      </c>
      <c r="Y473" s="1">
        <v>375</v>
      </c>
      <c r="Z473" s="1">
        <v>1080</v>
      </c>
      <c r="AA473" s="1">
        <v>803</v>
      </c>
      <c r="AB473" s="1">
        <v>0</v>
      </c>
      <c r="AC473" s="1">
        <v>2</v>
      </c>
      <c r="AE473" s="1" t="s">
        <v>5623</v>
      </c>
      <c r="AF473" s="1" t="s">
        <v>5624</v>
      </c>
      <c r="AG473" s="1" t="s">
        <v>5625</v>
      </c>
      <c r="AH473" s="1" t="s">
        <v>5626</v>
      </c>
      <c r="AI473" s="1">
        <v>4.5599999999999996</v>
      </c>
      <c r="AJ473" s="1">
        <v>765</v>
      </c>
      <c r="AK473" s="1">
        <v>2618</v>
      </c>
    </row>
    <row r="474" spans="1:38" ht="15.75" customHeight="1">
      <c r="A474" s="1">
        <v>219</v>
      </c>
      <c r="C474" s="1">
        <v>4050</v>
      </c>
      <c r="D474" s="1" t="s">
        <v>38</v>
      </c>
      <c r="E474" s="1" t="s">
        <v>39</v>
      </c>
      <c r="F474" s="1" t="s">
        <v>40</v>
      </c>
      <c r="G474" s="1">
        <v>0</v>
      </c>
      <c r="H474" s="1" t="s">
        <v>41</v>
      </c>
      <c r="I474" s="1" t="s">
        <v>5627</v>
      </c>
      <c r="J474" s="1" t="s">
        <v>5628</v>
      </c>
      <c r="K474" s="1" t="s">
        <v>5629</v>
      </c>
      <c r="L474" s="1">
        <v>1</v>
      </c>
      <c r="M474" s="1">
        <v>0</v>
      </c>
      <c r="N474" s="1" t="s">
        <v>5630</v>
      </c>
      <c r="O474" s="1" t="s">
        <v>5631</v>
      </c>
      <c r="P474" s="1" t="s">
        <v>5632</v>
      </c>
      <c r="Q474" s="1">
        <v>0</v>
      </c>
      <c r="R474" s="1" t="s">
        <v>5633</v>
      </c>
      <c r="S474" s="1" t="s">
        <v>5634</v>
      </c>
      <c r="U474" s="2">
        <v>56767</v>
      </c>
      <c r="V474" s="1">
        <v>4.3</v>
      </c>
      <c r="W474" s="1">
        <v>2500</v>
      </c>
      <c r="X474" s="1">
        <v>1453</v>
      </c>
      <c r="Y474" s="1">
        <v>620</v>
      </c>
      <c r="Z474" s="1">
        <v>27</v>
      </c>
      <c r="AA474" s="1">
        <v>806</v>
      </c>
      <c r="AB474" s="1">
        <v>0</v>
      </c>
      <c r="AC474" s="1">
        <v>2</v>
      </c>
      <c r="AD474" s="1" t="s">
        <v>215</v>
      </c>
      <c r="AE474" s="1" t="s">
        <v>5635</v>
      </c>
      <c r="AF474" s="1" t="s">
        <v>5636</v>
      </c>
      <c r="AG474" s="1" t="s">
        <v>5637</v>
      </c>
      <c r="AH474" s="1" t="s">
        <v>5638</v>
      </c>
      <c r="AI474" s="1">
        <v>4.7</v>
      </c>
      <c r="AJ474" s="1">
        <v>1261</v>
      </c>
      <c r="AK474" s="1">
        <v>3264</v>
      </c>
      <c r="AL474" s="1">
        <v>232</v>
      </c>
    </row>
    <row r="475" spans="1:38" ht="15.75" customHeight="1">
      <c r="A475" s="1">
        <v>360</v>
      </c>
      <c r="C475" s="1">
        <v>4050</v>
      </c>
      <c r="D475" s="1" t="s">
        <v>38</v>
      </c>
      <c r="E475" s="1" t="s">
        <v>39</v>
      </c>
      <c r="F475" s="1" t="s">
        <v>510</v>
      </c>
      <c r="G475" s="1">
        <v>0</v>
      </c>
      <c r="H475" s="1" t="s">
        <v>41</v>
      </c>
      <c r="I475" s="1" t="s">
        <v>5639</v>
      </c>
      <c r="J475" s="1" t="s">
        <v>5640</v>
      </c>
      <c r="K475" s="1" t="s">
        <v>5641</v>
      </c>
      <c r="L475" s="1">
        <v>1</v>
      </c>
      <c r="M475" s="1">
        <v>0</v>
      </c>
      <c r="N475" s="1" t="s">
        <v>5642</v>
      </c>
      <c r="O475" s="1" t="s">
        <v>5643</v>
      </c>
      <c r="P475" s="1" t="s">
        <v>5644</v>
      </c>
      <c r="Q475" s="1">
        <v>0</v>
      </c>
      <c r="R475" s="1" t="s">
        <v>5645</v>
      </c>
      <c r="S475" s="1" t="s">
        <v>5646</v>
      </c>
      <c r="U475" s="2">
        <v>56768</v>
      </c>
      <c r="V475" s="1">
        <v>4.5</v>
      </c>
      <c r="W475" s="1">
        <v>2500</v>
      </c>
      <c r="X475" s="1">
        <v>2267</v>
      </c>
      <c r="Y475" s="1">
        <v>850</v>
      </c>
      <c r="Z475" s="1">
        <v>912</v>
      </c>
      <c r="AA475" s="1">
        <v>505</v>
      </c>
      <c r="AB475" s="1">
        <v>0</v>
      </c>
      <c r="AC475" s="1">
        <v>1</v>
      </c>
      <c r="AD475" s="1" t="s">
        <v>215</v>
      </c>
      <c r="AE475" s="1" t="s">
        <v>5647</v>
      </c>
      <c r="AF475" s="1" t="s">
        <v>5648</v>
      </c>
      <c r="AG475" s="1" t="s">
        <v>5649</v>
      </c>
      <c r="AH475" s="1" t="s">
        <v>5650</v>
      </c>
      <c r="AI475" s="1">
        <v>4.62</v>
      </c>
      <c r="AJ475" s="1">
        <v>259</v>
      </c>
      <c r="AK475" s="1">
        <v>604</v>
      </c>
      <c r="AL475" s="1">
        <v>21</v>
      </c>
    </row>
    <row r="476" spans="1:38" ht="15.75" customHeight="1">
      <c r="A476" s="1">
        <v>495</v>
      </c>
      <c r="B476" s="1">
        <v>5</v>
      </c>
      <c r="C476" s="1">
        <v>4001</v>
      </c>
      <c r="D476" s="1" t="s">
        <v>51</v>
      </c>
      <c r="E476" s="1" t="s">
        <v>39</v>
      </c>
      <c r="F476" s="1" t="s">
        <v>232</v>
      </c>
      <c r="G476" s="1">
        <v>0</v>
      </c>
      <c r="H476" s="1" t="s">
        <v>53</v>
      </c>
      <c r="I476" s="1" t="s">
        <v>5651</v>
      </c>
      <c r="J476" s="1" t="s">
        <v>5652</v>
      </c>
      <c r="K476" s="1" t="s">
        <v>5653</v>
      </c>
      <c r="L476" s="1">
        <v>1</v>
      </c>
      <c r="M476" s="1">
        <v>0</v>
      </c>
      <c r="N476" s="1" t="s">
        <v>5654</v>
      </c>
      <c r="O476" s="1" t="s">
        <v>5655</v>
      </c>
      <c r="P476" s="1" t="s">
        <v>5656</v>
      </c>
      <c r="Q476" s="1">
        <v>0</v>
      </c>
      <c r="R476" s="1" t="s">
        <v>5657</v>
      </c>
      <c r="S476" s="1" t="s">
        <v>5658</v>
      </c>
      <c r="U476" s="2">
        <v>56769</v>
      </c>
      <c r="V476" s="1">
        <v>3.7188028960000001</v>
      </c>
      <c r="W476" s="1">
        <v>2500</v>
      </c>
      <c r="X476" s="1">
        <v>2722</v>
      </c>
      <c r="Y476" s="1">
        <v>2082</v>
      </c>
      <c r="AA476" s="1">
        <v>749</v>
      </c>
      <c r="AB476" s="1">
        <v>0</v>
      </c>
      <c r="AC476" s="1">
        <v>3</v>
      </c>
      <c r="AD476" s="1" t="s">
        <v>76</v>
      </c>
      <c r="AE476" s="1" t="s">
        <v>5659</v>
      </c>
      <c r="AF476" s="1" t="s">
        <v>5660</v>
      </c>
      <c r="AG476" s="1" t="s">
        <v>5661</v>
      </c>
      <c r="AH476" s="1" t="s">
        <v>5662</v>
      </c>
      <c r="AI476" s="1">
        <v>4.5599999999999996</v>
      </c>
      <c r="AJ476" s="1">
        <v>765</v>
      </c>
      <c r="AK476" s="1">
        <v>2618</v>
      </c>
    </row>
    <row r="477" spans="1:38" ht="15.75" customHeight="1">
      <c r="A477" s="1">
        <v>537</v>
      </c>
      <c r="B477" s="1">
        <v>5</v>
      </c>
      <c r="C477" s="1">
        <v>4001</v>
      </c>
      <c r="D477" s="1" t="s">
        <v>51</v>
      </c>
      <c r="E477" s="1" t="s">
        <v>39</v>
      </c>
      <c r="F477" s="1" t="s">
        <v>67</v>
      </c>
      <c r="G477" s="1">
        <v>0</v>
      </c>
      <c r="H477" s="1" t="s">
        <v>41</v>
      </c>
      <c r="I477" s="1" t="s">
        <v>5663</v>
      </c>
      <c r="J477" s="1" t="s">
        <v>5664</v>
      </c>
      <c r="K477" s="1" t="s">
        <v>5665</v>
      </c>
      <c r="L477" s="1">
        <v>1</v>
      </c>
      <c r="M477" s="1">
        <v>0</v>
      </c>
      <c r="N477" s="1" t="s">
        <v>5666</v>
      </c>
      <c r="O477" s="1" t="s">
        <v>5667</v>
      </c>
      <c r="P477" s="1" t="s">
        <v>5668</v>
      </c>
      <c r="Q477" s="1">
        <v>0</v>
      </c>
      <c r="R477" s="1" t="s">
        <v>5669</v>
      </c>
      <c r="S477" s="1" t="s">
        <v>5670</v>
      </c>
      <c r="U477" s="2">
        <v>56770</v>
      </c>
      <c r="V477" s="1">
        <v>4.0047946650000004</v>
      </c>
      <c r="W477" s="1">
        <v>2500</v>
      </c>
      <c r="X477" s="1">
        <v>1492</v>
      </c>
      <c r="Y477" s="1">
        <v>436</v>
      </c>
      <c r="Z477" s="1">
        <v>370</v>
      </c>
      <c r="AA477" s="1">
        <v>686</v>
      </c>
      <c r="AB477" s="1">
        <v>0</v>
      </c>
      <c r="AC477" s="1">
        <v>3</v>
      </c>
      <c r="AD477" s="1" t="s">
        <v>215</v>
      </c>
      <c r="AE477" s="1" t="s">
        <v>5671</v>
      </c>
      <c r="AF477" s="1" t="s">
        <v>5672</v>
      </c>
      <c r="AG477" s="1" t="s">
        <v>5673</v>
      </c>
      <c r="AH477" s="1" t="s">
        <v>5674</v>
      </c>
      <c r="AI477" s="1">
        <v>3.82</v>
      </c>
      <c r="AJ477" s="1">
        <v>174</v>
      </c>
      <c r="AK477" s="1">
        <v>773</v>
      </c>
    </row>
    <row r="478" spans="1:38" ht="15.75" customHeight="1">
      <c r="A478" s="1">
        <v>781</v>
      </c>
      <c r="B478" s="1">
        <v>5</v>
      </c>
      <c r="C478" s="1">
        <v>4050</v>
      </c>
      <c r="D478" s="1" t="s">
        <v>38</v>
      </c>
      <c r="E478" s="1" t="s">
        <v>39</v>
      </c>
      <c r="F478" s="1" t="s">
        <v>5675</v>
      </c>
      <c r="G478" s="1">
        <v>0</v>
      </c>
      <c r="H478" s="1" t="s">
        <v>41</v>
      </c>
      <c r="I478" s="1" t="s">
        <v>5676</v>
      </c>
      <c r="J478" s="1" t="s">
        <v>5677</v>
      </c>
      <c r="K478" s="1" t="s">
        <v>5678</v>
      </c>
      <c r="L478" s="1">
        <v>1</v>
      </c>
      <c r="M478" s="1">
        <v>0</v>
      </c>
      <c r="N478" s="1" t="s">
        <v>5679</v>
      </c>
      <c r="O478" s="1" t="s">
        <v>5680</v>
      </c>
      <c r="P478" s="1" t="s">
        <v>5681</v>
      </c>
      <c r="Q478" s="1">
        <v>0</v>
      </c>
      <c r="R478" s="1" t="s">
        <v>5682</v>
      </c>
      <c r="S478" s="1" t="s">
        <v>5683</v>
      </c>
      <c r="U478" s="2">
        <v>56771</v>
      </c>
      <c r="V478" s="1">
        <v>3.5995547229999998</v>
      </c>
      <c r="W478" s="1">
        <v>2500</v>
      </c>
      <c r="X478" s="1">
        <v>1740</v>
      </c>
      <c r="Y478" s="1">
        <v>713</v>
      </c>
      <c r="Z478" s="1">
        <v>315</v>
      </c>
      <c r="AA478" s="1">
        <v>712</v>
      </c>
      <c r="AB478" s="1">
        <v>0</v>
      </c>
      <c r="AC478" s="1">
        <v>3</v>
      </c>
      <c r="AD478" s="1" t="s">
        <v>215</v>
      </c>
      <c r="AE478" s="1" t="s">
        <v>5684</v>
      </c>
      <c r="AF478" s="1" t="s">
        <v>5685</v>
      </c>
      <c r="AG478" s="1" t="s">
        <v>5686</v>
      </c>
      <c r="AH478" s="1" t="s">
        <v>5687</v>
      </c>
      <c r="AI478" s="1">
        <v>4.79</v>
      </c>
      <c r="AJ478" s="1">
        <v>213</v>
      </c>
      <c r="AK478" s="1">
        <v>611</v>
      </c>
      <c r="AL478" s="1">
        <v>122</v>
      </c>
    </row>
    <row r="479" spans="1:38" ht="15.75" customHeight="1">
      <c r="A479" s="1">
        <v>824</v>
      </c>
      <c r="C479" s="1">
        <v>4001</v>
      </c>
      <c r="D479" s="1" t="s">
        <v>51</v>
      </c>
      <c r="E479" s="1" t="s">
        <v>39</v>
      </c>
      <c r="F479" s="1" t="s">
        <v>67</v>
      </c>
      <c r="G479" s="1">
        <v>0</v>
      </c>
      <c r="H479" s="1" t="s">
        <v>41</v>
      </c>
      <c r="I479" s="1" t="s">
        <v>5688</v>
      </c>
      <c r="J479" s="1" t="s">
        <v>5689</v>
      </c>
      <c r="K479" s="1" t="s">
        <v>5690</v>
      </c>
      <c r="L479" s="1">
        <v>1</v>
      </c>
      <c r="M479" s="1">
        <v>0</v>
      </c>
      <c r="N479" s="1" t="s">
        <v>5691</v>
      </c>
      <c r="O479" s="1" t="s">
        <v>5692</v>
      </c>
      <c r="P479" s="1" t="s">
        <v>5693</v>
      </c>
      <c r="Q479" s="1">
        <v>0</v>
      </c>
      <c r="R479" s="1" t="s">
        <v>5694</v>
      </c>
      <c r="S479" s="1" t="s">
        <v>5695</v>
      </c>
      <c r="U479" s="2">
        <v>56772</v>
      </c>
      <c r="V479" s="1">
        <v>4.5999999999999996</v>
      </c>
      <c r="W479" s="1">
        <v>2500</v>
      </c>
      <c r="X479" s="1">
        <v>2204</v>
      </c>
      <c r="Y479" s="1">
        <v>703</v>
      </c>
      <c r="Z479" s="1">
        <v>715</v>
      </c>
      <c r="AA479" s="1">
        <v>786</v>
      </c>
      <c r="AB479" s="1">
        <v>0</v>
      </c>
      <c r="AC479" s="1">
        <v>3</v>
      </c>
      <c r="AD479" s="1" t="s">
        <v>76</v>
      </c>
      <c r="AE479" s="1" t="s">
        <v>5696</v>
      </c>
      <c r="AF479" s="1" t="s">
        <v>5697</v>
      </c>
      <c r="AG479" s="1" t="s">
        <v>5698</v>
      </c>
      <c r="AH479" s="1" t="s">
        <v>5699</v>
      </c>
      <c r="AI479" s="1">
        <v>3.82</v>
      </c>
      <c r="AJ479" s="1">
        <v>174</v>
      </c>
      <c r="AK479" s="1">
        <v>773</v>
      </c>
    </row>
    <row r="480" spans="1:38" ht="15.75" customHeight="1">
      <c r="A480" s="1">
        <v>1280</v>
      </c>
      <c r="B480" s="1">
        <v>5</v>
      </c>
      <c r="C480" s="1">
        <v>4001</v>
      </c>
      <c r="D480" s="1" t="s">
        <v>51</v>
      </c>
      <c r="E480" s="1" t="s">
        <v>39</v>
      </c>
      <c r="F480" s="1" t="s">
        <v>341</v>
      </c>
      <c r="G480" s="1">
        <v>0</v>
      </c>
      <c r="H480" s="1" t="s">
        <v>41</v>
      </c>
      <c r="I480" s="1" t="s">
        <v>5700</v>
      </c>
      <c r="J480" s="1" t="s">
        <v>5701</v>
      </c>
      <c r="K480" s="1" t="s">
        <v>5702</v>
      </c>
      <c r="L480" s="1">
        <v>1</v>
      </c>
      <c r="M480" s="1">
        <v>0</v>
      </c>
      <c r="N480" s="1" t="s">
        <v>5703</v>
      </c>
      <c r="O480" s="1" t="s">
        <v>5704</v>
      </c>
      <c r="P480" s="1" t="s">
        <v>5705</v>
      </c>
      <c r="Q480" s="1">
        <v>0</v>
      </c>
      <c r="R480" s="1" t="s">
        <v>5706</v>
      </c>
      <c r="S480" s="1" t="s">
        <v>5707</v>
      </c>
      <c r="U480" s="2">
        <v>56776</v>
      </c>
      <c r="V480" s="1">
        <v>4.5</v>
      </c>
      <c r="W480" s="1">
        <v>2500</v>
      </c>
      <c r="X480" s="1">
        <v>1838</v>
      </c>
      <c r="Y480" s="1">
        <v>870</v>
      </c>
      <c r="Z480" s="1">
        <v>313</v>
      </c>
      <c r="AA480" s="1">
        <v>655</v>
      </c>
      <c r="AB480" s="1">
        <v>0</v>
      </c>
      <c r="AC480" s="1">
        <v>2</v>
      </c>
      <c r="AD480" s="1" t="s">
        <v>76</v>
      </c>
      <c r="AE480" s="1" t="s">
        <v>5708</v>
      </c>
      <c r="AF480" s="1" t="s">
        <v>5709</v>
      </c>
      <c r="AG480" s="1" t="s">
        <v>5710</v>
      </c>
      <c r="AH480" s="1" t="s">
        <v>5711</v>
      </c>
      <c r="AI480" s="1">
        <v>4.54</v>
      </c>
      <c r="AJ480" s="1">
        <v>2229</v>
      </c>
      <c r="AK480" s="1">
        <v>6580</v>
      </c>
    </row>
    <row r="481" spans="1:38" ht="15.75" customHeight="1">
      <c r="A481" s="1">
        <v>1372</v>
      </c>
      <c r="C481" s="1">
        <v>4001</v>
      </c>
      <c r="D481" s="1" t="s">
        <v>51</v>
      </c>
      <c r="E481" s="1" t="s">
        <v>39</v>
      </c>
      <c r="F481" s="1" t="s">
        <v>414</v>
      </c>
      <c r="G481" s="1">
        <v>0</v>
      </c>
      <c r="H481" s="1" t="s">
        <v>53</v>
      </c>
      <c r="I481" s="1" t="s">
        <v>5712</v>
      </c>
      <c r="J481" s="1" t="s">
        <v>5713</v>
      </c>
      <c r="K481" s="1" t="s">
        <v>5714</v>
      </c>
      <c r="L481" s="1">
        <v>1</v>
      </c>
      <c r="M481" s="1">
        <v>0</v>
      </c>
      <c r="N481" s="1" t="s">
        <v>5715</v>
      </c>
      <c r="O481" s="1" t="s">
        <v>5716</v>
      </c>
      <c r="P481" s="1" t="s">
        <v>5717</v>
      </c>
      <c r="Q481" s="1">
        <v>0</v>
      </c>
      <c r="R481" s="1" t="s">
        <v>5718</v>
      </c>
      <c r="S481" s="1" t="s">
        <v>5719</v>
      </c>
      <c r="U481" s="2">
        <v>56776</v>
      </c>
      <c r="V481" s="1">
        <v>4.5</v>
      </c>
      <c r="W481" s="1">
        <v>2500</v>
      </c>
      <c r="X481" s="1">
        <v>1211</v>
      </c>
      <c r="Y481" s="1">
        <v>537</v>
      </c>
      <c r="Z481" s="1">
        <v>144</v>
      </c>
      <c r="AA481" s="1">
        <v>530</v>
      </c>
      <c r="AB481" s="1">
        <v>0</v>
      </c>
      <c r="AC481" s="1">
        <v>4</v>
      </c>
      <c r="AD481" s="1" t="s">
        <v>215</v>
      </c>
      <c r="AE481" s="1" t="s">
        <v>5720</v>
      </c>
      <c r="AF481" s="1" t="s">
        <v>5721</v>
      </c>
      <c r="AG481" s="1" t="s">
        <v>5722</v>
      </c>
      <c r="AH481" s="1" t="s">
        <v>5723</v>
      </c>
      <c r="AI481" s="1">
        <v>4.58</v>
      </c>
      <c r="AJ481" s="1">
        <v>254</v>
      </c>
      <c r="AK481" s="1">
        <v>788</v>
      </c>
      <c r="AL481" s="1">
        <v>9</v>
      </c>
    </row>
    <row r="482" spans="1:38" ht="15.75" customHeight="1">
      <c r="A482" s="1">
        <v>934</v>
      </c>
      <c r="C482" s="1">
        <v>4050</v>
      </c>
      <c r="D482" s="1" t="s">
        <v>38</v>
      </c>
      <c r="E482" s="1" t="s">
        <v>39</v>
      </c>
      <c r="F482" s="1" t="s">
        <v>280</v>
      </c>
      <c r="G482" s="1">
        <v>0</v>
      </c>
      <c r="H482" s="1" t="s">
        <v>41</v>
      </c>
      <c r="I482" s="1" t="s">
        <v>5724</v>
      </c>
      <c r="J482" s="1" t="s">
        <v>5725</v>
      </c>
      <c r="K482" s="1" t="s">
        <v>5726</v>
      </c>
      <c r="L482" s="1">
        <v>1</v>
      </c>
      <c r="M482" s="1">
        <v>0</v>
      </c>
      <c r="N482" s="1" t="s">
        <v>5727</v>
      </c>
      <c r="O482" s="1" t="s">
        <v>5728</v>
      </c>
      <c r="P482" s="1" t="s">
        <v>5729</v>
      </c>
      <c r="Q482" s="1">
        <v>0</v>
      </c>
      <c r="R482" s="1" t="s">
        <v>5730</v>
      </c>
      <c r="S482" s="1" t="s">
        <v>5731</v>
      </c>
      <c r="U482" s="2">
        <v>56773</v>
      </c>
      <c r="V482" s="1">
        <v>4.5999999999999996</v>
      </c>
      <c r="W482" s="1">
        <v>2500</v>
      </c>
      <c r="X482" s="1">
        <v>1547</v>
      </c>
      <c r="Y482" s="1">
        <v>604</v>
      </c>
      <c r="Z482" s="1">
        <v>70</v>
      </c>
      <c r="AA482" s="1">
        <v>873</v>
      </c>
      <c r="AB482" s="1">
        <v>0</v>
      </c>
      <c r="AC482" s="1">
        <v>4</v>
      </c>
      <c r="AD482" s="1" t="s">
        <v>215</v>
      </c>
      <c r="AE482" s="1" t="s">
        <v>5732</v>
      </c>
      <c r="AF482" s="1" t="s">
        <v>5733</v>
      </c>
      <c r="AG482" s="1" t="s">
        <v>5734</v>
      </c>
      <c r="AH482" s="1" t="s">
        <v>5735</v>
      </c>
      <c r="AI482" s="1">
        <v>4.49</v>
      </c>
      <c r="AJ482" s="1">
        <v>2315</v>
      </c>
      <c r="AK482" s="1">
        <v>7039</v>
      </c>
      <c r="AL482" s="1">
        <v>763</v>
      </c>
    </row>
    <row r="483" spans="1:38" ht="15.75" customHeight="1">
      <c r="A483" s="1">
        <v>544</v>
      </c>
      <c r="C483" s="1">
        <v>4001</v>
      </c>
      <c r="D483" s="1" t="s">
        <v>51</v>
      </c>
      <c r="E483" s="1" t="s">
        <v>39</v>
      </c>
      <c r="F483" s="1" t="s">
        <v>341</v>
      </c>
      <c r="G483" s="1">
        <v>0</v>
      </c>
      <c r="H483" s="1" t="s">
        <v>41</v>
      </c>
      <c r="I483" s="1" t="s">
        <v>5736</v>
      </c>
      <c r="J483" s="1" t="s">
        <v>5737</v>
      </c>
      <c r="K483" s="1" t="s">
        <v>5737</v>
      </c>
      <c r="L483" s="1">
        <v>0</v>
      </c>
      <c r="M483" s="1">
        <v>0</v>
      </c>
      <c r="N483" s="1" t="s">
        <v>5738</v>
      </c>
      <c r="O483" s="1" t="s">
        <v>5739</v>
      </c>
      <c r="P483" s="1" t="s">
        <v>5740</v>
      </c>
      <c r="Q483" s="1">
        <v>0</v>
      </c>
      <c r="R483" s="1" t="s">
        <v>5741</v>
      </c>
      <c r="S483" s="1" t="s">
        <v>5742</v>
      </c>
      <c r="U483" s="2">
        <v>56770</v>
      </c>
      <c r="V483" s="1">
        <v>3.0400971299999999</v>
      </c>
      <c r="W483" s="1">
        <v>2500</v>
      </c>
      <c r="X483" s="1">
        <v>1898</v>
      </c>
      <c r="Y483" s="1">
        <v>350</v>
      </c>
      <c r="Z483" s="1">
        <v>899</v>
      </c>
      <c r="AA483" s="1">
        <v>649</v>
      </c>
      <c r="AB483" s="1">
        <v>0</v>
      </c>
      <c r="AC483" s="1">
        <v>3</v>
      </c>
      <c r="AD483" s="1" t="s">
        <v>62</v>
      </c>
      <c r="AE483" s="1" t="s">
        <v>5743</v>
      </c>
      <c r="AF483" s="1" t="s">
        <v>5744</v>
      </c>
      <c r="AG483" s="1" t="s">
        <v>5745</v>
      </c>
      <c r="AH483" s="1" t="s">
        <v>5746</v>
      </c>
      <c r="AI483" s="1">
        <v>4.54</v>
      </c>
      <c r="AJ483" s="1">
        <v>2229</v>
      </c>
      <c r="AK483" s="1">
        <v>6580</v>
      </c>
    </row>
    <row r="484" spans="1:38" ht="15.75" customHeight="1">
      <c r="A484" s="1">
        <v>1142</v>
      </c>
      <c r="B484" s="1">
        <v>5</v>
      </c>
      <c r="C484" s="1">
        <v>4001</v>
      </c>
      <c r="D484" s="1" t="s">
        <v>51</v>
      </c>
      <c r="E484" s="1" t="s">
        <v>39</v>
      </c>
      <c r="F484" s="1" t="s">
        <v>341</v>
      </c>
      <c r="G484" s="1">
        <v>0</v>
      </c>
      <c r="H484" s="1" t="s">
        <v>41</v>
      </c>
      <c r="I484" s="1" t="s">
        <v>5747</v>
      </c>
      <c r="J484" s="1" t="s">
        <v>5748</v>
      </c>
      <c r="K484" s="1" t="s">
        <v>5749</v>
      </c>
      <c r="L484" s="1">
        <v>1</v>
      </c>
      <c r="M484" s="1">
        <v>0</v>
      </c>
      <c r="N484" s="1" t="s">
        <v>5750</v>
      </c>
      <c r="O484" s="1" t="s">
        <v>5751</v>
      </c>
      <c r="P484" s="1" t="s">
        <v>5752</v>
      </c>
      <c r="Q484" s="1">
        <v>0</v>
      </c>
      <c r="R484" s="1" t="s">
        <v>5753</v>
      </c>
      <c r="S484" s="1" t="s">
        <v>5754</v>
      </c>
      <c r="U484" s="2">
        <v>56775</v>
      </c>
      <c r="V484" s="1">
        <v>4.5</v>
      </c>
      <c r="W484" s="1">
        <v>2500</v>
      </c>
      <c r="X484" s="1">
        <v>1686</v>
      </c>
      <c r="Y484" s="1">
        <v>378</v>
      </c>
      <c r="Z484" s="1">
        <v>683</v>
      </c>
      <c r="AA484" s="1">
        <v>625</v>
      </c>
      <c r="AB484" s="1">
        <v>0</v>
      </c>
      <c r="AC484" s="1">
        <v>3</v>
      </c>
      <c r="AD484" s="1" t="s">
        <v>215</v>
      </c>
      <c r="AE484" s="1" t="s">
        <v>5755</v>
      </c>
      <c r="AF484" s="1" t="s">
        <v>5756</v>
      </c>
      <c r="AG484" s="1" t="s">
        <v>5757</v>
      </c>
      <c r="AH484" s="1" t="s">
        <v>5758</v>
      </c>
      <c r="AI484" s="1">
        <v>4.54</v>
      </c>
      <c r="AJ484" s="1">
        <v>2229</v>
      </c>
      <c r="AK484" s="1">
        <v>6580</v>
      </c>
    </row>
    <row r="485" spans="1:38" ht="15.75" customHeight="1">
      <c r="A485" s="1">
        <v>71</v>
      </c>
      <c r="B485" s="1">
        <v>3</v>
      </c>
      <c r="C485" s="1">
        <v>4050</v>
      </c>
      <c r="D485" s="1" t="s">
        <v>38</v>
      </c>
      <c r="E485" s="1" t="s">
        <v>39</v>
      </c>
      <c r="F485" s="1" t="s">
        <v>220</v>
      </c>
      <c r="G485" s="1">
        <v>0</v>
      </c>
      <c r="H485" s="1" t="s">
        <v>41</v>
      </c>
      <c r="I485" s="1" t="s">
        <v>5759</v>
      </c>
      <c r="J485" s="1" t="s">
        <v>5760</v>
      </c>
      <c r="K485" s="1" t="s">
        <v>5761</v>
      </c>
      <c r="L485" s="1">
        <v>1</v>
      </c>
      <c r="M485" s="1">
        <v>0</v>
      </c>
      <c r="N485" s="1" t="s">
        <v>5762</v>
      </c>
      <c r="O485" s="1" t="s">
        <v>5763</v>
      </c>
      <c r="P485" s="1" t="s">
        <v>5764</v>
      </c>
      <c r="Q485" s="1">
        <v>0</v>
      </c>
      <c r="R485" s="1" t="s">
        <v>5765</v>
      </c>
      <c r="S485" s="1" t="s">
        <v>5766</v>
      </c>
      <c r="U485" s="2">
        <v>56766</v>
      </c>
      <c r="V485" s="1">
        <v>4.5</v>
      </c>
      <c r="W485" s="1">
        <v>2500</v>
      </c>
      <c r="X485" s="1">
        <v>2921</v>
      </c>
      <c r="Y485" s="1">
        <v>1061</v>
      </c>
      <c r="Z485" s="1">
        <v>122</v>
      </c>
      <c r="AA485" s="1">
        <v>1738</v>
      </c>
      <c r="AB485" s="1">
        <v>0</v>
      </c>
      <c r="AC485" s="1">
        <v>3</v>
      </c>
      <c r="AD485" s="1" t="s">
        <v>76</v>
      </c>
      <c r="AE485" s="1" t="s">
        <v>5767</v>
      </c>
      <c r="AF485" s="1" t="s">
        <v>5768</v>
      </c>
      <c r="AG485" s="1" t="s">
        <v>5769</v>
      </c>
      <c r="AH485" s="1" t="s">
        <v>5770</v>
      </c>
      <c r="AI485" s="1">
        <v>4.42</v>
      </c>
      <c r="AJ485" s="1">
        <v>1396</v>
      </c>
      <c r="AK485" s="1">
        <v>4836</v>
      </c>
      <c r="AL485" s="1">
        <v>1278</v>
      </c>
    </row>
    <row r="486" spans="1:38" ht="15.75" customHeight="1">
      <c r="A486" s="1">
        <v>372</v>
      </c>
      <c r="B486" s="1">
        <v>5</v>
      </c>
      <c r="C486" s="1">
        <v>4050</v>
      </c>
      <c r="D486" s="1" t="s">
        <v>38</v>
      </c>
      <c r="E486" s="1" t="s">
        <v>39</v>
      </c>
      <c r="F486" s="1" t="s">
        <v>40</v>
      </c>
      <c r="G486" s="1">
        <v>0</v>
      </c>
      <c r="H486" s="1" t="s">
        <v>41</v>
      </c>
      <c r="I486" s="1" t="s">
        <v>5771</v>
      </c>
      <c r="J486" s="1" t="s">
        <v>5772</v>
      </c>
      <c r="K486" s="1" t="s">
        <v>5773</v>
      </c>
      <c r="L486" s="1">
        <v>1</v>
      </c>
      <c r="M486" s="1">
        <v>0</v>
      </c>
      <c r="N486" s="1" t="s">
        <v>5774</v>
      </c>
      <c r="O486" s="1" t="s">
        <v>5775</v>
      </c>
      <c r="P486" s="1" t="s">
        <v>5776</v>
      </c>
      <c r="Q486" s="1">
        <v>0</v>
      </c>
      <c r="R486" s="1" t="s">
        <v>5777</v>
      </c>
      <c r="U486" s="2">
        <v>56768</v>
      </c>
      <c r="V486" s="1">
        <v>4.4000000000000004</v>
      </c>
      <c r="W486" s="1">
        <v>2500</v>
      </c>
      <c r="X486" s="1">
        <v>2795</v>
      </c>
      <c r="AA486" s="1">
        <v>1615</v>
      </c>
      <c r="AB486" s="1">
        <v>0</v>
      </c>
      <c r="AC486" s="1">
        <v>2</v>
      </c>
      <c r="AE486" s="1" t="s">
        <v>5778</v>
      </c>
      <c r="AF486" s="1" t="s">
        <v>5779</v>
      </c>
      <c r="AG486" s="1" t="s">
        <v>5780</v>
      </c>
      <c r="AI486" s="1">
        <v>4.7</v>
      </c>
      <c r="AJ486" s="1">
        <v>1261</v>
      </c>
      <c r="AK486" s="1">
        <v>3264</v>
      </c>
      <c r="AL486" s="1">
        <v>232</v>
      </c>
    </row>
    <row r="487" spans="1:38" ht="15.75" customHeight="1">
      <c r="A487" s="1">
        <v>695</v>
      </c>
      <c r="C487" s="1">
        <v>4050</v>
      </c>
      <c r="D487" s="1" t="s">
        <v>38</v>
      </c>
      <c r="E487" s="1" t="s">
        <v>39</v>
      </c>
      <c r="F487" s="1" t="s">
        <v>40</v>
      </c>
      <c r="G487" s="1">
        <v>0</v>
      </c>
      <c r="H487" s="1" t="s">
        <v>41</v>
      </c>
      <c r="I487" s="1" t="s">
        <v>5781</v>
      </c>
      <c r="J487" s="1" t="s">
        <v>5782</v>
      </c>
      <c r="K487" s="1" t="s">
        <v>5783</v>
      </c>
      <c r="L487" s="1">
        <v>1</v>
      </c>
      <c r="M487" s="1">
        <v>0</v>
      </c>
      <c r="N487" s="1" t="s">
        <v>5784</v>
      </c>
      <c r="O487" s="1" t="s">
        <v>5785</v>
      </c>
      <c r="P487" s="1" t="s">
        <v>5786</v>
      </c>
      <c r="Q487" s="1">
        <v>0</v>
      </c>
      <c r="R487" s="1" t="s">
        <v>5787</v>
      </c>
      <c r="U487" s="2">
        <v>56770</v>
      </c>
      <c r="V487" s="1">
        <v>3.501498169</v>
      </c>
      <c r="W487" s="1">
        <v>2500</v>
      </c>
      <c r="X487" s="1">
        <v>1640</v>
      </c>
      <c r="AA487" s="1">
        <v>540</v>
      </c>
      <c r="AB487" s="1">
        <v>0</v>
      </c>
      <c r="AC487" s="1">
        <v>2</v>
      </c>
      <c r="AE487" s="1" t="s">
        <v>5788</v>
      </c>
      <c r="AF487" s="1" t="s">
        <v>5789</v>
      </c>
      <c r="AG487" s="1" t="s">
        <v>5790</v>
      </c>
      <c r="AI487" s="1">
        <v>4.7</v>
      </c>
      <c r="AJ487" s="1">
        <v>1261</v>
      </c>
      <c r="AK487" s="1">
        <v>3264</v>
      </c>
      <c r="AL487" s="1">
        <v>232</v>
      </c>
    </row>
    <row r="488" spans="1:38" ht="15.75" customHeight="1">
      <c r="A488" s="1">
        <v>166</v>
      </c>
      <c r="B488" s="1">
        <v>5</v>
      </c>
      <c r="C488" s="1">
        <v>4050</v>
      </c>
      <c r="D488" s="1" t="s">
        <v>38</v>
      </c>
      <c r="E488" s="1" t="s">
        <v>39</v>
      </c>
      <c r="F488" s="1" t="s">
        <v>390</v>
      </c>
      <c r="G488" s="1">
        <v>0</v>
      </c>
      <c r="H488" s="1" t="s">
        <v>41</v>
      </c>
      <c r="I488" s="1" t="s">
        <v>5791</v>
      </c>
      <c r="J488" s="1" t="s">
        <v>962</v>
      </c>
      <c r="K488" s="1" t="s">
        <v>962</v>
      </c>
      <c r="L488" s="1">
        <v>0</v>
      </c>
      <c r="M488" s="1">
        <v>0</v>
      </c>
      <c r="N488" s="1" t="s">
        <v>5792</v>
      </c>
      <c r="O488" s="1" t="s">
        <v>5793</v>
      </c>
      <c r="P488" s="1" t="s">
        <v>5794</v>
      </c>
      <c r="Q488" s="1">
        <v>0</v>
      </c>
      <c r="R488" s="1" t="s">
        <v>5795</v>
      </c>
      <c r="S488" s="1" t="s">
        <v>5796</v>
      </c>
      <c r="U488" s="2">
        <v>56767</v>
      </c>
      <c r="V488" s="1">
        <v>4.5</v>
      </c>
      <c r="W488" s="1">
        <v>2500</v>
      </c>
      <c r="X488" s="1">
        <v>3265</v>
      </c>
      <c r="Y488" s="1">
        <v>1196</v>
      </c>
      <c r="Z488" s="1">
        <v>161</v>
      </c>
      <c r="AA488" s="1">
        <v>1908</v>
      </c>
      <c r="AB488" s="1">
        <v>0</v>
      </c>
      <c r="AC488" s="1">
        <v>2</v>
      </c>
      <c r="AD488" s="1" t="s">
        <v>215</v>
      </c>
      <c r="AE488" s="1" t="s">
        <v>5797</v>
      </c>
      <c r="AF488" s="1" t="s">
        <v>5798</v>
      </c>
      <c r="AG488" s="1" t="s">
        <v>5799</v>
      </c>
      <c r="AH488" s="1" t="s">
        <v>5800</v>
      </c>
      <c r="AI488" s="1">
        <v>4.5599999999999996</v>
      </c>
      <c r="AJ488" s="1">
        <v>344</v>
      </c>
      <c r="AK488" s="1">
        <v>947</v>
      </c>
      <c r="AL488" s="1">
        <v>22</v>
      </c>
    </row>
    <row r="489" spans="1:38" ht="15.75" customHeight="1">
      <c r="A489" s="1">
        <v>769</v>
      </c>
      <c r="C489" s="1">
        <v>4050</v>
      </c>
      <c r="D489" s="1" t="s">
        <v>38</v>
      </c>
      <c r="E489" s="1" t="s">
        <v>39</v>
      </c>
      <c r="F489" s="1" t="s">
        <v>486</v>
      </c>
      <c r="G489" s="1">
        <v>0</v>
      </c>
      <c r="H489" s="1" t="s">
        <v>41</v>
      </c>
      <c r="I489" s="1" t="s">
        <v>5801</v>
      </c>
      <c r="J489" s="1" t="s">
        <v>5802</v>
      </c>
      <c r="K489" s="1" t="s">
        <v>5802</v>
      </c>
      <c r="L489" s="1">
        <v>0</v>
      </c>
      <c r="M489" s="1">
        <v>0</v>
      </c>
      <c r="N489" s="1" t="s">
        <v>5803</v>
      </c>
      <c r="O489" s="1" t="s">
        <v>5804</v>
      </c>
      <c r="P489" s="1" t="s">
        <v>5805</v>
      </c>
      <c r="Q489" s="1">
        <v>0</v>
      </c>
      <c r="R489" s="1" t="s">
        <v>5806</v>
      </c>
      <c r="S489" s="1" t="s">
        <v>5807</v>
      </c>
      <c r="U489" s="2">
        <v>56771</v>
      </c>
      <c r="V489" s="1">
        <v>4.8</v>
      </c>
      <c r="W489" s="1">
        <v>2500</v>
      </c>
      <c r="X489" s="1">
        <v>3622</v>
      </c>
      <c r="Y489" s="1">
        <v>857</v>
      </c>
      <c r="Z489" s="1">
        <v>1991</v>
      </c>
      <c r="AA489" s="1">
        <v>774</v>
      </c>
      <c r="AB489" s="1">
        <v>1</v>
      </c>
      <c r="AC489" s="1">
        <v>3</v>
      </c>
      <c r="AE489" s="1" t="s">
        <v>5808</v>
      </c>
      <c r="AF489" s="1" t="s">
        <v>5809</v>
      </c>
      <c r="AG489" s="1" t="s">
        <v>5810</v>
      </c>
      <c r="AH489" s="1" t="s">
        <v>5811</v>
      </c>
      <c r="AI489" s="1">
        <v>4.7</v>
      </c>
      <c r="AJ489" s="1">
        <v>212</v>
      </c>
      <c r="AK489" s="1">
        <v>624</v>
      </c>
      <c r="AL489" s="1">
        <v>347</v>
      </c>
    </row>
    <row r="490" spans="1:38" ht="15.75" customHeight="1">
      <c r="A490" s="1">
        <v>711</v>
      </c>
      <c r="B490" s="1">
        <v>4</v>
      </c>
      <c r="C490" s="1">
        <v>4050</v>
      </c>
      <c r="D490" s="1" t="s">
        <v>38</v>
      </c>
      <c r="E490" s="1" t="s">
        <v>39</v>
      </c>
      <c r="F490" s="1" t="s">
        <v>532</v>
      </c>
      <c r="G490" s="1">
        <v>0</v>
      </c>
      <c r="H490" s="1" t="s">
        <v>41</v>
      </c>
      <c r="I490" s="1" t="s">
        <v>5812</v>
      </c>
      <c r="J490" s="1" t="s">
        <v>5813</v>
      </c>
      <c r="K490" s="1" t="s">
        <v>5814</v>
      </c>
      <c r="L490" s="1">
        <v>1</v>
      </c>
      <c r="M490" s="1">
        <v>0</v>
      </c>
      <c r="N490" s="1" t="s">
        <v>5815</v>
      </c>
      <c r="O490" s="1" t="s">
        <v>5816</v>
      </c>
      <c r="P490" s="1" t="s">
        <v>5817</v>
      </c>
      <c r="Q490" s="1">
        <v>0</v>
      </c>
      <c r="R490" s="1" t="s">
        <v>5818</v>
      </c>
      <c r="S490" s="1" t="s">
        <v>5819</v>
      </c>
      <c r="U490" s="2">
        <v>56770</v>
      </c>
      <c r="V490" s="1">
        <v>2.8149257890000001</v>
      </c>
      <c r="W490" s="1">
        <v>2500</v>
      </c>
      <c r="X490" s="1">
        <v>2080</v>
      </c>
      <c r="Y490" s="1">
        <v>613</v>
      </c>
      <c r="Z490" s="1">
        <v>1398</v>
      </c>
      <c r="AA490" s="1">
        <v>69</v>
      </c>
      <c r="AB490" s="1">
        <v>0</v>
      </c>
      <c r="AC490" s="1">
        <v>3</v>
      </c>
      <c r="AD490" s="1" t="s">
        <v>62</v>
      </c>
      <c r="AE490" s="1" t="s">
        <v>5820</v>
      </c>
      <c r="AF490" s="1" t="s">
        <v>5821</v>
      </c>
      <c r="AG490" s="1" t="s">
        <v>5822</v>
      </c>
      <c r="AH490" s="1" t="s">
        <v>5823</v>
      </c>
      <c r="AI490" s="1">
        <v>4.63</v>
      </c>
      <c r="AJ490" s="1">
        <v>241</v>
      </c>
      <c r="AK490" s="1">
        <v>995</v>
      </c>
      <c r="AL490" s="1">
        <v>626</v>
      </c>
    </row>
    <row r="491" spans="1:38" ht="15.75" customHeight="1">
      <c r="A491" s="1">
        <v>276</v>
      </c>
      <c r="B491" s="1">
        <v>4</v>
      </c>
      <c r="C491" s="1">
        <v>4050</v>
      </c>
      <c r="D491" s="1" t="s">
        <v>38</v>
      </c>
      <c r="E491" s="1" t="s">
        <v>39</v>
      </c>
      <c r="F491" s="1" t="s">
        <v>40</v>
      </c>
      <c r="G491" s="1">
        <v>0</v>
      </c>
      <c r="H491" s="1" t="s">
        <v>41</v>
      </c>
      <c r="I491" s="1" t="s">
        <v>5824</v>
      </c>
      <c r="J491" s="1" t="s">
        <v>5825</v>
      </c>
      <c r="K491" s="1" t="s">
        <v>5826</v>
      </c>
      <c r="L491" s="1">
        <v>1</v>
      </c>
      <c r="M491" s="1">
        <v>0</v>
      </c>
      <c r="N491" s="1" t="s">
        <v>5827</v>
      </c>
      <c r="O491" s="1" t="s">
        <v>5828</v>
      </c>
      <c r="P491" s="1" t="s">
        <v>5829</v>
      </c>
      <c r="Q491" s="1">
        <v>0</v>
      </c>
      <c r="R491" s="1" t="s">
        <v>5830</v>
      </c>
      <c r="S491" s="1" t="s">
        <v>5831</v>
      </c>
      <c r="U491" s="2">
        <v>56768</v>
      </c>
      <c r="V491" s="1">
        <v>4.4000000000000004</v>
      </c>
      <c r="W491" s="1">
        <v>2500</v>
      </c>
      <c r="X491" s="1">
        <v>2644</v>
      </c>
      <c r="Y491" s="1">
        <v>1043</v>
      </c>
      <c r="Z491" s="1">
        <v>363</v>
      </c>
      <c r="AA491" s="1">
        <v>1238</v>
      </c>
      <c r="AB491" s="1">
        <v>0</v>
      </c>
      <c r="AC491" s="1">
        <v>2</v>
      </c>
      <c r="AD491" s="1" t="s">
        <v>76</v>
      </c>
      <c r="AE491" s="1" t="s">
        <v>5832</v>
      </c>
      <c r="AF491" s="1" t="s">
        <v>5833</v>
      </c>
      <c r="AG491" s="1" t="s">
        <v>5834</v>
      </c>
      <c r="AH491" s="1" t="s">
        <v>5835</v>
      </c>
      <c r="AI491" s="1">
        <v>4.7</v>
      </c>
      <c r="AJ491" s="1">
        <v>1261</v>
      </c>
      <c r="AK491" s="1">
        <v>3264</v>
      </c>
      <c r="AL491" s="1">
        <v>232</v>
      </c>
    </row>
    <row r="492" spans="1:38" ht="15.75" customHeight="1">
      <c r="A492" s="1">
        <v>680</v>
      </c>
      <c r="C492" s="1">
        <v>4050</v>
      </c>
      <c r="D492" s="1" t="s">
        <v>38</v>
      </c>
      <c r="E492" s="1" t="s">
        <v>39</v>
      </c>
      <c r="F492" s="1" t="s">
        <v>451</v>
      </c>
      <c r="G492" s="1">
        <v>0</v>
      </c>
      <c r="H492" s="1" t="s">
        <v>41</v>
      </c>
      <c r="I492" s="1" t="s">
        <v>5836</v>
      </c>
      <c r="J492" s="1" t="s">
        <v>5837</v>
      </c>
      <c r="K492" s="1" t="s">
        <v>5838</v>
      </c>
      <c r="L492" s="1">
        <v>1</v>
      </c>
      <c r="M492" s="1">
        <v>0</v>
      </c>
      <c r="N492" s="1" t="s">
        <v>5839</v>
      </c>
      <c r="O492" s="1" t="s">
        <v>5840</v>
      </c>
      <c r="P492" s="1" t="s">
        <v>5841</v>
      </c>
      <c r="Q492" s="1">
        <v>0</v>
      </c>
      <c r="R492" s="1" t="s">
        <v>5842</v>
      </c>
      <c r="S492" s="1" t="s">
        <v>5843</v>
      </c>
      <c r="U492" s="2">
        <v>56770</v>
      </c>
      <c r="V492" s="1">
        <v>4.5</v>
      </c>
      <c r="W492" s="1">
        <v>2500</v>
      </c>
      <c r="X492" s="1">
        <v>1797</v>
      </c>
      <c r="Y492" s="1">
        <v>383</v>
      </c>
      <c r="Z492" s="1">
        <v>929</v>
      </c>
      <c r="AA492" s="1">
        <v>485</v>
      </c>
      <c r="AB492" s="1">
        <v>0</v>
      </c>
      <c r="AC492" s="1">
        <v>6</v>
      </c>
      <c r="AD492" s="1" t="s">
        <v>76</v>
      </c>
      <c r="AE492" s="1" t="s">
        <v>5844</v>
      </c>
      <c r="AF492" s="1" t="s">
        <v>5845</v>
      </c>
      <c r="AG492" s="1" t="s">
        <v>5846</v>
      </c>
      <c r="AH492" s="1" t="s">
        <v>5847</v>
      </c>
      <c r="AI492" s="1">
        <v>4.7</v>
      </c>
      <c r="AJ492" s="1">
        <v>272</v>
      </c>
      <c r="AK492" s="1">
        <v>931</v>
      </c>
      <c r="AL492" s="1">
        <v>144</v>
      </c>
    </row>
    <row r="493" spans="1:38" ht="15.75" customHeight="1">
      <c r="A493" s="1">
        <v>1539</v>
      </c>
      <c r="B493" s="1">
        <v>5</v>
      </c>
      <c r="C493" s="1">
        <v>4001</v>
      </c>
      <c r="D493" s="1" t="s">
        <v>51</v>
      </c>
      <c r="E493" s="1" t="s">
        <v>39</v>
      </c>
      <c r="F493" s="1" t="s">
        <v>414</v>
      </c>
      <c r="G493" s="1">
        <v>0</v>
      </c>
      <c r="H493" s="1" t="s">
        <v>53</v>
      </c>
      <c r="I493" s="1" t="s">
        <v>5848</v>
      </c>
      <c r="J493" s="1" t="s">
        <v>5849</v>
      </c>
      <c r="K493" s="1" t="s">
        <v>5850</v>
      </c>
      <c r="L493" s="1">
        <v>1</v>
      </c>
      <c r="M493" s="1">
        <v>0</v>
      </c>
      <c r="N493" s="1" t="s">
        <v>5851</v>
      </c>
      <c r="O493" s="1" t="s">
        <v>5852</v>
      </c>
      <c r="P493" s="1" t="s">
        <v>5853</v>
      </c>
      <c r="Q493" s="1">
        <v>0</v>
      </c>
      <c r="R493" s="1" t="s">
        <v>5854</v>
      </c>
      <c r="S493" s="1" t="s">
        <v>5855</v>
      </c>
      <c r="U493" s="2">
        <v>56777</v>
      </c>
      <c r="V493" s="1">
        <v>4.4000000000000004</v>
      </c>
      <c r="W493" s="1">
        <v>2500</v>
      </c>
      <c r="X493" s="1">
        <v>1466</v>
      </c>
      <c r="Y493" s="1">
        <v>480</v>
      </c>
      <c r="Z493" s="1">
        <v>496</v>
      </c>
      <c r="AA493" s="1">
        <v>490</v>
      </c>
      <c r="AB493" s="1">
        <v>0</v>
      </c>
      <c r="AC493" s="1">
        <v>8</v>
      </c>
      <c r="AD493" s="1" t="s">
        <v>215</v>
      </c>
      <c r="AE493" s="1" t="s">
        <v>5856</v>
      </c>
      <c r="AF493" s="1" t="s">
        <v>5857</v>
      </c>
      <c r="AG493" s="1" t="s">
        <v>5858</v>
      </c>
      <c r="AH493" s="1" t="s">
        <v>5859</v>
      </c>
      <c r="AI493" s="1">
        <v>4.58</v>
      </c>
      <c r="AJ493" s="1">
        <v>254</v>
      </c>
      <c r="AK493" s="1">
        <v>788</v>
      </c>
      <c r="AL493" s="1">
        <v>9</v>
      </c>
    </row>
    <row r="494" spans="1:38" ht="15.75" customHeight="1">
      <c r="A494" s="1">
        <v>631</v>
      </c>
      <c r="C494" s="1">
        <v>4001</v>
      </c>
      <c r="D494" s="1" t="s">
        <v>51</v>
      </c>
      <c r="E494" s="1" t="s">
        <v>39</v>
      </c>
      <c r="F494" s="1" t="s">
        <v>341</v>
      </c>
      <c r="G494" s="1">
        <v>0</v>
      </c>
      <c r="H494" s="1" t="s">
        <v>41</v>
      </c>
      <c r="I494" s="1" t="s">
        <v>5860</v>
      </c>
      <c r="J494" s="1" t="s">
        <v>5861</v>
      </c>
      <c r="K494" s="1" t="s">
        <v>5862</v>
      </c>
      <c r="L494" s="1">
        <v>1</v>
      </c>
      <c r="M494" s="1">
        <v>0</v>
      </c>
      <c r="N494" s="1" t="s">
        <v>5863</v>
      </c>
      <c r="O494" s="1" t="s">
        <v>5864</v>
      </c>
      <c r="P494" s="1" t="s">
        <v>5865</v>
      </c>
      <c r="Q494" s="1">
        <v>0</v>
      </c>
      <c r="R494" s="1" t="s">
        <v>5866</v>
      </c>
      <c r="S494" s="1" t="s">
        <v>5867</v>
      </c>
      <c r="U494" s="2">
        <v>56770</v>
      </c>
      <c r="V494" s="1">
        <v>4.4000000000000004</v>
      </c>
      <c r="W494" s="1">
        <v>2500</v>
      </c>
      <c r="X494" s="1">
        <v>1119</v>
      </c>
      <c r="Y494" s="1">
        <v>328</v>
      </c>
      <c r="Z494" s="1">
        <v>301</v>
      </c>
      <c r="AA494" s="1">
        <v>490</v>
      </c>
      <c r="AB494" s="1">
        <v>0</v>
      </c>
      <c r="AC494" s="1">
        <v>2</v>
      </c>
      <c r="AD494" s="1" t="s">
        <v>62</v>
      </c>
      <c r="AE494" s="1" t="s">
        <v>5868</v>
      </c>
      <c r="AF494" s="1" t="s">
        <v>5869</v>
      </c>
      <c r="AG494" s="1" t="s">
        <v>5870</v>
      </c>
      <c r="AH494" s="1" t="s">
        <v>5871</v>
      </c>
      <c r="AI494" s="1">
        <v>4.54</v>
      </c>
      <c r="AJ494" s="1">
        <v>2229</v>
      </c>
      <c r="AK494" s="1">
        <v>6580</v>
      </c>
    </row>
    <row r="495" spans="1:38" ht="15.75" customHeight="1">
      <c r="A495" s="1">
        <v>190</v>
      </c>
      <c r="C495" s="1">
        <v>4050</v>
      </c>
      <c r="D495" s="1" t="s">
        <v>38</v>
      </c>
      <c r="E495" s="1" t="s">
        <v>39</v>
      </c>
      <c r="F495" s="1" t="s">
        <v>40</v>
      </c>
      <c r="G495" s="1">
        <v>0</v>
      </c>
      <c r="H495" s="1" t="s">
        <v>41</v>
      </c>
      <c r="I495" s="1" t="s">
        <v>5872</v>
      </c>
      <c r="J495" s="1" t="s">
        <v>5873</v>
      </c>
      <c r="K495" s="1" t="s">
        <v>5874</v>
      </c>
      <c r="L495" s="1">
        <v>1</v>
      </c>
      <c r="M495" s="1">
        <v>0</v>
      </c>
      <c r="N495" s="1" t="s">
        <v>5875</v>
      </c>
      <c r="O495" s="1" t="s">
        <v>5876</v>
      </c>
      <c r="P495" s="1" t="s">
        <v>5877</v>
      </c>
      <c r="Q495" s="1">
        <v>0</v>
      </c>
      <c r="R495" s="1" t="s">
        <v>5878</v>
      </c>
      <c r="U495" s="2">
        <v>56767</v>
      </c>
      <c r="V495" s="1">
        <v>4.5</v>
      </c>
      <c r="W495" s="1">
        <v>2500</v>
      </c>
      <c r="X495" s="1">
        <v>1924</v>
      </c>
      <c r="AA495" s="1">
        <v>718</v>
      </c>
      <c r="AB495" s="1">
        <v>0</v>
      </c>
      <c r="AC495" s="1">
        <v>4</v>
      </c>
      <c r="AE495" s="1" t="s">
        <v>5879</v>
      </c>
      <c r="AF495" s="1" t="s">
        <v>5880</v>
      </c>
      <c r="AG495" s="1" t="s">
        <v>5881</v>
      </c>
      <c r="AI495" s="1">
        <v>4.7</v>
      </c>
      <c r="AJ495" s="1">
        <v>1261</v>
      </c>
      <c r="AK495" s="1">
        <v>3264</v>
      </c>
      <c r="AL495" s="1">
        <v>232</v>
      </c>
    </row>
    <row r="496" spans="1:38" ht="15.75" customHeight="1">
      <c r="A496" s="1">
        <v>112</v>
      </c>
      <c r="C496" s="1">
        <v>4001</v>
      </c>
      <c r="D496" s="1" t="s">
        <v>51</v>
      </c>
      <c r="E496" s="1" t="s">
        <v>39</v>
      </c>
      <c r="F496" s="1" t="s">
        <v>414</v>
      </c>
      <c r="G496" s="1">
        <v>0</v>
      </c>
      <c r="H496" s="1" t="s">
        <v>53</v>
      </c>
      <c r="I496" s="1" t="s">
        <v>5882</v>
      </c>
      <c r="J496" s="1" t="s">
        <v>343</v>
      </c>
      <c r="K496" s="1" t="s">
        <v>343</v>
      </c>
      <c r="L496" s="1">
        <v>0</v>
      </c>
      <c r="M496" s="1">
        <v>0</v>
      </c>
      <c r="N496" s="1" t="s">
        <v>5883</v>
      </c>
      <c r="O496" s="1" t="s">
        <v>5884</v>
      </c>
      <c r="P496" s="1" t="s">
        <v>5885</v>
      </c>
      <c r="Q496" s="1">
        <v>0</v>
      </c>
      <c r="R496" s="1" t="s">
        <v>5886</v>
      </c>
      <c r="U496" s="2">
        <v>56767</v>
      </c>
      <c r="V496" s="1">
        <v>3.9792116329999998</v>
      </c>
      <c r="W496" s="1">
        <v>2500</v>
      </c>
      <c r="X496" s="1">
        <v>2007</v>
      </c>
      <c r="AA496" s="1">
        <v>993</v>
      </c>
      <c r="AB496" s="1">
        <v>0</v>
      </c>
      <c r="AC496" s="1">
        <v>3</v>
      </c>
      <c r="AE496" s="1" t="s">
        <v>5887</v>
      </c>
      <c r="AF496" s="1" t="s">
        <v>5888</v>
      </c>
      <c r="AG496" s="1" t="s">
        <v>5889</v>
      </c>
      <c r="AI496" s="1">
        <v>4.58</v>
      </c>
      <c r="AJ496" s="1">
        <v>254</v>
      </c>
      <c r="AK496" s="1">
        <v>788</v>
      </c>
      <c r="AL496" s="1">
        <v>9</v>
      </c>
    </row>
    <row r="497" spans="1:38" ht="15.75" customHeight="1">
      <c r="A497" s="1">
        <v>653</v>
      </c>
      <c r="C497" s="1">
        <v>4001</v>
      </c>
      <c r="D497" s="1" t="s">
        <v>51</v>
      </c>
      <c r="E497" s="1" t="s">
        <v>39</v>
      </c>
      <c r="F497" s="1" t="s">
        <v>648</v>
      </c>
      <c r="G497" s="1">
        <v>0</v>
      </c>
      <c r="H497" s="1" t="s">
        <v>53</v>
      </c>
      <c r="I497" s="1" t="s">
        <v>5890</v>
      </c>
      <c r="J497" s="1" t="s">
        <v>5891</v>
      </c>
      <c r="K497" s="1" t="s">
        <v>5892</v>
      </c>
      <c r="L497" s="1">
        <v>1</v>
      </c>
      <c r="M497" s="1">
        <v>0</v>
      </c>
      <c r="N497" s="1" t="s">
        <v>5893</v>
      </c>
      <c r="O497" s="1" t="s">
        <v>5894</v>
      </c>
      <c r="P497" s="1" t="s">
        <v>5895</v>
      </c>
      <c r="Q497" s="1">
        <v>0</v>
      </c>
      <c r="R497" s="1" t="s">
        <v>5896</v>
      </c>
      <c r="S497" s="1" t="s">
        <v>5897</v>
      </c>
      <c r="U497" s="2">
        <v>56770</v>
      </c>
      <c r="V497" s="1">
        <v>3.3645375990000002</v>
      </c>
      <c r="W497" s="1">
        <v>2500</v>
      </c>
      <c r="X497" s="1">
        <v>2113</v>
      </c>
      <c r="Y497" s="1">
        <v>601</v>
      </c>
      <c r="Z497" s="1">
        <v>579</v>
      </c>
      <c r="AA497" s="1">
        <v>933</v>
      </c>
      <c r="AB497" s="1">
        <v>0</v>
      </c>
      <c r="AC497" s="1">
        <v>2</v>
      </c>
      <c r="AD497" s="1" t="s">
        <v>215</v>
      </c>
      <c r="AE497" s="1" t="s">
        <v>5898</v>
      </c>
      <c r="AF497" s="1" t="s">
        <v>5899</v>
      </c>
      <c r="AG497" s="1" t="s">
        <v>5900</v>
      </c>
      <c r="AH497" s="1" t="s">
        <v>5901</v>
      </c>
      <c r="AI497" s="1">
        <v>4.7</v>
      </c>
      <c r="AJ497" s="1">
        <v>443</v>
      </c>
      <c r="AK497" s="1">
        <v>1579</v>
      </c>
    </row>
    <row r="498" spans="1:38" ht="15.75" customHeight="1">
      <c r="A498" s="1">
        <v>586</v>
      </c>
      <c r="C498" s="1">
        <v>4050</v>
      </c>
      <c r="D498" s="1" t="s">
        <v>38</v>
      </c>
      <c r="E498" s="1" t="s">
        <v>39</v>
      </c>
      <c r="F498" s="1" t="s">
        <v>1348</v>
      </c>
      <c r="G498" s="1">
        <v>0</v>
      </c>
      <c r="H498" s="1" t="s">
        <v>41</v>
      </c>
      <c r="I498" s="1" t="s">
        <v>5902</v>
      </c>
      <c r="J498" s="1" t="s">
        <v>5903</v>
      </c>
      <c r="K498" s="1" t="s">
        <v>5904</v>
      </c>
      <c r="L498" s="1">
        <v>1</v>
      </c>
      <c r="M498" s="1">
        <v>0</v>
      </c>
      <c r="N498" s="1" t="s">
        <v>5905</v>
      </c>
      <c r="O498" s="1" t="s">
        <v>5906</v>
      </c>
      <c r="P498" s="1" t="s">
        <v>5907</v>
      </c>
      <c r="Q498" s="1">
        <v>0</v>
      </c>
      <c r="R498" s="1" t="s">
        <v>5908</v>
      </c>
      <c r="S498" s="1" t="s">
        <v>5909</v>
      </c>
      <c r="U498" s="2">
        <v>56770</v>
      </c>
      <c r="V498" s="1">
        <v>4.7</v>
      </c>
      <c r="W498" s="1">
        <v>2500</v>
      </c>
      <c r="X498" s="1">
        <v>1511</v>
      </c>
      <c r="Y498" s="1">
        <v>832</v>
      </c>
      <c r="Z498" s="1">
        <v>157</v>
      </c>
      <c r="AA498" s="1">
        <v>522</v>
      </c>
      <c r="AB498" s="1">
        <v>0</v>
      </c>
      <c r="AC498" s="1">
        <v>3</v>
      </c>
      <c r="AD498" s="1" t="s">
        <v>76</v>
      </c>
      <c r="AE498" s="1" t="s">
        <v>5910</v>
      </c>
      <c r="AF498" s="1" t="s">
        <v>5911</v>
      </c>
      <c r="AG498" s="1" t="s">
        <v>5912</v>
      </c>
      <c r="AH498" s="1" t="s">
        <v>5913</v>
      </c>
      <c r="AI498" s="1">
        <v>4.79</v>
      </c>
      <c r="AJ498" s="1">
        <v>1007</v>
      </c>
      <c r="AK498" s="1">
        <v>2899</v>
      </c>
      <c r="AL498" s="1">
        <v>1301</v>
      </c>
    </row>
    <row r="499" spans="1:38" ht="15.75" customHeight="1">
      <c r="A499" s="1">
        <v>703</v>
      </c>
      <c r="C499" s="1">
        <v>4050</v>
      </c>
      <c r="D499" s="1" t="s">
        <v>38</v>
      </c>
      <c r="E499" s="1" t="s">
        <v>39</v>
      </c>
      <c r="F499" s="1" t="s">
        <v>1348</v>
      </c>
      <c r="G499" s="1">
        <v>0</v>
      </c>
      <c r="H499" s="1" t="s">
        <v>41</v>
      </c>
      <c r="I499" s="1" t="s">
        <v>5914</v>
      </c>
      <c r="J499" s="1" t="s">
        <v>5915</v>
      </c>
      <c r="K499" s="1" t="s">
        <v>5916</v>
      </c>
      <c r="L499" s="1">
        <v>1</v>
      </c>
      <c r="M499" s="1">
        <v>0</v>
      </c>
      <c r="N499" s="1" t="s">
        <v>5917</v>
      </c>
      <c r="O499" s="1" t="s">
        <v>5918</v>
      </c>
      <c r="P499" s="1" t="s">
        <v>5919</v>
      </c>
      <c r="Q499" s="1">
        <v>0</v>
      </c>
      <c r="R499" s="1" t="s">
        <v>5920</v>
      </c>
      <c r="S499" s="1" t="s">
        <v>5921</v>
      </c>
      <c r="U499" s="2">
        <v>56770</v>
      </c>
      <c r="V499" s="1">
        <v>4.5999999999999996</v>
      </c>
      <c r="W499" s="1">
        <v>2500</v>
      </c>
      <c r="X499" s="1">
        <v>2325</v>
      </c>
      <c r="Y499" s="1">
        <v>1400</v>
      </c>
      <c r="Z499" s="1">
        <v>158</v>
      </c>
      <c r="AA499" s="1">
        <v>767</v>
      </c>
      <c r="AB499" s="1">
        <v>0</v>
      </c>
      <c r="AC499" s="1">
        <v>2</v>
      </c>
      <c r="AD499" s="1" t="s">
        <v>76</v>
      </c>
      <c r="AE499" s="1" t="s">
        <v>5922</v>
      </c>
      <c r="AF499" s="1" t="s">
        <v>5923</v>
      </c>
      <c r="AG499" s="1" t="s">
        <v>5924</v>
      </c>
      <c r="AH499" s="1" t="s">
        <v>5925</v>
      </c>
      <c r="AI499" s="1">
        <v>4.79</v>
      </c>
      <c r="AJ499" s="1">
        <v>1007</v>
      </c>
      <c r="AK499" s="1">
        <v>2899</v>
      </c>
      <c r="AL499" s="1">
        <v>1301</v>
      </c>
    </row>
    <row r="500" spans="1:38" ht="15.75" customHeight="1">
      <c r="A500" s="1">
        <v>1090</v>
      </c>
      <c r="B500" s="1">
        <v>5</v>
      </c>
      <c r="C500" s="1">
        <v>4001</v>
      </c>
      <c r="D500" s="1" t="s">
        <v>51</v>
      </c>
      <c r="E500" s="1" t="s">
        <v>39</v>
      </c>
      <c r="F500" s="1" t="s">
        <v>414</v>
      </c>
      <c r="G500" s="1">
        <v>0</v>
      </c>
      <c r="H500" s="1" t="s">
        <v>53</v>
      </c>
      <c r="I500" s="1" t="s">
        <v>5926</v>
      </c>
      <c r="J500" s="1" t="s">
        <v>5927</v>
      </c>
      <c r="K500" s="1" t="s">
        <v>5928</v>
      </c>
      <c r="L500" s="1">
        <v>1</v>
      </c>
      <c r="M500" s="1">
        <v>0</v>
      </c>
      <c r="N500" s="1" t="s">
        <v>5929</v>
      </c>
      <c r="O500" s="1" t="s">
        <v>5930</v>
      </c>
      <c r="P500" s="1" t="s">
        <v>5931</v>
      </c>
      <c r="Q500" s="1">
        <v>0</v>
      </c>
      <c r="R500" s="1" t="s">
        <v>5932</v>
      </c>
      <c r="S500" s="1" t="s">
        <v>5933</v>
      </c>
      <c r="U500" s="2">
        <v>56774</v>
      </c>
      <c r="V500" s="1">
        <v>3.5568840599999998</v>
      </c>
      <c r="W500" s="1">
        <v>2500</v>
      </c>
      <c r="X500" s="1">
        <v>1582</v>
      </c>
      <c r="Y500" s="1">
        <v>338</v>
      </c>
      <c r="Z500" s="1">
        <v>497</v>
      </c>
      <c r="AA500" s="1">
        <v>747</v>
      </c>
      <c r="AB500" s="1">
        <v>0</v>
      </c>
      <c r="AC500" s="1">
        <v>2</v>
      </c>
      <c r="AD500" s="1" t="s">
        <v>76</v>
      </c>
      <c r="AE500" s="1" t="s">
        <v>5934</v>
      </c>
      <c r="AF500" s="1" t="s">
        <v>5935</v>
      </c>
      <c r="AG500" s="1" t="s">
        <v>5936</v>
      </c>
      <c r="AH500" s="1" t="s">
        <v>5937</v>
      </c>
      <c r="AI500" s="1">
        <v>4.58</v>
      </c>
      <c r="AJ500" s="1">
        <v>254</v>
      </c>
      <c r="AK500" s="1">
        <v>788</v>
      </c>
      <c r="AL500" s="1">
        <v>9</v>
      </c>
    </row>
    <row r="501" spans="1:38" ht="15.75" customHeight="1">
      <c r="A501" s="1">
        <v>909</v>
      </c>
      <c r="B501" s="1">
        <v>5</v>
      </c>
      <c r="C501" s="1">
        <v>4050</v>
      </c>
      <c r="D501" s="1" t="s">
        <v>38</v>
      </c>
      <c r="E501" s="1" t="s">
        <v>39</v>
      </c>
      <c r="F501" s="1" t="s">
        <v>510</v>
      </c>
      <c r="G501" s="1">
        <v>0</v>
      </c>
      <c r="H501" s="1" t="s">
        <v>41</v>
      </c>
      <c r="I501" s="1" t="s">
        <v>5938</v>
      </c>
      <c r="J501" s="1" t="s">
        <v>5939</v>
      </c>
      <c r="K501" s="1" t="s">
        <v>5940</v>
      </c>
      <c r="L501" s="1">
        <v>1</v>
      </c>
      <c r="M501" s="1">
        <v>0</v>
      </c>
      <c r="N501" s="1" t="s">
        <v>5941</v>
      </c>
      <c r="O501" s="1" t="s">
        <v>5942</v>
      </c>
      <c r="P501" s="1" t="s">
        <v>5943</v>
      </c>
      <c r="Q501" s="1">
        <v>0</v>
      </c>
      <c r="R501" s="1" t="s">
        <v>5944</v>
      </c>
      <c r="S501" s="1" t="s">
        <v>5945</v>
      </c>
      <c r="U501" s="2">
        <v>56772</v>
      </c>
      <c r="V501" s="1">
        <v>2.6702886270000001</v>
      </c>
      <c r="W501" s="1">
        <v>2500</v>
      </c>
      <c r="X501" s="1">
        <v>3045</v>
      </c>
      <c r="Y501" s="1">
        <v>555</v>
      </c>
      <c r="Z501" s="1">
        <v>319</v>
      </c>
      <c r="AA501" s="1">
        <v>2171</v>
      </c>
      <c r="AB501" s="1">
        <v>0</v>
      </c>
      <c r="AC501" s="1">
        <v>6</v>
      </c>
      <c r="AD501" s="1" t="s">
        <v>215</v>
      </c>
      <c r="AE501" s="1" t="s">
        <v>5946</v>
      </c>
      <c r="AF501" s="1" t="s">
        <v>5947</v>
      </c>
      <c r="AG501" s="1" t="s">
        <v>5948</v>
      </c>
      <c r="AH501" s="1" t="s">
        <v>5949</v>
      </c>
      <c r="AI501" s="1">
        <v>4.62</v>
      </c>
      <c r="AJ501" s="1">
        <v>259</v>
      </c>
      <c r="AK501" s="1">
        <v>604</v>
      </c>
      <c r="AL501" s="1">
        <v>21</v>
      </c>
    </row>
    <row r="502" spans="1:38" ht="15.75" customHeight="1">
      <c r="A502" s="1">
        <v>103</v>
      </c>
      <c r="C502" s="1">
        <v>4050</v>
      </c>
      <c r="D502" s="1" t="s">
        <v>38</v>
      </c>
      <c r="E502" s="1" t="s">
        <v>39</v>
      </c>
      <c r="F502" s="1" t="s">
        <v>280</v>
      </c>
      <c r="G502" s="1">
        <v>0</v>
      </c>
      <c r="H502" s="1" t="s">
        <v>41</v>
      </c>
      <c r="I502" s="1" t="s">
        <v>5950</v>
      </c>
      <c r="J502" s="1" t="s">
        <v>5951</v>
      </c>
      <c r="K502" s="1" t="s">
        <v>5952</v>
      </c>
      <c r="L502" s="1">
        <v>1</v>
      </c>
      <c r="M502" s="1">
        <v>0</v>
      </c>
      <c r="N502" s="1" t="s">
        <v>5953</v>
      </c>
      <c r="O502" s="1" t="s">
        <v>5954</v>
      </c>
      <c r="P502" s="1" t="s">
        <v>5955</v>
      </c>
      <c r="Q502" s="1">
        <v>0</v>
      </c>
      <c r="R502" s="1" t="s">
        <v>5956</v>
      </c>
      <c r="S502" s="1" t="s">
        <v>5957</v>
      </c>
      <c r="U502" s="2">
        <v>56766</v>
      </c>
      <c r="V502" s="1">
        <v>4.7</v>
      </c>
      <c r="W502" s="1">
        <v>2500</v>
      </c>
      <c r="X502" s="1">
        <v>3272</v>
      </c>
      <c r="Y502" s="1">
        <v>1323</v>
      </c>
      <c r="Z502" s="1">
        <v>253</v>
      </c>
      <c r="AA502" s="1">
        <v>1696</v>
      </c>
      <c r="AB502" s="1">
        <v>0</v>
      </c>
      <c r="AC502" s="1">
        <v>2</v>
      </c>
      <c r="AD502" s="1" t="s">
        <v>76</v>
      </c>
      <c r="AE502" s="1" t="s">
        <v>5958</v>
      </c>
      <c r="AF502" s="1" t="s">
        <v>5959</v>
      </c>
      <c r="AG502" s="1" t="s">
        <v>5960</v>
      </c>
      <c r="AH502" s="1" t="s">
        <v>5961</v>
      </c>
      <c r="AI502" s="1">
        <v>4.49</v>
      </c>
      <c r="AJ502" s="1">
        <v>2315</v>
      </c>
      <c r="AK502" s="1">
        <v>7039</v>
      </c>
      <c r="AL502" s="1">
        <v>763</v>
      </c>
    </row>
    <row r="503" spans="1:38" ht="15.75" customHeight="1">
      <c r="A503" s="1">
        <v>1034</v>
      </c>
      <c r="C503" s="1">
        <v>4001</v>
      </c>
      <c r="D503" s="1" t="s">
        <v>51</v>
      </c>
      <c r="E503" s="1" t="s">
        <v>39</v>
      </c>
      <c r="F503" s="1" t="s">
        <v>305</v>
      </c>
      <c r="G503" s="1">
        <v>0</v>
      </c>
      <c r="H503" s="1" t="s">
        <v>53</v>
      </c>
      <c r="I503" s="1" t="s">
        <v>5962</v>
      </c>
      <c r="J503" s="1" t="s">
        <v>5963</v>
      </c>
      <c r="K503" s="1" t="s">
        <v>5964</v>
      </c>
      <c r="L503" s="1">
        <v>1</v>
      </c>
      <c r="M503" s="1">
        <v>0</v>
      </c>
      <c r="N503" s="1" t="s">
        <v>5965</v>
      </c>
      <c r="O503" s="1" t="s">
        <v>5966</v>
      </c>
      <c r="P503" s="1" t="s">
        <v>5967</v>
      </c>
      <c r="Q503" s="1">
        <v>0</v>
      </c>
      <c r="R503" s="1" t="s">
        <v>5968</v>
      </c>
      <c r="S503" s="1" t="s">
        <v>5969</v>
      </c>
      <c r="U503" s="2">
        <v>56774</v>
      </c>
      <c r="V503" s="1">
        <v>4.2</v>
      </c>
      <c r="W503" s="1">
        <v>2500</v>
      </c>
      <c r="X503" s="1">
        <v>2304</v>
      </c>
      <c r="Y503" s="1">
        <v>494</v>
      </c>
      <c r="Z503" s="1">
        <v>1221</v>
      </c>
      <c r="AA503" s="1">
        <v>589</v>
      </c>
      <c r="AB503" s="1">
        <v>0</v>
      </c>
      <c r="AC503" s="1">
        <v>6</v>
      </c>
      <c r="AE503" s="1" t="s">
        <v>5970</v>
      </c>
      <c r="AF503" s="1" t="s">
        <v>5971</v>
      </c>
      <c r="AG503" s="1" t="s">
        <v>5972</v>
      </c>
      <c r="AH503" s="1" t="s">
        <v>5973</v>
      </c>
      <c r="AI503" s="1">
        <v>4.5199999999999996</v>
      </c>
      <c r="AJ503" s="1">
        <v>183</v>
      </c>
      <c r="AK503" s="1">
        <v>522</v>
      </c>
    </row>
    <row r="504" spans="1:38" ht="15.75" customHeight="1">
      <c r="A504" s="1">
        <v>1466</v>
      </c>
      <c r="B504" s="1">
        <v>5</v>
      </c>
      <c r="C504" s="1">
        <v>4001</v>
      </c>
      <c r="D504" s="1" t="s">
        <v>51</v>
      </c>
      <c r="E504" s="1" t="s">
        <v>39</v>
      </c>
      <c r="F504" s="1" t="s">
        <v>232</v>
      </c>
      <c r="G504" s="1">
        <v>0</v>
      </c>
      <c r="H504" s="1" t="s">
        <v>53</v>
      </c>
      <c r="I504" s="1" t="s">
        <v>5974</v>
      </c>
      <c r="J504" s="1" t="s">
        <v>5975</v>
      </c>
      <c r="K504" s="1" t="s">
        <v>5976</v>
      </c>
      <c r="L504" s="1">
        <v>1</v>
      </c>
      <c r="M504" s="1">
        <v>0</v>
      </c>
      <c r="N504" s="1" t="s">
        <v>5977</v>
      </c>
      <c r="O504" s="1" t="s">
        <v>5978</v>
      </c>
      <c r="P504" s="1" t="s">
        <v>5979</v>
      </c>
      <c r="Q504" s="1">
        <v>0</v>
      </c>
      <c r="R504" s="1" t="s">
        <v>5980</v>
      </c>
      <c r="S504" s="1" t="s">
        <v>5981</v>
      </c>
      <c r="U504" s="2">
        <v>56777</v>
      </c>
      <c r="V504" s="1">
        <v>4.3</v>
      </c>
      <c r="W504" s="1">
        <v>2500</v>
      </c>
      <c r="X504" s="1">
        <v>3654</v>
      </c>
      <c r="Y504" s="1">
        <v>318</v>
      </c>
      <c r="Z504" s="1">
        <v>2654</v>
      </c>
      <c r="AA504" s="1">
        <v>682</v>
      </c>
      <c r="AB504" s="1">
        <v>0</v>
      </c>
      <c r="AC504" s="1">
        <v>5</v>
      </c>
      <c r="AE504" s="1" t="s">
        <v>5982</v>
      </c>
      <c r="AF504" s="1" t="s">
        <v>5983</v>
      </c>
      <c r="AG504" s="1" t="s">
        <v>5984</v>
      </c>
      <c r="AH504" s="1" t="s">
        <v>5985</v>
      </c>
      <c r="AI504" s="1">
        <v>4.5599999999999996</v>
      </c>
      <c r="AJ504" s="1">
        <v>765</v>
      </c>
      <c r="AK504" s="1">
        <v>2618</v>
      </c>
    </row>
    <row r="505" spans="1:38" ht="15.75" customHeight="1">
      <c r="A505" s="1">
        <v>273</v>
      </c>
      <c r="B505" s="1">
        <v>5</v>
      </c>
      <c r="C505" s="1">
        <v>4050</v>
      </c>
      <c r="D505" s="1" t="s">
        <v>38</v>
      </c>
      <c r="E505" s="1" t="s">
        <v>39</v>
      </c>
      <c r="F505" s="1" t="s">
        <v>510</v>
      </c>
      <c r="G505" s="1">
        <v>0</v>
      </c>
      <c r="H505" s="1" t="s">
        <v>41</v>
      </c>
      <c r="I505" s="1" t="s">
        <v>5986</v>
      </c>
      <c r="J505" s="1" t="s">
        <v>5987</v>
      </c>
      <c r="K505" s="1" t="s">
        <v>5988</v>
      </c>
      <c r="L505" s="1">
        <v>1</v>
      </c>
      <c r="M505" s="1">
        <v>0</v>
      </c>
      <c r="N505" s="1" t="s">
        <v>5989</v>
      </c>
      <c r="O505" s="1" t="s">
        <v>5990</v>
      </c>
      <c r="P505" s="1" t="s">
        <v>5991</v>
      </c>
      <c r="Q505" s="1">
        <v>0</v>
      </c>
      <c r="R505" s="1" t="s">
        <v>5992</v>
      </c>
      <c r="S505" s="1" t="s">
        <v>5993</v>
      </c>
      <c r="U505" s="2">
        <v>56768</v>
      </c>
      <c r="V505" s="1">
        <v>4.7</v>
      </c>
      <c r="W505" s="1">
        <v>2500</v>
      </c>
      <c r="X505" s="1">
        <v>1851</v>
      </c>
      <c r="Y505" s="1">
        <v>536</v>
      </c>
      <c r="Z505" s="1">
        <v>1</v>
      </c>
      <c r="AA505" s="1">
        <v>1314</v>
      </c>
      <c r="AB505" s="1">
        <v>0</v>
      </c>
      <c r="AC505" s="1">
        <v>2</v>
      </c>
      <c r="AD505" s="1" t="s">
        <v>76</v>
      </c>
      <c r="AE505" s="1" t="s">
        <v>5994</v>
      </c>
      <c r="AF505" s="1" t="s">
        <v>5995</v>
      </c>
      <c r="AG505" s="1" t="s">
        <v>5996</v>
      </c>
      <c r="AH505" s="1" t="s">
        <v>5997</v>
      </c>
      <c r="AI505" s="1">
        <v>4.62</v>
      </c>
      <c r="AJ505" s="1">
        <v>259</v>
      </c>
      <c r="AK505" s="1">
        <v>604</v>
      </c>
      <c r="AL505" s="1">
        <v>21</v>
      </c>
    </row>
    <row r="506" spans="1:38" ht="15.75" customHeight="1">
      <c r="A506" s="1">
        <v>318</v>
      </c>
      <c r="B506" s="1">
        <v>5</v>
      </c>
      <c r="C506" s="1">
        <v>4001</v>
      </c>
      <c r="D506" s="1" t="s">
        <v>51</v>
      </c>
      <c r="E506" s="1" t="s">
        <v>39</v>
      </c>
      <c r="F506" s="1" t="s">
        <v>648</v>
      </c>
      <c r="G506" s="1">
        <v>0</v>
      </c>
      <c r="H506" s="1" t="s">
        <v>53</v>
      </c>
      <c r="I506" s="1" t="s">
        <v>5998</v>
      </c>
      <c r="J506" s="1" t="s">
        <v>5999</v>
      </c>
      <c r="K506" s="1" t="s">
        <v>6000</v>
      </c>
      <c r="L506" s="1">
        <v>1</v>
      </c>
      <c r="M506" s="1">
        <v>0</v>
      </c>
      <c r="N506" s="1" t="s">
        <v>6001</v>
      </c>
      <c r="O506" s="1" t="s">
        <v>6002</v>
      </c>
      <c r="P506" s="1" t="s">
        <v>6003</v>
      </c>
      <c r="Q506" s="1">
        <v>0</v>
      </c>
      <c r="R506" s="1" t="s">
        <v>6004</v>
      </c>
      <c r="S506" s="1" t="s">
        <v>6005</v>
      </c>
      <c r="U506" s="2">
        <v>56768</v>
      </c>
      <c r="V506" s="1">
        <v>4.6781930059999999</v>
      </c>
      <c r="W506" s="1">
        <v>2500</v>
      </c>
      <c r="X506" s="1">
        <v>1592</v>
      </c>
      <c r="Y506" s="1">
        <v>591</v>
      </c>
      <c r="Z506" s="1">
        <v>77</v>
      </c>
      <c r="AA506" s="1">
        <v>924</v>
      </c>
      <c r="AB506" s="1">
        <v>0</v>
      </c>
      <c r="AC506" s="1">
        <v>2</v>
      </c>
      <c r="AD506" s="1" t="s">
        <v>76</v>
      </c>
      <c r="AE506" s="1" t="s">
        <v>6006</v>
      </c>
      <c r="AF506" s="1" t="s">
        <v>6007</v>
      </c>
      <c r="AG506" s="1" t="s">
        <v>6008</v>
      </c>
      <c r="AH506" s="1" t="s">
        <v>6009</v>
      </c>
      <c r="AI506" s="1">
        <v>4.7</v>
      </c>
      <c r="AJ506" s="1">
        <v>443</v>
      </c>
      <c r="AK506" s="1">
        <v>1579</v>
      </c>
    </row>
    <row r="507" spans="1:38" ht="15.75" customHeight="1">
      <c r="A507" s="1">
        <v>442</v>
      </c>
      <c r="C507" s="1">
        <v>4050</v>
      </c>
      <c r="D507" s="1" t="s">
        <v>38</v>
      </c>
      <c r="E507" s="1" t="s">
        <v>39</v>
      </c>
      <c r="F507" s="1" t="s">
        <v>695</v>
      </c>
      <c r="G507" s="1">
        <v>0</v>
      </c>
      <c r="H507" s="1" t="s">
        <v>41</v>
      </c>
      <c r="I507" s="1" t="s">
        <v>6010</v>
      </c>
      <c r="J507" s="1" t="s">
        <v>6011</v>
      </c>
      <c r="K507" s="1" t="s">
        <v>6012</v>
      </c>
      <c r="L507" s="1">
        <v>1</v>
      </c>
      <c r="M507" s="1">
        <v>0</v>
      </c>
      <c r="N507" s="1" t="s">
        <v>6013</v>
      </c>
      <c r="O507" s="1" t="s">
        <v>6014</v>
      </c>
      <c r="P507" s="1" t="s">
        <v>6015</v>
      </c>
      <c r="Q507" s="1">
        <v>0</v>
      </c>
      <c r="R507" s="1" t="s">
        <v>6016</v>
      </c>
      <c r="S507" s="1" t="s">
        <v>6017</v>
      </c>
      <c r="U507" s="2">
        <v>56769</v>
      </c>
      <c r="V507" s="1">
        <v>3.4159802670000001</v>
      </c>
      <c r="W507" s="1">
        <v>2500</v>
      </c>
      <c r="X507" s="1">
        <v>3215</v>
      </c>
      <c r="Y507" s="1">
        <v>1394</v>
      </c>
      <c r="Z507" s="1">
        <v>888</v>
      </c>
      <c r="AA507" s="1">
        <v>933</v>
      </c>
      <c r="AB507" s="1">
        <v>1</v>
      </c>
      <c r="AC507" s="1">
        <v>2</v>
      </c>
      <c r="AE507" s="1" t="s">
        <v>6018</v>
      </c>
      <c r="AF507" s="1" t="s">
        <v>6019</v>
      </c>
      <c r="AG507" s="1" t="s">
        <v>6020</v>
      </c>
      <c r="AH507" s="1" t="s">
        <v>6021</v>
      </c>
      <c r="AI507" s="1">
        <v>4.38</v>
      </c>
      <c r="AJ507" s="1">
        <v>196</v>
      </c>
      <c r="AK507" s="1">
        <v>626</v>
      </c>
    </row>
    <row r="508" spans="1:38" ht="15.75" customHeight="1">
      <c r="A508" s="1">
        <v>796</v>
      </c>
      <c r="B508" s="1">
        <v>5</v>
      </c>
      <c r="C508" s="1">
        <v>4001</v>
      </c>
      <c r="D508" s="1" t="s">
        <v>51</v>
      </c>
      <c r="E508" s="1" t="s">
        <v>39</v>
      </c>
      <c r="F508" s="1" t="s">
        <v>3110</v>
      </c>
      <c r="G508" s="1">
        <v>0</v>
      </c>
      <c r="H508" s="1" t="s">
        <v>53</v>
      </c>
      <c r="I508" s="1" t="s">
        <v>6022</v>
      </c>
      <c r="J508" s="1" t="s">
        <v>6023</v>
      </c>
      <c r="K508" s="1" t="s">
        <v>6024</v>
      </c>
      <c r="L508" s="1">
        <v>1</v>
      </c>
      <c r="M508" s="1">
        <v>0</v>
      </c>
      <c r="N508" s="1" t="s">
        <v>6025</v>
      </c>
      <c r="O508" s="1" t="s">
        <v>6026</v>
      </c>
      <c r="P508" s="1" t="s">
        <v>6027</v>
      </c>
      <c r="Q508" s="1">
        <v>0</v>
      </c>
      <c r="R508" s="1" t="s">
        <v>6028</v>
      </c>
      <c r="S508" s="1" t="s">
        <v>6029</v>
      </c>
      <c r="U508" s="2">
        <v>56771</v>
      </c>
      <c r="V508" s="1">
        <v>4.3</v>
      </c>
      <c r="W508" s="1">
        <v>2500</v>
      </c>
      <c r="X508" s="1">
        <v>1583</v>
      </c>
      <c r="Y508" s="1">
        <v>1035</v>
      </c>
      <c r="Z508" s="1">
        <v>79</v>
      </c>
      <c r="AA508" s="1">
        <v>469</v>
      </c>
      <c r="AB508" s="1">
        <v>0</v>
      </c>
      <c r="AC508" s="1">
        <v>2</v>
      </c>
      <c r="AD508" s="1" t="s">
        <v>76</v>
      </c>
      <c r="AE508" s="1" t="s">
        <v>6030</v>
      </c>
      <c r="AF508" s="1" t="s">
        <v>6031</v>
      </c>
      <c r="AG508" s="1" t="s">
        <v>6032</v>
      </c>
      <c r="AH508" s="1" t="s">
        <v>6033</v>
      </c>
      <c r="AI508" s="1">
        <v>4.47</v>
      </c>
      <c r="AJ508" s="1">
        <v>78</v>
      </c>
      <c r="AK508" s="1">
        <v>278</v>
      </c>
      <c r="AL508" s="1">
        <v>26</v>
      </c>
    </row>
    <row r="509" spans="1:38" ht="15.75" customHeight="1">
      <c r="A509" s="1">
        <v>838</v>
      </c>
      <c r="C509" s="1">
        <v>4050</v>
      </c>
      <c r="D509" s="1" t="s">
        <v>38</v>
      </c>
      <c r="E509" s="1" t="s">
        <v>39</v>
      </c>
      <c r="F509" s="1" t="s">
        <v>6034</v>
      </c>
      <c r="G509" s="1">
        <v>0</v>
      </c>
      <c r="H509" s="1" t="s">
        <v>41</v>
      </c>
      <c r="I509" s="1" t="s">
        <v>6035</v>
      </c>
      <c r="J509" s="1" t="s">
        <v>6036</v>
      </c>
      <c r="K509" s="1" t="s">
        <v>6037</v>
      </c>
      <c r="L509" s="1">
        <v>1</v>
      </c>
      <c r="M509" s="1">
        <v>0</v>
      </c>
      <c r="N509" s="1" t="s">
        <v>6038</v>
      </c>
      <c r="O509" s="1" t="s">
        <v>6039</v>
      </c>
      <c r="P509" s="1" t="s">
        <v>6040</v>
      </c>
      <c r="Q509" s="1">
        <v>0</v>
      </c>
      <c r="R509" s="1" t="s">
        <v>6041</v>
      </c>
      <c r="S509" s="1" t="s">
        <v>6042</v>
      </c>
      <c r="U509" s="2">
        <v>56772</v>
      </c>
      <c r="V509" s="1">
        <v>4.4000000000000004</v>
      </c>
      <c r="W509" s="1">
        <v>2500</v>
      </c>
      <c r="X509" s="1">
        <v>2898</v>
      </c>
      <c r="Y509" s="1">
        <v>630</v>
      </c>
      <c r="Z509" s="1">
        <v>1764</v>
      </c>
      <c r="AA509" s="1">
        <v>504</v>
      </c>
      <c r="AB509" s="1">
        <v>0</v>
      </c>
      <c r="AC509" s="1">
        <v>2</v>
      </c>
      <c r="AD509" s="1" t="s">
        <v>62</v>
      </c>
      <c r="AE509" s="1" t="s">
        <v>6043</v>
      </c>
      <c r="AF509" s="1" t="s">
        <v>6044</v>
      </c>
      <c r="AG509" s="1" t="s">
        <v>6045</v>
      </c>
      <c r="AH509" s="1" t="s">
        <v>6046</v>
      </c>
      <c r="AI509" s="1">
        <v>4.7205882350000001</v>
      </c>
      <c r="AJ509" s="1">
        <v>59</v>
      </c>
      <c r="AK509" s="1">
        <v>198</v>
      </c>
      <c r="AL509" s="1">
        <v>82</v>
      </c>
    </row>
    <row r="510" spans="1:38" ht="15.75" customHeight="1">
      <c r="A510" s="1">
        <v>901</v>
      </c>
      <c r="B510" s="1">
        <v>5</v>
      </c>
      <c r="C510" s="1">
        <v>4050</v>
      </c>
      <c r="D510" s="1" t="s">
        <v>38</v>
      </c>
      <c r="E510" s="1" t="s">
        <v>39</v>
      </c>
      <c r="F510" s="1" t="s">
        <v>390</v>
      </c>
      <c r="G510" s="1">
        <v>0</v>
      </c>
      <c r="H510" s="1" t="s">
        <v>41</v>
      </c>
      <c r="I510" s="1" t="s">
        <v>6047</v>
      </c>
      <c r="J510" s="1" t="s">
        <v>6048</v>
      </c>
      <c r="K510" s="1" t="s">
        <v>6049</v>
      </c>
      <c r="L510" s="1">
        <v>1</v>
      </c>
      <c r="M510" s="1">
        <v>0</v>
      </c>
      <c r="N510" s="1" t="s">
        <v>6050</v>
      </c>
      <c r="O510" s="1" t="s">
        <v>6051</v>
      </c>
      <c r="P510" s="1" t="s">
        <v>6052</v>
      </c>
      <c r="Q510" s="1">
        <v>0</v>
      </c>
      <c r="R510" s="1" t="s">
        <v>6053</v>
      </c>
      <c r="S510" s="1" t="s">
        <v>6054</v>
      </c>
      <c r="U510" s="2">
        <v>56772</v>
      </c>
      <c r="V510" s="1">
        <v>4.8</v>
      </c>
      <c r="W510" s="1">
        <v>2500</v>
      </c>
      <c r="X510" s="1">
        <v>1934</v>
      </c>
      <c r="Y510" s="1">
        <v>129</v>
      </c>
      <c r="Z510" s="1">
        <v>601</v>
      </c>
      <c r="AA510" s="1">
        <v>1204</v>
      </c>
      <c r="AB510" s="1">
        <v>0</v>
      </c>
      <c r="AC510" s="1">
        <v>4</v>
      </c>
      <c r="AD510" s="1" t="s">
        <v>62</v>
      </c>
      <c r="AE510" s="1" t="s">
        <v>6055</v>
      </c>
      <c r="AF510" s="1" t="s">
        <v>6056</v>
      </c>
      <c r="AG510" s="1" t="s">
        <v>6057</v>
      </c>
      <c r="AH510" s="1" t="s">
        <v>6058</v>
      </c>
      <c r="AI510" s="1">
        <v>4.5599999999999996</v>
      </c>
      <c r="AJ510" s="1">
        <v>344</v>
      </c>
      <c r="AK510" s="1">
        <v>947</v>
      </c>
      <c r="AL510" s="1">
        <v>22</v>
      </c>
    </row>
    <row r="511" spans="1:38" ht="15.75" customHeight="1">
      <c r="A511" s="1">
        <v>1127</v>
      </c>
      <c r="B511" s="1">
        <v>5</v>
      </c>
      <c r="C511" s="1">
        <v>4001</v>
      </c>
      <c r="D511" s="1" t="s">
        <v>51</v>
      </c>
      <c r="E511" s="1" t="s">
        <v>39</v>
      </c>
      <c r="F511" s="1" t="s">
        <v>414</v>
      </c>
      <c r="G511" s="1">
        <v>0</v>
      </c>
      <c r="H511" s="1" t="s">
        <v>53</v>
      </c>
      <c r="I511" s="1" t="s">
        <v>6059</v>
      </c>
      <c r="J511" s="1" t="s">
        <v>6060</v>
      </c>
      <c r="K511" s="1" t="s">
        <v>6061</v>
      </c>
      <c r="L511" s="1">
        <v>1</v>
      </c>
      <c r="M511" s="1">
        <v>0</v>
      </c>
      <c r="N511" s="1" t="s">
        <v>6062</v>
      </c>
      <c r="O511" s="1" t="s">
        <v>6063</v>
      </c>
      <c r="P511" s="1" t="s">
        <v>6064</v>
      </c>
      <c r="Q511" s="1">
        <v>0</v>
      </c>
      <c r="R511" s="1" t="s">
        <v>6065</v>
      </c>
      <c r="S511" s="1" t="s">
        <v>6066</v>
      </c>
      <c r="U511" s="2">
        <v>56775</v>
      </c>
      <c r="V511" s="1">
        <v>3.9792116329999998</v>
      </c>
      <c r="W511" s="1">
        <v>2500</v>
      </c>
      <c r="X511" s="1">
        <v>2758</v>
      </c>
      <c r="Y511" s="1">
        <v>372</v>
      </c>
      <c r="Z511" s="1">
        <v>2022</v>
      </c>
      <c r="AA511" s="1">
        <v>364</v>
      </c>
      <c r="AB511" s="1">
        <v>1</v>
      </c>
      <c r="AC511" s="1">
        <v>2</v>
      </c>
      <c r="AE511" s="1" t="s">
        <v>6067</v>
      </c>
      <c r="AF511" s="1" t="s">
        <v>6068</v>
      </c>
      <c r="AG511" s="1" t="s">
        <v>6069</v>
      </c>
      <c r="AH511" s="1" t="s">
        <v>6070</v>
      </c>
      <c r="AI511" s="1">
        <v>4.58</v>
      </c>
      <c r="AJ511" s="1">
        <v>254</v>
      </c>
      <c r="AK511" s="1">
        <v>788</v>
      </c>
      <c r="AL511" s="1">
        <v>9</v>
      </c>
    </row>
    <row r="512" spans="1:38" ht="15.75" customHeight="1">
      <c r="A512" s="1">
        <v>1136</v>
      </c>
      <c r="C512" s="1">
        <v>4001</v>
      </c>
      <c r="D512" s="1" t="s">
        <v>51</v>
      </c>
      <c r="E512" s="1" t="s">
        <v>39</v>
      </c>
      <c r="F512" s="1" t="s">
        <v>708</v>
      </c>
      <c r="G512" s="1">
        <v>0</v>
      </c>
      <c r="H512" s="1" t="s">
        <v>53</v>
      </c>
      <c r="I512" s="1" t="s">
        <v>6071</v>
      </c>
      <c r="J512" s="1" t="s">
        <v>6072</v>
      </c>
      <c r="K512" s="1" t="s">
        <v>6073</v>
      </c>
      <c r="L512" s="1">
        <v>1</v>
      </c>
      <c r="M512" s="1">
        <v>0</v>
      </c>
      <c r="N512" s="1" t="s">
        <v>6074</v>
      </c>
      <c r="O512" s="1" t="s">
        <v>6075</v>
      </c>
      <c r="P512" s="1" t="s">
        <v>6076</v>
      </c>
      <c r="Q512" s="1">
        <v>0</v>
      </c>
      <c r="R512" s="1" t="s">
        <v>6077</v>
      </c>
      <c r="S512" s="1" t="s">
        <v>6078</v>
      </c>
      <c r="U512" s="2">
        <v>56775</v>
      </c>
      <c r="V512" s="1">
        <v>3.745852985</v>
      </c>
      <c r="W512" s="1">
        <v>2500</v>
      </c>
      <c r="X512" s="1">
        <v>1934</v>
      </c>
      <c r="Y512" s="1">
        <v>614</v>
      </c>
      <c r="Z512" s="1">
        <v>125</v>
      </c>
      <c r="AA512" s="1">
        <v>1195</v>
      </c>
      <c r="AB512" s="1">
        <v>0</v>
      </c>
      <c r="AC512" s="1">
        <v>3</v>
      </c>
      <c r="AD512" s="1" t="s">
        <v>215</v>
      </c>
      <c r="AE512" s="1" t="s">
        <v>6079</v>
      </c>
      <c r="AF512" s="1" t="s">
        <v>6080</v>
      </c>
      <c r="AG512" s="1" t="s">
        <v>6081</v>
      </c>
      <c r="AH512" s="1" t="s">
        <v>6082</v>
      </c>
      <c r="AI512" s="1">
        <v>4.5999999999999996</v>
      </c>
      <c r="AJ512" s="1">
        <v>292</v>
      </c>
      <c r="AK512" s="1">
        <v>1027</v>
      </c>
      <c r="AL512" s="1">
        <v>26</v>
      </c>
    </row>
    <row r="513" spans="1:38" ht="15.75" customHeight="1">
      <c r="A513" s="1">
        <v>1415</v>
      </c>
      <c r="C513" s="1">
        <v>4001</v>
      </c>
      <c r="D513" s="1" t="s">
        <v>51</v>
      </c>
      <c r="E513" s="1" t="s">
        <v>39</v>
      </c>
      <c r="F513" s="1" t="s">
        <v>1915</v>
      </c>
      <c r="G513" s="1">
        <v>0</v>
      </c>
      <c r="H513" s="1" t="s">
        <v>53</v>
      </c>
      <c r="I513" s="1" t="s">
        <v>6083</v>
      </c>
      <c r="J513" s="1" t="s">
        <v>6084</v>
      </c>
      <c r="K513" s="1" t="s">
        <v>6085</v>
      </c>
      <c r="L513" s="1">
        <v>1</v>
      </c>
      <c r="M513" s="1">
        <v>0</v>
      </c>
      <c r="N513" s="1" t="s">
        <v>6086</v>
      </c>
      <c r="O513" s="1" t="s">
        <v>6087</v>
      </c>
      <c r="P513" s="1" t="s">
        <v>6088</v>
      </c>
      <c r="Q513" s="1">
        <v>0</v>
      </c>
      <c r="R513" s="1" t="s">
        <v>6089</v>
      </c>
      <c r="S513" s="1" t="s">
        <v>6090</v>
      </c>
      <c r="U513" s="2">
        <v>56777</v>
      </c>
      <c r="V513" s="1">
        <v>4.0619210990000001</v>
      </c>
      <c r="W513" s="1">
        <v>2500</v>
      </c>
      <c r="X513" s="1">
        <v>1872</v>
      </c>
      <c r="Y513" s="1">
        <v>430</v>
      </c>
      <c r="Z513" s="1">
        <v>237</v>
      </c>
      <c r="AA513" s="1">
        <v>1205</v>
      </c>
      <c r="AB513" s="1">
        <v>0</v>
      </c>
      <c r="AC513" s="1">
        <v>2</v>
      </c>
      <c r="AD513" s="1" t="s">
        <v>215</v>
      </c>
      <c r="AE513" s="1" t="s">
        <v>6091</v>
      </c>
      <c r="AF513" s="1" t="s">
        <v>6092</v>
      </c>
      <c r="AG513" s="1" t="s">
        <v>6093</v>
      </c>
      <c r="AH513" s="1" t="s">
        <v>6094</v>
      </c>
      <c r="AI513" s="1">
        <v>4.63</v>
      </c>
      <c r="AJ513" s="1">
        <v>242</v>
      </c>
      <c r="AK513" s="1">
        <v>736</v>
      </c>
    </row>
    <row r="514" spans="1:38" ht="15.75" customHeight="1">
      <c r="A514" s="1">
        <v>41</v>
      </c>
      <c r="B514" s="1">
        <v>5</v>
      </c>
      <c r="C514" s="1">
        <v>4050</v>
      </c>
      <c r="D514" s="1" t="s">
        <v>38</v>
      </c>
      <c r="E514" s="1" t="s">
        <v>39</v>
      </c>
      <c r="F514" s="1" t="s">
        <v>486</v>
      </c>
      <c r="G514" s="1">
        <v>0</v>
      </c>
      <c r="H514" s="1" t="s">
        <v>41</v>
      </c>
      <c r="I514" s="1" t="s">
        <v>6095</v>
      </c>
      <c r="J514" s="1" t="s">
        <v>6096</v>
      </c>
      <c r="K514" s="1" t="s">
        <v>6097</v>
      </c>
      <c r="L514" s="1">
        <v>1</v>
      </c>
      <c r="M514" s="1">
        <v>0</v>
      </c>
      <c r="N514" s="1" t="s">
        <v>6098</v>
      </c>
      <c r="O514" s="1" t="s">
        <v>6099</v>
      </c>
      <c r="P514" s="1" t="s">
        <v>6100</v>
      </c>
      <c r="Q514" s="1">
        <v>0</v>
      </c>
      <c r="R514" s="1" t="s">
        <v>6101</v>
      </c>
      <c r="S514" s="1" t="s">
        <v>6102</v>
      </c>
      <c r="U514" s="2">
        <v>56766</v>
      </c>
      <c r="V514" s="1">
        <v>4.3</v>
      </c>
      <c r="W514" s="1">
        <v>2500</v>
      </c>
      <c r="X514" s="1">
        <v>3164</v>
      </c>
      <c r="Y514" s="1">
        <v>908</v>
      </c>
      <c r="Z514" s="1">
        <v>612</v>
      </c>
      <c r="AA514" s="1">
        <v>1644</v>
      </c>
      <c r="AB514" s="1">
        <v>0</v>
      </c>
      <c r="AC514" s="1">
        <v>3</v>
      </c>
      <c r="AD514" s="1" t="s">
        <v>76</v>
      </c>
      <c r="AE514" s="1" t="s">
        <v>6103</v>
      </c>
      <c r="AF514" s="1" t="s">
        <v>6104</v>
      </c>
      <c r="AG514" s="1" t="s">
        <v>6105</v>
      </c>
      <c r="AH514" s="1" t="s">
        <v>6106</v>
      </c>
      <c r="AI514" s="1">
        <v>4.7</v>
      </c>
      <c r="AJ514" s="1">
        <v>212</v>
      </c>
      <c r="AK514" s="1">
        <v>624</v>
      </c>
      <c r="AL514" s="1">
        <v>347</v>
      </c>
    </row>
    <row r="515" spans="1:38" ht="15.75" customHeight="1">
      <c r="A515" s="1">
        <v>729</v>
      </c>
      <c r="C515" s="1">
        <v>4050</v>
      </c>
      <c r="D515" s="1" t="s">
        <v>38</v>
      </c>
      <c r="E515" s="1" t="s">
        <v>39</v>
      </c>
      <c r="F515" s="1" t="s">
        <v>6034</v>
      </c>
      <c r="G515" s="1">
        <v>1</v>
      </c>
      <c r="H515" s="1" t="s">
        <v>41</v>
      </c>
      <c r="I515" s="1" t="s">
        <v>6107</v>
      </c>
      <c r="J515" s="1" t="s">
        <v>6108</v>
      </c>
      <c r="K515" s="1" t="s">
        <v>6109</v>
      </c>
      <c r="L515" s="1">
        <v>1</v>
      </c>
      <c r="M515" s="1">
        <v>0</v>
      </c>
      <c r="N515" s="1" t="s">
        <v>6110</v>
      </c>
      <c r="O515" s="1" t="s">
        <v>6111</v>
      </c>
      <c r="P515" s="1" t="s">
        <v>6112</v>
      </c>
      <c r="Q515" s="1">
        <v>0</v>
      </c>
      <c r="R515" s="1" t="s">
        <v>6113</v>
      </c>
      <c r="S515" s="1" t="s">
        <v>6114</v>
      </c>
      <c r="U515" s="2">
        <v>56771</v>
      </c>
      <c r="V515" s="1">
        <v>3.8536493169999999</v>
      </c>
      <c r="W515" s="1">
        <v>2500</v>
      </c>
      <c r="X515" s="1">
        <v>3287</v>
      </c>
      <c r="Y515" s="1">
        <v>473</v>
      </c>
      <c r="Z515" s="1">
        <v>1205</v>
      </c>
      <c r="AA515" s="1">
        <v>1609</v>
      </c>
      <c r="AB515" s="1">
        <v>0</v>
      </c>
      <c r="AC515" s="1">
        <v>2</v>
      </c>
      <c r="AD515" s="1" t="s">
        <v>62</v>
      </c>
      <c r="AE515" s="1" t="s">
        <v>6115</v>
      </c>
      <c r="AF515" s="1" t="s">
        <v>6116</v>
      </c>
      <c r="AG515" s="1" t="s">
        <v>6117</v>
      </c>
      <c r="AH515" s="1" t="s">
        <v>6118</v>
      </c>
      <c r="AI515" s="1">
        <v>4.7205882350000001</v>
      </c>
      <c r="AJ515" s="1">
        <v>59</v>
      </c>
      <c r="AK515" s="1">
        <v>198</v>
      </c>
      <c r="AL515" s="1">
        <v>82</v>
      </c>
    </row>
    <row r="516" spans="1:38" ht="15.75" customHeight="1">
      <c r="A516" s="1">
        <v>97</v>
      </c>
      <c r="C516" s="1">
        <v>4001</v>
      </c>
      <c r="D516" s="1" t="s">
        <v>51</v>
      </c>
      <c r="E516" s="1" t="s">
        <v>39</v>
      </c>
      <c r="F516" s="1" t="s">
        <v>52</v>
      </c>
      <c r="G516" s="1">
        <v>0</v>
      </c>
      <c r="H516" s="1" t="s">
        <v>53</v>
      </c>
      <c r="I516" s="1" t="s">
        <v>6119</v>
      </c>
      <c r="J516" s="1" t="s">
        <v>6120</v>
      </c>
      <c r="K516" s="1" t="s">
        <v>6121</v>
      </c>
      <c r="L516" s="1">
        <v>1</v>
      </c>
      <c r="M516" s="1">
        <v>0</v>
      </c>
      <c r="N516" s="1" t="s">
        <v>6122</v>
      </c>
      <c r="O516" s="1" t="s">
        <v>6123</v>
      </c>
      <c r="P516" s="1" t="s">
        <v>6124</v>
      </c>
      <c r="Q516" s="1">
        <v>0</v>
      </c>
      <c r="R516" s="1" t="s">
        <v>6125</v>
      </c>
      <c r="S516" s="1" t="s">
        <v>6126</v>
      </c>
      <c r="U516" s="2">
        <v>56766</v>
      </c>
      <c r="V516" s="1">
        <v>4.5</v>
      </c>
      <c r="W516" s="1">
        <v>2500</v>
      </c>
      <c r="X516" s="1">
        <v>1657</v>
      </c>
      <c r="Y516" s="1">
        <v>1133</v>
      </c>
      <c r="Z516" s="1">
        <v>45</v>
      </c>
      <c r="AA516" s="1">
        <v>479</v>
      </c>
      <c r="AB516" s="1">
        <v>0</v>
      </c>
      <c r="AC516" s="1">
        <v>1</v>
      </c>
      <c r="AD516" s="1" t="s">
        <v>76</v>
      </c>
      <c r="AE516" s="1" t="s">
        <v>6127</v>
      </c>
      <c r="AF516" s="1" t="s">
        <v>6128</v>
      </c>
      <c r="AG516" s="1" t="s">
        <v>6129</v>
      </c>
      <c r="AH516" s="1" t="s">
        <v>6130</v>
      </c>
      <c r="AI516" s="1">
        <v>4.17</v>
      </c>
      <c r="AJ516" s="1">
        <v>457</v>
      </c>
      <c r="AK516" s="1">
        <v>1599</v>
      </c>
    </row>
    <row r="517" spans="1:38" ht="15.75" customHeight="1">
      <c r="A517" s="1">
        <v>346</v>
      </c>
      <c r="C517" s="1">
        <v>4050</v>
      </c>
      <c r="D517" s="1" t="s">
        <v>38</v>
      </c>
      <c r="E517" s="1" t="s">
        <v>39</v>
      </c>
      <c r="F517" s="1" t="s">
        <v>116</v>
      </c>
      <c r="G517" s="1">
        <v>0</v>
      </c>
      <c r="H517" s="1" t="s">
        <v>41</v>
      </c>
      <c r="I517" s="1" t="s">
        <v>6131</v>
      </c>
      <c r="J517" s="1" t="s">
        <v>6132</v>
      </c>
      <c r="K517" s="1" t="s">
        <v>6133</v>
      </c>
      <c r="L517" s="1">
        <v>1</v>
      </c>
      <c r="M517" s="1">
        <v>0</v>
      </c>
      <c r="N517" s="1" t="s">
        <v>6134</v>
      </c>
      <c r="O517" s="1" t="s">
        <v>6135</v>
      </c>
      <c r="P517" s="1" t="s">
        <v>6136</v>
      </c>
      <c r="Q517" s="1">
        <v>0</v>
      </c>
      <c r="R517" s="1" t="s">
        <v>6137</v>
      </c>
      <c r="S517" s="1" t="s">
        <v>6138</v>
      </c>
      <c r="U517" s="2">
        <v>56768</v>
      </c>
      <c r="V517" s="1">
        <v>4.8</v>
      </c>
      <c r="W517" s="1">
        <v>2500</v>
      </c>
      <c r="X517" s="1">
        <v>1756</v>
      </c>
      <c r="Y517" s="1">
        <v>239</v>
      </c>
      <c r="Z517" s="1">
        <v>923</v>
      </c>
      <c r="AA517" s="1">
        <v>594</v>
      </c>
      <c r="AB517" s="1">
        <v>0</v>
      </c>
      <c r="AC517" s="1">
        <v>2</v>
      </c>
      <c r="AD517" s="1" t="s">
        <v>62</v>
      </c>
      <c r="AE517" s="1" t="s">
        <v>6139</v>
      </c>
      <c r="AF517" s="1" t="s">
        <v>6140</v>
      </c>
      <c r="AG517" s="1" t="s">
        <v>6141</v>
      </c>
      <c r="AH517" s="1" t="s">
        <v>6142</v>
      </c>
      <c r="AI517" s="1">
        <v>4.8899999999999997</v>
      </c>
      <c r="AJ517" s="1">
        <v>1778</v>
      </c>
      <c r="AK517" s="1">
        <v>5138</v>
      </c>
      <c r="AL517" s="1">
        <v>314</v>
      </c>
    </row>
    <row r="518" spans="1:38" ht="15.75" customHeight="1">
      <c r="A518" s="1">
        <v>764</v>
      </c>
      <c r="B518" s="1">
        <v>5</v>
      </c>
      <c r="C518" s="1">
        <v>4050</v>
      </c>
      <c r="D518" s="1" t="s">
        <v>38</v>
      </c>
      <c r="E518" s="1" t="s">
        <v>39</v>
      </c>
      <c r="F518" s="1" t="s">
        <v>116</v>
      </c>
      <c r="G518" s="1">
        <v>0</v>
      </c>
      <c r="H518" s="1" t="s">
        <v>41</v>
      </c>
      <c r="I518" s="1" t="s">
        <v>6143</v>
      </c>
      <c r="J518" s="1" t="s">
        <v>6144</v>
      </c>
      <c r="K518" s="1" t="s">
        <v>6145</v>
      </c>
      <c r="L518" s="1">
        <v>1</v>
      </c>
      <c r="M518" s="1">
        <v>0</v>
      </c>
      <c r="N518" s="1" t="s">
        <v>6146</v>
      </c>
      <c r="O518" s="1" t="s">
        <v>6147</v>
      </c>
      <c r="P518" s="1" t="s">
        <v>6148</v>
      </c>
      <c r="Q518" s="1">
        <v>0</v>
      </c>
      <c r="R518" s="1" t="s">
        <v>6149</v>
      </c>
      <c r="S518" s="1" t="s">
        <v>6150</v>
      </c>
      <c r="U518" s="2">
        <v>56771</v>
      </c>
      <c r="V518" s="1">
        <v>4.5999999999999996</v>
      </c>
      <c r="W518" s="1">
        <v>2500</v>
      </c>
      <c r="X518" s="1">
        <v>1749</v>
      </c>
      <c r="Y518" s="1">
        <v>902</v>
      </c>
      <c r="Z518" s="1">
        <v>215</v>
      </c>
      <c r="AA518" s="1">
        <v>632</v>
      </c>
      <c r="AB518" s="1">
        <v>0</v>
      </c>
      <c r="AC518" s="1">
        <v>4</v>
      </c>
      <c r="AD518" s="1" t="s">
        <v>76</v>
      </c>
      <c r="AE518" s="1" t="s">
        <v>6151</v>
      </c>
      <c r="AF518" s="1" t="s">
        <v>6152</v>
      </c>
      <c r="AG518" s="1" t="s">
        <v>6153</v>
      </c>
      <c r="AH518" s="1" t="s">
        <v>6154</v>
      </c>
      <c r="AI518" s="1">
        <v>4.8899999999999997</v>
      </c>
      <c r="AJ518" s="1">
        <v>1778</v>
      </c>
      <c r="AK518" s="1">
        <v>5138</v>
      </c>
      <c r="AL518" s="1">
        <v>314</v>
      </c>
    </row>
    <row r="519" spans="1:38" ht="15.75" customHeight="1">
      <c r="A519" s="1">
        <v>910</v>
      </c>
      <c r="C519" s="1">
        <v>4001</v>
      </c>
      <c r="D519" s="1" t="s">
        <v>51</v>
      </c>
      <c r="E519" s="1" t="s">
        <v>39</v>
      </c>
      <c r="F519" s="1" t="s">
        <v>414</v>
      </c>
      <c r="G519" s="1">
        <v>0</v>
      </c>
      <c r="H519" s="1" t="s">
        <v>53</v>
      </c>
      <c r="I519" s="1" t="s">
        <v>6155</v>
      </c>
      <c r="J519" s="1" t="s">
        <v>6156</v>
      </c>
      <c r="K519" s="1" t="s">
        <v>6157</v>
      </c>
      <c r="L519" s="1">
        <v>1</v>
      </c>
      <c r="M519" s="1">
        <v>0</v>
      </c>
      <c r="N519" s="1" t="s">
        <v>6158</v>
      </c>
      <c r="O519" s="1" t="s">
        <v>6159</v>
      </c>
      <c r="P519" s="1" t="s">
        <v>6160</v>
      </c>
      <c r="Q519" s="1">
        <v>0</v>
      </c>
      <c r="R519" s="1" t="s">
        <v>6161</v>
      </c>
      <c r="S519" s="1" t="s">
        <v>6162</v>
      </c>
      <c r="U519" s="2">
        <v>56772</v>
      </c>
      <c r="V519" s="1">
        <v>4.5999999999999996</v>
      </c>
      <c r="W519" s="1">
        <v>2500</v>
      </c>
      <c r="X519" s="1">
        <v>1669</v>
      </c>
      <c r="Y519" s="1">
        <v>870</v>
      </c>
      <c r="Z519" s="1">
        <v>203</v>
      </c>
      <c r="AA519" s="1">
        <v>596</v>
      </c>
      <c r="AB519" s="1">
        <v>0</v>
      </c>
      <c r="AC519" s="1">
        <v>1</v>
      </c>
      <c r="AD519" s="1" t="s">
        <v>215</v>
      </c>
      <c r="AE519" s="1" t="s">
        <v>6163</v>
      </c>
      <c r="AF519" s="1" t="s">
        <v>6164</v>
      </c>
      <c r="AG519" s="1" t="s">
        <v>6165</v>
      </c>
      <c r="AH519" s="1" t="s">
        <v>6166</v>
      </c>
      <c r="AI519" s="1">
        <v>4.58</v>
      </c>
      <c r="AJ519" s="1">
        <v>254</v>
      </c>
      <c r="AK519" s="1">
        <v>788</v>
      </c>
      <c r="AL519" s="1">
        <v>9</v>
      </c>
    </row>
    <row r="520" spans="1:38" ht="15.75" customHeight="1">
      <c r="A520" s="1">
        <v>621</v>
      </c>
      <c r="C520" s="1">
        <v>4001</v>
      </c>
      <c r="D520" s="1" t="s">
        <v>51</v>
      </c>
      <c r="E520" s="1" t="s">
        <v>39</v>
      </c>
      <c r="F520" s="1" t="s">
        <v>341</v>
      </c>
      <c r="G520" s="1">
        <v>0</v>
      </c>
      <c r="H520" s="1" t="s">
        <v>41</v>
      </c>
      <c r="I520" s="1" t="s">
        <v>6167</v>
      </c>
      <c r="J520" s="1" t="s">
        <v>6168</v>
      </c>
      <c r="K520" s="1" t="s">
        <v>6169</v>
      </c>
      <c r="L520" s="1">
        <v>1</v>
      </c>
      <c r="M520" s="1">
        <v>0</v>
      </c>
      <c r="N520" s="1" t="s">
        <v>6170</v>
      </c>
      <c r="O520" s="1" t="s">
        <v>6171</v>
      </c>
      <c r="P520" s="1" t="s">
        <v>6172</v>
      </c>
      <c r="Q520" s="1">
        <v>0</v>
      </c>
      <c r="R520" s="1" t="s">
        <v>6173</v>
      </c>
      <c r="S520" s="1" t="s">
        <v>6174</v>
      </c>
      <c r="U520" s="2">
        <v>56770</v>
      </c>
      <c r="V520" s="1">
        <v>4.2</v>
      </c>
      <c r="W520" s="1">
        <v>2500</v>
      </c>
      <c r="X520" s="1">
        <v>1426</v>
      </c>
      <c r="Y520" s="1">
        <v>331</v>
      </c>
      <c r="Z520" s="1">
        <v>658</v>
      </c>
      <c r="AA520" s="1">
        <v>437</v>
      </c>
      <c r="AB520" s="1">
        <v>0</v>
      </c>
      <c r="AC520" s="1">
        <v>4</v>
      </c>
      <c r="AD520" s="1" t="s">
        <v>215</v>
      </c>
      <c r="AE520" s="1" t="s">
        <v>6175</v>
      </c>
      <c r="AF520" s="1" t="s">
        <v>6176</v>
      </c>
      <c r="AG520" s="1" t="s">
        <v>6177</v>
      </c>
      <c r="AH520" s="1" t="s">
        <v>6178</v>
      </c>
      <c r="AI520" s="1">
        <v>4.54</v>
      </c>
      <c r="AJ520" s="1">
        <v>2229</v>
      </c>
      <c r="AK520" s="1">
        <v>6580</v>
      </c>
    </row>
    <row r="521" spans="1:38" ht="15.75" customHeight="1">
      <c r="A521" s="1">
        <v>407</v>
      </c>
      <c r="C521" s="1">
        <v>4001</v>
      </c>
      <c r="D521" s="1" t="s">
        <v>51</v>
      </c>
      <c r="E521" s="1" t="s">
        <v>39</v>
      </c>
      <c r="F521" s="1" t="s">
        <v>92</v>
      </c>
      <c r="G521" s="1">
        <v>0</v>
      </c>
      <c r="H521" s="1" t="s">
        <v>41</v>
      </c>
      <c r="I521" s="1" t="s">
        <v>6179</v>
      </c>
      <c r="J521" s="1" t="s">
        <v>6180</v>
      </c>
      <c r="K521" s="1" t="s">
        <v>6181</v>
      </c>
      <c r="L521" s="1">
        <v>1</v>
      </c>
      <c r="M521" s="1">
        <v>0</v>
      </c>
      <c r="N521" s="1" t="s">
        <v>6182</v>
      </c>
      <c r="O521" s="1" t="s">
        <v>6183</v>
      </c>
      <c r="P521" s="1" t="s">
        <v>6184</v>
      </c>
      <c r="Q521" s="1">
        <v>0</v>
      </c>
      <c r="R521" s="1" t="s">
        <v>6185</v>
      </c>
      <c r="S521" s="1" t="s">
        <v>6186</v>
      </c>
      <c r="U521" s="2">
        <v>56769</v>
      </c>
      <c r="V521" s="1">
        <v>4.5999999999999996</v>
      </c>
      <c r="W521" s="1">
        <v>2500</v>
      </c>
      <c r="X521" s="1">
        <v>1743</v>
      </c>
      <c r="Y521" s="1">
        <v>490</v>
      </c>
      <c r="Z521" s="1">
        <v>79</v>
      </c>
      <c r="AA521" s="1">
        <v>1174</v>
      </c>
      <c r="AB521" s="1">
        <v>0</v>
      </c>
      <c r="AC521" s="1">
        <v>4</v>
      </c>
      <c r="AD521" s="1" t="s">
        <v>215</v>
      </c>
      <c r="AE521" s="1" t="s">
        <v>6187</v>
      </c>
      <c r="AF521" s="1" t="s">
        <v>6188</v>
      </c>
      <c r="AG521" s="1" t="s">
        <v>6189</v>
      </c>
      <c r="AH521" s="1" t="s">
        <v>6190</v>
      </c>
      <c r="AI521" s="1">
        <v>4.03</v>
      </c>
      <c r="AJ521" s="1">
        <v>505</v>
      </c>
      <c r="AK521" s="1">
        <v>1721</v>
      </c>
      <c r="AL521" s="1">
        <v>457</v>
      </c>
    </row>
    <row r="522" spans="1:38" ht="15.75" customHeight="1">
      <c r="A522" s="1">
        <v>1014</v>
      </c>
      <c r="C522" s="1">
        <v>4001</v>
      </c>
      <c r="D522" s="1" t="s">
        <v>51</v>
      </c>
      <c r="E522" s="1" t="s">
        <v>39</v>
      </c>
      <c r="F522" s="1" t="s">
        <v>305</v>
      </c>
      <c r="G522" s="1">
        <v>0</v>
      </c>
      <c r="H522" s="1" t="s">
        <v>53</v>
      </c>
      <c r="I522" s="1" t="s">
        <v>6191</v>
      </c>
      <c r="J522" s="1" t="s">
        <v>6192</v>
      </c>
      <c r="K522" s="1" t="s">
        <v>6193</v>
      </c>
      <c r="L522" s="1">
        <v>1</v>
      </c>
      <c r="M522" s="1">
        <v>0</v>
      </c>
      <c r="N522" s="1" t="s">
        <v>6194</v>
      </c>
      <c r="O522" s="1" t="s">
        <v>6195</v>
      </c>
      <c r="P522" s="1" t="s">
        <v>6196</v>
      </c>
      <c r="Q522" s="1">
        <v>0</v>
      </c>
      <c r="R522" s="1" t="s">
        <v>6197</v>
      </c>
      <c r="S522" s="1" t="s">
        <v>6198</v>
      </c>
      <c r="U522" s="2">
        <v>56774</v>
      </c>
      <c r="V522" s="1">
        <v>3.9792116329999998</v>
      </c>
      <c r="W522" s="1">
        <v>2500</v>
      </c>
      <c r="X522" s="1">
        <v>810</v>
      </c>
      <c r="Y522" s="1">
        <v>654</v>
      </c>
      <c r="AA522" s="1">
        <v>240</v>
      </c>
      <c r="AB522" s="1">
        <v>0</v>
      </c>
      <c r="AC522" s="1">
        <v>4</v>
      </c>
      <c r="AD522" s="1" t="s">
        <v>76</v>
      </c>
      <c r="AE522" s="1" t="s">
        <v>6199</v>
      </c>
      <c r="AF522" s="1" t="s">
        <v>6200</v>
      </c>
      <c r="AG522" s="1" t="s">
        <v>6201</v>
      </c>
      <c r="AH522" s="1" t="s">
        <v>6202</v>
      </c>
      <c r="AI522" s="1">
        <v>4.5199999999999996</v>
      </c>
      <c r="AJ522" s="1">
        <v>183</v>
      </c>
      <c r="AK522" s="1">
        <v>522</v>
      </c>
    </row>
    <row r="523" spans="1:38" ht="15.75" customHeight="1">
      <c r="A523" s="1">
        <v>1244</v>
      </c>
      <c r="C523" s="1">
        <v>4001</v>
      </c>
      <c r="D523" s="1" t="s">
        <v>51</v>
      </c>
      <c r="E523" s="1" t="s">
        <v>39</v>
      </c>
      <c r="F523" s="1" t="s">
        <v>341</v>
      </c>
      <c r="G523" s="1">
        <v>0</v>
      </c>
      <c r="H523" s="1" t="s">
        <v>41</v>
      </c>
      <c r="I523" s="1" t="s">
        <v>6203</v>
      </c>
      <c r="J523" s="1" t="s">
        <v>6204</v>
      </c>
      <c r="K523" s="1" t="s">
        <v>6205</v>
      </c>
      <c r="L523" s="1">
        <v>1</v>
      </c>
      <c r="M523" s="1">
        <v>0</v>
      </c>
      <c r="N523" s="1" t="s">
        <v>6206</v>
      </c>
      <c r="O523" s="1" t="s">
        <v>6207</v>
      </c>
      <c r="P523" s="1" t="s">
        <v>6208</v>
      </c>
      <c r="Q523" s="1">
        <v>0</v>
      </c>
      <c r="R523" s="1" t="s">
        <v>6209</v>
      </c>
      <c r="S523" s="1" t="s">
        <v>6210</v>
      </c>
      <c r="U523" s="2">
        <v>56776</v>
      </c>
      <c r="V523" s="1">
        <v>4.4000000000000004</v>
      </c>
      <c r="W523" s="1">
        <v>2500</v>
      </c>
      <c r="X523" s="1">
        <v>1567</v>
      </c>
      <c r="Y523" s="1">
        <v>233</v>
      </c>
      <c r="Z523" s="1">
        <v>630</v>
      </c>
      <c r="AA523" s="1">
        <v>704</v>
      </c>
      <c r="AB523" s="1">
        <v>0</v>
      </c>
      <c r="AC523" s="1">
        <v>4</v>
      </c>
      <c r="AD523" s="1" t="s">
        <v>62</v>
      </c>
      <c r="AE523" s="1" t="s">
        <v>6211</v>
      </c>
      <c r="AF523" s="1" t="s">
        <v>6212</v>
      </c>
      <c r="AG523" s="1" t="s">
        <v>6213</v>
      </c>
      <c r="AH523" s="1" t="s">
        <v>6214</v>
      </c>
      <c r="AI523" s="1">
        <v>4.54</v>
      </c>
      <c r="AJ523" s="1">
        <v>2229</v>
      </c>
      <c r="AK523" s="1">
        <v>6580</v>
      </c>
    </row>
    <row r="524" spans="1:38" ht="15.75" customHeight="1">
      <c r="A524" s="1">
        <v>463</v>
      </c>
      <c r="C524" s="1">
        <v>4001</v>
      </c>
      <c r="D524" s="1" t="s">
        <v>51</v>
      </c>
      <c r="E524" s="1" t="s">
        <v>39</v>
      </c>
      <c r="F524" s="1" t="s">
        <v>648</v>
      </c>
      <c r="G524" s="1">
        <v>0</v>
      </c>
      <c r="H524" s="1" t="s">
        <v>53</v>
      </c>
      <c r="I524" s="1" t="s">
        <v>6215</v>
      </c>
      <c r="J524" s="1" t="s">
        <v>6216</v>
      </c>
      <c r="K524" s="1" t="s">
        <v>6217</v>
      </c>
      <c r="L524" s="1">
        <v>1</v>
      </c>
      <c r="M524" s="1">
        <v>0</v>
      </c>
      <c r="N524" s="1" t="s">
        <v>6218</v>
      </c>
      <c r="O524" s="1" t="s">
        <v>6219</v>
      </c>
      <c r="P524" s="1" t="s">
        <v>6220</v>
      </c>
      <c r="Q524" s="1">
        <v>0</v>
      </c>
      <c r="R524" s="1" t="s">
        <v>6221</v>
      </c>
      <c r="S524" s="1" t="s">
        <v>6222</v>
      </c>
      <c r="U524" s="2">
        <v>56769</v>
      </c>
      <c r="V524" s="1">
        <v>4.5</v>
      </c>
      <c r="W524" s="1">
        <v>2500</v>
      </c>
      <c r="X524" s="1">
        <v>2222</v>
      </c>
      <c r="Y524" s="1">
        <v>565</v>
      </c>
      <c r="Z524" s="1">
        <v>205</v>
      </c>
      <c r="AA524" s="1">
        <v>1452</v>
      </c>
      <c r="AB524" s="1">
        <v>0</v>
      </c>
      <c r="AC524" s="1">
        <v>2</v>
      </c>
      <c r="AD524" s="1" t="s">
        <v>62</v>
      </c>
      <c r="AE524" s="1" t="s">
        <v>6223</v>
      </c>
      <c r="AF524" s="1" t="s">
        <v>6224</v>
      </c>
      <c r="AG524" s="1" t="s">
        <v>6225</v>
      </c>
      <c r="AH524" s="1" t="s">
        <v>6226</v>
      </c>
      <c r="AI524" s="1">
        <v>4.7</v>
      </c>
      <c r="AJ524" s="1">
        <v>443</v>
      </c>
      <c r="AK524" s="1">
        <v>1579</v>
      </c>
    </row>
    <row r="525" spans="1:38" ht="15.75" customHeight="1">
      <c r="A525" s="1">
        <v>987</v>
      </c>
      <c r="C525" s="1">
        <v>4001</v>
      </c>
      <c r="D525" s="1" t="s">
        <v>51</v>
      </c>
      <c r="E525" s="1" t="s">
        <v>39</v>
      </c>
      <c r="F525" s="1" t="s">
        <v>341</v>
      </c>
      <c r="G525" s="1">
        <v>0</v>
      </c>
      <c r="H525" s="1" t="s">
        <v>41</v>
      </c>
      <c r="I525" s="1" t="s">
        <v>6227</v>
      </c>
      <c r="J525" s="1" t="s">
        <v>6228</v>
      </c>
      <c r="K525" s="1" t="s">
        <v>6229</v>
      </c>
      <c r="L525" s="1">
        <v>1</v>
      </c>
      <c r="M525" s="1">
        <v>0</v>
      </c>
      <c r="N525" s="1" t="s">
        <v>6230</v>
      </c>
      <c r="O525" s="1" t="s">
        <v>6231</v>
      </c>
      <c r="P525" s="1" t="s">
        <v>6232</v>
      </c>
      <c r="Q525" s="1">
        <v>0</v>
      </c>
      <c r="R525" s="1" t="s">
        <v>6233</v>
      </c>
      <c r="S525" s="1" t="s">
        <v>6234</v>
      </c>
      <c r="U525" s="2">
        <v>56773</v>
      </c>
      <c r="V525" s="1">
        <v>4.5</v>
      </c>
      <c r="W525" s="1">
        <v>2500</v>
      </c>
      <c r="X525" s="1">
        <v>1127</v>
      </c>
      <c r="Y525" s="1">
        <v>142</v>
      </c>
      <c r="Z525" s="1">
        <v>404</v>
      </c>
      <c r="AA525" s="1">
        <v>581</v>
      </c>
      <c r="AB525" s="1">
        <v>0</v>
      </c>
      <c r="AC525" s="1">
        <v>3</v>
      </c>
      <c r="AD525" s="1" t="s">
        <v>62</v>
      </c>
      <c r="AE525" s="1" t="s">
        <v>6235</v>
      </c>
      <c r="AF525" s="1" t="s">
        <v>6236</v>
      </c>
      <c r="AG525" s="1" t="s">
        <v>6237</v>
      </c>
      <c r="AH525" s="1" t="s">
        <v>6238</v>
      </c>
      <c r="AI525" s="1">
        <v>4.54</v>
      </c>
      <c r="AJ525" s="1">
        <v>2229</v>
      </c>
      <c r="AK525" s="1">
        <v>6580</v>
      </c>
    </row>
    <row r="526" spans="1:38" ht="15.75" customHeight="1">
      <c r="A526" s="1">
        <v>1494</v>
      </c>
      <c r="C526" s="1">
        <v>4001</v>
      </c>
      <c r="D526" s="1" t="s">
        <v>51</v>
      </c>
      <c r="E526" s="1" t="s">
        <v>39</v>
      </c>
      <c r="F526" s="1" t="s">
        <v>414</v>
      </c>
      <c r="G526" s="1">
        <v>0</v>
      </c>
      <c r="H526" s="1" t="s">
        <v>53</v>
      </c>
      <c r="I526" s="1" t="s">
        <v>6239</v>
      </c>
      <c r="J526" s="1" t="s">
        <v>6240</v>
      </c>
      <c r="K526" s="1" t="s">
        <v>6241</v>
      </c>
      <c r="L526" s="1">
        <v>1</v>
      </c>
      <c r="M526" s="1">
        <v>0</v>
      </c>
      <c r="N526" s="1" t="s">
        <v>6242</v>
      </c>
      <c r="O526" s="1" t="s">
        <v>6243</v>
      </c>
      <c r="P526" s="1" t="s">
        <v>6244</v>
      </c>
      <c r="Q526" s="1">
        <v>0</v>
      </c>
      <c r="R526" s="1" t="s">
        <v>6245</v>
      </c>
      <c r="S526" s="1" t="s">
        <v>6246</v>
      </c>
      <c r="U526" s="2">
        <v>56777</v>
      </c>
      <c r="V526" s="1">
        <v>4.1771995459999998</v>
      </c>
      <c r="W526" s="1">
        <v>2500</v>
      </c>
      <c r="X526" s="1">
        <v>1121</v>
      </c>
      <c r="Y526" s="1">
        <v>201</v>
      </c>
      <c r="Z526" s="1">
        <v>305</v>
      </c>
      <c r="AA526" s="1">
        <v>615</v>
      </c>
      <c r="AB526" s="1">
        <v>0</v>
      </c>
      <c r="AC526" s="1">
        <v>1</v>
      </c>
      <c r="AD526" s="1" t="s">
        <v>76</v>
      </c>
      <c r="AE526" s="1" t="s">
        <v>6247</v>
      </c>
      <c r="AF526" s="1" t="s">
        <v>6248</v>
      </c>
      <c r="AG526" s="1" t="s">
        <v>6249</v>
      </c>
      <c r="AH526" s="1" t="s">
        <v>6250</v>
      </c>
      <c r="AI526" s="1">
        <v>4.58</v>
      </c>
      <c r="AJ526" s="1">
        <v>254</v>
      </c>
      <c r="AK526" s="1">
        <v>788</v>
      </c>
      <c r="AL526" s="1">
        <v>9</v>
      </c>
    </row>
    <row r="527" spans="1:38" ht="15.75" customHeight="1">
      <c r="A527" s="1">
        <v>1506</v>
      </c>
      <c r="C527" s="1">
        <v>4001</v>
      </c>
      <c r="D527" s="1" t="s">
        <v>51</v>
      </c>
      <c r="E527" s="1" t="s">
        <v>39</v>
      </c>
      <c r="F527" s="1" t="s">
        <v>708</v>
      </c>
      <c r="G527" s="1">
        <v>0</v>
      </c>
      <c r="H527" s="1" t="s">
        <v>53</v>
      </c>
      <c r="I527" s="1" t="s">
        <v>6251</v>
      </c>
      <c r="J527" s="1" t="s">
        <v>6252</v>
      </c>
      <c r="K527" s="1" t="s">
        <v>6253</v>
      </c>
      <c r="L527" s="1">
        <v>1</v>
      </c>
      <c r="M527" s="1">
        <v>0</v>
      </c>
      <c r="N527" s="1" t="s">
        <v>6254</v>
      </c>
      <c r="O527" s="1" t="s">
        <v>6255</v>
      </c>
      <c r="P527" s="1" t="s">
        <v>6256</v>
      </c>
      <c r="Q527" s="1">
        <v>0</v>
      </c>
      <c r="R527" s="1" t="s">
        <v>6257</v>
      </c>
      <c r="S527" s="1" t="s">
        <v>6258</v>
      </c>
      <c r="U527" s="2">
        <v>56777</v>
      </c>
      <c r="V527" s="1">
        <v>4.5999999999999996</v>
      </c>
      <c r="W527" s="1">
        <v>2500</v>
      </c>
      <c r="X527" s="1">
        <v>1334</v>
      </c>
      <c r="Y527" s="1">
        <v>925</v>
      </c>
      <c r="AA527" s="1">
        <v>421</v>
      </c>
      <c r="AB527" s="1">
        <v>1</v>
      </c>
      <c r="AC527" s="1">
        <v>2</v>
      </c>
      <c r="AE527" s="1" t="s">
        <v>6259</v>
      </c>
      <c r="AF527" s="1" t="s">
        <v>6260</v>
      </c>
      <c r="AG527" s="1" t="s">
        <v>6261</v>
      </c>
      <c r="AH527" s="1" t="s">
        <v>6262</v>
      </c>
      <c r="AI527" s="1">
        <v>4.5999999999999996</v>
      </c>
      <c r="AJ527" s="1">
        <v>292</v>
      </c>
      <c r="AK527" s="1">
        <v>1027</v>
      </c>
      <c r="AL527" s="1">
        <v>26</v>
      </c>
    </row>
    <row r="528" spans="1:38" ht="15.75" customHeight="1">
      <c r="A528" s="1">
        <v>1272</v>
      </c>
      <c r="B528" s="1">
        <v>5</v>
      </c>
      <c r="C528" s="1">
        <v>4001</v>
      </c>
      <c r="D528" s="1" t="s">
        <v>51</v>
      </c>
      <c r="E528" s="1" t="s">
        <v>39</v>
      </c>
      <c r="F528" s="1" t="s">
        <v>52</v>
      </c>
      <c r="G528" s="1">
        <v>0</v>
      </c>
      <c r="H528" s="1" t="s">
        <v>53</v>
      </c>
      <c r="I528" s="1" t="s">
        <v>6263</v>
      </c>
      <c r="J528" s="1" t="s">
        <v>6264</v>
      </c>
      <c r="K528" s="1" t="s">
        <v>6265</v>
      </c>
      <c r="L528" s="1">
        <v>1</v>
      </c>
      <c r="M528" s="1">
        <v>0</v>
      </c>
      <c r="N528" s="1" t="s">
        <v>6266</v>
      </c>
      <c r="O528" s="1" t="s">
        <v>6267</v>
      </c>
      <c r="P528" s="1" t="s">
        <v>6268</v>
      </c>
      <c r="Q528" s="1">
        <v>0</v>
      </c>
      <c r="R528" s="1" t="s">
        <v>6269</v>
      </c>
      <c r="S528" s="1" t="s">
        <v>6270</v>
      </c>
      <c r="U528" s="2">
        <v>56776</v>
      </c>
      <c r="V528" s="1">
        <v>4.5</v>
      </c>
      <c r="W528" s="1">
        <v>2500</v>
      </c>
      <c r="X528" s="1">
        <v>2515</v>
      </c>
      <c r="Y528" s="1">
        <v>1375</v>
      </c>
      <c r="AA528" s="1">
        <v>1142</v>
      </c>
      <c r="AB528" s="1">
        <v>1</v>
      </c>
      <c r="AC528" s="1">
        <v>3</v>
      </c>
      <c r="AE528" s="1" t="s">
        <v>6271</v>
      </c>
      <c r="AF528" s="1" t="s">
        <v>6272</v>
      </c>
      <c r="AG528" s="1" t="s">
        <v>6273</v>
      </c>
      <c r="AH528" s="1" t="s">
        <v>6274</v>
      </c>
      <c r="AI528" s="1">
        <v>4.17</v>
      </c>
      <c r="AJ528" s="1">
        <v>457</v>
      </c>
      <c r="AK528" s="1">
        <v>1599</v>
      </c>
    </row>
    <row r="529" spans="1:38" ht="15.75" customHeight="1">
      <c r="A529" s="1">
        <v>704</v>
      </c>
      <c r="B529" s="1">
        <v>5</v>
      </c>
      <c r="C529" s="1">
        <v>4050</v>
      </c>
      <c r="D529" s="1" t="s">
        <v>38</v>
      </c>
      <c r="E529" s="1" t="s">
        <v>39</v>
      </c>
      <c r="F529" s="1" t="s">
        <v>451</v>
      </c>
      <c r="G529" s="1">
        <v>0</v>
      </c>
      <c r="H529" s="1" t="s">
        <v>41</v>
      </c>
      <c r="I529" s="1" t="s">
        <v>6275</v>
      </c>
      <c r="J529" s="1" t="s">
        <v>6276</v>
      </c>
      <c r="K529" s="1" t="s">
        <v>6277</v>
      </c>
      <c r="L529" s="1">
        <v>1</v>
      </c>
      <c r="M529" s="1">
        <v>0</v>
      </c>
      <c r="N529" s="1" t="s">
        <v>6278</v>
      </c>
      <c r="O529" s="1" t="s">
        <v>6279</v>
      </c>
      <c r="P529" s="1" t="s">
        <v>6280</v>
      </c>
      <c r="Q529" s="1">
        <v>0</v>
      </c>
      <c r="R529" s="1" t="s">
        <v>6281</v>
      </c>
      <c r="S529" s="1" t="s">
        <v>6282</v>
      </c>
      <c r="U529" s="2">
        <v>56770</v>
      </c>
      <c r="V529" s="1">
        <v>4.8</v>
      </c>
      <c r="W529" s="1">
        <v>2500</v>
      </c>
      <c r="X529" s="1">
        <v>1315</v>
      </c>
      <c r="Y529" s="1">
        <v>493</v>
      </c>
      <c r="Z529" s="1">
        <v>224</v>
      </c>
      <c r="AA529" s="1">
        <v>598</v>
      </c>
      <c r="AB529" s="1">
        <v>0</v>
      </c>
      <c r="AC529" s="1">
        <v>2</v>
      </c>
      <c r="AD529" s="1" t="s">
        <v>215</v>
      </c>
      <c r="AE529" s="1" t="s">
        <v>6283</v>
      </c>
      <c r="AF529" s="1" t="s">
        <v>6284</v>
      </c>
      <c r="AG529" s="1" t="s">
        <v>6285</v>
      </c>
      <c r="AH529" s="1" t="s">
        <v>6286</v>
      </c>
      <c r="AI529" s="1">
        <v>4.7</v>
      </c>
      <c r="AJ529" s="1">
        <v>272</v>
      </c>
      <c r="AK529" s="1">
        <v>931</v>
      </c>
      <c r="AL529" s="1">
        <v>144</v>
      </c>
    </row>
    <row r="530" spans="1:38" ht="15.75" customHeight="1">
      <c r="A530" s="1">
        <v>876</v>
      </c>
      <c r="C530" s="1">
        <v>4050</v>
      </c>
      <c r="D530" s="1" t="s">
        <v>38</v>
      </c>
      <c r="E530" s="1" t="s">
        <v>39</v>
      </c>
      <c r="F530" s="1" t="s">
        <v>220</v>
      </c>
      <c r="G530" s="1">
        <v>0</v>
      </c>
      <c r="H530" s="1" t="s">
        <v>6287</v>
      </c>
      <c r="I530" s="1" t="s">
        <v>6288</v>
      </c>
      <c r="J530" s="1" t="s">
        <v>6289</v>
      </c>
      <c r="K530" s="1" t="s">
        <v>6290</v>
      </c>
      <c r="L530" s="1">
        <v>1</v>
      </c>
      <c r="M530" s="1">
        <v>0</v>
      </c>
      <c r="N530" s="1" t="s">
        <v>6291</v>
      </c>
      <c r="O530" s="1" t="s">
        <v>6292</v>
      </c>
      <c r="P530" s="1" t="s">
        <v>6293</v>
      </c>
      <c r="Q530" s="1">
        <v>0</v>
      </c>
      <c r="R530" s="1" t="s">
        <v>6294</v>
      </c>
      <c r="U530" s="2">
        <v>56772</v>
      </c>
      <c r="V530" s="1">
        <v>4.5999999999999996</v>
      </c>
      <c r="W530" s="1">
        <v>2500</v>
      </c>
      <c r="X530" s="1">
        <v>2425</v>
      </c>
      <c r="AA530" s="1">
        <v>1059</v>
      </c>
      <c r="AB530" s="1">
        <v>0</v>
      </c>
      <c r="AC530" s="1">
        <v>2</v>
      </c>
      <c r="AE530" s="1" t="s">
        <v>6295</v>
      </c>
      <c r="AF530" s="1" t="s">
        <v>6296</v>
      </c>
      <c r="AG530" s="1" t="s">
        <v>6297</v>
      </c>
      <c r="AI530" s="1">
        <v>4.42</v>
      </c>
      <c r="AJ530" s="1">
        <v>1396</v>
      </c>
      <c r="AK530" s="1">
        <v>4836</v>
      </c>
      <c r="AL530" s="1">
        <v>1278</v>
      </c>
    </row>
    <row r="531" spans="1:38" ht="15.75" customHeight="1">
      <c r="A531" s="1">
        <v>330</v>
      </c>
      <c r="B531" s="1">
        <v>5</v>
      </c>
      <c r="C531" s="1">
        <v>4001</v>
      </c>
      <c r="D531" s="1" t="s">
        <v>51</v>
      </c>
      <c r="E531" s="1" t="s">
        <v>39</v>
      </c>
      <c r="F531" s="1" t="s">
        <v>52</v>
      </c>
      <c r="G531" s="1">
        <v>0</v>
      </c>
      <c r="H531" s="1" t="s">
        <v>53</v>
      </c>
      <c r="I531" s="1" t="s">
        <v>6298</v>
      </c>
      <c r="J531" s="1" t="s">
        <v>6299</v>
      </c>
      <c r="K531" s="1" t="s">
        <v>6300</v>
      </c>
      <c r="L531" s="1">
        <v>1</v>
      </c>
      <c r="M531" s="1">
        <v>0</v>
      </c>
      <c r="N531" s="1" t="s">
        <v>6301</v>
      </c>
      <c r="O531" s="1" t="s">
        <v>6302</v>
      </c>
      <c r="P531" s="1" t="s">
        <v>6303</v>
      </c>
      <c r="Q531" s="1">
        <v>0</v>
      </c>
      <c r="R531" s="1" t="s">
        <v>6304</v>
      </c>
      <c r="U531" s="2">
        <v>56768</v>
      </c>
      <c r="V531" s="1">
        <v>4.5999999999999996</v>
      </c>
      <c r="W531" s="1">
        <v>2500</v>
      </c>
      <c r="X531" s="1">
        <v>1629</v>
      </c>
      <c r="AA531" s="1">
        <v>705</v>
      </c>
      <c r="AB531" s="1">
        <v>0</v>
      </c>
      <c r="AC531" s="1">
        <v>5</v>
      </c>
      <c r="AE531" s="1" t="s">
        <v>6305</v>
      </c>
      <c r="AF531" s="1" t="s">
        <v>6306</v>
      </c>
      <c r="AG531" s="1" t="s">
        <v>6307</v>
      </c>
      <c r="AI531" s="1">
        <v>4.17</v>
      </c>
      <c r="AJ531" s="1">
        <v>457</v>
      </c>
      <c r="AK531" s="1">
        <v>1599</v>
      </c>
    </row>
    <row r="532" spans="1:38" ht="15.75" customHeight="1">
      <c r="A532" s="1">
        <v>714</v>
      </c>
      <c r="B532" s="1">
        <v>5</v>
      </c>
      <c r="C532" s="1">
        <v>4050</v>
      </c>
      <c r="D532" s="1" t="s">
        <v>38</v>
      </c>
      <c r="E532" s="1" t="s">
        <v>39</v>
      </c>
      <c r="F532" s="1" t="s">
        <v>40</v>
      </c>
      <c r="G532" s="1">
        <v>0</v>
      </c>
      <c r="H532" s="1" t="s">
        <v>41</v>
      </c>
      <c r="I532" s="1" t="s">
        <v>6308</v>
      </c>
      <c r="J532" s="1" t="s">
        <v>6309</v>
      </c>
      <c r="K532" s="1" t="s">
        <v>6310</v>
      </c>
      <c r="L532" s="1">
        <v>1</v>
      </c>
      <c r="M532" s="1">
        <v>0</v>
      </c>
      <c r="N532" s="1" t="s">
        <v>6311</v>
      </c>
      <c r="O532" s="1" t="s">
        <v>6312</v>
      </c>
      <c r="P532" s="1" t="s">
        <v>6313</v>
      </c>
      <c r="Q532" s="1">
        <v>0</v>
      </c>
      <c r="R532" s="1" t="s">
        <v>6314</v>
      </c>
      <c r="U532" s="2">
        <v>56770</v>
      </c>
      <c r="V532" s="1">
        <v>4.4000000000000004</v>
      </c>
      <c r="W532" s="1">
        <v>2500</v>
      </c>
      <c r="X532" s="1">
        <v>2510</v>
      </c>
      <c r="AA532" s="1">
        <v>612</v>
      </c>
      <c r="AB532" s="1">
        <v>0</v>
      </c>
      <c r="AC532" s="1">
        <v>3</v>
      </c>
      <c r="AE532" s="1" t="s">
        <v>6315</v>
      </c>
      <c r="AF532" s="1" t="s">
        <v>6316</v>
      </c>
      <c r="AG532" s="1" t="s">
        <v>6317</v>
      </c>
      <c r="AI532" s="1">
        <v>4.7</v>
      </c>
      <c r="AJ532" s="1">
        <v>1261</v>
      </c>
      <c r="AK532" s="1">
        <v>3264</v>
      </c>
      <c r="AL532" s="1">
        <v>232</v>
      </c>
    </row>
    <row r="533" spans="1:38" ht="15.75" customHeight="1">
      <c r="A533" s="1">
        <v>481</v>
      </c>
      <c r="B533" s="1">
        <v>4</v>
      </c>
      <c r="C533" s="1">
        <v>4050</v>
      </c>
      <c r="D533" s="1" t="s">
        <v>38</v>
      </c>
      <c r="E533" s="1" t="s">
        <v>39</v>
      </c>
      <c r="F533" s="1" t="s">
        <v>1153</v>
      </c>
      <c r="G533" s="1">
        <v>0</v>
      </c>
      <c r="H533" s="1" t="s">
        <v>41</v>
      </c>
      <c r="I533" s="1" t="s">
        <v>6318</v>
      </c>
      <c r="J533" s="1" t="s">
        <v>6319</v>
      </c>
      <c r="K533" s="1" t="s">
        <v>6320</v>
      </c>
      <c r="L533" s="1">
        <v>1</v>
      </c>
      <c r="M533" s="1">
        <v>0</v>
      </c>
      <c r="N533" s="1" t="s">
        <v>6321</v>
      </c>
      <c r="O533" s="1" t="s">
        <v>6322</v>
      </c>
      <c r="P533" s="1" t="s">
        <v>6323</v>
      </c>
      <c r="Q533" s="1">
        <v>0</v>
      </c>
      <c r="R533" s="1" t="s">
        <v>6324</v>
      </c>
      <c r="S533" s="1" t="s">
        <v>6325</v>
      </c>
      <c r="U533" s="2">
        <v>56769</v>
      </c>
      <c r="V533" s="1">
        <v>4.5</v>
      </c>
      <c r="W533" s="1">
        <v>2500</v>
      </c>
      <c r="X533" s="1">
        <v>3395</v>
      </c>
      <c r="Y533" s="1">
        <v>1285</v>
      </c>
      <c r="Z533" s="1">
        <v>502</v>
      </c>
      <c r="AA533" s="1">
        <v>1608</v>
      </c>
      <c r="AB533" s="1">
        <v>0</v>
      </c>
      <c r="AC533" s="1">
        <v>3</v>
      </c>
      <c r="AD533" s="1" t="s">
        <v>76</v>
      </c>
      <c r="AE533" s="1" t="s">
        <v>6326</v>
      </c>
      <c r="AF533" s="1" t="s">
        <v>6327</v>
      </c>
      <c r="AG533" s="1" t="s">
        <v>6328</v>
      </c>
      <c r="AH533" s="1" t="s">
        <v>6329</v>
      </c>
      <c r="AI533" s="1">
        <v>4.58</v>
      </c>
      <c r="AJ533" s="1">
        <v>679</v>
      </c>
      <c r="AK533" s="1">
        <v>2371</v>
      </c>
      <c r="AL533" s="1">
        <v>1830</v>
      </c>
    </row>
    <row r="534" spans="1:38" ht="15.75" customHeight="1">
      <c r="A534" s="1">
        <v>429</v>
      </c>
      <c r="B534" s="1">
        <v>3</v>
      </c>
      <c r="C534" s="1">
        <v>4050</v>
      </c>
      <c r="D534" s="1" t="s">
        <v>38</v>
      </c>
      <c r="E534" s="1" t="s">
        <v>39</v>
      </c>
      <c r="F534" s="1" t="s">
        <v>510</v>
      </c>
      <c r="G534" s="1">
        <v>0</v>
      </c>
      <c r="H534" s="1" t="s">
        <v>41</v>
      </c>
      <c r="I534" s="1" t="s">
        <v>6330</v>
      </c>
      <c r="J534" s="1" t="s">
        <v>6331</v>
      </c>
      <c r="K534" s="1" t="s">
        <v>6332</v>
      </c>
      <c r="L534" s="1">
        <v>1</v>
      </c>
      <c r="M534" s="1">
        <v>0</v>
      </c>
      <c r="N534" s="1" t="s">
        <v>6333</v>
      </c>
      <c r="O534" s="1" t="s">
        <v>6334</v>
      </c>
      <c r="P534" s="1" t="s">
        <v>6335</v>
      </c>
      <c r="Q534" s="1">
        <v>0</v>
      </c>
      <c r="R534" s="1" t="s">
        <v>6336</v>
      </c>
      <c r="U534" s="2">
        <v>56769</v>
      </c>
      <c r="V534" s="1">
        <v>4.5999999999999996</v>
      </c>
      <c r="W534" s="1">
        <v>2500</v>
      </c>
      <c r="X534" s="1">
        <v>1640</v>
      </c>
      <c r="AA534" s="1">
        <v>1179</v>
      </c>
      <c r="AB534" s="1">
        <v>1</v>
      </c>
      <c r="AC534" s="1">
        <v>3</v>
      </c>
      <c r="AE534" s="1" t="s">
        <v>6337</v>
      </c>
      <c r="AF534" s="1" t="s">
        <v>6338</v>
      </c>
      <c r="AG534" s="1" t="s">
        <v>6339</v>
      </c>
      <c r="AI534" s="1">
        <v>4.62</v>
      </c>
      <c r="AJ534" s="1">
        <v>259</v>
      </c>
      <c r="AK534" s="1">
        <v>604</v>
      </c>
      <c r="AL534" s="1">
        <v>21</v>
      </c>
    </row>
    <row r="535" spans="1:38" ht="15.75" customHeight="1">
      <c r="A535" s="1">
        <v>870</v>
      </c>
      <c r="B535" s="1">
        <v>5</v>
      </c>
      <c r="C535" s="1">
        <v>4050</v>
      </c>
      <c r="D535" s="1" t="s">
        <v>38</v>
      </c>
      <c r="E535" s="1" t="s">
        <v>39</v>
      </c>
      <c r="F535" s="1" t="s">
        <v>116</v>
      </c>
      <c r="G535" s="1">
        <v>0</v>
      </c>
      <c r="H535" s="1" t="s">
        <v>41</v>
      </c>
      <c r="I535" s="1" t="s">
        <v>6340</v>
      </c>
      <c r="J535" s="1" t="s">
        <v>6341</v>
      </c>
      <c r="K535" s="1" t="s">
        <v>6342</v>
      </c>
      <c r="L535" s="1">
        <v>1</v>
      </c>
      <c r="M535" s="1">
        <v>0</v>
      </c>
      <c r="N535" s="1" t="s">
        <v>6343</v>
      </c>
      <c r="O535" s="1" t="s">
        <v>6344</v>
      </c>
      <c r="P535" s="1" t="s">
        <v>6345</v>
      </c>
      <c r="Q535" s="1">
        <v>0</v>
      </c>
      <c r="R535" s="1" t="s">
        <v>6346</v>
      </c>
      <c r="S535" s="1" t="s">
        <v>6347</v>
      </c>
      <c r="U535" s="2">
        <v>56772</v>
      </c>
      <c r="V535" s="1">
        <v>4.5999999999999996</v>
      </c>
      <c r="W535" s="1">
        <v>2500</v>
      </c>
      <c r="X535" s="1">
        <v>2273</v>
      </c>
      <c r="Y535" s="1">
        <v>646</v>
      </c>
      <c r="Z535" s="1">
        <v>578</v>
      </c>
      <c r="AA535" s="1">
        <v>1049</v>
      </c>
      <c r="AB535" s="1">
        <v>0</v>
      </c>
      <c r="AC535" s="1">
        <v>3</v>
      </c>
      <c r="AD535" s="1" t="s">
        <v>62</v>
      </c>
      <c r="AE535" s="1" t="s">
        <v>6348</v>
      </c>
      <c r="AF535" s="1" t="s">
        <v>6349</v>
      </c>
      <c r="AG535" s="1" t="s">
        <v>6350</v>
      </c>
      <c r="AH535" s="1" t="s">
        <v>6351</v>
      </c>
      <c r="AI535" s="1">
        <v>4.8899999999999997</v>
      </c>
      <c r="AJ535" s="1">
        <v>1778</v>
      </c>
      <c r="AK535" s="1">
        <v>5138</v>
      </c>
      <c r="AL535" s="1">
        <v>314</v>
      </c>
    </row>
    <row r="536" spans="1:38" ht="15.75" customHeight="1">
      <c r="A536" s="1">
        <v>1344</v>
      </c>
      <c r="B536" s="1">
        <v>1</v>
      </c>
      <c r="C536" s="1">
        <v>4001</v>
      </c>
      <c r="D536" s="1" t="s">
        <v>51</v>
      </c>
      <c r="E536" s="1" t="s">
        <v>39</v>
      </c>
      <c r="F536" s="1" t="s">
        <v>648</v>
      </c>
      <c r="G536" s="1">
        <v>0</v>
      </c>
      <c r="H536" s="1" t="s">
        <v>53</v>
      </c>
      <c r="I536" s="1" t="s">
        <v>6352</v>
      </c>
      <c r="J536" s="1" t="s">
        <v>6353</v>
      </c>
      <c r="K536" s="1" t="s">
        <v>6354</v>
      </c>
      <c r="L536" s="1">
        <v>1</v>
      </c>
      <c r="M536" s="1">
        <v>1</v>
      </c>
      <c r="N536" s="1" t="s">
        <v>6355</v>
      </c>
      <c r="O536" s="1" t="s">
        <v>6356</v>
      </c>
      <c r="P536" s="1" t="s">
        <v>6357</v>
      </c>
      <c r="Q536" s="1">
        <v>0</v>
      </c>
      <c r="R536" s="1" t="s">
        <v>6358</v>
      </c>
      <c r="S536" s="1" t="s">
        <v>6359</v>
      </c>
      <c r="U536" s="2">
        <v>56776</v>
      </c>
      <c r="V536" s="1">
        <v>2.856812235</v>
      </c>
      <c r="W536" s="1">
        <v>2500</v>
      </c>
      <c r="X536" s="1">
        <v>2579</v>
      </c>
      <c r="Z536" s="1">
        <v>1412</v>
      </c>
      <c r="AA536" s="1">
        <v>1168</v>
      </c>
      <c r="AB536" s="1">
        <v>1</v>
      </c>
      <c r="AC536" s="1">
        <v>4</v>
      </c>
      <c r="AE536" s="1" t="s">
        <v>6360</v>
      </c>
      <c r="AF536" s="1" t="s">
        <v>6361</v>
      </c>
      <c r="AG536" s="1" t="s">
        <v>6362</v>
      </c>
      <c r="AH536" s="1" t="s">
        <v>6363</v>
      </c>
      <c r="AI536" s="1">
        <v>4.7</v>
      </c>
      <c r="AJ536" s="1">
        <v>443</v>
      </c>
      <c r="AK536" s="1">
        <v>1579</v>
      </c>
    </row>
    <row r="537" spans="1:38" ht="15.75" customHeight="1">
      <c r="A537" s="1">
        <v>74</v>
      </c>
      <c r="C537" s="1">
        <v>4001</v>
      </c>
      <c r="D537" s="1" t="s">
        <v>51</v>
      </c>
      <c r="E537" s="1" t="s">
        <v>39</v>
      </c>
      <c r="F537" s="1" t="s">
        <v>341</v>
      </c>
      <c r="G537" s="1">
        <v>0</v>
      </c>
      <c r="H537" s="1" t="s">
        <v>41</v>
      </c>
      <c r="I537" s="1" t="s">
        <v>6364</v>
      </c>
      <c r="J537" s="1" t="s">
        <v>6365</v>
      </c>
      <c r="K537" s="1" t="s">
        <v>6366</v>
      </c>
      <c r="L537" s="1">
        <v>1</v>
      </c>
      <c r="M537" s="1">
        <v>0</v>
      </c>
      <c r="N537" s="1" t="s">
        <v>6367</v>
      </c>
      <c r="O537" s="1" t="s">
        <v>6368</v>
      </c>
      <c r="P537" s="1" t="s">
        <v>6369</v>
      </c>
      <c r="Q537" s="1">
        <v>0</v>
      </c>
      <c r="R537" s="1" t="s">
        <v>6370</v>
      </c>
      <c r="S537" s="1" t="s">
        <v>6371</v>
      </c>
      <c r="U537" s="2">
        <v>56766</v>
      </c>
      <c r="V537" s="1">
        <v>4.5999999999999996</v>
      </c>
      <c r="W537" s="1">
        <v>2500</v>
      </c>
      <c r="X537" s="1">
        <v>1702</v>
      </c>
      <c r="Y537" s="1">
        <v>306</v>
      </c>
      <c r="Z537" s="1">
        <v>392</v>
      </c>
      <c r="AA537" s="1">
        <v>1004</v>
      </c>
      <c r="AB537" s="1">
        <v>0</v>
      </c>
      <c r="AC537" s="1">
        <v>1</v>
      </c>
      <c r="AE537" s="1" t="s">
        <v>6372</v>
      </c>
      <c r="AF537" s="1" t="s">
        <v>6373</v>
      </c>
      <c r="AG537" s="1" t="s">
        <v>6374</v>
      </c>
      <c r="AH537" s="1" t="s">
        <v>6375</v>
      </c>
      <c r="AI537" s="1">
        <v>4.54</v>
      </c>
      <c r="AJ537" s="1">
        <v>2229</v>
      </c>
      <c r="AK537" s="1">
        <v>6580</v>
      </c>
    </row>
    <row r="538" spans="1:38" ht="15.75" customHeight="1">
      <c r="A538" s="1">
        <v>302</v>
      </c>
      <c r="C538" s="1">
        <v>4001</v>
      </c>
      <c r="D538" s="1" t="s">
        <v>51</v>
      </c>
      <c r="E538" s="1" t="s">
        <v>39</v>
      </c>
      <c r="F538" s="1" t="s">
        <v>305</v>
      </c>
      <c r="G538" s="1">
        <v>0</v>
      </c>
      <c r="H538" s="1" t="s">
        <v>53</v>
      </c>
      <c r="I538" s="1" t="s">
        <v>6376</v>
      </c>
      <c r="J538" s="1" t="s">
        <v>6377</v>
      </c>
      <c r="K538" s="1" t="s">
        <v>6378</v>
      </c>
      <c r="L538" s="1">
        <v>1</v>
      </c>
      <c r="M538" s="1">
        <v>0</v>
      </c>
      <c r="N538" s="1" t="s">
        <v>6379</v>
      </c>
      <c r="O538" s="1" t="s">
        <v>6380</v>
      </c>
      <c r="P538" s="1" t="s">
        <v>6381</v>
      </c>
      <c r="Q538" s="1">
        <v>0</v>
      </c>
      <c r="R538" s="1" t="s">
        <v>6382</v>
      </c>
      <c r="S538" s="1" t="s">
        <v>6383</v>
      </c>
      <c r="U538" s="2">
        <v>56768</v>
      </c>
      <c r="V538" s="1">
        <v>4.4000000000000004</v>
      </c>
      <c r="W538" s="1">
        <v>2500</v>
      </c>
      <c r="X538" s="1">
        <v>1074</v>
      </c>
      <c r="Y538" s="1">
        <v>247</v>
      </c>
      <c r="Z538" s="1">
        <v>118</v>
      </c>
      <c r="AA538" s="1">
        <v>709</v>
      </c>
      <c r="AB538" s="1">
        <v>0</v>
      </c>
      <c r="AC538" s="1">
        <v>2</v>
      </c>
      <c r="AD538" s="1" t="s">
        <v>215</v>
      </c>
      <c r="AE538" s="1" t="s">
        <v>6384</v>
      </c>
      <c r="AF538" s="1" t="s">
        <v>6385</v>
      </c>
      <c r="AG538" s="1" t="s">
        <v>6386</v>
      </c>
      <c r="AH538" s="1" t="s">
        <v>6387</v>
      </c>
      <c r="AI538" s="1">
        <v>4.5199999999999996</v>
      </c>
      <c r="AJ538" s="1">
        <v>183</v>
      </c>
      <c r="AK538" s="1">
        <v>522</v>
      </c>
    </row>
    <row r="539" spans="1:38" ht="15.75" customHeight="1">
      <c r="A539" s="1">
        <v>324</v>
      </c>
      <c r="B539" s="1">
        <v>5</v>
      </c>
      <c r="C539" s="1">
        <v>4050</v>
      </c>
      <c r="D539" s="1" t="s">
        <v>38</v>
      </c>
      <c r="E539" s="1" t="s">
        <v>39</v>
      </c>
      <c r="F539" s="1" t="s">
        <v>532</v>
      </c>
      <c r="G539" s="1">
        <v>0</v>
      </c>
      <c r="H539" s="1" t="s">
        <v>41</v>
      </c>
      <c r="I539" s="1" t="s">
        <v>6388</v>
      </c>
      <c r="J539" s="1" t="s">
        <v>6389</v>
      </c>
      <c r="K539" s="1" t="s">
        <v>6390</v>
      </c>
      <c r="L539" s="1">
        <v>1</v>
      </c>
      <c r="M539" s="1">
        <v>0</v>
      </c>
      <c r="N539" s="1" t="s">
        <v>6391</v>
      </c>
      <c r="O539" s="1" t="s">
        <v>6392</v>
      </c>
      <c r="P539" s="1" t="s">
        <v>6393</v>
      </c>
      <c r="Q539" s="1">
        <v>0</v>
      </c>
      <c r="R539" s="1" t="s">
        <v>6394</v>
      </c>
      <c r="U539" s="2">
        <v>56768</v>
      </c>
      <c r="V539" s="1">
        <v>4.5999999999999996</v>
      </c>
      <c r="W539" s="1">
        <v>2500</v>
      </c>
      <c r="X539" s="1">
        <v>3304</v>
      </c>
      <c r="AA539" s="1">
        <v>2038</v>
      </c>
      <c r="AB539" s="1">
        <v>0</v>
      </c>
      <c r="AC539" s="1">
        <v>3</v>
      </c>
      <c r="AE539" s="1" t="s">
        <v>6395</v>
      </c>
      <c r="AF539" s="1" t="s">
        <v>6396</v>
      </c>
      <c r="AG539" s="1" t="s">
        <v>6397</v>
      </c>
      <c r="AI539" s="1">
        <v>4.63</v>
      </c>
      <c r="AJ539" s="1">
        <v>241</v>
      </c>
      <c r="AK539" s="1">
        <v>995</v>
      </c>
      <c r="AL539" s="1">
        <v>626</v>
      </c>
    </row>
    <row r="540" spans="1:38" ht="15.75" customHeight="1">
      <c r="A540" s="1">
        <v>401</v>
      </c>
      <c r="C540" s="1">
        <v>4001</v>
      </c>
      <c r="D540" s="1" t="s">
        <v>51</v>
      </c>
      <c r="E540" s="1" t="s">
        <v>39</v>
      </c>
      <c r="F540" s="1" t="s">
        <v>414</v>
      </c>
      <c r="G540" s="1">
        <v>0</v>
      </c>
      <c r="H540" s="1" t="s">
        <v>53</v>
      </c>
      <c r="I540" s="1" t="s">
        <v>6398</v>
      </c>
      <c r="J540" s="1" t="s">
        <v>6399</v>
      </c>
      <c r="K540" s="1" t="s">
        <v>6400</v>
      </c>
      <c r="L540" s="1">
        <v>1</v>
      </c>
      <c r="M540" s="1">
        <v>0</v>
      </c>
      <c r="N540" s="1" t="s">
        <v>6401</v>
      </c>
      <c r="O540" s="1" t="s">
        <v>6402</v>
      </c>
      <c r="P540" s="1" t="s">
        <v>6403</v>
      </c>
      <c r="Q540" s="1">
        <v>0</v>
      </c>
      <c r="R540" s="1" t="s">
        <v>6404</v>
      </c>
      <c r="S540" s="1" t="s">
        <v>6405</v>
      </c>
      <c r="U540" s="2">
        <v>56769</v>
      </c>
      <c r="V540" s="1">
        <v>2.7963354219999998</v>
      </c>
      <c r="W540" s="1">
        <v>2500</v>
      </c>
      <c r="X540" s="1">
        <v>2547</v>
      </c>
      <c r="Y540" s="1">
        <v>1613</v>
      </c>
      <c r="AA540" s="1">
        <v>937</v>
      </c>
      <c r="AB540" s="1">
        <v>0</v>
      </c>
      <c r="AC540" s="1">
        <v>6</v>
      </c>
      <c r="AD540" s="1" t="s">
        <v>215</v>
      </c>
      <c r="AE540" s="1" t="s">
        <v>6406</v>
      </c>
      <c r="AF540" s="1" t="s">
        <v>6407</v>
      </c>
      <c r="AG540" s="1" t="s">
        <v>6408</v>
      </c>
      <c r="AH540" s="1" t="s">
        <v>6409</v>
      </c>
      <c r="AI540" s="1">
        <v>4.58</v>
      </c>
      <c r="AJ540" s="1">
        <v>254</v>
      </c>
      <c r="AK540" s="1">
        <v>788</v>
      </c>
      <c r="AL540" s="1">
        <v>9</v>
      </c>
    </row>
    <row r="541" spans="1:38" ht="15.75" customHeight="1">
      <c r="A541" s="1">
        <v>654</v>
      </c>
      <c r="C541" s="1">
        <v>4050</v>
      </c>
      <c r="D541" s="1" t="s">
        <v>38</v>
      </c>
      <c r="E541" s="1" t="s">
        <v>39</v>
      </c>
      <c r="F541" s="1" t="s">
        <v>390</v>
      </c>
      <c r="G541" s="1">
        <v>0</v>
      </c>
      <c r="H541" s="1" t="s">
        <v>41</v>
      </c>
      <c r="I541" s="1" t="s">
        <v>6410</v>
      </c>
      <c r="J541" s="1" t="s">
        <v>6411</v>
      </c>
      <c r="K541" s="1" t="s">
        <v>6412</v>
      </c>
      <c r="L541" s="1">
        <v>1</v>
      </c>
      <c r="M541" s="1">
        <v>0</v>
      </c>
      <c r="N541" s="1" t="s">
        <v>6413</v>
      </c>
      <c r="O541" s="1" t="s">
        <v>6414</v>
      </c>
      <c r="P541" s="1" t="s">
        <v>6415</v>
      </c>
      <c r="Q541" s="1">
        <v>0</v>
      </c>
      <c r="R541" s="1" t="s">
        <v>6416</v>
      </c>
      <c r="U541" s="2">
        <v>56770</v>
      </c>
      <c r="V541" s="1">
        <v>4.5999999999999996</v>
      </c>
      <c r="W541" s="1">
        <v>2500</v>
      </c>
      <c r="X541" s="1">
        <v>1321</v>
      </c>
      <c r="AA541" s="1">
        <v>431</v>
      </c>
      <c r="AB541" s="1">
        <v>0</v>
      </c>
      <c r="AC541" s="1">
        <v>2</v>
      </c>
      <c r="AE541" s="1" t="s">
        <v>6417</v>
      </c>
      <c r="AF541" s="1" t="s">
        <v>6418</v>
      </c>
      <c r="AG541" s="1" t="s">
        <v>6419</v>
      </c>
      <c r="AI541" s="1">
        <v>4.5599999999999996</v>
      </c>
      <c r="AJ541" s="1">
        <v>344</v>
      </c>
      <c r="AK541" s="1">
        <v>947</v>
      </c>
      <c r="AL541" s="1">
        <v>22</v>
      </c>
    </row>
    <row r="542" spans="1:38" ht="15.75" customHeight="1">
      <c r="A542" s="1">
        <v>665</v>
      </c>
      <c r="B542" s="1">
        <v>2</v>
      </c>
      <c r="C542" s="1">
        <v>4050</v>
      </c>
      <c r="D542" s="1" t="s">
        <v>38</v>
      </c>
      <c r="E542" s="1" t="s">
        <v>39</v>
      </c>
      <c r="F542" s="1" t="s">
        <v>1348</v>
      </c>
      <c r="G542" s="1">
        <v>0</v>
      </c>
      <c r="H542" s="1" t="s">
        <v>41</v>
      </c>
      <c r="I542" s="1" t="s">
        <v>6420</v>
      </c>
      <c r="J542" s="1" t="s">
        <v>6421</v>
      </c>
      <c r="K542" s="1" t="s">
        <v>6422</v>
      </c>
      <c r="L542" s="1">
        <v>1</v>
      </c>
      <c r="M542" s="1">
        <v>0</v>
      </c>
      <c r="N542" s="1" t="s">
        <v>6423</v>
      </c>
      <c r="O542" s="1" t="s">
        <v>6424</v>
      </c>
      <c r="P542" s="1" t="s">
        <v>6425</v>
      </c>
      <c r="Q542" s="1">
        <v>0</v>
      </c>
      <c r="R542" s="1" t="s">
        <v>6426</v>
      </c>
      <c r="S542" s="1" t="s">
        <v>6427</v>
      </c>
      <c r="U542" s="2">
        <v>56770</v>
      </c>
      <c r="V542" s="1">
        <v>3.287307105</v>
      </c>
      <c r="W542" s="1">
        <v>2500</v>
      </c>
      <c r="X542" s="1">
        <v>3910</v>
      </c>
      <c r="Y542" s="1">
        <v>2700</v>
      </c>
      <c r="Z542" s="1">
        <v>163</v>
      </c>
      <c r="AA542" s="1">
        <v>1047</v>
      </c>
      <c r="AB542" s="1">
        <v>1</v>
      </c>
      <c r="AC542" s="1">
        <v>3</v>
      </c>
      <c r="AE542" s="1" t="s">
        <v>6428</v>
      </c>
      <c r="AF542" s="1" t="s">
        <v>6429</v>
      </c>
      <c r="AG542" s="1" t="s">
        <v>6430</v>
      </c>
      <c r="AH542" s="1" t="s">
        <v>6431</v>
      </c>
      <c r="AI542" s="1">
        <v>4.79</v>
      </c>
      <c r="AJ542" s="1">
        <v>1007</v>
      </c>
      <c r="AK542" s="1">
        <v>2899</v>
      </c>
      <c r="AL542" s="1">
        <v>1301</v>
      </c>
    </row>
    <row r="543" spans="1:38" ht="15.75" customHeight="1">
      <c r="A543" s="1">
        <v>673</v>
      </c>
      <c r="B543" s="1">
        <v>5</v>
      </c>
      <c r="C543" s="1">
        <v>4050</v>
      </c>
      <c r="D543" s="1" t="s">
        <v>38</v>
      </c>
      <c r="E543" s="1" t="s">
        <v>39</v>
      </c>
      <c r="F543" s="1" t="s">
        <v>40</v>
      </c>
      <c r="G543" s="1">
        <v>0</v>
      </c>
      <c r="H543" s="1" t="s">
        <v>41</v>
      </c>
      <c r="I543" s="1" t="s">
        <v>6432</v>
      </c>
      <c r="J543" s="1" t="s">
        <v>6433</v>
      </c>
      <c r="K543" s="1" t="s">
        <v>6434</v>
      </c>
      <c r="L543" s="1">
        <v>1</v>
      </c>
      <c r="M543" s="1">
        <v>0</v>
      </c>
      <c r="N543" s="1" t="s">
        <v>6435</v>
      </c>
      <c r="O543" s="1" t="s">
        <v>6436</v>
      </c>
      <c r="P543" s="1" t="s">
        <v>6437</v>
      </c>
      <c r="Q543" s="1">
        <v>0</v>
      </c>
      <c r="R543" s="1" t="s">
        <v>6438</v>
      </c>
      <c r="S543" s="1" t="s">
        <v>6439</v>
      </c>
      <c r="U543" s="2">
        <v>56770</v>
      </c>
      <c r="V543" s="1">
        <v>4.7</v>
      </c>
      <c r="W543" s="1">
        <v>2500</v>
      </c>
      <c r="X543" s="1">
        <v>1408</v>
      </c>
      <c r="Y543" s="1">
        <v>591</v>
      </c>
      <c r="Z543" s="1">
        <v>331</v>
      </c>
      <c r="AA543" s="1">
        <v>486</v>
      </c>
      <c r="AB543" s="1">
        <v>0</v>
      </c>
      <c r="AC543" s="1">
        <v>3</v>
      </c>
      <c r="AD543" s="1" t="s">
        <v>62</v>
      </c>
      <c r="AE543" s="1" t="s">
        <v>6440</v>
      </c>
      <c r="AF543" s="1" t="s">
        <v>6441</v>
      </c>
      <c r="AG543" s="1" t="s">
        <v>6442</v>
      </c>
      <c r="AH543" s="1" t="s">
        <v>6443</v>
      </c>
      <c r="AI543" s="1">
        <v>4.7</v>
      </c>
      <c r="AJ543" s="1">
        <v>1261</v>
      </c>
      <c r="AK543" s="1">
        <v>3264</v>
      </c>
      <c r="AL543" s="1">
        <v>232</v>
      </c>
    </row>
    <row r="544" spans="1:38" ht="15.75" customHeight="1">
      <c r="A544" s="1">
        <v>1003</v>
      </c>
      <c r="C544" s="1">
        <v>4001</v>
      </c>
      <c r="D544" s="1" t="s">
        <v>51</v>
      </c>
      <c r="E544" s="1" t="s">
        <v>39</v>
      </c>
      <c r="F544" s="1" t="s">
        <v>708</v>
      </c>
      <c r="G544" s="1">
        <v>0</v>
      </c>
      <c r="H544" s="1" t="s">
        <v>53</v>
      </c>
      <c r="I544" s="1" t="s">
        <v>6444</v>
      </c>
      <c r="J544" s="1" t="s">
        <v>6445</v>
      </c>
      <c r="K544" s="1" t="s">
        <v>6446</v>
      </c>
      <c r="L544" s="1">
        <v>1</v>
      </c>
      <c r="M544" s="1">
        <v>0</v>
      </c>
      <c r="N544" s="1" t="s">
        <v>6447</v>
      </c>
      <c r="O544" s="1" t="s">
        <v>6448</v>
      </c>
      <c r="P544" s="1" t="s">
        <v>6449</v>
      </c>
      <c r="Q544" s="1">
        <v>0</v>
      </c>
      <c r="R544" s="1" t="s">
        <v>6450</v>
      </c>
      <c r="S544" s="1" t="s">
        <v>6451</v>
      </c>
      <c r="U544" s="2">
        <v>56773</v>
      </c>
      <c r="V544" s="1">
        <v>4.2</v>
      </c>
      <c r="W544" s="1">
        <v>2500</v>
      </c>
      <c r="X544" s="1">
        <v>1650</v>
      </c>
      <c r="Y544" s="1">
        <v>564</v>
      </c>
      <c r="Z544" s="1">
        <v>344</v>
      </c>
      <c r="AA544" s="1">
        <v>742</v>
      </c>
      <c r="AB544" s="1">
        <v>0</v>
      </c>
      <c r="AC544" s="1">
        <v>4</v>
      </c>
      <c r="AE544" s="1" t="s">
        <v>6452</v>
      </c>
      <c r="AF544" s="1" t="s">
        <v>6453</v>
      </c>
      <c r="AG544" s="1" t="s">
        <v>6454</v>
      </c>
      <c r="AH544" s="1" t="s">
        <v>6455</v>
      </c>
      <c r="AI544" s="1">
        <v>4.5999999999999996</v>
      </c>
      <c r="AJ544" s="1">
        <v>292</v>
      </c>
      <c r="AK544" s="1">
        <v>1027</v>
      </c>
      <c r="AL544" s="1">
        <v>26</v>
      </c>
    </row>
    <row r="545" spans="1:38" ht="15.75" customHeight="1">
      <c r="A545" s="1">
        <v>1533</v>
      </c>
      <c r="C545" s="1">
        <v>4001</v>
      </c>
      <c r="D545" s="1" t="s">
        <v>51</v>
      </c>
      <c r="E545" s="1" t="s">
        <v>39</v>
      </c>
      <c r="F545" s="1" t="s">
        <v>232</v>
      </c>
      <c r="G545" s="1">
        <v>0</v>
      </c>
      <c r="H545" s="1" t="s">
        <v>53</v>
      </c>
      <c r="I545" s="1" t="s">
        <v>6456</v>
      </c>
      <c r="J545" s="1" t="s">
        <v>6457</v>
      </c>
      <c r="K545" s="1" t="s">
        <v>6458</v>
      </c>
      <c r="L545" s="1">
        <v>1</v>
      </c>
      <c r="M545" s="1">
        <v>0</v>
      </c>
      <c r="N545" s="1" t="s">
        <v>6459</v>
      </c>
      <c r="O545" s="1" t="s">
        <v>6460</v>
      </c>
      <c r="P545" s="1" t="s">
        <v>6461</v>
      </c>
      <c r="Q545" s="1">
        <v>0</v>
      </c>
      <c r="R545" s="1" t="s">
        <v>6462</v>
      </c>
      <c r="S545" s="1" t="s">
        <v>6463</v>
      </c>
      <c r="U545" s="2">
        <v>56777</v>
      </c>
      <c r="V545" s="1">
        <v>2.9898789159999999</v>
      </c>
      <c r="W545" s="1">
        <v>2500</v>
      </c>
      <c r="X545" s="1">
        <v>1451</v>
      </c>
      <c r="Y545" s="1">
        <v>749</v>
      </c>
      <c r="Z545" s="1">
        <v>6</v>
      </c>
      <c r="AA545" s="1">
        <v>696</v>
      </c>
      <c r="AB545" s="1">
        <v>0</v>
      </c>
      <c r="AC545" s="1">
        <v>3</v>
      </c>
      <c r="AD545" s="1" t="s">
        <v>76</v>
      </c>
      <c r="AE545" s="1" t="s">
        <v>6464</v>
      </c>
      <c r="AF545" s="1" t="s">
        <v>6465</v>
      </c>
      <c r="AG545" s="1" t="s">
        <v>6466</v>
      </c>
      <c r="AH545" s="1" t="s">
        <v>6467</v>
      </c>
      <c r="AI545" s="1">
        <v>4.5599999999999996</v>
      </c>
      <c r="AJ545" s="1">
        <v>765</v>
      </c>
      <c r="AK545" s="1">
        <v>2618</v>
      </c>
    </row>
    <row r="546" spans="1:38" ht="15.75" customHeight="1">
      <c r="A546" s="1">
        <v>42</v>
      </c>
      <c r="B546" s="1">
        <v>5</v>
      </c>
      <c r="C546" s="1">
        <v>4050</v>
      </c>
      <c r="D546" s="1" t="s">
        <v>38</v>
      </c>
      <c r="E546" s="1" t="s">
        <v>39</v>
      </c>
      <c r="F546" s="1" t="s">
        <v>220</v>
      </c>
      <c r="G546" s="1">
        <v>0</v>
      </c>
      <c r="H546" s="1" t="s">
        <v>41</v>
      </c>
      <c r="I546" s="1" t="s">
        <v>6468</v>
      </c>
      <c r="J546" s="1" t="s">
        <v>6469</v>
      </c>
      <c r="K546" s="1" t="s">
        <v>6470</v>
      </c>
      <c r="L546" s="1">
        <v>1</v>
      </c>
      <c r="M546" s="1">
        <v>0</v>
      </c>
      <c r="N546" s="1" t="s">
        <v>6471</v>
      </c>
      <c r="O546" s="1" t="s">
        <v>6472</v>
      </c>
      <c r="P546" s="1" t="s">
        <v>6473</v>
      </c>
      <c r="Q546" s="1">
        <v>0</v>
      </c>
      <c r="R546" s="1" t="s">
        <v>6474</v>
      </c>
      <c r="U546" s="2">
        <v>56766</v>
      </c>
      <c r="V546" s="1">
        <v>4.5999999999999996</v>
      </c>
      <c r="W546" s="1">
        <v>2500</v>
      </c>
      <c r="X546" s="1">
        <v>1876</v>
      </c>
      <c r="AA546" s="1">
        <v>990</v>
      </c>
      <c r="AB546" s="1">
        <v>0</v>
      </c>
      <c r="AC546" s="1">
        <v>2</v>
      </c>
      <c r="AE546" s="1" t="s">
        <v>6475</v>
      </c>
      <c r="AF546" s="1" t="s">
        <v>6476</v>
      </c>
      <c r="AG546" s="1" t="s">
        <v>6477</v>
      </c>
      <c r="AI546" s="1">
        <v>4.42</v>
      </c>
      <c r="AJ546" s="1">
        <v>1396</v>
      </c>
      <c r="AK546" s="1">
        <v>4836</v>
      </c>
      <c r="AL546" s="1">
        <v>1278</v>
      </c>
    </row>
    <row r="547" spans="1:38" ht="15.75" customHeight="1">
      <c r="A547" s="1">
        <v>577</v>
      </c>
      <c r="B547" s="1">
        <v>5</v>
      </c>
      <c r="C547" s="1">
        <v>4050</v>
      </c>
      <c r="D547" s="1" t="s">
        <v>38</v>
      </c>
      <c r="E547" s="1" t="s">
        <v>39</v>
      </c>
      <c r="F547" s="1" t="s">
        <v>40</v>
      </c>
      <c r="G547" s="1">
        <v>0</v>
      </c>
      <c r="H547" s="1" t="s">
        <v>41</v>
      </c>
      <c r="I547" s="1" t="s">
        <v>6478</v>
      </c>
      <c r="J547" s="1" t="s">
        <v>6479</v>
      </c>
      <c r="K547" s="1" t="s">
        <v>6480</v>
      </c>
      <c r="L547" s="1">
        <v>1</v>
      </c>
      <c r="M547" s="1">
        <v>0</v>
      </c>
      <c r="N547" s="1" t="s">
        <v>6481</v>
      </c>
      <c r="O547" s="1" t="s">
        <v>6482</v>
      </c>
      <c r="P547" s="1" t="s">
        <v>6483</v>
      </c>
      <c r="Q547" s="1">
        <v>0</v>
      </c>
      <c r="R547" s="1" t="s">
        <v>6484</v>
      </c>
      <c r="S547" s="1" t="s">
        <v>6485</v>
      </c>
      <c r="U547" s="2">
        <v>56770</v>
      </c>
      <c r="V547" s="1">
        <v>4.5</v>
      </c>
      <c r="W547" s="1">
        <v>2500</v>
      </c>
      <c r="X547" s="1">
        <v>4200</v>
      </c>
      <c r="Y547" s="1">
        <v>797</v>
      </c>
      <c r="Z547" s="1">
        <v>856</v>
      </c>
      <c r="AA547" s="1">
        <v>2547</v>
      </c>
      <c r="AB547" s="1">
        <v>1</v>
      </c>
      <c r="AC547" s="1">
        <v>2</v>
      </c>
      <c r="AE547" s="1" t="s">
        <v>6486</v>
      </c>
      <c r="AF547" s="1" t="s">
        <v>6487</v>
      </c>
      <c r="AG547" s="1" t="s">
        <v>6488</v>
      </c>
      <c r="AH547" s="1" t="s">
        <v>6489</v>
      </c>
      <c r="AI547" s="1">
        <v>4.7</v>
      </c>
      <c r="AJ547" s="1">
        <v>1261</v>
      </c>
      <c r="AK547" s="1">
        <v>3264</v>
      </c>
      <c r="AL547" s="1">
        <v>232</v>
      </c>
    </row>
    <row r="548" spans="1:38" ht="15.75" customHeight="1">
      <c r="A548" s="1">
        <v>637</v>
      </c>
      <c r="C548" s="1">
        <v>4050</v>
      </c>
      <c r="D548" s="1" t="s">
        <v>38</v>
      </c>
      <c r="E548" s="1" t="s">
        <v>39</v>
      </c>
      <c r="F548" s="1" t="s">
        <v>510</v>
      </c>
      <c r="G548" s="1">
        <v>0</v>
      </c>
      <c r="H548" s="1" t="s">
        <v>41</v>
      </c>
      <c r="I548" s="1" t="s">
        <v>6490</v>
      </c>
      <c r="J548" s="1" t="s">
        <v>6491</v>
      </c>
      <c r="K548" s="1" t="s">
        <v>6492</v>
      </c>
      <c r="L548" s="1">
        <v>1</v>
      </c>
      <c r="M548" s="1">
        <v>0</v>
      </c>
      <c r="N548" s="1" t="s">
        <v>6493</v>
      </c>
      <c r="O548" s="1" t="s">
        <v>6494</v>
      </c>
      <c r="P548" s="1" t="s">
        <v>6495</v>
      </c>
      <c r="Q548" s="1">
        <v>0</v>
      </c>
      <c r="R548" s="1" t="s">
        <v>6496</v>
      </c>
      <c r="S548" s="1" t="s">
        <v>6497</v>
      </c>
      <c r="U548" s="2">
        <v>56770</v>
      </c>
      <c r="V548" s="1">
        <v>4.5</v>
      </c>
      <c r="W548" s="1">
        <v>2500</v>
      </c>
      <c r="X548" s="1">
        <v>2005</v>
      </c>
      <c r="Y548" s="1">
        <v>579</v>
      </c>
      <c r="Z548" s="1">
        <v>480</v>
      </c>
      <c r="AA548" s="1">
        <v>946</v>
      </c>
      <c r="AB548" s="1">
        <v>0</v>
      </c>
      <c r="AC548" s="1">
        <v>3</v>
      </c>
      <c r="AD548" s="1" t="s">
        <v>215</v>
      </c>
      <c r="AE548" s="1" t="s">
        <v>6498</v>
      </c>
      <c r="AF548" s="1" t="s">
        <v>6499</v>
      </c>
      <c r="AG548" s="1" t="s">
        <v>6500</v>
      </c>
      <c r="AH548" s="1" t="s">
        <v>6501</v>
      </c>
      <c r="AI548" s="1">
        <v>4.62</v>
      </c>
      <c r="AJ548" s="1">
        <v>259</v>
      </c>
      <c r="AK548" s="1">
        <v>604</v>
      </c>
      <c r="AL548" s="1">
        <v>21</v>
      </c>
    </row>
    <row r="549" spans="1:38" ht="15.75" customHeight="1">
      <c r="A549" s="1">
        <v>69</v>
      </c>
      <c r="C549" s="1">
        <v>4050</v>
      </c>
      <c r="D549" s="1" t="s">
        <v>38</v>
      </c>
      <c r="E549" s="1" t="s">
        <v>39</v>
      </c>
      <c r="F549" s="1" t="s">
        <v>486</v>
      </c>
      <c r="G549" s="1">
        <v>0</v>
      </c>
      <c r="H549" s="1" t="s">
        <v>41</v>
      </c>
      <c r="I549" s="1" t="s">
        <v>6502</v>
      </c>
      <c r="J549" s="1" t="s">
        <v>6503</v>
      </c>
      <c r="K549" s="1" t="s">
        <v>6504</v>
      </c>
      <c r="L549" s="1">
        <v>1</v>
      </c>
      <c r="M549" s="1">
        <v>0</v>
      </c>
      <c r="N549" s="1" t="s">
        <v>6505</v>
      </c>
      <c r="O549" s="1" t="s">
        <v>6506</v>
      </c>
      <c r="P549" s="1" t="s">
        <v>6507</v>
      </c>
      <c r="Q549" s="1">
        <v>1</v>
      </c>
      <c r="R549" s="1" t="s">
        <v>6508</v>
      </c>
      <c r="S549" s="1" t="s">
        <v>6509</v>
      </c>
      <c r="U549" s="2">
        <v>56766</v>
      </c>
      <c r="V549" s="1">
        <v>4.5</v>
      </c>
      <c r="W549" s="1">
        <v>2500</v>
      </c>
      <c r="X549" s="1">
        <v>3422</v>
      </c>
      <c r="Y549" s="1">
        <v>1451</v>
      </c>
      <c r="Z549" s="1">
        <v>466</v>
      </c>
      <c r="AA549" s="1">
        <v>1505</v>
      </c>
      <c r="AB549" s="1">
        <v>0</v>
      </c>
      <c r="AC549" s="1">
        <v>3</v>
      </c>
      <c r="AD549" s="1" t="s">
        <v>76</v>
      </c>
      <c r="AE549" s="1" t="s">
        <v>6510</v>
      </c>
      <c r="AF549" s="1" t="s">
        <v>6511</v>
      </c>
      <c r="AG549" s="1" t="s">
        <v>6512</v>
      </c>
      <c r="AH549" s="1" t="s">
        <v>6513</v>
      </c>
      <c r="AI549" s="1">
        <v>4.7</v>
      </c>
      <c r="AJ549" s="1">
        <v>212</v>
      </c>
      <c r="AK549" s="1">
        <v>624</v>
      </c>
      <c r="AL549" s="1">
        <v>347</v>
      </c>
    </row>
    <row r="550" spans="1:38" ht="15.75" customHeight="1">
      <c r="A550" s="1">
        <v>1376</v>
      </c>
      <c r="B550" s="1">
        <v>5</v>
      </c>
      <c r="C550" s="1">
        <v>4001</v>
      </c>
      <c r="D550" s="1" t="s">
        <v>51</v>
      </c>
      <c r="E550" s="1" t="s">
        <v>39</v>
      </c>
      <c r="F550" s="1" t="s">
        <v>1456</v>
      </c>
      <c r="G550" s="1">
        <v>0</v>
      </c>
      <c r="H550" s="1" t="s">
        <v>53</v>
      </c>
      <c r="I550" s="1" t="s">
        <v>6514</v>
      </c>
      <c r="J550" s="1" t="s">
        <v>6515</v>
      </c>
      <c r="K550" s="1" t="s">
        <v>6516</v>
      </c>
      <c r="L550" s="1">
        <v>1</v>
      </c>
      <c r="M550" s="1">
        <v>0</v>
      </c>
      <c r="N550" s="1" t="s">
        <v>6517</v>
      </c>
      <c r="O550" s="1" t="s">
        <v>6518</v>
      </c>
      <c r="P550" s="1" t="s">
        <v>6519</v>
      </c>
      <c r="Q550" s="1">
        <v>0</v>
      </c>
      <c r="R550" s="1" t="s">
        <v>6520</v>
      </c>
      <c r="S550" s="1" t="s">
        <v>6521</v>
      </c>
      <c r="U550" s="2">
        <v>56776</v>
      </c>
      <c r="V550" s="1">
        <v>4.4000000000000004</v>
      </c>
      <c r="W550" s="1">
        <v>2500</v>
      </c>
      <c r="X550" s="1">
        <v>4506</v>
      </c>
      <c r="Y550" s="1">
        <v>588</v>
      </c>
      <c r="Z550" s="1">
        <v>3607</v>
      </c>
      <c r="AA550" s="1">
        <v>311</v>
      </c>
      <c r="AB550" s="1">
        <v>0</v>
      </c>
      <c r="AC550" s="1">
        <v>28</v>
      </c>
      <c r="AE550" s="1" t="s">
        <v>6522</v>
      </c>
      <c r="AF550" s="1" t="s">
        <v>6523</v>
      </c>
      <c r="AG550" s="1" t="s">
        <v>6524</v>
      </c>
      <c r="AH550" s="1" t="s">
        <v>6525</v>
      </c>
      <c r="AI550" s="1">
        <v>4.5</v>
      </c>
      <c r="AJ550" s="1">
        <v>394</v>
      </c>
      <c r="AK550" s="1">
        <v>1403</v>
      </c>
    </row>
    <row r="551" spans="1:38" ht="15.75" customHeight="1">
      <c r="A551" s="1">
        <v>312</v>
      </c>
      <c r="C551" s="1">
        <v>4001</v>
      </c>
      <c r="D551" s="1" t="s">
        <v>51</v>
      </c>
      <c r="E551" s="1" t="s">
        <v>39</v>
      </c>
      <c r="F551" s="1" t="s">
        <v>648</v>
      </c>
      <c r="G551" s="1">
        <v>0</v>
      </c>
      <c r="H551" s="1" t="s">
        <v>53</v>
      </c>
      <c r="I551" s="1" t="s">
        <v>6526</v>
      </c>
      <c r="J551" s="1" t="s">
        <v>6527</v>
      </c>
      <c r="K551" s="1" t="s">
        <v>6528</v>
      </c>
      <c r="L551" s="1">
        <v>1</v>
      </c>
      <c r="M551" s="1">
        <v>0</v>
      </c>
      <c r="N551" s="1" t="s">
        <v>6529</v>
      </c>
      <c r="O551" s="1" t="s">
        <v>6530</v>
      </c>
      <c r="P551" s="1" t="s">
        <v>6531</v>
      </c>
      <c r="Q551" s="1">
        <v>0</v>
      </c>
      <c r="R551" s="1" t="s">
        <v>6532</v>
      </c>
      <c r="S551" s="1" t="s">
        <v>6533</v>
      </c>
      <c r="U551" s="2">
        <v>56768</v>
      </c>
      <c r="V551" s="1">
        <v>4.5</v>
      </c>
      <c r="W551" s="1">
        <v>2500</v>
      </c>
      <c r="X551" s="1">
        <v>1583</v>
      </c>
      <c r="Y551" s="1">
        <v>421</v>
      </c>
      <c r="Z551" s="1">
        <v>211</v>
      </c>
      <c r="AA551" s="1">
        <v>951</v>
      </c>
      <c r="AB551" s="1">
        <v>0</v>
      </c>
      <c r="AC551" s="1">
        <v>2</v>
      </c>
      <c r="AD551" s="1" t="s">
        <v>215</v>
      </c>
      <c r="AE551" s="1" t="s">
        <v>6534</v>
      </c>
      <c r="AF551" s="1" t="s">
        <v>6535</v>
      </c>
      <c r="AG551" s="1" t="s">
        <v>6536</v>
      </c>
      <c r="AH551" s="1" t="s">
        <v>6537</v>
      </c>
      <c r="AI551" s="1">
        <v>4.7</v>
      </c>
      <c r="AJ551" s="1">
        <v>443</v>
      </c>
      <c r="AK551" s="1">
        <v>1579</v>
      </c>
    </row>
    <row r="552" spans="1:38" ht="15.75" customHeight="1">
      <c r="A552" s="1">
        <v>947</v>
      </c>
      <c r="B552" s="1">
        <v>5</v>
      </c>
      <c r="C552" s="1">
        <v>4050</v>
      </c>
      <c r="D552" s="1" t="s">
        <v>38</v>
      </c>
      <c r="E552" s="1" t="s">
        <v>39</v>
      </c>
      <c r="F552" s="1" t="s">
        <v>195</v>
      </c>
      <c r="G552" s="1">
        <v>0</v>
      </c>
      <c r="H552" s="1" t="s">
        <v>41</v>
      </c>
      <c r="I552" s="1" t="s">
        <v>6538</v>
      </c>
      <c r="J552" s="1" t="s">
        <v>6539</v>
      </c>
      <c r="K552" s="1" t="s">
        <v>6540</v>
      </c>
      <c r="L552" s="1">
        <v>1</v>
      </c>
      <c r="M552" s="1">
        <v>0</v>
      </c>
      <c r="N552" s="1" t="s">
        <v>6541</v>
      </c>
      <c r="O552" s="1" t="s">
        <v>6542</v>
      </c>
      <c r="P552" s="1" t="s">
        <v>6543</v>
      </c>
      <c r="Q552" s="1">
        <v>0</v>
      </c>
      <c r="R552" s="1" t="s">
        <v>6544</v>
      </c>
      <c r="S552" s="1" t="s">
        <v>6545</v>
      </c>
      <c r="U552" s="2">
        <v>56773</v>
      </c>
      <c r="V552" s="1">
        <v>4.4000000000000004</v>
      </c>
      <c r="W552" s="1">
        <v>2500</v>
      </c>
      <c r="X552" s="1">
        <v>3420</v>
      </c>
      <c r="Y552" s="1">
        <v>970</v>
      </c>
      <c r="Z552" s="1">
        <v>1625</v>
      </c>
      <c r="AA552" s="1">
        <v>825</v>
      </c>
      <c r="AB552" s="1">
        <v>0</v>
      </c>
      <c r="AC552" s="1">
        <v>2</v>
      </c>
      <c r="AE552" s="1" t="s">
        <v>6546</v>
      </c>
      <c r="AF552" s="1" t="s">
        <v>6547</v>
      </c>
      <c r="AG552" s="1" t="s">
        <v>6548</v>
      </c>
      <c r="AH552" s="1" t="s">
        <v>6549</v>
      </c>
      <c r="AI552" s="1">
        <v>4.66</v>
      </c>
      <c r="AJ552" s="1">
        <v>161</v>
      </c>
      <c r="AK552" s="1">
        <v>398</v>
      </c>
    </row>
    <row r="553" spans="1:38" ht="15.75" customHeight="1">
      <c r="A553" s="1">
        <v>1084</v>
      </c>
      <c r="B553" s="1">
        <v>5</v>
      </c>
      <c r="C553" s="1">
        <v>4001</v>
      </c>
      <c r="D553" s="1" t="s">
        <v>51</v>
      </c>
      <c r="E553" s="1" t="s">
        <v>39</v>
      </c>
      <c r="F553" s="1" t="s">
        <v>414</v>
      </c>
      <c r="G553" s="1">
        <v>0</v>
      </c>
      <c r="H553" s="1" t="s">
        <v>53</v>
      </c>
      <c r="I553" s="1" t="s">
        <v>6550</v>
      </c>
      <c r="J553" s="1" t="s">
        <v>6551</v>
      </c>
      <c r="K553" s="1" t="s">
        <v>6552</v>
      </c>
      <c r="L553" s="1">
        <v>1</v>
      </c>
      <c r="M553" s="1">
        <v>0</v>
      </c>
      <c r="N553" s="1" t="s">
        <v>6553</v>
      </c>
      <c r="O553" s="1" t="s">
        <v>6554</v>
      </c>
      <c r="P553" s="1" t="s">
        <v>6555</v>
      </c>
      <c r="Q553" s="1">
        <v>0</v>
      </c>
      <c r="R553" s="1" t="s">
        <v>6556</v>
      </c>
      <c r="S553" s="1" t="s">
        <v>6557</v>
      </c>
      <c r="U553" s="2">
        <v>56774</v>
      </c>
      <c r="V553" s="1">
        <v>3.4933989300000001</v>
      </c>
      <c r="W553" s="1">
        <v>2500</v>
      </c>
      <c r="X553" s="1">
        <v>1448</v>
      </c>
      <c r="Y553" s="1">
        <v>668</v>
      </c>
      <c r="AA553" s="1">
        <v>783</v>
      </c>
      <c r="AB553" s="1">
        <v>0</v>
      </c>
      <c r="AC553" s="1">
        <v>3</v>
      </c>
      <c r="AD553" s="1" t="s">
        <v>76</v>
      </c>
      <c r="AE553" s="1" t="s">
        <v>6558</v>
      </c>
      <c r="AF553" s="1" t="s">
        <v>6559</v>
      </c>
      <c r="AG553" s="1" t="s">
        <v>6560</v>
      </c>
      <c r="AH553" s="1" t="s">
        <v>6561</v>
      </c>
      <c r="AI553" s="1">
        <v>4.58</v>
      </c>
      <c r="AJ553" s="1">
        <v>254</v>
      </c>
      <c r="AK553" s="1">
        <v>788</v>
      </c>
      <c r="AL553" s="1">
        <v>9</v>
      </c>
    </row>
    <row r="554" spans="1:38" ht="15.75" customHeight="1">
      <c r="A554" s="1">
        <v>705</v>
      </c>
      <c r="B554" s="1">
        <v>4</v>
      </c>
      <c r="C554" s="1">
        <v>4050</v>
      </c>
      <c r="D554" s="1" t="s">
        <v>38</v>
      </c>
      <c r="E554" s="1" t="s">
        <v>39</v>
      </c>
      <c r="F554" s="1" t="s">
        <v>40</v>
      </c>
      <c r="G554" s="1">
        <v>0</v>
      </c>
      <c r="H554" s="1" t="s">
        <v>41</v>
      </c>
      <c r="I554" s="1" t="s">
        <v>6562</v>
      </c>
      <c r="J554" s="1" t="s">
        <v>6563</v>
      </c>
      <c r="K554" s="1" t="s">
        <v>6564</v>
      </c>
      <c r="L554" s="1">
        <v>1</v>
      </c>
      <c r="M554" s="1">
        <v>0</v>
      </c>
      <c r="N554" s="1" t="s">
        <v>6565</v>
      </c>
      <c r="O554" s="1" t="s">
        <v>6566</v>
      </c>
      <c r="P554" s="1" t="s">
        <v>6567</v>
      </c>
      <c r="Q554" s="1">
        <v>0</v>
      </c>
      <c r="R554" s="1" t="s">
        <v>6568</v>
      </c>
      <c r="S554" s="1" t="s">
        <v>6569</v>
      </c>
      <c r="U554" s="2">
        <v>56770</v>
      </c>
      <c r="V554" s="1">
        <v>3.501498169</v>
      </c>
      <c r="W554" s="1">
        <v>2500</v>
      </c>
      <c r="X554" s="1">
        <v>1764</v>
      </c>
      <c r="Y554" s="1">
        <v>338</v>
      </c>
      <c r="Z554" s="1">
        <v>418</v>
      </c>
      <c r="AA554" s="1">
        <v>1008</v>
      </c>
      <c r="AB554" s="1">
        <v>0</v>
      </c>
      <c r="AC554" s="1">
        <v>2</v>
      </c>
      <c r="AD554" s="1" t="s">
        <v>215</v>
      </c>
      <c r="AE554" s="1" t="s">
        <v>6570</v>
      </c>
      <c r="AF554" s="1" t="s">
        <v>6571</v>
      </c>
      <c r="AG554" s="1" t="s">
        <v>6572</v>
      </c>
      <c r="AH554" s="1" t="s">
        <v>6573</v>
      </c>
      <c r="AI554" s="1">
        <v>4.7</v>
      </c>
      <c r="AJ554" s="1">
        <v>1261</v>
      </c>
      <c r="AK554" s="1">
        <v>3264</v>
      </c>
      <c r="AL554" s="1">
        <v>232</v>
      </c>
    </row>
    <row r="555" spans="1:38" ht="15.75" customHeight="1">
      <c r="A555" s="1">
        <v>194</v>
      </c>
      <c r="B555" s="1">
        <v>5</v>
      </c>
      <c r="C555" s="1">
        <v>4050</v>
      </c>
      <c r="D555" s="1" t="s">
        <v>38</v>
      </c>
      <c r="E555" s="1" t="s">
        <v>39</v>
      </c>
      <c r="F555" s="1" t="s">
        <v>280</v>
      </c>
      <c r="G555" s="1">
        <v>0</v>
      </c>
      <c r="H555" s="1" t="s">
        <v>41</v>
      </c>
      <c r="I555" s="1" t="s">
        <v>6574</v>
      </c>
      <c r="J555" s="1" t="s">
        <v>6575</v>
      </c>
      <c r="K555" s="1" t="s">
        <v>6576</v>
      </c>
      <c r="L555" s="1">
        <v>1</v>
      </c>
      <c r="M555" s="1">
        <v>0</v>
      </c>
      <c r="N555" s="1" t="s">
        <v>6577</v>
      </c>
      <c r="O555" s="1" t="s">
        <v>6578</v>
      </c>
      <c r="P555" s="1" t="s">
        <v>6579</v>
      </c>
      <c r="Q555" s="1">
        <v>0</v>
      </c>
      <c r="R555" s="1" t="s">
        <v>6580</v>
      </c>
      <c r="U555" s="2">
        <v>56767</v>
      </c>
      <c r="V555" s="1">
        <v>4.8</v>
      </c>
      <c r="W555" s="1">
        <v>2500</v>
      </c>
      <c r="X555" s="1">
        <v>2744</v>
      </c>
      <c r="AA555" s="1">
        <v>370</v>
      </c>
      <c r="AB555" s="1">
        <v>0</v>
      </c>
      <c r="AC555" s="1">
        <v>6</v>
      </c>
      <c r="AE555" s="1" t="s">
        <v>6581</v>
      </c>
      <c r="AF555" s="1" t="s">
        <v>6582</v>
      </c>
      <c r="AG555" s="1" t="s">
        <v>6583</v>
      </c>
      <c r="AI555" s="1">
        <v>4.49</v>
      </c>
      <c r="AJ555" s="1">
        <v>2315</v>
      </c>
      <c r="AK555" s="1">
        <v>7039</v>
      </c>
      <c r="AL555" s="1">
        <v>763</v>
      </c>
    </row>
    <row r="556" spans="1:38" ht="15.75" customHeight="1">
      <c r="A556" s="1">
        <v>632</v>
      </c>
      <c r="C556" s="1">
        <v>4001</v>
      </c>
      <c r="D556" s="1" t="s">
        <v>51</v>
      </c>
      <c r="E556" s="1" t="s">
        <v>39</v>
      </c>
      <c r="F556" s="1" t="s">
        <v>52</v>
      </c>
      <c r="G556" s="1">
        <v>0</v>
      </c>
      <c r="H556" s="1" t="s">
        <v>53</v>
      </c>
      <c r="I556" s="1" t="s">
        <v>6584</v>
      </c>
      <c r="J556" s="1" t="s">
        <v>6585</v>
      </c>
      <c r="K556" s="1" t="s">
        <v>6586</v>
      </c>
      <c r="L556" s="1">
        <v>1</v>
      </c>
      <c r="M556" s="1">
        <v>0</v>
      </c>
      <c r="N556" s="1" t="s">
        <v>6587</v>
      </c>
      <c r="O556" s="1" t="s">
        <v>6588</v>
      </c>
      <c r="P556" s="1" t="s">
        <v>6589</v>
      </c>
      <c r="Q556" s="1">
        <v>0</v>
      </c>
      <c r="R556" s="1" t="s">
        <v>6590</v>
      </c>
      <c r="S556" s="1" t="s">
        <v>6591</v>
      </c>
      <c r="U556" s="2">
        <v>56770</v>
      </c>
      <c r="V556" s="1">
        <v>3.1158632100000001</v>
      </c>
      <c r="W556" s="1">
        <v>2500</v>
      </c>
      <c r="X556" s="1">
        <v>4248</v>
      </c>
      <c r="Y556" s="1">
        <v>1297</v>
      </c>
      <c r="Z556" s="1">
        <v>832</v>
      </c>
      <c r="AA556" s="1">
        <v>2119</v>
      </c>
      <c r="AB556" s="1">
        <v>1</v>
      </c>
      <c r="AC556" s="1">
        <v>4</v>
      </c>
      <c r="AE556" s="1" t="s">
        <v>6592</v>
      </c>
      <c r="AF556" s="1" t="s">
        <v>6593</v>
      </c>
      <c r="AG556" s="1" t="s">
        <v>6594</v>
      </c>
      <c r="AH556" s="1" t="s">
        <v>6595</v>
      </c>
      <c r="AI556" s="1">
        <v>4.17</v>
      </c>
      <c r="AJ556" s="1">
        <v>457</v>
      </c>
      <c r="AK556" s="1">
        <v>1599</v>
      </c>
    </row>
    <row r="557" spans="1:38" ht="15.75" customHeight="1">
      <c r="A557" s="1">
        <v>833</v>
      </c>
      <c r="B557" s="1">
        <v>5</v>
      </c>
      <c r="C557" s="1">
        <v>4050</v>
      </c>
      <c r="D557" s="1" t="s">
        <v>38</v>
      </c>
      <c r="E557" s="1" t="s">
        <v>39</v>
      </c>
      <c r="F557" s="1" t="s">
        <v>116</v>
      </c>
      <c r="G557" s="1">
        <v>0</v>
      </c>
      <c r="H557" s="1" t="s">
        <v>41</v>
      </c>
      <c r="I557" s="1" t="s">
        <v>6596</v>
      </c>
      <c r="J557" s="1" t="s">
        <v>6597</v>
      </c>
      <c r="K557" s="1" t="s">
        <v>6598</v>
      </c>
      <c r="L557" s="1">
        <v>1</v>
      </c>
      <c r="M557" s="1">
        <v>0</v>
      </c>
      <c r="N557" s="1" t="s">
        <v>6599</v>
      </c>
      <c r="O557" s="1" t="s">
        <v>6600</v>
      </c>
      <c r="P557" s="1" t="s">
        <v>6601</v>
      </c>
      <c r="Q557" s="1">
        <v>0</v>
      </c>
      <c r="R557" s="1" t="s">
        <v>6602</v>
      </c>
      <c r="S557" s="1" t="s">
        <v>6603</v>
      </c>
      <c r="U557" s="2">
        <v>56772</v>
      </c>
      <c r="V557" s="1">
        <v>4.7</v>
      </c>
      <c r="W557" s="1">
        <v>2500</v>
      </c>
      <c r="X557" s="1">
        <v>1762</v>
      </c>
      <c r="Y557" s="1">
        <v>603</v>
      </c>
      <c r="Z557" s="1">
        <v>417</v>
      </c>
      <c r="AA557" s="1">
        <v>742</v>
      </c>
      <c r="AB557" s="1">
        <v>0</v>
      </c>
      <c r="AC557" s="1">
        <v>2</v>
      </c>
      <c r="AD557" s="1" t="s">
        <v>215</v>
      </c>
      <c r="AE557" s="1" t="s">
        <v>6604</v>
      </c>
      <c r="AF557" s="1" t="s">
        <v>6605</v>
      </c>
      <c r="AG557" s="1" t="s">
        <v>6606</v>
      </c>
      <c r="AH557" s="1" t="s">
        <v>6607</v>
      </c>
      <c r="AI557" s="1">
        <v>4.8899999999999997</v>
      </c>
      <c r="AJ557" s="1">
        <v>1778</v>
      </c>
      <c r="AK557" s="1">
        <v>5138</v>
      </c>
      <c r="AL557" s="1">
        <v>314</v>
      </c>
    </row>
    <row r="558" spans="1:38" ht="15.75" customHeight="1">
      <c r="A558" s="1">
        <v>1112</v>
      </c>
      <c r="C558" s="1">
        <v>4001</v>
      </c>
      <c r="D558" s="1" t="s">
        <v>51</v>
      </c>
      <c r="E558" s="1" t="s">
        <v>39</v>
      </c>
      <c r="F558" s="1" t="s">
        <v>104</v>
      </c>
      <c r="G558" s="1">
        <v>0</v>
      </c>
      <c r="H558" s="1" t="s">
        <v>41</v>
      </c>
      <c r="I558" s="1" t="s">
        <v>6608</v>
      </c>
      <c r="J558" s="1" t="s">
        <v>6609</v>
      </c>
      <c r="K558" s="1" t="s">
        <v>6610</v>
      </c>
      <c r="L558" s="1">
        <v>1</v>
      </c>
      <c r="M558" s="1">
        <v>0</v>
      </c>
      <c r="N558" s="1" t="s">
        <v>6611</v>
      </c>
      <c r="O558" s="1" t="s">
        <v>6612</v>
      </c>
      <c r="P558" s="1" t="s">
        <v>6613</v>
      </c>
      <c r="Q558" s="1">
        <v>0</v>
      </c>
      <c r="R558" s="1" t="s">
        <v>6614</v>
      </c>
      <c r="S558" s="1" t="s">
        <v>6615</v>
      </c>
      <c r="U558" s="2">
        <v>56775</v>
      </c>
      <c r="V558" s="1">
        <v>3.9792116329999998</v>
      </c>
      <c r="W558" s="1">
        <v>2500</v>
      </c>
      <c r="X558" s="1">
        <v>2962</v>
      </c>
      <c r="Y558" s="1">
        <v>1326</v>
      </c>
      <c r="Z558" s="1">
        <v>749</v>
      </c>
      <c r="AA558" s="1">
        <v>887</v>
      </c>
      <c r="AB558" s="1">
        <v>0</v>
      </c>
      <c r="AC558" s="1">
        <v>5</v>
      </c>
      <c r="AD558" s="1" t="s">
        <v>76</v>
      </c>
      <c r="AE558" s="1" t="s">
        <v>6616</v>
      </c>
      <c r="AF558" s="1" t="s">
        <v>6617</v>
      </c>
      <c r="AG558" s="1" t="s">
        <v>6618</v>
      </c>
      <c r="AH558" s="1" t="s">
        <v>6619</v>
      </c>
      <c r="AI558" s="1">
        <v>4.5199999999999996</v>
      </c>
      <c r="AJ558" s="1">
        <v>269</v>
      </c>
      <c r="AK558" s="1">
        <v>895</v>
      </c>
      <c r="AL558" s="1">
        <v>23</v>
      </c>
    </row>
    <row r="559" spans="1:38" ht="15.75" customHeight="1">
      <c r="A559" s="1">
        <v>77</v>
      </c>
      <c r="C559" s="1">
        <v>4050</v>
      </c>
      <c r="D559" s="1" t="s">
        <v>38</v>
      </c>
      <c r="E559" s="1" t="s">
        <v>39</v>
      </c>
      <c r="F559" s="1" t="s">
        <v>365</v>
      </c>
      <c r="G559" s="1">
        <v>0</v>
      </c>
      <c r="H559" s="1" t="s">
        <v>41</v>
      </c>
      <c r="I559" s="1" t="s">
        <v>6620</v>
      </c>
      <c r="J559" s="1" t="s">
        <v>6621</v>
      </c>
      <c r="K559" s="1" t="s">
        <v>6622</v>
      </c>
      <c r="L559" s="1">
        <v>1</v>
      </c>
      <c r="M559" s="1">
        <v>0</v>
      </c>
      <c r="N559" s="1" t="s">
        <v>6623</v>
      </c>
      <c r="O559" s="1" t="s">
        <v>6624</v>
      </c>
      <c r="P559" s="1" t="s">
        <v>6625</v>
      </c>
      <c r="Q559" s="1">
        <v>0</v>
      </c>
      <c r="R559" s="1" t="s">
        <v>6626</v>
      </c>
      <c r="S559" s="1" t="s">
        <v>6627</v>
      </c>
      <c r="U559" s="2">
        <v>56766</v>
      </c>
      <c r="V559" s="1">
        <v>4.5999999999999996</v>
      </c>
      <c r="W559" s="1">
        <v>2500</v>
      </c>
      <c r="X559" s="1">
        <v>2563</v>
      </c>
      <c r="Y559" s="1">
        <v>1134</v>
      </c>
      <c r="Z559" s="1">
        <v>204</v>
      </c>
      <c r="AA559" s="1">
        <v>1225</v>
      </c>
      <c r="AB559" s="1">
        <v>0</v>
      </c>
      <c r="AC559" s="1">
        <v>2</v>
      </c>
      <c r="AD559" s="1" t="s">
        <v>76</v>
      </c>
      <c r="AE559" s="1" t="s">
        <v>6628</v>
      </c>
      <c r="AF559" s="1" t="s">
        <v>6629</v>
      </c>
      <c r="AG559" s="1" t="s">
        <v>6630</v>
      </c>
      <c r="AH559" s="1" t="s">
        <v>6631</v>
      </c>
      <c r="AI559" s="1">
        <v>4.7699999999999996</v>
      </c>
      <c r="AJ559" s="1">
        <v>426</v>
      </c>
      <c r="AK559" s="1">
        <v>1226</v>
      </c>
      <c r="AL559" s="1">
        <v>85</v>
      </c>
    </row>
    <row r="560" spans="1:38" ht="15.75" customHeight="1">
      <c r="A560" s="1">
        <v>25</v>
      </c>
      <c r="B560" s="1">
        <v>5</v>
      </c>
      <c r="C560" s="1">
        <v>4050</v>
      </c>
      <c r="D560" s="1" t="s">
        <v>38</v>
      </c>
      <c r="E560" s="1" t="s">
        <v>39</v>
      </c>
      <c r="F560" s="1" t="s">
        <v>40</v>
      </c>
      <c r="G560" s="1">
        <v>0</v>
      </c>
      <c r="H560" s="1" t="s">
        <v>41</v>
      </c>
      <c r="I560" s="1" t="s">
        <v>6632</v>
      </c>
      <c r="J560" s="1" t="s">
        <v>6633</v>
      </c>
      <c r="K560" s="1" t="s">
        <v>6634</v>
      </c>
      <c r="L560" s="1">
        <v>1</v>
      </c>
      <c r="M560" s="1">
        <v>0</v>
      </c>
      <c r="N560" s="1" t="s">
        <v>6635</v>
      </c>
      <c r="O560" s="1" t="s">
        <v>6636</v>
      </c>
      <c r="P560" s="1" t="s">
        <v>6637</v>
      </c>
      <c r="Q560" s="1">
        <v>0</v>
      </c>
      <c r="R560" s="1" t="s">
        <v>6638</v>
      </c>
      <c r="S560" s="1" t="s">
        <v>6639</v>
      </c>
      <c r="U560" s="2">
        <v>56766</v>
      </c>
      <c r="V560" s="1">
        <v>4.5</v>
      </c>
      <c r="W560" s="1">
        <v>2500</v>
      </c>
      <c r="X560" s="1">
        <v>1625</v>
      </c>
      <c r="Y560" s="1">
        <v>1146</v>
      </c>
      <c r="AA560" s="1">
        <v>529</v>
      </c>
      <c r="AB560" s="1">
        <v>0</v>
      </c>
      <c r="AC560" s="1">
        <v>2</v>
      </c>
      <c r="AD560" s="1" t="s">
        <v>76</v>
      </c>
      <c r="AE560" s="1" t="s">
        <v>6640</v>
      </c>
      <c r="AF560" s="1" t="s">
        <v>6641</v>
      </c>
      <c r="AG560" s="1" t="s">
        <v>6642</v>
      </c>
      <c r="AH560" s="1" t="s">
        <v>6643</v>
      </c>
      <c r="AI560" s="1">
        <v>4.7</v>
      </c>
      <c r="AJ560" s="1">
        <v>1261</v>
      </c>
      <c r="AK560" s="1">
        <v>3264</v>
      </c>
      <c r="AL560" s="1">
        <v>232</v>
      </c>
    </row>
    <row r="561" spans="1:38" ht="15.75" customHeight="1">
      <c r="A561" s="1">
        <v>667</v>
      </c>
      <c r="B561" s="1">
        <v>5</v>
      </c>
      <c r="C561" s="1">
        <v>4050</v>
      </c>
      <c r="D561" s="1" t="s">
        <v>38</v>
      </c>
      <c r="E561" s="1" t="s">
        <v>39</v>
      </c>
      <c r="F561" s="1" t="s">
        <v>1348</v>
      </c>
      <c r="G561" s="1">
        <v>0</v>
      </c>
      <c r="H561" s="1" t="s">
        <v>41</v>
      </c>
      <c r="I561" s="1" t="s">
        <v>6644</v>
      </c>
      <c r="J561" s="1" t="s">
        <v>6645</v>
      </c>
      <c r="K561" s="1" t="s">
        <v>6646</v>
      </c>
      <c r="L561" s="1">
        <v>1</v>
      </c>
      <c r="M561" s="1">
        <v>0</v>
      </c>
      <c r="N561" s="1" t="s">
        <v>6647</v>
      </c>
      <c r="O561" s="1" t="s">
        <v>6648</v>
      </c>
      <c r="P561" s="1" t="s">
        <v>6649</v>
      </c>
      <c r="Q561" s="1">
        <v>0</v>
      </c>
      <c r="R561" s="1" t="s">
        <v>6650</v>
      </c>
      <c r="S561" s="1" t="s">
        <v>6651</v>
      </c>
      <c r="U561" s="2">
        <v>56770</v>
      </c>
      <c r="V561" s="1">
        <v>4.5999999999999996</v>
      </c>
      <c r="W561" s="1">
        <v>2500</v>
      </c>
      <c r="X561" s="1">
        <v>3128</v>
      </c>
      <c r="Y561" s="1">
        <v>2278</v>
      </c>
      <c r="Z561" s="1">
        <v>66</v>
      </c>
      <c r="AA561" s="1">
        <v>784</v>
      </c>
      <c r="AB561" s="1">
        <v>1</v>
      </c>
      <c r="AC561" s="1">
        <v>2</v>
      </c>
      <c r="AE561" s="1" t="s">
        <v>6652</v>
      </c>
      <c r="AF561" s="1" t="s">
        <v>6653</v>
      </c>
      <c r="AG561" s="1" t="s">
        <v>6654</v>
      </c>
      <c r="AH561" s="1" t="s">
        <v>6655</v>
      </c>
      <c r="AI561" s="1">
        <v>4.79</v>
      </c>
      <c r="AJ561" s="1">
        <v>1007</v>
      </c>
      <c r="AK561" s="1">
        <v>2899</v>
      </c>
      <c r="AL561" s="1">
        <v>1301</v>
      </c>
    </row>
    <row r="562" spans="1:38" ht="15.75" customHeight="1">
      <c r="A562" s="1">
        <v>567</v>
      </c>
      <c r="C562" s="1">
        <v>4001</v>
      </c>
      <c r="D562" s="1" t="s">
        <v>51</v>
      </c>
      <c r="E562" s="1" t="s">
        <v>39</v>
      </c>
      <c r="F562" s="1" t="s">
        <v>341</v>
      </c>
      <c r="G562" s="1">
        <v>0</v>
      </c>
      <c r="H562" s="1" t="s">
        <v>41</v>
      </c>
      <c r="I562" s="1" t="s">
        <v>6656</v>
      </c>
      <c r="J562" s="1" t="s">
        <v>6657</v>
      </c>
      <c r="K562" s="1" t="s">
        <v>6658</v>
      </c>
      <c r="L562" s="1">
        <v>1</v>
      </c>
      <c r="M562" s="1">
        <v>0</v>
      </c>
      <c r="N562" s="1" t="s">
        <v>6659</v>
      </c>
      <c r="O562" s="1" t="s">
        <v>6660</v>
      </c>
      <c r="P562" s="1" t="s">
        <v>6661</v>
      </c>
      <c r="Q562" s="1">
        <v>0</v>
      </c>
      <c r="R562" s="1" t="s">
        <v>6662</v>
      </c>
      <c r="S562" s="1" t="s">
        <v>6663</v>
      </c>
      <c r="U562" s="2">
        <v>56770</v>
      </c>
      <c r="V562" s="1">
        <v>4.4000000000000004</v>
      </c>
      <c r="W562" s="1">
        <v>2500</v>
      </c>
      <c r="X562" s="1">
        <v>1180</v>
      </c>
      <c r="Y562" s="1">
        <v>638</v>
      </c>
      <c r="Z562" s="1">
        <v>184</v>
      </c>
      <c r="AA562" s="1">
        <v>358</v>
      </c>
      <c r="AB562" s="1">
        <v>0</v>
      </c>
      <c r="AC562" s="1">
        <v>2</v>
      </c>
      <c r="AD562" s="1" t="s">
        <v>62</v>
      </c>
      <c r="AE562" s="1" t="s">
        <v>6664</v>
      </c>
      <c r="AF562" s="1" t="s">
        <v>6665</v>
      </c>
      <c r="AG562" s="1" t="s">
        <v>6666</v>
      </c>
      <c r="AH562" s="1" t="s">
        <v>6667</v>
      </c>
      <c r="AI562" s="1">
        <v>4.54</v>
      </c>
      <c r="AJ562" s="1">
        <v>2229</v>
      </c>
      <c r="AK562" s="1">
        <v>6580</v>
      </c>
    </row>
    <row r="563" spans="1:38" ht="15.75" customHeight="1">
      <c r="A563" s="1">
        <v>54</v>
      </c>
      <c r="C563" s="1">
        <v>4050</v>
      </c>
      <c r="D563" s="1" t="s">
        <v>38</v>
      </c>
      <c r="E563" s="1" t="s">
        <v>39</v>
      </c>
      <c r="F563" s="1" t="s">
        <v>1348</v>
      </c>
      <c r="G563" s="1">
        <v>0</v>
      </c>
      <c r="H563" s="1" t="s">
        <v>41</v>
      </c>
      <c r="I563" s="1" t="s">
        <v>6668</v>
      </c>
      <c r="J563" s="1" t="s">
        <v>6669</v>
      </c>
      <c r="K563" s="1" t="s">
        <v>6670</v>
      </c>
      <c r="L563" s="1">
        <v>1</v>
      </c>
      <c r="M563" s="1">
        <v>0</v>
      </c>
      <c r="N563" s="1" t="s">
        <v>6671</v>
      </c>
      <c r="O563" s="1" t="s">
        <v>6672</v>
      </c>
      <c r="P563" s="1" t="s">
        <v>6673</v>
      </c>
      <c r="Q563" s="1">
        <v>0</v>
      </c>
      <c r="R563" s="1" t="s">
        <v>6674</v>
      </c>
      <c r="S563" s="1" t="s">
        <v>6675</v>
      </c>
      <c r="U563" s="2">
        <v>56766</v>
      </c>
      <c r="V563" s="1">
        <v>4.5</v>
      </c>
      <c r="W563" s="1">
        <v>2000</v>
      </c>
      <c r="X563" s="1">
        <v>3224</v>
      </c>
      <c r="Y563" s="1">
        <v>1216</v>
      </c>
      <c r="AA563" s="1">
        <v>2090</v>
      </c>
      <c r="AB563" s="1">
        <v>0</v>
      </c>
      <c r="AC563" s="1">
        <v>2</v>
      </c>
      <c r="AD563" s="1" t="s">
        <v>76</v>
      </c>
      <c r="AE563" s="1" t="s">
        <v>6676</v>
      </c>
      <c r="AF563" s="1" t="s">
        <v>6677</v>
      </c>
      <c r="AG563" s="1" t="s">
        <v>6678</v>
      </c>
      <c r="AH563" s="1" t="s">
        <v>6679</v>
      </c>
      <c r="AI563" s="1">
        <v>4.79</v>
      </c>
      <c r="AJ563" s="1">
        <v>1007</v>
      </c>
      <c r="AK563" s="1">
        <v>2899</v>
      </c>
      <c r="AL563" s="1">
        <v>1301</v>
      </c>
    </row>
    <row r="564" spans="1:38" ht="15.75" customHeight="1">
      <c r="A564" s="1">
        <v>105</v>
      </c>
      <c r="C564" s="1">
        <v>4001</v>
      </c>
      <c r="D564" s="1" t="s">
        <v>51</v>
      </c>
      <c r="E564" s="1" t="s">
        <v>39</v>
      </c>
      <c r="F564" s="1" t="s">
        <v>708</v>
      </c>
      <c r="G564" s="1">
        <v>0</v>
      </c>
      <c r="H564" s="1" t="s">
        <v>53</v>
      </c>
      <c r="I564" s="1" t="s">
        <v>6680</v>
      </c>
      <c r="J564" s="1" t="s">
        <v>6681</v>
      </c>
      <c r="K564" s="1" t="s">
        <v>6682</v>
      </c>
      <c r="L564" s="1">
        <v>1</v>
      </c>
      <c r="M564" s="1">
        <v>0</v>
      </c>
      <c r="N564" s="1" t="s">
        <v>6683</v>
      </c>
      <c r="O564" s="1" t="s">
        <v>6684</v>
      </c>
      <c r="P564" s="1" t="s">
        <v>6685</v>
      </c>
      <c r="Q564" s="1">
        <v>0</v>
      </c>
      <c r="R564" s="1" t="s">
        <v>6686</v>
      </c>
      <c r="S564" s="1" t="s">
        <v>6687</v>
      </c>
      <c r="U564" s="2">
        <v>56766</v>
      </c>
      <c r="V564" s="1">
        <v>3.741889628</v>
      </c>
      <c r="W564" s="1">
        <v>2000</v>
      </c>
      <c r="X564" s="1">
        <v>2700</v>
      </c>
      <c r="Y564" s="1">
        <v>771</v>
      </c>
      <c r="Z564" s="1">
        <v>973</v>
      </c>
      <c r="AA564" s="1">
        <v>956</v>
      </c>
      <c r="AB564" s="1">
        <v>0</v>
      </c>
      <c r="AC564" s="1">
        <v>4</v>
      </c>
      <c r="AD564" s="1" t="s">
        <v>62</v>
      </c>
      <c r="AE564" s="1" t="s">
        <v>6688</v>
      </c>
      <c r="AF564" s="1" t="s">
        <v>6689</v>
      </c>
      <c r="AG564" s="1" t="s">
        <v>6690</v>
      </c>
      <c r="AH564" s="1" t="s">
        <v>6691</v>
      </c>
      <c r="AI564" s="1">
        <v>4.5999999999999996</v>
      </c>
      <c r="AJ564" s="1">
        <v>292</v>
      </c>
      <c r="AK564" s="1">
        <v>1027</v>
      </c>
      <c r="AL564" s="1">
        <v>26</v>
      </c>
    </row>
    <row r="565" spans="1:38" ht="15.75" customHeight="1">
      <c r="A565" s="1">
        <v>436</v>
      </c>
      <c r="B565" s="1">
        <v>2</v>
      </c>
      <c r="C565" s="1">
        <v>4050</v>
      </c>
      <c r="D565" s="1" t="s">
        <v>38</v>
      </c>
      <c r="E565" s="1" t="s">
        <v>39</v>
      </c>
      <c r="F565" s="1" t="s">
        <v>390</v>
      </c>
      <c r="G565" s="1">
        <v>0</v>
      </c>
      <c r="H565" s="1" t="s">
        <v>41</v>
      </c>
      <c r="I565" s="1" t="s">
        <v>6692</v>
      </c>
      <c r="J565" s="1" t="s">
        <v>6693</v>
      </c>
      <c r="K565" s="1" t="s">
        <v>6694</v>
      </c>
      <c r="L565" s="1">
        <v>1</v>
      </c>
      <c r="M565" s="1">
        <v>0</v>
      </c>
      <c r="N565" s="1" t="s">
        <v>6695</v>
      </c>
      <c r="O565" s="1" t="s">
        <v>6696</v>
      </c>
      <c r="P565" s="1" t="s">
        <v>6697</v>
      </c>
      <c r="Q565" s="1">
        <v>0</v>
      </c>
      <c r="R565" s="1" t="s">
        <v>6698</v>
      </c>
      <c r="S565" s="1" t="s">
        <v>6699</v>
      </c>
      <c r="U565" s="2">
        <v>56769</v>
      </c>
      <c r="V565" s="1">
        <v>3.0233833369999998</v>
      </c>
      <c r="W565" s="1">
        <v>2000</v>
      </c>
      <c r="X565" s="1">
        <v>1578</v>
      </c>
      <c r="Y565" s="1">
        <v>247</v>
      </c>
      <c r="Z565" s="1">
        <v>741</v>
      </c>
      <c r="AA565" s="1">
        <v>590</v>
      </c>
      <c r="AB565" s="1">
        <v>0</v>
      </c>
      <c r="AC565" s="1">
        <v>5</v>
      </c>
      <c r="AD565" s="1" t="s">
        <v>215</v>
      </c>
      <c r="AE565" s="1" t="s">
        <v>6700</v>
      </c>
      <c r="AF565" s="1" t="s">
        <v>6701</v>
      </c>
      <c r="AG565" s="1" t="s">
        <v>6702</v>
      </c>
      <c r="AH565" s="1" t="s">
        <v>6703</v>
      </c>
      <c r="AI565" s="1">
        <v>4.5599999999999996</v>
      </c>
      <c r="AJ565" s="1">
        <v>344</v>
      </c>
      <c r="AK565" s="1">
        <v>947</v>
      </c>
      <c r="AL565" s="1">
        <v>22</v>
      </c>
    </row>
    <row r="566" spans="1:38" ht="15.75" customHeight="1">
      <c r="A566" s="1">
        <v>757</v>
      </c>
      <c r="B566" s="1">
        <v>5</v>
      </c>
      <c r="C566" s="1">
        <v>4050</v>
      </c>
      <c r="D566" s="1" t="s">
        <v>38</v>
      </c>
      <c r="E566" s="1" t="s">
        <v>39</v>
      </c>
      <c r="F566" s="1" t="s">
        <v>116</v>
      </c>
      <c r="G566" s="1">
        <v>0</v>
      </c>
      <c r="H566" s="1" t="s">
        <v>41</v>
      </c>
      <c r="I566" s="1" t="s">
        <v>6704</v>
      </c>
      <c r="J566" s="1" t="s">
        <v>6705</v>
      </c>
      <c r="K566" s="1" t="s">
        <v>6705</v>
      </c>
      <c r="L566" s="1">
        <v>0</v>
      </c>
      <c r="M566" s="1">
        <v>0</v>
      </c>
      <c r="N566" s="1" t="s">
        <v>6706</v>
      </c>
      <c r="O566" s="1" t="s">
        <v>6707</v>
      </c>
      <c r="P566" s="1" t="s">
        <v>6708</v>
      </c>
      <c r="Q566" s="1">
        <v>0</v>
      </c>
      <c r="R566" s="1" t="s">
        <v>6709</v>
      </c>
      <c r="S566" s="1" t="s">
        <v>6710</v>
      </c>
      <c r="U566" s="2">
        <v>56771</v>
      </c>
      <c r="V566" s="1">
        <v>4.5999999999999996</v>
      </c>
      <c r="W566" s="1">
        <v>2000</v>
      </c>
      <c r="X566" s="1">
        <v>1563</v>
      </c>
      <c r="Y566" s="1">
        <v>662</v>
      </c>
      <c r="Z566" s="1">
        <v>635</v>
      </c>
      <c r="AA566" s="1">
        <v>266</v>
      </c>
      <c r="AB566" s="1">
        <v>0</v>
      </c>
      <c r="AC566" s="1">
        <v>2</v>
      </c>
      <c r="AD566" s="1" t="s">
        <v>76</v>
      </c>
      <c r="AE566" s="1" t="s">
        <v>6711</v>
      </c>
      <c r="AF566" s="1" t="s">
        <v>6712</v>
      </c>
      <c r="AG566" s="1" t="s">
        <v>6713</v>
      </c>
      <c r="AH566" s="1" t="s">
        <v>6714</v>
      </c>
      <c r="AI566" s="1">
        <v>4.8899999999999997</v>
      </c>
      <c r="AJ566" s="1">
        <v>1778</v>
      </c>
      <c r="AK566" s="1">
        <v>5138</v>
      </c>
      <c r="AL566" s="1">
        <v>314</v>
      </c>
    </row>
    <row r="567" spans="1:38" ht="15.75" customHeight="1">
      <c r="A567" s="1">
        <v>129</v>
      </c>
      <c r="C567" s="1">
        <v>4050</v>
      </c>
      <c r="D567" s="1" t="s">
        <v>38</v>
      </c>
      <c r="E567" s="1" t="s">
        <v>39</v>
      </c>
      <c r="F567" s="1" t="s">
        <v>116</v>
      </c>
      <c r="G567" s="1">
        <v>0</v>
      </c>
      <c r="H567" s="1" t="s">
        <v>41</v>
      </c>
      <c r="I567" s="1" t="s">
        <v>6715</v>
      </c>
      <c r="J567" s="1" t="s">
        <v>6716</v>
      </c>
      <c r="K567" s="1" t="s">
        <v>6717</v>
      </c>
      <c r="L567" s="1">
        <v>1</v>
      </c>
      <c r="M567" s="1">
        <v>0</v>
      </c>
      <c r="N567" s="1" t="s">
        <v>6718</v>
      </c>
      <c r="O567" s="1" t="s">
        <v>6719</v>
      </c>
      <c r="P567" s="1" t="s">
        <v>6720</v>
      </c>
      <c r="Q567" s="1">
        <v>0</v>
      </c>
      <c r="R567" s="1" t="s">
        <v>6721</v>
      </c>
      <c r="S567" s="1" t="s">
        <v>6722</v>
      </c>
      <c r="U567" s="2">
        <v>56767</v>
      </c>
      <c r="V567" s="1">
        <v>3.995599356</v>
      </c>
      <c r="W567" s="1">
        <v>2000</v>
      </c>
      <c r="X567" s="1">
        <v>2446</v>
      </c>
      <c r="Y567" s="1">
        <v>519</v>
      </c>
      <c r="Z567" s="1">
        <v>1338</v>
      </c>
      <c r="AA567" s="1">
        <v>589</v>
      </c>
      <c r="AB567" s="1">
        <v>0</v>
      </c>
      <c r="AC567" s="1">
        <v>3</v>
      </c>
      <c r="AD567" s="1" t="s">
        <v>62</v>
      </c>
      <c r="AE567" s="1" t="s">
        <v>6723</v>
      </c>
      <c r="AF567" s="1" t="s">
        <v>6724</v>
      </c>
      <c r="AG567" s="1" t="s">
        <v>6725</v>
      </c>
      <c r="AH567" s="1" t="s">
        <v>6726</v>
      </c>
      <c r="AI567" s="1">
        <v>4.8899999999999997</v>
      </c>
      <c r="AJ567" s="1">
        <v>1778</v>
      </c>
      <c r="AK567" s="1">
        <v>5138</v>
      </c>
      <c r="AL567" s="1">
        <v>314</v>
      </c>
    </row>
    <row r="568" spans="1:38" ht="15.75" customHeight="1">
      <c r="A568" s="1">
        <v>522</v>
      </c>
      <c r="B568" s="1">
        <v>5</v>
      </c>
      <c r="C568" s="1">
        <v>4050</v>
      </c>
      <c r="D568" s="1" t="s">
        <v>38</v>
      </c>
      <c r="E568" s="1" t="s">
        <v>39</v>
      </c>
      <c r="F568" s="1" t="s">
        <v>280</v>
      </c>
      <c r="G568" s="1">
        <v>0</v>
      </c>
      <c r="H568" s="1" t="s">
        <v>41</v>
      </c>
      <c r="I568" s="1" t="s">
        <v>6727</v>
      </c>
      <c r="J568" s="1" t="s">
        <v>6728</v>
      </c>
      <c r="K568" s="1" t="s">
        <v>6729</v>
      </c>
      <c r="L568" s="1">
        <v>1</v>
      </c>
      <c r="M568" s="1">
        <v>0</v>
      </c>
      <c r="N568" s="1" t="s">
        <v>6730</v>
      </c>
      <c r="O568" s="1" t="s">
        <v>6731</v>
      </c>
      <c r="P568" s="1" t="s">
        <v>6732</v>
      </c>
      <c r="Q568" s="1">
        <v>0</v>
      </c>
      <c r="R568" s="1" t="s">
        <v>6733</v>
      </c>
      <c r="S568" s="1" t="s">
        <v>6734</v>
      </c>
      <c r="U568" s="2">
        <v>56769</v>
      </c>
      <c r="V568" s="1">
        <v>4.8</v>
      </c>
      <c r="W568" s="1">
        <v>2000</v>
      </c>
      <c r="X568" s="1">
        <v>1934</v>
      </c>
      <c r="Y568" s="1">
        <v>641</v>
      </c>
      <c r="Z568" s="1">
        <v>430</v>
      </c>
      <c r="AA568" s="1">
        <v>863</v>
      </c>
      <c r="AB568" s="1">
        <v>0</v>
      </c>
      <c r="AC568" s="1">
        <v>2</v>
      </c>
      <c r="AD568" s="1" t="s">
        <v>215</v>
      </c>
      <c r="AE568" s="1" t="s">
        <v>6735</v>
      </c>
      <c r="AF568" s="1" t="s">
        <v>6736</v>
      </c>
      <c r="AG568" s="1" t="s">
        <v>6737</v>
      </c>
      <c r="AH568" s="1" t="s">
        <v>6738</v>
      </c>
      <c r="AI568" s="1">
        <v>4.49</v>
      </c>
      <c r="AJ568" s="1">
        <v>2315</v>
      </c>
      <c r="AK568" s="1">
        <v>7039</v>
      </c>
      <c r="AL568" s="1">
        <v>763</v>
      </c>
    </row>
    <row r="569" spans="1:38" ht="15.75" customHeight="1">
      <c r="A569" s="1">
        <v>1016</v>
      </c>
      <c r="B569" s="1">
        <v>5</v>
      </c>
      <c r="C569" s="1">
        <v>4001</v>
      </c>
      <c r="D569" s="1" t="s">
        <v>51</v>
      </c>
      <c r="E569" s="1" t="s">
        <v>39</v>
      </c>
      <c r="F569" s="1" t="s">
        <v>67</v>
      </c>
      <c r="G569" s="1">
        <v>0</v>
      </c>
      <c r="H569" s="1" t="s">
        <v>41</v>
      </c>
      <c r="I569" s="1" t="s">
        <v>6739</v>
      </c>
      <c r="J569" s="1" t="s">
        <v>6740</v>
      </c>
      <c r="K569" s="1" t="s">
        <v>6741</v>
      </c>
      <c r="L569" s="1">
        <v>1</v>
      </c>
      <c r="M569" s="1">
        <v>0</v>
      </c>
      <c r="N569" s="1" t="s">
        <v>6742</v>
      </c>
      <c r="O569" s="1" t="s">
        <v>6743</v>
      </c>
      <c r="P569" s="1" t="s">
        <v>6744</v>
      </c>
      <c r="Q569" s="1">
        <v>0</v>
      </c>
      <c r="R569" s="1" t="s">
        <v>6745</v>
      </c>
      <c r="S569" s="1" t="s">
        <v>6746</v>
      </c>
      <c r="U569" s="2">
        <v>56774</v>
      </c>
      <c r="V569" s="1">
        <v>4.4000000000000004</v>
      </c>
      <c r="W569" s="1">
        <v>2000</v>
      </c>
      <c r="X569" s="1">
        <v>3232</v>
      </c>
      <c r="Y569" s="1">
        <v>1743</v>
      </c>
      <c r="Z569" s="1">
        <v>444</v>
      </c>
      <c r="AA569" s="1">
        <v>1045</v>
      </c>
      <c r="AB569" s="1">
        <v>1</v>
      </c>
      <c r="AC569" s="1">
        <v>2</v>
      </c>
      <c r="AE569" s="1" t="s">
        <v>6747</v>
      </c>
      <c r="AF569" s="1" t="s">
        <v>6748</v>
      </c>
      <c r="AG569" s="1" t="s">
        <v>6749</v>
      </c>
      <c r="AH569" s="1" t="s">
        <v>6750</v>
      </c>
      <c r="AI569" s="1">
        <v>3.82</v>
      </c>
      <c r="AJ569" s="1">
        <v>174</v>
      </c>
      <c r="AK569" s="1">
        <v>773</v>
      </c>
    </row>
    <row r="570" spans="1:38" ht="15.75" customHeight="1">
      <c r="A570" s="1">
        <v>1486</v>
      </c>
      <c r="B570" s="1">
        <v>3</v>
      </c>
      <c r="C570" s="1">
        <v>4001</v>
      </c>
      <c r="D570" s="1" t="s">
        <v>51</v>
      </c>
      <c r="E570" s="1" t="s">
        <v>39</v>
      </c>
      <c r="F570" s="1" t="s">
        <v>232</v>
      </c>
      <c r="G570" s="1">
        <v>0</v>
      </c>
      <c r="H570" s="1" t="s">
        <v>53</v>
      </c>
      <c r="I570" s="1" t="s">
        <v>6751</v>
      </c>
      <c r="J570" s="1" t="s">
        <v>6752</v>
      </c>
      <c r="K570" s="1" t="s">
        <v>6752</v>
      </c>
      <c r="L570" s="1">
        <v>0</v>
      </c>
      <c r="M570" s="1">
        <v>0</v>
      </c>
      <c r="N570" s="1" t="s">
        <v>6753</v>
      </c>
      <c r="O570" s="1" t="s">
        <v>6754</v>
      </c>
      <c r="P570" s="1" t="s">
        <v>6755</v>
      </c>
      <c r="Q570" s="1">
        <v>0</v>
      </c>
      <c r="R570" s="1" t="s">
        <v>6756</v>
      </c>
      <c r="S570" s="1" t="s">
        <v>6757</v>
      </c>
      <c r="U570" s="2">
        <v>56777</v>
      </c>
      <c r="V570" s="1">
        <v>4.3</v>
      </c>
      <c r="W570" s="1">
        <v>2000</v>
      </c>
      <c r="X570" s="1">
        <v>3080</v>
      </c>
      <c r="Y570" s="1">
        <v>1837</v>
      </c>
      <c r="Z570" s="1">
        <v>552</v>
      </c>
      <c r="AA570" s="1">
        <v>691</v>
      </c>
      <c r="AB570" s="1">
        <v>0</v>
      </c>
      <c r="AC570" s="1">
        <v>2</v>
      </c>
      <c r="AD570" s="1" t="s">
        <v>76</v>
      </c>
      <c r="AE570" s="1" t="s">
        <v>6758</v>
      </c>
      <c r="AF570" s="1" t="s">
        <v>6759</v>
      </c>
      <c r="AG570" s="1" t="s">
        <v>6760</v>
      </c>
      <c r="AH570" s="1" t="s">
        <v>6761</v>
      </c>
      <c r="AI570" s="1">
        <v>4.5599999999999996</v>
      </c>
      <c r="AJ570" s="1">
        <v>765</v>
      </c>
      <c r="AK570" s="1">
        <v>2618</v>
      </c>
    </row>
    <row r="571" spans="1:38" ht="15.75" customHeight="1">
      <c r="A571" s="1">
        <v>538</v>
      </c>
      <c r="B571" s="1">
        <v>5</v>
      </c>
      <c r="C571" s="1">
        <v>4050</v>
      </c>
      <c r="D571" s="1" t="s">
        <v>38</v>
      </c>
      <c r="E571" s="1" t="s">
        <v>39</v>
      </c>
      <c r="F571" s="1" t="s">
        <v>206</v>
      </c>
      <c r="G571" s="1">
        <v>0</v>
      </c>
      <c r="H571" s="1" t="s">
        <v>41</v>
      </c>
      <c r="I571" s="1" t="s">
        <v>6762</v>
      </c>
      <c r="J571" s="1" t="s">
        <v>6763</v>
      </c>
      <c r="K571" s="1" t="s">
        <v>6764</v>
      </c>
      <c r="L571" s="1">
        <v>1</v>
      </c>
      <c r="M571" s="1">
        <v>0</v>
      </c>
      <c r="N571" s="1" t="s">
        <v>6765</v>
      </c>
      <c r="O571" s="1" t="s">
        <v>6766</v>
      </c>
      <c r="P571" s="1" t="s">
        <v>6767</v>
      </c>
      <c r="Q571" s="1">
        <v>0</v>
      </c>
      <c r="R571" s="1" t="s">
        <v>6768</v>
      </c>
      <c r="S571" s="1" t="s">
        <v>6769</v>
      </c>
      <c r="U571" s="2">
        <v>56770</v>
      </c>
      <c r="V571" s="1">
        <v>4.7</v>
      </c>
      <c r="W571" s="1">
        <v>2000</v>
      </c>
      <c r="X571" s="1">
        <v>1897</v>
      </c>
      <c r="Y571" s="1">
        <v>1174</v>
      </c>
      <c r="Z571" s="1">
        <v>103</v>
      </c>
      <c r="AA571" s="1">
        <v>620</v>
      </c>
      <c r="AB571" s="1">
        <v>0</v>
      </c>
      <c r="AC571" s="1">
        <v>2</v>
      </c>
      <c r="AD571" s="1" t="s">
        <v>76</v>
      </c>
      <c r="AE571" s="1" t="s">
        <v>6770</v>
      </c>
      <c r="AF571" s="1" t="s">
        <v>6771</v>
      </c>
      <c r="AG571" s="1" t="s">
        <v>6772</v>
      </c>
      <c r="AH571" s="1" t="s">
        <v>6773</v>
      </c>
      <c r="AI571" s="1">
        <v>4.3670886080000004</v>
      </c>
      <c r="AJ571" s="1">
        <v>59</v>
      </c>
      <c r="AK571" s="1">
        <v>198</v>
      </c>
      <c r="AL571" s="1">
        <v>42</v>
      </c>
    </row>
    <row r="572" spans="1:38" ht="15.75" customHeight="1">
      <c r="A572" s="1">
        <v>700</v>
      </c>
      <c r="B572" s="1">
        <v>5</v>
      </c>
      <c r="C572" s="1">
        <v>4050</v>
      </c>
      <c r="D572" s="1" t="s">
        <v>38</v>
      </c>
      <c r="E572" s="1" t="s">
        <v>39</v>
      </c>
      <c r="F572" s="1" t="s">
        <v>280</v>
      </c>
      <c r="G572" s="1">
        <v>0</v>
      </c>
      <c r="H572" s="1" t="s">
        <v>41</v>
      </c>
      <c r="I572" s="1" t="s">
        <v>6774</v>
      </c>
      <c r="J572" s="1" t="s">
        <v>6775</v>
      </c>
      <c r="K572" s="1" t="s">
        <v>6776</v>
      </c>
      <c r="L572" s="1">
        <v>1</v>
      </c>
      <c r="M572" s="1">
        <v>0</v>
      </c>
      <c r="N572" s="1" t="s">
        <v>6777</v>
      </c>
      <c r="O572" s="1" t="s">
        <v>6778</v>
      </c>
      <c r="P572" s="1" t="s">
        <v>6779</v>
      </c>
      <c r="Q572" s="1">
        <v>0</v>
      </c>
      <c r="R572" s="1" t="s">
        <v>6780</v>
      </c>
      <c r="U572" s="2">
        <v>56770</v>
      </c>
      <c r="V572" s="1">
        <v>4.5999999999999996</v>
      </c>
      <c r="W572" s="1">
        <v>2000</v>
      </c>
      <c r="X572" s="1">
        <v>2620</v>
      </c>
      <c r="AA572" s="1">
        <v>1158</v>
      </c>
      <c r="AB572" s="1">
        <v>0</v>
      </c>
      <c r="AC572" s="1">
        <v>9</v>
      </c>
      <c r="AE572" s="1" t="s">
        <v>6781</v>
      </c>
      <c r="AF572" s="1" t="s">
        <v>6782</v>
      </c>
      <c r="AG572" s="1" t="s">
        <v>6783</v>
      </c>
      <c r="AI572" s="1">
        <v>4.49</v>
      </c>
      <c r="AJ572" s="1">
        <v>2315</v>
      </c>
      <c r="AK572" s="1">
        <v>7039</v>
      </c>
      <c r="AL572" s="1">
        <v>763</v>
      </c>
    </row>
    <row r="573" spans="1:38" ht="15.75" customHeight="1">
      <c r="A573" s="1">
        <v>269</v>
      </c>
      <c r="B573" s="1">
        <v>4</v>
      </c>
      <c r="C573" s="1">
        <v>4001</v>
      </c>
      <c r="D573" s="1" t="s">
        <v>51</v>
      </c>
      <c r="E573" s="1" t="s">
        <v>39</v>
      </c>
      <c r="F573" s="1" t="s">
        <v>341</v>
      </c>
      <c r="G573" s="1">
        <v>0</v>
      </c>
      <c r="H573" s="1" t="s">
        <v>41</v>
      </c>
      <c r="I573" s="1" t="s">
        <v>6784</v>
      </c>
      <c r="J573" s="1" t="s">
        <v>6785</v>
      </c>
      <c r="K573" s="1" t="s">
        <v>6786</v>
      </c>
      <c r="L573" s="1">
        <v>1</v>
      </c>
      <c r="M573" s="1">
        <v>0</v>
      </c>
      <c r="N573" s="1" t="s">
        <v>6787</v>
      </c>
      <c r="O573" s="1" t="s">
        <v>6788</v>
      </c>
      <c r="P573" s="1" t="s">
        <v>6789</v>
      </c>
      <c r="Q573" s="1">
        <v>0</v>
      </c>
      <c r="R573" s="1" t="s">
        <v>6790</v>
      </c>
      <c r="S573" s="1" t="s">
        <v>6791</v>
      </c>
      <c r="U573" s="2">
        <v>56768</v>
      </c>
      <c r="V573" s="1">
        <v>4.3</v>
      </c>
      <c r="W573" s="1">
        <v>2000</v>
      </c>
      <c r="X573" s="1">
        <v>1922</v>
      </c>
      <c r="Y573" s="1">
        <v>646</v>
      </c>
      <c r="Z573" s="1">
        <v>453</v>
      </c>
      <c r="AA573" s="1">
        <v>823</v>
      </c>
      <c r="AB573" s="1">
        <v>1</v>
      </c>
      <c r="AC573" s="1">
        <v>2</v>
      </c>
      <c r="AE573" s="1" t="s">
        <v>6792</v>
      </c>
      <c r="AF573" s="1" t="s">
        <v>6793</v>
      </c>
      <c r="AG573" s="1" t="s">
        <v>6794</v>
      </c>
      <c r="AH573" s="1" t="s">
        <v>6795</v>
      </c>
      <c r="AI573" s="1">
        <v>4.54</v>
      </c>
      <c r="AJ573" s="1">
        <v>2229</v>
      </c>
      <c r="AK573" s="1">
        <v>6580</v>
      </c>
    </row>
    <row r="574" spans="1:38" ht="15.75" customHeight="1">
      <c r="A574" s="1">
        <v>471</v>
      </c>
      <c r="C574" s="1">
        <v>4050</v>
      </c>
      <c r="D574" s="1" t="s">
        <v>38</v>
      </c>
      <c r="E574" s="1" t="s">
        <v>39</v>
      </c>
      <c r="F574" s="1" t="s">
        <v>1092</v>
      </c>
      <c r="G574" s="1">
        <v>0</v>
      </c>
      <c r="H574" s="1" t="s">
        <v>41</v>
      </c>
      <c r="I574" s="1" t="s">
        <v>6796</v>
      </c>
      <c r="J574" s="1" t="s">
        <v>6797</v>
      </c>
      <c r="K574" s="1" t="s">
        <v>6798</v>
      </c>
      <c r="L574" s="1">
        <v>1</v>
      </c>
      <c r="M574" s="1">
        <v>0</v>
      </c>
      <c r="N574" s="1" t="s">
        <v>6799</v>
      </c>
      <c r="O574" s="1" t="s">
        <v>6800</v>
      </c>
      <c r="P574" s="1" t="s">
        <v>6801</v>
      </c>
      <c r="Q574" s="1">
        <v>0</v>
      </c>
      <c r="R574" s="1" t="s">
        <v>6802</v>
      </c>
      <c r="S574" s="1" t="s">
        <v>6803</v>
      </c>
      <c r="U574" s="2">
        <v>56769</v>
      </c>
      <c r="V574" s="1">
        <v>4.7</v>
      </c>
      <c r="W574" s="1">
        <v>2000</v>
      </c>
      <c r="X574" s="1">
        <v>2566</v>
      </c>
      <c r="Y574" s="1">
        <v>475</v>
      </c>
      <c r="Z574" s="1">
        <v>1412</v>
      </c>
      <c r="AA574" s="1">
        <v>679</v>
      </c>
      <c r="AB574" s="1">
        <v>0</v>
      </c>
      <c r="AC574" s="1">
        <v>4</v>
      </c>
      <c r="AD574" s="1" t="s">
        <v>62</v>
      </c>
      <c r="AE574" s="1" t="s">
        <v>6804</v>
      </c>
      <c r="AF574" s="1" t="s">
        <v>6805</v>
      </c>
      <c r="AG574" s="1" t="s">
        <v>6806</v>
      </c>
      <c r="AH574" s="1" t="s">
        <v>6807</v>
      </c>
      <c r="AI574" s="1">
        <v>4.3764705880000001</v>
      </c>
      <c r="AJ574" s="1">
        <v>62</v>
      </c>
      <c r="AK574" s="1">
        <v>219</v>
      </c>
      <c r="AL574" s="1">
        <v>113</v>
      </c>
    </row>
    <row r="575" spans="1:38" ht="15.75" customHeight="1">
      <c r="A575" s="1">
        <v>389</v>
      </c>
      <c r="C575" s="1">
        <v>4050</v>
      </c>
      <c r="D575" s="1" t="s">
        <v>38</v>
      </c>
      <c r="E575" s="1" t="s">
        <v>39</v>
      </c>
      <c r="F575" s="1" t="s">
        <v>280</v>
      </c>
      <c r="G575" s="1">
        <v>0</v>
      </c>
      <c r="H575" s="1" t="s">
        <v>41</v>
      </c>
      <c r="I575" s="1" t="s">
        <v>6808</v>
      </c>
      <c r="J575" s="1" t="s">
        <v>6809</v>
      </c>
      <c r="K575" s="1" t="s">
        <v>6810</v>
      </c>
      <c r="L575" s="1">
        <v>1</v>
      </c>
      <c r="M575" s="1">
        <v>0</v>
      </c>
      <c r="N575" s="1" t="s">
        <v>6811</v>
      </c>
      <c r="O575" s="1" t="s">
        <v>6812</v>
      </c>
      <c r="P575" s="1" t="s">
        <v>6813</v>
      </c>
      <c r="Q575" s="1">
        <v>0</v>
      </c>
      <c r="R575" s="1" t="s">
        <v>6814</v>
      </c>
      <c r="U575" s="2">
        <v>56768</v>
      </c>
      <c r="V575" s="1">
        <v>4.5999999999999996</v>
      </c>
      <c r="W575" s="1">
        <v>2000</v>
      </c>
      <c r="X575" s="1">
        <v>1822</v>
      </c>
      <c r="AA575" s="1">
        <v>741</v>
      </c>
      <c r="AB575" s="1">
        <v>0</v>
      </c>
      <c r="AC575" s="1">
        <v>4</v>
      </c>
      <c r="AE575" s="1" t="s">
        <v>6815</v>
      </c>
      <c r="AF575" s="1" t="s">
        <v>6816</v>
      </c>
      <c r="AG575" s="1" t="s">
        <v>6817</v>
      </c>
      <c r="AI575" s="1">
        <v>4.49</v>
      </c>
      <c r="AJ575" s="1">
        <v>2315</v>
      </c>
      <c r="AK575" s="1">
        <v>7039</v>
      </c>
      <c r="AL575" s="1">
        <v>763</v>
      </c>
    </row>
    <row r="576" spans="1:38" ht="15.75" customHeight="1">
      <c r="A576" s="1">
        <v>227</v>
      </c>
      <c r="C576" s="1">
        <v>4001</v>
      </c>
      <c r="D576" s="1" t="s">
        <v>51</v>
      </c>
      <c r="E576" s="1" t="s">
        <v>39</v>
      </c>
      <c r="F576" s="1" t="s">
        <v>341</v>
      </c>
      <c r="G576" s="1">
        <v>0</v>
      </c>
      <c r="H576" s="1" t="s">
        <v>41</v>
      </c>
      <c r="I576" s="1" t="s">
        <v>6818</v>
      </c>
      <c r="J576" s="1" t="s">
        <v>6819</v>
      </c>
      <c r="K576" s="1" t="s">
        <v>6820</v>
      </c>
      <c r="L576" s="1">
        <v>1</v>
      </c>
      <c r="M576" s="1">
        <v>0</v>
      </c>
      <c r="N576" s="1" t="s">
        <v>6821</v>
      </c>
      <c r="O576" s="1" t="s">
        <v>6822</v>
      </c>
      <c r="P576" s="1" t="s">
        <v>6823</v>
      </c>
      <c r="Q576" s="1">
        <v>0</v>
      </c>
      <c r="R576" s="1" t="s">
        <v>6824</v>
      </c>
      <c r="S576" s="1" t="s">
        <v>6825</v>
      </c>
      <c r="U576" s="2">
        <v>56767</v>
      </c>
      <c r="V576" s="1">
        <v>4.5</v>
      </c>
      <c r="W576" s="1">
        <v>2000</v>
      </c>
      <c r="X576" s="1">
        <v>1429</v>
      </c>
      <c r="Y576" s="1">
        <v>339</v>
      </c>
      <c r="Z576" s="1">
        <v>279</v>
      </c>
      <c r="AA576" s="1">
        <v>811</v>
      </c>
      <c r="AB576" s="1">
        <v>0</v>
      </c>
      <c r="AC576" s="1">
        <v>1</v>
      </c>
      <c r="AD576" s="1" t="s">
        <v>215</v>
      </c>
      <c r="AE576" s="1" t="s">
        <v>6826</v>
      </c>
      <c r="AF576" s="1" t="s">
        <v>6827</v>
      </c>
      <c r="AG576" s="1" t="s">
        <v>6828</v>
      </c>
      <c r="AH576" s="1" t="s">
        <v>6829</v>
      </c>
      <c r="AI576" s="1">
        <v>4.54</v>
      </c>
      <c r="AJ576" s="1">
        <v>2229</v>
      </c>
      <c r="AK576" s="1">
        <v>6580</v>
      </c>
    </row>
    <row r="577" spans="1:38" ht="15.75" customHeight="1">
      <c r="A577" s="1">
        <v>250</v>
      </c>
      <c r="C577" s="1">
        <v>4001</v>
      </c>
      <c r="D577" s="1" t="s">
        <v>51</v>
      </c>
      <c r="E577" s="1" t="s">
        <v>39</v>
      </c>
      <c r="F577" s="1" t="s">
        <v>232</v>
      </c>
      <c r="G577" s="1">
        <v>0</v>
      </c>
      <c r="H577" s="1" t="s">
        <v>53</v>
      </c>
      <c r="I577" s="1" t="s">
        <v>6830</v>
      </c>
      <c r="J577" s="1" t="s">
        <v>6831</v>
      </c>
      <c r="K577" s="1" t="s">
        <v>6832</v>
      </c>
      <c r="L577" s="1">
        <v>1</v>
      </c>
      <c r="M577" s="1">
        <v>0</v>
      </c>
      <c r="N577" s="1" t="s">
        <v>6833</v>
      </c>
      <c r="O577" s="1" t="s">
        <v>6834</v>
      </c>
      <c r="P577" s="1" t="s">
        <v>6835</v>
      </c>
      <c r="Q577" s="1">
        <v>0</v>
      </c>
      <c r="R577" s="1" t="s">
        <v>6836</v>
      </c>
      <c r="S577" s="1" t="s">
        <v>6837</v>
      </c>
      <c r="U577" s="2">
        <v>56767</v>
      </c>
      <c r="V577" s="1">
        <v>4.4000000000000004</v>
      </c>
      <c r="W577" s="1">
        <v>2000</v>
      </c>
      <c r="X577" s="1">
        <v>2519</v>
      </c>
      <c r="Y577" s="1">
        <v>239</v>
      </c>
      <c r="Z577" s="1">
        <v>2015</v>
      </c>
      <c r="AA577" s="1">
        <v>265</v>
      </c>
      <c r="AB577" s="1">
        <v>0</v>
      </c>
      <c r="AC577" s="1">
        <v>3</v>
      </c>
      <c r="AE577" s="1" t="s">
        <v>6838</v>
      </c>
      <c r="AF577" s="1" t="s">
        <v>6839</v>
      </c>
      <c r="AG577" s="1" t="s">
        <v>6840</v>
      </c>
      <c r="AH577" s="1" t="s">
        <v>6841</v>
      </c>
      <c r="AI577" s="1">
        <v>4.5599999999999996</v>
      </c>
      <c r="AJ577" s="1">
        <v>765</v>
      </c>
      <c r="AK577" s="1">
        <v>2618</v>
      </c>
    </row>
    <row r="578" spans="1:38" ht="15.75" customHeight="1">
      <c r="A578" s="1">
        <v>281</v>
      </c>
      <c r="C578" s="1">
        <v>4001</v>
      </c>
      <c r="D578" s="1" t="s">
        <v>51</v>
      </c>
      <c r="E578" s="1" t="s">
        <v>39</v>
      </c>
      <c r="F578" s="1" t="s">
        <v>414</v>
      </c>
      <c r="G578" s="1">
        <v>0</v>
      </c>
      <c r="H578" s="1" t="s">
        <v>53</v>
      </c>
      <c r="I578" s="1" t="s">
        <v>6842</v>
      </c>
      <c r="J578" s="1" t="s">
        <v>6843</v>
      </c>
      <c r="K578" s="1" t="s">
        <v>6843</v>
      </c>
      <c r="L578" s="1">
        <v>0</v>
      </c>
      <c r="M578" s="1">
        <v>0</v>
      </c>
      <c r="N578" s="1" t="s">
        <v>6844</v>
      </c>
      <c r="O578" s="1" t="s">
        <v>6845</v>
      </c>
      <c r="P578" s="1" t="s">
        <v>6846</v>
      </c>
      <c r="Q578" s="1">
        <v>0</v>
      </c>
      <c r="R578" s="1" t="s">
        <v>6847</v>
      </c>
      <c r="S578" s="1" t="s">
        <v>6848</v>
      </c>
      <c r="U578" s="2">
        <v>56768</v>
      </c>
      <c r="V578" s="1">
        <v>5</v>
      </c>
      <c r="W578" s="1">
        <v>2000</v>
      </c>
      <c r="X578" s="1">
        <v>886</v>
      </c>
      <c r="Y578" s="1">
        <v>544</v>
      </c>
      <c r="AA578" s="1">
        <v>480</v>
      </c>
      <c r="AB578" s="1">
        <v>0</v>
      </c>
      <c r="AC578" s="1">
        <v>1</v>
      </c>
      <c r="AD578" s="1" t="s">
        <v>215</v>
      </c>
      <c r="AE578" s="1" t="s">
        <v>6849</v>
      </c>
      <c r="AF578" s="1" t="s">
        <v>6850</v>
      </c>
      <c r="AG578" s="1" t="s">
        <v>6851</v>
      </c>
      <c r="AH578" s="1" t="s">
        <v>6852</v>
      </c>
      <c r="AI578" s="1">
        <v>4.58</v>
      </c>
      <c r="AJ578" s="1">
        <v>254</v>
      </c>
      <c r="AK578" s="1">
        <v>788</v>
      </c>
      <c r="AL578" s="1">
        <v>9</v>
      </c>
    </row>
    <row r="579" spans="1:38" ht="15.75" customHeight="1">
      <c r="A579" s="1">
        <v>329</v>
      </c>
      <c r="C579" s="1">
        <v>4001</v>
      </c>
      <c r="D579" s="1" t="s">
        <v>51</v>
      </c>
      <c r="E579" s="1" t="s">
        <v>39</v>
      </c>
      <c r="F579" s="1" t="s">
        <v>92</v>
      </c>
      <c r="G579" s="1">
        <v>0</v>
      </c>
      <c r="H579" s="1" t="s">
        <v>41</v>
      </c>
      <c r="I579" s="1" t="s">
        <v>6853</v>
      </c>
      <c r="J579" s="1" t="s">
        <v>6854</v>
      </c>
      <c r="K579" s="1" t="s">
        <v>6855</v>
      </c>
      <c r="L579" s="1">
        <v>1</v>
      </c>
      <c r="M579" s="1">
        <v>0</v>
      </c>
      <c r="N579" s="1" t="s">
        <v>6856</v>
      </c>
      <c r="O579" s="1" t="s">
        <v>6857</v>
      </c>
      <c r="P579" s="1" t="s">
        <v>6858</v>
      </c>
      <c r="Q579" s="1">
        <v>0</v>
      </c>
      <c r="R579" s="1" t="s">
        <v>6859</v>
      </c>
      <c r="S579" s="1" t="s">
        <v>6860</v>
      </c>
      <c r="U579" s="2">
        <v>56768</v>
      </c>
      <c r="V579" s="1">
        <v>4.2591010989999996</v>
      </c>
      <c r="W579" s="1">
        <v>2000</v>
      </c>
      <c r="X579" s="1">
        <v>2906</v>
      </c>
      <c r="Y579" s="1">
        <v>265</v>
      </c>
      <c r="Z579" s="1">
        <v>1310</v>
      </c>
      <c r="AA579" s="1">
        <v>1331</v>
      </c>
      <c r="AB579" s="1">
        <v>0</v>
      </c>
      <c r="AC579" s="1">
        <v>2</v>
      </c>
      <c r="AD579" s="1" t="s">
        <v>62</v>
      </c>
      <c r="AE579" s="1" t="s">
        <v>6861</v>
      </c>
      <c r="AF579" s="1" t="s">
        <v>6862</v>
      </c>
      <c r="AG579" s="1" t="s">
        <v>6863</v>
      </c>
      <c r="AH579" s="1" t="s">
        <v>6864</v>
      </c>
      <c r="AI579" s="1">
        <v>4.03</v>
      </c>
      <c r="AJ579" s="1">
        <v>505</v>
      </c>
      <c r="AK579" s="1">
        <v>1721</v>
      </c>
      <c r="AL579" s="1">
        <v>457</v>
      </c>
    </row>
    <row r="580" spans="1:38" ht="15.75" customHeight="1">
      <c r="A580" s="1">
        <v>437</v>
      </c>
      <c r="B580" s="1">
        <v>3</v>
      </c>
      <c r="C580" s="1">
        <v>4050</v>
      </c>
      <c r="D580" s="1" t="s">
        <v>38</v>
      </c>
      <c r="E580" s="1" t="s">
        <v>39</v>
      </c>
      <c r="F580" s="1" t="s">
        <v>1348</v>
      </c>
      <c r="G580" s="1">
        <v>0</v>
      </c>
      <c r="H580" s="1" t="s">
        <v>41</v>
      </c>
      <c r="I580" s="1" t="s">
        <v>6865</v>
      </c>
      <c r="J580" s="1" t="s">
        <v>6866</v>
      </c>
      <c r="K580" s="1" t="s">
        <v>6867</v>
      </c>
      <c r="L580" s="1">
        <v>1</v>
      </c>
      <c r="M580" s="1">
        <v>0</v>
      </c>
      <c r="N580" s="1" t="s">
        <v>6868</v>
      </c>
      <c r="O580" s="1" t="s">
        <v>6869</v>
      </c>
      <c r="P580" s="1" t="s">
        <v>6870</v>
      </c>
      <c r="Q580" s="1">
        <v>0</v>
      </c>
      <c r="R580" s="1" t="s">
        <v>6871</v>
      </c>
      <c r="S580" s="1" t="s">
        <v>6872</v>
      </c>
      <c r="U580" s="2">
        <v>56769</v>
      </c>
      <c r="V580" s="1">
        <v>4.7</v>
      </c>
      <c r="W580" s="1">
        <v>2000</v>
      </c>
      <c r="X580" s="1">
        <v>4578</v>
      </c>
      <c r="Y580" s="1">
        <v>209</v>
      </c>
      <c r="Z580" s="1">
        <v>2539</v>
      </c>
      <c r="AA580" s="1">
        <v>1830</v>
      </c>
      <c r="AB580" s="1">
        <v>0</v>
      </c>
      <c r="AC580" s="1">
        <v>4</v>
      </c>
      <c r="AD580" s="1" t="s">
        <v>215</v>
      </c>
      <c r="AE580" s="1" t="s">
        <v>6873</v>
      </c>
      <c r="AF580" s="1" t="s">
        <v>6874</v>
      </c>
      <c r="AG580" s="1" t="s">
        <v>6875</v>
      </c>
      <c r="AH580" s="1" t="s">
        <v>6876</v>
      </c>
      <c r="AI580" s="1">
        <v>4.79</v>
      </c>
      <c r="AJ580" s="1">
        <v>1007</v>
      </c>
      <c r="AK580" s="1">
        <v>2899</v>
      </c>
      <c r="AL580" s="1">
        <v>1301</v>
      </c>
    </row>
    <row r="581" spans="1:38" ht="15.75" customHeight="1">
      <c r="A581" s="1">
        <v>628</v>
      </c>
      <c r="B581" s="1">
        <v>5</v>
      </c>
      <c r="C581" s="1">
        <v>4050</v>
      </c>
      <c r="D581" s="1" t="s">
        <v>38</v>
      </c>
      <c r="E581" s="1" t="s">
        <v>39</v>
      </c>
      <c r="F581" s="1" t="s">
        <v>451</v>
      </c>
      <c r="G581" s="1">
        <v>0</v>
      </c>
      <c r="H581" s="1" t="s">
        <v>41</v>
      </c>
      <c r="I581" s="1" t="s">
        <v>6877</v>
      </c>
      <c r="J581" s="1" t="s">
        <v>6878</v>
      </c>
      <c r="K581" s="1" t="s">
        <v>6879</v>
      </c>
      <c r="L581" s="1">
        <v>1</v>
      </c>
      <c r="M581" s="1">
        <v>0</v>
      </c>
      <c r="N581" s="1" t="s">
        <v>6880</v>
      </c>
      <c r="O581" s="1" t="s">
        <v>6881</v>
      </c>
      <c r="P581" s="1" t="s">
        <v>6882</v>
      </c>
      <c r="Q581" s="1">
        <v>0</v>
      </c>
      <c r="R581" s="1" t="s">
        <v>6883</v>
      </c>
      <c r="S581" s="1" t="s">
        <v>6884</v>
      </c>
      <c r="U581" s="2">
        <v>56770</v>
      </c>
      <c r="V581" s="1">
        <v>4.5</v>
      </c>
      <c r="W581" s="1">
        <v>2000</v>
      </c>
      <c r="X581" s="1">
        <v>1812</v>
      </c>
      <c r="Y581" s="1">
        <v>967</v>
      </c>
      <c r="Z581" s="1">
        <v>9</v>
      </c>
      <c r="AA581" s="1">
        <v>836</v>
      </c>
      <c r="AB581" s="1">
        <v>0</v>
      </c>
      <c r="AC581" s="1">
        <v>2</v>
      </c>
      <c r="AD581" s="1" t="s">
        <v>76</v>
      </c>
      <c r="AE581" s="1" t="s">
        <v>6885</v>
      </c>
      <c r="AF581" s="1" t="s">
        <v>6886</v>
      </c>
      <c r="AG581" s="1" t="s">
        <v>6887</v>
      </c>
      <c r="AH581" s="1" t="s">
        <v>6888</v>
      </c>
      <c r="AI581" s="1">
        <v>4.7</v>
      </c>
      <c r="AJ581" s="1">
        <v>272</v>
      </c>
      <c r="AK581" s="1">
        <v>931</v>
      </c>
      <c r="AL581" s="1">
        <v>144</v>
      </c>
    </row>
    <row r="582" spans="1:38" ht="15.75" customHeight="1">
      <c r="A582" s="1">
        <v>717</v>
      </c>
      <c r="C582" s="1">
        <v>4050</v>
      </c>
      <c r="D582" s="1" t="s">
        <v>38</v>
      </c>
      <c r="E582" s="1" t="s">
        <v>39</v>
      </c>
      <c r="F582" s="1" t="s">
        <v>1323</v>
      </c>
      <c r="G582" s="1">
        <v>0</v>
      </c>
      <c r="H582" s="1" t="s">
        <v>41</v>
      </c>
      <c r="I582" s="1" t="s">
        <v>6889</v>
      </c>
      <c r="J582" s="1" t="s">
        <v>6890</v>
      </c>
      <c r="K582" s="1" t="s">
        <v>6891</v>
      </c>
      <c r="L582" s="1">
        <v>1</v>
      </c>
      <c r="M582" s="1">
        <v>0</v>
      </c>
      <c r="N582" s="1" t="s">
        <v>6892</v>
      </c>
      <c r="O582" s="1" t="s">
        <v>6893</v>
      </c>
      <c r="P582" s="1" t="s">
        <v>6894</v>
      </c>
      <c r="Q582" s="1">
        <v>0</v>
      </c>
      <c r="R582" s="1" t="s">
        <v>6895</v>
      </c>
      <c r="S582" s="1" t="s">
        <v>6896</v>
      </c>
      <c r="U582" s="2">
        <v>56770</v>
      </c>
      <c r="V582" s="1">
        <v>4.5999999999999996</v>
      </c>
      <c r="W582" s="1">
        <v>2000</v>
      </c>
      <c r="X582" s="1">
        <v>2874</v>
      </c>
      <c r="Y582" s="1">
        <v>464</v>
      </c>
      <c r="Z582" s="1">
        <v>1649</v>
      </c>
      <c r="AA582" s="1">
        <v>761</v>
      </c>
      <c r="AB582" s="1">
        <v>0</v>
      </c>
      <c r="AC582" s="1">
        <v>3</v>
      </c>
      <c r="AD582" s="1" t="s">
        <v>62</v>
      </c>
      <c r="AE582" s="1" t="s">
        <v>6897</v>
      </c>
      <c r="AF582" s="1" t="s">
        <v>6898</v>
      </c>
      <c r="AG582" s="1" t="s">
        <v>6899</v>
      </c>
      <c r="AH582" s="1" t="s">
        <v>6900</v>
      </c>
      <c r="AI582" s="1">
        <v>4.57</v>
      </c>
      <c r="AJ582" s="1">
        <v>234</v>
      </c>
      <c r="AK582" s="1">
        <v>726</v>
      </c>
      <c r="AL582" s="1">
        <v>99</v>
      </c>
    </row>
    <row r="583" spans="1:38" ht="15.75" customHeight="1">
      <c r="A583" s="1">
        <v>878</v>
      </c>
      <c r="B583" s="1">
        <v>5</v>
      </c>
      <c r="C583" s="1">
        <v>4050</v>
      </c>
      <c r="D583" s="1" t="s">
        <v>38</v>
      </c>
      <c r="E583" s="1" t="s">
        <v>39</v>
      </c>
      <c r="F583" s="1" t="s">
        <v>116</v>
      </c>
      <c r="G583" s="1">
        <v>0</v>
      </c>
      <c r="H583" s="1" t="s">
        <v>41</v>
      </c>
      <c r="I583" s="1" t="s">
        <v>6901</v>
      </c>
      <c r="J583" s="1" t="s">
        <v>6902</v>
      </c>
      <c r="K583" s="1" t="s">
        <v>6903</v>
      </c>
      <c r="L583" s="1">
        <v>1</v>
      </c>
      <c r="M583" s="1">
        <v>0</v>
      </c>
      <c r="N583" s="1" t="s">
        <v>6904</v>
      </c>
      <c r="O583" s="1" t="s">
        <v>6905</v>
      </c>
      <c r="P583" s="1" t="s">
        <v>6906</v>
      </c>
      <c r="Q583" s="1">
        <v>0</v>
      </c>
      <c r="R583" s="1" t="s">
        <v>6907</v>
      </c>
      <c r="S583" s="1" t="s">
        <v>6908</v>
      </c>
      <c r="U583" s="2">
        <v>56772</v>
      </c>
      <c r="V583" s="1">
        <v>4.5999999999999996</v>
      </c>
      <c r="W583" s="1">
        <v>2000</v>
      </c>
      <c r="X583" s="1">
        <v>3151</v>
      </c>
      <c r="Y583" s="1">
        <v>400</v>
      </c>
      <c r="Z583" s="1">
        <v>2507</v>
      </c>
      <c r="AA583" s="1">
        <v>244</v>
      </c>
      <c r="AB583" s="1">
        <v>0</v>
      </c>
      <c r="AC583" s="1">
        <v>1</v>
      </c>
      <c r="AE583" s="1" t="s">
        <v>6909</v>
      </c>
      <c r="AF583" s="1" t="s">
        <v>6910</v>
      </c>
      <c r="AG583" s="1" t="s">
        <v>6911</v>
      </c>
      <c r="AH583" s="1" t="s">
        <v>6912</v>
      </c>
      <c r="AI583" s="1">
        <v>4.8899999999999997</v>
      </c>
      <c r="AJ583" s="1">
        <v>1778</v>
      </c>
      <c r="AK583" s="1">
        <v>5138</v>
      </c>
      <c r="AL583" s="1">
        <v>314</v>
      </c>
    </row>
    <row r="584" spans="1:38" ht="15.75" customHeight="1">
      <c r="A584" s="1">
        <v>984</v>
      </c>
      <c r="C584" s="1">
        <v>4001</v>
      </c>
      <c r="D584" s="1" t="s">
        <v>51</v>
      </c>
      <c r="E584" s="1" t="s">
        <v>39</v>
      </c>
      <c r="F584" s="1" t="s">
        <v>341</v>
      </c>
      <c r="G584" s="1">
        <v>0</v>
      </c>
      <c r="H584" s="1" t="s">
        <v>41</v>
      </c>
      <c r="I584" s="1" t="s">
        <v>6913</v>
      </c>
      <c r="J584" s="1" t="s">
        <v>6914</v>
      </c>
      <c r="K584" s="1" t="s">
        <v>6915</v>
      </c>
      <c r="L584" s="1">
        <v>1</v>
      </c>
      <c r="M584" s="1">
        <v>0</v>
      </c>
      <c r="N584" s="1" t="s">
        <v>6916</v>
      </c>
      <c r="O584" s="1" t="s">
        <v>6917</v>
      </c>
      <c r="P584" s="1" t="s">
        <v>6918</v>
      </c>
      <c r="Q584" s="1">
        <v>0</v>
      </c>
      <c r="R584" s="1" t="s">
        <v>6919</v>
      </c>
      <c r="S584" s="1" t="s">
        <v>6920</v>
      </c>
      <c r="U584" s="2">
        <v>56773</v>
      </c>
      <c r="V584" s="1">
        <v>4.0999999999999996</v>
      </c>
      <c r="W584" s="1">
        <v>2000</v>
      </c>
      <c r="X584" s="1">
        <v>1290</v>
      </c>
      <c r="Y584" s="1">
        <v>423</v>
      </c>
      <c r="Z584" s="1">
        <v>295</v>
      </c>
      <c r="AA584" s="1">
        <v>572</v>
      </c>
      <c r="AB584" s="1">
        <v>0</v>
      </c>
      <c r="AC584" s="1">
        <v>2</v>
      </c>
      <c r="AD584" s="1" t="s">
        <v>215</v>
      </c>
      <c r="AE584" s="1" t="s">
        <v>6921</v>
      </c>
      <c r="AF584" s="1" t="s">
        <v>6922</v>
      </c>
      <c r="AG584" s="1" t="s">
        <v>6923</v>
      </c>
      <c r="AH584" s="1" t="s">
        <v>6924</v>
      </c>
      <c r="AI584" s="1">
        <v>4.54</v>
      </c>
      <c r="AJ584" s="1">
        <v>2229</v>
      </c>
      <c r="AK584" s="1">
        <v>6580</v>
      </c>
    </row>
    <row r="585" spans="1:38" ht="15.75" customHeight="1">
      <c r="A585" s="1">
        <v>1380</v>
      </c>
      <c r="C585" s="1">
        <v>4001</v>
      </c>
      <c r="D585" s="1" t="s">
        <v>51</v>
      </c>
      <c r="E585" s="1" t="s">
        <v>39</v>
      </c>
      <c r="F585" s="1" t="s">
        <v>414</v>
      </c>
      <c r="G585" s="1">
        <v>0</v>
      </c>
      <c r="H585" s="1" t="s">
        <v>53</v>
      </c>
      <c r="I585" s="1" t="s">
        <v>6925</v>
      </c>
      <c r="J585" s="1" t="s">
        <v>6926</v>
      </c>
      <c r="K585" s="1" t="s">
        <v>6927</v>
      </c>
      <c r="L585" s="1">
        <v>1</v>
      </c>
      <c r="M585" s="1">
        <v>0</v>
      </c>
      <c r="N585" s="1" t="s">
        <v>6928</v>
      </c>
      <c r="O585" s="1" t="s">
        <v>6929</v>
      </c>
      <c r="P585" s="1" t="s">
        <v>6930</v>
      </c>
      <c r="Q585" s="1">
        <v>0</v>
      </c>
      <c r="R585" s="1" t="s">
        <v>6931</v>
      </c>
      <c r="S585" s="1" t="s">
        <v>6932</v>
      </c>
      <c r="U585" s="2">
        <v>56776</v>
      </c>
      <c r="V585" s="1">
        <v>4.5</v>
      </c>
      <c r="W585" s="1">
        <v>2000</v>
      </c>
      <c r="X585" s="1">
        <v>1672</v>
      </c>
      <c r="Y585" s="1">
        <v>516</v>
      </c>
      <c r="Z585" s="1">
        <v>519</v>
      </c>
      <c r="AA585" s="1">
        <v>637</v>
      </c>
      <c r="AB585" s="1">
        <v>0</v>
      </c>
      <c r="AC585" s="1">
        <v>3</v>
      </c>
      <c r="AD585" s="1" t="s">
        <v>62</v>
      </c>
      <c r="AE585" s="1" t="s">
        <v>6933</v>
      </c>
      <c r="AF585" s="1" t="s">
        <v>6934</v>
      </c>
      <c r="AG585" s="1" t="s">
        <v>6935</v>
      </c>
      <c r="AH585" s="1" t="s">
        <v>6936</v>
      </c>
      <c r="AI585" s="1">
        <v>4.58</v>
      </c>
      <c r="AJ585" s="1">
        <v>254</v>
      </c>
      <c r="AK585" s="1">
        <v>788</v>
      </c>
      <c r="AL585" s="1">
        <v>9</v>
      </c>
    </row>
    <row r="586" spans="1:38" ht="15.75" customHeight="1">
      <c r="A586" s="1">
        <v>1452</v>
      </c>
      <c r="C586" s="1">
        <v>4001</v>
      </c>
      <c r="D586" s="1" t="s">
        <v>51</v>
      </c>
      <c r="E586" s="1" t="s">
        <v>39</v>
      </c>
      <c r="F586" s="1" t="s">
        <v>2338</v>
      </c>
      <c r="G586" s="1">
        <v>0</v>
      </c>
      <c r="H586" s="1" t="s">
        <v>53</v>
      </c>
      <c r="I586" s="1" t="s">
        <v>6937</v>
      </c>
      <c r="J586" s="1" t="s">
        <v>6938</v>
      </c>
      <c r="K586" s="1" t="s">
        <v>6939</v>
      </c>
      <c r="L586" s="1">
        <v>1</v>
      </c>
      <c r="M586" s="1">
        <v>0</v>
      </c>
      <c r="N586" s="1" t="s">
        <v>6940</v>
      </c>
      <c r="O586" s="1" t="s">
        <v>6941</v>
      </c>
      <c r="P586" s="1" t="s">
        <v>6942</v>
      </c>
      <c r="Q586" s="1">
        <v>0</v>
      </c>
      <c r="R586" s="1" t="s">
        <v>6943</v>
      </c>
      <c r="S586" s="1" t="s">
        <v>6944</v>
      </c>
      <c r="U586" s="2">
        <v>56777</v>
      </c>
      <c r="V586" s="1">
        <v>3.4134581599999998</v>
      </c>
      <c r="W586" s="1">
        <v>2000</v>
      </c>
      <c r="X586" s="1">
        <v>1919</v>
      </c>
      <c r="Y586" s="1">
        <v>197</v>
      </c>
      <c r="Z586" s="1">
        <v>191</v>
      </c>
      <c r="AA586" s="1">
        <v>1531</v>
      </c>
      <c r="AB586" s="1">
        <v>0</v>
      </c>
      <c r="AC586" s="1">
        <v>2</v>
      </c>
      <c r="AD586" s="1" t="s">
        <v>215</v>
      </c>
      <c r="AE586" s="1" t="s">
        <v>6945</v>
      </c>
      <c r="AF586" s="1" t="s">
        <v>6946</v>
      </c>
      <c r="AG586" s="1" t="s">
        <v>6947</v>
      </c>
      <c r="AH586" s="1" t="s">
        <v>6948</v>
      </c>
      <c r="AI586" s="1">
        <v>4.3510638300000002</v>
      </c>
      <c r="AJ586" s="1">
        <v>62</v>
      </c>
      <c r="AK586" s="1">
        <v>228</v>
      </c>
    </row>
    <row r="587" spans="1:38" ht="15.75" customHeight="1">
      <c r="A587" s="1">
        <v>1465</v>
      </c>
      <c r="C587" s="1">
        <v>4001</v>
      </c>
      <c r="D587" s="1" t="s">
        <v>51</v>
      </c>
      <c r="E587" s="1" t="s">
        <v>39</v>
      </c>
      <c r="F587" s="1" t="s">
        <v>414</v>
      </c>
      <c r="G587" s="1">
        <v>0</v>
      </c>
      <c r="H587" s="1" t="s">
        <v>53</v>
      </c>
      <c r="I587" s="1" t="s">
        <v>6949</v>
      </c>
      <c r="J587" s="1" t="s">
        <v>6950</v>
      </c>
      <c r="K587" s="1" t="s">
        <v>6951</v>
      </c>
      <c r="L587" s="1">
        <v>1</v>
      </c>
      <c r="M587" s="1">
        <v>0</v>
      </c>
      <c r="N587" s="1" t="s">
        <v>6952</v>
      </c>
      <c r="O587" s="1" t="s">
        <v>6953</v>
      </c>
      <c r="P587" s="1" t="s">
        <v>6954</v>
      </c>
      <c r="Q587" s="1">
        <v>0</v>
      </c>
      <c r="R587" s="1" t="s">
        <v>6955</v>
      </c>
      <c r="S587" s="1" t="s">
        <v>6956</v>
      </c>
      <c r="U587" s="2">
        <v>56777</v>
      </c>
      <c r="V587" s="1">
        <v>4.5</v>
      </c>
      <c r="W587" s="1">
        <v>2000</v>
      </c>
      <c r="X587" s="1">
        <v>1305</v>
      </c>
      <c r="Y587" s="1">
        <v>445</v>
      </c>
      <c r="Z587" s="1">
        <v>121</v>
      </c>
      <c r="AA587" s="1">
        <v>739</v>
      </c>
      <c r="AB587" s="1">
        <v>0</v>
      </c>
      <c r="AC587" s="1">
        <v>2</v>
      </c>
      <c r="AD587" s="1" t="s">
        <v>215</v>
      </c>
      <c r="AE587" s="1" t="s">
        <v>6957</v>
      </c>
      <c r="AF587" s="1" t="s">
        <v>6958</v>
      </c>
      <c r="AG587" s="1" t="s">
        <v>6959</v>
      </c>
      <c r="AH587" s="1" t="s">
        <v>6960</v>
      </c>
      <c r="AI587" s="1">
        <v>4.58</v>
      </c>
      <c r="AJ587" s="1">
        <v>254</v>
      </c>
      <c r="AK587" s="1">
        <v>788</v>
      </c>
      <c r="AL587" s="1">
        <v>9</v>
      </c>
    </row>
    <row r="588" spans="1:38" ht="15.75" customHeight="1">
      <c r="A588" s="1">
        <v>308</v>
      </c>
      <c r="C588" s="1">
        <v>4001</v>
      </c>
      <c r="D588" s="1" t="s">
        <v>51</v>
      </c>
      <c r="E588" s="1" t="s">
        <v>39</v>
      </c>
      <c r="F588" s="1" t="s">
        <v>341</v>
      </c>
      <c r="G588" s="1">
        <v>0</v>
      </c>
      <c r="H588" s="1" t="s">
        <v>41</v>
      </c>
      <c r="I588" s="1" t="s">
        <v>6961</v>
      </c>
      <c r="J588" s="1" t="s">
        <v>6962</v>
      </c>
      <c r="K588" s="1" t="s">
        <v>6963</v>
      </c>
      <c r="L588" s="1">
        <v>1</v>
      </c>
      <c r="M588" s="1">
        <v>1</v>
      </c>
      <c r="N588" s="1" t="s">
        <v>6964</v>
      </c>
      <c r="O588" s="1" t="s">
        <v>6965</v>
      </c>
      <c r="P588" s="1" t="s">
        <v>6966</v>
      </c>
      <c r="Q588" s="1">
        <v>0</v>
      </c>
      <c r="R588" s="1" t="s">
        <v>6967</v>
      </c>
      <c r="S588" s="1" t="s">
        <v>6968</v>
      </c>
      <c r="U588" s="2">
        <v>56768</v>
      </c>
      <c r="V588" s="1">
        <v>4.4000000000000004</v>
      </c>
      <c r="W588" s="1">
        <v>2000</v>
      </c>
      <c r="X588" s="1">
        <v>5803</v>
      </c>
      <c r="Y588" s="1">
        <v>453</v>
      </c>
      <c r="Z588" s="1">
        <v>2025</v>
      </c>
      <c r="AA588" s="1">
        <v>3325</v>
      </c>
      <c r="AB588" s="1">
        <v>1</v>
      </c>
      <c r="AC588" s="1">
        <v>2</v>
      </c>
      <c r="AE588" s="1" t="s">
        <v>6969</v>
      </c>
      <c r="AF588" s="1" t="s">
        <v>6970</v>
      </c>
      <c r="AG588" s="1" t="s">
        <v>6971</v>
      </c>
      <c r="AH588" s="1" t="s">
        <v>6972</v>
      </c>
      <c r="AI588" s="1">
        <v>4.54</v>
      </c>
      <c r="AJ588" s="1">
        <v>2229</v>
      </c>
      <c r="AK588" s="1">
        <v>6580</v>
      </c>
    </row>
    <row r="589" spans="1:38" ht="15.75" customHeight="1">
      <c r="A589" s="1">
        <v>791</v>
      </c>
      <c r="C589" s="1">
        <v>4050</v>
      </c>
      <c r="D589" s="1" t="s">
        <v>38</v>
      </c>
      <c r="E589" s="1" t="s">
        <v>39</v>
      </c>
      <c r="F589" s="1" t="s">
        <v>5675</v>
      </c>
      <c r="G589" s="1">
        <v>0</v>
      </c>
      <c r="H589" s="1" t="s">
        <v>41</v>
      </c>
      <c r="I589" s="1" t="s">
        <v>6973</v>
      </c>
      <c r="J589" s="1" t="s">
        <v>6974</v>
      </c>
      <c r="K589" s="1" t="s">
        <v>6975</v>
      </c>
      <c r="L589" s="1">
        <v>1</v>
      </c>
      <c r="M589" s="1">
        <v>0</v>
      </c>
      <c r="N589" s="1" t="s">
        <v>6976</v>
      </c>
      <c r="O589" s="1" t="s">
        <v>6977</v>
      </c>
      <c r="P589" s="1" t="s">
        <v>6978</v>
      </c>
      <c r="Q589" s="1">
        <v>0</v>
      </c>
      <c r="R589" s="1" t="s">
        <v>6979</v>
      </c>
      <c r="S589" s="1" t="s">
        <v>6980</v>
      </c>
      <c r="U589" s="2">
        <v>56771</v>
      </c>
      <c r="V589" s="1">
        <v>4.5</v>
      </c>
      <c r="W589" s="1">
        <v>2000</v>
      </c>
      <c r="X589" s="1">
        <v>1851</v>
      </c>
      <c r="Y589" s="1">
        <v>506</v>
      </c>
      <c r="Z589" s="1">
        <v>442</v>
      </c>
      <c r="AA589" s="1">
        <v>903</v>
      </c>
      <c r="AB589" s="1">
        <v>0</v>
      </c>
      <c r="AC589" s="1">
        <v>3</v>
      </c>
      <c r="AD589" s="1" t="s">
        <v>215</v>
      </c>
      <c r="AE589" s="1" t="s">
        <v>6981</v>
      </c>
      <c r="AF589" s="1" t="s">
        <v>6982</v>
      </c>
      <c r="AG589" s="1" t="s">
        <v>6983</v>
      </c>
      <c r="AH589" s="1" t="s">
        <v>6984</v>
      </c>
      <c r="AI589" s="1">
        <v>4.79</v>
      </c>
      <c r="AJ589" s="1">
        <v>213</v>
      </c>
      <c r="AK589" s="1">
        <v>611</v>
      </c>
      <c r="AL589" s="1">
        <v>122</v>
      </c>
    </row>
    <row r="590" spans="1:38" ht="15.75" customHeight="1">
      <c r="A590" s="1">
        <v>290</v>
      </c>
      <c r="B590" s="1">
        <v>5</v>
      </c>
      <c r="C590" s="1">
        <v>4001</v>
      </c>
      <c r="D590" s="1" t="s">
        <v>51</v>
      </c>
      <c r="E590" s="1" t="s">
        <v>39</v>
      </c>
      <c r="F590" s="1" t="s">
        <v>92</v>
      </c>
      <c r="G590" s="1">
        <v>0</v>
      </c>
      <c r="H590" s="1" t="s">
        <v>41</v>
      </c>
      <c r="I590" s="1" t="s">
        <v>6985</v>
      </c>
      <c r="J590" s="1" t="s">
        <v>6986</v>
      </c>
      <c r="K590" s="1" t="s">
        <v>6987</v>
      </c>
      <c r="L590" s="1">
        <v>1</v>
      </c>
      <c r="M590" s="1">
        <v>0</v>
      </c>
      <c r="N590" s="1" t="s">
        <v>6988</v>
      </c>
      <c r="O590" s="1" t="s">
        <v>6989</v>
      </c>
      <c r="P590" s="1" t="s">
        <v>6990</v>
      </c>
      <c r="Q590" s="1">
        <v>0</v>
      </c>
      <c r="R590" s="1" t="s">
        <v>6991</v>
      </c>
      <c r="S590" s="1" t="s">
        <v>6992</v>
      </c>
      <c r="U590" s="2">
        <v>56768</v>
      </c>
      <c r="V590" s="1">
        <v>4.3</v>
      </c>
      <c r="W590" s="1">
        <v>2000</v>
      </c>
      <c r="X590" s="1">
        <v>1740</v>
      </c>
      <c r="Z590" s="1">
        <v>1411</v>
      </c>
      <c r="AA590" s="1">
        <v>420</v>
      </c>
      <c r="AB590" s="1">
        <v>0</v>
      </c>
      <c r="AC590" s="1">
        <v>3</v>
      </c>
      <c r="AD590" s="1" t="s">
        <v>62</v>
      </c>
      <c r="AE590" s="1" t="s">
        <v>6993</v>
      </c>
      <c r="AF590" s="1" t="s">
        <v>6994</v>
      </c>
      <c r="AG590" s="1" t="s">
        <v>6995</v>
      </c>
      <c r="AH590" s="1" t="s">
        <v>6996</v>
      </c>
      <c r="AI590" s="1">
        <v>4.03</v>
      </c>
      <c r="AJ590" s="1">
        <v>505</v>
      </c>
      <c r="AK590" s="1">
        <v>1721</v>
      </c>
      <c r="AL590" s="1">
        <v>457</v>
      </c>
    </row>
    <row r="591" spans="1:38" ht="15.75" customHeight="1">
      <c r="A591" s="1">
        <v>494</v>
      </c>
      <c r="B591" s="1">
        <v>5</v>
      </c>
      <c r="C591" s="1">
        <v>4050</v>
      </c>
      <c r="D591" s="1" t="s">
        <v>38</v>
      </c>
      <c r="E591" s="1" t="s">
        <v>39</v>
      </c>
      <c r="F591" s="1" t="s">
        <v>280</v>
      </c>
      <c r="G591" s="1">
        <v>0</v>
      </c>
      <c r="H591" s="1" t="s">
        <v>41</v>
      </c>
      <c r="I591" s="1" t="s">
        <v>6997</v>
      </c>
      <c r="J591" s="1" t="s">
        <v>6998</v>
      </c>
      <c r="K591" s="1" t="s">
        <v>6999</v>
      </c>
      <c r="L591" s="1">
        <v>1</v>
      </c>
      <c r="M591" s="1">
        <v>0</v>
      </c>
      <c r="N591" s="1" t="s">
        <v>7000</v>
      </c>
      <c r="O591" s="1" t="s">
        <v>7001</v>
      </c>
      <c r="P591" s="1" t="s">
        <v>7002</v>
      </c>
      <c r="Q591" s="1">
        <v>0</v>
      </c>
      <c r="R591" s="1" t="s">
        <v>7003</v>
      </c>
      <c r="S591" s="1" t="s">
        <v>7004</v>
      </c>
      <c r="U591" s="2">
        <v>56769</v>
      </c>
      <c r="V591" s="1">
        <v>3.2241250629999998</v>
      </c>
      <c r="W591" s="1">
        <v>2000</v>
      </c>
      <c r="X591" s="1">
        <v>2130</v>
      </c>
      <c r="Y591" s="1">
        <v>580</v>
      </c>
      <c r="Z591" s="1">
        <v>440</v>
      </c>
      <c r="AA591" s="1">
        <v>1110</v>
      </c>
      <c r="AB591" s="1">
        <v>0</v>
      </c>
      <c r="AC591" s="1">
        <v>2</v>
      </c>
      <c r="AD591" s="1" t="s">
        <v>62</v>
      </c>
      <c r="AE591" s="1" t="s">
        <v>7005</v>
      </c>
      <c r="AF591" s="1" t="s">
        <v>7006</v>
      </c>
      <c r="AG591" s="1" t="s">
        <v>7007</v>
      </c>
      <c r="AH591" s="1" t="s">
        <v>7008</v>
      </c>
      <c r="AI591" s="1">
        <v>4.49</v>
      </c>
      <c r="AJ591" s="1">
        <v>2315</v>
      </c>
      <c r="AK591" s="1">
        <v>7039</v>
      </c>
      <c r="AL591" s="1">
        <v>763</v>
      </c>
    </row>
    <row r="592" spans="1:38" ht="15.75" customHeight="1">
      <c r="A592" s="1">
        <v>746</v>
      </c>
      <c r="B592" s="1">
        <v>5</v>
      </c>
      <c r="C592" s="1">
        <v>4050</v>
      </c>
      <c r="D592" s="1" t="s">
        <v>38</v>
      </c>
      <c r="E592" s="1" t="s">
        <v>39</v>
      </c>
      <c r="F592" s="1" t="s">
        <v>1348</v>
      </c>
      <c r="G592" s="1">
        <v>0</v>
      </c>
      <c r="H592" s="1" t="s">
        <v>41</v>
      </c>
      <c r="I592" s="1" t="s">
        <v>7009</v>
      </c>
      <c r="J592" s="1" t="s">
        <v>7010</v>
      </c>
      <c r="K592" s="1" t="s">
        <v>7011</v>
      </c>
      <c r="L592" s="1">
        <v>1</v>
      </c>
      <c r="M592" s="1">
        <v>0</v>
      </c>
      <c r="N592" s="1" t="s">
        <v>7012</v>
      </c>
      <c r="O592" s="1" t="s">
        <v>7013</v>
      </c>
      <c r="P592" s="1" t="s">
        <v>7014</v>
      </c>
      <c r="Q592" s="1">
        <v>0</v>
      </c>
      <c r="R592" s="1" t="s">
        <v>7015</v>
      </c>
      <c r="S592" s="1" t="s">
        <v>7016</v>
      </c>
      <c r="U592" s="2">
        <v>56771</v>
      </c>
      <c r="V592" s="1">
        <v>3.1401228149999998</v>
      </c>
      <c r="W592" s="1">
        <v>2000</v>
      </c>
      <c r="X592" s="1">
        <v>3304</v>
      </c>
      <c r="Y592" s="1">
        <v>1814</v>
      </c>
      <c r="Z592" s="1">
        <v>652</v>
      </c>
      <c r="AA592" s="1">
        <v>838</v>
      </c>
      <c r="AB592" s="1">
        <v>0</v>
      </c>
      <c r="AC592" s="1">
        <v>10</v>
      </c>
      <c r="AD592" s="1" t="s">
        <v>215</v>
      </c>
      <c r="AE592" s="1" t="s">
        <v>7017</v>
      </c>
      <c r="AF592" s="1" t="s">
        <v>7018</v>
      </c>
      <c r="AG592" s="1" t="s">
        <v>7019</v>
      </c>
      <c r="AH592" s="1" t="s">
        <v>7020</v>
      </c>
      <c r="AI592" s="1">
        <v>4.79</v>
      </c>
      <c r="AJ592" s="1">
        <v>1007</v>
      </c>
      <c r="AK592" s="1">
        <v>2899</v>
      </c>
      <c r="AL592" s="1">
        <v>1301</v>
      </c>
    </row>
    <row r="593" spans="1:38" ht="15.75" customHeight="1">
      <c r="A593" s="1">
        <v>912</v>
      </c>
      <c r="B593" s="1">
        <v>5</v>
      </c>
      <c r="C593" s="1">
        <v>4050</v>
      </c>
      <c r="D593" s="1" t="s">
        <v>38</v>
      </c>
      <c r="E593" s="1" t="s">
        <v>39</v>
      </c>
      <c r="F593" s="1" t="s">
        <v>280</v>
      </c>
      <c r="G593" s="1">
        <v>0</v>
      </c>
      <c r="H593" s="1" t="s">
        <v>41</v>
      </c>
      <c r="I593" s="1" t="s">
        <v>7021</v>
      </c>
      <c r="J593" s="1" t="s">
        <v>7022</v>
      </c>
      <c r="K593" s="1" t="s">
        <v>7023</v>
      </c>
      <c r="L593" s="1">
        <v>1</v>
      </c>
      <c r="M593" s="1">
        <v>0</v>
      </c>
      <c r="N593" s="1" t="s">
        <v>7024</v>
      </c>
      <c r="O593" s="1" t="s">
        <v>7025</v>
      </c>
      <c r="P593" s="1" t="s">
        <v>7026</v>
      </c>
      <c r="Q593" s="1">
        <v>0</v>
      </c>
      <c r="R593" s="1" t="s">
        <v>7027</v>
      </c>
      <c r="S593" s="1" t="s">
        <v>7028</v>
      </c>
      <c r="U593" s="2">
        <v>56772</v>
      </c>
      <c r="V593" s="1">
        <v>4.8</v>
      </c>
      <c r="W593" s="1">
        <v>2000</v>
      </c>
      <c r="X593" s="1">
        <v>1188</v>
      </c>
      <c r="Y593" s="1">
        <v>318</v>
      </c>
      <c r="Z593" s="1">
        <v>419</v>
      </c>
      <c r="AA593" s="1">
        <v>451</v>
      </c>
      <c r="AB593" s="1">
        <v>0</v>
      </c>
      <c r="AC593" s="1">
        <v>4</v>
      </c>
      <c r="AD593" s="1" t="s">
        <v>62</v>
      </c>
      <c r="AE593" s="1" t="s">
        <v>7029</v>
      </c>
      <c r="AF593" s="1" t="s">
        <v>7030</v>
      </c>
      <c r="AG593" s="1" t="s">
        <v>7031</v>
      </c>
      <c r="AH593" s="1" t="s">
        <v>7032</v>
      </c>
      <c r="AI593" s="1">
        <v>4.49</v>
      </c>
      <c r="AJ593" s="1">
        <v>2315</v>
      </c>
      <c r="AK593" s="1">
        <v>7039</v>
      </c>
      <c r="AL593" s="1">
        <v>763</v>
      </c>
    </row>
    <row r="594" spans="1:38" ht="15.75" customHeight="1">
      <c r="A594" s="1">
        <v>106</v>
      </c>
      <c r="C594" s="1">
        <v>4001</v>
      </c>
      <c r="D594" s="1" t="s">
        <v>51</v>
      </c>
      <c r="E594" s="1" t="s">
        <v>39</v>
      </c>
      <c r="F594" s="1" t="s">
        <v>232</v>
      </c>
      <c r="G594" s="1">
        <v>0</v>
      </c>
      <c r="H594" s="1" t="s">
        <v>53</v>
      </c>
      <c r="I594" s="1" t="s">
        <v>7033</v>
      </c>
      <c r="J594" s="1" t="s">
        <v>7034</v>
      </c>
      <c r="K594" s="1" t="s">
        <v>7035</v>
      </c>
      <c r="L594" s="1">
        <v>1</v>
      </c>
      <c r="M594" s="1">
        <v>0</v>
      </c>
      <c r="N594" s="1" t="s">
        <v>7036</v>
      </c>
      <c r="O594" s="1" t="s">
        <v>7037</v>
      </c>
      <c r="P594" s="1" t="s">
        <v>7038</v>
      </c>
      <c r="Q594" s="1">
        <v>0</v>
      </c>
      <c r="R594" s="1" t="s">
        <v>7039</v>
      </c>
      <c r="S594" s="1" t="s">
        <v>7040</v>
      </c>
      <c r="U594" s="2">
        <v>56766</v>
      </c>
      <c r="V594" s="1">
        <v>3.4933989300000001</v>
      </c>
      <c r="W594" s="1">
        <v>2000</v>
      </c>
      <c r="X594" s="1">
        <v>2108</v>
      </c>
      <c r="Y594" s="1">
        <v>351</v>
      </c>
      <c r="Z594" s="1">
        <v>175</v>
      </c>
      <c r="AA594" s="1">
        <v>1582</v>
      </c>
      <c r="AB594" s="1">
        <v>0</v>
      </c>
      <c r="AC594" s="1">
        <v>2</v>
      </c>
      <c r="AD594" s="1" t="s">
        <v>76</v>
      </c>
      <c r="AE594" s="1" t="s">
        <v>7041</v>
      </c>
      <c r="AF594" s="1" t="s">
        <v>7042</v>
      </c>
      <c r="AG594" s="1" t="s">
        <v>7043</v>
      </c>
      <c r="AH594" s="1" t="s">
        <v>7044</v>
      </c>
      <c r="AI594" s="1">
        <v>4.5599999999999996</v>
      </c>
      <c r="AJ594" s="1">
        <v>765</v>
      </c>
      <c r="AK594" s="1">
        <v>2618</v>
      </c>
    </row>
    <row r="595" spans="1:38" ht="15.75" customHeight="1">
      <c r="A595" s="1">
        <v>108</v>
      </c>
      <c r="B595" s="1">
        <v>5</v>
      </c>
      <c r="C595" s="1">
        <v>4050</v>
      </c>
      <c r="D595" s="1" t="s">
        <v>38</v>
      </c>
      <c r="E595" s="1" t="s">
        <v>39</v>
      </c>
      <c r="F595" s="1" t="s">
        <v>40</v>
      </c>
      <c r="G595" s="1">
        <v>0</v>
      </c>
      <c r="H595" s="1" t="s">
        <v>41</v>
      </c>
      <c r="I595" s="1" t="s">
        <v>7045</v>
      </c>
      <c r="J595" s="1" t="s">
        <v>7046</v>
      </c>
      <c r="K595" s="1" t="s">
        <v>7047</v>
      </c>
      <c r="L595" s="1">
        <v>1</v>
      </c>
      <c r="M595" s="1">
        <v>0</v>
      </c>
      <c r="N595" s="1" t="s">
        <v>7048</v>
      </c>
      <c r="O595" s="1" t="s">
        <v>7049</v>
      </c>
      <c r="P595" s="1" t="s">
        <v>7050</v>
      </c>
      <c r="Q595" s="1">
        <v>0</v>
      </c>
      <c r="R595" s="1" t="s">
        <v>7051</v>
      </c>
      <c r="S595" s="1" t="s">
        <v>7052</v>
      </c>
      <c r="U595" s="2">
        <v>56766</v>
      </c>
      <c r="V595" s="1">
        <v>4.5999999999999996</v>
      </c>
      <c r="W595" s="1">
        <v>2000</v>
      </c>
      <c r="X595" s="1">
        <v>1896</v>
      </c>
      <c r="Y595" s="1">
        <v>959</v>
      </c>
      <c r="Z595" s="1">
        <v>337</v>
      </c>
      <c r="AA595" s="1">
        <v>600</v>
      </c>
      <c r="AB595" s="1">
        <v>0</v>
      </c>
      <c r="AC595" s="1">
        <v>3</v>
      </c>
      <c r="AD595" s="1" t="s">
        <v>215</v>
      </c>
      <c r="AE595" s="1" t="s">
        <v>7053</v>
      </c>
      <c r="AF595" s="1" t="s">
        <v>7054</v>
      </c>
      <c r="AG595" s="1" t="s">
        <v>7055</v>
      </c>
      <c r="AH595" s="1" t="s">
        <v>7056</v>
      </c>
      <c r="AI595" s="1">
        <v>4.7</v>
      </c>
      <c r="AJ595" s="1">
        <v>1261</v>
      </c>
      <c r="AK595" s="1">
        <v>3264</v>
      </c>
      <c r="AL595" s="1">
        <v>232</v>
      </c>
    </row>
    <row r="596" spans="1:38" ht="15.75" customHeight="1">
      <c r="A596" s="1">
        <v>305</v>
      </c>
      <c r="C596" s="1">
        <v>4001</v>
      </c>
      <c r="D596" s="1" t="s">
        <v>51</v>
      </c>
      <c r="E596" s="1" t="s">
        <v>39</v>
      </c>
      <c r="F596" s="1" t="s">
        <v>414</v>
      </c>
      <c r="G596" s="1">
        <v>0</v>
      </c>
      <c r="H596" s="1" t="s">
        <v>53</v>
      </c>
      <c r="I596" s="1" t="s">
        <v>7057</v>
      </c>
      <c r="J596" s="1" t="s">
        <v>7058</v>
      </c>
      <c r="K596" s="1" t="s">
        <v>7059</v>
      </c>
      <c r="L596" s="1">
        <v>1</v>
      </c>
      <c r="M596" s="1">
        <v>0</v>
      </c>
      <c r="N596" s="1" t="s">
        <v>7060</v>
      </c>
      <c r="O596" s="1" t="s">
        <v>7061</v>
      </c>
      <c r="P596" s="1" t="s">
        <v>7062</v>
      </c>
      <c r="Q596" s="1">
        <v>0</v>
      </c>
      <c r="R596" s="1" t="s">
        <v>7063</v>
      </c>
      <c r="S596" s="1" t="s">
        <v>7064</v>
      </c>
      <c r="U596" s="2">
        <v>56768</v>
      </c>
      <c r="V596" s="1">
        <v>4.5999999999999996</v>
      </c>
      <c r="W596" s="1">
        <v>2000</v>
      </c>
      <c r="X596" s="1">
        <v>860</v>
      </c>
      <c r="Y596" s="1">
        <v>137</v>
      </c>
      <c r="Z596" s="1">
        <v>252</v>
      </c>
      <c r="AA596" s="1">
        <v>471</v>
      </c>
      <c r="AB596" s="1">
        <v>0</v>
      </c>
      <c r="AC596" s="1">
        <v>2</v>
      </c>
      <c r="AD596" s="1" t="s">
        <v>62</v>
      </c>
      <c r="AE596" s="1" t="s">
        <v>7065</v>
      </c>
      <c r="AF596" s="1" t="s">
        <v>7066</v>
      </c>
      <c r="AG596" s="1" t="s">
        <v>7067</v>
      </c>
      <c r="AH596" s="1" t="s">
        <v>7068</v>
      </c>
      <c r="AI596" s="1">
        <v>4.58</v>
      </c>
      <c r="AJ596" s="1">
        <v>254</v>
      </c>
      <c r="AK596" s="1">
        <v>788</v>
      </c>
      <c r="AL596" s="1">
        <v>9</v>
      </c>
    </row>
    <row r="597" spans="1:38" ht="15.75" customHeight="1">
      <c r="A597" s="1">
        <v>649</v>
      </c>
      <c r="B597" s="1">
        <v>1</v>
      </c>
      <c r="C597" s="1">
        <v>4050</v>
      </c>
      <c r="D597" s="1" t="s">
        <v>38</v>
      </c>
      <c r="E597" s="1" t="s">
        <v>39</v>
      </c>
      <c r="F597" s="1" t="s">
        <v>280</v>
      </c>
      <c r="G597" s="1">
        <v>0</v>
      </c>
      <c r="H597" s="1" t="s">
        <v>41</v>
      </c>
      <c r="I597" s="1" t="s">
        <v>7069</v>
      </c>
      <c r="J597" s="1" t="s">
        <v>7070</v>
      </c>
      <c r="K597" s="1" t="s">
        <v>7071</v>
      </c>
      <c r="L597" s="1">
        <v>1</v>
      </c>
      <c r="M597" s="1">
        <v>0</v>
      </c>
      <c r="N597" s="1" t="s">
        <v>7072</v>
      </c>
      <c r="O597" s="1" t="s">
        <v>7073</v>
      </c>
      <c r="P597" s="1" t="s">
        <v>7074</v>
      </c>
      <c r="Q597" s="1">
        <v>0</v>
      </c>
      <c r="R597" s="1" t="s">
        <v>7075</v>
      </c>
      <c r="U597" s="2">
        <v>56770</v>
      </c>
      <c r="V597" s="1">
        <v>4.5</v>
      </c>
      <c r="W597" s="1">
        <v>2000</v>
      </c>
      <c r="X597" s="1">
        <v>2117</v>
      </c>
      <c r="AA597" s="1">
        <v>652</v>
      </c>
      <c r="AB597" s="1">
        <v>1</v>
      </c>
      <c r="AC597" s="1">
        <v>1</v>
      </c>
      <c r="AE597" s="1" t="s">
        <v>7076</v>
      </c>
      <c r="AF597" s="1" t="s">
        <v>7077</v>
      </c>
      <c r="AG597" s="1" t="s">
        <v>7078</v>
      </c>
      <c r="AI597" s="1">
        <v>4.49</v>
      </c>
      <c r="AJ597" s="1">
        <v>2315</v>
      </c>
      <c r="AK597" s="1">
        <v>7039</v>
      </c>
      <c r="AL597" s="1">
        <v>763</v>
      </c>
    </row>
    <row r="598" spans="1:38" ht="15.75" customHeight="1">
      <c r="A598" s="1">
        <v>679</v>
      </c>
      <c r="C598" s="1">
        <v>4050</v>
      </c>
      <c r="D598" s="1" t="s">
        <v>38</v>
      </c>
      <c r="E598" s="1" t="s">
        <v>39</v>
      </c>
      <c r="F598" s="1" t="s">
        <v>510</v>
      </c>
      <c r="G598" s="1">
        <v>0</v>
      </c>
      <c r="H598" s="1" t="s">
        <v>41</v>
      </c>
      <c r="I598" s="1" t="s">
        <v>7079</v>
      </c>
      <c r="J598" s="1" t="s">
        <v>7080</v>
      </c>
      <c r="K598" s="1" t="s">
        <v>7081</v>
      </c>
      <c r="L598" s="1">
        <v>1</v>
      </c>
      <c r="M598" s="1">
        <v>0</v>
      </c>
      <c r="N598" s="1" t="s">
        <v>7082</v>
      </c>
      <c r="O598" s="1" t="s">
        <v>7083</v>
      </c>
      <c r="P598" s="1" t="s">
        <v>7084</v>
      </c>
      <c r="Q598" s="1">
        <v>0</v>
      </c>
      <c r="R598" s="1" t="s">
        <v>7085</v>
      </c>
      <c r="S598" s="1" t="s">
        <v>7086</v>
      </c>
      <c r="U598" s="2">
        <v>56770</v>
      </c>
      <c r="V598" s="1">
        <v>3.8536493169999999</v>
      </c>
      <c r="W598" s="1">
        <v>2000</v>
      </c>
      <c r="X598" s="1">
        <v>1737</v>
      </c>
      <c r="Y598" s="1">
        <v>1010</v>
      </c>
      <c r="Z598" s="1">
        <v>128</v>
      </c>
      <c r="AA598" s="1">
        <v>599</v>
      </c>
      <c r="AB598" s="1">
        <v>0</v>
      </c>
      <c r="AC598" s="1">
        <v>3</v>
      </c>
      <c r="AD598" s="1" t="s">
        <v>76</v>
      </c>
      <c r="AE598" s="1" t="s">
        <v>7087</v>
      </c>
      <c r="AF598" s="1" t="s">
        <v>7088</v>
      </c>
      <c r="AG598" s="1" t="s">
        <v>7089</v>
      </c>
      <c r="AH598" s="1" t="s">
        <v>7090</v>
      </c>
      <c r="AI598" s="1">
        <v>4.62</v>
      </c>
      <c r="AJ598" s="1">
        <v>259</v>
      </c>
      <c r="AK598" s="1">
        <v>604</v>
      </c>
      <c r="AL598" s="1">
        <v>21</v>
      </c>
    </row>
    <row r="599" spans="1:38" ht="15.75" customHeight="1">
      <c r="A599" s="1">
        <v>215</v>
      </c>
      <c r="C599" s="1">
        <v>4001</v>
      </c>
      <c r="D599" s="1" t="s">
        <v>51</v>
      </c>
      <c r="E599" s="1" t="s">
        <v>39</v>
      </c>
      <c r="F599" s="1" t="s">
        <v>341</v>
      </c>
      <c r="G599" s="1">
        <v>0</v>
      </c>
      <c r="H599" s="1" t="s">
        <v>41</v>
      </c>
      <c r="I599" s="1" t="s">
        <v>7091</v>
      </c>
      <c r="J599" s="1" t="s">
        <v>7092</v>
      </c>
      <c r="K599" s="1" t="s">
        <v>7093</v>
      </c>
      <c r="L599" s="1">
        <v>1</v>
      </c>
      <c r="M599" s="1">
        <v>0</v>
      </c>
      <c r="N599" s="1" t="s">
        <v>7094</v>
      </c>
      <c r="O599" s="1" t="s">
        <v>7095</v>
      </c>
      <c r="P599" s="1" t="s">
        <v>7096</v>
      </c>
      <c r="Q599" s="1">
        <v>0</v>
      </c>
      <c r="R599" s="1" t="s">
        <v>7097</v>
      </c>
      <c r="S599" s="1" t="s">
        <v>7098</v>
      </c>
      <c r="U599" s="2">
        <v>56767</v>
      </c>
      <c r="V599" s="1">
        <v>4.3423398940000002</v>
      </c>
      <c r="W599" s="1">
        <v>2000</v>
      </c>
      <c r="X599" s="1">
        <v>2324</v>
      </c>
      <c r="Y599" s="1">
        <v>555</v>
      </c>
      <c r="Z599" s="1">
        <v>867</v>
      </c>
      <c r="AA599" s="1">
        <v>902</v>
      </c>
      <c r="AB599" s="1">
        <v>0</v>
      </c>
      <c r="AC599" s="1">
        <v>2</v>
      </c>
      <c r="AD599" s="1" t="s">
        <v>215</v>
      </c>
      <c r="AE599" s="1" t="s">
        <v>7099</v>
      </c>
      <c r="AF599" s="1" t="s">
        <v>7100</v>
      </c>
      <c r="AG599" s="1" t="s">
        <v>7101</v>
      </c>
      <c r="AH599" s="1" t="s">
        <v>7102</v>
      </c>
      <c r="AI599" s="1">
        <v>4.54</v>
      </c>
      <c r="AJ599" s="1">
        <v>2229</v>
      </c>
      <c r="AK599" s="1">
        <v>6580</v>
      </c>
    </row>
    <row r="600" spans="1:38" ht="15.75" customHeight="1">
      <c r="A600" s="1">
        <v>351</v>
      </c>
      <c r="C600" s="1">
        <v>4001</v>
      </c>
      <c r="D600" s="1" t="s">
        <v>51</v>
      </c>
      <c r="E600" s="1" t="s">
        <v>39</v>
      </c>
      <c r="F600" s="1" t="s">
        <v>92</v>
      </c>
      <c r="G600" s="1">
        <v>0</v>
      </c>
      <c r="H600" s="1" t="s">
        <v>41</v>
      </c>
      <c r="I600" s="1" t="s">
        <v>7103</v>
      </c>
      <c r="J600" s="1" t="s">
        <v>7104</v>
      </c>
      <c r="K600" s="1" t="s">
        <v>7105</v>
      </c>
      <c r="L600" s="1">
        <v>1</v>
      </c>
      <c r="M600" s="1">
        <v>0</v>
      </c>
      <c r="N600" s="1" t="s">
        <v>7106</v>
      </c>
      <c r="O600" s="1" t="s">
        <v>7107</v>
      </c>
      <c r="P600" s="1" t="s">
        <v>7108</v>
      </c>
      <c r="Q600" s="1">
        <v>0</v>
      </c>
      <c r="R600" s="1" t="s">
        <v>7109</v>
      </c>
      <c r="S600" s="1" t="s">
        <v>7110</v>
      </c>
      <c r="U600" s="2">
        <v>56768</v>
      </c>
      <c r="V600" s="1">
        <v>4.5999999999999996</v>
      </c>
      <c r="W600" s="1">
        <v>2000</v>
      </c>
      <c r="X600" s="1">
        <v>1917</v>
      </c>
      <c r="Y600" s="1">
        <v>1168</v>
      </c>
      <c r="Z600" s="1">
        <v>104</v>
      </c>
      <c r="AA600" s="1">
        <v>645</v>
      </c>
      <c r="AB600" s="1">
        <v>0</v>
      </c>
      <c r="AC600" s="1">
        <v>2</v>
      </c>
      <c r="AD600" s="1" t="s">
        <v>76</v>
      </c>
      <c r="AE600" s="1" t="s">
        <v>7111</v>
      </c>
      <c r="AF600" s="1" t="s">
        <v>7112</v>
      </c>
      <c r="AG600" s="1" t="s">
        <v>7113</v>
      </c>
      <c r="AH600" s="1" t="s">
        <v>7114</v>
      </c>
      <c r="AI600" s="1">
        <v>4.03</v>
      </c>
      <c r="AJ600" s="1">
        <v>505</v>
      </c>
      <c r="AK600" s="1">
        <v>1721</v>
      </c>
      <c r="AL600" s="1">
        <v>457</v>
      </c>
    </row>
    <row r="601" spans="1:38" ht="15.75" customHeight="1">
      <c r="A601" s="1">
        <v>534</v>
      </c>
      <c r="C601" s="1">
        <v>4050</v>
      </c>
      <c r="D601" s="1" t="s">
        <v>38</v>
      </c>
      <c r="E601" s="1" t="s">
        <v>39</v>
      </c>
      <c r="F601" s="1" t="s">
        <v>280</v>
      </c>
      <c r="G601" s="1">
        <v>0</v>
      </c>
      <c r="H601" s="1" t="s">
        <v>41</v>
      </c>
      <c r="I601" s="1" t="s">
        <v>7115</v>
      </c>
      <c r="J601" s="1" t="s">
        <v>7116</v>
      </c>
      <c r="K601" s="1" t="s">
        <v>7117</v>
      </c>
      <c r="L601" s="1">
        <v>1</v>
      </c>
      <c r="M601" s="1">
        <v>0</v>
      </c>
      <c r="N601" s="1" t="s">
        <v>7118</v>
      </c>
      <c r="O601" s="1" t="s">
        <v>7119</v>
      </c>
      <c r="P601" s="1" t="s">
        <v>7120</v>
      </c>
      <c r="Q601" s="1">
        <v>0</v>
      </c>
      <c r="R601" s="1" t="s">
        <v>7121</v>
      </c>
      <c r="U601" s="2">
        <v>56769</v>
      </c>
      <c r="V601" s="1">
        <v>3.501498169</v>
      </c>
      <c r="W601" s="1">
        <v>2000</v>
      </c>
      <c r="X601" s="1">
        <v>1636</v>
      </c>
      <c r="AA601" s="1">
        <v>793</v>
      </c>
      <c r="AB601" s="1">
        <v>0</v>
      </c>
      <c r="AC601" s="1">
        <v>2</v>
      </c>
      <c r="AE601" s="1" t="s">
        <v>7122</v>
      </c>
      <c r="AF601" s="1" t="s">
        <v>7123</v>
      </c>
      <c r="AG601" s="1" t="s">
        <v>7124</v>
      </c>
      <c r="AI601" s="1">
        <v>4.49</v>
      </c>
      <c r="AJ601" s="1">
        <v>2315</v>
      </c>
      <c r="AK601" s="1">
        <v>7039</v>
      </c>
      <c r="AL601" s="1">
        <v>763</v>
      </c>
    </row>
    <row r="602" spans="1:38" ht="15.75" customHeight="1">
      <c r="A602" s="1">
        <v>531</v>
      </c>
      <c r="C602" s="1">
        <v>4001</v>
      </c>
      <c r="D602" s="1" t="s">
        <v>51</v>
      </c>
      <c r="E602" s="1" t="s">
        <v>39</v>
      </c>
      <c r="F602" s="1" t="s">
        <v>232</v>
      </c>
      <c r="G602" s="1">
        <v>0</v>
      </c>
      <c r="H602" s="1" t="s">
        <v>53</v>
      </c>
      <c r="I602" s="1" t="s">
        <v>7125</v>
      </c>
      <c r="J602" s="1" t="s">
        <v>7126</v>
      </c>
      <c r="K602" s="1" t="s">
        <v>7127</v>
      </c>
      <c r="L602" s="1">
        <v>1</v>
      </c>
      <c r="M602" s="1">
        <v>0</v>
      </c>
      <c r="N602" s="1" t="s">
        <v>7128</v>
      </c>
      <c r="O602" s="1" t="s">
        <v>7129</v>
      </c>
      <c r="P602" s="1" t="s">
        <v>7130</v>
      </c>
      <c r="Q602" s="1">
        <v>0</v>
      </c>
      <c r="R602" s="1" t="s">
        <v>7131</v>
      </c>
      <c r="S602" s="1" t="s">
        <v>7132</v>
      </c>
      <c r="U602" s="2">
        <v>56769</v>
      </c>
      <c r="V602" s="1">
        <v>4.3</v>
      </c>
      <c r="W602" s="1">
        <v>2000</v>
      </c>
      <c r="X602" s="1">
        <v>2524</v>
      </c>
      <c r="Y602" s="1">
        <v>936</v>
      </c>
      <c r="Z602" s="1">
        <v>1486</v>
      </c>
      <c r="AA602" s="1">
        <v>102</v>
      </c>
      <c r="AB602" s="1">
        <v>0</v>
      </c>
      <c r="AC602" s="1">
        <v>3</v>
      </c>
      <c r="AD602" s="1" t="s">
        <v>62</v>
      </c>
      <c r="AE602" s="1" t="s">
        <v>7133</v>
      </c>
      <c r="AF602" s="1" t="s">
        <v>7134</v>
      </c>
      <c r="AG602" s="1" t="s">
        <v>7135</v>
      </c>
      <c r="AH602" s="1" t="s">
        <v>7136</v>
      </c>
      <c r="AI602" s="1">
        <v>4.5599999999999996</v>
      </c>
      <c r="AJ602" s="1">
        <v>765</v>
      </c>
      <c r="AK602" s="1">
        <v>2618</v>
      </c>
    </row>
    <row r="603" spans="1:38" ht="15.75" customHeight="1">
      <c r="A603" s="1">
        <v>1267</v>
      </c>
      <c r="C603" s="1">
        <v>4001</v>
      </c>
      <c r="D603" s="1" t="s">
        <v>51</v>
      </c>
      <c r="E603" s="1" t="s">
        <v>39</v>
      </c>
      <c r="F603" s="1" t="s">
        <v>52</v>
      </c>
      <c r="G603" s="1">
        <v>0</v>
      </c>
      <c r="H603" s="1" t="s">
        <v>53</v>
      </c>
      <c r="I603" s="1" t="s">
        <v>7137</v>
      </c>
      <c r="J603" s="1" t="s">
        <v>7138</v>
      </c>
      <c r="K603" s="1" t="s">
        <v>7139</v>
      </c>
      <c r="L603" s="1">
        <v>1</v>
      </c>
      <c r="M603" s="1">
        <v>0</v>
      </c>
      <c r="N603" s="1" t="s">
        <v>7140</v>
      </c>
      <c r="O603" s="1" t="s">
        <v>7141</v>
      </c>
      <c r="P603" s="1" t="s">
        <v>7142</v>
      </c>
      <c r="Q603" s="1">
        <v>0</v>
      </c>
      <c r="R603" s="1" t="s">
        <v>7143</v>
      </c>
      <c r="S603" s="1" t="s">
        <v>7144</v>
      </c>
      <c r="U603" s="2">
        <v>56776</v>
      </c>
      <c r="V603" s="1">
        <v>4.3</v>
      </c>
      <c r="W603" s="1">
        <v>2000</v>
      </c>
      <c r="X603" s="1">
        <v>2537</v>
      </c>
      <c r="Y603" s="1">
        <v>1900</v>
      </c>
      <c r="AA603" s="1">
        <v>1225</v>
      </c>
      <c r="AB603" s="1">
        <v>1</v>
      </c>
      <c r="AC603" s="1">
        <v>4</v>
      </c>
      <c r="AE603" s="1" t="s">
        <v>7145</v>
      </c>
      <c r="AF603" s="1" t="s">
        <v>7146</v>
      </c>
      <c r="AG603" s="1" t="s">
        <v>7147</v>
      </c>
      <c r="AH603" s="1" t="s">
        <v>7148</v>
      </c>
      <c r="AI603" s="1">
        <v>4.17</v>
      </c>
      <c r="AJ603" s="1">
        <v>457</v>
      </c>
      <c r="AK603" s="1">
        <v>1599</v>
      </c>
    </row>
    <row r="604" spans="1:38" ht="15.75" customHeight="1">
      <c r="A604" s="1">
        <v>676</v>
      </c>
      <c r="C604" s="1">
        <v>4050</v>
      </c>
      <c r="D604" s="1" t="s">
        <v>38</v>
      </c>
      <c r="E604" s="1" t="s">
        <v>39</v>
      </c>
      <c r="F604" s="1" t="s">
        <v>510</v>
      </c>
      <c r="G604" s="1">
        <v>0</v>
      </c>
      <c r="H604" s="1" t="s">
        <v>41</v>
      </c>
      <c r="I604" s="1" t="s">
        <v>7149</v>
      </c>
      <c r="J604" s="1" t="s">
        <v>7150</v>
      </c>
      <c r="K604" s="1" t="s">
        <v>7151</v>
      </c>
      <c r="L604" s="1">
        <v>1</v>
      </c>
      <c r="M604" s="1">
        <v>0</v>
      </c>
      <c r="N604" s="1" t="s">
        <v>7152</v>
      </c>
      <c r="O604" s="1" t="s">
        <v>7153</v>
      </c>
      <c r="P604" s="1" t="s">
        <v>7154</v>
      </c>
      <c r="Q604" s="1">
        <v>0</v>
      </c>
      <c r="R604" s="1" t="s">
        <v>7155</v>
      </c>
      <c r="S604" s="1" t="s">
        <v>7156</v>
      </c>
      <c r="U604" s="2">
        <v>56770</v>
      </c>
      <c r="V604" s="1">
        <v>4.5999999999999996</v>
      </c>
      <c r="W604" s="1">
        <v>2000</v>
      </c>
      <c r="X604" s="1">
        <v>825</v>
      </c>
      <c r="Y604" s="1">
        <v>520</v>
      </c>
      <c r="Z604" s="1">
        <v>295</v>
      </c>
      <c r="AA604" s="1">
        <v>10</v>
      </c>
      <c r="AB604" s="1">
        <v>0</v>
      </c>
      <c r="AC604" s="1">
        <v>1</v>
      </c>
      <c r="AD604" s="1" t="s">
        <v>76</v>
      </c>
      <c r="AE604" s="1" t="s">
        <v>7157</v>
      </c>
      <c r="AF604" s="1" t="s">
        <v>7158</v>
      </c>
      <c r="AG604" s="1" t="s">
        <v>7159</v>
      </c>
      <c r="AH604" s="1" t="s">
        <v>7160</v>
      </c>
      <c r="AI604" s="1">
        <v>4.62</v>
      </c>
      <c r="AJ604" s="1">
        <v>259</v>
      </c>
      <c r="AK604" s="1">
        <v>604</v>
      </c>
      <c r="AL604" s="1">
        <v>21</v>
      </c>
    </row>
    <row r="605" spans="1:38" ht="15.75" customHeight="1">
      <c r="A605" s="1">
        <v>1291</v>
      </c>
      <c r="C605" s="1">
        <v>4001</v>
      </c>
      <c r="D605" s="1" t="s">
        <v>51</v>
      </c>
      <c r="E605" s="1" t="s">
        <v>39</v>
      </c>
      <c r="F605" s="1" t="s">
        <v>708</v>
      </c>
      <c r="G605" s="1">
        <v>0</v>
      </c>
      <c r="H605" s="1" t="s">
        <v>53</v>
      </c>
      <c r="I605" s="1" t="s">
        <v>7161</v>
      </c>
      <c r="J605" s="1" t="s">
        <v>7162</v>
      </c>
      <c r="K605" s="1" t="s">
        <v>7163</v>
      </c>
      <c r="L605" s="1">
        <v>1</v>
      </c>
      <c r="M605" s="1">
        <v>0</v>
      </c>
      <c r="N605" s="1" t="s">
        <v>7164</v>
      </c>
      <c r="O605" s="1" t="s">
        <v>7165</v>
      </c>
      <c r="P605" s="1" t="s">
        <v>7166</v>
      </c>
      <c r="Q605" s="1">
        <v>0</v>
      </c>
      <c r="R605" s="1" t="s">
        <v>7167</v>
      </c>
      <c r="S605" s="1" t="s">
        <v>7168</v>
      </c>
      <c r="U605" s="2">
        <v>56776</v>
      </c>
      <c r="V605" s="1">
        <v>4.3</v>
      </c>
      <c r="W605" s="1">
        <v>2000</v>
      </c>
      <c r="X605" s="1">
        <v>3674</v>
      </c>
      <c r="Y605" s="1">
        <v>1132</v>
      </c>
      <c r="Z605" s="1">
        <v>2534</v>
      </c>
      <c r="AA605" s="1">
        <v>8</v>
      </c>
      <c r="AB605" s="1">
        <v>0</v>
      </c>
      <c r="AC605" s="1">
        <v>2</v>
      </c>
      <c r="AD605" s="1" t="s">
        <v>62</v>
      </c>
      <c r="AE605" s="1" t="s">
        <v>7169</v>
      </c>
      <c r="AF605" s="1" t="s">
        <v>7170</v>
      </c>
      <c r="AG605" s="1" t="s">
        <v>7171</v>
      </c>
      <c r="AH605" s="1" t="s">
        <v>7172</v>
      </c>
      <c r="AI605" s="1">
        <v>4.5999999999999996</v>
      </c>
      <c r="AJ605" s="1">
        <v>292</v>
      </c>
      <c r="AK605" s="1">
        <v>1027</v>
      </c>
      <c r="AL605" s="1">
        <v>26</v>
      </c>
    </row>
    <row r="606" spans="1:38" ht="15.75" customHeight="1">
      <c r="A606" s="1">
        <v>26</v>
      </c>
      <c r="C606" s="1">
        <v>4050</v>
      </c>
      <c r="D606" s="1" t="s">
        <v>38</v>
      </c>
      <c r="E606" s="1" t="s">
        <v>39</v>
      </c>
      <c r="F606" s="1" t="s">
        <v>151</v>
      </c>
      <c r="G606" s="1">
        <v>0</v>
      </c>
      <c r="H606" s="1" t="s">
        <v>41</v>
      </c>
      <c r="I606" s="1" t="s">
        <v>7173</v>
      </c>
      <c r="J606" s="1" t="s">
        <v>7174</v>
      </c>
      <c r="K606" s="1" t="s">
        <v>7175</v>
      </c>
      <c r="L606" s="1">
        <v>1</v>
      </c>
      <c r="M606" s="1">
        <v>0</v>
      </c>
      <c r="N606" s="1" t="s">
        <v>7176</v>
      </c>
      <c r="O606" s="1" t="s">
        <v>7177</v>
      </c>
      <c r="P606" s="1" t="s">
        <v>7178</v>
      </c>
      <c r="Q606" s="1">
        <v>0</v>
      </c>
      <c r="R606" s="1" t="s">
        <v>7179</v>
      </c>
      <c r="S606" s="1" t="s">
        <v>7180</v>
      </c>
      <c r="U606" s="2">
        <v>56766</v>
      </c>
      <c r="V606" s="1">
        <v>4.5999999999999996</v>
      </c>
      <c r="W606" s="1">
        <v>2000</v>
      </c>
      <c r="X606" s="1">
        <v>2545</v>
      </c>
      <c r="Y606" s="1">
        <v>1594</v>
      </c>
      <c r="Z606" s="1">
        <v>130</v>
      </c>
      <c r="AA606" s="1">
        <v>821</v>
      </c>
      <c r="AB606" s="1">
        <v>0</v>
      </c>
      <c r="AC606" s="1">
        <v>4</v>
      </c>
      <c r="AD606" s="1" t="s">
        <v>76</v>
      </c>
      <c r="AE606" s="1" t="s">
        <v>7181</v>
      </c>
      <c r="AF606" s="1" t="s">
        <v>7182</v>
      </c>
      <c r="AG606" s="1" t="s">
        <v>7183</v>
      </c>
      <c r="AH606" s="1" t="s">
        <v>7184</v>
      </c>
      <c r="AI606" s="1">
        <v>4.46</v>
      </c>
      <c r="AJ606" s="1">
        <v>349</v>
      </c>
      <c r="AK606" s="1">
        <v>779</v>
      </c>
    </row>
    <row r="607" spans="1:38" ht="15.75" customHeight="1">
      <c r="A607" s="1">
        <v>1334</v>
      </c>
      <c r="B607" s="1">
        <v>5</v>
      </c>
      <c r="C607" s="1">
        <v>4001</v>
      </c>
      <c r="D607" s="1" t="s">
        <v>51</v>
      </c>
      <c r="E607" s="1" t="s">
        <v>39</v>
      </c>
      <c r="F607" s="1" t="s">
        <v>52</v>
      </c>
      <c r="G607" s="1">
        <v>0</v>
      </c>
      <c r="H607" s="1" t="s">
        <v>53</v>
      </c>
      <c r="I607" s="1" t="s">
        <v>7185</v>
      </c>
      <c r="J607" s="1" t="s">
        <v>7186</v>
      </c>
      <c r="K607" s="1" t="s">
        <v>7187</v>
      </c>
      <c r="L607" s="1">
        <v>1</v>
      </c>
      <c r="M607" s="1">
        <v>0</v>
      </c>
      <c r="N607" s="1" t="s">
        <v>7188</v>
      </c>
      <c r="O607" s="1" t="s">
        <v>7189</v>
      </c>
      <c r="P607" s="1" t="s">
        <v>7190</v>
      </c>
      <c r="Q607" s="1">
        <v>0</v>
      </c>
      <c r="R607" s="1" t="s">
        <v>7191</v>
      </c>
      <c r="S607" s="1" t="s">
        <v>7192</v>
      </c>
      <c r="U607" s="2">
        <v>56776</v>
      </c>
      <c r="V607" s="1">
        <v>4.4000000000000004</v>
      </c>
      <c r="W607" s="1">
        <v>2000</v>
      </c>
      <c r="X607" s="1">
        <v>2832</v>
      </c>
      <c r="Y607" s="1">
        <v>1912</v>
      </c>
      <c r="Z607" s="1">
        <v>476</v>
      </c>
      <c r="AA607" s="1">
        <v>444</v>
      </c>
      <c r="AB607" s="1">
        <v>0</v>
      </c>
      <c r="AC607" s="1">
        <v>4</v>
      </c>
      <c r="AE607" s="1" t="s">
        <v>7193</v>
      </c>
      <c r="AF607" s="1" t="s">
        <v>7194</v>
      </c>
      <c r="AG607" s="1" t="s">
        <v>7195</v>
      </c>
      <c r="AH607" s="1" t="s">
        <v>7196</v>
      </c>
      <c r="AI607" s="1">
        <v>4.17</v>
      </c>
      <c r="AJ607" s="1">
        <v>457</v>
      </c>
      <c r="AK607" s="1">
        <v>1599</v>
      </c>
    </row>
    <row r="608" spans="1:38" ht="15.75" customHeight="1">
      <c r="A608" s="1">
        <v>504</v>
      </c>
      <c r="B608" s="1">
        <v>5</v>
      </c>
      <c r="C608" s="1">
        <v>4050</v>
      </c>
      <c r="D608" s="1" t="s">
        <v>38</v>
      </c>
      <c r="E608" s="1" t="s">
        <v>39</v>
      </c>
      <c r="F608" s="1" t="s">
        <v>390</v>
      </c>
      <c r="G608" s="1">
        <v>0</v>
      </c>
      <c r="H608" s="1" t="s">
        <v>41</v>
      </c>
      <c r="I608" s="1" t="s">
        <v>7197</v>
      </c>
      <c r="J608" s="1" t="s">
        <v>7198</v>
      </c>
      <c r="K608" s="1" t="s">
        <v>7199</v>
      </c>
      <c r="L608" s="1">
        <v>1</v>
      </c>
      <c r="M608" s="1">
        <v>0</v>
      </c>
      <c r="N608" s="1" t="s">
        <v>7200</v>
      </c>
      <c r="O608" s="1" t="s">
        <v>7201</v>
      </c>
      <c r="P608" s="1" t="s">
        <v>7202</v>
      </c>
      <c r="Q608" s="1">
        <v>0</v>
      </c>
      <c r="R608" s="1" t="s">
        <v>7203</v>
      </c>
      <c r="S608" s="1" t="s">
        <v>7204</v>
      </c>
      <c r="U608" s="2">
        <v>56769</v>
      </c>
      <c r="V608" s="1">
        <v>4.4000000000000004</v>
      </c>
      <c r="W608" s="1">
        <v>2000</v>
      </c>
      <c r="X608" s="1">
        <v>2458</v>
      </c>
      <c r="Y608" s="1">
        <v>471</v>
      </c>
      <c r="Z608" s="1">
        <v>1118</v>
      </c>
      <c r="AA608" s="1">
        <v>869</v>
      </c>
      <c r="AB608" s="1">
        <v>0</v>
      </c>
      <c r="AC608" s="1">
        <v>2</v>
      </c>
      <c r="AD608" s="1" t="s">
        <v>62</v>
      </c>
      <c r="AE608" s="1" t="s">
        <v>7205</v>
      </c>
      <c r="AF608" s="1" t="s">
        <v>7206</v>
      </c>
      <c r="AG608" s="1" t="s">
        <v>7207</v>
      </c>
      <c r="AH608" s="1" t="s">
        <v>7208</v>
      </c>
      <c r="AI608" s="1">
        <v>4.5599999999999996</v>
      </c>
      <c r="AJ608" s="1">
        <v>344</v>
      </c>
      <c r="AK608" s="1">
        <v>947</v>
      </c>
      <c r="AL608" s="1">
        <v>22</v>
      </c>
    </row>
    <row r="609" spans="1:38" ht="15.75" customHeight="1">
      <c r="A609" s="1">
        <v>301</v>
      </c>
      <c r="C609" s="1">
        <v>4050</v>
      </c>
      <c r="D609" s="1" t="s">
        <v>38</v>
      </c>
      <c r="E609" s="1" t="s">
        <v>39</v>
      </c>
      <c r="F609" s="1" t="s">
        <v>1348</v>
      </c>
      <c r="G609" s="1">
        <v>0</v>
      </c>
      <c r="H609" s="1" t="s">
        <v>41</v>
      </c>
      <c r="I609" s="1" t="s">
        <v>7209</v>
      </c>
      <c r="J609" s="1" t="s">
        <v>7210</v>
      </c>
      <c r="K609" s="1" t="s">
        <v>7211</v>
      </c>
      <c r="L609" s="1">
        <v>1</v>
      </c>
      <c r="M609" s="1">
        <v>0</v>
      </c>
      <c r="N609" s="1" t="s">
        <v>7212</v>
      </c>
      <c r="O609" s="1" t="s">
        <v>7213</v>
      </c>
      <c r="P609" s="1" t="s">
        <v>7214</v>
      </c>
      <c r="Q609" s="1">
        <v>1</v>
      </c>
      <c r="R609" s="1" t="s">
        <v>7215</v>
      </c>
      <c r="S609" s="1" t="s">
        <v>7216</v>
      </c>
      <c r="U609" s="2">
        <v>56768</v>
      </c>
      <c r="V609" s="1">
        <v>3.080187843</v>
      </c>
      <c r="W609" s="1">
        <v>2000</v>
      </c>
      <c r="X609" s="1">
        <v>2138</v>
      </c>
      <c r="Y609" s="1">
        <v>1269</v>
      </c>
      <c r="Z609" s="1">
        <v>351</v>
      </c>
      <c r="AA609" s="1">
        <v>518</v>
      </c>
      <c r="AB609" s="1">
        <v>1</v>
      </c>
      <c r="AC609" s="1">
        <v>4</v>
      </c>
      <c r="AE609" s="1" t="s">
        <v>7217</v>
      </c>
      <c r="AF609" s="1" t="s">
        <v>7218</v>
      </c>
      <c r="AG609" s="1" t="s">
        <v>7219</v>
      </c>
      <c r="AH609" s="1" t="s">
        <v>7220</v>
      </c>
      <c r="AI609" s="1">
        <v>4.79</v>
      </c>
      <c r="AJ609" s="1">
        <v>1007</v>
      </c>
      <c r="AK609" s="1">
        <v>2899</v>
      </c>
      <c r="AL609" s="1">
        <v>1301</v>
      </c>
    </row>
    <row r="610" spans="1:38" ht="15.75" customHeight="1">
      <c r="A610" s="1">
        <v>1282</v>
      </c>
      <c r="B610" s="1">
        <v>5</v>
      </c>
      <c r="C610" s="1">
        <v>4001</v>
      </c>
      <c r="D610" s="1" t="s">
        <v>51</v>
      </c>
      <c r="E610" s="1" t="s">
        <v>39</v>
      </c>
      <c r="F610" s="1" t="s">
        <v>341</v>
      </c>
      <c r="G610" s="1">
        <v>0</v>
      </c>
      <c r="H610" s="1" t="s">
        <v>41</v>
      </c>
      <c r="I610" s="1" t="s">
        <v>7221</v>
      </c>
      <c r="J610" s="1" t="s">
        <v>7222</v>
      </c>
      <c r="K610" s="1" t="s">
        <v>7223</v>
      </c>
      <c r="L610" s="1">
        <v>1</v>
      </c>
      <c r="M610" s="1">
        <v>0</v>
      </c>
      <c r="N610" s="1" t="s">
        <v>7224</v>
      </c>
      <c r="O610" s="1" t="s">
        <v>7225</v>
      </c>
      <c r="P610" s="1" t="s">
        <v>7226</v>
      </c>
      <c r="Q610" s="1">
        <v>0</v>
      </c>
      <c r="R610" s="1" t="s">
        <v>7227</v>
      </c>
      <c r="S610" s="1" t="s">
        <v>7228</v>
      </c>
      <c r="U610" s="2">
        <v>56776</v>
      </c>
      <c r="V610" s="1">
        <v>3.6871742429999999</v>
      </c>
      <c r="W610" s="1">
        <v>2000</v>
      </c>
      <c r="X610" s="1">
        <v>1627</v>
      </c>
      <c r="Y610" s="1">
        <v>593</v>
      </c>
      <c r="Z610" s="1">
        <v>420</v>
      </c>
      <c r="AA610" s="1">
        <v>614</v>
      </c>
      <c r="AB610" s="1">
        <v>0</v>
      </c>
      <c r="AC610" s="1">
        <v>2</v>
      </c>
      <c r="AD610" s="1" t="s">
        <v>62</v>
      </c>
      <c r="AE610" s="1" t="s">
        <v>7229</v>
      </c>
      <c r="AF610" s="1" t="s">
        <v>7230</v>
      </c>
      <c r="AG610" s="1" t="s">
        <v>7231</v>
      </c>
      <c r="AH610" s="1" t="s">
        <v>7232</v>
      </c>
      <c r="AI610" s="1">
        <v>4.54</v>
      </c>
      <c r="AJ610" s="1">
        <v>2229</v>
      </c>
      <c r="AK610" s="1">
        <v>6580</v>
      </c>
    </row>
    <row r="611" spans="1:38" ht="15.75" customHeight="1">
      <c r="A611" s="1">
        <v>56</v>
      </c>
      <c r="B611" s="1">
        <v>5</v>
      </c>
      <c r="C611" s="1">
        <v>4050</v>
      </c>
      <c r="D611" s="1" t="s">
        <v>38</v>
      </c>
      <c r="E611" s="1" t="s">
        <v>39</v>
      </c>
      <c r="F611" s="1" t="s">
        <v>1238</v>
      </c>
      <c r="G611" s="1">
        <v>0</v>
      </c>
      <c r="H611" s="1" t="s">
        <v>41</v>
      </c>
      <c r="I611" s="1" t="s">
        <v>7233</v>
      </c>
      <c r="J611" s="1" t="s">
        <v>7234</v>
      </c>
      <c r="K611" s="1" t="s">
        <v>7235</v>
      </c>
      <c r="L611" s="1">
        <v>1</v>
      </c>
      <c r="M611" s="1">
        <v>0</v>
      </c>
      <c r="N611" s="1" t="s">
        <v>7236</v>
      </c>
      <c r="O611" s="1" t="s">
        <v>7237</v>
      </c>
      <c r="P611" s="1" t="s">
        <v>7238</v>
      </c>
      <c r="Q611" s="1">
        <v>0</v>
      </c>
      <c r="R611" s="1" t="s">
        <v>7239</v>
      </c>
      <c r="S611" s="1" t="s">
        <v>7240</v>
      </c>
      <c r="U611" s="2">
        <v>56766</v>
      </c>
      <c r="V611" s="1">
        <v>4.7</v>
      </c>
      <c r="W611" s="1">
        <v>2000</v>
      </c>
      <c r="X611" s="1">
        <v>2029</v>
      </c>
      <c r="Y611" s="1">
        <v>531</v>
      </c>
      <c r="Z611" s="1">
        <v>895</v>
      </c>
      <c r="AA611" s="1">
        <v>603</v>
      </c>
      <c r="AB611" s="1">
        <v>0</v>
      </c>
      <c r="AC611" s="1">
        <v>2</v>
      </c>
      <c r="AD611" s="1" t="s">
        <v>215</v>
      </c>
      <c r="AE611" s="1" t="s">
        <v>7241</v>
      </c>
      <c r="AF611" s="1" t="s">
        <v>7242</v>
      </c>
      <c r="AG611" s="1" t="s">
        <v>7243</v>
      </c>
      <c r="AH611" s="1" t="s">
        <v>7244</v>
      </c>
      <c r="AI611" s="1">
        <v>4.5</v>
      </c>
      <c r="AJ611" s="1">
        <v>55</v>
      </c>
      <c r="AK611" s="1">
        <v>211</v>
      </c>
      <c r="AL611" s="1">
        <v>6</v>
      </c>
    </row>
    <row r="612" spans="1:38" ht="15.75" customHeight="1">
      <c r="A612" s="1">
        <v>118</v>
      </c>
      <c r="C612" s="1">
        <v>4050</v>
      </c>
      <c r="D612" s="1" t="s">
        <v>38</v>
      </c>
      <c r="E612" s="1" t="s">
        <v>39</v>
      </c>
      <c r="F612" s="1" t="s">
        <v>1372</v>
      </c>
      <c r="G612" s="1">
        <v>1</v>
      </c>
      <c r="H612" s="1" t="s">
        <v>41</v>
      </c>
      <c r="I612" s="1" t="s">
        <v>7245</v>
      </c>
      <c r="J612" s="1" t="s">
        <v>7246</v>
      </c>
      <c r="K612" s="1" t="s">
        <v>7247</v>
      </c>
      <c r="L612" s="1">
        <v>1</v>
      </c>
      <c r="M612" s="1">
        <v>0</v>
      </c>
      <c r="N612" s="1" t="s">
        <v>7248</v>
      </c>
      <c r="O612" s="1" t="s">
        <v>7249</v>
      </c>
      <c r="P612" s="1" t="s">
        <v>7250</v>
      </c>
      <c r="Q612" s="1">
        <v>0</v>
      </c>
      <c r="R612" s="1" t="s">
        <v>7251</v>
      </c>
      <c r="S612" s="1" t="s">
        <v>7252</v>
      </c>
      <c r="U612" s="2">
        <v>56767</v>
      </c>
      <c r="V612" s="1">
        <v>4.0999999999999996</v>
      </c>
      <c r="W612" s="1">
        <v>2000</v>
      </c>
      <c r="X612" s="1">
        <v>3606</v>
      </c>
      <c r="Y612" s="1">
        <v>173</v>
      </c>
      <c r="Z612" s="1">
        <v>1438</v>
      </c>
      <c r="AA612" s="1">
        <v>1995</v>
      </c>
      <c r="AB612" s="1">
        <v>0</v>
      </c>
      <c r="AC612" s="1">
        <v>2</v>
      </c>
      <c r="AD612" s="1" t="s">
        <v>62</v>
      </c>
      <c r="AE612" s="1" t="s">
        <v>7253</v>
      </c>
      <c r="AF612" s="1" t="s">
        <v>7254</v>
      </c>
      <c r="AG612" s="1" t="s">
        <v>7255</v>
      </c>
      <c r="AH612" s="1" t="s">
        <v>7256</v>
      </c>
      <c r="AI612" s="1">
        <v>4.4111111110000003</v>
      </c>
      <c r="AJ612" s="1">
        <v>68</v>
      </c>
      <c r="AK612" s="1">
        <v>223</v>
      </c>
      <c r="AL612" s="1">
        <v>118</v>
      </c>
    </row>
    <row r="613" spans="1:38" ht="15.75" customHeight="1">
      <c r="A613" s="1">
        <v>397</v>
      </c>
      <c r="B613" s="1">
        <v>5</v>
      </c>
      <c r="C613" s="1">
        <v>4001</v>
      </c>
      <c r="D613" s="1" t="s">
        <v>51</v>
      </c>
      <c r="E613" s="1" t="s">
        <v>39</v>
      </c>
      <c r="F613" s="1" t="s">
        <v>92</v>
      </c>
      <c r="G613" s="1">
        <v>0</v>
      </c>
      <c r="H613" s="1" t="s">
        <v>41</v>
      </c>
      <c r="I613" s="1" t="s">
        <v>7257</v>
      </c>
      <c r="J613" s="1" t="s">
        <v>7258</v>
      </c>
      <c r="K613" s="1" t="s">
        <v>7259</v>
      </c>
      <c r="L613" s="1">
        <v>1</v>
      </c>
      <c r="M613" s="1">
        <v>0</v>
      </c>
      <c r="N613" s="1" t="s">
        <v>7260</v>
      </c>
      <c r="O613" s="1" t="s">
        <v>7261</v>
      </c>
      <c r="P613" s="1" t="s">
        <v>7262</v>
      </c>
      <c r="Q613" s="1">
        <v>0</v>
      </c>
      <c r="R613" s="1" t="s">
        <v>7263</v>
      </c>
      <c r="S613" s="1" t="s">
        <v>7264</v>
      </c>
      <c r="U613" s="2">
        <v>56769</v>
      </c>
      <c r="V613" s="1">
        <v>4.3</v>
      </c>
      <c r="W613" s="1">
        <v>2000</v>
      </c>
      <c r="X613" s="1">
        <v>1389</v>
      </c>
      <c r="Y613" s="1">
        <v>515</v>
      </c>
      <c r="Z613" s="1">
        <v>406</v>
      </c>
      <c r="AA613" s="1">
        <v>468</v>
      </c>
      <c r="AB613" s="1">
        <v>0</v>
      </c>
      <c r="AC613" s="1">
        <v>2</v>
      </c>
      <c r="AD613" s="1" t="s">
        <v>215</v>
      </c>
      <c r="AE613" s="1" t="s">
        <v>7265</v>
      </c>
      <c r="AF613" s="1" t="s">
        <v>7266</v>
      </c>
      <c r="AG613" s="1" t="s">
        <v>7267</v>
      </c>
      <c r="AH613" s="1" t="s">
        <v>7268</v>
      </c>
      <c r="AI613" s="1">
        <v>4.03</v>
      </c>
      <c r="AJ613" s="1">
        <v>505</v>
      </c>
      <c r="AK613" s="1">
        <v>1721</v>
      </c>
      <c r="AL613" s="1">
        <v>457</v>
      </c>
    </row>
    <row r="614" spans="1:38" ht="15.75" customHeight="1">
      <c r="A614" s="1">
        <v>536</v>
      </c>
      <c r="C614" s="1">
        <v>4001</v>
      </c>
      <c r="D614" s="1" t="s">
        <v>51</v>
      </c>
      <c r="E614" s="1" t="s">
        <v>39</v>
      </c>
      <c r="F614" s="1" t="s">
        <v>341</v>
      </c>
      <c r="G614" s="1">
        <v>0</v>
      </c>
      <c r="H614" s="1" t="s">
        <v>41</v>
      </c>
      <c r="I614" s="1" t="s">
        <v>7269</v>
      </c>
      <c r="J614" s="1" t="s">
        <v>7270</v>
      </c>
      <c r="K614" s="1" t="s">
        <v>7271</v>
      </c>
      <c r="L614" s="1">
        <v>1</v>
      </c>
      <c r="M614" s="1">
        <v>0</v>
      </c>
      <c r="N614" s="1" t="s">
        <v>7272</v>
      </c>
      <c r="O614" s="1" t="s">
        <v>7273</v>
      </c>
      <c r="P614" s="1" t="s">
        <v>7274</v>
      </c>
      <c r="Q614" s="1">
        <v>0</v>
      </c>
      <c r="R614" s="1" t="s">
        <v>7275</v>
      </c>
      <c r="S614" s="1" t="s">
        <v>7276</v>
      </c>
      <c r="U614" s="2">
        <v>56770</v>
      </c>
      <c r="V614" s="1">
        <v>4.3</v>
      </c>
      <c r="W614" s="1">
        <v>2000</v>
      </c>
      <c r="X614" s="1">
        <v>1719</v>
      </c>
      <c r="Y614" s="1">
        <v>885</v>
      </c>
      <c r="Z614" s="1">
        <v>277</v>
      </c>
      <c r="AA614" s="1">
        <v>557</v>
      </c>
      <c r="AB614" s="1">
        <v>0</v>
      </c>
      <c r="AC614" s="1">
        <v>2</v>
      </c>
      <c r="AD614" s="1" t="s">
        <v>76</v>
      </c>
      <c r="AE614" s="1" t="s">
        <v>7277</v>
      </c>
      <c r="AF614" s="1" t="s">
        <v>7278</v>
      </c>
      <c r="AG614" s="1" t="s">
        <v>7279</v>
      </c>
      <c r="AH614" s="1" t="s">
        <v>7280</v>
      </c>
      <c r="AI614" s="1">
        <v>4.54</v>
      </c>
      <c r="AJ614" s="1">
        <v>2229</v>
      </c>
      <c r="AK614" s="1">
        <v>6580</v>
      </c>
    </row>
    <row r="615" spans="1:38" ht="15.75" customHeight="1">
      <c r="A615" s="1">
        <v>677</v>
      </c>
      <c r="C615" s="1">
        <v>4050</v>
      </c>
      <c r="D615" s="1" t="s">
        <v>38</v>
      </c>
      <c r="E615" s="1" t="s">
        <v>39</v>
      </c>
      <c r="F615" s="1" t="s">
        <v>1153</v>
      </c>
      <c r="G615" s="1">
        <v>0</v>
      </c>
      <c r="H615" s="1" t="s">
        <v>41</v>
      </c>
      <c r="I615" s="1" t="s">
        <v>7281</v>
      </c>
      <c r="J615" s="1" t="s">
        <v>7282</v>
      </c>
      <c r="K615" s="1" t="s">
        <v>7283</v>
      </c>
      <c r="L615" s="1">
        <v>1</v>
      </c>
      <c r="M615" s="1">
        <v>0</v>
      </c>
      <c r="N615" s="1" t="s">
        <v>7284</v>
      </c>
      <c r="O615" s="1" t="s">
        <v>7285</v>
      </c>
      <c r="P615" s="1" t="s">
        <v>7286</v>
      </c>
      <c r="Q615" s="1">
        <v>0</v>
      </c>
      <c r="R615" s="1" t="s">
        <v>7287</v>
      </c>
      <c r="S615" s="1" t="s">
        <v>7288</v>
      </c>
      <c r="U615" s="2">
        <v>56770</v>
      </c>
      <c r="V615" s="1">
        <v>4.3</v>
      </c>
      <c r="W615" s="1">
        <v>2000</v>
      </c>
      <c r="X615" s="1">
        <v>5695</v>
      </c>
      <c r="Y615" s="1">
        <v>568</v>
      </c>
      <c r="Z615" s="1">
        <v>2688</v>
      </c>
      <c r="AA615" s="1">
        <v>2439</v>
      </c>
      <c r="AB615" s="1">
        <v>1</v>
      </c>
      <c r="AC615" s="1">
        <v>1</v>
      </c>
      <c r="AE615" s="1" t="s">
        <v>7289</v>
      </c>
      <c r="AF615" s="1" t="s">
        <v>7290</v>
      </c>
      <c r="AG615" s="1" t="s">
        <v>7291</v>
      </c>
      <c r="AH615" s="1" t="s">
        <v>7292</v>
      </c>
      <c r="AI615" s="1">
        <v>4.58</v>
      </c>
      <c r="AJ615" s="1">
        <v>679</v>
      </c>
      <c r="AK615" s="1">
        <v>2371</v>
      </c>
      <c r="AL615" s="1">
        <v>1830</v>
      </c>
    </row>
    <row r="616" spans="1:38" ht="15.75" customHeight="1">
      <c r="A616" s="1">
        <v>720</v>
      </c>
      <c r="B616" s="1">
        <v>5</v>
      </c>
      <c r="C616" s="1">
        <v>4001</v>
      </c>
      <c r="D616" s="1" t="s">
        <v>51</v>
      </c>
      <c r="E616" s="1" t="s">
        <v>39</v>
      </c>
      <c r="F616" s="1" t="s">
        <v>341</v>
      </c>
      <c r="G616" s="1">
        <v>0</v>
      </c>
      <c r="H616" s="1" t="s">
        <v>41</v>
      </c>
      <c r="I616" s="1" t="s">
        <v>7293</v>
      </c>
      <c r="J616" s="1" t="s">
        <v>7294</v>
      </c>
      <c r="K616" s="1" t="s">
        <v>7295</v>
      </c>
      <c r="L616" s="1">
        <v>1</v>
      </c>
      <c r="M616" s="1">
        <v>0</v>
      </c>
      <c r="N616" s="1" t="s">
        <v>7296</v>
      </c>
      <c r="O616" s="1" t="s">
        <v>7297</v>
      </c>
      <c r="P616" s="1" t="s">
        <v>7298</v>
      </c>
      <c r="Q616" s="1">
        <v>0</v>
      </c>
      <c r="R616" s="1" t="s">
        <v>7299</v>
      </c>
      <c r="S616" s="1" t="s">
        <v>7300</v>
      </c>
      <c r="U616" s="2">
        <v>56770</v>
      </c>
      <c r="V616" s="1">
        <v>4.5999999999999996</v>
      </c>
      <c r="W616" s="1">
        <v>2000</v>
      </c>
      <c r="X616" s="1">
        <v>1207</v>
      </c>
      <c r="Y616" s="1">
        <v>400</v>
      </c>
      <c r="Z616" s="1">
        <v>462</v>
      </c>
      <c r="AA616" s="1">
        <v>345</v>
      </c>
      <c r="AB616" s="1">
        <v>1</v>
      </c>
      <c r="AC616" s="1">
        <v>2</v>
      </c>
      <c r="AE616" s="1" t="s">
        <v>7301</v>
      </c>
      <c r="AF616" s="1" t="s">
        <v>7302</v>
      </c>
      <c r="AG616" s="1" t="s">
        <v>7303</v>
      </c>
      <c r="AH616" s="1" t="s">
        <v>7304</v>
      </c>
      <c r="AI616" s="1">
        <v>4.54</v>
      </c>
      <c r="AJ616" s="1">
        <v>2229</v>
      </c>
      <c r="AK616" s="1">
        <v>6580</v>
      </c>
    </row>
    <row r="617" spans="1:38" ht="15.75" customHeight="1">
      <c r="A617" s="1">
        <v>807</v>
      </c>
      <c r="C617" s="1">
        <v>4050</v>
      </c>
      <c r="D617" s="1" t="s">
        <v>38</v>
      </c>
      <c r="E617" s="1" t="s">
        <v>39</v>
      </c>
      <c r="F617" s="1" t="s">
        <v>5675</v>
      </c>
      <c r="G617" s="1">
        <v>0</v>
      </c>
      <c r="H617" s="1" t="s">
        <v>41</v>
      </c>
      <c r="I617" s="1" t="s">
        <v>7305</v>
      </c>
      <c r="J617" s="1" t="s">
        <v>7306</v>
      </c>
      <c r="K617" s="1" t="s">
        <v>7307</v>
      </c>
      <c r="L617" s="1">
        <v>1</v>
      </c>
      <c r="M617" s="1">
        <v>0</v>
      </c>
      <c r="N617" s="1" t="s">
        <v>7308</v>
      </c>
      <c r="O617" s="1" t="s">
        <v>7309</v>
      </c>
      <c r="P617" s="1" t="s">
        <v>7310</v>
      </c>
      <c r="Q617" s="1">
        <v>0</v>
      </c>
      <c r="R617" s="1" t="s">
        <v>7311</v>
      </c>
      <c r="S617" s="1" t="s">
        <v>7312</v>
      </c>
      <c r="U617" s="2">
        <v>56771</v>
      </c>
      <c r="V617" s="1">
        <v>4.8</v>
      </c>
      <c r="W617" s="1">
        <v>2000</v>
      </c>
      <c r="X617" s="1">
        <v>1628</v>
      </c>
      <c r="Y617" s="1">
        <v>408</v>
      </c>
      <c r="Z617" s="1">
        <v>335</v>
      </c>
      <c r="AA617" s="1">
        <v>885</v>
      </c>
      <c r="AB617" s="1">
        <v>0</v>
      </c>
      <c r="AC617" s="1">
        <v>3</v>
      </c>
      <c r="AD617" s="1" t="s">
        <v>215</v>
      </c>
      <c r="AE617" s="1" t="s">
        <v>7313</v>
      </c>
      <c r="AF617" s="1" t="s">
        <v>7314</v>
      </c>
      <c r="AG617" s="1" t="s">
        <v>7315</v>
      </c>
      <c r="AH617" s="1" t="s">
        <v>7316</v>
      </c>
      <c r="AI617" s="1">
        <v>4.79</v>
      </c>
      <c r="AJ617" s="1">
        <v>213</v>
      </c>
      <c r="AK617" s="1">
        <v>611</v>
      </c>
      <c r="AL617" s="1">
        <v>122</v>
      </c>
    </row>
    <row r="618" spans="1:38" ht="15.75" customHeight="1">
      <c r="A618" s="1">
        <v>899</v>
      </c>
      <c r="B618" s="1">
        <v>5</v>
      </c>
      <c r="C618" s="1">
        <v>4050</v>
      </c>
      <c r="D618" s="1" t="s">
        <v>38</v>
      </c>
      <c r="E618" s="1" t="s">
        <v>39</v>
      </c>
      <c r="F618" s="1" t="s">
        <v>280</v>
      </c>
      <c r="G618" s="1">
        <v>0</v>
      </c>
      <c r="H618" s="1" t="s">
        <v>41</v>
      </c>
      <c r="I618" s="1" t="s">
        <v>7317</v>
      </c>
      <c r="J618" s="1" t="s">
        <v>7318</v>
      </c>
      <c r="K618" s="1" t="s">
        <v>7319</v>
      </c>
      <c r="L618" s="1">
        <v>1</v>
      </c>
      <c r="M618" s="1">
        <v>0</v>
      </c>
      <c r="N618" s="1" t="s">
        <v>7320</v>
      </c>
      <c r="O618" s="1" t="s">
        <v>7321</v>
      </c>
      <c r="P618" s="1" t="s">
        <v>7322</v>
      </c>
      <c r="Q618" s="1">
        <v>0</v>
      </c>
      <c r="R618" s="1" t="s">
        <v>7323</v>
      </c>
      <c r="U618" s="2">
        <v>56772</v>
      </c>
      <c r="V618" s="1">
        <v>4.5999999999999996</v>
      </c>
      <c r="W618" s="1">
        <v>2000</v>
      </c>
      <c r="X618" s="1">
        <v>1478</v>
      </c>
      <c r="AA618" s="1">
        <v>864</v>
      </c>
      <c r="AB618" s="1">
        <v>0</v>
      </c>
      <c r="AC618" s="1">
        <v>3</v>
      </c>
      <c r="AE618" s="1" t="s">
        <v>7324</v>
      </c>
      <c r="AF618" s="1" t="s">
        <v>7325</v>
      </c>
      <c r="AG618" s="1" t="s">
        <v>7326</v>
      </c>
      <c r="AI618" s="1">
        <v>4.49</v>
      </c>
      <c r="AJ618" s="1">
        <v>2315</v>
      </c>
      <c r="AK618" s="1">
        <v>7039</v>
      </c>
      <c r="AL618" s="1">
        <v>763</v>
      </c>
    </row>
    <row r="619" spans="1:38" ht="15.75" customHeight="1">
      <c r="A619" s="1">
        <v>1421</v>
      </c>
      <c r="B619" s="1">
        <v>5</v>
      </c>
      <c r="C619" s="1">
        <v>4001</v>
      </c>
      <c r="D619" s="1" t="s">
        <v>51</v>
      </c>
      <c r="E619" s="1" t="s">
        <v>39</v>
      </c>
      <c r="F619" s="1" t="s">
        <v>414</v>
      </c>
      <c r="G619" s="1">
        <v>0</v>
      </c>
      <c r="H619" s="1" t="s">
        <v>53</v>
      </c>
      <c r="I619" s="1" t="s">
        <v>7327</v>
      </c>
      <c r="J619" s="1" t="s">
        <v>7328</v>
      </c>
      <c r="K619" s="1" t="s">
        <v>7329</v>
      </c>
      <c r="L619" s="1">
        <v>1</v>
      </c>
      <c r="M619" s="1">
        <v>0</v>
      </c>
      <c r="N619" s="1" t="s">
        <v>7330</v>
      </c>
      <c r="O619" s="1" t="s">
        <v>7331</v>
      </c>
      <c r="P619" s="1" t="s">
        <v>7332</v>
      </c>
      <c r="Q619" s="1">
        <v>0</v>
      </c>
      <c r="R619" s="1" t="s">
        <v>7333</v>
      </c>
      <c r="S619" s="1" t="s">
        <v>7334</v>
      </c>
      <c r="U619" s="2">
        <v>56777</v>
      </c>
      <c r="V619" s="1">
        <v>4.2</v>
      </c>
      <c r="W619" s="1">
        <v>2000</v>
      </c>
      <c r="X619" s="1">
        <v>984</v>
      </c>
      <c r="Y619" s="1">
        <v>354</v>
      </c>
      <c r="Z619" s="1">
        <v>288</v>
      </c>
      <c r="AA619" s="1">
        <v>342</v>
      </c>
      <c r="AB619" s="1">
        <v>0</v>
      </c>
      <c r="AC619" s="1">
        <v>1</v>
      </c>
      <c r="AD619" s="1" t="s">
        <v>62</v>
      </c>
      <c r="AE619" s="1" t="s">
        <v>7335</v>
      </c>
      <c r="AF619" s="1" t="s">
        <v>7336</v>
      </c>
      <c r="AG619" s="1" t="s">
        <v>7337</v>
      </c>
      <c r="AH619" s="1" t="s">
        <v>7338</v>
      </c>
      <c r="AI619" s="1">
        <v>4.58</v>
      </c>
      <c r="AJ619" s="1">
        <v>254</v>
      </c>
      <c r="AK619" s="1">
        <v>788</v>
      </c>
      <c r="AL619" s="1">
        <v>9</v>
      </c>
    </row>
    <row r="620" spans="1:38" ht="15.75" customHeight="1">
      <c r="A620" s="1">
        <v>1554</v>
      </c>
      <c r="C620" s="1">
        <v>4001</v>
      </c>
      <c r="D620" s="1" t="s">
        <v>51</v>
      </c>
      <c r="E620" s="1" t="s">
        <v>39</v>
      </c>
      <c r="F620" s="1" t="s">
        <v>7339</v>
      </c>
      <c r="G620" s="1">
        <v>1</v>
      </c>
      <c r="H620" s="1" t="s">
        <v>53</v>
      </c>
      <c r="I620" s="1" t="s">
        <v>7340</v>
      </c>
      <c r="J620" s="1" t="s">
        <v>7341</v>
      </c>
      <c r="K620" s="1" t="s">
        <v>7342</v>
      </c>
      <c r="L620" s="1">
        <v>1</v>
      </c>
      <c r="M620" s="1">
        <v>0</v>
      </c>
      <c r="N620" s="1" t="s">
        <v>7343</v>
      </c>
      <c r="O620" s="1" t="s">
        <v>7344</v>
      </c>
      <c r="P620" s="1" t="s">
        <v>7345</v>
      </c>
      <c r="Q620" s="1">
        <v>0</v>
      </c>
      <c r="R620" s="1" t="s">
        <v>7346</v>
      </c>
      <c r="S620" s="1" t="s">
        <v>7347</v>
      </c>
      <c r="U620" s="2">
        <v>56778</v>
      </c>
      <c r="V620" s="1">
        <v>4.4000000000000004</v>
      </c>
      <c r="W620" s="1">
        <v>2000</v>
      </c>
      <c r="X620" s="1">
        <v>3021</v>
      </c>
      <c r="Y620" s="1">
        <v>1448</v>
      </c>
      <c r="Z620" s="1">
        <v>208</v>
      </c>
      <c r="AA620" s="1">
        <v>1365</v>
      </c>
      <c r="AB620" s="1">
        <v>0</v>
      </c>
      <c r="AC620" s="1">
        <v>3</v>
      </c>
      <c r="AD620" s="1" t="s">
        <v>76</v>
      </c>
      <c r="AE620" s="1" t="s">
        <v>7348</v>
      </c>
      <c r="AF620" s="1" t="s">
        <v>7349</v>
      </c>
      <c r="AG620" s="1" t="s">
        <v>7350</v>
      </c>
      <c r="AH620" s="1" t="s">
        <v>7351</v>
      </c>
      <c r="AI620" s="1">
        <v>4.5370370370000002</v>
      </c>
      <c r="AJ620" s="1">
        <v>43</v>
      </c>
      <c r="AK620" s="1">
        <v>142</v>
      </c>
      <c r="AL620" s="1">
        <v>11</v>
      </c>
    </row>
    <row r="621" spans="1:38" ht="15.75" customHeight="1">
      <c r="A621" s="1">
        <v>344</v>
      </c>
      <c r="C621" s="1">
        <v>4050</v>
      </c>
      <c r="D621" s="1" t="s">
        <v>38</v>
      </c>
      <c r="E621" s="1" t="s">
        <v>39</v>
      </c>
      <c r="F621" s="1" t="s">
        <v>365</v>
      </c>
      <c r="G621" s="1">
        <v>0</v>
      </c>
      <c r="H621" s="1" t="s">
        <v>41</v>
      </c>
      <c r="I621" s="1" t="s">
        <v>7352</v>
      </c>
      <c r="J621" s="1" t="s">
        <v>7353</v>
      </c>
      <c r="K621" s="1" t="s">
        <v>7354</v>
      </c>
      <c r="L621" s="1">
        <v>1</v>
      </c>
      <c r="M621" s="1">
        <v>0</v>
      </c>
      <c r="N621" s="1" t="s">
        <v>7355</v>
      </c>
      <c r="O621" s="1" t="s">
        <v>7356</v>
      </c>
      <c r="P621" s="1" t="s">
        <v>7357</v>
      </c>
      <c r="Q621" s="1">
        <v>0</v>
      </c>
      <c r="R621" s="1" t="s">
        <v>7358</v>
      </c>
      <c r="S621" s="1" t="s">
        <v>7359</v>
      </c>
      <c r="U621" s="2">
        <v>56768</v>
      </c>
      <c r="V621" s="1">
        <v>4.7</v>
      </c>
      <c r="W621" s="1">
        <v>2000</v>
      </c>
      <c r="X621" s="1">
        <v>2817</v>
      </c>
      <c r="Y621" s="1">
        <v>1734</v>
      </c>
      <c r="Z621" s="1">
        <v>59</v>
      </c>
      <c r="AA621" s="1">
        <v>1024</v>
      </c>
      <c r="AB621" s="1">
        <v>0</v>
      </c>
      <c r="AC621" s="1">
        <v>5</v>
      </c>
      <c r="AD621" s="1" t="s">
        <v>76</v>
      </c>
      <c r="AE621" s="1" t="s">
        <v>7360</v>
      </c>
      <c r="AF621" s="1" t="s">
        <v>7361</v>
      </c>
      <c r="AG621" s="1" t="s">
        <v>7362</v>
      </c>
      <c r="AH621" s="1" t="s">
        <v>7363</v>
      </c>
      <c r="AI621" s="1">
        <v>4.7699999999999996</v>
      </c>
      <c r="AJ621" s="1">
        <v>426</v>
      </c>
      <c r="AK621" s="1">
        <v>1226</v>
      </c>
      <c r="AL621" s="1">
        <v>85</v>
      </c>
    </row>
    <row r="622" spans="1:38" ht="15.75" customHeight="1">
      <c r="A622" s="1">
        <v>1118</v>
      </c>
      <c r="B622" s="1">
        <v>5</v>
      </c>
      <c r="C622" s="1">
        <v>4001</v>
      </c>
      <c r="D622" s="1" t="s">
        <v>51</v>
      </c>
      <c r="E622" s="1" t="s">
        <v>39</v>
      </c>
      <c r="F622" s="1" t="s">
        <v>708</v>
      </c>
      <c r="G622" s="1">
        <v>0</v>
      </c>
      <c r="H622" s="1" t="s">
        <v>53</v>
      </c>
      <c r="I622" s="1" t="s">
        <v>7364</v>
      </c>
      <c r="J622" s="1" t="s">
        <v>7365</v>
      </c>
      <c r="K622" s="1" t="s">
        <v>7366</v>
      </c>
      <c r="L622" s="1">
        <v>1</v>
      </c>
      <c r="M622" s="1">
        <v>0</v>
      </c>
      <c r="N622" s="1" t="s">
        <v>7367</v>
      </c>
      <c r="O622" s="1" t="s">
        <v>7368</v>
      </c>
      <c r="P622" s="1" t="s">
        <v>7369</v>
      </c>
      <c r="Q622" s="1">
        <v>0</v>
      </c>
      <c r="R622" s="1" t="s">
        <v>7370</v>
      </c>
      <c r="S622" s="1" t="s">
        <v>7371</v>
      </c>
      <c r="U622" s="2">
        <v>56775</v>
      </c>
      <c r="V622" s="1">
        <v>2.856812235</v>
      </c>
      <c r="W622" s="1">
        <v>2000</v>
      </c>
      <c r="X622" s="1">
        <v>1641</v>
      </c>
      <c r="Y622" s="1">
        <v>831</v>
      </c>
      <c r="Z622" s="1">
        <v>441</v>
      </c>
      <c r="AA622" s="1">
        <v>369</v>
      </c>
      <c r="AB622" s="1">
        <v>0</v>
      </c>
      <c r="AC622" s="1">
        <v>5</v>
      </c>
      <c r="AE622" s="1" t="s">
        <v>7372</v>
      </c>
      <c r="AF622" s="1" t="s">
        <v>7373</v>
      </c>
      <c r="AG622" s="1" t="s">
        <v>7374</v>
      </c>
      <c r="AH622" s="1" t="s">
        <v>7375</v>
      </c>
      <c r="AI622" s="1">
        <v>4.5999999999999996</v>
      </c>
      <c r="AJ622" s="1">
        <v>292</v>
      </c>
      <c r="AK622" s="1">
        <v>1027</v>
      </c>
      <c r="AL622" s="1">
        <v>26</v>
      </c>
    </row>
    <row r="623" spans="1:38" ht="15.75" customHeight="1">
      <c r="A623" s="1">
        <v>614</v>
      </c>
      <c r="C623" s="1">
        <v>4050</v>
      </c>
      <c r="D623" s="1" t="s">
        <v>38</v>
      </c>
      <c r="E623" s="1" t="s">
        <v>39</v>
      </c>
      <c r="F623" s="1" t="s">
        <v>510</v>
      </c>
      <c r="G623" s="1">
        <v>0</v>
      </c>
      <c r="H623" s="1" t="s">
        <v>41</v>
      </c>
      <c r="I623" s="1" t="s">
        <v>7376</v>
      </c>
      <c r="J623" s="1" t="s">
        <v>7377</v>
      </c>
      <c r="K623" s="1" t="s">
        <v>7378</v>
      </c>
      <c r="L623" s="1">
        <v>1</v>
      </c>
      <c r="M623" s="1">
        <v>0</v>
      </c>
      <c r="N623" s="1" t="s">
        <v>7379</v>
      </c>
      <c r="O623" s="1" t="s">
        <v>7380</v>
      </c>
      <c r="P623" s="1" t="s">
        <v>7381</v>
      </c>
      <c r="Q623" s="1">
        <v>0</v>
      </c>
      <c r="R623" s="1" t="s">
        <v>7382</v>
      </c>
      <c r="S623" s="1" t="s">
        <v>7383</v>
      </c>
      <c r="U623" s="2">
        <v>56770</v>
      </c>
      <c r="V623" s="1">
        <v>4.7</v>
      </c>
      <c r="W623" s="1">
        <v>2000</v>
      </c>
      <c r="X623" s="1">
        <v>2561</v>
      </c>
      <c r="Y623" s="1">
        <v>1448</v>
      </c>
      <c r="Z623" s="1">
        <v>528</v>
      </c>
      <c r="AA623" s="1">
        <v>585</v>
      </c>
      <c r="AB623" s="1">
        <v>0</v>
      </c>
      <c r="AC623" s="1">
        <v>8</v>
      </c>
      <c r="AD623" s="1" t="s">
        <v>76</v>
      </c>
      <c r="AE623" s="1" t="s">
        <v>7384</v>
      </c>
      <c r="AF623" s="1" t="s">
        <v>7385</v>
      </c>
      <c r="AG623" s="1" t="s">
        <v>7386</v>
      </c>
      <c r="AH623" s="1" t="s">
        <v>7387</v>
      </c>
      <c r="AI623" s="1">
        <v>4.62</v>
      </c>
      <c r="AJ623" s="1">
        <v>259</v>
      </c>
      <c r="AK623" s="1">
        <v>604</v>
      </c>
      <c r="AL623" s="1">
        <v>21</v>
      </c>
    </row>
    <row r="624" spans="1:38" ht="15.75" customHeight="1">
      <c r="A624" s="1">
        <v>1111</v>
      </c>
      <c r="B624" s="1">
        <v>5</v>
      </c>
      <c r="C624" s="1">
        <v>4001</v>
      </c>
      <c r="D624" s="1" t="s">
        <v>51</v>
      </c>
      <c r="E624" s="1" t="s">
        <v>39</v>
      </c>
      <c r="F624" s="1" t="s">
        <v>1915</v>
      </c>
      <c r="G624" s="1">
        <v>1</v>
      </c>
      <c r="H624" s="1" t="s">
        <v>53</v>
      </c>
      <c r="I624" s="1" t="s">
        <v>7388</v>
      </c>
      <c r="J624" s="1" t="s">
        <v>7389</v>
      </c>
      <c r="K624" s="1" t="s">
        <v>7390</v>
      </c>
      <c r="L624" s="1">
        <v>1</v>
      </c>
      <c r="M624" s="1">
        <v>0</v>
      </c>
      <c r="N624" s="1" t="s">
        <v>7391</v>
      </c>
      <c r="O624" s="1" t="s">
        <v>7392</v>
      </c>
      <c r="P624" s="1" t="s">
        <v>7393</v>
      </c>
      <c r="Q624" s="1">
        <v>0</v>
      </c>
      <c r="R624" s="1" t="s">
        <v>7394</v>
      </c>
      <c r="S624" s="1" t="s">
        <v>7395</v>
      </c>
      <c r="U624" s="2">
        <v>56775</v>
      </c>
      <c r="V624" s="1">
        <v>3.5073866279999999</v>
      </c>
      <c r="W624" s="1">
        <v>2000</v>
      </c>
      <c r="X624" s="1">
        <v>2716</v>
      </c>
      <c r="Y624" s="1">
        <v>367</v>
      </c>
      <c r="Z624" s="1">
        <v>1487</v>
      </c>
      <c r="AA624" s="1">
        <v>862</v>
      </c>
      <c r="AB624" s="1">
        <v>0</v>
      </c>
      <c r="AC624" s="1">
        <v>2</v>
      </c>
      <c r="AE624" s="1" t="s">
        <v>7396</v>
      </c>
      <c r="AF624" s="1" t="s">
        <v>7397</v>
      </c>
      <c r="AG624" s="1" t="s">
        <v>7398</v>
      </c>
      <c r="AH624" s="1" t="s">
        <v>7399</v>
      </c>
      <c r="AI624" s="1">
        <v>4.63</v>
      </c>
      <c r="AJ624" s="1">
        <v>242</v>
      </c>
      <c r="AK624" s="1">
        <v>736</v>
      </c>
    </row>
    <row r="625" spans="1:38" ht="15.75" customHeight="1">
      <c r="A625" s="1">
        <v>459</v>
      </c>
      <c r="B625" s="1">
        <v>5</v>
      </c>
      <c r="C625" s="1">
        <v>4050</v>
      </c>
      <c r="D625" s="1" t="s">
        <v>38</v>
      </c>
      <c r="E625" s="1" t="s">
        <v>39</v>
      </c>
      <c r="F625" s="1" t="s">
        <v>1092</v>
      </c>
      <c r="G625" s="1">
        <v>0</v>
      </c>
      <c r="H625" s="1" t="s">
        <v>41</v>
      </c>
      <c r="I625" s="1" t="s">
        <v>7400</v>
      </c>
      <c r="J625" s="1" t="s">
        <v>7401</v>
      </c>
      <c r="K625" s="1" t="s">
        <v>7402</v>
      </c>
      <c r="L625" s="1">
        <v>1</v>
      </c>
      <c r="M625" s="1">
        <v>0</v>
      </c>
      <c r="N625" s="1" t="s">
        <v>7403</v>
      </c>
      <c r="O625" s="1" t="s">
        <v>7404</v>
      </c>
      <c r="P625" s="1" t="s">
        <v>7405</v>
      </c>
      <c r="Q625" s="1">
        <v>0</v>
      </c>
      <c r="R625" s="1" t="s">
        <v>7406</v>
      </c>
      <c r="S625" s="1" t="s">
        <v>7407</v>
      </c>
      <c r="U625" s="2">
        <v>56769</v>
      </c>
      <c r="V625" s="1">
        <v>4.5</v>
      </c>
      <c r="W625" s="1">
        <v>2000</v>
      </c>
      <c r="X625" s="1">
        <v>1587</v>
      </c>
      <c r="Y625" s="1">
        <v>876</v>
      </c>
      <c r="Z625" s="1">
        <v>131</v>
      </c>
      <c r="AA625" s="1">
        <v>580</v>
      </c>
      <c r="AB625" s="1">
        <v>0</v>
      </c>
      <c r="AC625" s="1">
        <v>2</v>
      </c>
      <c r="AD625" s="1" t="s">
        <v>76</v>
      </c>
      <c r="AE625" s="1" t="s">
        <v>7408</v>
      </c>
      <c r="AF625" s="1" t="s">
        <v>7409</v>
      </c>
      <c r="AG625" s="1" t="s">
        <v>7410</v>
      </c>
      <c r="AH625" s="1" t="s">
        <v>7411</v>
      </c>
      <c r="AI625" s="1">
        <v>4.3764705880000001</v>
      </c>
      <c r="AJ625" s="1">
        <v>62</v>
      </c>
      <c r="AK625" s="1">
        <v>219</v>
      </c>
      <c r="AL625" s="1">
        <v>113</v>
      </c>
    </row>
    <row r="626" spans="1:38" ht="15.75" customHeight="1">
      <c r="A626" s="1">
        <v>469</v>
      </c>
      <c r="B626" s="1">
        <v>5</v>
      </c>
      <c r="C626" s="1">
        <v>4050</v>
      </c>
      <c r="D626" s="1" t="s">
        <v>38</v>
      </c>
      <c r="E626" s="1" t="s">
        <v>39</v>
      </c>
      <c r="F626" s="1" t="s">
        <v>1372</v>
      </c>
      <c r="G626" s="1">
        <v>0</v>
      </c>
      <c r="H626" s="1" t="s">
        <v>41</v>
      </c>
      <c r="I626" s="1" t="s">
        <v>7412</v>
      </c>
      <c r="J626" s="1" t="s">
        <v>7413</v>
      </c>
      <c r="K626" s="1" t="s">
        <v>7414</v>
      </c>
      <c r="L626" s="1">
        <v>1</v>
      </c>
      <c r="M626" s="1">
        <v>0</v>
      </c>
      <c r="N626" s="1" t="s">
        <v>7415</v>
      </c>
      <c r="O626" s="1" t="s">
        <v>7416</v>
      </c>
      <c r="P626" s="1" t="s">
        <v>7417</v>
      </c>
      <c r="Q626" s="1">
        <v>0</v>
      </c>
      <c r="R626" s="1" t="s">
        <v>7418</v>
      </c>
      <c r="S626" s="1" t="s">
        <v>7419</v>
      </c>
      <c r="U626" s="2">
        <v>56769</v>
      </c>
      <c r="V626" s="1">
        <v>4.5999999999999996</v>
      </c>
      <c r="W626" s="1">
        <v>2000</v>
      </c>
      <c r="X626" s="1">
        <v>1599</v>
      </c>
      <c r="Y626" s="1">
        <v>448</v>
      </c>
      <c r="Z626" s="1">
        <v>185</v>
      </c>
      <c r="AA626" s="1">
        <v>966</v>
      </c>
      <c r="AB626" s="1">
        <v>0</v>
      </c>
      <c r="AC626" s="1">
        <v>2</v>
      </c>
      <c r="AD626" s="1" t="s">
        <v>76</v>
      </c>
      <c r="AE626" s="1" t="s">
        <v>7420</v>
      </c>
      <c r="AF626" s="1" t="s">
        <v>7421</v>
      </c>
      <c r="AG626" s="1" t="s">
        <v>7422</v>
      </c>
      <c r="AH626" s="1" t="s">
        <v>7423</v>
      </c>
      <c r="AI626" s="1">
        <v>4.4111111110000003</v>
      </c>
      <c r="AJ626" s="1">
        <v>68</v>
      </c>
      <c r="AK626" s="1">
        <v>223</v>
      </c>
      <c r="AL626" s="1">
        <v>118</v>
      </c>
    </row>
    <row r="627" spans="1:38" ht="15.75" customHeight="1">
      <c r="A627" s="1">
        <v>863</v>
      </c>
      <c r="B627" s="1">
        <v>5</v>
      </c>
      <c r="C627" s="1">
        <v>4050</v>
      </c>
      <c r="D627" s="1" t="s">
        <v>38</v>
      </c>
      <c r="E627" s="1" t="s">
        <v>39</v>
      </c>
      <c r="F627" s="1" t="s">
        <v>280</v>
      </c>
      <c r="G627" s="1">
        <v>0</v>
      </c>
      <c r="H627" s="1" t="s">
        <v>41</v>
      </c>
      <c r="I627" s="1" t="s">
        <v>7424</v>
      </c>
      <c r="J627" s="1" t="s">
        <v>7425</v>
      </c>
      <c r="K627" s="1" t="s">
        <v>7426</v>
      </c>
      <c r="L627" s="1">
        <v>1</v>
      </c>
      <c r="M627" s="1">
        <v>0</v>
      </c>
      <c r="N627" s="1" t="s">
        <v>7427</v>
      </c>
      <c r="O627" s="1" t="s">
        <v>7428</v>
      </c>
      <c r="P627" s="1" t="s">
        <v>7429</v>
      </c>
      <c r="Q627" s="1">
        <v>0</v>
      </c>
      <c r="R627" s="1" t="s">
        <v>7430</v>
      </c>
      <c r="U627" s="2">
        <v>56772</v>
      </c>
      <c r="V627" s="1">
        <v>4.5</v>
      </c>
      <c r="W627" s="1">
        <v>2000</v>
      </c>
      <c r="X627" s="1">
        <v>2609</v>
      </c>
      <c r="AA627" s="1">
        <v>640</v>
      </c>
      <c r="AB627" s="1">
        <v>0</v>
      </c>
      <c r="AC627" s="1">
        <v>4</v>
      </c>
      <c r="AE627" s="1" t="s">
        <v>7431</v>
      </c>
      <c r="AF627" s="1" t="s">
        <v>7432</v>
      </c>
      <c r="AG627" s="1" t="s">
        <v>7433</v>
      </c>
      <c r="AI627" s="1">
        <v>4.49</v>
      </c>
      <c r="AJ627" s="1">
        <v>2315</v>
      </c>
      <c r="AK627" s="1">
        <v>7039</v>
      </c>
      <c r="AL627" s="1">
        <v>763</v>
      </c>
    </row>
    <row r="628" spans="1:38" ht="15.75" customHeight="1">
      <c r="A628" s="1">
        <v>842</v>
      </c>
      <c r="B628" s="1">
        <v>5</v>
      </c>
      <c r="C628" s="1">
        <v>4050</v>
      </c>
      <c r="D628" s="1" t="s">
        <v>38</v>
      </c>
      <c r="E628" s="1" t="s">
        <v>39</v>
      </c>
      <c r="F628" s="1" t="s">
        <v>7434</v>
      </c>
      <c r="G628" s="1">
        <v>0</v>
      </c>
      <c r="H628" s="1" t="s">
        <v>41</v>
      </c>
      <c r="I628" s="1" t="s">
        <v>7435</v>
      </c>
      <c r="J628" s="1" t="s">
        <v>7436</v>
      </c>
      <c r="K628" s="1" t="s">
        <v>7437</v>
      </c>
      <c r="L628" s="1">
        <v>1</v>
      </c>
      <c r="M628" s="1">
        <v>0</v>
      </c>
      <c r="N628" s="1" t="s">
        <v>7438</v>
      </c>
      <c r="O628" s="1" t="s">
        <v>7439</v>
      </c>
      <c r="P628" s="1" t="s">
        <v>7440</v>
      </c>
      <c r="Q628" s="1">
        <v>0</v>
      </c>
      <c r="R628" s="1" t="s">
        <v>7441</v>
      </c>
      <c r="S628" s="1" t="s">
        <v>7442</v>
      </c>
      <c r="U628" s="2">
        <v>56772</v>
      </c>
      <c r="V628" s="1">
        <v>4.5</v>
      </c>
      <c r="W628" s="1">
        <v>2000</v>
      </c>
      <c r="X628" s="1">
        <v>2389</v>
      </c>
      <c r="Y628" s="1">
        <v>1408</v>
      </c>
      <c r="Z628" s="1">
        <v>821</v>
      </c>
      <c r="AA628" s="1">
        <v>160</v>
      </c>
      <c r="AB628" s="1">
        <v>0</v>
      </c>
      <c r="AC628" s="1">
        <v>2</v>
      </c>
      <c r="AD628" s="1" t="s">
        <v>76</v>
      </c>
      <c r="AE628" s="1" t="s">
        <v>7443</v>
      </c>
      <c r="AF628" s="1" t="s">
        <v>7444</v>
      </c>
      <c r="AG628" s="1" t="s">
        <v>7445</v>
      </c>
      <c r="AH628" s="1" t="s">
        <v>7446</v>
      </c>
      <c r="AI628" s="1">
        <v>4.5714285710000002</v>
      </c>
      <c r="AJ628" s="1">
        <v>77</v>
      </c>
      <c r="AK628" s="1">
        <v>206</v>
      </c>
      <c r="AL628" s="1">
        <v>11</v>
      </c>
    </row>
    <row r="629" spans="1:38" ht="15.75" customHeight="1">
      <c r="A629" s="1">
        <v>369</v>
      </c>
      <c r="C629" s="1">
        <v>4001</v>
      </c>
      <c r="D629" s="1" t="s">
        <v>51</v>
      </c>
      <c r="E629" s="1" t="s">
        <v>39</v>
      </c>
      <c r="F629" s="1" t="s">
        <v>52</v>
      </c>
      <c r="G629" s="1">
        <v>0</v>
      </c>
      <c r="H629" s="1" t="s">
        <v>53</v>
      </c>
      <c r="I629" s="1" t="s">
        <v>7447</v>
      </c>
      <c r="J629" s="1" t="s">
        <v>7448</v>
      </c>
      <c r="K629" s="1" t="s">
        <v>7449</v>
      </c>
      <c r="L629" s="1">
        <v>1</v>
      </c>
      <c r="M629" s="1">
        <v>0</v>
      </c>
      <c r="N629" s="1" t="s">
        <v>7450</v>
      </c>
      <c r="O629" s="1" t="s">
        <v>7451</v>
      </c>
      <c r="P629" s="1" t="s">
        <v>7452</v>
      </c>
      <c r="Q629" s="1">
        <v>0</v>
      </c>
      <c r="R629" s="1" t="s">
        <v>7453</v>
      </c>
      <c r="U629" s="2">
        <v>56768</v>
      </c>
      <c r="V629" s="1">
        <v>2.6691044819999998</v>
      </c>
      <c r="W629" s="1">
        <v>2000</v>
      </c>
      <c r="X629" s="1">
        <v>2223</v>
      </c>
      <c r="AA629" s="1">
        <v>788</v>
      </c>
      <c r="AB629" s="1">
        <v>0</v>
      </c>
      <c r="AC629" s="1">
        <v>6</v>
      </c>
      <c r="AE629" s="1" t="s">
        <v>7454</v>
      </c>
      <c r="AF629" s="1" t="s">
        <v>7455</v>
      </c>
      <c r="AG629" s="1" t="s">
        <v>7456</v>
      </c>
      <c r="AI629" s="1">
        <v>4.17</v>
      </c>
      <c r="AJ629" s="1">
        <v>457</v>
      </c>
      <c r="AK629" s="1">
        <v>1599</v>
      </c>
    </row>
    <row r="630" spans="1:38" ht="15.75" customHeight="1">
      <c r="A630" s="1">
        <v>200</v>
      </c>
      <c r="B630" s="1">
        <v>5</v>
      </c>
      <c r="C630" s="1">
        <v>4050</v>
      </c>
      <c r="D630" s="1" t="s">
        <v>38</v>
      </c>
      <c r="E630" s="1" t="s">
        <v>39</v>
      </c>
      <c r="F630" s="1" t="s">
        <v>116</v>
      </c>
      <c r="G630" s="1">
        <v>0</v>
      </c>
      <c r="H630" s="1" t="s">
        <v>41</v>
      </c>
      <c r="I630" s="1" t="s">
        <v>7457</v>
      </c>
      <c r="J630" s="1" t="s">
        <v>7458</v>
      </c>
      <c r="K630" s="1" t="s">
        <v>7459</v>
      </c>
      <c r="L630" s="1">
        <v>1</v>
      </c>
      <c r="M630" s="1">
        <v>0</v>
      </c>
      <c r="N630" s="1" t="s">
        <v>7460</v>
      </c>
      <c r="O630" s="1" t="s">
        <v>7461</v>
      </c>
      <c r="P630" s="1" t="s">
        <v>7462</v>
      </c>
      <c r="Q630" s="1">
        <v>0</v>
      </c>
      <c r="R630" s="1" t="s">
        <v>7463</v>
      </c>
      <c r="S630" s="1" t="s">
        <v>7464</v>
      </c>
      <c r="U630" s="2">
        <v>56767</v>
      </c>
      <c r="V630" s="1">
        <v>4.5999999999999996</v>
      </c>
      <c r="W630" s="1">
        <v>2000</v>
      </c>
      <c r="X630" s="1">
        <v>1017</v>
      </c>
      <c r="Y630" s="1">
        <v>216</v>
      </c>
      <c r="Z630" s="1">
        <v>157</v>
      </c>
      <c r="AA630" s="1">
        <v>644</v>
      </c>
      <c r="AB630" s="1">
        <v>0</v>
      </c>
      <c r="AC630" s="1">
        <v>2</v>
      </c>
      <c r="AD630" s="1" t="s">
        <v>215</v>
      </c>
      <c r="AE630" s="1" t="s">
        <v>7465</v>
      </c>
      <c r="AF630" s="1" t="s">
        <v>7466</v>
      </c>
      <c r="AG630" s="1" t="s">
        <v>7467</v>
      </c>
      <c r="AH630" s="1" t="s">
        <v>7468</v>
      </c>
      <c r="AI630" s="1">
        <v>4.8899999999999997</v>
      </c>
      <c r="AJ630" s="1">
        <v>1778</v>
      </c>
      <c r="AK630" s="1">
        <v>5138</v>
      </c>
      <c r="AL630" s="1">
        <v>314</v>
      </c>
    </row>
    <row r="631" spans="1:38" ht="15.75" customHeight="1">
      <c r="A631" s="1">
        <v>300</v>
      </c>
      <c r="C631" s="1">
        <v>4050</v>
      </c>
      <c r="D631" s="1" t="s">
        <v>38</v>
      </c>
      <c r="E631" s="1" t="s">
        <v>39</v>
      </c>
      <c r="F631" s="1" t="s">
        <v>280</v>
      </c>
      <c r="G631" s="1">
        <v>0</v>
      </c>
      <c r="H631" s="1" t="s">
        <v>41</v>
      </c>
      <c r="I631" s="1" t="s">
        <v>7469</v>
      </c>
      <c r="J631" s="1" t="s">
        <v>7470</v>
      </c>
      <c r="K631" s="1" t="s">
        <v>7471</v>
      </c>
      <c r="L631" s="1">
        <v>1</v>
      </c>
      <c r="M631" s="1">
        <v>0</v>
      </c>
      <c r="N631" s="1" t="s">
        <v>7472</v>
      </c>
      <c r="O631" s="1" t="s">
        <v>7473</v>
      </c>
      <c r="P631" s="1" t="s">
        <v>7474</v>
      </c>
      <c r="Q631" s="1">
        <v>0</v>
      </c>
      <c r="R631" s="1" t="s">
        <v>7475</v>
      </c>
      <c r="S631" s="1" t="s">
        <v>7476</v>
      </c>
      <c r="U631" s="2">
        <v>56768</v>
      </c>
      <c r="V631" s="1">
        <v>4.5</v>
      </c>
      <c r="W631" s="1">
        <v>2000</v>
      </c>
      <c r="X631" s="1">
        <v>3052</v>
      </c>
      <c r="Y631" s="1">
        <v>1599</v>
      </c>
      <c r="Z631" s="1">
        <v>345</v>
      </c>
      <c r="AA631" s="1">
        <v>1108</v>
      </c>
      <c r="AB631" s="1">
        <v>0</v>
      </c>
      <c r="AC631" s="1">
        <v>4</v>
      </c>
      <c r="AD631" s="1" t="s">
        <v>76</v>
      </c>
      <c r="AE631" s="1" t="s">
        <v>7477</v>
      </c>
      <c r="AF631" s="1" t="s">
        <v>7478</v>
      </c>
      <c r="AG631" s="1" t="s">
        <v>7479</v>
      </c>
      <c r="AH631" s="1" t="s">
        <v>7480</v>
      </c>
      <c r="AI631" s="1">
        <v>4.49</v>
      </c>
      <c r="AJ631" s="1">
        <v>2315</v>
      </c>
      <c r="AK631" s="1">
        <v>7039</v>
      </c>
      <c r="AL631" s="1">
        <v>763</v>
      </c>
    </row>
    <row r="632" spans="1:38" ht="15.75" customHeight="1">
      <c r="A632" s="1">
        <v>539</v>
      </c>
      <c r="C632" s="1">
        <v>4001</v>
      </c>
      <c r="D632" s="1" t="s">
        <v>51</v>
      </c>
      <c r="E632" s="1" t="s">
        <v>39</v>
      </c>
      <c r="F632" s="1" t="s">
        <v>67</v>
      </c>
      <c r="G632" s="1">
        <v>0</v>
      </c>
      <c r="H632" s="1" t="s">
        <v>41</v>
      </c>
      <c r="I632" s="1" t="s">
        <v>7481</v>
      </c>
      <c r="J632" s="1" t="s">
        <v>7482</v>
      </c>
      <c r="K632" s="1" t="s">
        <v>7483</v>
      </c>
      <c r="L632" s="1">
        <v>1</v>
      </c>
      <c r="M632" s="1">
        <v>0</v>
      </c>
      <c r="N632" s="1" t="s">
        <v>7484</v>
      </c>
      <c r="O632" s="1" t="s">
        <v>7485</v>
      </c>
      <c r="P632" s="1" t="s">
        <v>7486</v>
      </c>
      <c r="Q632" s="1">
        <v>0</v>
      </c>
      <c r="R632" s="1" t="s">
        <v>7487</v>
      </c>
      <c r="S632" s="1" t="s">
        <v>7488</v>
      </c>
      <c r="U632" s="2">
        <v>56770</v>
      </c>
      <c r="V632" s="1">
        <v>4.5</v>
      </c>
      <c r="W632" s="1">
        <v>2000</v>
      </c>
      <c r="X632" s="1">
        <v>2190</v>
      </c>
      <c r="Y632" s="1">
        <v>396</v>
      </c>
      <c r="Z632" s="1">
        <v>1775</v>
      </c>
      <c r="AA632" s="1">
        <v>19</v>
      </c>
      <c r="AB632" s="1">
        <v>0</v>
      </c>
      <c r="AC632" s="1">
        <v>6</v>
      </c>
      <c r="AD632" s="1" t="s">
        <v>62</v>
      </c>
      <c r="AE632" s="1" t="s">
        <v>7489</v>
      </c>
      <c r="AF632" s="1" t="s">
        <v>7490</v>
      </c>
      <c r="AG632" s="1" t="s">
        <v>7491</v>
      </c>
      <c r="AH632" s="1" t="s">
        <v>7492</v>
      </c>
      <c r="AI632" s="1">
        <v>3.82</v>
      </c>
      <c r="AJ632" s="1">
        <v>174</v>
      </c>
      <c r="AK632" s="1">
        <v>773</v>
      </c>
    </row>
    <row r="633" spans="1:38" ht="15.75" customHeight="1">
      <c r="A633" s="1">
        <v>847</v>
      </c>
      <c r="B633" s="1">
        <v>5</v>
      </c>
      <c r="C633" s="1">
        <v>4050</v>
      </c>
      <c r="D633" s="1" t="s">
        <v>38</v>
      </c>
      <c r="E633" s="1" t="s">
        <v>39</v>
      </c>
      <c r="F633" s="1" t="s">
        <v>280</v>
      </c>
      <c r="G633" s="1">
        <v>0</v>
      </c>
      <c r="H633" s="1" t="s">
        <v>41</v>
      </c>
      <c r="I633" s="1" t="s">
        <v>7493</v>
      </c>
      <c r="J633" s="1" t="s">
        <v>7494</v>
      </c>
      <c r="K633" s="1" t="s">
        <v>7495</v>
      </c>
      <c r="L633" s="1">
        <v>1</v>
      </c>
      <c r="M633" s="1">
        <v>0</v>
      </c>
      <c r="N633" s="1" t="s">
        <v>7496</v>
      </c>
      <c r="O633" s="1" t="s">
        <v>7497</v>
      </c>
      <c r="P633" s="1" t="s">
        <v>7498</v>
      </c>
      <c r="Q633" s="1">
        <v>0</v>
      </c>
      <c r="R633" s="1" t="s">
        <v>7499</v>
      </c>
      <c r="S633" s="1" t="s">
        <v>7500</v>
      </c>
      <c r="U633" s="2">
        <v>56772</v>
      </c>
      <c r="V633" s="1">
        <v>4.7</v>
      </c>
      <c r="W633" s="1">
        <v>2000</v>
      </c>
      <c r="X633" s="1">
        <v>1963</v>
      </c>
      <c r="Y633" s="1">
        <v>672</v>
      </c>
      <c r="Z633" s="1">
        <v>208</v>
      </c>
      <c r="AA633" s="1">
        <v>1083</v>
      </c>
      <c r="AB633" s="1">
        <v>0</v>
      </c>
      <c r="AC633" s="1">
        <v>1</v>
      </c>
      <c r="AD633" s="1" t="s">
        <v>62</v>
      </c>
      <c r="AE633" s="1" t="s">
        <v>7501</v>
      </c>
      <c r="AF633" s="1" t="s">
        <v>7502</v>
      </c>
      <c r="AG633" s="1" t="s">
        <v>7503</v>
      </c>
      <c r="AH633" s="1" t="s">
        <v>7504</v>
      </c>
      <c r="AI633" s="1">
        <v>4.49</v>
      </c>
      <c r="AJ633" s="1">
        <v>2315</v>
      </c>
      <c r="AK633" s="1">
        <v>7039</v>
      </c>
      <c r="AL633" s="1">
        <v>763</v>
      </c>
    </row>
    <row r="634" spans="1:38" ht="15.75" customHeight="1">
      <c r="A634" s="1">
        <v>125</v>
      </c>
      <c r="B634" s="1">
        <v>5</v>
      </c>
      <c r="C634" s="1">
        <v>4050</v>
      </c>
      <c r="D634" s="1" t="s">
        <v>38</v>
      </c>
      <c r="E634" s="1" t="s">
        <v>39</v>
      </c>
      <c r="F634" s="1" t="s">
        <v>510</v>
      </c>
      <c r="G634" s="1">
        <v>0</v>
      </c>
      <c r="H634" s="1" t="s">
        <v>41</v>
      </c>
      <c r="I634" s="1" t="s">
        <v>7505</v>
      </c>
      <c r="J634" s="1" t="s">
        <v>7506</v>
      </c>
      <c r="K634" s="1" t="s">
        <v>7507</v>
      </c>
      <c r="L634" s="1">
        <v>1</v>
      </c>
      <c r="M634" s="1">
        <v>0</v>
      </c>
      <c r="N634" s="1" t="s">
        <v>7508</v>
      </c>
      <c r="O634" s="1" t="s">
        <v>7509</v>
      </c>
      <c r="P634" s="1" t="s">
        <v>7510</v>
      </c>
      <c r="Q634" s="1">
        <v>0</v>
      </c>
      <c r="R634" s="1" t="s">
        <v>7511</v>
      </c>
      <c r="S634" s="1" t="s">
        <v>7512</v>
      </c>
      <c r="U634" s="2">
        <v>56767</v>
      </c>
      <c r="V634" s="1">
        <v>4.7</v>
      </c>
      <c r="W634" s="1">
        <v>2000</v>
      </c>
      <c r="X634" s="1">
        <v>2572</v>
      </c>
      <c r="Y634" s="1">
        <v>1224</v>
      </c>
      <c r="Z634" s="1">
        <v>81</v>
      </c>
      <c r="AA634" s="1">
        <v>1267</v>
      </c>
      <c r="AB634" s="1">
        <v>0</v>
      </c>
      <c r="AC634" s="1">
        <v>2</v>
      </c>
      <c r="AD634" s="1" t="s">
        <v>76</v>
      </c>
      <c r="AE634" s="1" t="s">
        <v>7513</v>
      </c>
      <c r="AF634" s="1" t="s">
        <v>7514</v>
      </c>
      <c r="AG634" s="1" t="s">
        <v>7515</v>
      </c>
      <c r="AH634" s="1" t="s">
        <v>7516</v>
      </c>
      <c r="AI634" s="1">
        <v>4.62</v>
      </c>
      <c r="AJ634" s="1">
        <v>259</v>
      </c>
      <c r="AK634" s="1">
        <v>604</v>
      </c>
      <c r="AL634" s="1">
        <v>21</v>
      </c>
    </row>
    <row r="635" spans="1:38" ht="15.75" customHeight="1">
      <c r="A635" s="1">
        <v>423</v>
      </c>
      <c r="B635" s="1">
        <v>5</v>
      </c>
      <c r="C635" s="1">
        <v>4050</v>
      </c>
      <c r="D635" s="1" t="s">
        <v>38</v>
      </c>
      <c r="E635" s="1" t="s">
        <v>39</v>
      </c>
      <c r="F635" s="1" t="s">
        <v>1372</v>
      </c>
      <c r="G635" s="1">
        <v>0</v>
      </c>
      <c r="H635" s="1" t="s">
        <v>41</v>
      </c>
      <c r="I635" s="1" t="s">
        <v>7517</v>
      </c>
      <c r="J635" s="1" t="s">
        <v>7518</v>
      </c>
      <c r="K635" s="1" t="s">
        <v>7519</v>
      </c>
      <c r="L635" s="1">
        <v>1</v>
      </c>
      <c r="M635" s="1">
        <v>0</v>
      </c>
      <c r="N635" s="1" t="s">
        <v>7520</v>
      </c>
      <c r="O635" s="1" t="s">
        <v>7521</v>
      </c>
      <c r="P635" s="1" t="s">
        <v>7522</v>
      </c>
      <c r="Q635" s="1">
        <v>0</v>
      </c>
      <c r="R635" s="1" t="s">
        <v>7523</v>
      </c>
      <c r="S635" s="1" t="s">
        <v>7524</v>
      </c>
      <c r="U635" s="2">
        <v>56769</v>
      </c>
      <c r="V635" s="1">
        <v>3.266997924</v>
      </c>
      <c r="W635" s="1">
        <v>2000</v>
      </c>
      <c r="X635" s="1">
        <v>1640</v>
      </c>
      <c r="Y635" s="1">
        <v>752</v>
      </c>
      <c r="Z635" s="1">
        <v>257</v>
      </c>
      <c r="AA635" s="1">
        <v>631</v>
      </c>
      <c r="AB635" s="1">
        <v>0</v>
      </c>
      <c r="AC635" s="1">
        <v>3</v>
      </c>
      <c r="AD635" s="1" t="s">
        <v>76</v>
      </c>
      <c r="AE635" s="1" t="s">
        <v>7525</v>
      </c>
      <c r="AF635" s="1" t="s">
        <v>7526</v>
      </c>
      <c r="AG635" s="1" t="s">
        <v>7527</v>
      </c>
      <c r="AH635" s="1" t="s">
        <v>7528</v>
      </c>
      <c r="AI635" s="1">
        <v>4.4111111110000003</v>
      </c>
      <c r="AJ635" s="1">
        <v>68</v>
      </c>
      <c r="AK635" s="1">
        <v>223</v>
      </c>
      <c r="AL635" s="1">
        <v>118</v>
      </c>
    </row>
    <row r="636" spans="1:38" ht="15.75" customHeight="1">
      <c r="A636" s="1">
        <v>551</v>
      </c>
      <c r="B636" s="1">
        <v>1</v>
      </c>
      <c r="C636" s="1">
        <v>4001</v>
      </c>
      <c r="D636" s="1" t="s">
        <v>51</v>
      </c>
      <c r="E636" s="1" t="s">
        <v>39</v>
      </c>
      <c r="F636" s="1" t="s">
        <v>92</v>
      </c>
      <c r="G636" s="1">
        <v>0</v>
      </c>
      <c r="H636" s="1" t="s">
        <v>41</v>
      </c>
      <c r="I636" s="1" t="s">
        <v>7529</v>
      </c>
      <c r="J636" s="1" t="s">
        <v>7530</v>
      </c>
      <c r="K636" s="1" t="s">
        <v>7531</v>
      </c>
      <c r="L636" s="1">
        <v>1</v>
      </c>
      <c r="M636" s="1">
        <v>0</v>
      </c>
      <c r="N636" s="1" t="s">
        <v>7532</v>
      </c>
      <c r="O636" s="1" t="s">
        <v>7533</v>
      </c>
      <c r="P636" s="1" t="s">
        <v>7534</v>
      </c>
      <c r="Q636" s="1">
        <v>0</v>
      </c>
      <c r="R636" s="1" t="s">
        <v>7535</v>
      </c>
      <c r="U636" s="2">
        <v>56770</v>
      </c>
      <c r="V636" s="1">
        <v>4.5</v>
      </c>
      <c r="W636" s="1">
        <v>2000</v>
      </c>
      <c r="X636" s="1">
        <v>2332</v>
      </c>
      <c r="AA636" s="1">
        <v>7</v>
      </c>
      <c r="AB636" s="1">
        <v>0</v>
      </c>
      <c r="AC636" s="1">
        <v>2</v>
      </c>
      <c r="AE636" s="1" t="s">
        <v>7536</v>
      </c>
      <c r="AF636" s="1" t="s">
        <v>7537</v>
      </c>
      <c r="AG636" s="1" t="s">
        <v>7538</v>
      </c>
      <c r="AI636" s="1">
        <v>4.03</v>
      </c>
      <c r="AJ636" s="1">
        <v>505</v>
      </c>
      <c r="AK636" s="1">
        <v>1721</v>
      </c>
      <c r="AL636" s="1">
        <v>457</v>
      </c>
    </row>
    <row r="637" spans="1:38" ht="15.75" customHeight="1">
      <c r="A637" s="1">
        <v>1095</v>
      </c>
      <c r="C637" s="1">
        <v>4001</v>
      </c>
      <c r="D637" s="1" t="s">
        <v>51</v>
      </c>
      <c r="E637" s="1" t="s">
        <v>39</v>
      </c>
      <c r="F637" s="1" t="s">
        <v>52</v>
      </c>
      <c r="G637" s="1">
        <v>0</v>
      </c>
      <c r="H637" s="1" t="s">
        <v>53</v>
      </c>
      <c r="I637" s="1" t="s">
        <v>7539</v>
      </c>
      <c r="J637" s="1" t="s">
        <v>7540</v>
      </c>
      <c r="K637" s="1" t="s">
        <v>7541</v>
      </c>
      <c r="L637" s="1">
        <v>1</v>
      </c>
      <c r="M637" s="1">
        <v>0</v>
      </c>
      <c r="N637" s="1" t="s">
        <v>7542</v>
      </c>
      <c r="O637" s="1" t="s">
        <v>7543</v>
      </c>
      <c r="P637" s="1" t="s">
        <v>7544</v>
      </c>
      <c r="Q637" s="1">
        <v>0</v>
      </c>
      <c r="R637" s="1" t="s">
        <v>7545</v>
      </c>
      <c r="S637" s="1" t="s">
        <v>7546</v>
      </c>
      <c r="U637" s="2">
        <v>56774</v>
      </c>
      <c r="V637" s="1">
        <v>4.3</v>
      </c>
      <c r="W637" s="1">
        <v>2000</v>
      </c>
      <c r="X637" s="1">
        <v>3289</v>
      </c>
      <c r="Y637" s="1">
        <v>1955</v>
      </c>
      <c r="Z637" s="1">
        <v>481</v>
      </c>
      <c r="AA637" s="1">
        <v>853</v>
      </c>
      <c r="AB637" s="1">
        <v>0</v>
      </c>
      <c r="AC637" s="1">
        <v>1</v>
      </c>
      <c r="AD637" s="1" t="s">
        <v>76</v>
      </c>
      <c r="AE637" s="1" t="s">
        <v>7547</v>
      </c>
      <c r="AF637" s="1" t="s">
        <v>7548</v>
      </c>
      <c r="AG637" s="1" t="s">
        <v>7549</v>
      </c>
      <c r="AH637" s="1" t="s">
        <v>7550</v>
      </c>
      <c r="AI637" s="1">
        <v>4.17</v>
      </c>
      <c r="AJ637" s="1">
        <v>457</v>
      </c>
      <c r="AK637" s="1">
        <v>1599</v>
      </c>
    </row>
    <row r="638" spans="1:38" ht="15.75" customHeight="1">
      <c r="A638" s="1">
        <v>1458</v>
      </c>
      <c r="B638" s="1">
        <v>5</v>
      </c>
      <c r="C638" s="1">
        <v>4001</v>
      </c>
      <c r="D638" s="1" t="s">
        <v>51</v>
      </c>
      <c r="E638" s="1" t="s">
        <v>39</v>
      </c>
      <c r="F638" s="1" t="s">
        <v>1915</v>
      </c>
      <c r="G638" s="1">
        <v>0</v>
      </c>
      <c r="H638" s="1" t="s">
        <v>53</v>
      </c>
      <c r="I638" s="1" t="s">
        <v>7551</v>
      </c>
      <c r="J638" s="1" t="s">
        <v>7552</v>
      </c>
      <c r="K638" s="1" t="s">
        <v>7553</v>
      </c>
      <c r="L638" s="1">
        <v>1</v>
      </c>
      <c r="M638" s="1">
        <v>0</v>
      </c>
      <c r="N638" s="1" t="s">
        <v>7554</v>
      </c>
      <c r="O638" s="1" t="s">
        <v>7555</v>
      </c>
      <c r="P638" s="1" t="s">
        <v>7556</v>
      </c>
      <c r="Q638" s="1">
        <v>0</v>
      </c>
      <c r="R638" s="1" t="s">
        <v>7557</v>
      </c>
      <c r="S638" s="1" t="s">
        <v>7558</v>
      </c>
      <c r="U638" s="2">
        <v>56777</v>
      </c>
      <c r="V638" s="1">
        <v>3.488824911</v>
      </c>
      <c r="W638" s="1">
        <v>2000</v>
      </c>
      <c r="X638" s="1">
        <v>1333</v>
      </c>
      <c r="Y638" s="1">
        <v>475</v>
      </c>
      <c r="Z638" s="1">
        <v>170</v>
      </c>
      <c r="AA638" s="1">
        <v>688</v>
      </c>
      <c r="AB638" s="1">
        <v>0</v>
      </c>
      <c r="AC638" s="1">
        <v>3</v>
      </c>
      <c r="AD638" s="1" t="s">
        <v>215</v>
      </c>
      <c r="AE638" s="1" t="s">
        <v>7559</v>
      </c>
      <c r="AF638" s="1" t="s">
        <v>7560</v>
      </c>
      <c r="AG638" s="1" t="s">
        <v>7561</v>
      </c>
      <c r="AH638" s="1" t="s">
        <v>7562</v>
      </c>
      <c r="AI638" s="1">
        <v>4.63</v>
      </c>
      <c r="AJ638" s="1">
        <v>242</v>
      </c>
      <c r="AK638" s="1">
        <v>736</v>
      </c>
    </row>
    <row r="639" spans="1:38" ht="15.75" customHeight="1">
      <c r="A639" s="1">
        <v>62</v>
      </c>
      <c r="C639" s="1">
        <v>4001</v>
      </c>
      <c r="D639" s="1" t="s">
        <v>51</v>
      </c>
      <c r="E639" s="1" t="s">
        <v>39</v>
      </c>
      <c r="F639" s="1" t="s">
        <v>232</v>
      </c>
      <c r="G639" s="1">
        <v>0</v>
      </c>
      <c r="H639" s="1" t="s">
        <v>53</v>
      </c>
      <c r="I639" s="1" t="s">
        <v>7563</v>
      </c>
      <c r="J639" s="1" t="s">
        <v>7564</v>
      </c>
      <c r="K639" s="1" t="s">
        <v>7565</v>
      </c>
      <c r="L639" s="1">
        <v>1</v>
      </c>
      <c r="M639" s="1">
        <v>0</v>
      </c>
      <c r="N639" s="1" t="s">
        <v>7566</v>
      </c>
      <c r="O639" s="1" t="s">
        <v>7567</v>
      </c>
      <c r="P639" s="1" t="s">
        <v>7568</v>
      </c>
      <c r="Q639" s="1">
        <v>0</v>
      </c>
      <c r="R639" s="1" t="s">
        <v>7569</v>
      </c>
      <c r="S639" s="1" t="s">
        <v>7570</v>
      </c>
      <c r="U639" s="2">
        <v>56766</v>
      </c>
      <c r="V639" s="1">
        <v>4.3</v>
      </c>
      <c r="W639" s="1">
        <v>2000</v>
      </c>
      <c r="X639" s="1">
        <v>2527</v>
      </c>
      <c r="Y639" s="1">
        <v>2026</v>
      </c>
      <c r="AA639" s="1">
        <v>832</v>
      </c>
      <c r="AB639" s="1">
        <v>0</v>
      </c>
      <c r="AC639" s="1">
        <v>1</v>
      </c>
      <c r="AD639" s="1" t="s">
        <v>76</v>
      </c>
      <c r="AE639" s="1" t="s">
        <v>7571</v>
      </c>
      <c r="AF639" s="1" t="s">
        <v>7572</v>
      </c>
      <c r="AG639" s="1" t="s">
        <v>7573</v>
      </c>
      <c r="AH639" s="1" t="s">
        <v>7574</v>
      </c>
      <c r="AI639" s="1">
        <v>4.5599999999999996</v>
      </c>
      <c r="AJ639" s="1">
        <v>765</v>
      </c>
      <c r="AK639" s="1">
        <v>2618</v>
      </c>
    </row>
    <row r="640" spans="1:38" ht="15.75" customHeight="1">
      <c r="A640" s="1">
        <v>480</v>
      </c>
      <c r="C640" s="1">
        <v>4001</v>
      </c>
      <c r="D640" s="1" t="s">
        <v>51</v>
      </c>
      <c r="E640" s="1" t="s">
        <v>39</v>
      </c>
      <c r="F640" s="1" t="s">
        <v>232</v>
      </c>
      <c r="G640" s="1">
        <v>0</v>
      </c>
      <c r="H640" s="1" t="s">
        <v>53</v>
      </c>
      <c r="I640" s="1" t="s">
        <v>7575</v>
      </c>
      <c r="J640" s="1" t="s">
        <v>7576</v>
      </c>
      <c r="K640" s="1" t="s">
        <v>7577</v>
      </c>
      <c r="L640" s="1">
        <v>1</v>
      </c>
      <c r="M640" s="1">
        <v>0</v>
      </c>
      <c r="N640" s="1" t="s">
        <v>7578</v>
      </c>
      <c r="O640" s="1" t="s">
        <v>7579</v>
      </c>
      <c r="P640" s="1" t="s">
        <v>7580</v>
      </c>
      <c r="Q640" s="1">
        <v>0</v>
      </c>
      <c r="R640" s="1" t="s">
        <v>7581</v>
      </c>
      <c r="S640" s="1" t="s">
        <v>7582</v>
      </c>
      <c r="U640" s="2">
        <v>56769</v>
      </c>
      <c r="V640" s="1">
        <v>4.7</v>
      </c>
      <c r="W640" s="1">
        <v>2000</v>
      </c>
      <c r="X640" s="1">
        <v>1523</v>
      </c>
      <c r="Y640" s="1">
        <v>509</v>
      </c>
      <c r="AA640" s="1">
        <v>1051</v>
      </c>
      <c r="AB640" s="1">
        <v>0</v>
      </c>
      <c r="AC640" s="1">
        <v>2</v>
      </c>
      <c r="AD640" s="1" t="s">
        <v>215</v>
      </c>
      <c r="AE640" s="1" t="s">
        <v>7583</v>
      </c>
      <c r="AF640" s="1" t="s">
        <v>7584</v>
      </c>
      <c r="AG640" s="1" t="s">
        <v>7585</v>
      </c>
      <c r="AH640" s="1" t="s">
        <v>7586</v>
      </c>
      <c r="AI640" s="1">
        <v>4.5599999999999996</v>
      </c>
      <c r="AJ640" s="1">
        <v>765</v>
      </c>
      <c r="AK640" s="1">
        <v>2618</v>
      </c>
    </row>
    <row r="641" spans="1:38" ht="15.75" customHeight="1">
      <c r="A641" s="1">
        <v>761</v>
      </c>
      <c r="B641" s="1">
        <v>5</v>
      </c>
      <c r="C641" s="1">
        <v>4001</v>
      </c>
      <c r="D641" s="1" t="s">
        <v>51</v>
      </c>
      <c r="E641" s="1" t="s">
        <v>39</v>
      </c>
      <c r="F641" s="1" t="s">
        <v>305</v>
      </c>
      <c r="G641" s="1">
        <v>0</v>
      </c>
      <c r="H641" s="1" t="s">
        <v>53</v>
      </c>
      <c r="I641" s="1" t="s">
        <v>7587</v>
      </c>
      <c r="J641" s="1" t="s">
        <v>7588</v>
      </c>
      <c r="K641" s="1" t="s">
        <v>7589</v>
      </c>
      <c r="L641" s="1">
        <v>1</v>
      </c>
      <c r="M641" s="1">
        <v>0</v>
      </c>
      <c r="N641" s="1" t="s">
        <v>7590</v>
      </c>
      <c r="O641" s="1" t="s">
        <v>7591</v>
      </c>
      <c r="P641" s="1" t="s">
        <v>7592</v>
      </c>
      <c r="Q641" s="1">
        <v>0</v>
      </c>
      <c r="R641" s="1" t="s">
        <v>7593</v>
      </c>
      <c r="S641" s="1" t="s">
        <v>7594</v>
      </c>
      <c r="U641" s="2">
        <v>56771</v>
      </c>
      <c r="V641" s="1">
        <v>3.652898022</v>
      </c>
      <c r="W641" s="1">
        <v>2000</v>
      </c>
      <c r="X641" s="1">
        <v>1265</v>
      </c>
      <c r="Y641" s="1">
        <v>327</v>
      </c>
      <c r="Z641" s="1">
        <v>633</v>
      </c>
      <c r="AA641" s="1">
        <v>305</v>
      </c>
      <c r="AB641" s="1">
        <v>0</v>
      </c>
      <c r="AC641" s="1">
        <v>2</v>
      </c>
      <c r="AD641" s="1" t="s">
        <v>215</v>
      </c>
      <c r="AE641" s="1" t="s">
        <v>7595</v>
      </c>
      <c r="AF641" s="1" t="s">
        <v>7596</v>
      </c>
      <c r="AG641" s="1" t="s">
        <v>7597</v>
      </c>
      <c r="AH641" s="1" t="s">
        <v>7598</v>
      </c>
      <c r="AI641" s="1">
        <v>4.5199999999999996</v>
      </c>
      <c r="AJ641" s="1">
        <v>183</v>
      </c>
      <c r="AK641" s="1">
        <v>522</v>
      </c>
    </row>
    <row r="642" spans="1:38" ht="15.75" customHeight="1">
      <c r="A642" s="1">
        <v>783</v>
      </c>
      <c r="B642" s="1">
        <v>5</v>
      </c>
      <c r="C642" s="1">
        <v>4001</v>
      </c>
      <c r="D642" s="1" t="s">
        <v>51</v>
      </c>
      <c r="E642" s="1" t="s">
        <v>39</v>
      </c>
      <c r="F642" s="1" t="s">
        <v>305</v>
      </c>
      <c r="G642" s="1">
        <v>0</v>
      </c>
      <c r="H642" s="1" t="s">
        <v>53</v>
      </c>
      <c r="I642" s="1" t="s">
        <v>7599</v>
      </c>
      <c r="J642" s="1" t="s">
        <v>7600</v>
      </c>
      <c r="K642" s="1" t="s">
        <v>7601</v>
      </c>
      <c r="L642" s="1">
        <v>1</v>
      </c>
      <c r="M642" s="1">
        <v>0</v>
      </c>
      <c r="N642" s="1" t="s">
        <v>7602</v>
      </c>
      <c r="O642" s="1" t="s">
        <v>7603</v>
      </c>
      <c r="P642" s="1" t="s">
        <v>7604</v>
      </c>
      <c r="Q642" s="1">
        <v>0</v>
      </c>
      <c r="R642" s="1" t="s">
        <v>7605</v>
      </c>
      <c r="S642" s="1" t="s">
        <v>7606</v>
      </c>
      <c r="U642" s="2">
        <v>56771</v>
      </c>
      <c r="V642" s="1">
        <v>4.7</v>
      </c>
      <c r="W642" s="1">
        <v>2000</v>
      </c>
      <c r="X642" s="1">
        <v>1650</v>
      </c>
      <c r="Y642" s="1">
        <v>246</v>
      </c>
      <c r="Z642" s="1">
        <v>637</v>
      </c>
      <c r="AA642" s="1">
        <v>767</v>
      </c>
      <c r="AB642" s="1">
        <v>0</v>
      </c>
      <c r="AC642" s="1">
        <v>6</v>
      </c>
      <c r="AD642" s="1" t="s">
        <v>215</v>
      </c>
      <c r="AE642" s="1" t="s">
        <v>7607</v>
      </c>
      <c r="AF642" s="1" t="s">
        <v>7608</v>
      </c>
      <c r="AG642" s="1" t="s">
        <v>7609</v>
      </c>
      <c r="AH642" s="1" t="s">
        <v>7610</v>
      </c>
      <c r="AI642" s="1">
        <v>4.5199999999999996</v>
      </c>
      <c r="AJ642" s="1">
        <v>183</v>
      </c>
      <c r="AK642" s="1">
        <v>522</v>
      </c>
    </row>
    <row r="643" spans="1:38" ht="15.75" customHeight="1">
      <c r="A643" s="1">
        <v>860</v>
      </c>
      <c r="B643" s="1">
        <v>5</v>
      </c>
      <c r="C643" s="1">
        <v>4001</v>
      </c>
      <c r="D643" s="1" t="s">
        <v>51</v>
      </c>
      <c r="E643" s="1" t="s">
        <v>39</v>
      </c>
      <c r="F643" s="1" t="s">
        <v>67</v>
      </c>
      <c r="G643" s="1">
        <v>0</v>
      </c>
      <c r="H643" s="1" t="s">
        <v>41</v>
      </c>
      <c r="I643" s="1" t="s">
        <v>7611</v>
      </c>
      <c r="J643" s="1" t="s">
        <v>7612</v>
      </c>
      <c r="K643" s="1" t="s">
        <v>7613</v>
      </c>
      <c r="L643" s="1">
        <v>1</v>
      </c>
      <c r="M643" s="1">
        <v>0</v>
      </c>
      <c r="N643" s="1" t="s">
        <v>7614</v>
      </c>
      <c r="O643" s="1" t="s">
        <v>7615</v>
      </c>
      <c r="P643" s="1" t="s">
        <v>7616</v>
      </c>
      <c r="Q643" s="1">
        <v>0</v>
      </c>
      <c r="R643" s="1" t="s">
        <v>7617</v>
      </c>
      <c r="S643" s="1" t="s">
        <v>7618</v>
      </c>
      <c r="U643" s="2">
        <v>56772</v>
      </c>
      <c r="V643" s="1">
        <v>4.5</v>
      </c>
      <c r="W643" s="1">
        <v>2000</v>
      </c>
      <c r="X643" s="1">
        <v>4453</v>
      </c>
      <c r="Y643" s="1">
        <v>2558</v>
      </c>
      <c r="Z643" s="1">
        <v>409</v>
      </c>
      <c r="AA643" s="1">
        <v>1486</v>
      </c>
      <c r="AB643" s="1">
        <v>1</v>
      </c>
      <c r="AC643" s="1">
        <v>1</v>
      </c>
      <c r="AE643" s="1" t="s">
        <v>7619</v>
      </c>
      <c r="AF643" s="1" t="s">
        <v>7620</v>
      </c>
      <c r="AG643" s="1" t="s">
        <v>7621</v>
      </c>
      <c r="AH643" s="1" t="s">
        <v>7622</v>
      </c>
      <c r="AI643" s="1">
        <v>3.82</v>
      </c>
      <c r="AJ643" s="1">
        <v>174</v>
      </c>
      <c r="AK643" s="1">
        <v>773</v>
      </c>
    </row>
    <row r="644" spans="1:38" ht="15.75" customHeight="1">
      <c r="A644" s="1">
        <v>1013</v>
      </c>
      <c r="C644" s="1">
        <v>4001</v>
      </c>
      <c r="D644" s="1" t="s">
        <v>51</v>
      </c>
      <c r="E644" s="1" t="s">
        <v>39</v>
      </c>
      <c r="F644" s="1" t="s">
        <v>305</v>
      </c>
      <c r="G644" s="1">
        <v>0</v>
      </c>
      <c r="H644" s="1" t="s">
        <v>53</v>
      </c>
      <c r="I644" s="1" t="s">
        <v>7623</v>
      </c>
      <c r="J644" s="1" t="s">
        <v>7624</v>
      </c>
      <c r="K644" s="1" t="s">
        <v>7625</v>
      </c>
      <c r="L644" s="1">
        <v>1</v>
      </c>
      <c r="M644" s="1">
        <v>0</v>
      </c>
      <c r="N644" s="1" t="s">
        <v>7626</v>
      </c>
      <c r="O644" s="1" t="s">
        <v>7627</v>
      </c>
      <c r="P644" s="1" t="s">
        <v>7628</v>
      </c>
      <c r="Q644" s="1">
        <v>0</v>
      </c>
      <c r="R644" s="1" t="s">
        <v>7629</v>
      </c>
      <c r="S644" s="1" t="s">
        <v>7630</v>
      </c>
      <c r="U644" s="2">
        <v>56774</v>
      </c>
      <c r="V644" s="1">
        <v>4.4000000000000004</v>
      </c>
      <c r="W644" s="1">
        <v>2000</v>
      </c>
      <c r="X644" s="1">
        <v>1183</v>
      </c>
      <c r="Y644" s="1">
        <v>221</v>
      </c>
      <c r="Z644" s="1">
        <v>493</v>
      </c>
      <c r="AA644" s="1">
        <v>469</v>
      </c>
      <c r="AB644" s="1">
        <v>0</v>
      </c>
      <c r="AC644" s="1">
        <v>2</v>
      </c>
      <c r="AD644" s="1" t="s">
        <v>215</v>
      </c>
      <c r="AE644" s="1" t="s">
        <v>7631</v>
      </c>
      <c r="AF644" s="1" t="s">
        <v>7632</v>
      </c>
      <c r="AG644" s="1" t="s">
        <v>7633</v>
      </c>
      <c r="AH644" s="1" t="s">
        <v>7634</v>
      </c>
      <c r="AI644" s="1">
        <v>4.5199999999999996</v>
      </c>
      <c r="AJ644" s="1">
        <v>183</v>
      </c>
      <c r="AK644" s="1">
        <v>522</v>
      </c>
    </row>
    <row r="645" spans="1:38" ht="15.75" customHeight="1">
      <c r="A645" s="1">
        <v>1561</v>
      </c>
      <c r="B645" s="1">
        <v>5</v>
      </c>
      <c r="C645" s="1">
        <v>4001</v>
      </c>
      <c r="D645" s="1" t="s">
        <v>51</v>
      </c>
      <c r="E645" s="1" t="s">
        <v>39</v>
      </c>
      <c r="F645" s="1" t="s">
        <v>3239</v>
      </c>
      <c r="G645" s="1">
        <v>0</v>
      </c>
      <c r="H645" s="1" t="s">
        <v>53</v>
      </c>
      <c r="I645" s="1" t="s">
        <v>7635</v>
      </c>
      <c r="J645" s="1" t="s">
        <v>7636</v>
      </c>
      <c r="K645" s="1" t="s">
        <v>7637</v>
      </c>
      <c r="L645" s="1">
        <v>1</v>
      </c>
      <c r="M645" s="1">
        <v>0</v>
      </c>
      <c r="N645" s="1" t="s">
        <v>7638</v>
      </c>
      <c r="O645" s="1" t="s">
        <v>7639</v>
      </c>
      <c r="P645" s="1" t="s">
        <v>7640</v>
      </c>
      <c r="Q645" s="1">
        <v>0</v>
      </c>
      <c r="R645" s="1" t="s">
        <v>7641</v>
      </c>
      <c r="S645" s="1" t="s">
        <v>7642</v>
      </c>
      <c r="U645" s="2">
        <v>56778</v>
      </c>
      <c r="V645" s="1">
        <v>4.0999999999999996</v>
      </c>
      <c r="W645" s="1">
        <v>2000</v>
      </c>
      <c r="X645" s="1">
        <v>1987</v>
      </c>
      <c r="Y645" s="1">
        <v>942</v>
      </c>
      <c r="Z645" s="1">
        <v>213</v>
      </c>
      <c r="AA645" s="1">
        <v>832</v>
      </c>
      <c r="AB645" s="1">
        <v>0</v>
      </c>
      <c r="AC645" s="1">
        <v>1</v>
      </c>
      <c r="AD645" s="1" t="s">
        <v>76</v>
      </c>
      <c r="AE645" s="1" t="s">
        <v>7643</v>
      </c>
      <c r="AF645" s="1" t="s">
        <v>7644</v>
      </c>
      <c r="AG645" s="1" t="s">
        <v>7645</v>
      </c>
      <c r="AH645" s="1" t="s">
        <v>7646</v>
      </c>
      <c r="AI645" s="1">
        <v>4.505263158</v>
      </c>
      <c r="AJ645" s="1">
        <v>79</v>
      </c>
      <c r="AK645" s="1">
        <v>248</v>
      </c>
      <c r="AL645" s="1">
        <v>2</v>
      </c>
    </row>
    <row r="646" spans="1:38" ht="15.75" customHeight="1">
      <c r="A646" s="1">
        <v>759</v>
      </c>
      <c r="C646" s="1">
        <v>4050</v>
      </c>
      <c r="D646" s="1" t="s">
        <v>38</v>
      </c>
      <c r="E646" s="1" t="s">
        <v>39</v>
      </c>
      <c r="F646" s="1" t="s">
        <v>390</v>
      </c>
      <c r="G646" s="1">
        <v>0</v>
      </c>
      <c r="H646" s="1" t="s">
        <v>41</v>
      </c>
      <c r="I646" s="1" t="s">
        <v>7647</v>
      </c>
      <c r="J646" s="1" t="s">
        <v>7648</v>
      </c>
      <c r="K646" s="1" t="s">
        <v>7649</v>
      </c>
      <c r="L646" s="1">
        <v>1</v>
      </c>
      <c r="M646" s="1">
        <v>0</v>
      </c>
      <c r="N646" s="1" t="s">
        <v>7650</v>
      </c>
      <c r="O646" s="1" t="s">
        <v>7651</v>
      </c>
      <c r="P646" s="1" t="s">
        <v>7652</v>
      </c>
      <c r="Q646" s="1">
        <v>0</v>
      </c>
      <c r="R646" s="1" t="s">
        <v>7653</v>
      </c>
      <c r="U646" s="2">
        <v>56771</v>
      </c>
      <c r="V646" s="1">
        <v>2.9565806879999998</v>
      </c>
      <c r="W646" s="1">
        <v>2000</v>
      </c>
      <c r="X646" s="1">
        <v>2946</v>
      </c>
      <c r="AA646" s="1">
        <v>824</v>
      </c>
      <c r="AB646" s="1">
        <v>0</v>
      </c>
      <c r="AC646" s="1">
        <v>1</v>
      </c>
      <c r="AE646" s="1" t="s">
        <v>7654</v>
      </c>
      <c r="AF646" s="1" t="s">
        <v>7655</v>
      </c>
      <c r="AG646" s="1" t="s">
        <v>7656</v>
      </c>
      <c r="AI646" s="1">
        <v>4.5599999999999996</v>
      </c>
      <c r="AJ646" s="1">
        <v>344</v>
      </c>
      <c r="AK646" s="1">
        <v>947</v>
      </c>
      <c r="AL646" s="1">
        <v>22</v>
      </c>
    </row>
    <row r="647" spans="1:38" ht="15.75" customHeight="1">
      <c r="A647" s="1">
        <v>1430</v>
      </c>
      <c r="C647" s="1">
        <v>4001</v>
      </c>
      <c r="D647" s="1" t="s">
        <v>51</v>
      </c>
      <c r="E647" s="1" t="s">
        <v>39</v>
      </c>
      <c r="F647" s="1" t="s">
        <v>341</v>
      </c>
      <c r="G647" s="1">
        <v>0</v>
      </c>
      <c r="H647" s="1" t="s">
        <v>41</v>
      </c>
      <c r="I647" s="1" t="s">
        <v>7657</v>
      </c>
      <c r="J647" s="1" t="s">
        <v>7658</v>
      </c>
      <c r="K647" s="1" t="s">
        <v>7659</v>
      </c>
      <c r="L647" s="1">
        <v>1</v>
      </c>
      <c r="M647" s="1">
        <v>0</v>
      </c>
      <c r="N647" s="1" t="s">
        <v>7660</v>
      </c>
      <c r="O647" s="1" t="s">
        <v>7661</v>
      </c>
      <c r="P647" s="1" t="s">
        <v>7662</v>
      </c>
      <c r="Q647" s="1">
        <v>0</v>
      </c>
      <c r="R647" s="1" t="s">
        <v>7663</v>
      </c>
      <c r="S647" s="1" t="s">
        <v>7664</v>
      </c>
      <c r="U647" s="2">
        <v>56777</v>
      </c>
      <c r="V647" s="1">
        <v>4.5</v>
      </c>
      <c r="W647" s="1">
        <v>2000</v>
      </c>
      <c r="X647" s="1">
        <v>1245</v>
      </c>
      <c r="Y647" s="1">
        <v>250</v>
      </c>
      <c r="Z647" s="1">
        <v>383</v>
      </c>
      <c r="AA647" s="1">
        <v>612</v>
      </c>
      <c r="AB647" s="1">
        <v>0</v>
      </c>
      <c r="AC647" s="1">
        <v>4</v>
      </c>
      <c r="AD647" s="1" t="s">
        <v>62</v>
      </c>
      <c r="AE647" s="1" t="s">
        <v>7665</v>
      </c>
      <c r="AF647" s="1" t="s">
        <v>7666</v>
      </c>
      <c r="AG647" s="1" t="s">
        <v>7667</v>
      </c>
      <c r="AH647" s="1" t="s">
        <v>7668</v>
      </c>
      <c r="AI647" s="1">
        <v>4.54</v>
      </c>
      <c r="AJ647" s="1">
        <v>2229</v>
      </c>
      <c r="AK647" s="1">
        <v>6580</v>
      </c>
    </row>
    <row r="648" spans="1:38" ht="15.75" customHeight="1">
      <c r="A648" s="1">
        <v>31</v>
      </c>
      <c r="C648" s="1">
        <v>4050</v>
      </c>
      <c r="D648" s="1" t="s">
        <v>38</v>
      </c>
      <c r="E648" s="1" t="s">
        <v>39</v>
      </c>
      <c r="F648" s="1" t="s">
        <v>116</v>
      </c>
      <c r="G648" s="1">
        <v>0</v>
      </c>
      <c r="H648" s="1" t="s">
        <v>41</v>
      </c>
      <c r="I648" s="1" t="s">
        <v>7669</v>
      </c>
      <c r="J648" s="1" t="s">
        <v>7670</v>
      </c>
      <c r="K648" s="1" t="s">
        <v>7671</v>
      </c>
      <c r="L648" s="1">
        <v>1</v>
      </c>
      <c r="M648" s="1">
        <v>0</v>
      </c>
      <c r="N648" s="1" t="s">
        <v>7672</v>
      </c>
      <c r="O648" s="1" t="s">
        <v>7673</v>
      </c>
      <c r="P648" s="1" t="s">
        <v>7674</v>
      </c>
      <c r="Q648" s="1">
        <v>1</v>
      </c>
      <c r="R648" s="1" t="s">
        <v>7675</v>
      </c>
      <c r="S648" s="1" t="s">
        <v>7676</v>
      </c>
      <c r="U648" s="2">
        <v>56766</v>
      </c>
      <c r="V648" s="1">
        <v>4.5</v>
      </c>
      <c r="W648" s="1">
        <v>2000</v>
      </c>
      <c r="X648" s="1">
        <v>1393</v>
      </c>
      <c r="Y648" s="1">
        <v>364</v>
      </c>
      <c r="Z648" s="1">
        <v>286</v>
      </c>
      <c r="AA648" s="1">
        <v>743</v>
      </c>
      <c r="AB648" s="1">
        <v>0</v>
      </c>
      <c r="AC648" s="1">
        <v>5</v>
      </c>
      <c r="AD648" s="1" t="s">
        <v>215</v>
      </c>
      <c r="AE648" s="1" t="s">
        <v>7677</v>
      </c>
      <c r="AF648" s="1" t="s">
        <v>7678</v>
      </c>
      <c r="AG648" s="1" t="s">
        <v>7679</v>
      </c>
      <c r="AH648" s="1" t="s">
        <v>7680</v>
      </c>
      <c r="AI648" s="1">
        <v>4.8899999999999997</v>
      </c>
      <c r="AJ648" s="1">
        <v>1778</v>
      </c>
      <c r="AK648" s="1">
        <v>5138</v>
      </c>
      <c r="AL648" s="1">
        <v>314</v>
      </c>
    </row>
    <row r="649" spans="1:38" ht="15.75" customHeight="1">
      <c r="A649" s="1">
        <v>50</v>
      </c>
      <c r="B649" s="1">
        <v>5</v>
      </c>
      <c r="C649" s="1">
        <v>4001</v>
      </c>
      <c r="D649" s="1" t="s">
        <v>51</v>
      </c>
      <c r="E649" s="1" t="s">
        <v>39</v>
      </c>
      <c r="F649" s="1" t="s">
        <v>708</v>
      </c>
      <c r="G649" s="1">
        <v>0</v>
      </c>
      <c r="H649" s="1" t="s">
        <v>53</v>
      </c>
      <c r="I649" s="1" t="s">
        <v>7681</v>
      </c>
      <c r="J649" s="1" t="s">
        <v>7682</v>
      </c>
      <c r="K649" s="1" t="s">
        <v>7683</v>
      </c>
      <c r="L649" s="1">
        <v>1</v>
      </c>
      <c r="M649" s="1">
        <v>0</v>
      </c>
      <c r="N649" s="1" t="s">
        <v>7684</v>
      </c>
      <c r="O649" s="1" t="s">
        <v>7685</v>
      </c>
      <c r="P649" s="1" t="s">
        <v>7686</v>
      </c>
      <c r="Q649" s="1">
        <v>0</v>
      </c>
      <c r="R649" s="1" t="s">
        <v>7687</v>
      </c>
      <c r="S649" s="1" t="s">
        <v>7688</v>
      </c>
      <c r="U649" s="2">
        <v>56766</v>
      </c>
      <c r="V649" s="1">
        <v>2.971304843</v>
      </c>
      <c r="W649" s="1">
        <v>2000</v>
      </c>
      <c r="X649" s="1">
        <v>1704</v>
      </c>
      <c r="Y649" s="1">
        <v>683</v>
      </c>
      <c r="AA649" s="1">
        <v>1158</v>
      </c>
      <c r="AB649" s="1">
        <v>0</v>
      </c>
      <c r="AC649" s="1">
        <v>1</v>
      </c>
      <c r="AD649" s="1" t="s">
        <v>76</v>
      </c>
      <c r="AE649" s="1" t="s">
        <v>7689</v>
      </c>
      <c r="AF649" s="1" t="s">
        <v>7690</v>
      </c>
      <c r="AG649" s="1" t="s">
        <v>7691</v>
      </c>
      <c r="AH649" s="1" t="s">
        <v>7692</v>
      </c>
      <c r="AI649" s="1">
        <v>4.5999999999999996</v>
      </c>
      <c r="AJ649" s="1">
        <v>292</v>
      </c>
      <c r="AK649" s="1">
        <v>1027</v>
      </c>
      <c r="AL649" s="1">
        <v>26</v>
      </c>
    </row>
    <row r="650" spans="1:38" ht="15.75" customHeight="1">
      <c r="A650" s="1">
        <v>365</v>
      </c>
      <c r="B650" s="1">
        <v>5</v>
      </c>
      <c r="C650" s="1">
        <v>4001</v>
      </c>
      <c r="D650" s="1" t="s">
        <v>51</v>
      </c>
      <c r="E650" s="1" t="s">
        <v>39</v>
      </c>
      <c r="F650" s="1" t="s">
        <v>2044</v>
      </c>
      <c r="G650" s="1">
        <v>0</v>
      </c>
      <c r="H650" s="1" t="s">
        <v>53</v>
      </c>
      <c r="I650" s="1" t="s">
        <v>7693</v>
      </c>
      <c r="J650" s="1" t="s">
        <v>7694</v>
      </c>
      <c r="K650" s="1" t="s">
        <v>7695</v>
      </c>
      <c r="L650" s="1">
        <v>1</v>
      </c>
      <c r="M650" s="1">
        <v>0</v>
      </c>
      <c r="N650" s="1" t="s">
        <v>7696</v>
      </c>
      <c r="O650" s="1" t="s">
        <v>7697</v>
      </c>
      <c r="P650" s="1" t="s">
        <v>7698</v>
      </c>
      <c r="Q650" s="1">
        <v>0</v>
      </c>
      <c r="R650" s="1" t="s">
        <v>7699</v>
      </c>
      <c r="S650" s="1" t="s">
        <v>7700</v>
      </c>
      <c r="U650" s="2">
        <v>56768</v>
      </c>
      <c r="V650" s="1">
        <v>3.6497971109999998</v>
      </c>
      <c r="W650" s="1">
        <v>2000</v>
      </c>
      <c r="X650" s="1">
        <v>1578</v>
      </c>
      <c r="Y650" s="1">
        <v>462</v>
      </c>
      <c r="AA650" s="1">
        <v>1195</v>
      </c>
      <c r="AB650" s="1">
        <v>0</v>
      </c>
      <c r="AC650" s="1">
        <v>2</v>
      </c>
      <c r="AD650" s="1" t="s">
        <v>215</v>
      </c>
      <c r="AE650" s="1" t="s">
        <v>7701</v>
      </c>
      <c r="AF650" s="1" t="s">
        <v>7702</v>
      </c>
      <c r="AG650" s="1" t="s">
        <v>7703</v>
      </c>
      <c r="AH650" s="1" t="s">
        <v>7704</v>
      </c>
      <c r="AI650" s="1">
        <v>4.63</v>
      </c>
      <c r="AJ650" s="1">
        <v>265</v>
      </c>
      <c r="AK650" s="1">
        <v>905</v>
      </c>
      <c r="AL650" s="1">
        <v>77</v>
      </c>
    </row>
    <row r="651" spans="1:38" ht="15.75" customHeight="1">
      <c r="A651" s="1">
        <v>756</v>
      </c>
      <c r="C651" s="1">
        <v>4050</v>
      </c>
      <c r="D651" s="1" t="s">
        <v>38</v>
      </c>
      <c r="E651" s="1" t="s">
        <v>39</v>
      </c>
      <c r="F651" s="1" t="s">
        <v>695</v>
      </c>
      <c r="G651" s="1">
        <v>0</v>
      </c>
      <c r="H651" s="1" t="s">
        <v>41</v>
      </c>
      <c r="I651" s="1" t="s">
        <v>7705</v>
      </c>
      <c r="J651" s="1" t="s">
        <v>7706</v>
      </c>
      <c r="K651" s="1" t="s">
        <v>7707</v>
      </c>
      <c r="L651" s="1">
        <v>1</v>
      </c>
      <c r="M651" s="1">
        <v>0</v>
      </c>
      <c r="N651" s="1" t="s">
        <v>7708</v>
      </c>
      <c r="O651" s="1" t="s">
        <v>7709</v>
      </c>
      <c r="P651" s="1" t="s">
        <v>7710</v>
      </c>
      <c r="Q651" s="1">
        <v>0</v>
      </c>
      <c r="R651" s="1" t="s">
        <v>7711</v>
      </c>
      <c r="S651" s="1" t="s">
        <v>7712</v>
      </c>
      <c r="U651" s="2">
        <v>56771</v>
      </c>
      <c r="V651" s="1">
        <v>4.8</v>
      </c>
      <c r="W651" s="1">
        <v>2000</v>
      </c>
      <c r="X651" s="1">
        <v>3760</v>
      </c>
      <c r="Y651" s="1">
        <v>2387</v>
      </c>
      <c r="Z651" s="1">
        <v>220</v>
      </c>
      <c r="AA651" s="1">
        <v>1153</v>
      </c>
      <c r="AB651" s="1">
        <v>0</v>
      </c>
      <c r="AC651" s="1">
        <v>2</v>
      </c>
      <c r="AD651" s="1" t="s">
        <v>76</v>
      </c>
      <c r="AE651" s="1" t="s">
        <v>7713</v>
      </c>
      <c r="AF651" s="1" t="s">
        <v>7714</v>
      </c>
      <c r="AG651" s="1" t="s">
        <v>7715</v>
      </c>
      <c r="AH651" s="1" t="s">
        <v>7716</v>
      </c>
      <c r="AI651" s="1">
        <v>4.38</v>
      </c>
      <c r="AJ651" s="1">
        <v>196</v>
      </c>
      <c r="AK651" s="1">
        <v>626</v>
      </c>
    </row>
    <row r="652" spans="1:38" ht="15.75" customHeight="1">
      <c r="A652" s="1">
        <v>260</v>
      </c>
      <c r="C652" s="1">
        <v>4001</v>
      </c>
      <c r="D652" s="1" t="s">
        <v>51</v>
      </c>
      <c r="E652" s="1" t="s">
        <v>39</v>
      </c>
      <c r="F652" s="1" t="s">
        <v>648</v>
      </c>
      <c r="G652" s="1">
        <v>0</v>
      </c>
      <c r="H652" s="1" t="s">
        <v>53</v>
      </c>
      <c r="I652" s="1" t="s">
        <v>7717</v>
      </c>
      <c r="J652" s="1" t="s">
        <v>7718</v>
      </c>
      <c r="K652" s="1" t="s">
        <v>7718</v>
      </c>
      <c r="L652" s="1">
        <v>0</v>
      </c>
      <c r="M652" s="1">
        <v>0</v>
      </c>
      <c r="N652" s="1" t="s">
        <v>7719</v>
      </c>
      <c r="O652" s="1" t="s">
        <v>7720</v>
      </c>
      <c r="P652" s="1" t="s">
        <v>7721</v>
      </c>
      <c r="Q652" s="1">
        <v>0</v>
      </c>
      <c r="R652" s="1" t="s">
        <v>7722</v>
      </c>
      <c r="S652" s="1" t="s">
        <v>7723</v>
      </c>
      <c r="U652" s="2">
        <v>56768</v>
      </c>
      <c r="V652" s="1">
        <v>4.2</v>
      </c>
      <c r="W652" s="1">
        <v>2000</v>
      </c>
      <c r="X652" s="1">
        <v>3105</v>
      </c>
      <c r="Y652" s="1">
        <v>747</v>
      </c>
      <c r="Z652" s="1">
        <v>1041</v>
      </c>
      <c r="AA652" s="1">
        <v>1317</v>
      </c>
      <c r="AB652" s="1">
        <v>0</v>
      </c>
      <c r="AC652" s="1">
        <v>4</v>
      </c>
      <c r="AD652" s="1" t="s">
        <v>62</v>
      </c>
      <c r="AE652" s="1" t="s">
        <v>7724</v>
      </c>
      <c r="AF652" s="1" t="s">
        <v>7725</v>
      </c>
      <c r="AG652" s="1" t="s">
        <v>7726</v>
      </c>
      <c r="AH652" s="1" t="s">
        <v>7727</v>
      </c>
      <c r="AI652" s="1">
        <v>4.7</v>
      </c>
      <c r="AJ652" s="1">
        <v>443</v>
      </c>
      <c r="AK652" s="1">
        <v>1579</v>
      </c>
    </row>
    <row r="653" spans="1:38" ht="15.75" customHeight="1">
      <c r="A653" s="1">
        <v>417</v>
      </c>
      <c r="B653" s="1">
        <v>5</v>
      </c>
      <c r="C653" s="1">
        <v>4050</v>
      </c>
      <c r="D653" s="1" t="s">
        <v>38</v>
      </c>
      <c r="E653" s="1" t="s">
        <v>39</v>
      </c>
      <c r="F653" s="1" t="s">
        <v>1372</v>
      </c>
      <c r="G653" s="1">
        <v>0</v>
      </c>
      <c r="H653" s="1" t="s">
        <v>41</v>
      </c>
      <c r="I653" s="1" t="s">
        <v>7728</v>
      </c>
      <c r="J653" s="1" t="s">
        <v>7729</v>
      </c>
      <c r="K653" s="1" t="s">
        <v>7730</v>
      </c>
      <c r="L653" s="1">
        <v>1</v>
      </c>
      <c r="M653" s="1">
        <v>0</v>
      </c>
      <c r="N653" s="1" t="s">
        <v>7731</v>
      </c>
      <c r="O653" s="1" t="s">
        <v>7732</v>
      </c>
      <c r="P653" s="1" t="s">
        <v>7733</v>
      </c>
      <c r="Q653" s="1">
        <v>0</v>
      </c>
      <c r="R653" s="1" t="s">
        <v>7734</v>
      </c>
      <c r="S653" s="1" t="s">
        <v>7735</v>
      </c>
      <c r="U653" s="2">
        <v>56769</v>
      </c>
      <c r="V653" s="1">
        <v>4.5999999999999996</v>
      </c>
      <c r="W653" s="1">
        <v>2000</v>
      </c>
      <c r="X653" s="1">
        <v>2102</v>
      </c>
      <c r="Y653" s="1">
        <v>363</v>
      </c>
      <c r="Z653" s="1">
        <v>443</v>
      </c>
      <c r="AA653" s="1">
        <v>1296</v>
      </c>
      <c r="AB653" s="1">
        <v>0</v>
      </c>
      <c r="AC653" s="1">
        <v>7</v>
      </c>
      <c r="AD653" s="1" t="s">
        <v>215</v>
      </c>
      <c r="AE653" s="1" t="s">
        <v>7736</v>
      </c>
      <c r="AF653" s="1" t="s">
        <v>7737</v>
      </c>
      <c r="AG653" s="1" t="s">
        <v>7738</v>
      </c>
      <c r="AH653" s="1" t="s">
        <v>7739</v>
      </c>
      <c r="AI653" s="1">
        <v>4.4111111110000003</v>
      </c>
      <c r="AJ653" s="1">
        <v>68</v>
      </c>
      <c r="AK653" s="1">
        <v>223</v>
      </c>
      <c r="AL653" s="1">
        <v>118</v>
      </c>
    </row>
    <row r="654" spans="1:38" ht="15.75" customHeight="1">
      <c r="A654" s="1">
        <v>205</v>
      </c>
      <c r="C654" s="1">
        <v>4001</v>
      </c>
      <c r="D654" s="1" t="s">
        <v>51</v>
      </c>
      <c r="E654" s="1" t="s">
        <v>39</v>
      </c>
      <c r="F654" s="1" t="s">
        <v>341</v>
      </c>
      <c r="G654" s="1">
        <v>0</v>
      </c>
      <c r="H654" s="1" t="s">
        <v>41</v>
      </c>
      <c r="I654" s="1" t="s">
        <v>7740</v>
      </c>
      <c r="J654" s="1" t="s">
        <v>7741</v>
      </c>
      <c r="K654" s="1" t="s">
        <v>7742</v>
      </c>
      <c r="L654" s="1">
        <v>1</v>
      </c>
      <c r="M654" s="1">
        <v>0</v>
      </c>
      <c r="N654" s="1" t="s">
        <v>7743</v>
      </c>
      <c r="O654" s="1" t="s">
        <v>7744</v>
      </c>
      <c r="P654" s="1" t="s">
        <v>7745</v>
      </c>
      <c r="Q654" s="1">
        <v>0</v>
      </c>
      <c r="R654" s="1" t="s">
        <v>7746</v>
      </c>
      <c r="S654" s="1" t="s">
        <v>7747</v>
      </c>
      <c r="U654" s="2">
        <v>56767</v>
      </c>
      <c r="V654" s="1">
        <v>2.7331462169999998</v>
      </c>
      <c r="W654" s="1">
        <v>2000</v>
      </c>
      <c r="X654" s="1">
        <v>1892</v>
      </c>
      <c r="Y654" s="1">
        <v>428</v>
      </c>
      <c r="Z654" s="1">
        <v>569</v>
      </c>
      <c r="AA654" s="1">
        <v>895</v>
      </c>
      <c r="AB654" s="1">
        <v>0</v>
      </c>
      <c r="AC654" s="1">
        <v>3</v>
      </c>
      <c r="AD654" s="1" t="s">
        <v>62</v>
      </c>
      <c r="AE654" s="1" t="s">
        <v>7748</v>
      </c>
      <c r="AF654" s="1" t="s">
        <v>7749</v>
      </c>
      <c r="AG654" s="1" t="s">
        <v>7750</v>
      </c>
      <c r="AH654" s="1" t="s">
        <v>7751</v>
      </c>
      <c r="AI654" s="1">
        <v>4.54</v>
      </c>
      <c r="AJ654" s="1">
        <v>2229</v>
      </c>
      <c r="AK654" s="1">
        <v>6580</v>
      </c>
    </row>
    <row r="655" spans="1:38" ht="15.75" customHeight="1">
      <c r="A655" s="1">
        <v>398</v>
      </c>
      <c r="B655" s="1">
        <v>5</v>
      </c>
      <c r="C655" s="1">
        <v>4001</v>
      </c>
      <c r="D655" s="1" t="s">
        <v>51</v>
      </c>
      <c r="E655" s="1" t="s">
        <v>39</v>
      </c>
      <c r="F655" s="1" t="s">
        <v>92</v>
      </c>
      <c r="G655" s="1">
        <v>0</v>
      </c>
      <c r="H655" s="1" t="s">
        <v>41</v>
      </c>
      <c r="I655" s="1" t="s">
        <v>7752</v>
      </c>
      <c r="J655" s="1" t="s">
        <v>7753</v>
      </c>
      <c r="K655" s="1" t="s">
        <v>7754</v>
      </c>
      <c r="L655" s="1">
        <v>1</v>
      </c>
      <c r="M655" s="1">
        <v>0</v>
      </c>
      <c r="N655" s="1" t="s">
        <v>7755</v>
      </c>
      <c r="O655" s="1" t="s">
        <v>7756</v>
      </c>
      <c r="P655" s="1" t="s">
        <v>7757</v>
      </c>
      <c r="Q655" s="1">
        <v>0</v>
      </c>
      <c r="R655" s="1" t="s">
        <v>7758</v>
      </c>
      <c r="S655" s="1" t="s">
        <v>7759</v>
      </c>
      <c r="U655" s="2">
        <v>56769</v>
      </c>
      <c r="V655" s="1">
        <v>4.0590128009999997</v>
      </c>
      <c r="W655" s="1">
        <v>2000</v>
      </c>
      <c r="X655" s="1">
        <v>1307</v>
      </c>
      <c r="Y655" s="1">
        <v>765</v>
      </c>
      <c r="Z655" s="1">
        <v>469</v>
      </c>
      <c r="AA655" s="1">
        <v>73</v>
      </c>
      <c r="AB655" s="1">
        <v>0</v>
      </c>
      <c r="AC655" s="1">
        <v>2</v>
      </c>
      <c r="AD655" s="1" t="s">
        <v>62</v>
      </c>
      <c r="AE655" s="1" t="s">
        <v>7760</v>
      </c>
      <c r="AF655" s="1" t="s">
        <v>7761</v>
      </c>
      <c r="AG655" s="1" t="s">
        <v>7762</v>
      </c>
      <c r="AH655" s="1" t="s">
        <v>7763</v>
      </c>
      <c r="AI655" s="1">
        <v>4.03</v>
      </c>
      <c r="AJ655" s="1">
        <v>505</v>
      </c>
      <c r="AK655" s="1">
        <v>1721</v>
      </c>
      <c r="AL655" s="1">
        <v>457</v>
      </c>
    </row>
    <row r="656" spans="1:38" ht="15.75" customHeight="1">
      <c r="A656" s="1">
        <v>593</v>
      </c>
      <c r="C656" s="1">
        <v>4050</v>
      </c>
      <c r="D656" s="1" t="s">
        <v>38</v>
      </c>
      <c r="E656" s="1" t="s">
        <v>39</v>
      </c>
      <c r="F656" s="1" t="s">
        <v>1348</v>
      </c>
      <c r="G656" s="1">
        <v>0</v>
      </c>
      <c r="H656" s="1" t="s">
        <v>41</v>
      </c>
      <c r="I656" s="1" t="s">
        <v>7764</v>
      </c>
      <c r="J656" s="1" t="s">
        <v>7765</v>
      </c>
      <c r="K656" s="1" t="s">
        <v>7766</v>
      </c>
      <c r="L656" s="1">
        <v>1</v>
      </c>
      <c r="M656" s="1">
        <v>0</v>
      </c>
      <c r="N656" s="1" t="s">
        <v>7767</v>
      </c>
      <c r="O656" s="1" t="s">
        <v>7768</v>
      </c>
      <c r="P656" s="1" t="s">
        <v>7769</v>
      </c>
      <c r="Q656" s="1">
        <v>0</v>
      </c>
      <c r="R656" s="1" t="s">
        <v>7770</v>
      </c>
      <c r="S656" s="1" t="s">
        <v>7771</v>
      </c>
      <c r="U656" s="2">
        <v>56770</v>
      </c>
      <c r="V656" s="1">
        <v>4.7</v>
      </c>
      <c r="W656" s="1">
        <v>2000</v>
      </c>
      <c r="X656" s="1">
        <v>1396</v>
      </c>
      <c r="Y656" s="1">
        <v>450</v>
      </c>
      <c r="Z656" s="1">
        <v>328</v>
      </c>
      <c r="AA656" s="1">
        <v>618</v>
      </c>
      <c r="AB656" s="1">
        <v>0</v>
      </c>
      <c r="AC656" s="1">
        <v>3</v>
      </c>
      <c r="AD656" s="1" t="s">
        <v>76</v>
      </c>
      <c r="AE656" s="1" t="s">
        <v>7772</v>
      </c>
      <c r="AF656" s="1" t="s">
        <v>7773</v>
      </c>
      <c r="AG656" s="1" t="s">
        <v>7774</v>
      </c>
      <c r="AH656" s="1" t="s">
        <v>7775</v>
      </c>
      <c r="AI656" s="1">
        <v>4.79</v>
      </c>
      <c r="AJ656" s="1">
        <v>1007</v>
      </c>
      <c r="AK656" s="1">
        <v>2899</v>
      </c>
      <c r="AL656" s="1">
        <v>1301</v>
      </c>
    </row>
    <row r="657" spans="1:38" ht="15.75" customHeight="1">
      <c r="A657" s="1">
        <v>1073</v>
      </c>
      <c r="C657" s="1">
        <v>4001</v>
      </c>
      <c r="D657" s="1" t="s">
        <v>51</v>
      </c>
      <c r="E657" s="1" t="s">
        <v>39</v>
      </c>
      <c r="F657" s="1" t="s">
        <v>52</v>
      </c>
      <c r="G657" s="1">
        <v>0</v>
      </c>
      <c r="H657" s="1" t="s">
        <v>53</v>
      </c>
      <c r="I657" s="1" t="s">
        <v>7776</v>
      </c>
      <c r="J657" s="1" t="s">
        <v>7777</v>
      </c>
      <c r="K657" s="1" t="s">
        <v>7778</v>
      </c>
      <c r="L657" s="1">
        <v>1</v>
      </c>
      <c r="M657" s="1">
        <v>0</v>
      </c>
      <c r="N657" s="1" t="s">
        <v>7779</v>
      </c>
      <c r="O657" s="1" t="s">
        <v>7780</v>
      </c>
      <c r="P657" s="1" t="s">
        <v>7781</v>
      </c>
      <c r="Q657" s="1">
        <v>0</v>
      </c>
      <c r="R657" s="1" t="s">
        <v>7782</v>
      </c>
      <c r="S657" s="1" t="s">
        <v>7783</v>
      </c>
      <c r="U657" s="2">
        <v>56774</v>
      </c>
      <c r="V657" s="1">
        <v>3.1158632100000001</v>
      </c>
      <c r="W657" s="1">
        <v>2000</v>
      </c>
      <c r="X657" s="1">
        <v>3458</v>
      </c>
      <c r="Y657" s="1">
        <v>1225</v>
      </c>
      <c r="Z657" s="1">
        <v>955</v>
      </c>
      <c r="AA657" s="1">
        <v>1278</v>
      </c>
      <c r="AB657" s="1">
        <v>1</v>
      </c>
      <c r="AC657" s="1">
        <v>3</v>
      </c>
      <c r="AE657" s="1" t="s">
        <v>7784</v>
      </c>
      <c r="AF657" s="1" t="s">
        <v>7785</v>
      </c>
      <c r="AG657" s="1" t="s">
        <v>7786</v>
      </c>
      <c r="AH657" s="1" t="s">
        <v>7787</v>
      </c>
      <c r="AI657" s="1">
        <v>4.17</v>
      </c>
      <c r="AJ657" s="1">
        <v>457</v>
      </c>
      <c r="AK657" s="1">
        <v>1599</v>
      </c>
    </row>
    <row r="658" spans="1:38" ht="15.75" customHeight="1">
      <c r="A658" s="1">
        <v>1489</v>
      </c>
      <c r="C658" s="1">
        <v>4001</v>
      </c>
      <c r="D658" s="1" t="s">
        <v>51</v>
      </c>
      <c r="E658" s="1" t="s">
        <v>39</v>
      </c>
      <c r="F658" s="1" t="s">
        <v>2338</v>
      </c>
      <c r="G658" s="1">
        <v>0</v>
      </c>
      <c r="H658" s="1" t="s">
        <v>53</v>
      </c>
      <c r="I658" s="1" t="s">
        <v>7788</v>
      </c>
      <c r="J658" s="1" t="s">
        <v>7789</v>
      </c>
      <c r="K658" s="1" t="s">
        <v>7790</v>
      </c>
      <c r="L658" s="1">
        <v>1</v>
      </c>
      <c r="M658" s="1">
        <v>0</v>
      </c>
      <c r="N658" s="1" t="s">
        <v>7791</v>
      </c>
      <c r="O658" s="1" t="s">
        <v>7792</v>
      </c>
      <c r="P658" s="1" t="s">
        <v>7793</v>
      </c>
      <c r="Q658" s="1">
        <v>0</v>
      </c>
      <c r="R658" s="1" t="s">
        <v>7794</v>
      </c>
      <c r="S658" s="1" t="s">
        <v>7795</v>
      </c>
      <c r="U658" s="2">
        <v>56777</v>
      </c>
      <c r="V658" s="1">
        <v>4.4000000000000004</v>
      </c>
      <c r="W658" s="1">
        <v>2000</v>
      </c>
      <c r="X658" s="1">
        <v>1903</v>
      </c>
      <c r="Y658" s="1">
        <v>971</v>
      </c>
      <c r="Z658" s="1">
        <v>180</v>
      </c>
      <c r="AA658" s="1">
        <v>752</v>
      </c>
      <c r="AB658" s="1">
        <v>0</v>
      </c>
      <c r="AC658" s="1">
        <v>2</v>
      </c>
      <c r="AD658" s="1" t="s">
        <v>215</v>
      </c>
      <c r="AE658" s="1" t="s">
        <v>7796</v>
      </c>
      <c r="AF658" s="1" t="s">
        <v>7797</v>
      </c>
      <c r="AG658" s="1" t="s">
        <v>7798</v>
      </c>
      <c r="AH658" s="1" t="s">
        <v>7799</v>
      </c>
      <c r="AI658" s="1">
        <v>4.3510638300000002</v>
      </c>
      <c r="AJ658" s="1">
        <v>62</v>
      </c>
      <c r="AK658" s="1">
        <v>228</v>
      </c>
    </row>
    <row r="659" spans="1:38" ht="15.75" customHeight="1">
      <c r="A659" s="1">
        <v>61</v>
      </c>
      <c r="C659" s="1">
        <v>4050</v>
      </c>
      <c r="D659" s="1" t="s">
        <v>38</v>
      </c>
      <c r="E659" s="1" t="s">
        <v>39</v>
      </c>
      <c r="F659" s="1" t="s">
        <v>486</v>
      </c>
      <c r="G659" s="1">
        <v>0</v>
      </c>
      <c r="H659" s="1" t="s">
        <v>41</v>
      </c>
      <c r="I659" s="1" t="s">
        <v>7800</v>
      </c>
      <c r="J659" s="1" t="s">
        <v>7801</v>
      </c>
      <c r="K659" s="1" t="s">
        <v>7802</v>
      </c>
      <c r="L659" s="1">
        <v>1</v>
      </c>
      <c r="M659" s="1">
        <v>0</v>
      </c>
      <c r="N659" s="1" t="s">
        <v>7803</v>
      </c>
      <c r="O659" s="1" t="s">
        <v>7804</v>
      </c>
      <c r="P659" s="1" t="s">
        <v>7805</v>
      </c>
      <c r="Q659" s="1">
        <v>0</v>
      </c>
      <c r="R659" s="1" t="s">
        <v>7806</v>
      </c>
      <c r="S659" s="1" t="s">
        <v>7807</v>
      </c>
      <c r="U659" s="2">
        <v>56766</v>
      </c>
      <c r="V659" s="1">
        <v>4.5</v>
      </c>
      <c r="W659" s="1">
        <v>2000</v>
      </c>
      <c r="X659" s="1">
        <v>1965</v>
      </c>
      <c r="Y659" s="1">
        <v>855</v>
      </c>
      <c r="Z659" s="1">
        <v>263</v>
      </c>
      <c r="AA659" s="1">
        <v>847</v>
      </c>
      <c r="AB659" s="1">
        <v>0</v>
      </c>
      <c r="AC659" s="1">
        <v>2</v>
      </c>
      <c r="AD659" s="1" t="s">
        <v>76</v>
      </c>
      <c r="AE659" s="1" t="s">
        <v>7808</v>
      </c>
      <c r="AF659" s="1" t="s">
        <v>7809</v>
      </c>
      <c r="AG659" s="1" t="s">
        <v>7810</v>
      </c>
      <c r="AH659" s="1" t="s">
        <v>7811</v>
      </c>
      <c r="AI659" s="1">
        <v>4.7</v>
      </c>
      <c r="AJ659" s="1">
        <v>212</v>
      </c>
      <c r="AK659" s="1">
        <v>624</v>
      </c>
      <c r="AL659" s="1">
        <v>347</v>
      </c>
    </row>
    <row r="660" spans="1:38" ht="15.75" customHeight="1">
      <c r="A660" s="1">
        <v>985</v>
      </c>
      <c r="C660" s="1">
        <v>4001</v>
      </c>
      <c r="D660" s="1" t="s">
        <v>51</v>
      </c>
      <c r="E660" s="1" t="s">
        <v>39</v>
      </c>
      <c r="F660" s="1" t="s">
        <v>52</v>
      </c>
      <c r="G660" s="1">
        <v>0</v>
      </c>
      <c r="H660" s="1" t="s">
        <v>53</v>
      </c>
      <c r="I660" s="1" t="s">
        <v>7812</v>
      </c>
      <c r="J660" s="1" t="s">
        <v>7813</v>
      </c>
      <c r="K660" s="1" t="s">
        <v>7814</v>
      </c>
      <c r="L660" s="1">
        <v>1</v>
      </c>
      <c r="M660" s="1">
        <v>0</v>
      </c>
      <c r="N660" s="1" t="s">
        <v>7815</v>
      </c>
      <c r="O660" s="1" t="s">
        <v>7816</v>
      </c>
      <c r="P660" s="1" t="s">
        <v>7817</v>
      </c>
      <c r="Q660" s="1">
        <v>0</v>
      </c>
      <c r="R660" s="1" t="s">
        <v>7818</v>
      </c>
      <c r="U660" s="2">
        <v>56773</v>
      </c>
      <c r="V660" s="1">
        <v>4.3</v>
      </c>
      <c r="W660" s="1">
        <v>2000</v>
      </c>
      <c r="X660" s="1">
        <v>1264</v>
      </c>
      <c r="AA660" s="1">
        <v>596</v>
      </c>
      <c r="AB660" s="1">
        <v>0</v>
      </c>
      <c r="AC660" s="1">
        <v>2</v>
      </c>
      <c r="AE660" s="1" t="s">
        <v>7819</v>
      </c>
      <c r="AF660" s="1" t="s">
        <v>7820</v>
      </c>
      <c r="AG660" s="1" t="s">
        <v>7821</v>
      </c>
      <c r="AI660" s="1">
        <v>4.17</v>
      </c>
      <c r="AJ660" s="1">
        <v>457</v>
      </c>
      <c r="AK660" s="1">
        <v>1599</v>
      </c>
    </row>
    <row r="661" spans="1:38" ht="15.75" customHeight="1">
      <c r="A661" s="1">
        <v>315</v>
      </c>
      <c r="B661" s="1">
        <v>5</v>
      </c>
      <c r="C661" s="1">
        <v>4001</v>
      </c>
      <c r="D661" s="1" t="s">
        <v>51</v>
      </c>
      <c r="E661" s="1" t="s">
        <v>39</v>
      </c>
      <c r="F661" s="1" t="s">
        <v>92</v>
      </c>
      <c r="G661" s="1">
        <v>0</v>
      </c>
      <c r="H661" s="1" t="s">
        <v>41</v>
      </c>
      <c r="I661" s="1" t="s">
        <v>7822</v>
      </c>
      <c r="J661" s="1" t="s">
        <v>7823</v>
      </c>
      <c r="K661" s="1" t="s">
        <v>7824</v>
      </c>
      <c r="L661" s="1">
        <v>1</v>
      </c>
      <c r="M661" s="1">
        <v>0</v>
      </c>
      <c r="N661" s="1" t="s">
        <v>7825</v>
      </c>
      <c r="O661" s="1" t="s">
        <v>7826</v>
      </c>
      <c r="P661" s="1" t="s">
        <v>7827</v>
      </c>
      <c r="Q661" s="1">
        <v>0</v>
      </c>
      <c r="R661" s="1" t="s">
        <v>7828</v>
      </c>
      <c r="S661" s="1" t="s">
        <v>7829</v>
      </c>
      <c r="U661" s="2">
        <v>56768</v>
      </c>
      <c r="V661" s="1">
        <v>4.2553170619999996</v>
      </c>
      <c r="W661" s="1">
        <v>2000</v>
      </c>
      <c r="X661" s="1">
        <v>1911</v>
      </c>
      <c r="Y661" s="1">
        <v>784</v>
      </c>
      <c r="Z661" s="1">
        <v>57</v>
      </c>
      <c r="AA661" s="1">
        <v>1070</v>
      </c>
      <c r="AB661" s="1">
        <v>0</v>
      </c>
      <c r="AC661" s="1">
        <v>2</v>
      </c>
      <c r="AD661" s="1" t="s">
        <v>76</v>
      </c>
      <c r="AE661" s="1" t="s">
        <v>7830</v>
      </c>
      <c r="AF661" s="1" t="s">
        <v>7831</v>
      </c>
      <c r="AG661" s="1" t="s">
        <v>7832</v>
      </c>
      <c r="AH661" s="1" t="s">
        <v>7833</v>
      </c>
      <c r="AI661" s="1">
        <v>4.03</v>
      </c>
      <c r="AJ661" s="1">
        <v>505</v>
      </c>
      <c r="AK661" s="1">
        <v>1721</v>
      </c>
      <c r="AL661" s="1">
        <v>457</v>
      </c>
    </row>
    <row r="662" spans="1:38" ht="15.75" customHeight="1">
      <c r="A662" s="1">
        <v>678</v>
      </c>
      <c r="C662" s="1">
        <v>4050</v>
      </c>
      <c r="D662" s="1" t="s">
        <v>38</v>
      </c>
      <c r="E662" s="1" t="s">
        <v>39</v>
      </c>
      <c r="F662" s="1" t="s">
        <v>1153</v>
      </c>
      <c r="G662" s="1">
        <v>0</v>
      </c>
      <c r="H662" s="1" t="s">
        <v>41</v>
      </c>
      <c r="I662" s="1" t="s">
        <v>7834</v>
      </c>
      <c r="J662" s="1" t="s">
        <v>7835</v>
      </c>
      <c r="K662" s="1" t="s">
        <v>7836</v>
      </c>
      <c r="L662" s="1">
        <v>1</v>
      </c>
      <c r="M662" s="1">
        <v>0</v>
      </c>
      <c r="N662" s="1" t="s">
        <v>7837</v>
      </c>
      <c r="O662" s="1" t="s">
        <v>7838</v>
      </c>
      <c r="P662" s="1" t="s">
        <v>7839</v>
      </c>
      <c r="Q662" s="1">
        <v>0</v>
      </c>
      <c r="R662" s="1" t="s">
        <v>7840</v>
      </c>
      <c r="S662" s="1" t="s">
        <v>7841</v>
      </c>
      <c r="U662" s="2">
        <v>56770</v>
      </c>
      <c r="V662" s="1">
        <v>4.3</v>
      </c>
      <c r="W662" s="1">
        <v>2000</v>
      </c>
      <c r="X662" s="1">
        <v>4972</v>
      </c>
      <c r="Y662" s="1">
        <v>650</v>
      </c>
      <c r="Z662" s="1">
        <v>1069</v>
      </c>
      <c r="AA662" s="1">
        <v>3253</v>
      </c>
      <c r="AB662" s="1">
        <v>1</v>
      </c>
      <c r="AC662" s="1">
        <v>1</v>
      </c>
      <c r="AE662" s="1" t="s">
        <v>7842</v>
      </c>
      <c r="AF662" s="1" t="s">
        <v>7843</v>
      </c>
      <c r="AG662" s="1" t="s">
        <v>7844</v>
      </c>
      <c r="AH662" s="1" t="s">
        <v>7845</v>
      </c>
      <c r="AI662" s="1">
        <v>4.58</v>
      </c>
      <c r="AJ662" s="1">
        <v>679</v>
      </c>
      <c r="AK662" s="1">
        <v>2371</v>
      </c>
      <c r="AL662" s="1">
        <v>1830</v>
      </c>
    </row>
    <row r="663" spans="1:38" ht="15.75" customHeight="1">
      <c r="A663" s="1">
        <v>102</v>
      </c>
      <c r="C663" s="1">
        <v>4001</v>
      </c>
      <c r="D663" s="1" t="s">
        <v>51</v>
      </c>
      <c r="E663" s="1" t="s">
        <v>39</v>
      </c>
      <c r="F663" s="1" t="s">
        <v>341</v>
      </c>
      <c r="G663" s="1">
        <v>0</v>
      </c>
      <c r="H663" s="1" t="s">
        <v>41</v>
      </c>
      <c r="I663" s="1" t="s">
        <v>7846</v>
      </c>
      <c r="J663" s="1" t="s">
        <v>7847</v>
      </c>
      <c r="K663" s="1" t="s">
        <v>7848</v>
      </c>
      <c r="L663" s="1">
        <v>1</v>
      </c>
      <c r="M663" s="1">
        <v>0</v>
      </c>
      <c r="N663" s="1" t="s">
        <v>7849</v>
      </c>
      <c r="O663" s="1" t="s">
        <v>7850</v>
      </c>
      <c r="P663" s="1" t="s">
        <v>7851</v>
      </c>
      <c r="Q663" s="1">
        <v>0</v>
      </c>
      <c r="R663" s="1" t="s">
        <v>7852</v>
      </c>
      <c r="S663" s="1" t="s">
        <v>7853</v>
      </c>
      <c r="U663" s="2">
        <v>56766</v>
      </c>
      <c r="V663" s="1">
        <v>3.3645375990000002</v>
      </c>
      <c r="W663" s="1">
        <v>2000</v>
      </c>
      <c r="X663" s="1">
        <v>2020</v>
      </c>
      <c r="Y663" s="1">
        <v>601</v>
      </c>
      <c r="Z663" s="1">
        <v>912</v>
      </c>
      <c r="AA663" s="1">
        <v>507</v>
      </c>
      <c r="AB663" s="1">
        <v>0</v>
      </c>
      <c r="AC663" s="1">
        <v>2</v>
      </c>
      <c r="AD663" s="1" t="s">
        <v>215</v>
      </c>
      <c r="AE663" s="1" t="s">
        <v>7854</v>
      </c>
      <c r="AF663" s="1" t="s">
        <v>7855</v>
      </c>
      <c r="AG663" s="1" t="s">
        <v>7856</v>
      </c>
      <c r="AH663" s="1" t="s">
        <v>7857</v>
      </c>
      <c r="AI663" s="1">
        <v>4.54</v>
      </c>
      <c r="AJ663" s="1">
        <v>2229</v>
      </c>
      <c r="AK663" s="1">
        <v>6580</v>
      </c>
    </row>
    <row r="664" spans="1:38" ht="15.75" customHeight="1">
      <c r="A664" s="1">
        <v>171</v>
      </c>
      <c r="B664" s="1">
        <v>4</v>
      </c>
      <c r="C664" s="1">
        <v>4050</v>
      </c>
      <c r="D664" s="1" t="s">
        <v>38</v>
      </c>
      <c r="E664" s="1" t="s">
        <v>39</v>
      </c>
      <c r="F664" s="1" t="s">
        <v>695</v>
      </c>
      <c r="G664" s="1">
        <v>0</v>
      </c>
      <c r="H664" s="1" t="s">
        <v>41</v>
      </c>
      <c r="I664" s="1" t="s">
        <v>7858</v>
      </c>
      <c r="J664" s="1" t="s">
        <v>7859</v>
      </c>
      <c r="K664" s="1" t="s">
        <v>7860</v>
      </c>
      <c r="L664" s="1">
        <v>1</v>
      </c>
      <c r="M664" s="1">
        <v>0</v>
      </c>
      <c r="N664" s="1" t="s">
        <v>7861</v>
      </c>
      <c r="O664" s="1" t="s">
        <v>7862</v>
      </c>
      <c r="P664" s="1" t="s">
        <v>7863</v>
      </c>
      <c r="Q664" s="1">
        <v>0</v>
      </c>
      <c r="R664" s="1" t="s">
        <v>7864</v>
      </c>
      <c r="S664" s="1" t="s">
        <v>7865</v>
      </c>
      <c r="U664" s="2">
        <v>56767</v>
      </c>
      <c r="V664" s="1">
        <v>3.4317832890000002</v>
      </c>
      <c r="W664" s="1">
        <v>2000</v>
      </c>
      <c r="X664" s="1">
        <v>2420</v>
      </c>
      <c r="Y664" s="1">
        <v>830</v>
      </c>
      <c r="Z664" s="1">
        <v>329</v>
      </c>
      <c r="AA664" s="1">
        <v>1261</v>
      </c>
      <c r="AB664" s="1">
        <v>0</v>
      </c>
      <c r="AC664" s="1">
        <v>1</v>
      </c>
      <c r="AD664" s="1" t="s">
        <v>215</v>
      </c>
      <c r="AE664" s="1" t="s">
        <v>7866</v>
      </c>
      <c r="AF664" s="1" t="s">
        <v>7867</v>
      </c>
      <c r="AG664" s="1" t="s">
        <v>7868</v>
      </c>
      <c r="AH664" s="1" t="s">
        <v>7869</v>
      </c>
      <c r="AI664" s="1">
        <v>4.38</v>
      </c>
      <c r="AJ664" s="1">
        <v>196</v>
      </c>
      <c r="AK664" s="1">
        <v>626</v>
      </c>
    </row>
    <row r="665" spans="1:38" ht="15.75" customHeight="1">
      <c r="A665" s="1">
        <v>726</v>
      </c>
      <c r="B665" s="1">
        <v>3</v>
      </c>
      <c r="C665" s="1">
        <v>4050</v>
      </c>
      <c r="D665" s="1" t="s">
        <v>38</v>
      </c>
      <c r="E665" s="1" t="s">
        <v>39</v>
      </c>
      <c r="F665" s="1" t="s">
        <v>914</v>
      </c>
      <c r="G665" s="1">
        <v>0</v>
      </c>
      <c r="H665" s="1" t="s">
        <v>41</v>
      </c>
      <c r="I665" s="1" t="s">
        <v>7870</v>
      </c>
      <c r="J665" s="1" t="s">
        <v>7871</v>
      </c>
      <c r="K665" s="1" t="s">
        <v>7872</v>
      </c>
      <c r="L665" s="1">
        <v>1</v>
      </c>
      <c r="M665" s="1">
        <v>0</v>
      </c>
      <c r="N665" s="1" t="s">
        <v>7873</v>
      </c>
      <c r="O665" s="1" t="s">
        <v>7874</v>
      </c>
      <c r="P665" s="1" t="s">
        <v>7875</v>
      </c>
      <c r="Q665" s="1">
        <v>0</v>
      </c>
      <c r="R665" s="1" t="s">
        <v>7876</v>
      </c>
      <c r="S665" s="1" t="s">
        <v>7877</v>
      </c>
      <c r="U665" s="2">
        <v>56771</v>
      </c>
      <c r="V665" s="1">
        <v>4.4000000000000004</v>
      </c>
      <c r="W665" s="1">
        <v>2000</v>
      </c>
      <c r="X665" s="1">
        <v>2066</v>
      </c>
      <c r="Y665" s="1">
        <v>319</v>
      </c>
      <c r="Z665" s="1">
        <v>434</v>
      </c>
      <c r="AA665" s="1">
        <v>1313</v>
      </c>
      <c r="AB665" s="1">
        <v>0</v>
      </c>
      <c r="AC665" s="1">
        <v>3</v>
      </c>
      <c r="AD665" s="1" t="s">
        <v>62</v>
      </c>
      <c r="AE665" s="1" t="s">
        <v>7878</v>
      </c>
      <c r="AF665" s="1" t="s">
        <v>7879</v>
      </c>
      <c r="AG665" s="1" t="s">
        <v>7880</v>
      </c>
      <c r="AH665" s="1" t="s">
        <v>7881</v>
      </c>
      <c r="AI665" s="1">
        <v>4.6900000000000004</v>
      </c>
      <c r="AJ665" s="1">
        <v>89</v>
      </c>
      <c r="AK665" s="1">
        <v>258</v>
      </c>
      <c r="AL665" s="1">
        <v>154</v>
      </c>
    </row>
    <row r="666" spans="1:38" ht="15.75" customHeight="1">
      <c r="A666" s="1">
        <v>150</v>
      </c>
      <c r="B666" s="1">
        <v>5</v>
      </c>
      <c r="C666" s="1">
        <v>4050</v>
      </c>
      <c r="D666" s="1" t="s">
        <v>38</v>
      </c>
      <c r="E666" s="1" t="s">
        <v>39</v>
      </c>
      <c r="F666" s="1" t="s">
        <v>695</v>
      </c>
      <c r="G666" s="1">
        <v>0</v>
      </c>
      <c r="H666" s="1" t="s">
        <v>41</v>
      </c>
      <c r="I666" s="1" t="s">
        <v>7882</v>
      </c>
      <c r="J666" s="1" t="s">
        <v>7883</v>
      </c>
      <c r="K666" s="1" t="s">
        <v>7884</v>
      </c>
      <c r="L666" s="1">
        <v>1</v>
      </c>
      <c r="M666" s="1">
        <v>0</v>
      </c>
      <c r="N666" s="1" t="s">
        <v>7885</v>
      </c>
      <c r="O666" s="1" t="s">
        <v>7886</v>
      </c>
      <c r="P666" s="1" t="s">
        <v>7887</v>
      </c>
      <c r="Q666" s="1">
        <v>0</v>
      </c>
      <c r="R666" s="1" t="s">
        <v>7888</v>
      </c>
      <c r="S666" s="1" t="s">
        <v>7889</v>
      </c>
      <c r="U666" s="2">
        <v>56767</v>
      </c>
      <c r="V666" s="1">
        <v>4.5</v>
      </c>
      <c r="W666" s="1">
        <v>2000</v>
      </c>
      <c r="X666" s="1">
        <v>2422</v>
      </c>
      <c r="Y666" s="1">
        <v>1374</v>
      </c>
      <c r="Z666" s="1">
        <v>125</v>
      </c>
      <c r="AA666" s="1">
        <v>923</v>
      </c>
      <c r="AB666" s="1">
        <v>0</v>
      </c>
      <c r="AC666" s="1">
        <v>2</v>
      </c>
      <c r="AD666" s="1" t="s">
        <v>76</v>
      </c>
      <c r="AE666" s="1" t="s">
        <v>7890</v>
      </c>
      <c r="AF666" s="1" t="s">
        <v>7891</v>
      </c>
      <c r="AG666" s="1" t="s">
        <v>7892</v>
      </c>
      <c r="AH666" s="1" t="s">
        <v>7893</v>
      </c>
      <c r="AI666" s="1">
        <v>4.38</v>
      </c>
      <c r="AJ666" s="1">
        <v>196</v>
      </c>
      <c r="AK666" s="1">
        <v>626</v>
      </c>
    </row>
    <row r="667" spans="1:38" ht="15.75" customHeight="1">
      <c r="A667" s="1">
        <v>246</v>
      </c>
      <c r="C667" s="1">
        <v>4001</v>
      </c>
      <c r="D667" s="1" t="s">
        <v>51</v>
      </c>
      <c r="E667" s="1" t="s">
        <v>39</v>
      </c>
      <c r="F667" s="1" t="s">
        <v>414</v>
      </c>
      <c r="G667" s="1">
        <v>0</v>
      </c>
      <c r="H667" s="1" t="s">
        <v>53</v>
      </c>
      <c r="I667" s="1" t="s">
        <v>7894</v>
      </c>
      <c r="J667" s="1" t="s">
        <v>7895</v>
      </c>
      <c r="K667" s="1" t="s">
        <v>7896</v>
      </c>
      <c r="L667" s="1">
        <v>1</v>
      </c>
      <c r="M667" s="1">
        <v>0</v>
      </c>
      <c r="N667" s="1" t="s">
        <v>7897</v>
      </c>
      <c r="O667" s="1" t="s">
        <v>7898</v>
      </c>
      <c r="P667" s="1" t="s">
        <v>7899</v>
      </c>
      <c r="Q667" s="1">
        <v>0</v>
      </c>
      <c r="R667" s="1" t="s">
        <v>7900</v>
      </c>
      <c r="S667" s="1" t="s">
        <v>7901</v>
      </c>
      <c r="U667" s="2">
        <v>56767</v>
      </c>
      <c r="V667" s="1">
        <v>4.2</v>
      </c>
      <c r="W667" s="1">
        <v>2000</v>
      </c>
      <c r="X667" s="1">
        <v>3252</v>
      </c>
      <c r="Y667" s="1">
        <v>1151</v>
      </c>
      <c r="Z667" s="1">
        <v>1472</v>
      </c>
      <c r="AA667" s="1">
        <v>629</v>
      </c>
      <c r="AB667" s="1">
        <v>0</v>
      </c>
      <c r="AC667" s="1">
        <v>4</v>
      </c>
      <c r="AD667" s="1" t="s">
        <v>62</v>
      </c>
      <c r="AE667" s="1" t="s">
        <v>7902</v>
      </c>
      <c r="AF667" s="1" t="s">
        <v>7903</v>
      </c>
      <c r="AG667" s="1" t="s">
        <v>7904</v>
      </c>
      <c r="AH667" s="1" t="s">
        <v>7905</v>
      </c>
      <c r="AI667" s="1">
        <v>4.58</v>
      </c>
      <c r="AJ667" s="1">
        <v>254</v>
      </c>
      <c r="AK667" s="1">
        <v>788</v>
      </c>
      <c r="AL667" s="1">
        <v>9</v>
      </c>
    </row>
    <row r="668" spans="1:38" ht="15.75" customHeight="1">
      <c r="A668" s="1">
        <v>1400</v>
      </c>
      <c r="B668" s="1">
        <v>5</v>
      </c>
      <c r="C668" s="1">
        <v>4001</v>
      </c>
      <c r="D668" s="1" t="s">
        <v>51</v>
      </c>
      <c r="E668" s="1" t="s">
        <v>39</v>
      </c>
      <c r="F668" s="1" t="s">
        <v>1915</v>
      </c>
      <c r="G668" s="1">
        <v>0</v>
      </c>
      <c r="H668" s="1" t="s">
        <v>53</v>
      </c>
      <c r="I668" s="1" t="s">
        <v>7906</v>
      </c>
      <c r="J668" s="1" t="s">
        <v>7907</v>
      </c>
      <c r="K668" s="1" t="s">
        <v>7908</v>
      </c>
      <c r="L668" s="1">
        <v>1</v>
      </c>
      <c r="M668" s="1">
        <v>0</v>
      </c>
      <c r="N668" s="1" t="s">
        <v>7909</v>
      </c>
      <c r="O668" s="1" t="s">
        <v>7910</v>
      </c>
      <c r="P668" s="1" t="s">
        <v>7911</v>
      </c>
      <c r="Q668" s="1">
        <v>0</v>
      </c>
      <c r="R668" s="1" t="s">
        <v>7912</v>
      </c>
      <c r="S668" s="1" t="s">
        <v>7913</v>
      </c>
      <c r="U668" s="2">
        <v>56777</v>
      </c>
      <c r="V668" s="1">
        <v>4.4000000000000004</v>
      </c>
      <c r="W668" s="1">
        <v>2000</v>
      </c>
      <c r="X668" s="1">
        <v>2170</v>
      </c>
      <c r="Y668" s="1">
        <v>1016</v>
      </c>
      <c r="Z668" s="1">
        <v>141</v>
      </c>
      <c r="AA668" s="1">
        <v>1013</v>
      </c>
      <c r="AB668" s="1">
        <v>0</v>
      </c>
      <c r="AC668" s="1">
        <v>3</v>
      </c>
      <c r="AE668" s="1" t="s">
        <v>7914</v>
      </c>
      <c r="AF668" s="1" t="s">
        <v>7915</v>
      </c>
      <c r="AG668" s="1" t="s">
        <v>7916</v>
      </c>
      <c r="AH668" s="1" t="s">
        <v>7917</v>
      </c>
      <c r="AI668" s="1">
        <v>4.63</v>
      </c>
      <c r="AJ668" s="1">
        <v>242</v>
      </c>
      <c r="AK668" s="1">
        <v>736</v>
      </c>
    </row>
    <row r="669" spans="1:38" ht="15.75" customHeight="1">
      <c r="A669" s="1">
        <v>331</v>
      </c>
      <c r="B669" s="1">
        <v>5</v>
      </c>
      <c r="C669" s="1">
        <v>4050</v>
      </c>
      <c r="D669" s="1" t="s">
        <v>38</v>
      </c>
      <c r="E669" s="1" t="s">
        <v>39</v>
      </c>
      <c r="F669" s="1" t="s">
        <v>532</v>
      </c>
      <c r="G669" s="1">
        <v>0</v>
      </c>
      <c r="H669" s="1" t="s">
        <v>41</v>
      </c>
      <c r="I669" s="1" t="s">
        <v>7918</v>
      </c>
      <c r="J669" s="1" t="s">
        <v>7919</v>
      </c>
      <c r="K669" s="1" t="s">
        <v>7920</v>
      </c>
      <c r="L669" s="1">
        <v>1</v>
      </c>
      <c r="M669" s="1">
        <v>0</v>
      </c>
      <c r="N669" s="1" t="s">
        <v>7921</v>
      </c>
      <c r="O669" s="1" t="s">
        <v>7922</v>
      </c>
      <c r="P669" s="1" t="s">
        <v>7923</v>
      </c>
      <c r="Q669" s="1">
        <v>0</v>
      </c>
      <c r="R669" s="1" t="s">
        <v>7924</v>
      </c>
      <c r="S669" s="1" t="s">
        <v>7925</v>
      </c>
      <c r="U669" s="2">
        <v>56768</v>
      </c>
      <c r="V669" s="1">
        <v>4.5</v>
      </c>
      <c r="W669" s="1">
        <v>2000</v>
      </c>
      <c r="X669" s="1">
        <v>3284</v>
      </c>
      <c r="Y669" s="1">
        <v>1393</v>
      </c>
      <c r="Z669" s="1">
        <v>599</v>
      </c>
      <c r="AA669" s="1">
        <v>1292</v>
      </c>
      <c r="AB669" s="1">
        <v>0</v>
      </c>
      <c r="AC669" s="1">
        <v>1</v>
      </c>
      <c r="AD669" s="1" t="s">
        <v>76</v>
      </c>
      <c r="AE669" s="1" t="s">
        <v>7926</v>
      </c>
      <c r="AF669" s="1" t="s">
        <v>7927</v>
      </c>
      <c r="AG669" s="1" t="s">
        <v>7928</v>
      </c>
      <c r="AH669" s="1" t="s">
        <v>7929</v>
      </c>
      <c r="AI669" s="1">
        <v>4.63</v>
      </c>
      <c r="AJ669" s="1">
        <v>241</v>
      </c>
      <c r="AK669" s="1">
        <v>995</v>
      </c>
      <c r="AL669" s="1">
        <v>626</v>
      </c>
    </row>
    <row r="670" spans="1:38" ht="15.75" customHeight="1">
      <c r="A670" s="1">
        <v>672</v>
      </c>
      <c r="B670" s="1">
        <v>5</v>
      </c>
      <c r="C670" s="1">
        <v>4001</v>
      </c>
      <c r="D670" s="1" t="s">
        <v>51</v>
      </c>
      <c r="E670" s="1" t="s">
        <v>39</v>
      </c>
      <c r="F670" s="1" t="s">
        <v>1104</v>
      </c>
      <c r="G670" s="1">
        <v>0</v>
      </c>
      <c r="H670" s="1" t="s">
        <v>41</v>
      </c>
      <c r="I670" s="1" t="s">
        <v>7930</v>
      </c>
      <c r="J670" s="1" t="s">
        <v>7931</v>
      </c>
      <c r="K670" s="1" t="s">
        <v>7932</v>
      </c>
      <c r="L670" s="1">
        <v>1</v>
      </c>
      <c r="M670" s="1">
        <v>0</v>
      </c>
      <c r="N670" s="1" t="s">
        <v>7933</v>
      </c>
      <c r="O670" s="1" t="s">
        <v>7934</v>
      </c>
      <c r="P670" s="1" t="s">
        <v>7935</v>
      </c>
      <c r="Q670" s="1">
        <v>0</v>
      </c>
      <c r="R670" s="1" t="s">
        <v>7936</v>
      </c>
      <c r="S670" s="1" t="s">
        <v>7937</v>
      </c>
      <c r="U670" s="2">
        <v>56770</v>
      </c>
      <c r="V670" s="1">
        <v>4.649691893</v>
      </c>
      <c r="W670" s="1">
        <v>2000</v>
      </c>
      <c r="X670" s="1">
        <v>2200</v>
      </c>
      <c r="Y670" s="1">
        <v>686</v>
      </c>
      <c r="Z670" s="1">
        <v>191</v>
      </c>
      <c r="AA670" s="1">
        <v>1323</v>
      </c>
      <c r="AB670" s="1">
        <v>0</v>
      </c>
      <c r="AC670" s="1">
        <v>6</v>
      </c>
      <c r="AD670" s="1" t="s">
        <v>76</v>
      </c>
      <c r="AE670" s="1" t="s">
        <v>7938</v>
      </c>
      <c r="AF670" s="1" t="s">
        <v>7939</v>
      </c>
      <c r="AG670" s="1" t="s">
        <v>7940</v>
      </c>
      <c r="AH670" s="1" t="s">
        <v>7941</v>
      </c>
      <c r="AI670" s="1">
        <v>4.46</v>
      </c>
      <c r="AJ670" s="1">
        <v>148</v>
      </c>
      <c r="AK670" s="1">
        <v>435</v>
      </c>
    </row>
    <row r="671" spans="1:38" ht="15.75" customHeight="1">
      <c r="A671" s="1">
        <v>1018</v>
      </c>
      <c r="C671" s="1">
        <v>4001</v>
      </c>
      <c r="D671" s="1" t="s">
        <v>51</v>
      </c>
      <c r="E671" s="1" t="s">
        <v>39</v>
      </c>
      <c r="F671" s="1" t="s">
        <v>2338</v>
      </c>
      <c r="G671" s="1">
        <v>0</v>
      </c>
      <c r="H671" s="1" t="s">
        <v>53</v>
      </c>
      <c r="I671" s="1" t="s">
        <v>7942</v>
      </c>
      <c r="J671" s="1" t="s">
        <v>7943</v>
      </c>
      <c r="K671" s="1" t="s">
        <v>7944</v>
      </c>
      <c r="L671" s="1">
        <v>1</v>
      </c>
      <c r="M671" s="1">
        <v>0</v>
      </c>
      <c r="N671" s="1" t="s">
        <v>7945</v>
      </c>
      <c r="O671" s="1" t="s">
        <v>7946</v>
      </c>
      <c r="P671" s="1" t="s">
        <v>7947</v>
      </c>
      <c r="Q671" s="1">
        <v>0</v>
      </c>
      <c r="R671" s="1" t="s">
        <v>7948</v>
      </c>
      <c r="S671" s="1" t="s">
        <v>7949</v>
      </c>
      <c r="U671" s="2">
        <v>56774</v>
      </c>
      <c r="V671" s="1">
        <v>4.5</v>
      </c>
      <c r="W671" s="1">
        <v>2000</v>
      </c>
      <c r="X671" s="1">
        <v>696</v>
      </c>
      <c r="Y671" s="1">
        <v>18</v>
      </c>
      <c r="Z671" s="1">
        <v>515</v>
      </c>
      <c r="AA671" s="1">
        <v>163</v>
      </c>
      <c r="AB671" s="1">
        <v>1</v>
      </c>
      <c r="AC671" s="1">
        <v>3</v>
      </c>
      <c r="AE671" s="1" t="s">
        <v>7950</v>
      </c>
      <c r="AF671" s="1" t="s">
        <v>7951</v>
      </c>
      <c r="AG671" s="1" t="s">
        <v>7952</v>
      </c>
      <c r="AH671" s="1" t="s">
        <v>7953</v>
      </c>
      <c r="AI671" s="1">
        <v>4.3510638300000002</v>
      </c>
      <c r="AJ671" s="1">
        <v>62</v>
      </c>
      <c r="AK671" s="1">
        <v>228</v>
      </c>
    </row>
    <row r="672" spans="1:38" ht="15.75" customHeight="1">
      <c r="A672" s="1">
        <v>627</v>
      </c>
      <c r="C672" s="1">
        <v>4050</v>
      </c>
      <c r="D672" s="1" t="s">
        <v>38</v>
      </c>
      <c r="E672" s="1" t="s">
        <v>39</v>
      </c>
      <c r="F672" s="1" t="s">
        <v>280</v>
      </c>
      <c r="G672" s="1">
        <v>0</v>
      </c>
      <c r="H672" s="1" t="s">
        <v>41</v>
      </c>
      <c r="I672" s="1" t="s">
        <v>7954</v>
      </c>
      <c r="J672" s="1" t="s">
        <v>7955</v>
      </c>
      <c r="K672" s="1" t="s">
        <v>7956</v>
      </c>
      <c r="L672" s="1">
        <v>1</v>
      </c>
      <c r="M672" s="1">
        <v>0</v>
      </c>
      <c r="N672" s="1" t="s">
        <v>7957</v>
      </c>
      <c r="O672" s="1" t="s">
        <v>7958</v>
      </c>
      <c r="P672" s="1" t="s">
        <v>7959</v>
      </c>
      <c r="Q672" s="1">
        <v>0</v>
      </c>
      <c r="R672" s="1" t="s">
        <v>7960</v>
      </c>
      <c r="U672" s="2">
        <v>56770</v>
      </c>
      <c r="V672" s="1">
        <v>4.7</v>
      </c>
      <c r="W672" s="1">
        <v>2000</v>
      </c>
      <c r="X672" s="1">
        <v>2542</v>
      </c>
      <c r="AA672" s="1">
        <v>744</v>
      </c>
      <c r="AB672" s="1">
        <v>0</v>
      </c>
      <c r="AC672" s="1">
        <v>3</v>
      </c>
      <c r="AE672" s="1" t="s">
        <v>7961</v>
      </c>
      <c r="AF672" s="1" t="s">
        <v>7962</v>
      </c>
      <c r="AG672" s="1" t="s">
        <v>7963</v>
      </c>
      <c r="AI672" s="1">
        <v>4.49</v>
      </c>
      <c r="AJ672" s="1">
        <v>2315</v>
      </c>
      <c r="AK672" s="1">
        <v>7039</v>
      </c>
      <c r="AL672" s="1">
        <v>763</v>
      </c>
    </row>
    <row r="673" spans="1:38" ht="15.75" customHeight="1">
      <c r="A673" s="1">
        <v>352</v>
      </c>
      <c r="B673" s="1">
        <v>4</v>
      </c>
      <c r="C673" s="1">
        <v>4050</v>
      </c>
      <c r="D673" s="1" t="s">
        <v>38</v>
      </c>
      <c r="E673" s="1" t="s">
        <v>39</v>
      </c>
      <c r="F673" s="1" t="s">
        <v>280</v>
      </c>
      <c r="G673" s="1">
        <v>0</v>
      </c>
      <c r="H673" s="1" t="s">
        <v>41</v>
      </c>
      <c r="I673" s="1" t="s">
        <v>7964</v>
      </c>
      <c r="J673" s="1" t="s">
        <v>7965</v>
      </c>
      <c r="K673" s="1" t="s">
        <v>7966</v>
      </c>
      <c r="L673" s="1">
        <v>1</v>
      </c>
      <c r="M673" s="1">
        <v>0</v>
      </c>
      <c r="N673" s="1" t="s">
        <v>7967</v>
      </c>
      <c r="O673" s="1" t="s">
        <v>7968</v>
      </c>
      <c r="P673" s="1" t="s">
        <v>7969</v>
      </c>
      <c r="Q673" s="1">
        <v>0</v>
      </c>
      <c r="R673" s="1" t="s">
        <v>7970</v>
      </c>
      <c r="S673" s="1" t="s">
        <v>7971</v>
      </c>
      <c r="U673" s="2">
        <v>56768</v>
      </c>
      <c r="V673" s="1">
        <v>4.7</v>
      </c>
      <c r="W673" s="1">
        <v>2000</v>
      </c>
      <c r="X673" s="1">
        <v>1777</v>
      </c>
      <c r="Y673" s="1">
        <v>670</v>
      </c>
      <c r="Z673" s="1">
        <v>307</v>
      </c>
      <c r="AA673" s="1">
        <v>800</v>
      </c>
      <c r="AB673" s="1">
        <v>0</v>
      </c>
      <c r="AC673" s="1">
        <v>3</v>
      </c>
      <c r="AD673" s="1" t="s">
        <v>215</v>
      </c>
      <c r="AE673" s="1" t="s">
        <v>7972</v>
      </c>
      <c r="AF673" s="1" t="s">
        <v>7973</v>
      </c>
      <c r="AG673" s="1" t="s">
        <v>7974</v>
      </c>
      <c r="AH673" s="1" t="s">
        <v>7975</v>
      </c>
      <c r="AI673" s="1">
        <v>4.49</v>
      </c>
      <c r="AJ673" s="1">
        <v>2315</v>
      </c>
      <c r="AK673" s="1">
        <v>7039</v>
      </c>
      <c r="AL673" s="1">
        <v>763</v>
      </c>
    </row>
    <row r="674" spans="1:38" ht="15.75" customHeight="1">
      <c r="A674" s="1">
        <v>508</v>
      </c>
      <c r="B674" s="1">
        <v>5</v>
      </c>
      <c r="C674" s="1">
        <v>4001</v>
      </c>
      <c r="D674" s="1" t="s">
        <v>51</v>
      </c>
      <c r="E674" s="1" t="s">
        <v>39</v>
      </c>
      <c r="F674" s="1" t="s">
        <v>648</v>
      </c>
      <c r="G674" s="1">
        <v>0</v>
      </c>
      <c r="H674" s="1" t="s">
        <v>53</v>
      </c>
      <c r="I674" s="1" t="s">
        <v>7976</v>
      </c>
      <c r="J674" s="1" t="s">
        <v>7977</v>
      </c>
      <c r="K674" s="1" t="s">
        <v>7978</v>
      </c>
      <c r="L674" s="1">
        <v>1</v>
      </c>
      <c r="M674" s="1">
        <v>0</v>
      </c>
      <c r="N674" s="1" t="s">
        <v>7979</v>
      </c>
      <c r="O674" s="1" t="s">
        <v>7980</v>
      </c>
      <c r="P674" s="1" t="s">
        <v>7981</v>
      </c>
      <c r="Q674" s="1">
        <v>0</v>
      </c>
      <c r="R674" s="1" t="s">
        <v>7982</v>
      </c>
      <c r="S674" s="1" t="s">
        <v>7983</v>
      </c>
      <c r="U674" s="2">
        <v>56769</v>
      </c>
      <c r="V674" s="1">
        <v>4.4000000000000004</v>
      </c>
      <c r="W674" s="1">
        <v>2000</v>
      </c>
      <c r="X674" s="1">
        <v>1785</v>
      </c>
      <c r="Y674" s="1">
        <v>830</v>
      </c>
      <c r="Z674" s="1">
        <v>300</v>
      </c>
      <c r="AA674" s="1">
        <v>655</v>
      </c>
      <c r="AB674" s="1">
        <v>0</v>
      </c>
      <c r="AC674" s="1">
        <v>5</v>
      </c>
      <c r="AD674" s="1" t="s">
        <v>62</v>
      </c>
      <c r="AE674" s="1" t="s">
        <v>7984</v>
      </c>
      <c r="AF674" s="1" t="s">
        <v>7985</v>
      </c>
      <c r="AG674" s="1" t="s">
        <v>7986</v>
      </c>
      <c r="AH674" s="1" t="s">
        <v>7987</v>
      </c>
      <c r="AI674" s="1">
        <v>4.7</v>
      </c>
      <c r="AJ674" s="1">
        <v>443</v>
      </c>
      <c r="AK674" s="1">
        <v>1579</v>
      </c>
    </row>
    <row r="675" spans="1:38" ht="15.75" customHeight="1">
      <c r="A675" s="1">
        <v>142</v>
      </c>
      <c r="B675" s="1">
        <v>5</v>
      </c>
      <c r="C675" s="1">
        <v>4001</v>
      </c>
      <c r="D675" s="1" t="s">
        <v>51</v>
      </c>
      <c r="E675" s="1" t="s">
        <v>39</v>
      </c>
      <c r="F675" s="1" t="s">
        <v>52</v>
      </c>
      <c r="G675" s="1">
        <v>0</v>
      </c>
      <c r="H675" s="1" t="s">
        <v>53</v>
      </c>
      <c r="I675" s="1" t="s">
        <v>7988</v>
      </c>
      <c r="J675" s="1" t="s">
        <v>7989</v>
      </c>
      <c r="K675" s="1" t="s">
        <v>7990</v>
      </c>
      <c r="L675" s="1">
        <v>1</v>
      </c>
      <c r="M675" s="1">
        <v>0</v>
      </c>
      <c r="N675" s="1" t="s">
        <v>7991</v>
      </c>
      <c r="O675" s="1" t="s">
        <v>7992</v>
      </c>
      <c r="P675" s="1" t="s">
        <v>7993</v>
      </c>
      <c r="Q675" s="1">
        <v>0</v>
      </c>
      <c r="R675" s="1" t="s">
        <v>7994</v>
      </c>
      <c r="S675" s="1" t="s">
        <v>7995</v>
      </c>
      <c r="U675" s="2">
        <v>56767</v>
      </c>
      <c r="V675" s="1">
        <v>3.897026173</v>
      </c>
      <c r="W675" s="1">
        <v>2000</v>
      </c>
      <c r="X675" s="1">
        <v>2385</v>
      </c>
      <c r="Y675" s="1">
        <v>495</v>
      </c>
      <c r="Z675" s="1">
        <v>292</v>
      </c>
      <c r="AA675" s="1">
        <v>1598</v>
      </c>
      <c r="AB675" s="1">
        <v>1</v>
      </c>
      <c r="AC675" s="1">
        <v>2</v>
      </c>
      <c r="AE675" s="1" t="s">
        <v>7996</v>
      </c>
      <c r="AF675" s="1" t="s">
        <v>7997</v>
      </c>
      <c r="AG675" s="1" t="s">
        <v>7998</v>
      </c>
      <c r="AH675" s="1" t="s">
        <v>7999</v>
      </c>
      <c r="AI675" s="1">
        <v>4.17</v>
      </c>
      <c r="AJ675" s="1">
        <v>457</v>
      </c>
      <c r="AK675" s="1">
        <v>1599</v>
      </c>
    </row>
    <row r="676" spans="1:38" ht="15.75" customHeight="1">
      <c r="A676" s="1">
        <v>197</v>
      </c>
      <c r="C676" s="1">
        <v>4001</v>
      </c>
      <c r="D676" s="1" t="s">
        <v>51</v>
      </c>
      <c r="E676" s="1" t="s">
        <v>39</v>
      </c>
      <c r="F676" s="1" t="s">
        <v>52</v>
      </c>
      <c r="G676" s="1">
        <v>0</v>
      </c>
      <c r="H676" s="1" t="s">
        <v>53</v>
      </c>
      <c r="I676" s="1" t="s">
        <v>8000</v>
      </c>
      <c r="J676" s="1" t="s">
        <v>8001</v>
      </c>
      <c r="K676" s="1" t="s">
        <v>8002</v>
      </c>
      <c r="L676" s="1">
        <v>1</v>
      </c>
      <c r="M676" s="1">
        <v>0</v>
      </c>
      <c r="N676" s="1" t="s">
        <v>8003</v>
      </c>
      <c r="O676" s="1" t="s">
        <v>8004</v>
      </c>
      <c r="P676" s="1" t="s">
        <v>8005</v>
      </c>
      <c r="Q676" s="1">
        <v>0</v>
      </c>
      <c r="R676" s="1" t="s">
        <v>8006</v>
      </c>
      <c r="S676" s="1" t="s">
        <v>8007</v>
      </c>
      <c r="U676" s="2">
        <v>56767</v>
      </c>
      <c r="V676" s="1">
        <v>4.5</v>
      </c>
      <c r="W676" s="1">
        <v>2000</v>
      </c>
      <c r="X676" s="1">
        <v>1706</v>
      </c>
      <c r="Y676" s="1">
        <v>453</v>
      </c>
      <c r="Z676" s="1">
        <v>206</v>
      </c>
      <c r="AA676" s="1">
        <v>1047</v>
      </c>
      <c r="AB676" s="1">
        <v>0</v>
      </c>
      <c r="AC676" s="1">
        <v>2</v>
      </c>
      <c r="AD676" s="1" t="s">
        <v>215</v>
      </c>
      <c r="AE676" s="1" t="s">
        <v>8008</v>
      </c>
      <c r="AF676" s="1" t="s">
        <v>8009</v>
      </c>
      <c r="AG676" s="1" t="s">
        <v>8010</v>
      </c>
      <c r="AH676" s="1" t="s">
        <v>8011</v>
      </c>
      <c r="AI676" s="1">
        <v>4.17</v>
      </c>
      <c r="AJ676" s="1">
        <v>457</v>
      </c>
      <c r="AK676" s="1">
        <v>1599</v>
      </c>
    </row>
    <row r="677" spans="1:38" ht="15.75" customHeight="1">
      <c r="A677" s="1">
        <v>591</v>
      </c>
      <c r="C677" s="1">
        <v>4050</v>
      </c>
      <c r="D677" s="1" t="s">
        <v>38</v>
      </c>
      <c r="E677" s="1" t="s">
        <v>39</v>
      </c>
      <c r="F677" s="1" t="s">
        <v>695</v>
      </c>
      <c r="G677" s="1">
        <v>0</v>
      </c>
      <c r="H677" s="1" t="s">
        <v>41</v>
      </c>
      <c r="I677" s="1" t="s">
        <v>8012</v>
      </c>
      <c r="J677" s="1" t="s">
        <v>8013</v>
      </c>
      <c r="K677" s="1" t="s">
        <v>8014</v>
      </c>
      <c r="L677" s="1">
        <v>1</v>
      </c>
      <c r="M677" s="1">
        <v>0</v>
      </c>
      <c r="N677" s="1" t="s">
        <v>8015</v>
      </c>
      <c r="O677" s="1" t="s">
        <v>8016</v>
      </c>
      <c r="P677" s="1" t="s">
        <v>8017</v>
      </c>
      <c r="Q677" s="1">
        <v>0</v>
      </c>
      <c r="R677" s="1" t="s">
        <v>8018</v>
      </c>
      <c r="S677" s="1" t="s">
        <v>8019</v>
      </c>
      <c r="U677" s="2">
        <v>56770</v>
      </c>
      <c r="V677" s="1">
        <v>4.5</v>
      </c>
      <c r="W677" s="1">
        <v>2000</v>
      </c>
      <c r="X677" s="1">
        <v>2408</v>
      </c>
      <c r="Y677" s="1">
        <v>869</v>
      </c>
      <c r="Z677" s="1">
        <v>327</v>
      </c>
      <c r="AA677" s="1">
        <v>1212</v>
      </c>
      <c r="AB677" s="1">
        <v>0</v>
      </c>
      <c r="AC677" s="1">
        <v>1</v>
      </c>
      <c r="AD677" s="1" t="s">
        <v>76</v>
      </c>
      <c r="AE677" s="1" t="s">
        <v>8020</v>
      </c>
      <c r="AF677" s="1" t="s">
        <v>8021</v>
      </c>
      <c r="AG677" s="1" t="s">
        <v>8022</v>
      </c>
      <c r="AH677" s="1" t="s">
        <v>8023</v>
      </c>
      <c r="AI677" s="1">
        <v>4.38</v>
      </c>
      <c r="AJ677" s="1">
        <v>196</v>
      </c>
      <c r="AK677" s="1">
        <v>626</v>
      </c>
    </row>
    <row r="678" spans="1:38" ht="15.75" customHeight="1">
      <c r="A678" s="1">
        <v>611</v>
      </c>
      <c r="C678" s="1">
        <v>4001</v>
      </c>
      <c r="D678" s="1" t="s">
        <v>51</v>
      </c>
      <c r="E678" s="1" t="s">
        <v>39</v>
      </c>
      <c r="F678" s="1" t="s">
        <v>92</v>
      </c>
      <c r="G678" s="1">
        <v>0</v>
      </c>
      <c r="H678" s="1" t="s">
        <v>41</v>
      </c>
      <c r="I678" s="1" t="s">
        <v>8024</v>
      </c>
      <c r="J678" s="1" t="s">
        <v>8025</v>
      </c>
      <c r="K678" s="1" t="s">
        <v>8026</v>
      </c>
      <c r="L678" s="1">
        <v>1</v>
      </c>
      <c r="M678" s="1">
        <v>0</v>
      </c>
      <c r="N678" s="1" t="s">
        <v>8027</v>
      </c>
      <c r="O678" s="1" t="s">
        <v>8028</v>
      </c>
      <c r="P678" s="1" t="s">
        <v>8029</v>
      </c>
      <c r="Q678" s="1">
        <v>0</v>
      </c>
      <c r="R678" s="1" t="s">
        <v>8030</v>
      </c>
      <c r="S678" s="1" t="s">
        <v>8031</v>
      </c>
      <c r="U678" s="2">
        <v>56770</v>
      </c>
      <c r="V678" s="1">
        <v>3.5823180799999998</v>
      </c>
      <c r="W678" s="1">
        <v>2000</v>
      </c>
      <c r="X678" s="1">
        <v>1713</v>
      </c>
      <c r="Y678" s="1">
        <v>1318</v>
      </c>
      <c r="Z678" s="1">
        <v>75</v>
      </c>
      <c r="AA678" s="1">
        <v>320</v>
      </c>
      <c r="AB678" s="1">
        <v>0</v>
      </c>
      <c r="AC678" s="1">
        <v>1</v>
      </c>
      <c r="AD678" s="1" t="s">
        <v>76</v>
      </c>
      <c r="AE678" s="1" t="s">
        <v>8032</v>
      </c>
      <c r="AF678" s="1" t="s">
        <v>8033</v>
      </c>
      <c r="AG678" s="1" t="s">
        <v>8034</v>
      </c>
      <c r="AH678" s="1" t="s">
        <v>8035</v>
      </c>
      <c r="AI678" s="1">
        <v>4.03</v>
      </c>
      <c r="AJ678" s="1">
        <v>505</v>
      </c>
      <c r="AK678" s="1">
        <v>1721</v>
      </c>
      <c r="AL678" s="1">
        <v>457</v>
      </c>
    </row>
    <row r="679" spans="1:38" ht="15.75" customHeight="1">
      <c r="A679" s="1">
        <v>818</v>
      </c>
      <c r="C679" s="1">
        <v>4001</v>
      </c>
      <c r="D679" s="1" t="s">
        <v>51</v>
      </c>
      <c r="E679" s="1" t="s">
        <v>39</v>
      </c>
      <c r="F679" s="1" t="s">
        <v>341</v>
      </c>
      <c r="G679" s="1">
        <v>0</v>
      </c>
      <c r="H679" s="1" t="s">
        <v>41</v>
      </c>
      <c r="I679" s="1" t="s">
        <v>8036</v>
      </c>
      <c r="J679" s="1" t="s">
        <v>8037</v>
      </c>
      <c r="K679" s="1" t="s">
        <v>8038</v>
      </c>
      <c r="L679" s="1">
        <v>1</v>
      </c>
      <c r="M679" s="1">
        <v>0</v>
      </c>
      <c r="N679" s="1" t="s">
        <v>8039</v>
      </c>
      <c r="O679" s="1" t="s">
        <v>8040</v>
      </c>
      <c r="P679" s="1" t="s">
        <v>8041</v>
      </c>
      <c r="Q679" s="1">
        <v>0</v>
      </c>
      <c r="R679" s="1" t="s">
        <v>8042</v>
      </c>
      <c r="S679" s="1" t="s">
        <v>8043</v>
      </c>
      <c r="U679" s="2">
        <v>56771</v>
      </c>
      <c r="V679" s="1">
        <v>4.5</v>
      </c>
      <c r="W679" s="1">
        <v>2000</v>
      </c>
      <c r="X679" s="1">
        <v>1847</v>
      </c>
      <c r="Y679" s="1">
        <v>359</v>
      </c>
      <c r="Z679" s="1">
        <v>916</v>
      </c>
      <c r="AA679" s="1">
        <v>572</v>
      </c>
      <c r="AB679" s="1">
        <v>0</v>
      </c>
      <c r="AC679" s="1">
        <v>3</v>
      </c>
      <c r="AE679" s="1" t="s">
        <v>8044</v>
      </c>
      <c r="AF679" s="1" t="s">
        <v>8045</v>
      </c>
      <c r="AG679" s="1" t="s">
        <v>8046</v>
      </c>
      <c r="AH679" s="1" t="s">
        <v>8047</v>
      </c>
      <c r="AI679" s="1">
        <v>4.54</v>
      </c>
      <c r="AJ679" s="1">
        <v>2229</v>
      </c>
      <c r="AK679" s="1">
        <v>6580</v>
      </c>
    </row>
    <row r="680" spans="1:38" ht="15.75" customHeight="1">
      <c r="A680" s="1">
        <v>1231</v>
      </c>
      <c r="B680" s="1">
        <v>5</v>
      </c>
      <c r="C680" s="1">
        <v>4001</v>
      </c>
      <c r="D680" s="1" t="s">
        <v>51</v>
      </c>
      <c r="E680" s="1" t="s">
        <v>39</v>
      </c>
      <c r="F680" s="1" t="s">
        <v>2338</v>
      </c>
      <c r="G680" s="1">
        <v>0</v>
      </c>
      <c r="H680" s="1" t="s">
        <v>53</v>
      </c>
      <c r="I680" s="1" t="s">
        <v>8048</v>
      </c>
      <c r="J680" s="1" t="s">
        <v>8049</v>
      </c>
      <c r="K680" s="1" t="s">
        <v>8049</v>
      </c>
      <c r="L680" s="1">
        <v>0</v>
      </c>
      <c r="M680" s="1">
        <v>0</v>
      </c>
      <c r="N680" s="1" t="s">
        <v>8050</v>
      </c>
      <c r="O680" s="1" t="s">
        <v>8051</v>
      </c>
      <c r="P680" s="1" t="s">
        <v>8052</v>
      </c>
      <c r="Q680" s="1">
        <v>0</v>
      </c>
      <c r="R680" s="1" t="s">
        <v>8053</v>
      </c>
      <c r="S680" s="1" t="s">
        <v>8054</v>
      </c>
      <c r="U680" s="2">
        <v>56776</v>
      </c>
      <c r="V680" s="1">
        <v>3.4920495150000002</v>
      </c>
      <c r="W680" s="1">
        <v>2000</v>
      </c>
      <c r="X680" s="1">
        <v>1578</v>
      </c>
      <c r="Y680" s="1">
        <v>350</v>
      </c>
      <c r="Z680" s="1">
        <v>448</v>
      </c>
      <c r="AA680" s="1">
        <v>780</v>
      </c>
      <c r="AB680" s="1">
        <v>0</v>
      </c>
      <c r="AC680" s="1">
        <v>2</v>
      </c>
      <c r="AD680" s="1" t="s">
        <v>62</v>
      </c>
      <c r="AE680" s="1" t="s">
        <v>8055</v>
      </c>
      <c r="AF680" s="1" t="s">
        <v>8056</v>
      </c>
      <c r="AG680" s="1" t="s">
        <v>8057</v>
      </c>
      <c r="AH680" s="1" t="s">
        <v>8058</v>
      </c>
      <c r="AI680" s="1">
        <v>4.3510638300000002</v>
      </c>
      <c r="AJ680" s="1">
        <v>62</v>
      </c>
      <c r="AK680" s="1">
        <v>228</v>
      </c>
    </row>
    <row r="681" spans="1:38" ht="15.75" customHeight="1">
      <c r="A681" s="1">
        <v>1274</v>
      </c>
      <c r="B681" s="1">
        <v>5</v>
      </c>
      <c r="C681" s="1">
        <v>4001</v>
      </c>
      <c r="D681" s="1" t="s">
        <v>51</v>
      </c>
      <c r="E681" s="1" t="s">
        <v>39</v>
      </c>
      <c r="F681" s="1" t="s">
        <v>414</v>
      </c>
      <c r="G681" s="1">
        <v>0</v>
      </c>
      <c r="H681" s="1" t="s">
        <v>53</v>
      </c>
      <c r="I681" s="1" t="s">
        <v>8059</v>
      </c>
      <c r="J681" s="1" t="s">
        <v>8060</v>
      </c>
      <c r="K681" s="1" t="s">
        <v>8061</v>
      </c>
      <c r="L681" s="1">
        <v>1</v>
      </c>
      <c r="M681" s="1">
        <v>0</v>
      </c>
      <c r="N681" s="1" t="s">
        <v>8062</v>
      </c>
      <c r="O681" s="1" t="s">
        <v>8063</v>
      </c>
      <c r="P681" s="1" t="s">
        <v>8064</v>
      </c>
      <c r="Q681" s="1">
        <v>0</v>
      </c>
      <c r="R681" s="1" t="s">
        <v>8065</v>
      </c>
      <c r="S681" s="1" t="s">
        <v>8066</v>
      </c>
      <c r="U681" s="2">
        <v>56776</v>
      </c>
      <c r="V681" s="1">
        <v>4.5</v>
      </c>
      <c r="W681" s="1">
        <v>2000</v>
      </c>
      <c r="X681" s="1">
        <v>1194</v>
      </c>
      <c r="Y681" s="1">
        <v>450</v>
      </c>
      <c r="Z681" s="1">
        <v>21</v>
      </c>
      <c r="AA681" s="1">
        <v>723</v>
      </c>
      <c r="AB681" s="1">
        <v>0</v>
      </c>
      <c r="AC681" s="1">
        <v>1</v>
      </c>
      <c r="AD681" s="1" t="s">
        <v>215</v>
      </c>
      <c r="AE681" s="1" t="s">
        <v>8067</v>
      </c>
      <c r="AF681" s="1" t="s">
        <v>8068</v>
      </c>
      <c r="AG681" s="1" t="s">
        <v>8069</v>
      </c>
      <c r="AH681" s="1" t="s">
        <v>8070</v>
      </c>
      <c r="AI681" s="1">
        <v>4.58</v>
      </c>
      <c r="AJ681" s="1">
        <v>254</v>
      </c>
      <c r="AK681" s="1">
        <v>788</v>
      </c>
      <c r="AL681" s="1">
        <v>9</v>
      </c>
    </row>
    <row r="682" spans="1:38" ht="15.75" customHeight="1">
      <c r="A682" s="1">
        <v>192</v>
      </c>
      <c r="C682" s="1">
        <v>4050</v>
      </c>
      <c r="D682" s="1" t="s">
        <v>38</v>
      </c>
      <c r="E682" s="1" t="s">
        <v>39</v>
      </c>
      <c r="F682" s="1" t="s">
        <v>40</v>
      </c>
      <c r="G682" s="1">
        <v>0</v>
      </c>
      <c r="H682" s="1" t="s">
        <v>41</v>
      </c>
      <c r="I682" s="1" t="s">
        <v>8071</v>
      </c>
      <c r="J682" s="1" t="s">
        <v>8072</v>
      </c>
      <c r="K682" s="1" t="s">
        <v>8073</v>
      </c>
      <c r="L682" s="1">
        <v>1</v>
      </c>
      <c r="M682" s="1">
        <v>0</v>
      </c>
      <c r="N682" s="1" t="s">
        <v>8074</v>
      </c>
      <c r="O682" s="1" t="s">
        <v>8075</v>
      </c>
      <c r="P682" s="1" t="s">
        <v>8076</v>
      </c>
      <c r="Q682" s="1">
        <v>0</v>
      </c>
      <c r="R682" s="1" t="s">
        <v>8077</v>
      </c>
      <c r="S682" s="1" t="s">
        <v>8078</v>
      </c>
      <c r="U682" s="2">
        <v>56767</v>
      </c>
      <c r="V682" s="1">
        <v>4.5999999999999996</v>
      </c>
      <c r="W682" s="1">
        <v>2000</v>
      </c>
      <c r="X682" s="1">
        <v>1182</v>
      </c>
      <c r="Y682" s="1">
        <v>234</v>
      </c>
      <c r="Z682" s="1">
        <v>184</v>
      </c>
      <c r="AA682" s="1">
        <v>764</v>
      </c>
      <c r="AB682" s="1">
        <v>0</v>
      </c>
      <c r="AC682" s="1">
        <v>1</v>
      </c>
      <c r="AD682" s="1" t="s">
        <v>76</v>
      </c>
      <c r="AE682" s="1" t="s">
        <v>8079</v>
      </c>
      <c r="AF682" s="1" t="s">
        <v>8080</v>
      </c>
      <c r="AG682" s="1" t="s">
        <v>8081</v>
      </c>
      <c r="AH682" s="1" t="s">
        <v>8082</v>
      </c>
      <c r="AI682" s="1">
        <v>4.7</v>
      </c>
      <c r="AJ682" s="1">
        <v>1261</v>
      </c>
      <c r="AK682" s="1">
        <v>3264</v>
      </c>
      <c r="AL682" s="1">
        <v>232</v>
      </c>
    </row>
    <row r="683" spans="1:38" ht="15.75" customHeight="1">
      <c r="A683" s="1">
        <v>376</v>
      </c>
      <c r="B683" s="1">
        <v>5</v>
      </c>
      <c r="C683" s="1">
        <v>4001</v>
      </c>
      <c r="D683" s="1" t="s">
        <v>51</v>
      </c>
      <c r="E683" s="1" t="s">
        <v>39</v>
      </c>
      <c r="F683" s="1" t="s">
        <v>341</v>
      </c>
      <c r="G683" s="1">
        <v>0</v>
      </c>
      <c r="H683" s="1" t="s">
        <v>41</v>
      </c>
      <c r="I683" s="1" t="s">
        <v>8083</v>
      </c>
      <c r="J683" s="1" t="s">
        <v>8084</v>
      </c>
      <c r="K683" s="1" t="s">
        <v>8085</v>
      </c>
      <c r="L683" s="1">
        <v>1</v>
      </c>
      <c r="M683" s="1">
        <v>0</v>
      </c>
      <c r="N683" s="1" t="s">
        <v>8086</v>
      </c>
      <c r="O683" s="1" t="s">
        <v>8087</v>
      </c>
      <c r="P683" s="1" t="s">
        <v>8088</v>
      </c>
      <c r="Q683" s="1">
        <v>0</v>
      </c>
      <c r="R683" s="1" t="s">
        <v>8089</v>
      </c>
      <c r="S683" s="1" t="s">
        <v>8090</v>
      </c>
      <c r="U683" s="2">
        <v>56768</v>
      </c>
      <c r="V683" s="1">
        <v>4.5</v>
      </c>
      <c r="W683" s="1">
        <v>2000</v>
      </c>
      <c r="X683" s="1">
        <v>1942</v>
      </c>
      <c r="Y683" s="1">
        <v>342</v>
      </c>
      <c r="Z683" s="1">
        <v>413</v>
      </c>
      <c r="AA683" s="1">
        <v>1187</v>
      </c>
      <c r="AB683" s="1">
        <v>0</v>
      </c>
      <c r="AC683" s="1">
        <v>2</v>
      </c>
      <c r="AD683" s="1" t="s">
        <v>215</v>
      </c>
      <c r="AE683" s="1" t="s">
        <v>8091</v>
      </c>
      <c r="AF683" s="1" t="s">
        <v>8092</v>
      </c>
      <c r="AG683" s="1" t="s">
        <v>8093</v>
      </c>
      <c r="AH683" s="1" t="s">
        <v>8094</v>
      </c>
      <c r="AI683" s="1">
        <v>4.54</v>
      </c>
      <c r="AJ683" s="1">
        <v>2229</v>
      </c>
      <c r="AK683" s="1">
        <v>6580</v>
      </c>
    </row>
    <row r="684" spans="1:38" ht="15.75" customHeight="1">
      <c r="A684" s="1">
        <v>897</v>
      </c>
      <c r="C684" s="1">
        <v>4050</v>
      </c>
      <c r="D684" s="1" t="s">
        <v>38</v>
      </c>
      <c r="E684" s="1" t="s">
        <v>39</v>
      </c>
      <c r="F684" s="1" t="s">
        <v>510</v>
      </c>
      <c r="G684" s="1">
        <v>0</v>
      </c>
      <c r="H684" s="1" t="s">
        <v>41</v>
      </c>
      <c r="I684" s="1" t="s">
        <v>8095</v>
      </c>
      <c r="J684" s="1" t="s">
        <v>8096</v>
      </c>
      <c r="K684" s="1" t="s">
        <v>8097</v>
      </c>
      <c r="L684" s="1">
        <v>1</v>
      </c>
      <c r="M684" s="1">
        <v>0</v>
      </c>
      <c r="N684" s="1" t="s">
        <v>8098</v>
      </c>
      <c r="O684" s="1" t="s">
        <v>8099</v>
      </c>
      <c r="P684" s="1" t="s">
        <v>8100</v>
      </c>
      <c r="Q684" s="1">
        <v>0</v>
      </c>
      <c r="R684" s="1" t="s">
        <v>8101</v>
      </c>
      <c r="S684" s="1" t="s">
        <v>8102</v>
      </c>
      <c r="U684" s="2">
        <v>56772</v>
      </c>
      <c r="V684" s="1">
        <v>4.5</v>
      </c>
      <c r="W684" s="1">
        <v>2000</v>
      </c>
      <c r="X684" s="1">
        <v>1570</v>
      </c>
      <c r="Y684" s="1">
        <v>880</v>
      </c>
      <c r="Z684" s="1">
        <v>60</v>
      </c>
      <c r="AA684" s="1">
        <v>630</v>
      </c>
      <c r="AB684" s="1">
        <v>0</v>
      </c>
      <c r="AC684" s="1">
        <v>1</v>
      </c>
      <c r="AD684" s="1" t="s">
        <v>76</v>
      </c>
      <c r="AE684" s="1" t="s">
        <v>8103</v>
      </c>
      <c r="AF684" s="1" t="s">
        <v>8104</v>
      </c>
      <c r="AG684" s="1" t="s">
        <v>8105</v>
      </c>
      <c r="AH684" s="1" t="s">
        <v>8106</v>
      </c>
      <c r="AI684" s="1">
        <v>4.62</v>
      </c>
      <c r="AJ684" s="1">
        <v>259</v>
      </c>
      <c r="AK684" s="1">
        <v>604</v>
      </c>
      <c r="AL684" s="1">
        <v>21</v>
      </c>
    </row>
    <row r="685" spans="1:38" ht="15.75" customHeight="1">
      <c r="A685" s="1">
        <v>710</v>
      </c>
      <c r="B685" s="1">
        <v>5</v>
      </c>
      <c r="C685" s="1">
        <v>4001</v>
      </c>
      <c r="D685" s="1" t="s">
        <v>51</v>
      </c>
      <c r="E685" s="1" t="s">
        <v>39</v>
      </c>
      <c r="F685" s="1" t="s">
        <v>648</v>
      </c>
      <c r="G685" s="1">
        <v>0</v>
      </c>
      <c r="H685" s="1" t="s">
        <v>53</v>
      </c>
      <c r="I685" s="1" t="s">
        <v>8107</v>
      </c>
      <c r="J685" s="1" t="s">
        <v>8108</v>
      </c>
      <c r="K685" s="1" t="s">
        <v>8109</v>
      </c>
      <c r="L685" s="1">
        <v>1</v>
      </c>
      <c r="M685" s="1">
        <v>0</v>
      </c>
      <c r="N685" s="1" t="s">
        <v>8110</v>
      </c>
      <c r="O685" s="1" t="s">
        <v>8111</v>
      </c>
      <c r="P685" s="1" t="s">
        <v>8112</v>
      </c>
      <c r="Q685" s="1">
        <v>0</v>
      </c>
      <c r="R685" s="1" t="s">
        <v>8113</v>
      </c>
      <c r="S685" s="1" t="s">
        <v>8114</v>
      </c>
      <c r="U685" s="2">
        <v>56770</v>
      </c>
      <c r="V685" s="1">
        <v>4.3</v>
      </c>
      <c r="W685" s="1">
        <v>2000</v>
      </c>
      <c r="X685" s="1">
        <v>2636</v>
      </c>
      <c r="Y685" s="1">
        <v>715</v>
      </c>
      <c r="Z685" s="1">
        <v>1123</v>
      </c>
      <c r="AA685" s="1">
        <v>798</v>
      </c>
      <c r="AB685" s="1">
        <v>1</v>
      </c>
      <c r="AC685" s="1">
        <v>4</v>
      </c>
      <c r="AE685" s="1" t="s">
        <v>8115</v>
      </c>
      <c r="AF685" s="1" t="s">
        <v>8116</v>
      </c>
      <c r="AG685" s="1" t="s">
        <v>8117</v>
      </c>
      <c r="AH685" s="1" t="s">
        <v>8118</v>
      </c>
      <c r="AI685" s="1">
        <v>4.7</v>
      </c>
      <c r="AJ685" s="1">
        <v>443</v>
      </c>
      <c r="AK685" s="1">
        <v>1579</v>
      </c>
    </row>
    <row r="686" spans="1:38" ht="15.75" customHeight="1">
      <c r="A686" s="1">
        <v>501</v>
      </c>
      <c r="B686" s="1">
        <v>5</v>
      </c>
      <c r="C686" s="1">
        <v>4050</v>
      </c>
      <c r="D686" s="1" t="s">
        <v>38</v>
      </c>
      <c r="E686" s="1" t="s">
        <v>39</v>
      </c>
      <c r="F686" s="1" t="s">
        <v>40</v>
      </c>
      <c r="G686" s="1">
        <v>0</v>
      </c>
      <c r="H686" s="1" t="s">
        <v>41</v>
      </c>
      <c r="I686" s="1" t="s">
        <v>8119</v>
      </c>
      <c r="J686" s="1" t="s">
        <v>8120</v>
      </c>
      <c r="K686" s="1" t="s">
        <v>8121</v>
      </c>
      <c r="L686" s="1">
        <v>1</v>
      </c>
      <c r="M686" s="1">
        <v>0</v>
      </c>
      <c r="N686" s="1" t="s">
        <v>8122</v>
      </c>
      <c r="O686" s="1" t="s">
        <v>8123</v>
      </c>
      <c r="P686" s="1" t="s">
        <v>8124</v>
      </c>
      <c r="Q686" s="1">
        <v>0</v>
      </c>
      <c r="R686" s="1" t="s">
        <v>8125</v>
      </c>
      <c r="S686" s="1" t="s">
        <v>8126</v>
      </c>
      <c r="U686" s="2">
        <v>56769</v>
      </c>
      <c r="V686" s="1">
        <v>4.5</v>
      </c>
      <c r="W686" s="1">
        <v>2000</v>
      </c>
      <c r="X686" s="1">
        <v>1586</v>
      </c>
      <c r="Y686" s="1">
        <v>199</v>
      </c>
      <c r="Z686" s="1">
        <v>610</v>
      </c>
      <c r="AA686" s="1">
        <v>777</v>
      </c>
      <c r="AB686" s="1">
        <v>0</v>
      </c>
      <c r="AC686" s="1">
        <v>4</v>
      </c>
      <c r="AD686" s="1" t="s">
        <v>62</v>
      </c>
      <c r="AE686" s="1" t="s">
        <v>8127</v>
      </c>
      <c r="AF686" s="1" t="s">
        <v>8128</v>
      </c>
      <c r="AG686" s="1" t="s">
        <v>8129</v>
      </c>
      <c r="AH686" s="1" t="s">
        <v>8130</v>
      </c>
      <c r="AI686" s="1">
        <v>4.7</v>
      </c>
      <c r="AJ686" s="1">
        <v>1261</v>
      </c>
      <c r="AK686" s="1">
        <v>3264</v>
      </c>
      <c r="AL686" s="1">
        <v>232</v>
      </c>
    </row>
    <row r="687" spans="1:38" ht="15.75" customHeight="1">
      <c r="A687" s="1">
        <v>296</v>
      </c>
      <c r="B687" s="1">
        <v>5</v>
      </c>
      <c r="C687" s="1">
        <v>4050</v>
      </c>
      <c r="D687" s="1" t="s">
        <v>38</v>
      </c>
      <c r="E687" s="1" t="s">
        <v>39</v>
      </c>
      <c r="F687" s="1" t="s">
        <v>40</v>
      </c>
      <c r="G687" s="1">
        <v>0</v>
      </c>
      <c r="H687" s="1" t="s">
        <v>41</v>
      </c>
      <c r="I687" s="1" t="s">
        <v>8131</v>
      </c>
      <c r="J687" s="1" t="s">
        <v>8132</v>
      </c>
      <c r="K687" s="1" t="s">
        <v>8133</v>
      </c>
      <c r="L687" s="1">
        <v>1</v>
      </c>
      <c r="M687" s="1">
        <v>0</v>
      </c>
      <c r="N687" s="1" t="s">
        <v>8134</v>
      </c>
      <c r="O687" s="1" t="s">
        <v>8135</v>
      </c>
      <c r="P687" s="1" t="s">
        <v>8136</v>
      </c>
      <c r="Q687" s="1">
        <v>0</v>
      </c>
      <c r="R687" s="1" t="s">
        <v>8137</v>
      </c>
      <c r="U687" s="2">
        <v>56768</v>
      </c>
      <c r="V687" s="1">
        <v>4.5999999999999996</v>
      </c>
      <c r="W687" s="1">
        <v>2000</v>
      </c>
      <c r="X687" s="1">
        <v>1286</v>
      </c>
      <c r="AA687" s="1">
        <v>363</v>
      </c>
      <c r="AB687" s="1">
        <v>0</v>
      </c>
      <c r="AC687" s="1">
        <v>6</v>
      </c>
      <c r="AE687" s="1" t="s">
        <v>8138</v>
      </c>
      <c r="AF687" s="1" t="s">
        <v>8139</v>
      </c>
      <c r="AG687" s="1" t="s">
        <v>8140</v>
      </c>
      <c r="AI687" s="1">
        <v>4.7</v>
      </c>
      <c r="AJ687" s="1">
        <v>1261</v>
      </c>
      <c r="AK687" s="1">
        <v>3264</v>
      </c>
      <c r="AL687" s="1">
        <v>232</v>
      </c>
    </row>
    <row r="688" spans="1:38" ht="15.75" customHeight="1">
      <c r="A688" s="1">
        <v>797</v>
      </c>
      <c r="B688" s="1">
        <v>5</v>
      </c>
      <c r="C688" s="1">
        <v>4050</v>
      </c>
      <c r="D688" s="1" t="s">
        <v>38</v>
      </c>
      <c r="E688" s="1" t="s">
        <v>39</v>
      </c>
      <c r="F688" s="1" t="s">
        <v>390</v>
      </c>
      <c r="G688" s="1">
        <v>0</v>
      </c>
      <c r="H688" s="1" t="s">
        <v>41</v>
      </c>
      <c r="I688" s="1" t="s">
        <v>8141</v>
      </c>
      <c r="J688" s="1" t="s">
        <v>8142</v>
      </c>
      <c r="K688" s="1" t="s">
        <v>8143</v>
      </c>
      <c r="L688" s="1">
        <v>1</v>
      </c>
      <c r="M688" s="1">
        <v>0</v>
      </c>
      <c r="N688" s="1" t="s">
        <v>8144</v>
      </c>
      <c r="O688" s="1" t="s">
        <v>8145</v>
      </c>
      <c r="P688" s="1" t="s">
        <v>8146</v>
      </c>
      <c r="Q688" s="1">
        <v>0</v>
      </c>
      <c r="R688" s="1" t="s">
        <v>8147</v>
      </c>
      <c r="S688" s="1" t="s">
        <v>8148</v>
      </c>
      <c r="U688" s="2">
        <v>56771</v>
      </c>
      <c r="V688" s="1">
        <v>4.7</v>
      </c>
      <c r="W688" s="1">
        <v>2000</v>
      </c>
      <c r="X688" s="1">
        <v>2354</v>
      </c>
      <c r="Y688" s="1">
        <v>822</v>
      </c>
      <c r="Z688" s="1">
        <v>281</v>
      </c>
      <c r="AA688" s="1">
        <v>1251</v>
      </c>
      <c r="AB688" s="1">
        <v>0</v>
      </c>
      <c r="AC688" s="1">
        <v>2</v>
      </c>
      <c r="AD688" s="1" t="s">
        <v>62</v>
      </c>
      <c r="AE688" s="1" t="s">
        <v>8149</v>
      </c>
      <c r="AF688" s="1" t="s">
        <v>8150</v>
      </c>
      <c r="AG688" s="1" t="s">
        <v>8151</v>
      </c>
      <c r="AH688" s="1" t="s">
        <v>8152</v>
      </c>
      <c r="AI688" s="1">
        <v>4.5599999999999996</v>
      </c>
      <c r="AJ688" s="1">
        <v>344</v>
      </c>
      <c r="AK688" s="1">
        <v>947</v>
      </c>
      <c r="AL688" s="1">
        <v>22</v>
      </c>
    </row>
    <row r="689" spans="1:38" ht="15.75" customHeight="1">
      <c r="A689" s="1">
        <v>955</v>
      </c>
      <c r="C689" s="1">
        <v>4050</v>
      </c>
      <c r="D689" s="1" t="s">
        <v>38</v>
      </c>
      <c r="E689" s="1" t="s">
        <v>39</v>
      </c>
      <c r="F689" s="1" t="s">
        <v>40</v>
      </c>
      <c r="G689" s="1">
        <v>0</v>
      </c>
      <c r="H689" s="1" t="s">
        <v>41</v>
      </c>
      <c r="I689" s="1" t="s">
        <v>8153</v>
      </c>
      <c r="J689" s="1" t="s">
        <v>8154</v>
      </c>
      <c r="K689" s="1" t="s">
        <v>8155</v>
      </c>
      <c r="L689" s="1">
        <v>1</v>
      </c>
      <c r="M689" s="1">
        <v>0</v>
      </c>
      <c r="N689" s="1" t="s">
        <v>8156</v>
      </c>
      <c r="O689" s="1" t="s">
        <v>8157</v>
      </c>
      <c r="P689" s="1" t="s">
        <v>8158</v>
      </c>
      <c r="Q689" s="1">
        <v>0</v>
      </c>
      <c r="R689" s="1" t="s">
        <v>8159</v>
      </c>
      <c r="S689" s="1" t="s">
        <v>8160</v>
      </c>
      <c r="U689" s="2">
        <v>56773</v>
      </c>
      <c r="V689" s="1">
        <v>4.5999999999999996</v>
      </c>
      <c r="W689" s="1">
        <v>2000</v>
      </c>
      <c r="X689" s="1">
        <v>2522</v>
      </c>
      <c r="Y689" s="1">
        <v>187</v>
      </c>
      <c r="Z689" s="1">
        <v>549</v>
      </c>
      <c r="AA689" s="1">
        <v>1786</v>
      </c>
      <c r="AB689" s="1">
        <v>0</v>
      </c>
      <c r="AC689" s="1">
        <v>1</v>
      </c>
      <c r="AD689" s="1" t="s">
        <v>62</v>
      </c>
      <c r="AE689" s="1" t="s">
        <v>8161</v>
      </c>
      <c r="AF689" s="1" t="s">
        <v>8162</v>
      </c>
      <c r="AG689" s="1" t="s">
        <v>8163</v>
      </c>
      <c r="AH689" s="1" t="s">
        <v>8164</v>
      </c>
      <c r="AI689" s="1">
        <v>4.7</v>
      </c>
      <c r="AJ689" s="1">
        <v>1261</v>
      </c>
      <c r="AK689" s="1">
        <v>3264</v>
      </c>
      <c r="AL689" s="1">
        <v>232</v>
      </c>
    </row>
    <row r="690" spans="1:38" ht="15.75" customHeight="1">
      <c r="A690" s="1">
        <v>53</v>
      </c>
      <c r="C690" s="1">
        <v>4050</v>
      </c>
      <c r="D690" s="1" t="s">
        <v>38</v>
      </c>
      <c r="E690" s="1" t="s">
        <v>39</v>
      </c>
      <c r="F690" s="1" t="s">
        <v>365</v>
      </c>
      <c r="G690" s="1">
        <v>0</v>
      </c>
      <c r="H690" s="1" t="s">
        <v>41</v>
      </c>
      <c r="I690" s="1" t="s">
        <v>8165</v>
      </c>
      <c r="J690" s="1" t="s">
        <v>8166</v>
      </c>
      <c r="K690" s="1" t="s">
        <v>8167</v>
      </c>
      <c r="L690" s="1">
        <v>1</v>
      </c>
      <c r="M690" s="1">
        <v>0</v>
      </c>
      <c r="N690" s="1" t="s">
        <v>8168</v>
      </c>
      <c r="O690" s="1" t="s">
        <v>8169</v>
      </c>
      <c r="P690" s="1" t="s">
        <v>8170</v>
      </c>
      <c r="Q690" s="1">
        <v>0</v>
      </c>
      <c r="R690" s="1" t="s">
        <v>8171</v>
      </c>
      <c r="S690" s="1" t="s">
        <v>8172</v>
      </c>
      <c r="U690" s="2">
        <v>56766</v>
      </c>
      <c r="V690" s="1">
        <v>4.7</v>
      </c>
      <c r="W690" s="1">
        <v>2000</v>
      </c>
      <c r="X690" s="1">
        <v>2703</v>
      </c>
      <c r="Y690" s="1">
        <v>801</v>
      </c>
      <c r="Z690" s="1">
        <v>479</v>
      </c>
      <c r="AA690" s="1">
        <v>1423</v>
      </c>
      <c r="AB690" s="1">
        <v>0</v>
      </c>
      <c r="AC690" s="1">
        <v>1</v>
      </c>
      <c r="AD690" s="1" t="s">
        <v>215</v>
      </c>
      <c r="AE690" s="1" t="s">
        <v>8173</v>
      </c>
      <c r="AF690" s="1" t="s">
        <v>8174</v>
      </c>
      <c r="AG690" s="1" t="s">
        <v>8175</v>
      </c>
      <c r="AH690" s="1" t="s">
        <v>8176</v>
      </c>
      <c r="AI690" s="1">
        <v>4.7699999999999996</v>
      </c>
      <c r="AJ690" s="1">
        <v>426</v>
      </c>
      <c r="AK690" s="1">
        <v>1226</v>
      </c>
      <c r="AL690" s="1">
        <v>85</v>
      </c>
    </row>
    <row r="691" spans="1:38" ht="15.75" customHeight="1">
      <c r="A691" s="1">
        <v>685</v>
      </c>
      <c r="C691" s="1">
        <v>4050</v>
      </c>
      <c r="D691" s="1" t="s">
        <v>38</v>
      </c>
      <c r="E691" s="1" t="s">
        <v>39</v>
      </c>
      <c r="F691" s="1" t="s">
        <v>532</v>
      </c>
      <c r="G691" s="1">
        <v>0</v>
      </c>
      <c r="H691" s="1" t="s">
        <v>41</v>
      </c>
      <c r="I691" s="1" t="s">
        <v>8177</v>
      </c>
      <c r="J691" s="1" t="s">
        <v>8178</v>
      </c>
      <c r="K691" s="1" t="s">
        <v>8179</v>
      </c>
      <c r="L691" s="1">
        <v>1</v>
      </c>
      <c r="M691" s="1">
        <v>0</v>
      </c>
      <c r="N691" s="1" t="s">
        <v>8180</v>
      </c>
      <c r="O691" s="1" t="s">
        <v>8181</v>
      </c>
      <c r="P691" s="1" t="s">
        <v>8182</v>
      </c>
      <c r="Q691" s="1">
        <v>0</v>
      </c>
      <c r="R691" s="1" t="s">
        <v>8183</v>
      </c>
      <c r="S691" s="1" t="s">
        <v>8184</v>
      </c>
      <c r="U691" s="2">
        <v>56770</v>
      </c>
      <c r="V691" s="1">
        <v>4.5999999999999996</v>
      </c>
      <c r="W691" s="1">
        <v>2000</v>
      </c>
      <c r="X691" s="1">
        <v>2003</v>
      </c>
      <c r="Y691" s="1">
        <v>955</v>
      </c>
      <c r="Z691" s="1">
        <v>244</v>
      </c>
      <c r="AA691" s="1">
        <v>804</v>
      </c>
      <c r="AB691" s="1">
        <v>0</v>
      </c>
      <c r="AC691" s="1">
        <v>2</v>
      </c>
      <c r="AD691" s="1" t="s">
        <v>76</v>
      </c>
      <c r="AE691" s="1" t="s">
        <v>8185</v>
      </c>
      <c r="AF691" s="1" t="s">
        <v>8186</v>
      </c>
      <c r="AG691" s="1" t="s">
        <v>8187</v>
      </c>
      <c r="AH691" s="1" t="s">
        <v>8188</v>
      </c>
      <c r="AI691" s="1">
        <v>4.63</v>
      </c>
      <c r="AJ691" s="1">
        <v>241</v>
      </c>
      <c r="AK691" s="1">
        <v>995</v>
      </c>
      <c r="AL691" s="1">
        <v>626</v>
      </c>
    </row>
    <row r="692" spans="1:38" ht="15.75" customHeight="1">
      <c r="A692" s="1">
        <v>1209</v>
      </c>
      <c r="B692" s="1">
        <v>1</v>
      </c>
      <c r="C692" s="1">
        <v>4001</v>
      </c>
      <c r="D692" s="1" t="s">
        <v>51</v>
      </c>
      <c r="E692" s="1" t="s">
        <v>39</v>
      </c>
      <c r="F692" s="1" t="s">
        <v>52</v>
      </c>
      <c r="G692" s="1">
        <v>0</v>
      </c>
      <c r="H692" s="1" t="s">
        <v>53</v>
      </c>
      <c r="I692" s="1" t="s">
        <v>8189</v>
      </c>
      <c r="J692" s="1" t="s">
        <v>8190</v>
      </c>
      <c r="K692" s="1" t="s">
        <v>8191</v>
      </c>
      <c r="L692" s="1">
        <v>1</v>
      </c>
      <c r="M692" s="1">
        <v>0</v>
      </c>
      <c r="N692" s="1" t="s">
        <v>8192</v>
      </c>
      <c r="O692" s="1" t="s">
        <v>8193</v>
      </c>
      <c r="P692" s="1" t="s">
        <v>8194</v>
      </c>
      <c r="Q692" s="1">
        <v>0</v>
      </c>
      <c r="R692" s="1" t="s">
        <v>8195</v>
      </c>
      <c r="U692" s="2">
        <v>56775</v>
      </c>
      <c r="V692" s="1">
        <v>4.4000000000000004</v>
      </c>
      <c r="W692" s="1">
        <v>2000</v>
      </c>
      <c r="X692" s="1">
        <v>2945</v>
      </c>
      <c r="AA692" s="1">
        <v>900</v>
      </c>
      <c r="AB692" s="1">
        <v>0</v>
      </c>
      <c r="AC692" s="1">
        <v>3</v>
      </c>
      <c r="AE692" s="1" t="s">
        <v>8196</v>
      </c>
      <c r="AF692" s="1" t="s">
        <v>8197</v>
      </c>
      <c r="AG692" s="1" t="s">
        <v>8198</v>
      </c>
      <c r="AI692" s="1">
        <v>4.17</v>
      </c>
      <c r="AJ692" s="1">
        <v>457</v>
      </c>
      <c r="AK692" s="1">
        <v>1599</v>
      </c>
    </row>
    <row r="693" spans="1:38" ht="15.75" customHeight="1">
      <c r="A693" s="1">
        <v>1</v>
      </c>
      <c r="B693" s="1">
        <v>5</v>
      </c>
      <c r="C693" s="1">
        <v>4050</v>
      </c>
      <c r="D693" s="1" t="s">
        <v>38</v>
      </c>
      <c r="E693" s="1" t="s">
        <v>39</v>
      </c>
      <c r="F693" s="1" t="s">
        <v>40</v>
      </c>
      <c r="G693" s="1">
        <v>0</v>
      </c>
      <c r="H693" s="1" t="s">
        <v>41</v>
      </c>
      <c r="I693" s="1" t="s">
        <v>8199</v>
      </c>
      <c r="J693" s="1" t="s">
        <v>8200</v>
      </c>
      <c r="K693" s="1" t="s">
        <v>8200</v>
      </c>
      <c r="L693" s="1">
        <v>0</v>
      </c>
      <c r="M693" s="1">
        <v>1</v>
      </c>
      <c r="N693" s="1" t="s">
        <v>8201</v>
      </c>
      <c r="O693" s="1" t="s">
        <v>8202</v>
      </c>
      <c r="P693" s="1" t="s">
        <v>8203</v>
      </c>
      <c r="Q693" s="1">
        <v>0</v>
      </c>
      <c r="R693" s="1" t="s">
        <v>8204</v>
      </c>
      <c r="S693" s="1" t="s">
        <v>8205</v>
      </c>
      <c r="U693" s="2">
        <v>56766</v>
      </c>
      <c r="V693" s="1">
        <v>4.7</v>
      </c>
      <c r="W693" s="1">
        <v>2000</v>
      </c>
      <c r="X693" s="1">
        <v>2288</v>
      </c>
      <c r="Y693" s="1">
        <v>1201</v>
      </c>
      <c r="Z693" s="1">
        <v>172</v>
      </c>
      <c r="AA693" s="1">
        <v>915</v>
      </c>
      <c r="AB693" s="1">
        <v>0</v>
      </c>
      <c r="AC693" s="1">
        <v>5</v>
      </c>
      <c r="AD693" s="1" t="s">
        <v>76</v>
      </c>
      <c r="AE693" s="1" t="s">
        <v>8206</v>
      </c>
      <c r="AF693" s="1" t="s">
        <v>8207</v>
      </c>
      <c r="AG693" s="1" t="s">
        <v>8208</v>
      </c>
      <c r="AH693" s="1" t="s">
        <v>8209</v>
      </c>
      <c r="AI693" s="1">
        <v>4.7</v>
      </c>
      <c r="AJ693" s="1">
        <v>1261</v>
      </c>
      <c r="AK693" s="1">
        <v>3264</v>
      </c>
      <c r="AL693" s="1">
        <v>232</v>
      </c>
    </row>
    <row r="694" spans="1:38" ht="15.75" customHeight="1">
      <c r="A694" s="1">
        <v>435</v>
      </c>
      <c r="B694" s="1">
        <v>5</v>
      </c>
      <c r="C694" s="1">
        <v>4050</v>
      </c>
      <c r="D694" s="1" t="s">
        <v>38</v>
      </c>
      <c r="E694" s="1" t="s">
        <v>39</v>
      </c>
      <c r="F694" s="1" t="s">
        <v>280</v>
      </c>
      <c r="G694" s="1">
        <v>0</v>
      </c>
      <c r="H694" s="1" t="s">
        <v>41</v>
      </c>
      <c r="I694" s="1" t="s">
        <v>8210</v>
      </c>
      <c r="J694" s="1" t="s">
        <v>8211</v>
      </c>
      <c r="K694" s="1" t="s">
        <v>8212</v>
      </c>
      <c r="L694" s="1">
        <v>1</v>
      </c>
      <c r="M694" s="1">
        <v>0</v>
      </c>
      <c r="N694" s="1" t="s">
        <v>8213</v>
      </c>
      <c r="O694" s="1" t="s">
        <v>8214</v>
      </c>
      <c r="P694" s="1" t="s">
        <v>8215</v>
      </c>
      <c r="Q694" s="1">
        <v>0</v>
      </c>
      <c r="R694" s="1" t="s">
        <v>8216</v>
      </c>
      <c r="S694" s="1" t="s">
        <v>8217</v>
      </c>
      <c r="U694" s="2">
        <v>56769</v>
      </c>
      <c r="V694" s="1">
        <v>4.5999999999999996</v>
      </c>
      <c r="W694" s="1">
        <v>2000</v>
      </c>
      <c r="X694" s="1">
        <v>2018</v>
      </c>
      <c r="Y694" s="1">
        <v>1021</v>
      </c>
      <c r="Z694" s="1">
        <v>120</v>
      </c>
      <c r="AA694" s="1">
        <v>877</v>
      </c>
      <c r="AB694" s="1">
        <v>0</v>
      </c>
      <c r="AC694" s="1">
        <v>2</v>
      </c>
      <c r="AD694" s="1" t="s">
        <v>76</v>
      </c>
      <c r="AE694" s="1" t="s">
        <v>8218</v>
      </c>
      <c r="AF694" s="1" t="s">
        <v>8219</v>
      </c>
      <c r="AG694" s="1" t="s">
        <v>8220</v>
      </c>
      <c r="AH694" s="1" t="s">
        <v>8221</v>
      </c>
      <c r="AI694" s="1">
        <v>4.49</v>
      </c>
      <c r="AJ694" s="1">
        <v>2315</v>
      </c>
      <c r="AK694" s="1">
        <v>7039</v>
      </c>
      <c r="AL694" s="1">
        <v>763</v>
      </c>
    </row>
    <row r="695" spans="1:38" ht="15.75" customHeight="1">
      <c r="A695" s="1">
        <v>175</v>
      </c>
      <c r="B695" s="1">
        <v>5</v>
      </c>
      <c r="C695" s="1">
        <v>4001</v>
      </c>
      <c r="D695" s="1" t="s">
        <v>51</v>
      </c>
      <c r="E695" s="1" t="s">
        <v>39</v>
      </c>
      <c r="F695" s="1" t="s">
        <v>708</v>
      </c>
      <c r="G695" s="1">
        <v>0</v>
      </c>
      <c r="H695" s="1" t="s">
        <v>53</v>
      </c>
      <c r="I695" s="1" t="s">
        <v>8222</v>
      </c>
      <c r="J695" s="1" t="s">
        <v>8223</v>
      </c>
      <c r="K695" s="1" t="s">
        <v>8224</v>
      </c>
      <c r="L695" s="1">
        <v>1</v>
      </c>
      <c r="M695" s="1">
        <v>0</v>
      </c>
      <c r="N695" s="1" t="s">
        <v>8225</v>
      </c>
      <c r="O695" s="1" t="s">
        <v>8226</v>
      </c>
      <c r="P695" s="1" t="s">
        <v>8227</v>
      </c>
      <c r="Q695" s="1">
        <v>0</v>
      </c>
      <c r="R695" s="1" t="s">
        <v>8228</v>
      </c>
      <c r="S695" s="1" t="s">
        <v>8229</v>
      </c>
      <c r="U695" s="2">
        <v>56767</v>
      </c>
      <c r="V695" s="1">
        <v>4.8821435659999999</v>
      </c>
      <c r="W695" s="1">
        <v>2000</v>
      </c>
      <c r="X695" s="1">
        <v>2066</v>
      </c>
      <c r="Y695" s="1">
        <v>562</v>
      </c>
      <c r="Z695" s="1">
        <v>320</v>
      </c>
      <c r="AA695" s="1">
        <v>1184</v>
      </c>
      <c r="AB695" s="1">
        <v>0</v>
      </c>
      <c r="AC695" s="1">
        <v>5</v>
      </c>
      <c r="AD695" s="1" t="s">
        <v>215</v>
      </c>
      <c r="AE695" s="1" t="s">
        <v>8230</v>
      </c>
      <c r="AF695" s="1" t="s">
        <v>8231</v>
      </c>
      <c r="AG695" s="1" t="s">
        <v>8232</v>
      </c>
      <c r="AH695" s="1" t="s">
        <v>8233</v>
      </c>
      <c r="AI695" s="1">
        <v>4.5999999999999996</v>
      </c>
      <c r="AJ695" s="1">
        <v>292</v>
      </c>
      <c r="AK695" s="1">
        <v>1027</v>
      </c>
      <c r="AL695" s="1">
        <v>26</v>
      </c>
    </row>
    <row r="696" spans="1:38" ht="15.75" customHeight="1">
      <c r="A696" s="1">
        <v>259</v>
      </c>
      <c r="B696" s="1">
        <v>5</v>
      </c>
      <c r="C696" s="1">
        <v>4001</v>
      </c>
      <c r="D696" s="1" t="s">
        <v>51</v>
      </c>
      <c r="E696" s="1" t="s">
        <v>39</v>
      </c>
      <c r="F696" s="1" t="s">
        <v>648</v>
      </c>
      <c r="G696" s="1">
        <v>0</v>
      </c>
      <c r="H696" s="1" t="s">
        <v>53</v>
      </c>
      <c r="I696" s="1" t="s">
        <v>8234</v>
      </c>
      <c r="J696" s="1" t="s">
        <v>8235</v>
      </c>
      <c r="K696" s="1" t="s">
        <v>8236</v>
      </c>
      <c r="L696" s="1">
        <v>1</v>
      </c>
      <c r="M696" s="1">
        <v>0</v>
      </c>
      <c r="N696" s="1" t="s">
        <v>8237</v>
      </c>
      <c r="O696" s="1" t="s">
        <v>8238</v>
      </c>
      <c r="P696" s="1" t="s">
        <v>8239</v>
      </c>
      <c r="Q696" s="1">
        <v>0</v>
      </c>
      <c r="R696" s="1" t="s">
        <v>8240</v>
      </c>
      <c r="S696" s="1" t="s">
        <v>8241</v>
      </c>
      <c r="U696" s="2">
        <v>56768</v>
      </c>
      <c r="V696" s="1">
        <v>4.5999999999999996</v>
      </c>
      <c r="W696" s="1">
        <v>2000</v>
      </c>
      <c r="X696" s="1">
        <v>1138</v>
      </c>
      <c r="Y696" s="1">
        <v>492</v>
      </c>
      <c r="Z696" s="1">
        <v>150</v>
      </c>
      <c r="AA696" s="1">
        <v>496</v>
      </c>
      <c r="AB696" s="1">
        <v>0</v>
      </c>
      <c r="AC696" s="1">
        <v>2</v>
      </c>
      <c r="AD696" s="1" t="s">
        <v>76</v>
      </c>
      <c r="AE696" s="1" t="s">
        <v>8242</v>
      </c>
      <c r="AF696" s="1" t="s">
        <v>8243</v>
      </c>
      <c r="AG696" s="1" t="s">
        <v>8244</v>
      </c>
      <c r="AH696" s="1" t="s">
        <v>8245</v>
      </c>
      <c r="AI696" s="1">
        <v>4.7</v>
      </c>
      <c r="AJ696" s="1">
        <v>443</v>
      </c>
      <c r="AK696" s="1">
        <v>1579</v>
      </c>
    </row>
    <row r="697" spans="1:38" ht="15.75" customHeight="1">
      <c r="A697" s="1">
        <v>274</v>
      </c>
      <c r="B697" s="1">
        <v>5</v>
      </c>
      <c r="C697" s="1">
        <v>4001</v>
      </c>
      <c r="D697" s="1" t="s">
        <v>51</v>
      </c>
      <c r="E697" s="1" t="s">
        <v>39</v>
      </c>
      <c r="F697" s="1" t="s">
        <v>414</v>
      </c>
      <c r="G697" s="1">
        <v>0</v>
      </c>
      <c r="H697" s="1" t="s">
        <v>53</v>
      </c>
      <c r="I697" s="1" t="s">
        <v>8246</v>
      </c>
      <c r="J697" s="1" t="s">
        <v>8247</v>
      </c>
      <c r="K697" s="1" t="s">
        <v>8248</v>
      </c>
      <c r="L697" s="1">
        <v>1</v>
      </c>
      <c r="M697" s="1">
        <v>0</v>
      </c>
      <c r="N697" s="1" t="s">
        <v>8249</v>
      </c>
      <c r="O697" s="1" t="s">
        <v>8250</v>
      </c>
      <c r="P697" s="1" t="s">
        <v>8251</v>
      </c>
      <c r="Q697" s="1">
        <v>0</v>
      </c>
      <c r="R697" s="1" t="s">
        <v>8252</v>
      </c>
      <c r="S697" s="1" t="s">
        <v>8253</v>
      </c>
      <c r="U697" s="2">
        <v>56768</v>
      </c>
      <c r="V697" s="1">
        <v>3.3691945470000002</v>
      </c>
      <c r="W697" s="1">
        <v>2000</v>
      </c>
      <c r="X697" s="1">
        <v>2984</v>
      </c>
      <c r="Y697" s="1">
        <v>48</v>
      </c>
      <c r="Z697" s="1">
        <v>1950</v>
      </c>
      <c r="AA697" s="1">
        <v>986</v>
      </c>
      <c r="AB697" s="1">
        <v>1</v>
      </c>
      <c r="AC697" s="1">
        <v>1</v>
      </c>
      <c r="AE697" s="1" t="s">
        <v>8254</v>
      </c>
      <c r="AF697" s="1" t="s">
        <v>8255</v>
      </c>
      <c r="AG697" s="1" t="s">
        <v>8256</v>
      </c>
      <c r="AH697" s="1" t="s">
        <v>8257</v>
      </c>
      <c r="AI697" s="1">
        <v>4.58</v>
      </c>
      <c r="AJ697" s="1">
        <v>254</v>
      </c>
      <c r="AK697" s="1">
        <v>788</v>
      </c>
      <c r="AL697" s="1">
        <v>9</v>
      </c>
    </row>
    <row r="698" spans="1:38" ht="15.75" customHeight="1">
      <c r="A698" s="1">
        <v>399</v>
      </c>
      <c r="B698" s="1">
        <v>5</v>
      </c>
      <c r="C698" s="1">
        <v>4001</v>
      </c>
      <c r="D698" s="1" t="s">
        <v>51</v>
      </c>
      <c r="E698" s="1" t="s">
        <v>39</v>
      </c>
      <c r="F698" s="1" t="s">
        <v>3110</v>
      </c>
      <c r="G698" s="1">
        <v>0</v>
      </c>
      <c r="H698" s="1" t="s">
        <v>53</v>
      </c>
      <c r="I698" s="1" t="s">
        <v>8258</v>
      </c>
      <c r="J698" s="1" t="s">
        <v>8259</v>
      </c>
      <c r="K698" s="1" t="s">
        <v>8259</v>
      </c>
      <c r="L698" s="1">
        <v>0</v>
      </c>
      <c r="M698" s="1">
        <v>0</v>
      </c>
      <c r="N698" s="1" t="s">
        <v>8260</v>
      </c>
      <c r="O698" s="1" t="s">
        <v>8261</v>
      </c>
      <c r="P698" s="1" t="s">
        <v>8262</v>
      </c>
      <c r="Q698" s="1">
        <v>0</v>
      </c>
      <c r="R698" s="1" t="s">
        <v>8263</v>
      </c>
      <c r="S698" s="1" t="s">
        <v>8264</v>
      </c>
      <c r="U698" s="2">
        <v>56769</v>
      </c>
      <c r="V698" s="1">
        <v>4.3</v>
      </c>
      <c r="W698" s="1">
        <v>2000</v>
      </c>
      <c r="X698" s="1">
        <v>2864</v>
      </c>
      <c r="Y698" s="1">
        <v>1556</v>
      </c>
      <c r="Z698" s="1">
        <v>395</v>
      </c>
      <c r="AA698" s="1">
        <v>913</v>
      </c>
      <c r="AB698" s="1">
        <v>0</v>
      </c>
      <c r="AC698" s="1">
        <v>3</v>
      </c>
      <c r="AD698" s="1" t="s">
        <v>62</v>
      </c>
      <c r="AE698" s="1" t="s">
        <v>8265</v>
      </c>
      <c r="AF698" s="1" t="s">
        <v>8266</v>
      </c>
      <c r="AG698" s="1" t="s">
        <v>8267</v>
      </c>
      <c r="AH698" s="1" t="s">
        <v>8268</v>
      </c>
      <c r="AI698" s="1">
        <v>4.47</v>
      </c>
      <c r="AJ698" s="1">
        <v>78</v>
      </c>
      <c r="AK698" s="1">
        <v>278</v>
      </c>
      <c r="AL698" s="1">
        <v>26</v>
      </c>
    </row>
    <row r="699" spans="1:38" ht="15.75" customHeight="1">
      <c r="A699" s="1">
        <v>857</v>
      </c>
      <c r="C699" s="1">
        <v>4001</v>
      </c>
      <c r="D699" s="1" t="s">
        <v>51</v>
      </c>
      <c r="E699" s="1" t="s">
        <v>39</v>
      </c>
      <c r="F699" s="1" t="s">
        <v>52</v>
      </c>
      <c r="G699" s="1">
        <v>0</v>
      </c>
      <c r="H699" s="1" t="s">
        <v>53</v>
      </c>
      <c r="I699" s="1" t="s">
        <v>8269</v>
      </c>
      <c r="J699" s="1" t="s">
        <v>8270</v>
      </c>
      <c r="K699" s="1" t="s">
        <v>8271</v>
      </c>
      <c r="L699" s="1">
        <v>1</v>
      </c>
      <c r="M699" s="1">
        <v>0</v>
      </c>
      <c r="N699" s="1" t="s">
        <v>8272</v>
      </c>
      <c r="O699" s="1" t="s">
        <v>8273</v>
      </c>
      <c r="P699" s="1" t="s">
        <v>8274</v>
      </c>
      <c r="Q699" s="1">
        <v>0</v>
      </c>
      <c r="R699" s="1" t="s">
        <v>8275</v>
      </c>
      <c r="S699" s="1" t="s">
        <v>8276</v>
      </c>
      <c r="U699" s="2">
        <v>56772</v>
      </c>
      <c r="V699" s="1">
        <v>4.3</v>
      </c>
      <c r="W699" s="1">
        <v>2000</v>
      </c>
      <c r="X699" s="1">
        <v>2063</v>
      </c>
      <c r="Y699" s="1">
        <v>1494</v>
      </c>
      <c r="Z699" s="1">
        <v>81</v>
      </c>
      <c r="AA699" s="1">
        <v>488</v>
      </c>
      <c r="AB699" s="1">
        <v>1</v>
      </c>
      <c r="AC699" s="1">
        <v>2</v>
      </c>
      <c r="AE699" s="1" t="s">
        <v>8277</v>
      </c>
      <c r="AF699" s="1" t="s">
        <v>8278</v>
      </c>
      <c r="AG699" s="1" t="s">
        <v>8279</v>
      </c>
      <c r="AH699" s="1" t="s">
        <v>8280</v>
      </c>
      <c r="AI699" s="1">
        <v>4.17</v>
      </c>
      <c r="AJ699" s="1">
        <v>457</v>
      </c>
      <c r="AK699" s="1">
        <v>1599</v>
      </c>
    </row>
    <row r="700" spans="1:38" ht="15.75" customHeight="1">
      <c r="A700" s="1">
        <v>1590</v>
      </c>
      <c r="B700" s="1">
        <v>5</v>
      </c>
      <c r="C700" s="1">
        <v>4001</v>
      </c>
      <c r="D700" s="1" t="s">
        <v>51</v>
      </c>
      <c r="E700" s="1" t="s">
        <v>39</v>
      </c>
      <c r="F700" s="1" t="s">
        <v>1915</v>
      </c>
      <c r="G700" s="1">
        <v>0</v>
      </c>
      <c r="H700" s="1" t="s">
        <v>53</v>
      </c>
      <c r="I700" s="1" t="s">
        <v>8281</v>
      </c>
      <c r="J700" s="1" t="s">
        <v>8282</v>
      </c>
      <c r="K700" s="1" t="s">
        <v>8283</v>
      </c>
      <c r="L700" s="1">
        <v>1</v>
      </c>
      <c r="M700" s="1">
        <v>0</v>
      </c>
      <c r="N700" s="1" t="s">
        <v>8284</v>
      </c>
      <c r="O700" s="1" t="s">
        <v>8285</v>
      </c>
      <c r="P700" s="1" t="s">
        <v>8286</v>
      </c>
      <c r="Q700" s="1">
        <v>0</v>
      </c>
      <c r="R700" s="1" t="s">
        <v>8287</v>
      </c>
      <c r="S700" s="1" t="s">
        <v>8288</v>
      </c>
      <c r="U700" s="2">
        <v>56778</v>
      </c>
      <c r="V700" s="1">
        <v>4.3922363950000003</v>
      </c>
      <c r="W700" s="1">
        <v>2000</v>
      </c>
      <c r="X700" s="1">
        <v>1310</v>
      </c>
      <c r="Y700" s="1">
        <v>519</v>
      </c>
      <c r="Z700" s="1">
        <v>141</v>
      </c>
      <c r="AA700" s="1">
        <v>650</v>
      </c>
      <c r="AB700" s="1">
        <v>0</v>
      </c>
      <c r="AC700" s="1">
        <v>1</v>
      </c>
      <c r="AD700" s="1" t="s">
        <v>215</v>
      </c>
      <c r="AE700" s="1" t="s">
        <v>8289</v>
      </c>
      <c r="AF700" s="1" t="s">
        <v>8290</v>
      </c>
      <c r="AG700" s="1" t="s">
        <v>8291</v>
      </c>
      <c r="AH700" s="1" t="s">
        <v>8292</v>
      </c>
      <c r="AI700" s="1">
        <v>4.63</v>
      </c>
      <c r="AJ700" s="1">
        <v>242</v>
      </c>
      <c r="AK700" s="1">
        <v>736</v>
      </c>
    </row>
    <row r="701" spans="1:38" ht="15.75" customHeight="1">
      <c r="A701" s="1">
        <v>87</v>
      </c>
      <c r="B701" s="1">
        <v>5</v>
      </c>
      <c r="C701" s="1">
        <v>4001</v>
      </c>
      <c r="D701" s="1" t="s">
        <v>51</v>
      </c>
      <c r="E701" s="1" t="s">
        <v>39</v>
      </c>
      <c r="F701" s="1" t="s">
        <v>52</v>
      </c>
      <c r="G701" s="1">
        <v>0</v>
      </c>
      <c r="H701" s="1" t="s">
        <v>53</v>
      </c>
      <c r="I701" s="1" t="s">
        <v>8293</v>
      </c>
      <c r="J701" s="1" t="s">
        <v>8294</v>
      </c>
      <c r="K701" s="1" t="s">
        <v>8295</v>
      </c>
      <c r="L701" s="1">
        <v>1</v>
      </c>
      <c r="M701" s="1">
        <v>0</v>
      </c>
      <c r="N701" s="1" t="s">
        <v>8296</v>
      </c>
      <c r="O701" s="1" t="s">
        <v>8297</v>
      </c>
      <c r="P701" s="1" t="s">
        <v>8298</v>
      </c>
      <c r="Q701" s="1">
        <v>0</v>
      </c>
      <c r="R701" s="1" t="s">
        <v>8299</v>
      </c>
      <c r="S701" s="1" t="s">
        <v>8300</v>
      </c>
      <c r="U701" s="2">
        <v>56766</v>
      </c>
      <c r="V701" s="1">
        <v>4.3</v>
      </c>
      <c r="W701" s="1">
        <v>2000</v>
      </c>
      <c r="X701" s="1">
        <v>2350</v>
      </c>
      <c r="Y701" s="1">
        <v>511</v>
      </c>
      <c r="Z701" s="1">
        <v>371</v>
      </c>
      <c r="AA701" s="1">
        <v>1468</v>
      </c>
      <c r="AB701" s="1">
        <v>0</v>
      </c>
      <c r="AC701" s="1">
        <v>2</v>
      </c>
      <c r="AD701" s="1" t="s">
        <v>62</v>
      </c>
      <c r="AE701" s="1" t="s">
        <v>8301</v>
      </c>
      <c r="AF701" s="1" t="s">
        <v>8302</v>
      </c>
      <c r="AG701" s="1" t="s">
        <v>8303</v>
      </c>
      <c r="AH701" s="1" t="s">
        <v>8304</v>
      </c>
      <c r="AI701" s="1">
        <v>4.17</v>
      </c>
      <c r="AJ701" s="1">
        <v>457</v>
      </c>
      <c r="AK701" s="1">
        <v>1599</v>
      </c>
    </row>
    <row r="702" spans="1:38" ht="15.75" customHeight="1">
      <c r="A702" s="1">
        <v>84</v>
      </c>
      <c r="C702" s="1">
        <v>4001</v>
      </c>
      <c r="D702" s="1" t="s">
        <v>51</v>
      </c>
      <c r="E702" s="1" t="s">
        <v>39</v>
      </c>
      <c r="F702" s="1" t="s">
        <v>341</v>
      </c>
      <c r="G702" s="1">
        <v>0</v>
      </c>
      <c r="H702" s="1" t="s">
        <v>41</v>
      </c>
      <c r="I702" s="1" t="s">
        <v>8305</v>
      </c>
      <c r="J702" s="1" t="s">
        <v>8306</v>
      </c>
      <c r="K702" s="1" t="s">
        <v>8307</v>
      </c>
      <c r="L702" s="1">
        <v>1</v>
      </c>
      <c r="M702" s="1">
        <v>0</v>
      </c>
      <c r="N702" s="1" t="s">
        <v>8308</v>
      </c>
      <c r="O702" s="1" t="s">
        <v>8309</v>
      </c>
      <c r="P702" s="1" t="s">
        <v>8310</v>
      </c>
      <c r="Q702" s="1">
        <v>0</v>
      </c>
      <c r="R702" s="1" t="s">
        <v>8311</v>
      </c>
      <c r="S702" s="1" t="s">
        <v>8312</v>
      </c>
      <c r="U702" s="2">
        <v>56766</v>
      </c>
      <c r="V702" s="1">
        <v>2.8969235750000002</v>
      </c>
      <c r="W702" s="1">
        <v>2000</v>
      </c>
      <c r="X702" s="1">
        <v>1187</v>
      </c>
      <c r="Y702" s="1">
        <v>159</v>
      </c>
      <c r="Z702" s="1">
        <v>320</v>
      </c>
      <c r="AA702" s="1">
        <v>708</v>
      </c>
      <c r="AB702" s="1">
        <v>0</v>
      </c>
      <c r="AC702" s="1">
        <v>2</v>
      </c>
      <c r="AD702" s="1" t="s">
        <v>62</v>
      </c>
      <c r="AE702" s="1" t="s">
        <v>8313</v>
      </c>
      <c r="AF702" s="1" t="s">
        <v>8314</v>
      </c>
      <c r="AG702" s="1" t="s">
        <v>8315</v>
      </c>
      <c r="AH702" s="1" t="s">
        <v>8316</v>
      </c>
      <c r="AI702" s="1">
        <v>4.54</v>
      </c>
      <c r="AJ702" s="1">
        <v>2229</v>
      </c>
      <c r="AK702" s="1">
        <v>6580</v>
      </c>
    </row>
    <row r="703" spans="1:38" ht="15.75" customHeight="1">
      <c r="A703" s="1">
        <v>141</v>
      </c>
      <c r="C703" s="1">
        <v>4001</v>
      </c>
      <c r="D703" s="1" t="s">
        <v>51</v>
      </c>
      <c r="E703" s="1" t="s">
        <v>39</v>
      </c>
      <c r="F703" s="1" t="s">
        <v>305</v>
      </c>
      <c r="G703" s="1">
        <v>0</v>
      </c>
      <c r="H703" s="1" t="s">
        <v>53</v>
      </c>
      <c r="I703" s="1" t="s">
        <v>8317</v>
      </c>
      <c r="J703" s="1" t="s">
        <v>8318</v>
      </c>
      <c r="K703" s="1" t="s">
        <v>8319</v>
      </c>
      <c r="L703" s="1">
        <v>1</v>
      </c>
      <c r="M703" s="1">
        <v>0</v>
      </c>
      <c r="N703" s="1" t="s">
        <v>8320</v>
      </c>
      <c r="O703" s="1" t="s">
        <v>8321</v>
      </c>
      <c r="P703" s="1" t="s">
        <v>8322</v>
      </c>
      <c r="Q703" s="1">
        <v>0</v>
      </c>
      <c r="R703" s="1" t="s">
        <v>8323</v>
      </c>
      <c r="U703" s="2">
        <v>56767</v>
      </c>
      <c r="V703" s="1">
        <v>4.2</v>
      </c>
      <c r="W703" s="1">
        <v>2000</v>
      </c>
      <c r="X703" s="1">
        <v>2101</v>
      </c>
      <c r="AA703" s="1">
        <v>840</v>
      </c>
      <c r="AB703" s="1">
        <v>0</v>
      </c>
      <c r="AC703" s="1">
        <v>3</v>
      </c>
      <c r="AE703" s="1" t="s">
        <v>8324</v>
      </c>
      <c r="AF703" s="1" t="s">
        <v>8325</v>
      </c>
      <c r="AG703" s="1" t="s">
        <v>8326</v>
      </c>
      <c r="AI703" s="1">
        <v>4.5199999999999996</v>
      </c>
      <c r="AJ703" s="1">
        <v>183</v>
      </c>
      <c r="AK703" s="1">
        <v>522</v>
      </c>
    </row>
    <row r="704" spans="1:38" ht="15.75" customHeight="1">
      <c r="A704" s="1">
        <v>151</v>
      </c>
      <c r="C704" s="1">
        <v>4050</v>
      </c>
      <c r="D704" s="1" t="s">
        <v>38</v>
      </c>
      <c r="E704" s="1" t="s">
        <v>39</v>
      </c>
      <c r="F704" s="1" t="s">
        <v>695</v>
      </c>
      <c r="G704" s="1">
        <v>0</v>
      </c>
      <c r="H704" s="1" t="s">
        <v>41</v>
      </c>
      <c r="I704" s="1" t="s">
        <v>8327</v>
      </c>
      <c r="J704" s="1" t="s">
        <v>8328</v>
      </c>
      <c r="K704" s="1" t="s">
        <v>8328</v>
      </c>
      <c r="L704" s="1">
        <v>0</v>
      </c>
      <c r="M704" s="1">
        <v>0</v>
      </c>
      <c r="N704" s="1" t="s">
        <v>8329</v>
      </c>
      <c r="O704" s="1" t="s">
        <v>8330</v>
      </c>
      <c r="P704" s="1" t="s">
        <v>8331</v>
      </c>
      <c r="Q704" s="1">
        <v>0</v>
      </c>
      <c r="R704" s="1" t="s">
        <v>8332</v>
      </c>
      <c r="S704" s="1" t="s">
        <v>8333</v>
      </c>
      <c r="U704" s="2">
        <v>56767</v>
      </c>
      <c r="V704" s="1">
        <v>3.4317832890000002</v>
      </c>
      <c r="W704" s="1">
        <v>2000</v>
      </c>
      <c r="X704" s="1">
        <v>2614</v>
      </c>
      <c r="Y704" s="1">
        <v>1516</v>
      </c>
      <c r="Z704" s="1">
        <v>139</v>
      </c>
      <c r="AA704" s="1">
        <v>959</v>
      </c>
      <c r="AB704" s="1">
        <v>0</v>
      </c>
      <c r="AC704" s="1">
        <v>1</v>
      </c>
      <c r="AD704" s="1" t="s">
        <v>76</v>
      </c>
      <c r="AE704" s="1" t="s">
        <v>8334</v>
      </c>
      <c r="AF704" s="1" t="s">
        <v>8335</v>
      </c>
      <c r="AG704" s="1" t="s">
        <v>8336</v>
      </c>
      <c r="AH704" s="1" t="s">
        <v>8337</v>
      </c>
      <c r="AI704" s="1">
        <v>4.38</v>
      </c>
      <c r="AJ704" s="1">
        <v>196</v>
      </c>
      <c r="AK704" s="1">
        <v>626</v>
      </c>
    </row>
    <row r="705" spans="1:38" ht="15.75" customHeight="1">
      <c r="A705" s="1">
        <v>158</v>
      </c>
      <c r="C705" s="1">
        <v>4050</v>
      </c>
      <c r="D705" s="1" t="s">
        <v>38</v>
      </c>
      <c r="E705" s="1" t="s">
        <v>39</v>
      </c>
      <c r="F705" s="1" t="s">
        <v>390</v>
      </c>
      <c r="G705" s="1">
        <v>0</v>
      </c>
      <c r="H705" s="1" t="s">
        <v>41</v>
      </c>
      <c r="I705" s="1" t="s">
        <v>8338</v>
      </c>
      <c r="J705" s="1" t="s">
        <v>8339</v>
      </c>
      <c r="K705" s="1" t="s">
        <v>8340</v>
      </c>
      <c r="L705" s="1">
        <v>1</v>
      </c>
      <c r="M705" s="1">
        <v>0</v>
      </c>
      <c r="N705" s="1" t="s">
        <v>8341</v>
      </c>
      <c r="O705" s="1" t="s">
        <v>8342</v>
      </c>
      <c r="P705" s="1" t="s">
        <v>8343</v>
      </c>
      <c r="Q705" s="1">
        <v>0</v>
      </c>
      <c r="R705" s="1" t="s">
        <v>8344</v>
      </c>
      <c r="S705" s="1" t="s">
        <v>8345</v>
      </c>
      <c r="U705" s="2">
        <v>56767</v>
      </c>
      <c r="V705" s="1">
        <v>4.5</v>
      </c>
      <c r="W705" s="1">
        <v>2000</v>
      </c>
      <c r="X705" s="1">
        <v>2642</v>
      </c>
      <c r="Y705" s="1">
        <v>1075</v>
      </c>
      <c r="AA705" s="1">
        <v>1603</v>
      </c>
      <c r="AB705" s="1">
        <v>0</v>
      </c>
      <c r="AC705" s="1">
        <v>2</v>
      </c>
      <c r="AD705" s="1" t="s">
        <v>76</v>
      </c>
      <c r="AE705" s="1" t="s">
        <v>8346</v>
      </c>
      <c r="AF705" s="1" t="s">
        <v>8347</v>
      </c>
      <c r="AG705" s="1" t="s">
        <v>8348</v>
      </c>
      <c r="AH705" s="1" t="s">
        <v>8349</v>
      </c>
      <c r="AI705" s="1">
        <v>4.5599999999999996</v>
      </c>
      <c r="AJ705" s="1">
        <v>344</v>
      </c>
      <c r="AK705" s="1">
        <v>947</v>
      </c>
      <c r="AL705" s="1">
        <v>22</v>
      </c>
    </row>
    <row r="706" spans="1:38" ht="15.75" customHeight="1">
      <c r="A706" s="1">
        <v>226</v>
      </c>
      <c r="C706" s="1">
        <v>4001</v>
      </c>
      <c r="D706" s="1" t="s">
        <v>51</v>
      </c>
      <c r="E706" s="1" t="s">
        <v>39</v>
      </c>
      <c r="F706" s="1" t="s">
        <v>648</v>
      </c>
      <c r="G706" s="1">
        <v>0</v>
      </c>
      <c r="H706" s="1" t="s">
        <v>53</v>
      </c>
      <c r="I706" s="1" t="s">
        <v>8350</v>
      </c>
      <c r="J706" s="1" t="s">
        <v>8351</v>
      </c>
      <c r="K706" s="1" t="s">
        <v>8352</v>
      </c>
      <c r="L706" s="1">
        <v>1</v>
      </c>
      <c r="M706" s="1">
        <v>0</v>
      </c>
      <c r="N706" s="1" t="s">
        <v>8353</v>
      </c>
      <c r="O706" s="1" t="s">
        <v>8354</v>
      </c>
      <c r="P706" s="1" t="s">
        <v>8355</v>
      </c>
      <c r="Q706" s="1">
        <v>0</v>
      </c>
      <c r="R706" s="1" t="s">
        <v>8356</v>
      </c>
      <c r="S706" s="1" t="s">
        <v>8357</v>
      </c>
      <c r="U706" s="2">
        <v>56767</v>
      </c>
      <c r="V706" s="1">
        <v>4.2</v>
      </c>
      <c r="W706" s="1">
        <v>2000</v>
      </c>
      <c r="X706" s="1">
        <v>2891</v>
      </c>
      <c r="Y706" s="1">
        <v>774</v>
      </c>
      <c r="Z706" s="1">
        <v>1060</v>
      </c>
      <c r="AA706" s="1">
        <v>1057</v>
      </c>
      <c r="AB706" s="1">
        <v>1</v>
      </c>
      <c r="AC706" s="1">
        <v>3</v>
      </c>
      <c r="AE706" s="1" t="s">
        <v>8358</v>
      </c>
      <c r="AF706" s="1" t="s">
        <v>8359</v>
      </c>
      <c r="AG706" s="1" t="s">
        <v>8360</v>
      </c>
      <c r="AH706" s="1" t="s">
        <v>8361</v>
      </c>
      <c r="AI706" s="1">
        <v>4.7</v>
      </c>
      <c r="AJ706" s="1">
        <v>443</v>
      </c>
      <c r="AK706" s="1">
        <v>1579</v>
      </c>
    </row>
    <row r="707" spans="1:38" ht="15.75" customHeight="1">
      <c r="A707" s="1">
        <v>875</v>
      </c>
      <c r="C707" s="1">
        <v>4001</v>
      </c>
      <c r="D707" s="1" t="s">
        <v>51</v>
      </c>
      <c r="E707" s="1" t="s">
        <v>39</v>
      </c>
      <c r="F707" s="1" t="s">
        <v>92</v>
      </c>
      <c r="G707" s="1">
        <v>0</v>
      </c>
      <c r="H707" s="1" t="s">
        <v>41</v>
      </c>
      <c r="I707" s="1" t="s">
        <v>8362</v>
      </c>
      <c r="J707" s="1" t="s">
        <v>8363</v>
      </c>
      <c r="K707" s="1" t="s">
        <v>8364</v>
      </c>
      <c r="L707" s="1">
        <v>1</v>
      </c>
      <c r="M707" s="1">
        <v>0</v>
      </c>
      <c r="N707" s="1" t="s">
        <v>8365</v>
      </c>
      <c r="O707" s="1" t="s">
        <v>8366</v>
      </c>
      <c r="P707" s="1" t="s">
        <v>8367</v>
      </c>
      <c r="Q707" s="1">
        <v>0</v>
      </c>
      <c r="R707" s="1" t="s">
        <v>8368</v>
      </c>
      <c r="S707" s="1" t="s">
        <v>8369</v>
      </c>
      <c r="U707" s="2">
        <v>56772</v>
      </c>
      <c r="V707" s="1">
        <v>4.5999999999999996</v>
      </c>
      <c r="W707" s="1">
        <v>2000</v>
      </c>
      <c r="X707" s="1">
        <v>1855</v>
      </c>
      <c r="Y707" s="1">
        <v>409</v>
      </c>
      <c r="Z707" s="1">
        <v>608</v>
      </c>
      <c r="AA707" s="1">
        <v>838</v>
      </c>
      <c r="AB707" s="1">
        <v>0</v>
      </c>
      <c r="AC707" s="1">
        <v>3</v>
      </c>
      <c r="AD707" s="1" t="s">
        <v>215</v>
      </c>
      <c r="AE707" s="1" t="s">
        <v>8370</v>
      </c>
      <c r="AF707" s="1" t="s">
        <v>8371</v>
      </c>
      <c r="AG707" s="1" t="s">
        <v>8372</v>
      </c>
      <c r="AH707" s="1" t="s">
        <v>8373</v>
      </c>
      <c r="AI707" s="1">
        <v>4.03</v>
      </c>
      <c r="AJ707" s="1">
        <v>505</v>
      </c>
      <c r="AK707" s="1">
        <v>1721</v>
      </c>
      <c r="AL707" s="1">
        <v>457</v>
      </c>
    </row>
    <row r="708" spans="1:38" ht="15.75" customHeight="1">
      <c r="A708" s="1">
        <v>8</v>
      </c>
      <c r="C708" s="1">
        <v>4050</v>
      </c>
      <c r="D708" s="1" t="s">
        <v>38</v>
      </c>
      <c r="E708" s="1" t="s">
        <v>39</v>
      </c>
      <c r="F708" s="1" t="s">
        <v>486</v>
      </c>
      <c r="G708" s="1">
        <v>0</v>
      </c>
      <c r="H708" s="1" t="s">
        <v>41</v>
      </c>
      <c r="I708" s="1" t="s">
        <v>8374</v>
      </c>
      <c r="J708" s="1" t="s">
        <v>8375</v>
      </c>
      <c r="K708" s="1" t="s">
        <v>8376</v>
      </c>
      <c r="L708" s="1">
        <v>1</v>
      </c>
      <c r="M708" s="1">
        <v>0</v>
      </c>
      <c r="N708" s="1" t="s">
        <v>8377</v>
      </c>
      <c r="O708" s="1" t="s">
        <v>8378</v>
      </c>
      <c r="P708" s="1" t="s">
        <v>8379</v>
      </c>
      <c r="Q708" s="1">
        <v>0</v>
      </c>
      <c r="R708" s="1" t="s">
        <v>8380</v>
      </c>
      <c r="U708" s="2">
        <v>56766</v>
      </c>
      <c r="V708" s="1">
        <v>4.5</v>
      </c>
      <c r="W708" s="1">
        <v>2000</v>
      </c>
      <c r="X708" s="1">
        <v>2553</v>
      </c>
      <c r="AA708" s="1">
        <v>1400</v>
      </c>
      <c r="AB708" s="1">
        <v>0</v>
      </c>
      <c r="AC708" s="1">
        <v>4</v>
      </c>
      <c r="AE708" s="1" t="s">
        <v>8381</v>
      </c>
      <c r="AF708" s="1" t="s">
        <v>8382</v>
      </c>
      <c r="AG708" s="1" t="s">
        <v>8383</v>
      </c>
      <c r="AI708" s="1">
        <v>4.7</v>
      </c>
      <c r="AJ708" s="1">
        <v>212</v>
      </c>
      <c r="AK708" s="1">
        <v>624</v>
      </c>
      <c r="AL708" s="1">
        <v>347</v>
      </c>
    </row>
    <row r="709" spans="1:38" ht="15.75" customHeight="1">
      <c r="A709" s="1">
        <v>160</v>
      </c>
      <c r="B709" s="1">
        <v>5</v>
      </c>
      <c r="C709" s="1">
        <v>4050</v>
      </c>
      <c r="D709" s="1" t="s">
        <v>38</v>
      </c>
      <c r="E709" s="1" t="s">
        <v>39</v>
      </c>
      <c r="F709" s="1" t="s">
        <v>695</v>
      </c>
      <c r="G709" s="1">
        <v>0</v>
      </c>
      <c r="H709" s="1" t="s">
        <v>41</v>
      </c>
      <c r="I709" s="1" t="s">
        <v>8384</v>
      </c>
      <c r="J709" s="1" t="s">
        <v>8385</v>
      </c>
      <c r="K709" s="1" t="s">
        <v>8386</v>
      </c>
      <c r="L709" s="1">
        <v>1</v>
      </c>
      <c r="M709" s="1">
        <v>0</v>
      </c>
      <c r="N709" s="1" t="s">
        <v>8387</v>
      </c>
      <c r="O709" s="1" t="s">
        <v>8388</v>
      </c>
      <c r="P709" s="1" t="s">
        <v>8389</v>
      </c>
      <c r="Q709" s="1">
        <v>0</v>
      </c>
      <c r="R709" s="1" t="s">
        <v>8390</v>
      </c>
      <c r="S709" s="1" t="s">
        <v>8391</v>
      </c>
      <c r="U709" s="2">
        <v>56767</v>
      </c>
      <c r="V709" s="1">
        <v>4.5999999999999996</v>
      </c>
      <c r="W709" s="1">
        <v>2000</v>
      </c>
      <c r="X709" s="1">
        <v>2456</v>
      </c>
      <c r="Y709" s="1">
        <v>1237</v>
      </c>
      <c r="Z709" s="1">
        <v>5</v>
      </c>
      <c r="AA709" s="1">
        <v>1214</v>
      </c>
      <c r="AB709" s="1">
        <v>0</v>
      </c>
      <c r="AC709" s="1">
        <v>1</v>
      </c>
      <c r="AD709" s="1" t="s">
        <v>76</v>
      </c>
      <c r="AE709" s="1" t="s">
        <v>8392</v>
      </c>
      <c r="AF709" s="1" t="s">
        <v>8393</v>
      </c>
      <c r="AG709" s="1" t="s">
        <v>8394</v>
      </c>
      <c r="AH709" s="1" t="s">
        <v>8395</v>
      </c>
      <c r="AI709" s="1">
        <v>4.38</v>
      </c>
      <c r="AJ709" s="1">
        <v>196</v>
      </c>
      <c r="AK709" s="1">
        <v>626</v>
      </c>
    </row>
    <row r="710" spans="1:38" ht="15.75" customHeight="1">
      <c r="A710" s="1">
        <v>336</v>
      </c>
      <c r="C710" s="1">
        <v>4001</v>
      </c>
      <c r="D710" s="1" t="s">
        <v>51</v>
      </c>
      <c r="E710" s="1" t="s">
        <v>39</v>
      </c>
      <c r="F710" s="1" t="s">
        <v>92</v>
      </c>
      <c r="G710" s="1">
        <v>0</v>
      </c>
      <c r="H710" s="1" t="s">
        <v>41</v>
      </c>
      <c r="I710" s="1" t="s">
        <v>8396</v>
      </c>
      <c r="J710" s="1" t="s">
        <v>8397</v>
      </c>
      <c r="K710" s="1" t="s">
        <v>8398</v>
      </c>
      <c r="L710" s="1">
        <v>1</v>
      </c>
      <c r="M710" s="1">
        <v>0</v>
      </c>
      <c r="N710" s="1" t="s">
        <v>8399</v>
      </c>
      <c r="O710" s="1" t="s">
        <v>8400</v>
      </c>
      <c r="P710" s="1" t="s">
        <v>8401</v>
      </c>
      <c r="Q710" s="1">
        <v>0</v>
      </c>
      <c r="R710" s="1" t="s">
        <v>8402</v>
      </c>
      <c r="S710" s="1" t="s">
        <v>8403</v>
      </c>
      <c r="U710" s="2">
        <v>56768</v>
      </c>
      <c r="V710" s="1">
        <v>4.3</v>
      </c>
      <c r="W710" s="1">
        <v>2000</v>
      </c>
      <c r="X710" s="1">
        <v>2511</v>
      </c>
      <c r="Y710" s="1">
        <v>1152</v>
      </c>
      <c r="Z710" s="1">
        <v>146</v>
      </c>
      <c r="AA710" s="1">
        <v>1213</v>
      </c>
      <c r="AB710" s="1">
        <v>0</v>
      </c>
      <c r="AC710" s="1">
        <v>1</v>
      </c>
      <c r="AE710" s="1" t="s">
        <v>8404</v>
      </c>
      <c r="AF710" s="1" t="s">
        <v>8405</v>
      </c>
      <c r="AG710" s="1" t="s">
        <v>8406</v>
      </c>
      <c r="AH710" s="1" t="s">
        <v>8407</v>
      </c>
      <c r="AI710" s="1">
        <v>4.03</v>
      </c>
      <c r="AJ710" s="1">
        <v>505</v>
      </c>
      <c r="AK710" s="1">
        <v>1721</v>
      </c>
      <c r="AL710" s="1">
        <v>457</v>
      </c>
    </row>
    <row r="711" spans="1:38" ht="15.75" customHeight="1">
      <c r="A711" s="1">
        <v>952</v>
      </c>
      <c r="B711" s="1">
        <v>5</v>
      </c>
      <c r="C711" s="1">
        <v>4050</v>
      </c>
      <c r="D711" s="1" t="s">
        <v>38</v>
      </c>
      <c r="E711" s="1" t="s">
        <v>39</v>
      </c>
      <c r="F711" s="1" t="s">
        <v>220</v>
      </c>
      <c r="G711" s="1">
        <v>0</v>
      </c>
      <c r="H711" s="1" t="s">
        <v>41</v>
      </c>
      <c r="I711" s="1" t="s">
        <v>8408</v>
      </c>
      <c r="J711" s="1" t="s">
        <v>8409</v>
      </c>
      <c r="K711" s="1" t="s">
        <v>8410</v>
      </c>
      <c r="L711" s="1">
        <v>1</v>
      </c>
      <c r="M711" s="1">
        <v>0</v>
      </c>
      <c r="N711" s="1" t="s">
        <v>8411</v>
      </c>
      <c r="O711" s="1" t="s">
        <v>8412</v>
      </c>
      <c r="P711" s="1" t="s">
        <v>8413</v>
      </c>
      <c r="Q711" s="1">
        <v>0</v>
      </c>
      <c r="R711" s="1" t="s">
        <v>8414</v>
      </c>
      <c r="S711" s="1" t="s">
        <v>8415</v>
      </c>
      <c r="U711" s="2">
        <v>56773</v>
      </c>
      <c r="V711" s="1">
        <v>4.5</v>
      </c>
      <c r="W711" s="1">
        <v>2000</v>
      </c>
      <c r="X711" s="1">
        <v>1708</v>
      </c>
      <c r="Y711" s="1">
        <v>1040</v>
      </c>
      <c r="Z711" s="1">
        <v>95</v>
      </c>
      <c r="AA711" s="1">
        <v>573</v>
      </c>
      <c r="AB711" s="1">
        <v>0</v>
      </c>
      <c r="AC711" s="1">
        <v>1</v>
      </c>
      <c r="AD711" s="1" t="s">
        <v>76</v>
      </c>
      <c r="AE711" s="1" t="s">
        <v>8416</v>
      </c>
      <c r="AF711" s="1" t="s">
        <v>8417</v>
      </c>
      <c r="AG711" s="1" t="s">
        <v>8418</v>
      </c>
      <c r="AH711" s="1" t="s">
        <v>8419</v>
      </c>
      <c r="AI711" s="1">
        <v>4.42</v>
      </c>
      <c r="AJ711" s="1">
        <v>1396</v>
      </c>
      <c r="AK711" s="1">
        <v>4836</v>
      </c>
      <c r="AL711" s="1">
        <v>1278</v>
      </c>
    </row>
    <row r="712" spans="1:38" ht="15.75" customHeight="1">
      <c r="A712" s="1">
        <v>1125</v>
      </c>
      <c r="C712" s="1">
        <v>4001</v>
      </c>
      <c r="D712" s="1" t="s">
        <v>51</v>
      </c>
      <c r="E712" s="1" t="s">
        <v>39</v>
      </c>
      <c r="F712" s="1" t="s">
        <v>341</v>
      </c>
      <c r="G712" s="1">
        <v>0</v>
      </c>
      <c r="H712" s="1" t="s">
        <v>41</v>
      </c>
      <c r="I712" s="1" t="s">
        <v>8420</v>
      </c>
      <c r="J712" s="1" t="s">
        <v>8421</v>
      </c>
      <c r="K712" s="1" t="s">
        <v>8422</v>
      </c>
      <c r="L712" s="1">
        <v>1</v>
      </c>
      <c r="M712" s="1">
        <v>0</v>
      </c>
      <c r="N712" s="1" t="s">
        <v>8423</v>
      </c>
      <c r="O712" s="1" t="s">
        <v>8424</v>
      </c>
      <c r="P712" s="1" t="s">
        <v>8425</v>
      </c>
      <c r="Q712" s="1">
        <v>0</v>
      </c>
      <c r="R712" s="1" t="s">
        <v>8426</v>
      </c>
      <c r="S712" s="1" t="s">
        <v>8427</v>
      </c>
      <c r="U712" s="2">
        <v>56775</v>
      </c>
      <c r="V712" s="1">
        <v>4.4000000000000004</v>
      </c>
      <c r="W712" s="1">
        <v>2000</v>
      </c>
      <c r="X712" s="1">
        <v>1131</v>
      </c>
      <c r="Y712" s="1">
        <v>5</v>
      </c>
      <c r="Z712" s="1">
        <v>310</v>
      </c>
      <c r="AA712" s="1">
        <v>816</v>
      </c>
      <c r="AB712" s="1">
        <v>1</v>
      </c>
      <c r="AC712" s="1">
        <v>3</v>
      </c>
      <c r="AE712" s="1" t="s">
        <v>8428</v>
      </c>
      <c r="AF712" s="1" t="s">
        <v>8429</v>
      </c>
      <c r="AG712" s="1" t="s">
        <v>8430</v>
      </c>
      <c r="AH712" s="1" t="s">
        <v>8431</v>
      </c>
      <c r="AI712" s="1">
        <v>4.54</v>
      </c>
      <c r="AJ712" s="1">
        <v>2229</v>
      </c>
      <c r="AK712" s="1">
        <v>6580</v>
      </c>
    </row>
    <row r="713" spans="1:38" ht="15.75" customHeight="1">
      <c r="A713" s="1">
        <v>445</v>
      </c>
      <c r="C713" s="1">
        <v>4050</v>
      </c>
      <c r="D713" s="1" t="s">
        <v>38</v>
      </c>
      <c r="E713" s="1" t="s">
        <v>39</v>
      </c>
      <c r="F713" s="1" t="s">
        <v>390</v>
      </c>
      <c r="G713" s="1">
        <v>0</v>
      </c>
      <c r="H713" s="1" t="s">
        <v>41</v>
      </c>
      <c r="I713" s="1" t="s">
        <v>8432</v>
      </c>
      <c r="J713" s="1" t="s">
        <v>8433</v>
      </c>
      <c r="K713" s="1" t="s">
        <v>8434</v>
      </c>
      <c r="L713" s="1">
        <v>1</v>
      </c>
      <c r="M713" s="1">
        <v>0</v>
      </c>
      <c r="N713" s="1" t="s">
        <v>8435</v>
      </c>
      <c r="O713" s="1" t="s">
        <v>8436</v>
      </c>
      <c r="P713" s="1" t="s">
        <v>8437</v>
      </c>
      <c r="Q713" s="1">
        <v>0</v>
      </c>
      <c r="R713" s="1" t="s">
        <v>8438</v>
      </c>
      <c r="S713" s="1" t="s">
        <v>8439</v>
      </c>
      <c r="U713" s="2">
        <v>56769</v>
      </c>
      <c r="V713" s="1">
        <v>4.5999999999999996</v>
      </c>
      <c r="W713" s="1">
        <v>2000</v>
      </c>
      <c r="X713" s="1">
        <v>2119</v>
      </c>
      <c r="Y713" s="1">
        <v>342</v>
      </c>
      <c r="Z713" s="1">
        <v>484</v>
      </c>
      <c r="AA713" s="1">
        <v>1293</v>
      </c>
      <c r="AB713" s="1">
        <v>0</v>
      </c>
      <c r="AC713" s="1">
        <v>3</v>
      </c>
      <c r="AD713" s="1" t="s">
        <v>62</v>
      </c>
      <c r="AE713" s="1" t="s">
        <v>8440</v>
      </c>
      <c r="AF713" s="1" t="s">
        <v>8441</v>
      </c>
      <c r="AG713" s="1" t="s">
        <v>8442</v>
      </c>
      <c r="AH713" s="1" t="s">
        <v>8443</v>
      </c>
      <c r="AI713" s="1">
        <v>4.5599999999999996</v>
      </c>
      <c r="AJ713" s="1">
        <v>344</v>
      </c>
      <c r="AK713" s="1">
        <v>947</v>
      </c>
      <c r="AL713" s="1">
        <v>22</v>
      </c>
    </row>
    <row r="714" spans="1:38" ht="15.75" customHeight="1">
      <c r="A714" s="1">
        <v>364</v>
      </c>
      <c r="B714" s="1">
        <v>5</v>
      </c>
      <c r="C714" s="1">
        <v>4001</v>
      </c>
      <c r="D714" s="1" t="s">
        <v>51</v>
      </c>
      <c r="E714" s="1" t="s">
        <v>39</v>
      </c>
      <c r="F714" s="1" t="s">
        <v>648</v>
      </c>
      <c r="G714" s="1">
        <v>0</v>
      </c>
      <c r="H714" s="1" t="s">
        <v>53</v>
      </c>
      <c r="I714" s="1" t="s">
        <v>8444</v>
      </c>
      <c r="J714" s="1" t="s">
        <v>8445</v>
      </c>
      <c r="K714" s="1" t="s">
        <v>8446</v>
      </c>
      <c r="L714" s="1">
        <v>1</v>
      </c>
      <c r="M714" s="1">
        <v>0</v>
      </c>
      <c r="N714" s="1" t="s">
        <v>8447</v>
      </c>
      <c r="O714" s="1" t="s">
        <v>8448</v>
      </c>
      <c r="P714" s="1" t="s">
        <v>8449</v>
      </c>
      <c r="Q714" s="1">
        <v>0</v>
      </c>
      <c r="R714" s="1" t="s">
        <v>8450</v>
      </c>
      <c r="S714" s="1" t="s">
        <v>8451</v>
      </c>
      <c r="U714" s="2">
        <v>56768</v>
      </c>
      <c r="V714" s="1">
        <v>4.4000000000000004</v>
      </c>
      <c r="W714" s="1">
        <v>2000</v>
      </c>
      <c r="X714" s="1">
        <v>2010</v>
      </c>
      <c r="Y714" s="1">
        <v>820</v>
      </c>
      <c r="Z714" s="1">
        <v>449</v>
      </c>
      <c r="AA714" s="1">
        <v>741</v>
      </c>
      <c r="AB714" s="1">
        <v>0</v>
      </c>
      <c r="AC714" s="1">
        <v>5</v>
      </c>
      <c r="AD714" s="1" t="s">
        <v>76</v>
      </c>
      <c r="AE714" s="1" t="s">
        <v>8452</v>
      </c>
      <c r="AF714" s="1" t="s">
        <v>8453</v>
      </c>
      <c r="AG714" s="1" t="s">
        <v>8454</v>
      </c>
      <c r="AH714" s="1" t="s">
        <v>8455</v>
      </c>
      <c r="AI714" s="1">
        <v>4.7</v>
      </c>
      <c r="AJ714" s="1">
        <v>443</v>
      </c>
      <c r="AK714" s="1">
        <v>1579</v>
      </c>
    </row>
    <row r="715" spans="1:38" ht="15.75" customHeight="1">
      <c r="A715" s="1">
        <v>877</v>
      </c>
      <c r="B715" s="1">
        <v>5</v>
      </c>
      <c r="C715" s="1">
        <v>4050</v>
      </c>
      <c r="D715" s="1" t="s">
        <v>38</v>
      </c>
      <c r="E715" s="1" t="s">
        <v>39</v>
      </c>
      <c r="F715" s="1" t="s">
        <v>510</v>
      </c>
      <c r="G715" s="1">
        <v>0</v>
      </c>
      <c r="H715" s="1" t="s">
        <v>41</v>
      </c>
      <c r="I715" s="1" t="s">
        <v>8456</v>
      </c>
      <c r="J715" s="1" t="s">
        <v>8457</v>
      </c>
      <c r="K715" s="1" t="s">
        <v>8458</v>
      </c>
      <c r="L715" s="1">
        <v>1</v>
      </c>
      <c r="M715" s="1">
        <v>0</v>
      </c>
      <c r="N715" s="1" t="s">
        <v>8459</v>
      </c>
      <c r="O715" s="1" t="s">
        <v>8460</v>
      </c>
      <c r="P715" s="1" t="s">
        <v>8461</v>
      </c>
      <c r="Q715" s="1">
        <v>0</v>
      </c>
      <c r="R715" s="1" t="s">
        <v>8462</v>
      </c>
      <c r="S715" s="1" t="s">
        <v>8463</v>
      </c>
      <c r="U715" s="2">
        <v>56772</v>
      </c>
      <c r="V715" s="1">
        <v>4.4000000000000004</v>
      </c>
      <c r="W715" s="1">
        <v>2000</v>
      </c>
      <c r="X715" s="1">
        <v>2088</v>
      </c>
      <c r="Y715" s="1">
        <v>341</v>
      </c>
      <c r="Z715" s="1">
        <v>521</v>
      </c>
      <c r="AA715" s="1">
        <v>1226</v>
      </c>
      <c r="AB715" s="1">
        <v>0</v>
      </c>
      <c r="AC715" s="1">
        <v>3</v>
      </c>
      <c r="AD715" s="1" t="s">
        <v>215</v>
      </c>
      <c r="AE715" s="1" t="s">
        <v>8464</v>
      </c>
      <c r="AF715" s="1" t="s">
        <v>8465</v>
      </c>
      <c r="AG715" s="1" t="s">
        <v>8466</v>
      </c>
      <c r="AH715" s="1" t="s">
        <v>8467</v>
      </c>
      <c r="AI715" s="1">
        <v>4.62</v>
      </c>
      <c r="AJ715" s="1">
        <v>259</v>
      </c>
      <c r="AK715" s="1">
        <v>604</v>
      </c>
      <c r="AL715" s="1">
        <v>21</v>
      </c>
    </row>
    <row r="716" spans="1:38" ht="15.75" customHeight="1">
      <c r="A716" s="1">
        <v>605</v>
      </c>
      <c r="B716" s="1">
        <v>5</v>
      </c>
      <c r="C716" s="1">
        <v>4050</v>
      </c>
      <c r="D716" s="1" t="s">
        <v>38</v>
      </c>
      <c r="E716" s="1" t="s">
        <v>39</v>
      </c>
      <c r="F716" s="1" t="s">
        <v>451</v>
      </c>
      <c r="G716" s="1">
        <v>0</v>
      </c>
      <c r="H716" s="1" t="s">
        <v>41</v>
      </c>
      <c r="I716" s="1" t="s">
        <v>8468</v>
      </c>
      <c r="J716" s="1" t="s">
        <v>8469</v>
      </c>
      <c r="K716" s="1" t="s">
        <v>8470</v>
      </c>
      <c r="L716" s="1">
        <v>1</v>
      </c>
      <c r="M716" s="1">
        <v>0</v>
      </c>
      <c r="N716" s="1" t="s">
        <v>8471</v>
      </c>
      <c r="O716" s="1" t="s">
        <v>8472</v>
      </c>
      <c r="P716" s="1" t="s">
        <v>8473</v>
      </c>
      <c r="Q716" s="1">
        <v>0</v>
      </c>
      <c r="R716" s="1" t="s">
        <v>8474</v>
      </c>
      <c r="S716" s="1" t="s">
        <v>8475</v>
      </c>
      <c r="U716" s="2">
        <v>56770</v>
      </c>
      <c r="V716" s="1">
        <v>4.7</v>
      </c>
      <c r="W716" s="1">
        <v>2000</v>
      </c>
      <c r="X716" s="1">
        <v>2022</v>
      </c>
      <c r="Y716" s="1">
        <v>750</v>
      </c>
      <c r="Z716" s="1">
        <v>41</v>
      </c>
      <c r="AA716" s="1">
        <v>1231</v>
      </c>
      <c r="AB716" s="1">
        <v>1</v>
      </c>
      <c r="AC716" s="1">
        <v>1</v>
      </c>
      <c r="AE716" s="1" t="s">
        <v>8476</v>
      </c>
      <c r="AF716" s="1" t="s">
        <v>8477</v>
      </c>
      <c r="AG716" s="1" t="s">
        <v>8478</v>
      </c>
      <c r="AH716" s="1" t="s">
        <v>8479</v>
      </c>
      <c r="AI716" s="1">
        <v>4.7</v>
      </c>
      <c r="AJ716" s="1">
        <v>272</v>
      </c>
      <c r="AK716" s="1">
        <v>931</v>
      </c>
      <c r="AL716" s="1">
        <v>144</v>
      </c>
    </row>
    <row r="717" spans="1:38" ht="15.75" customHeight="1">
      <c r="A717" s="1">
        <v>584</v>
      </c>
      <c r="C717" s="1">
        <v>4050</v>
      </c>
      <c r="D717" s="1" t="s">
        <v>38</v>
      </c>
      <c r="E717" s="1" t="s">
        <v>39</v>
      </c>
      <c r="F717" s="1" t="s">
        <v>40</v>
      </c>
      <c r="G717" s="1">
        <v>0</v>
      </c>
      <c r="H717" s="1" t="s">
        <v>41</v>
      </c>
      <c r="I717" s="1" t="s">
        <v>8480</v>
      </c>
      <c r="J717" s="1" t="s">
        <v>8481</v>
      </c>
      <c r="K717" s="1" t="s">
        <v>8482</v>
      </c>
      <c r="L717" s="1">
        <v>1</v>
      </c>
      <c r="M717" s="1">
        <v>0</v>
      </c>
      <c r="N717" s="1" t="s">
        <v>8483</v>
      </c>
      <c r="O717" s="1" t="s">
        <v>8484</v>
      </c>
      <c r="P717" s="1" t="s">
        <v>8485</v>
      </c>
      <c r="Q717" s="1">
        <v>0</v>
      </c>
      <c r="R717" s="1" t="s">
        <v>8486</v>
      </c>
      <c r="S717" s="1" t="s">
        <v>8487</v>
      </c>
      <c r="U717" s="2">
        <v>56770</v>
      </c>
      <c r="V717" s="1">
        <v>4.5999999999999996</v>
      </c>
      <c r="W717" s="1">
        <v>2000</v>
      </c>
      <c r="X717" s="1">
        <v>2496</v>
      </c>
      <c r="Y717" s="1">
        <v>1364</v>
      </c>
      <c r="Z717" s="1">
        <v>761</v>
      </c>
      <c r="AA717" s="1">
        <v>371</v>
      </c>
      <c r="AB717" s="1">
        <v>0</v>
      </c>
      <c r="AC717" s="1">
        <v>2</v>
      </c>
      <c r="AE717" s="1" t="s">
        <v>8488</v>
      </c>
      <c r="AF717" s="1" t="s">
        <v>8489</v>
      </c>
      <c r="AG717" s="1" t="s">
        <v>8490</v>
      </c>
      <c r="AH717" s="1" t="s">
        <v>8491</v>
      </c>
      <c r="AI717" s="1">
        <v>4.7</v>
      </c>
      <c r="AJ717" s="1">
        <v>1261</v>
      </c>
      <c r="AK717" s="1">
        <v>3264</v>
      </c>
      <c r="AL717" s="1">
        <v>232</v>
      </c>
    </row>
    <row r="718" spans="1:38" ht="15.75" customHeight="1">
      <c r="A718" s="1">
        <v>505</v>
      </c>
      <c r="B718" s="1">
        <v>5</v>
      </c>
      <c r="C718" s="1">
        <v>4050</v>
      </c>
      <c r="D718" s="1" t="s">
        <v>38</v>
      </c>
      <c r="E718" s="1" t="s">
        <v>39</v>
      </c>
      <c r="F718" s="1" t="s">
        <v>510</v>
      </c>
      <c r="G718" s="1">
        <v>0</v>
      </c>
      <c r="H718" s="1" t="s">
        <v>41</v>
      </c>
      <c r="I718" s="1" t="s">
        <v>8492</v>
      </c>
      <c r="J718" s="1" t="s">
        <v>8493</v>
      </c>
      <c r="K718" s="1" t="s">
        <v>8494</v>
      </c>
      <c r="L718" s="1">
        <v>1</v>
      </c>
      <c r="M718" s="1">
        <v>0</v>
      </c>
      <c r="N718" s="1" t="s">
        <v>8495</v>
      </c>
      <c r="O718" s="1" t="s">
        <v>8496</v>
      </c>
      <c r="P718" s="1" t="s">
        <v>8497</v>
      </c>
      <c r="Q718" s="1">
        <v>0</v>
      </c>
      <c r="R718" s="1" t="s">
        <v>8498</v>
      </c>
      <c r="S718" s="1" t="s">
        <v>8499</v>
      </c>
      <c r="U718" s="2">
        <v>56769</v>
      </c>
      <c r="V718" s="1">
        <v>3.3046046200000001</v>
      </c>
      <c r="W718" s="1">
        <v>2000</v>
      </c>
      <c r="X718" s="1">
        <v>2862</v>
      </c>
      <c r="Y718" s="1">
        <v>1013</v>
      </c>
      <c r="Z718" s="1">
        <v>309</v>
      </c>
      <c r="AA718" s="1">
        <v>1540</v>
      </c>
      <c r="AB718" s="1">
        <v>1</v>
      </c>
      <c r="AC718" s="1">
        <v>1</v>
      </c>
      <c r="AE718" s="1" t="s">
        <v>8500</v>
      </c>
      <c r="AF718" s="1" t="s">
        <v>8501</v>
      </c>
      <c r="AG718" s="1" t="s">
        <v>8502</v>
      </c>
      <c r="AH718" s="1" t="s">
        <v>8503</v>
      </c>
      <c r="AI718" s="1">
        <v>4.62</v>
      </c>
      <c r="AJ718" s="1">
        <v>259</v>
      </c>
      <c r="AK718" s="1">
        <v>604</v>
      </c>
      <c r="AL718" s="1">
        <v>21</v>
      </c>
    </row>
    <row r="719" spans="1:38" ht="15.75" customHeight="1">
      <c r="A719" s="1">
        <v>766</v>
      </c>
      <c r="B719" s="1">
        <v>5</v>
      </c>
      <c r="C719" s="1">
        <v>4001</v>
      </c>
      <c r="D719" s="1" t="s">
        <v>51</v>
      </c>
      <c r="E719" s="1" t="s">
        <v>39</v>
      </c>
      <c r="F719" s="1" t="s">
        <v>708</v>
      </c>
      <c r="G719" s="1">
        <v>0</v>
      </c>
      <c r="H719" s="1" t="s">
        <v>53</v>
      </c>
      <c r="I719" s="1" t="s">
        <v>8504</v>
      </c>
      <c r="J719" s="1" t="s">
        <v>8505</v>
      </c>
      <c r="K719" s="1" t="s">
        <v>8506</v>
      </c>
      <c r="L719" s="1">
        <v>1</v>
      </c>
      <c r="M719" s="1">
        <v>0</v>
      </c>
      <c r="N719" s="1" t="s">
        <v>8507</v>
      </c>
      <c r="O719" s="1" t="s">
        <v>8508</v>
      </c>
      <c r="P719" s="1" t="s">
        <v>8509</v>
      </c>
      <c r="Q719" s="1">
        <v>0</v>
      </c>
      <c r="R719" s="1" t="s">
        <v>8510</v>
      </c>
      <c r="S719" s="1" t="s">
        <v>8511</v>
      </c>
      <c r="U719" s="2">
        <v>56771</v>
      </c>
      <c r="V719" s="1">
        <v>3.168534985</v>
      </c>
      <c r="W719" s="1">
        <v>2000</v>
      </c>
      <c r="X719" s="1">
        <v>2225</v>
      </c>
      <c r="Y719" s="1">
        <v>1024</v>
      </c>
      <c r="Z719" s="1">
        <v>236</v>
      </c>
      <c r="AA719" s="1">
        <v>965</v>
      </c>
      <c r="AB719" s="1">
        <v>0</v>
      </c>
      <c r="AC719" s="1">
        <v>2</v>
      </c>
      <c r="AD719" s="1" t="s">
        <v>76</v>
      </c>
      <c r="AE719" s="1" t="s">
        <v>8512</v>
      </c>
      <c r="AF719" s="1" t="s">
        <v>8513</v>
      </c>
      <c r="AG719" s="1" t="s">
        <v>8514</v>
      </c>
      <c r="AH719" s="1" t="s">
        <v>8515</v>
      </c>
      <c r="AI719" s="1">
        <v>4.5999999999999996</v>
      </c>
      <c r="AJ719" s="1">
        <v>292</v>
      </c>
      <c r="AK719" s="1">
        <v>1027</v>
      </c>
      <c r="AL719" s="1">
        <v>26</v>
      </c>
    </row>
    <row r="720" spans="1:38" ht="15.75" customHeight="1">
      <c r="A720" s="1">
        <v>859</v>
      </c>
      <c r="C720" s="1">
        <v>4001</v>
      </c>
      <c r="D720" s="1" t="s">
        <v>51</v>
      </c>
      <c r="E720" s="1" t="s">
        <v>39</v>
      </c>
      <c r="F720" s="1" t="s">
        <v>52</v>
      </c>
      <c r="G720" s="1">
        <v>0</v>
      </c>
      <c r="H720" s="1" t="s">
        <v>53</v>
      </c>
      <c r="I720" s="1" t="s">
        <v>8516</v>
      </c>
      <c r="J720" s="1" t="s">
        <v>8517</v>
      </c>
      <c r="K720" s="1" t="s">
        <v>8518</v>
      </c>
      <c r="L720" s="1">
        <v>1</v>
      </c>
      <c r="M720" s="1">
        <v>0</v>
      </c>
      <c r="N720" s="1" t="s">
        <v>8519</v>
      </c>
      <c r="O720" s="1" t="s">
        <v>8520</v>
      </c>
      <c r="P720" s="1" t="s">
        <v>8521</v>
      </c>
      <c r="Q720" s="1">
        <v>0</v>
      </c>
      <c r="R720" s="1" t="s">
        <v>8522</v>
      </c>
      <c r="S720" s="1" t="s">
        <v>8523</v>
      </c>
      <c r="U720" s="2">
        <v>56772</v>
      </c>
      <c r="V720" s="1">
        <v>4.3</v>
      </c>
      <c r="W720" s="1">
        <v>2000</v>
      </c>
      <c r="X720" s="1">
        <v>2239</v>
      </c>
      <c r="Y720" s="1">
        <v>1452</v>
      </c>
      <c r="Z720" s="1">
        <v>91</v>
      </c>
      <c r="AA720" s="1">
        <v>696</v>
      </c>
      <c r="AB720" s="1">
        <v>1</v>
      </c>
      <c r="AC720" s="1">
        <v>2</v>
      </c>
      <c r="AE720" s="1" t="s">
        <v>8524</v>
      </c>
      <c r="AF720" s="1" t="s">
        <v>8525</v>
      </c>
      <c r="AG720" s="1" t="s">
        <v>8526</v>
      </c>
      <c r="AH720" s="1" t="s">
        <v>8527</v>
      </c>
      <c r="AI720" s="1">
        <v>4.17</v>
      </c>
      <c r="AJ720" s="1">
        <v>457</v>
      </c>
      <c r="AK720" s="1">
        <v>1599</v>
      </c>
    </row>
    <row r="721" spans="1:38" ht="15.75" customHeight="1">
      <c r="A721" s="1">
        <v>893</v>
      </c>
      <c r="B721" s="1">
        <v>5</v>
      </c>
      <c r="C721" s="1">
        <v>4050</v>
      </c>
      <c r="D721" s="1" t="s">
        <v>38</v>
      </c>
      <c r="E721" s="1" t="s">
        <v>39</v>
      </c>
      <c r="F721" s="1" t="s">
        <v>280</v>
      </c>
      <c r="G721" s="1">
        <v>0</v>
      </c>
      <c r="H721" s="1" t="s">
        <v>41</v>
      </c>
      <c r="I721" s="1" t="s">
        <v>8528</v>
      </c>
      <c r="J721" s="1" t="s">
        <v>8529</v>
      </c>
      <c r="K721" s="1" t="s">
        <v>8530</v>
      </c>
      <c r="L721" s="1">
        <v>1</v>
      </c>
      <c r="M721" s="1">
        <v>0</v>
      </c>
      <c r="N721" s="1" t="s">
        <v>8531</v>
      </c>
      <c r="O721" s="1" t="s">
        <v>8532</v>
      </c>
      <c r="P721" s="1" t="s">
        <v>8533</v>
      </c>
      <c r="Q721" s="1">
        <v>0</v>
      </c>
      <c r="R721" s="1" t="s">
        <v>8534</v>
      </c>
      <c r="S721" s="1" t="s">
        <v>8535</v>
      </c>
      <c r="U721" s="2">
        <v>56772</v>
      </c>
      <c r="V721" s="1">
        <v>4.7</v>
      </c>
      <c r="W721" s="1">
        <v>2000</v>
      </c>
      <c r="X721" s="1">
        <v>1059</v>
      </c>
      <c r="Y721" s="1">
        <v>591</v>
      </c>
      <c r="Z721" s="1">
        <v>76</v>
      </c>
      <c r="AA721" s="1">
        <v>392</v>
      </c>
      <c r="AB721" s="1">
        <v>0</v>
      </c>
      <c r="AC721" s="1">
        <v>2</v>
      </c>
      <c r="AD721" s="1" t="s">
        <v>76</v>
      </c>
      <c r="AE721" s="1" t="s">
        <v>8536</v>
      </c>
      <c r="AF721" s="1" t="s">
        <v>8537</v>
      </c>
      <c r="AG721" s="1" t="s">
        <v>8538</v>
      </c>
      <c r="AH721" s="1" t="s">
        <v>8539</v>
      </c>
      <c r="AI721" s="1">
        <v>4.49</v>
      </c>
      <c r="AJ721" s="1">
        <v>2315</v>
      </c>
      <c r="AK721" s="1">
        <v>7039</v>
      </c>
      <c r="AL721" s="1">
        <v>763</v>
      </c>
    </row>
    <row r="722" spans="1:38" ht="15.75" customHeight="1">
      <c r="A722" s="1">
        <v>928</v>
      </c>
      <c r="C722" s="1">
        <v>4001</v>
      </c>
      <c r="D722" s="1" t="s">
        <v>51</v>
      </c>
      <c r="E722" s="1" t="s">
        <v>39</v>
      </c>
      <c r="F722" s="1" t="s">
        <v>305</v>
      </c>
      <c r="G722" s="1">
        <v>0</v>
      </c>
      <c r="H722" s="1" t="s">
        <v>53</v>
      </c>
      <c r="I722" s="1" t="s">
        <v>8540</v>
      </c>
      <c r="J722" s="1" t="s">
        <v>8541</v>
      </c>
      <c r="K722" s="1" t="s">
        <v>8541</v>
      </c>
      <c r="L722" s="1">
        <v>0</v>
      </c>
      <c r="M722" s="1">
        <v>0</v>
      </c>
      <c r="N722" s="1" t="s">
        <v>8542</v>
      </c>
      <c r="O722" s="1" t="s">
        <v>8543</v>
      </c>
      <c r="P722" s="1" t="s">
        <v>8544</v>
      </c>
      <c r="Q722" s="1">
        <v>0</v>
      </c>
      <c r="R722" s="1" t="s">
        <v>8545</v>
      </c>
      <c r="S722" s="1" t="s">
        <v>8546</v>
      </c>
      <c r="U722" s="2">
        <v>56773</v>
      </c>
      <c r="V722" s="1">
        <v>4.2</v>
      </c>
      <c r="W722" s="1">
        <v>2000</v>
      </c>
      <c r="X722" s="1">
        <v>2308</v>
      </c>
      <c r="Y722" s="1">
        <v>175</v>
      </c>
      <c r="Z722" s="1">
        <v>1672</v>
      </c>
      <c r="AA722" s="1">
        <v>461</v>
      </c>
      <c r="AB722" s="1">
        <v>1</v>
      </c>
      <c r="AC722" s="1">
        <v>1</v>
      </c>
      <c r="AE722" s="1" t="s">
        <v>8547</v>
      </c>
      <c r="AF722" s="1" t="s">
        <v>8548</v>
      </c>
      <c r="AG722" s="1" t="s">
        <v>8549</v>
      </c>
      <c r="AH722" s="1" t="s">
        <v>8550</v>
      </c>
      <c r="AI722" s="1">
        <v>4.5199999999999996</v>
      </c>
      <c r="AJ722" s="1">
        <v>183</v>
      </c>
      <c r="AK722" s="1">
        <v>522</v>
      </c>
    </row>
    <row r="723" spans="1:38" ht="15.75" customHeight="1">
      <c r="A723" s="1">
        <v>951</v>
      </c>
      <c r="B723" s="1">
        <v>5</v>
      </c>
      <c r="C723" s="1">
        <v>4001</v>
      </c>
      <c r="D723" s="1" t="s">
        <v>51</v>
      </c>
      <c r="E723" s="1" t="s">
        <v>39</v>
      </c>
      <c r="F723" s="1" t="s">
        <v>305</v>
      </c>
      <c r="G723" s="1">
        <v>0</v>
      </c>
      <c r="H723" s="1" t="s">
        <v>53</v>
      </c>
      <c r="I723" s="1" t="s">
        <v>8551</v>
      </c>
      <c r="J723" s="1" t="s">
        <v>8552</v>
      </c>
      <c r="K723" s="1" t="s">
        <v>8553</v>
      </c>
      <c r="L723" s="1">
        <v>1</v>
      </c>
      <c r="M723" s="1">
        <v>0</v>
      </c>
      <c r="N723" s="1" t="s">
        <v>8554</v>
      </c>
      <c r="O723" s="1" t="s">
        <v>8555</v>
      </c>
      <c r="P723" s="1" t="s">
        <v>8556</v>
      </c>
      <c r="Q723" s="1">
        <v>0</v>
      </c>
      <c r="R723" s="1" t="s">
        <v>8557</v>
      </c>
      <c r="S723" s="1" t="s">
        <v>8558</v>
      </c>
      <c r="U723" s="2">
        <v>56773</v>
      </c>
      <c r="V723" s="1">
        <v>4.5999999999999996</v>
      </c>
      <c r="W723" s="1">
        <v>2000</v>
      </c>
      <c r="X723" s="1">
        <v>1313</v>
      </c>
      <c r="Y723" s="1">
        <v>671</v>
      </c>
      <c r="Z723" s="1">
        <v>111</v>
      </c>
      <c r="AA723" s="1">
        <v>531</v>
      </c>
      <c r="AB723" s="1">
        <v>0</v>
      </c>
      <c r="AC723" s="1">
        <v>1</v>
      </c>
      <c r="AD723" s="1" t="s">
        <v>76</v>
      </c>
      <c r="AE723" s="1" t="s">
        <v>8559</v>
      </c>
      <c r="AF723" s="1" t="s">
        <v>8560</v>
      </c>
      <c r="AG723" s="1" t="s">
        <v>8561</v>
      </c>
      <c r="AH723" s="1" t="s">
        <v>8562</v>
      </c>
      <c r="AI723" s="1">
        <v>4.5199999999999996</v>
      </c>
      <c r="AJ723" s="1">
        <v>183</v>
      </c>
      <c r="AK723" s="1">
        <v>522</v>
      </c>
    </row>
    <row r="724" spans="1:38" ht="15.75" customHeight="1">
      <c r="A724" s="1">
        <v>1022</v>
      </c>
      <c r="B724" s="1">
        <v>5</v>
      </c>
      <c r="C724" s="1">
        <v>4001</v>
      </c>
      <c r="D724" s="1" t="s">
        <v>51</v>
      </c>
      <c r="E724" s="1" t="s">
        <v>39</v>
      </c>
      <c r="F724" s="1" t="s">
        <v>305</v>
      </c>
      <c r="G724" s="1">
        <v>0</v>
      </c>
      <c r="H724" s="1" t="s">
        <v>53</v>
      </c>
      <c r="I724" s="1" t="s">
        <v>8563</v>
      </c>
      <c r="J724" s="1" t="s">
        <v>8564</v>
      </c>
      <c r="K724" s="1" t="s">
        <v>8565</v>
      </c>
      <c r="L724" s="1">
        <v>1</v>
      </c>
      <c r="M724" s="1">
        <v>0</v>
      </c>
      <c r="N724" s="1" t="s">
        <v>8566</v>
      </c>
      <c r="O724" s="1" t="s">
        <v>8567</v>
      </c>
      <c r="P724" s="1" t="s">
        <v>8568</v>
      </c>
      <c r="Q724" s="1">
        <v>0</v>
      </c>
      <c r="R724" s="1" t="s">
        <v>8569</v>
      </c>
      <c r="S724" s="1" t="s">
        <v>8570</v>
      </c>
      <c r="U724" s="2">
        <v>56774</v>
      </c>
      <c r="V724" s="1">
        <v>4.5</v>
      </c>
      <c r="W724" s="1">
        <v>2000</v>
      </c>
      <c r="X724" s="1">
        <v>821</v>
      </c>
      <c r="Y724" s="1">
        <v>134</v>
      </c>
      <c r="Z724" s="1">
        <v>196</v>
      </c>
      <c r="AA724" s="1">
        <v>491</v>
      </c>
      <c r="AB724" s="1">
        <v>0</v>
      </c>
      <c r="AC724" s="1">
        <v>1</v>
      </c>
      <c r="AD724" s="1" t="s">
        <v>215</v>
      </c>
      <c r="AE724" s="1" t="s">
        <v>8571</v>
      </c>
      <c r="AF724" s="1" t="s">
        <v>8572</v>
      </c>
      <c r="AG724" s="1" t="s">
        <v>8573</v>
      </c>
      <c r="AH724" s="1" t="s">
        <v>8574</v>
      </c>
      <c r="AI724" s="1">
        <v>4.5199999999999996</v>
      </c>
      <c r="AJ724" s="1">
        <v>183</v>
      </c>
      <c r="AK724" s="1">
        <v>522</v>
      </c>
    </row>
    <row r="725" spans="1:38" ht="15.75" customHeight="1">
      <c r="A725" s="1">
        <v>1226</v>
      </c>
      <c r="B725" s="1">
        <v>5</v>
      </c>
      <c r="C725" s="1">
        <v>4001</v>
      </c>
      <c r="D725" s="1" t="s">
        <v>51</v>
      </c>
      <c r="E725" s="1" t="s">
        <v>39</v>
      </c>
      <c r="F725" s="1" t="s">
        <v>1456</v>
      </c>
      <c r="G725" s="1">
        <v>0</v>
      </c>
      <c r="H725" s="1" t="s">
        <v>53</v>
      </c>
      <c r="I725" s="1" t="s">
        <v>8575</v>
      </c>
      <c r="J725" s="1" t="s">
        <v>8576</v>
      </c>
      <c r="K725" s="1" t="s">
        <v>8577</v>
      </c>
      <c r="L725" s="1">
        <v>1</v>
      </c>
      <c r="M725" s="1">
        <v>0</v>
      </c>
      <c r="N725" s="1" t="s">
        <v>8578</v>
      </c>
      <c r="O725" s="1" t="s">
        <v>8579</v>
      </c>
      <c r="P725" s="1" t="s">
        <v>8580</v>
      </c>
      <c r="Q725" s="1">
        <v>0</v>
      </c>
      <c r="R725" s="1" t="s">
        <v>8581</v>
      </c>
      <c r="S725" s="1" t="s">
        <v>8582</v>
      </c>
      <c r="U725" s="2">
        <v>56775</v>
      </c>
      <c r="V725" s="1">
        <v>4.5999999999999996</v>
      </c>
      <c r="W725" s="1">
        <v>2000</v>
      </c>
      <c r="X725" s="1">
        <v>2584</v>
      </c>
      <c r="Y725" s="1">
        <v>540</v>
      </c>
      <c r="Z725" s="1">
        <v>926</v>
      </c>
      <c r="AA725" s="1">
        <v>1118</v>
      </c>
      <c r="AB725" s="1">
        <v>0</v>
      </c>
      <c r="AC725" s="1">
        <v>2</v>
      </c>
      <c r="AD725" s="1" t="s">
        <v>215</v>
      </c>
      <c r="AE725" s="1" t="s">
        <v>8583</v>
      </c>
      <c r="AF725" s="1" t="s">
        <v>8584</v>
      </c>
      <c r="AG725" s="1" t="s">
        <v>8585</v>
      </c>
      <c r="AH725" s="1" t="s">
        <v>8586</v>
      </c>
      <c r="AI725" s="1">
        <v>4.5</v>
      </c>
      <c r="AJ725" s="1">
        <v>394</v>
      </c>
      <c r="AK725" s="1">
        <v>1403</v>
      </c>
    </row>
    <row r="726" spans="1:38" ht="15.75" customHeight="1">
      <c r="A726" s="1">
        <v>1538</v>
      </c>
      <c r="C726" s="1">
        <v>4001</v>
      </c>
      <c r="D726" s="1" t="s">
        <v>51</v>
      </c>
      <c r="E726" s="1" t="s">
        <v>39</v>
      </c>
      <c r="F726" s="1" t="s">
        <v>708</v>
      </c>
      <c r="G726" s="1">
        <v>0</v>
      </c>
      <c r="H726" s="1" t="s">
        <v>53</v>
      </c>
      <c r="I726" s="1" t="s">
        <v>8587</v>
      </c>
      <c r="J726" s="1" t="s">
        <v>8588</v>
      </c>
      <c r="K726" s="1" t="s">
        <v>8589</v>
      </c>
      <c r="L726" s="1">
        <v>1</v>
      </c>
      <c r="M726" s="1">
        <v>0</v>
      </c>
      <c r="N726" s="1" t="s">
        <v>8590</v>
      </c>
      <c r="O726" s="1" t="s">
        <v>8591</v>
      </c>
      <c r="P726" s="1" t="s">
        <v>8592</v>
      </c>
      <c r="Q726" s="1">
        <v>0</v>
      </c>
      <c r="R726" s="1" t="s">
        <v>8593</v>
      </c>
      <c r="S726" s="1" t="s">
        <v>8594</v>
      </c>
      <c r="U726" s="2">
        <v>56777</v>
      </c>
      <c r="V726" s="1">
        <v>4.5999999999999996</v>
      </c>
      <c r="W726" s="1">
        <v>2000</v>
      </c>
      <c r="X726" s="1">
        <v>1206</v>
      </c>
      <c r="Y726" s="1">
        <v>680</v>
      </c>
      <c r="Z726" s="1">
        <v>6</v>
      </c>
      <c r="AA726" s="1">
        <v>520</v>
      </c>
      <c r="AB726" s="1">
        <v>0</v>
      </c>
      <c r="AC726" s="1">
        <v>1</v>
      </c>
      <c r="AD726" s="1" t="s">
        <v>215</v>
      </c>
      <c r="AE726" s="1" t="s">
        <v>8595</v>
      </c>
      <c r="AF726" s="1" t="s">
        <v>8596</v>
      </c>
      <c r="AG726" s="1" t="s">
        <v>8597</v>
      </c>
      <c r="AH726" s="1" t="s">
        <v>8598</v>
      </c>
      <c r="AI726" s="1">
        <v>4.5999999999999996</v>
      </c>
      <c r="AJ726" s="1">
        <v>292</v>
      </c>
      <c r="AK726" s="1">
        <v>1027</v>
      </c>
      <c r="AL726" s="1">
        <v>26</v>
      </c>
    </row>
    <row r="727" spans="1:38" ht="15.75" customHeight="1">
      <c r="A727" s="1">
        <v>1584</v>
      </c>
      <c r="B727" s="1">
        <v>5</v>
      </c>
      <c r="C727" s="1">
        <v>4001</v>
      </c>
      <c r="D727" s="1" t="s">
        <v>51</v>
      </c>
      <c r="E727" s="1" t="s">
        <v>39</v>
      </c>
      <c r="F727" s="1" t="s">
        <v>341</v>
      </c>
      <c r="G727" s="1">
        <v>0</v>
      </c>
      <c r="H727" s="1" t="s">
        <v>41</v>
      </c>
      <c r="I727" s="1" t="s">
        <v>8599</v>
      </c>
      <c r="J727" s="1" t="s">
        <v>8600</v>
      </c>
      <c r="K727" s="1" t="s">
        <v>8601</v>
      </c>
      <c r="L727" s="1">
        <v>1</v>
      </c>
      <c r="M727" s="1">
        <v>0</v>
      </c>
      <c r="N727" s="1" t="s">
        <v>8602</v>
      </c>
      <c r="O727" s="1" t="s">
        <v>8603</v>
      </c>
      <c r="P727" s="1" t="s">
        <v>8604</v>
      </c>
      <c r="Q727" s="1">
        <v>0</v>
      </c>
      <c r="R727" s="1" t="s">
        <v>8605</v>
      </c>
      <c r="S727" s="1" t="s">
        <v>8606</v>
      </c>
      <c r="U727" s="2">
        <v>56778</v>
      </c>
      <c r="V727" s="1">
        <v>4.5999999999999996</v>
      </c>
      <c r="W727" s="1">
        <v>2000</v>
      </c>
      <c r="X727" s="1">
        <v>860</v>
      </c>
      <c r="Y727" s="1">
        <v>212</v>
      </c>
      <c r="Z727" s="1">
        <v>144</v>
      </c>
      <c r="AA727" s="1">
        <v>504</v>
      </c>
      <c r="AB727" s="1">
        <v>0</v>
      </c>
      <c r="AC727" s="1">
        <v>2</v>
      </c>
      <c r="AD727" s="1" t="s">
        <v>62</v>
      </c>
      <c r="AE727" s="1" t="s">
        <v>8607</v>
      </c>
      <c r="AF727" s="1" t="s">
        <v>8608</v>
      </c>
      <c r="AG727" s="1" t="s">
        <v>8609</v>
      </c>
      <c r="AH727" s="1" t="s">
        <v>8610</v>
      </c>
      <c r="AI727" s="1">
        <v>4.54</v>
      </c>
      <c r="AJ727" s="1">
        <v>2229</v>
      </c>
      <c r="AK727" s="1">
        <v>6580</v>
      </c>
    </row>
    <row r="728" spans="1:38" ht="15.75" customHeight="1">
      <c r="A728" s="1">
        <v>20</v>
      </c>
      <c r="C728" s="1">
        <v>4001</v>
      </c>
      <c r="D728" s="1" t="s">
        <v>51</v>
      </c>
      <c r="E728" s="1" t="s">
        <v>39</v>
      </c>
      <c r="F728" s="1" t="s">
        <v>52</v>
      </c>
      <c r="G728" s="1">
        <v>0</v>
      </c>
      <c r="H728" s="1" t="s">
        <v>53</v>
      </c>
      <c r="I728" s="1" t="s">
        <v>8611</v>
      </c>
      <c r="J728" s="1" t="s">
        <v>8612</v>
      </c>
      <c r="K728" s="1" t="s">
        <v>8613</v>
      </c>
      <c r="L728" s="1">
        <v>1</v>
      </c>
      <c r="M728" s="1">
        <v>0</v>
      </c>
      <c r="N728" s="1" t="s">
        <v>8614</v>
      </c>
      <c r="O728" s="1" t="s">
        <v>8615</v>
      </c>
      <c r="P728" s="1" t="s">
        <v>8616</v>
      </c>
      <c r="Q728" s="1">
        <v>0</v>
      </c>
      <c r="R728" s="1" t="s">
        <v>8617</v>
      </c>
      <c r="S728" s="1" t="s">
        <v>8618</v>
      </c>
      <c r="U728" s="2">
        <v>56766</v>
      </c>
      <c r="V728" s="1">
        <v>4.5</v>
      </c>
      <c r="W728" s="1">
        <v>2000</v>
      </c>
      <c r="X728" s="1">
        <v>3083</v>
      </c>
      <c r="Y728" s="1">
        <v>935</v>
      </c>
      <c r="Z728" s="1">
        <v>305</v>
      </c>
      <c r="AA728" s="1">
        <v>1843</v>
      </c>
      <c r="AB728" s="1">
        <v>1</v>
      </c>
      <c r="AC728" s="1">
        <v>2</v>
      </c>
      <c r="AE728" s="1" t="s">
        <v>8619</v>
      </c>
      <c r="AF728" s="1" t="s">
        <v>8620</v>
      </c>
      <c r="AG728" s="1" t="s">
        <v>8621</v>
      </c>
      <c r="AH728" s="1" t="s">
        <v>8622</v>
      </c>
      <c r="AI728" s="1">
        <v>4.17</v>
      </c>
      <c r="AJ728" s="1">
        <v>457</v>
      </c>
      <c r="AK728" s="1">
        <v>1599</v>
      </c>
    </row>
    <row r="729" spans="1:38" ht="15.75" customHeight="1">
      <c r="A729" s="1">
        <v>604</v>
      </c>
      <c r="C729" s="1">
        <v>4050</v>
      </c>
      <c r="D729" s="1" t="s">
        <v>38</v>
      </c>
      <c r="E729" s="1" t="s">
        <v>39</v>
      </c>
      <c r="F729" s="1" t="s">
        <v>280</v>
      </c>
      <c r="G729" s="1">
        <v>0</v>
      </c>
      <c r="H729" s="1" t="s">
        <v>41</v>
      </c>
      <c r="I729" s="1" t="s">
        <v>8623</v>
      </c>
      <c r="J729" s="1" t="s">
        <v>8624</v>
      </c>
      <c r="K729" s="1" t="s">
        <v>8625</v>
      </c>
      <c r="L729" s="1">
        <v>1</v>
      </c>
      <c r="M729" s="1">
        <v>0</v>
      </c>
      <c r="N729" s="1" t="s">
        <v>8626</v>
      </c>
      <c r="O729" s="1" t="s">
        <v>8627</v>
      </c>
      <c r="P729" s="1" t="s">
        <v>8628</v>
      </c>
      <c r="Q729" s="1">
        <v>0</v>
      </c>
      <c r="R729" s="1" t="s">
        <v>8629</v>
      </c>
      <c r="U729" s="2">
        <v>56770</v>
      </c>
      <c r="V729" s="1">
        <v>4.5999999999999996</v>
      </c>
      <c r="W729" s="1">
        <v>2000</v>
      </c>
      <c r="X729" s="1">
        <v>1819</v>
      </c>
      <c r="AA729" s="1">
        <v>1165</v>
      </c>
      <c r="AB729" s="1">
        <v>0</v>
      </c>
      <c r="AC729" s="1">
        <v>2</v>
      </c>
      <c r="AE729" s="1" t="s">
        <v>8630</v>
      </c>
      <c r="AF729" s="1" t="s">
        <v>8631</v>
      </c>
      <c r="AG729" s="1" t="s">
        <v>8632</v>
      </c>
      <c r="AI729" s="1">
        <v>4.49</v>
      </c>
      <c r="AJ729" s="1">
        <v>2315</v>
      </c>
      <c r="AK729" s="1">
        <v>7039</v>
      </c>
      <c r="AL729" s="1">
        <v>763</v>
      </c>
    </row>
    <row r="730" spans="1:38" ht="15.75" customHeight="1">
      <c r="A730" s="1">
        <v>1488</v>
      </c>
      <c r="B730" s="1">
        <v>5</v>
      </c>
      <c r="C730" s="1">
        <v>4001</v>
      </c>
      <c r="D730" s="1" t="s">
        <v>51</v>
      </c>
      <c r="E730" s="1" t="s">
        <v>39</v>
      </c>
      <c r="F730" s="1" t="s">
        <v>1915</v>
      </c>
      <c r="G730" s="1">
        <v>0</v>
      </c>
      <c r="H730" s="1" t="s">
        <v>53</v>
      </c>
      <c r="I730" s="1" t="s">
        <v>8633</v>
      </c>
      <c r="J730" s="1" t="s">
        <v>8634</v>
      </c>
      <c r="K730" s="1" t="s">
        <v>8635</v>
      </c>
      <c r="L730" s="1">
        <v>1</v>
      </c>
      <c r="M730" s="1">
        <v>0</v>
      </c>
      <c r="N730" s="1" t="s">
        <v>8636</v>
      </c>
      <c r="O730" s="1" t="s">
        <v>8637</v>
      </c>
      <c r="P730" s="1" t="s">
        <v>8638</v>
      </c>
      <c r="Q730" s="1">
        <v>0</v>
      </c>
      <c r="R730" s="1" t="s">
        <v>8639</v>
      </c>
      <c r="S730" s="1" t="s">
        <v>8640</v>
      </c>
      <c r="U730" s="2">
        <v>56777</v>
      </c>
      <c r="V730" s="1">
        <v>4.5</v>
      </c>
      <c r="W730" s="1">
        <v>2000</v>
      </c>
      <c r="X730" s="1">
        <v>2864</v>
      </c>
      <c r="Y730" s="1">
        <v>1058</v>
      </c>
      <c r="Z730" s="1">
        <v>686</v>
      </c>
      <c r="AA730" s="1">
        <v>1120</v>
      </c>
      <c r="AB730" s="1">
        <v>0</v>
      </c>
      <c r="AC730" s="1">
        <v>2</v>
      </c>
      <c r="AD730" s="1" t="s">
        <v>62</v>
      </c>
      <c r="AE730" s="1" t="s">
        <v>8641</v>
      </c>
      <c r="AF730" s="1" t="s">
        <v>8642</v>
      </c>
      <c r="AG730" s="1" t="s">
        <v>8643</v>
      </c>
      <c r="AH730" s="1" t="s">
        <v>8644</v>
      </c>
      <c r="AI730" s="1">
        <v>4.63</v>
      </c>
      <c r="AJ730" s="1">
        <v>242</v>
      </c>
      <c r="AK730" s="1">
        <v>736</v>
      </c>
    </row>
    <row r="731" spans="1:38" ht="15.75" customHeight="1">
      <c r="A731" s="1">
        <v>1594</v>
      </c>
      <c r="B731" s="1">
        <v>5</v>
      </c>
      <c r="C731" s="1">
        <v>4001</v>
      </c>
      <c r="D731" s="1" t="s">
        <v>51</v>
      </c>
      <c r="E731" s="1" t="s">
        <v>39</v>
      </c>
      <c r="F731" s="1" t="s">
        <v>341</v>
      </c>
      <c r="G731" s="1">
        <v>0</v>
      </c>
      <c r="H731" s="1" t="s">
        <v>41</v>
      </c>
      <c r="I731" s="1" t="s">
        <v>8645</v>
      </c>
      <c r="J731" s="1" t="s">
        <v>8646</v>
      </c>
      <c r="K731" s="1" t="s">
        <v>8647</v>
      </c>
      <c r="L731" s="1">
        <v>1</v>
      </c>
      <c r="M731" s="1">
        <v>0</v>
      </c>
      <c r="N731" s="1" t="s">
        <v>8648</v>
      </c>
      <c r="O731" s="1" t="s">
        <v>8649</v>
      </c>
      <c r="P731" s="1" t="s">
        <v>8650</v>
      </c>
      <c r="Q731" s="1">
        <v>0</v>
      </c>
      <c r="R731" s="1" t="s">
        <v>8651</v>
      </c>
      <c r="S731" s="1" t="s">
        <v>8652</v>
      </c>
      <c r="U731" s="2">
        <v>56778</v>
      </c>
      <c r="V731" s="1">
        <v>4.5</v>
      </c>
      <c r="W731" s="1">
        <v>2000</v>
      </c>
      <c r="X731" s="1">
        <v>1247</v>
      </c>
      <c r="Y731" s="1">
        <v>316</v>
      </c>
      <c r="Z731" s="1">
        <v>295</v>
      </c>
      <c r="AA731" s="1">
        <v>636</v>
      </c>
      <c r="AB731" s="1">
        <v>0</v>
      </c>
      <c r="AC731" s="1">
        <v>2</v>
      </c>
      <c r="AD731" s="1" t="s">
        <v>215</v>
      </c>
      <c r="AE731" s="1" t="s">
        <v>8653</v>
      </c>
      <c r="AF731" s="1" t="s">
        <v>8654</v>
      </c>
      <c r="AG731" s="1" t="s">
        <v>8655</v>
      </c>
      <c r="AH731" s="1" t="s">
        <v>8656</v>
      </c>
      <c r="AI731" s="1">
        <v>4.54</v>
      </c>
      <c r="AJ731" s="1">
        <v>2229</v>
      </c>
      <c r="AK731" s="1">
        <v>6580</v>
      </c>
    </row>
    <row r="732" spans="1:38" ht="15.75" customHeight="1">
      <c r="A732" s="1">
        <v>891</v>
      </c>
      <c r="C732" s="1">
        <v>4050</v>
      </c>
      <c r="D732" s="1" t="s">
        <v>38</v>
      </c>
      <c r="E732" s="1" t="s">
        <v>39</v>
      </c>
      <c r="F732" s="1" t="s">
        <v>220</v>
      </c>
      <c r="G732" s="1">
        <v>0</v>
      </c>
      <c r="H732" s="1" t="s">
        <v>6287</v>
      </c>
      <c r="I732" s="1" t="s">
        <v>8657</v>
      </c>
      <c r="J732" s="1" t="s">
        <v>8658</v>
      </c>
      <c r="K732" s="1" t="s">
        <v>8659</v>
      </c>
      <c r="L732" s="1">
        <v>1</v>
      </c>
      <c r="M732" s="1">
        <v>0</v>
      </c>
      <c r="N732" s="1" t="s">
        <v>8660</v>
      </c>
      <c r="O732" s="1" t="s">
        <v>8661</v>
      </c>
      <c r="P732" s="1" t="s">
        <v>8662</v>
      </c>
      <c r="Q732" s="1">
        <v>0</v>
      </c>
      <c r="R732" s="1" t="s">
        <v>8663</v>
      </c>
      <c r="S732" s="1" t="s">
        <v>8664</v>
      </c>
      <c r="U732" s="2">
        <v>56772</v>
      </c>
      <c r="V732" s="1">
        <v>4.7</v>
      </c>
      <c r="W732" s="1">
        <v>2000</v>
      </c>
      <c r="X732" s="1">
        <v>2249</v>
      </c>
      <c r="Y732" s="1">
        <v>849</v>
      </c>
      <c r="Z732" s="1">
        <v>196</v>
      </c>
      <c r="AA732" s="1">
        <v>1204</v>
      </c>
      <c r="AB732" s="1">
        <v>0</v>
      </c>
      <c r="AC732" s="1">
        <v>2</v>
      </c>
      <c r="AD732" s="1" t="s">
        <v>215</v>
      </c>
      <c r="AE732" s="1" t="s">
        <v>8665</v>
      </c>
      <c r="AF732" s="1" t="s">
        <v>8666</v>
      </c>
      <c r="AG732" s="1" t="s">
        <v>8667</v>
      </c>
      <c r="AH732" s="1" t="s">
        <v>8668</v>
      </c>
      <c r="AI732" s="1">
        <v>4.42</v>
      </c>
      <c r="AJ732" s="1">
        <v>1396</v>
      </c>
      <c r="AK732" s="1">
        <v>4836</v>
      </c>
      <c r="AL732" s="1">
        <v>1278</v>
      </c>
    </row>
    <row r="733" spans="1:38" ht="15.75" customHeight="1">
      <c r="A733" s="1">
        <v>1357</v>
      </c>
      <c r="C733" s="1">
        <v>4001</v>
      </c>
      <c r="D733" s="1" t="s">
        <v>51</v>
      </c>
      <c r="E733" s="1" t="s">
        <v>39</v>
      </c>
      <c r="F733" s="1" t="s">
        <v>52</v>
      </c>
      <c r="G733" s="1">
        <v>0</v>
      </c>
      <c r="H733" s="1" t="s">
        <v>53</v>
      </c>
      <c r="I733" s="1" t="s">
        <v>8669</v>
      </c>
      <c r="J733" s="1" t="s">
        <v>8670</v>
      </c>
      <c r="K733" s="1" t="s">
        <v>8671</v>
      </c>
      <c r="L733" s="1">
        <v>1</v>
      </c>
      <c r="M733" s="1">
        <v>0</v>
      </c>
      <c r="N733" s="1" t="s">
        <v>8672</v>
      </c>
      <c r="O733" s="1" t="s">
        <v>8673</v>
      </c>
      <c r="P733" s="1" t="s">
        <v>8674</v>
      </c>
      <c r="Q733" s="1">
        <v>0</v>
      </c>
      <c r="R733" s="1" t="s">
        <v>8675</v>
      </c>
      <c r="S733" s="1" t="s">
        <v>8676</v>
      </c>
      <c r="U733" s="2">
        <v>56776</v>
      </c>
      <c r="V733" s="1">
        <v>4.4000000000000004</v>
      </c>
      <c r="W733" s="1">
        <v>2000</v>
      </c>
      <c r="X733" s="1">
        <v>3872</v>
      </c>
      <c r="Y733" s="1">
        <v>2611</v>
      </c>
      <c r="Z733" s="1">
        <v>570</v>
      </c>
      <c r="AA733" s="1">
        <v>691</v>
      </c>
      <c r="AB733" s="1">
        <v>0</v>
      </c>
      <c r="AC733" s="1">
        <v>1</v>
      </c>
      <c r="AD733" s="1" t="s">
        <v>76</v>
      </c>
      <c r="AE733" s="1" t="s">
        <v>8677</v>
      </c>
      <c r="AF733" s="1" t="s">
        <v>8678</v>
      </c>
      <c r="AG733" s="1" t="s">
        <v>8679</v>
      </c>
      <c r="AH733" s="1" t="s">
        <v>8680</v>
      </c>
      <c r="AI733" s="1">
        <v>4.17</v>
      </c>
      <c r="AJ733" s="1">
        <v>457</v>
      </c>
      <c r="AK733" s="1">
        <v>1599</v>
      </c>
    </row>
    <row r="734" spans="1:38" ht="15.75" customHeight="1">
      <c r="A734" s="1">
        <v>27</v>
      </c>
      <c r="C734" s="1">
        <v>4050</v>
      </c>
      <c r="D734" s="1" t="s">
        <v>38</v>
      </c>
      <c r="E734" s="1" t="s">
        <v>39</v>
      </c>
      <c r="F734" s="1" t="s">
        <v>116</v>
      </c>
      <c r="G734" s="1">
        <v>0</v>
      </c>
      <c r="H734" s="1" t="s">
        <v>41</v>
      </c>
      <c r="I734" s="1" t="s">
        <v>8681</v>
      </c>
      <c r="J734" s="1" t="s">
        <v>8682</v>
      </c>
      <c r="K734" s="1" t="s">
        <v>8683</v>
      </c>
      <c r="L734" s="1">
        <v>1</v>
      </c>
      <c r="M734" s="1">
        <v>0</v>
      </c>
      <c r="N734" s="1" t="s">
        <v>8684</v>
      </c>
      <c r="O734" s="1" t="s">
        <v>8685</v>
      </c>
      <c r="P734" s="1" t="s">
        <v>8686</v>
      </c>
      <c r="Q734" s="1">
        <v>0</v>
      </c>
      <c r="R734" s="1" t="s">
        <v>8687</v>
      </c>
      <c r="S734" s="1" t="s">
        <v>8688</v>
      </c>
      <c r="U734" s="2">
        <v>56766</v>
      </c>
      <c r="V734" s="1">
        <v>4.5999999999999996</v>
      </c>
      <c r="W734" s="1">
        <v>2000</v>
      </c>
      <c r="X734" s="1">
        <v>1897</v>
      </c>
      <c r="Y734" s="1">
        <v>1052</v>
      </c>
      <c r="Z734" s="1">
        <v>26</v>
      </c>
      <c r="AA734" s="1">
        <v>819</v>
      </c>
      <c r="AB734" s="1">
        <v>0</v>
      </c>
      <c r="AC734" s="1">
        <v>2</v>
      </c>
      <c r="AD734" s="1" t="s">
        <v>76</v>
      </c>
      <c r="AE734" s="1" t="s">
        <v>8689</v>
      </c>
      <c r="AF734" s="1" t="s">
        <v>8690</v>
      </c>
      <c r="AG734" s="1" t="s">
        <v>8691</v>
      </c>
      <c r="AH734" s="1" t="s">
        <v>8692</v>
      </c>
      <c r="AI734" s="1">
        <v>4.8899999999999997</v>
      </c>
      <c r="AJ734" s="1">
        <v>1778</v>
      </c>
      <c r="AK734" s="1">
        <v>5138</v>
      </c>
      <c r="AL734" s="1">
        <v>314</v>
      </c>
    </row>
    <row r="735" spans="1:38" ht="15.75" customHeight="1">
      <c r="A735" s="1">
        <v>652</v>
      </c>
      <c r="B735" s="1">
        <v>5</v>
      </c>
      <c r="C735" s="1">
        <v>4050</v>
      </c>
      <c r="D735" s="1" t="s">
        <v>38</v>
      </c>
      <c r="E735" s="1" t="s">
        <v>39</v>
      </c>
      <c r="F735" s="1" t="s">
        <v>451</v>
      </c>
      <c r="G735" s="1">
        <v>0</v>
      </c>
      <c r="H735" s="1" t="s">
        <v>41</v>
      </c>
      <c r="I735" s="1" t="s">
        <v>8693</v>
      </c>
      <c r="J735" s="1" t="s">
        <v>8694</v>
      </c>
      <c r="K735" s="1" t="s">
        <v>8695</v>
      </c>
      <c r="L735" s="1">
        <v>1</v>
      </c>
      <c r="M735" s="1">
        <v>0</v>
      </c>
      <c r="N735" s="1" t="s">
        <v>8696</v>
      </c>
      <c r="O735" s="1" t="s">
        <v>8697</v>
      </c>
      <c r="P735" s="1" t="s">
        <v>8698</v>
      </c>
      <c r="Q735" s="1">
        <v>0</v>
      </c>
      <c r="R735" s="1" t="s">
        <v>8699</v>
      </c>
      <c r="S735" s="1" t="s">
        <v>8700</v>
      </c>
      <c r="U735" s="2">
        <v>56770</v>
      </c>
      <c r="V735" s="1">
        <v>4.5</v>
      </c>
      <c r="W735" s="1">
        <v>2000</v>
      </c>
      <c r="X735" s="1">
        <v>1691</v>
      </c>
      <c r="Y735" s="1">
        <v>429</v>
      </c>
      <c r="Z735" s="1">
        <v>211</v>
      </c>
      <c r="AA735" s="1">
        <v>1051</v>
      </c>
      <c r="AB735" s="1">
        <v>0</v>
      </c>
      <c r="AC735" s="1">
        <v>2</v>
      </c>
      <c r="AD735" s="1" t="s">
        <v>215</v>
      </c>
      <c r="AE735" s="1" t="s">
        <v>8701</v>
      </c>
      <c r="AF735" s="1" t="s">
        <v>8702</v>
      </c>
      <c r="AG735" s="1" t="s">
        <v>8703</v>
      </c>
      <c r="AH735" s="1" t="s">
        <v>8704</v>
      </c>
      <c r="AI735" s="1">
        <v>4.7</v>
      </c>
      <c r="AJ735" s="1">
        <v>272</v>
      </c>
      <c r="AK735" s="1">
        <v>931</v>
      </c>
      <c r="AL735" s="1">
        <v>144</v>
      </c>
    </row>
    <row r="736" spans="1:38" ht="15.75" customHeight="1">
      <c r="A736" s="1">
        <v>945</v>
      </c>
      <c r="B736" s="1">
        <v>5</v>
      </c>
      <c r="C736" s="1">
        <v>4001</v>
      </c>
      <c r="D736" s="1" t="s">
        <v>51</v>
      </c>
      <c r="E736" s="1" t="s">
        <v>39</v>
      </c>
      <c r="F736" s="1" t="s">
        <v>305</v>
      </c>
      <c r="G736" s="1">
        <v>0</v>
      </c>
      <c r="H736" s="1" t="s">
        <v>53</v>
      </c>
      <c r="I736" s="1" t="s">
        <v>8705</v>
      </c>
      <c r="J736" s="1" t="s">
        <v>8706</v>
      </c>
      <c r="K736" s="1" t="s">
        <v>8707</v>
      </c>
      <c r="L736" s="1">
        <v>1</v>
      </c>
      <c r="M736" s="1">
        <v>0</v>
      </c>
      <c r="N736" s="1" t="s">
        <v>8708</v>
      </c>
      <c r="O736" s="1" t="s">
        <v>8709</v>
      </c>
      <c r="P736" s="1" t="s">
        <v>8710</v>
      </c>
      <c r="Q736" s="1">
        <v>0</v>
      </c>
      <c r="R736" s="1" t="s">
        <v>8711</v>
      </c>
      <c r="S736" s="1" t="s">
        <v>8712</v>
      </c>
      <c r="U736" s="2">
        <v>56773</v>
      </c>
      <c r="V736" s="1">
        <v>4.3</v>
      </c>
      <c r="W736" s="1">
        <v>2000</v>
      </c>
      <c r="X736" s="1">
        <v>1587</v>
      </c>
      <c r="Y736" s="1">
        <v>173</v>
      </c>
      <c r="Z736" s="1">
        <v>1029</v>
      </c>
      <c r="AA736" s="1">
        <v>385</v>
      </c>
      <c r="AB736" s="1">
        <v>1</v>
      </c>
      <c r="AC736" s="1">
        <v>2</v>
      </c>
      <c r="AE736" s="1" t="s">
        <v>8713</v>
      </c>
      <c r="AF736" s="1" t="s">
        <v>8714</v>
      </c>
      <c r="AG736" s="1" t="s">
        <v>8715</v>
      </c>
      <c r="AH736" s="1" t="s">
        <v>8716</v>
      </c>
      <c r="AI736" s="1">
        <v>4.5199999999999996</v>
      </c>
      <c r="AJ736" s="1">
        <v>183</v>
      </c>
      <c r="AK736" s="1">
        <v>522</v>
      </c>
    </row>
    <row r="737" spans="1:38" ht="15.75" customHeight="1">
      <c r="A737" s="1">
        <v>341</v>
      </c>
      <c r="B737" s="1">
        <v>5</v>
      </c>
      <c r="C737" s="1">
        <v>4001</v>
      </c>
      <c r="D737" s="1" t="s">
        <v>51</v>
      </c>
      <c r="E737" s="1" t="s">
        <v>39</v>
      </c>
      <c r="F737" s="1" t="s">
        <v>2044</v>
      </c>
      <c r="G737" s="1">
        <v>0</v>
      </c>
      <c r="H737" s="1" t="s">
        <v>53</v>
      </c>
      <c r="I737" s="1" t="s">
        <v>8717</v>
      </c>
      <c r="J737" s="1" t="s">
        <v>8718</v>
      </c>
      <c r="K737" s="1" t="s">
        <v>8719</v>
      </c>
      <c r="L737" s="1">
        <v>1</v>
      </c>
      <c r="M737" s="1">
        <v>0</v>
      </c>
      <c r="N737" s="1" t="s">
        <v>8720</v>
      </c>
      <c r="O737" s="1" t="s">
        <v>8721</v>
      </c>
      <c r="P737" s="1" t="s">
        <v>8722</v>
      </c>
      <c r="Q737" s="1">
        <v>0</v>
      </c>
      <c r="R737" s="1" t="s">
        <v>8723</v>
      </c>
      <c r="S737" s="1" t="s">
        <v>8724</v>
      </c>
      <c r="U737" s="2">
        <v>56768</v>
      </c>
      <c r="V737" s="1">
        <v>3.741889628</v>
      </c>
      <c r="W737" s="1">
        <v>2000</v>
      </c>
      <c r="X737" s="1">
        <v>2203</v>
      </c>
      <c r="Y737" s="1">
        <v>1166</v>
      </c>
      <c r="Z737" s="1">
        <v>526</v>
      </c>
      <c r="AA737" s="1">
        <v>511</v>
      </c>
      <c r="AB737" s="1">
        <v>0</v>
      </c>
      <c r="AC737" s="1">
        <v>2</v>
      </c>
      <c r="AD737" s="1" t="s">
        <v>76</v>
      </c>
      <c r="AE737" s="1" t="s">
        <v>8725</v>
      </c>
      <c r="AF737" s="1" t="s">
        <v>8726</v>
      </c>
      <c r="AG737" s="1" t="s">
        <v>8727</v>
      </c>
      <c r="AH737" s="1" t="s">
        <v>8728</v>
      </c>
      <c r="AI737" s="1">
        <v>4.63</v>
      </c>
      <c r="AJ737" s="1">
        <v>265</v>
      </c>
      <c r="AK737" s="1">
        <v>905</v>
      </c>
      <c r="AL737" s="1">
        <v>77</v>
      </c>
    </row>
    <row r="738" spans="1:38" ht="15.75" customHeight="1">
      <c r="A738" s="1">
        <v>817</v>
      </c>
      <c r="C738" s="1">
        <v>4001</v>
      </c>
      <c r="D738" s="1" t="s">
        <v>51</v>
      </c>
      <c r="E738" s="1" t="s">
        <v>39</v>
      </c>
      <c r="F738" s="1" t="s">
        <v>341</v>
      </c>
      <c r="G738" s="1">
        <v>0</v>
      </c>
      <c r="H738" s="1" t="s">
        <v>41</v>
      </c>
      <c r="I738" s="1" t="s">
        <v>8729</v>
      </c>
      <c r="J738" s="1" t="s">
        <v>8730</v>
      </c>
      <c r="K738" s="1" t="s">
        <v>8731</v>
      </c>
      <c r="L738" s="1">
        <v>1</v>
      </c>
      <c r="M738" s="1">
        <v>0</v>
      </c>
      <c r="N738" s="1" t="s">
        <v>8732</v>
      </c>
      <c r="O738" s="1" t="s">
        <v>8733</v>
      </c>
      <c r="P738" s="1" t="s">
        <v>8734</v>
      </c>
      <c r="Q738" s="1">
        <v>0</v>
      </c>
      <c r="R738" s="1" t="s">
        <v>8735</v>
      </c>
      <c r="S738" s="1" t="s">
        <v>8736</v>
      </c>
      <c r="U738" s="2">
        <v>56771</v>
      </c>
      <c r="V738" s="1">
        <v>4.5999999999999996</v>
      </c>
      <c r="W738" s="1">
        <v>2000</v>
      </c>
      <c r="X738" s="1">
        <v>1308</v>
      </c>
      <c r="Y738" s="1">
        <v>425</v>
      </c>
      <c r="Z738" s="1">
        <v>96</v>
      </c>
      <c r="AA738" s="1">
        <v>787</v>
      </c>
      <c r="AB738" s="1">
        <v>0</v>
      </c>
      <c r="AC738" s="1">
        <v>3</v>
      </c>
      <c r="AD738" s="1" t="s">
        <v>215</v>
      </c>
      <c r="AE738" s="1" t="s">
        <v>8737</v>
      </c>
      <c r="AF738" s="1" t="s">
        <v>8738</v>
      </c>
      <c r="AG738" s="1" t="s">
        <v>8739</v>
      </c>
      <c r="AH738" s="1" t="s">
        <v>8740</v>
      </c>
      <c r="AI738" s="1">
        <v>4.54</v>
      </c>
      <c r="AJ738" s="1">
        <v>2229</v>
      </c>
      <c r="AK738" s="1">
        <v>6580</v>
      </c>
    </row>
    <row r="739" spans="1:38" ht="15.75" customHeight="1">
      <c r="A739" s="1">
        <v>793</v>
      </c>
      <c r="B739" s="1">
        <v>5</v>
      </c>
      <c r="C739" s="1">
        <v>4001</v>
      </c>
      <c r="D739" s="1" t="s">
        <v>51</v>
      </c>
      <c r="E739" s="1" t="s">
        <v>39</v>
      </c>
      <c r="F739" s="1" t="s">
        <v>3110</v>
      </c>
      <c r="G739" s="1">
        <v>0</v>
      </c>
      <c r="H739" s="1" t="s">
        <v>53</v>
      </c>
      <c r="I739" s="1" t="s">
        <v>8741</v>
      </c>
      <c r="J739" s="1" t="s">
        <v>8742</v>
      </c>
      <c r="K739" s="1" t="s">
        <v>8743</v>
      </c>
      <c r="L739" s="1">
        <v>1</v>
      </c>
      <c r="M739" s="1">
        <v>0</v>
      </c>
      <c r="N739" s="1" t="s">
        <v>8744</v>
      </c>
      <c r="O739" s="1" t="s">
        <v>8745</v>
      </c>
      <c r="P739" s="1" t="s">
        <v>8746</v>
      </c>
      <c r="Q739" s="1">
        <v>0</v>
      </c>
      <c r="R739" s="1" t="s">
        <v>8747</v>
      </c>
      <c r="S739" s="1" t="s">
        <v>8748</v>
      </c>
      <c r="U739" s="2">
        <v>56771</v>
      </c>
      <c r="V739" s="1">
        <v>4.4000000000000004</v>
      </c>
      <c r="W739" s="1">
        <v>2000</v>
      </c>
      <c r="X739" s="1">
        <v>731</v>
      </c>
      <c r="Y739" s="1">
        <v>458</v>
      </c>
      <c r="AA739" s="1">
        <v>361</v>
      </c>
      <c r="AB739" s="1">
        <v>0</v>
      </c>
      <c r="AC739" s="1">
        <v>3</v>
      </c>
      <c r="AD739" s="1" t="s">
        <v>215</v>
      </c>
      <c r="AE739" s="1" t="s">
        <v>8749</v>
      </c>
      <c r="AF739" s="1" t="s">
        <v>8750</v>
      </c>
      <c r="AG739" s="1" t="s">
        <v>8751</v>
      </c>
      <c r="AH739" s="1" t="s">
        <v>8752</v>
      </c>
      <c r="AI739" s="1">
        <v>4.47</v>
      </c>
      <c r="AJ739" s="1">
        <v>78</v>
      </c>
      <c r="AK739" s="1">
        <v>278</v>
      </c>
      <c r="AL739" s="1">
        <v>26</v>
      </c>
    </row>
    <row r="740" spans="1:38" ht="15.75" customHeight="1">
      <c r="A740" s="1">
        <v>670</v>
      </c>
      <c r="B740" s="1">
        <v>5</v>
      </c>
      <c r="C740" s="1">
        <v>4001</v>
      </c>
      <c r="D740" s="1" t="s">
        <v>51</v>
      </c>
      <c r="E740" s="1" t="s">
        <v>39</v>
      </c>
      <c r="F740" s="1" t="s">
        <v>341</v>
      </c>
      <c r="G740" s="1">
        <v>0</v>
      </c>
      <c r="H740" s="1" t="s">
        <v>41</v>
      </c>
      <c r="I740" s="1" t="s">
        <v>8753</v>
      </c>
      <c r="J740" s="1" t="s">
        <v>8754</v>
      </c>
      <c r="K740" s="1" t="s">
        <v>8755</v>
      </c>
      <c r="L740" s="1">
        <v>1</v>
      </c>
      <c r="M740" s="1">
        <v>0</v>
      </c>
      <c r="N740" s="1" t="s">
        <v>8756</v>
      </c>
      <c r="O740" s="1" t="s">
        <v>8757</v>
      </c>
      <c r="P740" s="1" t="s">
        <v>8758</v>
      </c>
      <c r="Q740" s="1">
        <v>0</v>
      </c>
      <c r="R740" s="1" t="s">
        <v>8759</v>
      </c>
      <c r="S740" s="1" t="s">
        <v>8760</v>
      </c>
      <c r="U740" s="2">
        <v>56770</v>
      </c>
      <c r="V740" s="1">
        <v>4.2</v>
      </c>
      <c r="W740" s="1">
        <v>2000</v>
      </c>
      <c r="X740" s="1">
        <v>2219</v>
      </c>
      <c r="Y740" s="1">
        <v>820</v>
      </c>
      <c r="Z740" s="1">
        <v>540</v>
      </c>
      <c r="AA740" s="1">
        <v>859</v>
      </c>
      <c r="AB740" s="1">
        <v>1</v>
      </c>
      <c r="AC740" s="1">
        <v>3</v>
      </c>
      <c r="AE740" s="1" t="s">
        <v>8761</v>
      </c>
      <c r="AF740" s="1" t="s">
        <v>8762</v>
      </c>
      <c r="AG740" s="1" t="s">
        <v>8763</v>
      </c>
      <c r="AH740" s="1" t="s">
        <v>8764</v>
      </c>
      <c r="AI740" s="1">
        <v>4.54</v>
      </c>
      <c r="AJ740" s="1">
        <v>2229</v>
      </c>
      <c r="AK740" s="1">
        <v>6580</v>
      </c>
    </row>
    <row r="741" spans="1:38" ht="15.75" customHeight="1">
      <c r="A741" s="1">
        <v>201</v>
      </c>
      <c r="B741" s="1">
        <v>5</v>
      </c>
      <c r="C741" s="1">
        <v>4050</v>
      </c>
      <c r="D741" s="1" t="s">
        <v>38</v>
      </c>
      <c r="E741" s="1" t="s">
        <v>39</v>
      </c>
      <c r="F741" s="1" t="s">
        <v>510</v>
      </c>
      <c r="G741" s="1">
        <v>0</v>
      </c>
      <c r="H741" s="1" t="s">
        <v>41</v>
      </c>
      <c r="I741" s="1" t="s">
        <v>8765</v>
      </c>
      <c r="J741" s="1" t="s">
        <v>8766</v>
      </c>
      <c r="K741" s="1" t="s">
        <v>8767</v>
      </c>
      <c r="L741" s="1">
        <v>1</v>
      </c>
      <c r="M741" s="1">
        <v>0</v>
      </c>
      <c r="N741" s="1" t="s">
        <v>8768</v>
      </c>
      <c r="O741" s="1" t="s">
        <v>8769</v>
      </c>
      <c r="P741" s="1" t="s">
        <v>8770</v>
      </c>
      <c r="Q741" s="1">
        <v>0</v>
      </c>
      <c r="R741" s="1" t="s">
        <v>8771</v>
      </c>
      <c r="S741" s="1" t="s">
        <v>8772</v>
      </c>
      <c r="U741" s="2">
        <v>56767</v>
      </c>
      <c r="V741" s="1">
        <v>4.5999999999999996</v>
      </c>
      <c r="W741" s="1">
        <v>2000</v>
      </c>
      <c r="X741" s="1">
        <v>1779</v>
      </c>
      <c r="Y741" s="1">
        <v>871</v>
      </c>
      <c r="AA741" s="1">
        <v>930</v>
      </c>
      <c r="AB741" s="1">
        <v>0</v>
      </c>
      <c r="AC741" s="1">
        <v>2</v>
      </c>
      <c r="AE741" s="1" t="s">
        <v>8773</v>
      </c>
      <c r="AF741" s="1" t="s">
        <v>8774</v>
      </c>
      <c r="AG741" s="1" t="s">
        <v>8775</v>
      </c>
      <c r="AH741" s="1" t="s">
        <v>8776</v>
      </c>
      <c r="AI741" s="1">
        <v>4.62</v>
      </c>
      <c r="AJ741" s="1">
        <v>259</v>
      </c>
      <c r="AK741" s="1">
        <v>604</v>
      </c>
      <c r="AL741" s="1">
        <v>21</v>
      </c>
    </row>
    <row r="742" spans="1:38" ht="15.75" customHeight="1">
      <c r="A742" s="1">
        <v>752</v>
      </c>
      <c r="B742" s="1">
        <v>5</v>
      </c>
      <c r="C742" s="1">
        <v>4050</v>
      </c>
      <c r="D742" s="1" t="s">
        <v>38</v>
      </c>
      <c r="E742" s="1" t="s">
        <v>39</v>
      </c>
      <c r="F742" s="1" t="s">
        <v>173</v>
      </c>
      <c r="G742" s="1">
        <v>0</v>
      </c>
      <c r="H742" s="1" t="s">
        <v>41</v>
      </c>
      <c r="I742" s="1" t="s">
        <v>8777</v>
      </c>
      <c r="J742" s="1" t="s">
        <v>8778</v>
      </c>
      <c r="K742" s="1" t="s">
        <v>8779</v>
      </c>
      <c r="L742" s="1">
        <v>1</v>
      </c>
      <c r="M742" s="1">
        <v>0</v>
      </c>
      <c r="N742" s="1" t="s">
        <v>8780</v>
      </c>
      <c r="O742" s="1" t="s">
        <v>8781</v>
      </c>
      <c r="P742" s="1" t="s">
        <v>8782</v>
      </c>
      <c r="Q742" s="1">
        <v>0</v>
      </c>
      <c r="R742" s="1" t="s">
        <v>8783</v>
      </c>
      <c r="U742" s="2">
        <v>56771</v>
      </c>
      <c r="V742" s="1">
        <v>4.3</v>
      </c>
      <c r="W742" s="1">
        <v>2000</v>
      </c>
      <c r="X742" s="1">
        <v>1891</v>
      </c>
      <c r="AA742" s="1">
        <v>850</v>
      </c>
      <c r="AB742" s="1">
        <v>0</v>
      </c>
      <c r="AC742" s="1">
        <v>2</v>
      </c>
      <c r="AE742" s="1" t="s">
        <v>8784</v>
      </c>
      <c r="AF742" s="1" t="s">
        <v>8785</v>
      </c>
      <c r="AG742" s="1" t="s">
        <v>8786</v>
      </c>
      <c r="AI742" s="1">
        <v>4.22</v>
      </c>
      <c r="AJ742" s="1">
        <v>1551</v>
      </c>
      <c r="AK742" s="1">
        <v>4625</v>
      </c>
    </row>
    <row r="743" spans="1:38" ht="15.75" customHeight="1">
      <c r="A743" s="1">
        <v>1245</v>
      </c>
      <c r="C743" s="1">
        <v>4001</v>
      </c>
      <c r="D743" s="1" t="s">
        <v>51</v>
      </c>
      <c r="E743" s="1" t="s">
        <v>39</v>
      </c>
      <c r="F743" s="1" t="s">
        <v>414</v>
      </c>
      <c r="G743" s="1">
        <v>0</v>
      </c>
      <c r="H743" s="1" t="s">
        <v>53</v>
      </c>
      <c r="I743" s="1" t="s">
        <v>8787</v>
      </c>
      <c r="J743" s="1" t="s">
        <v>8788</v>
      </c>
      <c r="K743" s="1" t="s">
        <v>8789</v>
      </c>
      <c r="L743" s="1">
        <v>1</v>
      </c>
      <c r="M743" s="1">
        <v>0</v>
      </c>
      <c r="N743" s="1" t="s">
        <v>8790</v>
      </c>
      <c r="O743" s="1" t="s">
        <v>8791</v>
      </c>
      <c r="P743" s="1" t="s">
        <v>8792</v>
      </c>
      <c r="Q743" s="1">
        <v>0</v>
      </c>
      <c r="R743" s="1" t="s">
        <v>8793</v>
      </c>
      <c r="S743" s="1" t="s">
        <v>8794</v>
      </c>
      <c r="U743" s="2">
        <v>56776</v>
      </c>
      <c r="V743" s="1">
        <v>4.5</v>
      </c>
      <c r="W743" s="1">
        <v>2000</v>
      </c>
      <c r="X743" s="1">
        <v>1241</v>
      </c>
      <c r="Y743" s="1">
        <v>310</v>
      </c>
      <c r="Z743" s="1">
        <v>499</v>
      </c>
      <c r="AA743" s="1">
        <v>432</v>
      </c>
      <c r="AB743" s="1">
        <v>0</v>
      </c>
      <c r="AC743" s="1">
        <v>2</v>
      </c>
      <c r="AD743" s="1" t="s">
        <v>215</v>
      </c>
      <c r="AE743" s="1" t="s">
        <v>8795</v>
      </c>
      <c r="AF743" s="1" t="s">
        <v>8796</v>
      </c>
      <c r="AG743" s="1" t="s">
        <v>8797</v>
      </c>
      <c r="AH743" s="1" t="s">
        <v>8798</v>
      </c>
      <c r="AI743" s="1">
        <v>4.58</v>
      </c>
      <c r="AJ743" s="1">
        <v>254</v>
      </c>
      <c r="AK743" s="1">
        <v>788</v>
      </c>
      <c r="AL743" s="1">
        <v>9</v>
      </c>
    </row>
    <row r="744" spans="1:38" ht="15.75" customHeight="1">
      <c r="A744" s="1">
        <v>188</v>
      </c>
      <c r="C744" s="1">
        <v>4050</v>
      </c>
      <c r="D744" s="1" t="s">
        <v>38</v>
      </c>
      <c r="E744" s="1" t="s">
        <v>39</v>
      </c>
      <c r="F744" s="1" t="s">
        <v>510</v>
      </c>
      <c r="G744" s="1">
        <v>0</v>
      </c>
      <c r="H744" s="1" t="s">
        <v>41</v>
      </c>
      <c r="I744" s="1" t="s">
        <v>8799</v>
      </c>
      <c r="J744" s="1" t="s">
        <v>8800</v>
      </c>
      <c r="K744" s="1" t="s">
        <v>8801</v>
      </c>
      <c r="L744" s="1">
        <v>1</v>
      </c>
      <c r="M744" s="1">
        <v>0</v>
      </c>
      <c r="N744" s="1" t="s">
        <v>8802</v>
      </c>
      <c r="O744" s="1" t="s">
        <v>8803</v>
      </c>
      <c r="P744" s="1" t="s">
        <v>8804</v>
      </c>
      <c r="Q744" s="1">
        <v>0</v>
      </c>
      <c r="R744" s="1" t="s">
        <v>8805</v>
      </c>
      <c r="S744" s="1" t="s">
        <v>8806</v>
      </c>
      <c r="U744" s="2">
        <v>56767</v>
      </c>
      <c r="V744" s="1">
        <v>4.4000000000000004</v>
      </c>
      <c r="W744" s="1">
        <v>2000</v>
      </c>
      <c r="X744" s="1">
        <v>3059</v>
      </c>
      <c r="Y744" s="1">
        <v>535</v>
      </c>
      <c r="Z744" s="1">
        <v>908</v>
      </c>
      <c r="AA744" s="1">
        <v>1616</v>
      </c>
      <c r="AB744" s="1">
        <v>0</v>
      </c>
      <c r="AC744" s="1">
        <v>2</v>
      </c>
      <c r="AD744" s="1" t="s">
        <v>62</v>
      </c>
      <c r="AE744" s="1" t="s">
        <v>8807</v>
      </c>
      <c r="AF744" s="1" t="s">
        <v>8808</v>
      </c>
      <c r="AG744" s="1" t="s">
        <v>8809</v>
      </c>
      <c r="AH744" s="1" t="s">
        <v>8810</v>
      </c>
      <c r="AI744" s="1">
        <v>4.62</v>
      </c>
      <c r="AJ744" s="1">
        <v>259</v>
      </c>
      <c r="AK744" s="1">
        <v>604</v>
      </c>
      <c r="AL744" s="1">
        <v>21</v>
      </c>
    </row>
    <row r="745" spans="1:38" ht="15.75" customHeight="1">
      <c r="A745" s="1">
        <v>220</v>
      </c>
      <c r="C745" s="1">
        <v>4050</v>
      </c>
      <c r="D745" s="1" t="s">
        <v>38</v>
      </c>
      <c r="E745" s="1" t="s">
        <v>39</v>
      </c>
      <c r="F745" s="1" t="s">
        <v>510</v>
      </c>
      <c r="G745" s="1">
        <v>0</v>
      </c>
      <c r="H745" s="1" t="s">
        <v>41</v>
      </c>
      <c r="I745" s="1" t="s">
        <v>8811</v>
      </c>
      <c r="J745" s="1" t="s">
        <v>8812</v>
      </c>
      <c r="K745" s="1" t="s">
        <v>8813</v>
      </c>
      <c r="L745" s="1">
        <v>1</v>
      </c>
      <c r="M745" s="1">
        <v>0</v>
      </c>
      <c r="N745" s="1" t="s">
        <v>8814</v>
      </c>
      <c r="O745" s="1" t="s">
        <v>8815</v>
      </c>
      <c r="P745" s="1" t="s">
        <v>8816</v>
      </c>
      <c r="Q745" s="1">
        <v>0</v>
      </c>
      <c r="R745" s="1" t="s">
        <v>8817</v>
      </c>
      <c r="S745" s="1" t="s">
        <v>8818</v>
      </c>
      <c r="U745" s="2">
        <v>56767</v>
      </c>
      <c r="V745" s="1">
        <v>4.3</v>
      </c>
      <c r="W745" s="1">
        <v>2000</v>
      </c>
      <c r="X745" s="1">
        <v>1511</v>
      </c>
      <c r="Y745" s="1">
        <v>623</v>
      </c>
      <c r="Z745" s="1">
        <v>321</v>
      </c>
      <c r="AA745" s="1">
        <v>567</v>
      </c>
      <c r="AB745" s="1">
        <v>0</v>
      </c>
      <c r="AC745" s="1">
        <v>2</v>
      </c>
      <c r="AD745" s="1" t="s">
        <v>76</v>
      </c>
      <c r="AE745" s="1" t="s">
        <v>8819</v>
      </c>
      <c r="AF745" s="1" t="s">
        <v>8820</v>
      </c>
      <c r="AG745" s="1" t="s">
        <v>8821</v>
      </c>
      <c r="AH745" s="1" t="s">
        <v>8822</v>
      </c>
      <c r="AI745" s="1">
        <v>4.62</v>
      </c>
      <c r="AJ745" s="1">
        <v>259</v>
      </c>
      <c r="AK745" s="1">
        <v>604</v>
      </c>
      <c r="AL745" s="1">
        <v>21</v>
      </c>
    </row>
    <row r="746" spans="1:38" ht="15.75" customHeight="1">
      <c r="A746" s="1">
        <v>615</v>
      </c>
      <c r="B746" s="1">
        <v>5</v>
      </c>
      <c r="C746" s="1">
        <v>4001</v>
      </c>
      <c r="D746" s="1" t="s">
        <v>51</v>
      </c>
      <c r="E746" s="1" t="s">
        <v>39</v>
      </c>
      <c r="F746" s="1" t="s">
        <v>341</v>
      </c>
      <c r="G746" s="1">
        <v>0</v>
      </c>
      <c r="H746" s="1" t="s">
        <v>41</v>
      </c>
      <c r="I746" s="1" t="s">
        <v>8823</v>
      </c>
      <c r="J746" s="1" t="s">
        <v>8824</v>
      </c>
      <c r="K746" s="1" t="s">
        <v>8825</v>
      </c>
      <c r="L746" s="1">
        <v>1</v>
      </c>
      <c r="M746" s="1">
        <v>0</v>
      </c>
      <c r="N746" s="1" t="s">
        <v>8826</v>
      </c>
      <c r="O746" s="1" t="s">
        <v>8827</v>
      </c>
      <c r="P746" s="1" t="s">
        <v>8828</v>
      </c>
      <c r="Q746" s="1">
        <v>0</v>
      </c>
      <c r="R746" s="1" t="s">
        <v>8829</v>
      </c>
      <c r="S746" s="1" t="s">
        <v>8830</v>
      </c>
      <c r="U746" s="2">
        <v>56770</v>
      </c>
      <c r="V746" s="1">
        <v>4.4000000000000004</v>
      </c>
      <c r="W746" s="1">
        <v>2000</v>
      </c>
      <c r="X746" s="1">
        <v>1615</v>
      </c>
      <c r="Y746" s="1">
        <v>226</v>
      </c>
      <c r="Z746" s="1">
        <v>512</v>
      </c>
      <c r="AA746" s="1">
        <v>877</v>
      </c>
      <c r="AB746" s="1">
        <v>0</v>
      </c>
      <c r="AC746" s="1">
        <v>16</v>
      </c>
      <c r="AD746" s="1" t="s">
        <v>215</v>
      </c>
      <c r="AE746" s="1" t="s">
        <v>8831</v>
      </c>
      <c r="AF746" s="1" t="s">
        <v>8832</v>
      </c>
      <c r="AG746" s="1" t="s">
        <v>8833</v>
      </c>
      <c r="AH746" s="1" t="s">
        <v>8834</v>
      </c>
      <c r="AI746" s="1">
        <v>4.54</v>
      </c>
      <c r="AJ746" s="1">
        <v>2229</v>
      </c>
      <c r="AK746" s="1">
        <v>6580</v>
      </c>
    </row>
    <row r="747" spans="1:38" ht="15.75" customHeight="1">
      <c r="A747" s="1">
        <v>709</v>
      </c>
      <c r="C747" s="1">
        <v>4050</v>
      </c>
      <c r="D747" s="1" t="s">
        <v>38</v>
      </c>
      <c r="E747" s="1" t="s">
        <v>39</v>
      </c>
      <c r="F747" s="1" t="s">
        <v>280</v>
      </c>
      <c r="G747" s="1">
        <v>0</v>
      </c>
      <c r="H747" s="1" t="s">
        <v>41</v>
      </c>
      <c r="I747" s="1" t="s">
        <v>8835</v>
      </c>
      <c r="J747" s="1" t="s">
        <v>8836</v>
      </c>
      <c r="K747" s="1" t="s">
        <v>8837</v>
      </c>
      <c r="L747" s="1">
        <v>1</v>
      </c>
      <c r="M747" s="1">
        <v>0</v>
      </c>
      <c r="N747" s="1" t="s">
        <v>8838</v>
      </c>
      <c r="O747" s="1" t="s">
        <v>8839</v>
      </c>
      <c r="P747" s="1" t="s">
        <v>8840</v>
      </c>
      <c r="Q747" s="1">
        <v>0</v>
      </c>
      <c r="R747" s="1" t="s">
        <v>8841</v>
      </c>
      <c r="U747" s="2">
        <v>56770</v>
      </c>
      <c r="V747" s="1">
        <v>4.5999999999999996</v>
      </c>
      <c r="W747" s="1">
        <v>2000</v>
      </c>
      <c r="X747" s="1">
        <v>1906</v>
      </c>
      <c r="AA747" s="1">
        <v>927</v>
      </c>
      <c r="AB747" s="1">
        <v>0</v>
      </c>
      <c r="AC747" s="1">
        <v>2</v>
      </c>
      <c r="AE747" s="1" t="s">
        <v>8842</v>
      </c>
      <c r="AF747" s="1" t="s">
        <v>8843</v>
      </c>
      <c r="AG747" s="1" t="s">
        <v>8844</v>
      </c>
      <c r="AI747" s="1">
        <v>4.49</v>
      </c>
      <c r="AJ747" s="1">
        <v>2315</v>
      </c>
      <c r="AK747" s="1">
        <v>7039</v>
      </c>
      <c r="AL747" s="1">
        <v>763</v>
      </c>
    </row>
    <row r="748" spans="1:38" ht="15.75" customHeight="1">
      <c r="A748" s="1">
        <v>576</v>
      </c>
      <c r="C748" s="1">
        <v>4050</v>
      </c>
      <c r="D748" s="1" t="s">
        <v>38</v>
      </c>
      <c r="E748" s="1" t="s">
        <v>39</v>
      </c>
      <c r="F748" s="1" t="s">
        <v>280</v>
      </c>
      <c r="G748" s="1">
        <v>0</v>
      </c>
      <c r="H748" s="1" t="s">
        <v>41</v>
      </c>
      <c r="I748" s="1" t="s">
        <v>8845</v>
      </c>
      <c r="J748" s="1" t="s">
        <v>8846</v>
      </c>
      <c r="K748" s="1" t="s">
        <v>8847</v>
      </c>
      <c r="L748" s="1">
        <v>1</v>
      </c>
      <c r="M748" s="1">
        <v>0</v>
      </c>
      <c r="N748" s="1" t="s">
        <v>8848</v>
      </c>
      <c r="O748" s="1" t="s">
        <v>8849</v>
      </c>
      <c r="P748" s="1" t="s">
        <v>8850</v>
      </c>
      <c r="Q748" s="1">
        <v>0</v>
      </c>
      <c r="R748" s="1" t="s">
        <v>8851</v>
      </c>
      <c r="S748" s="1" t="s">
        <v>8852</v>
      </c>
      <c r="U748" s="2">
        <v>56770</v>
      </c>
      <c r="V748" s="1">
        <v>4.5999999999999996</v>
      </c>
      <c r="W748" s="1">
        <v>2000</v>
      </c>
      <c r="X748" s="1">
        <v>3002</v>
      </c>
      <c r="Y748" s="1">
        <v>821</v>
      </c>
      <c r="Z748" s="1">
        <v>260</v>
      </c>
      <c r="AA748" s="1">
        <v>1921</v>
      </c>
      <c r="AB748" s="1">
        <v>1</v>
      </c>
      <c r="AC748" s="1">
        <v>3</v>
      </c>
      <c r="AE748" s="1" t="s">
        <v>8853</v>
      </c>
      <c r="AF748" s="1" t="s">
        <v>8854</v>
      </c>
      <c r="AG748" s="1" t="s">
        <v>8855</v>
      </c>
      <c r="AH748" s="1" t="s">
        <v>8856</v>
      </c>
      <c r="AI748" s="1">
        <v>4.49</v>
      </c>
      <c r="AJ748" s="1">
        <v>2315</v>
      </c>
      <c r="AK748" s="1">
        <v>7039</v>
      </c>
      <c r="AL748" s="1">
        <v>763</v>
      </c>
    </row>
    <row r="749" spans="1:38" ht="15.75" customHeight="1">
      <c r="A749" s="1">
        <v>1359</v>
      </c>
      <c r="C749" s="1">
        <v>4001</v>
      </c>
      <c r="D749" s="1" t="s">
        <v>51</v>
      </c>
      <c r="E749" s="1" t="s">
        <v>39</v>
      </c>
      <c r="F749" s="1" t="s">
        <v>1456</v>
      </c>
      <c r="G749" s="1">
        <v>0</v>
      </c>
      <c r="H749" s="1" t="s">
        <v>53</v>
      </c>
      <c r="I749" s="1" t="s">
        <v>8857</v>
      </c>
      <c r="J749" s="1" t="s">
        <v>8858</v>
      </c>
      <c r="K749" s="1" t="s">
        <v>8859</v>
      </c>
      <c r="L749" s="1">
        <v>1</v>
      </c>
      <c r="M749" s="1">
        <v>0</v>
      </c>
      <c r="N749" s="1" t="s">
        <v>8860</v>
      </c>
      <c r="O749" s="1" t="s">
        <v>8861</v>
      </c>
      <c r="P749" s="1" t="s">
        <v>8862</v>
      </c>
      <c r="Q749" s="1">
        <v>0</v>
      </c>
      <c r="R749" s="1" t="s">
        <v>8863</v>
      </c>
      <c r="U749" s="2">
        <v>56776</v>
      </c>
      <c r="V749" s="1">
        <v>4.3</v>
      </c>
      <c r="W749" s="1">
        <v>2000</v>
      </c>
      <c r="X749" s="1">
        <v>1955</v>
      </c>
      <c r="AA749" s="1">
        <v>224</v>
      </c>
      <c r="AB749" s="1">
        <v>0</v>
      </c>
      <c r="AC749" s="1">
        <v>3</v>
      </c>
      <c r="AE749" s="1" t="s">
        <v>8864</v>
      </c>
      <c r="AF749" s="1" t="s">
        <v>8865</v>
      </c>
      <c r="AG749" s="1" t="s">
        <v>8866</v>
      </c>
      <c r="AI749" s="1">
        <v>4.5</v>
      </c>
      <c r="AJ749" s="1">
        <v>394</v>
      </c>
      <c r="AK749" s="1">
        <v>1403</v>
      </c>
    </row>
    <row r="750" spans="1:38" ht="15.75" customHeight="1">
      <c r="A750" s="1">
        <v>409</v>
      </c>
      <c r="B750" s="1">
        <v>2</v>
      </c>
      <c r="C750" s="1">
        <v>4050</v>
      </c>
      <c r="D750" s="1" t="s">
        <v>38</v>
      </c>
      <c r="E750" s="1" t="s">
        <v>39</v>
      </c>
      <c r="F750" s="1" t="s">
        <v>510</v>
      </c>
      <c r="G750" s="1">
        <v>0</v>
      </c>
      <c r="H750" s="1" t="s">
        <v>41</v>
      </c>
      <c r="I750" s="1" t="s">
        <v>8867</v>
      </c>
      <c r="J750" s="1" t="s">
        <v>8868</v>
      </c>
      <c r="K750" s="1" t="s">
        <v>8869</v>
      </c>
      <c r="L750" s="1">
        <v>1</v>
      </c>
      <c r="M750" s="1">
        <v>0</v>
      </c>
      <c r="N750" s="1" t="s">
        <v>8870</v>
      </c>
      <c r="O750" s="1" t="s">
        <v>8871</v>
      </c>
      <c r="P750" s="1" t="s">
        <v>8872</v>
      </c>
      <c r="Q750" s="1">
        <v>0</v>
      </c>
      <c r="R750" s="1" t="s">
        <v>8873</v>
      </c>
      <c r="S750" s="1" t="s">
        <v>8874</v>
      </c>
      <c r="U750" s="2">
        <v>56769</v>
      </c>
      <c r="V750" s="1">
        <v>4.5</v>
      </c>
      <c r="W750" s="1">
        <v>2000</v>
      </c>
      <c r="X750" s="1">
        <v>1536</v>
      </c>
      <c r="Y750" s="1">
        <v>249</v>
      </c>
      <c r="Z750" s="1">
        <v>275</v>
      </c>
      <c r="AA750" s="1">
        <v>1012</v>
      </c>
      <c r="AB750" s="1">
        <v>0</v>
      </c>
      <c r="AC750" s="1">
        <v>2</v>
      </c>
      <c r="AD750" s="1" t="s">
        <v>62</v>
      </c>
      <c r="AE750" s="1" t="s">
        <v>8875</v>
      </c>
      <c r="AF750" s="1" t="s">
        <v>8876</v>
      </c>
      <c r="AG750" s="1" t="s">
        <v>8877</v>
      </c>
      <c r="AH750" s="1" t="s">
        <v>8878</v>
      </c>
      <c r="AI750" s="1">
        <v>4.62</v>
      </c>
      <c r="AJ750" s="1">
        <v>259</v>
      </c>
      <c r="AK750" s="1">
        <v>604</v>
      </c>
      <c r="AL750" s="1">
        <v>21</v>
      </c>
    </row>
    <row r="751" spans="1:38" ht="15.75" customHeight="1">
      <c r="A751" s="1">
        <v>523</v>
      </c>
      <c r="B751" s="1">
        <v>5</v>
      </c>
      <c r="C751" s="1">
        <v>4050</v>
      </c>
      <c r="D751" s="1" t="s">
        <v>38</v>
      </c>
      <c r="E751" s="1" t="s">
        <v>39</v>
      </c>
      <c r="F751" s="1" t="s">
        <v>1372</v>
      </c>
      <c r="G751" s="1">
        <v>0</v>
      </c>
      <c r="H751" s="1" t="s">
        <v>41</v>
      </c>
      <c r="I751" s="1" t="s">
        <v>8879</v>
      </c>
      <c r="J751" s="1" t="s">
        <v>8880</v>
      </c>
      <c r="K751" s="1" t="s">
        <v>8881</v>
      </c>
      <c r="L751" s="1">
        <v>1</v>
      </c>
      <c r="M751" s="1">
        <v>0</v>
      </c>
      <c r="N751" s="1" t="s">
        <v>8882</v>
      </c>
      <c r="O751" s="1" t="s">
        <v>8883</v>
      </c>
      <c r="P751" s="1" t="s">
        <v>8884</v>
      </c>
      <c r="Q751" s="1">
        <v>0</v>
      </c>
      <c r="R751" s="1" t="s">
        <v>8885</v>
      </c>
      <c r="S751" s="1" t="s">
        <v>8886</v>
      </c>
      <c r="U751" s="2">
        <v>56769</v>
      </c>
      <c r="V751" s="1">
        <v>4.5999999999999996</v>
      </c>
      <c r="W751" s="1">
        <v>2000</v>
      </c>
      <c r="X751" s="1">
        <v>1846</v>
      </c>
      <c r="Y751" s="1">
        <v>1369</v>
      </c>
      <c r="Z751" s="1">
        <v>171</v>
      </c>
      <c r="AA751" s="1">
        <v>306</v>
      </c>
      <c r="AB751" s="1">
        <v>0</v>
      </c>
      <c r="AC751" s="1">
        <v>1</v>
      </c>
      <c r="AD751" s="1" t="s">
        <v>76</v>
      </c>
      <c r="AE751" s="1" t="s">
        <v>8887</v>
      </c>
      <c r="AF751" s="1" t="s">
        <v>8888</v>
      </c>
      <c r="AG751" s="1" t="s">
        <v>8889</v>
      </c>
      <c r="AH751" s="1" t="s">
        <v>8890</v>
      </c>
      <c r="AI751" s="1">
        <v>4.4111111110000003</v>
      </c>
      <c r="AJ751" s="1">
        <v>68</v>
      </c>
      <c r="AK751" s="1">
        <v>223</v>
      </c>
      <c r="AL751" s="1">
        <v>118</v>
      </c>
    </row>
    <row r="752" spans="1:38" ht="15.75" customHeight="1">
      <c r="A752" s="1">
        <v>655</v>
      </c>
      <c r="B752" s="1">
        <v>5</v>
      </c>
      <c r="C752" s="1">
        <v>4001</v>
      </c>
      <c r="D752" s="1" t="s">
        <v>51</v>
      </c>
      <c r="E752" s="1" t="s">
        <v>39</v>
      </c>
      <c r="F752" s="1" t="s">
        <v>92</v>
      </c>
      <c r="G752" s="1">
        <v>0</v>
      </c>
      <c r="H752" s="1" t="s">
        <v>41</v>
      </c>
      <c r="I752" s="1" t="s">
        <v>8891</v>
      </c>
      <c r="J752" s="1" t="s">
        <v>8892</v>
      </c>
      <c r="K752" s="1" t="s">
        <v>8893</v>
      </c>
      <c r="L752" s="1">
        <v>1</v>
      </c>
      <c r="M752" s="1">
        <v>0</v>
      </c>
      <c r="N752" s="1" t="s">
        <v>8894</v>
      </c>
      <c r="O752" s="1" t="s">
        <v>8895</v>
      </c>
      <c r="P752" s="1" t="s">
        <v>8896</v>
      </c>
      <c r="Q752" s="1">
        <v>0</v>
      </c>
      <c r="R752" s="1" t="s">
        <v>8897</v>
      </c>
      <c r="S752" s="1" t="s">
        <v>8898</v>
      </c>
      <c r="U752" s="2">
        <v>56770</v>
      </c>
      <c r="V752" s="1">
        <v>3.7333313459999999</v>
      </c>
      <c r="W752" s="1">
        <v>2000</v>
      </c>
      <c r="X752" s="1">
        <v>2271</v>
      </c>
      <c r="Y752" s="1">
        <v>864</v>
      </c>
      <c r="Z752" s="1">
        <v>729</v>
      </c>
      <c r="AA752" s="1">
        <v>678</v>
      </c>
      <c r="AB752" s="1">
        <v>0</v>
      </c>
      <c r="AC752" s="1">
        <v>3</v>
      </c>
      <c r="AD752" s="1" t="s">
        <v>215</v>
      </c>
      <c r="AE752" s="1" t="s">
        <v>8899</v>
      </c>
      <c r="AF752" s="1" t="s">
        <v>8900</v>
      </c>
      <c r="AG752" s="1" t="s">
        <v>8901</v>
      </c>
      <c r="AH752" s="1" t="s">
        <v>8902</v>
      </c>
      <c r="AI752" s="1">
        <v>4.03</v>
      </c>
      <c r="AJ752" s="1">
        <v>505</v>
      </c>
      <c r="AK752" s="1">
        <v>1721</v>
      </c>
      <c r="AL752" s="1">
        <v>457</v>
      </c>
    </row>
    <row r="753" spans="1:38" ht="15.75" customHeight="1">
      <c r="A753" s="1">
        <v>861</v>
      </c>
      <c r="C753" s="1">
        <v>4050</v>
      </c>
      <c r="D753" s="1" t="s">
        <v>38</v>
      </c>
      <c r="E753" s="1" t="s">
        <v>39</v>
      </c>
      <c r="F753" s="1" t="s">
        <v>7434</v>
      </c>
      <c r="G753" s="1">
        <v>0</v>
      </c>
      <c r="H753" s="1" t="s">
        <v>41</v>
      </c>
      <c r="I753" s="1" t="s">
        <v>8903</v>
      </c>
      <c r="J753" s="1" t="s">
        <v>8904</v>
      </c>
      <c r="K753" s="1" t="s">
        <v>8905</v>
      </c>
      <c r="L753" s="1">
        <v>1</v>
      </c>
      <c r="M753" s="1">
        <v>0</v>
      </c>
      <c r="N753" s="1" t="s">
        <v>8906</v>
      </c>
      <c r="O753" s="1" t="s">
        <v>8907</v>
      </c>
      <c r="P753" s="1" t="s">
        <v>8908</v>
      </c>
      <c r="Q753" s="1">
        <v>0</v>
      </c>
      <c r="R753" s="1" t="s">
        <v>8909</v>
      </c>
      <c r="S753" s="1" t="s">
        <v>8910</v>
      </c>
      <c r="U753" s="2">
        <v>56772</v>
      </c>
      <c r="V753" s="1">
        <v>4.5999999999999996</v>
      </c>
      <c r="W753" s="1">
        <v>2000</v>
      </c>
      <c r="X753" s="1">
        <v>1564</v>
      </c>
      <c r="Y753" s="1">
        <v>818</v>
      </c>
      <c r="Z753" s="1">
        <v>330</v>
      </c>
      <c r="AA753" s="1">
        <v>416</v>
      </c>
      <c r="AB753" s="1">
        <v>0</v>
      </c>
      <c r="AC753" s="1">
        <v>2</v>
      </c>
      <c r="AD753" s="1" t="s">
        <v>215</v>
      </c>
      <c r="AE753" s="1" t="s">
        <v>8911</v>
      </c>
      <c r="AF753" s="1" t="s">
        <v>8912</v>
      </c>
      <c r="AG753" s="1" t="s">
        <v>8913</v>
      </c>
      <c r="AH753" s="1" t="s">
        <v>8914</v>
      </c>
      <c r="AI753" s="1">
        <v>4.5714285710000002</v>
      </c>
      <c r="AJ753" s="1">
        <v>77</v>
      </c>
      <c r="AK753" s="1">
        <v>206</v>
      </c>
      <c r="AL753" s="1">
        <v>11</v>
      </c>
    </row>
    <row r="754" spans="1:38" ht="15.75" customHeight="1">
      <c r="A754" s="1">
        <v>433</v>
      </c>
      <c r="C754" s="1">
        <v>4050</v>
      </c>
      <c r="D754" s="1" t="s">
        <v>38</v>
      </c>
      <c r="E754" s="1" t="s">
        <v>39</v>
      </c>
      <c r="F754" s="1" t="s">
        <v>390</v>
      </c>
      <c r="G754" s="1">
        <v>0</v>
      </c>
      <c r="H754" s="1" t="s">
        <v>41</v>
      </c>
      <c r="I754" s="1" t="s">
        <v>8915</v>
      </c>
      <c r="J754" s="1" t="s">
        <v>8916</v>
      </c>
      <c r="K754" s="1" t="s">
        <v>8917</v>
      </c>
      <c r="L754" s="1">
        <v>1</v>
      </c>
      <c r="M754" s="1">
        <v>0</v>
      </c>
      <c r="N754" s="1" t="s">
        <v>8918</v>
      </c>
      <c r="O754" s="1" t="s">
        <v>8919</v>
      </c>
      <c r="P754" s="1" t="s">
        <v>8920</v>
      </c>
      <c r="Q754" s="1">
        <v>0</v>
      </c>
      <c r="R754" s="1" t="s">
        <v>8921</v>
      </c>
      <c r="S754" s="1" t="s">
        <v>8922</v>
      </c>
      <c r="U754" s="2">
        <v>56769</v>
      </c>
      <c r="V754" s="1">
        <v>4.5</v>
      </c>
      <c r="W754" s="1">
        <v>2000</v>
      </c>
      <c r="X754" s="1">
        <v>1464</v>
      </c>
      <c r="Y754" s="1">
        <v>679</v>
      </c>
      <c r="Z754" s="1">
        <v>122</v>
      </c>
      <c r="AA754" s="1">
        <v>663</v>
      </c>
      <c r="AB754" s="1">
        <v>0</v>
      </c>
      <c r="AC754" s="1">
        <v>1</v>
      </c>
      <c r="AD754" s="1" t="s">
        <v>76</v>
      </c>
      <c r="AE754" s="1" t="s">
        <v>8923</v>
      </c>
      <c r="AF754" s="1" t="s">
        <v>8924</v>
      </c>
      <c r="AG754" s="1" t="s">
        <v>8925</v>
      </c>
      <c r="AH754" s="1" t="s">
        <v>8926</v>
      </c>
      <c r="AI754" s="1">
        <v>4.5599999999999996</v>
      </c>
      <c r="AJ754" s="1">
        <v>344</v>
      </c>
      <c r="AK754" s="1">
        <v>947</v>
      </c>
      <c r="AL754" s="1">
        <v>22</v>
      </c>
    </row>
    <row r="755" spans="1:38" ht="15.75" customHeight="1">
      <c r="A755" s="1">
        <v>724</v>
      </c>
      <c r="B755" s="1">
        <v>5</v>
      </c>
      <c r="C755" s="1">
        <v>4050</v>
      </c>
      <c r="D755" s="1" t="s">
        <v>38</v>
      </c>
      <c r="E755" s="1" t="s">
        <v>39</v>
      </c>
      <c r="F755" s="1" t="s">
        <v>486</v>
      </c>
      <c r="G755" s="1">
        <v>0</v>
      </c>
      <c r="H755" s="1" t="s">
        <v>41</v>
      </c>
      <c r="I755" s="1" t="s">
        <v>8927</v>
      </c>
      <c r="J755" s="1" t="s">
        <v>8928</v>
      </c>
      <c r="K755" s="1" t="s">
        <v>8929</v>
      </c>
      <c r="L755" s="1">
        <v>1</v>
      </c>
      <c r="M755" s="1">
        <v>0</v>
      </c>
      <c r="N755" s="1" t="s">
        <v>8930</v>
      </c>
      <c r="O755" s="1" t="s">
        <v>8931</v>
      </c>
      <c r="P755" s="1" t="s">
        <v>8932</v>
      </c>
      <c r="Q755" s="1">
        <v>0</v>
      </c>
      <c r="R755" s="1" t="s">
        <v>8933</v>
      </c>
      <c r="S755" s="1" t="s">
        <v>8934</v>
      </c>
      <c r="U755" s="2">
        <v>56771</v>
      </c>
      <c r="V755" s="1">
        <v>4.5999999999999996</v>
      </c>
      <c r="W755" s="1">
        <v>2000</v>
      </c>
      <c r="X755" s="1">
        <v>1747</v>
      </c>
      <c r="Y755" s="1">
        <v>377</v>
      </c>
      <c r="Z755" s="1">
        <v>725</v>
      </c>
      <c r="AA755" s="1">
        <v>645</v>
      </c>
      <c r="AB755" s="1">
        <v>0</v>
      </c>
      <c r="AC755" s="1">
        <v>4</v>
      </c>
      <c r="AD755" s="1" t="s">
        <v>62</v>
      </c>
      <c r="AE755" s="1" t="s">
        <v>8935</v>
      </c>
      <c r="AF755" s="1" t="s">
        <v>8936</v>
      </c>
      <c r="AG755" s="1" t="s">
        <v>8937</v>
      </c>
      <c r="AH755" s="1" t="s">
        <v>8938</v>
      </c>
      <c r="AI755" s="1">
        <v>4.7</v>
      </c>
      <c r="AJ755" s="1">
        <v>212</v>
      </c>
      <c r="AK755" s="1">
        <v>624</v>
      </c>
      <c r="AL755" s="1">
        <v>347</v>
      </c>
    </row>
    <row r="756" spans="1:38" ht="15.75" customHeight="1">
      <c r="A756" s="1">
        <v>279</v>
      </c>
      <c r="C756" s="1">
        <v>4001</v>
      </c>
      <c r="D756" s="1" t="s">
        <v>51</v>
      </c>
      <c r="E756" s="1" t="s">
        <v>39</v>
      </c>
      <c r="F756" s="1" t="s">
        <v>305</v>
      </c>
      <c r="G756" s="1">
        <v>0</v>
      </c>
      <c r="H756" s="1" t="s">
        <v>53</v>
      </c>
      <c r="I756" s="1" t="s">
        <v>8939</v>
      </c>
      <c r="J756" s="1" t="s">
        <v>8940</v>
      </c>
      <c r="K756" s="1" t="s">
        <v>8941</v>
      </c>
      <c r="L756" s="1">
        <v>1</v>
      </c>
      <c r="M756" s="1">
        <v>0</v>
      </c>
      <c r="N756" s="1" t="s">
        <v>8942</v>
      </c>
      <c r="O756" s="1" t="s">
        <v>8943</v>
      </c>
      <c r="P756" s="1" t="s">
        <v>8944</v>
      </c>
      <c r="Q756" s="1">
        <v>0</v>
      </c>
      <c r="R756" s="1" t="s">
        <v>8945</v>
      </c>
      <c r="S756" s="1" t="s">
        <v>8946</v>
      </c>
      <c r="U756" s="2">
        <v>56768</v>
      </c>
      <c r="V756" s="1">
        <v>3.4933989300000001</v>
      </c>
      <c r="W756" s="1">
        <v>2000</v>
      </c>
      <c r="X756" s="1">
        <v>1504</v>
      </c>
      <c r="Z756" s="1">
        <v>454</v>
      </c>
      <c r="AA756" s="1">
        <v>1065</v>
      </c>
      <c r="AB756" s="1">
        <v>1</v>
      </c>
      <c r="AC756" s="1">
        <v>1</v>
      </c>
      <c r="AE756" s="1" t="s">
        <v>8947</v>
      </c>
      <c r="AF756" s="1" t="s">
        <v>8948</v>
      </c>
      <c r="AG756" s="1" t="s">
        <v>8949</v>
      </c>
      <c r="AH756" s="1" t="s">
        <v>8950</v>
      </c>
      <c r="AI756" s="1">
        <v>4.5199999999999996</v>
      </c>
      <c r="AJ756" s="1">
        <v>183</v>
      </c>
      <c r="AK756" s="1">
        <v>522</v>
      </c>
    </row>
    <row r="757" spans="1:38" ht="15.75" customHeight="1">
      <c r="A757" s="1">
        <v>335</v>
      </c>
      <c r="C757" s="1">
        <v>4001</v>
      </c>
      <c r="D757" s="1" t="s">
        <v>51</v>
      </c>
      <c r="E757" s="1" t="s">
        <v>39</v>
      </c>
      <c r="F757" s="1" t="s">
        <v>648</v>
      </c>
      <c r="G757" s="1">
        <v>0</v>
      </c>
      <c r="H757" s="1" t="s">
        <v>53</v>
      </c>
      <c r="I757" s="1" t="s">
        <v>8951</v>
      </c>
      <c r="J757" s="1" t="s">
        <v>8952</v>
      </c>
      <c r="K757" s="1" t="s">
        <v>8953</v>
      </c>
      <c r="L757" s="1">
        <v>1</v>
      </c>
      <c r="M757" s="1">
        <v>0</v>
      </c>
      <c r="N757" s="1" t="s">
        <v>8954</v>
      </c>
      <c r="O757" s="1" t="s">
        <v>8955</v>
      </c>
      <c r="P757" s="1" t="s">
        <v>8956</v>
      </c>
      <c r="Q757" s="1">
        <v>0</v>
      </c>
      <c r="R757" s="1" t="s">
        <v>8957</v>
      </c>
      <c r="S757" s="1" t="s">
        <v>8958</v>
      </c>
      <c r="U757" s="2">
        <v>56768</v>
      </c>
      <c r="V757" s="1">
        <v>4.1902126380000002</v>
      </c>
      <c r="W757" s="1">
        <v>2000</v>
      </c>
      <c r="X757" s="1">
        <v>2131</v>
      </c>
      <c r="Y757" s="1">
        <v>299</v>
      </c>
      <c r="Z757" s="1">
        <v>696</v>
      </c>
      <c r="AA757" s="1">
        <v>1136</v>
      </c>
      <c r="AB757" s="1">
        <v>0</v>
      </c>
      <c r="AC757" s="1">
        <v>1</v>
      </c>
      <c r="AD757" s="1" t="s">
        <v>62</v>
      </c>
      <c r="AE757" s="1" t="s">
        <v>8959</v>
      </c>
      <c r="AF757" s="1" t="s">
        <v>8960</v>
      </c>
      <c r="AG757" s="1" t="s">
        <v>8961</v>
      </c>
      <c r="AH757" s="1" t="s">
        <v>8962</v>
      </c>
      <c r="AI757" s="1">
        <v>4.7</v>
      </c>
      <c r="AJ757" s="1">
        <v>443</v>
      </c>
      <c r="AK757" s="1">
        <v>1579</v>
      </c>
    </row>
    <row r="758" spans="1:38" ht="15.75" customHeight="1">
      <c r="A758" s="1">
        <v>1286</v>
      </c>
      <c r="B758" s="1">
        <v>5</v>
      </c>
      <c r="C758" s="1">
        <v>4001</v>
      </c>
      <c r="D758" s="1" t="s">
        <v>51</v>
      </c>
      <c r="E758" s="1" t="s">
        <v>39</v>
      </c>
      <c r="F758" s="1" t="s">
        <v>708</v>
      </c>
      <c r="G758" s="1">
        <v>0</v>
      </c>
      <c r="H758" s="1" t="s">
        <v>53</v>
      </c>
      <c r="I758" s="1" t="s">
        <v>8963</v>
      </c>
      <c r="J758" s="1" t="s">
        <v>8964</v>
      </c>
      <c r="K758" s="1" t="s">
        <v>8965</v>
      </c>
      <c r="L758" s="1">
        <v>1</v>
      </c>
      <c r="M758" s="1">
        <v>0</v>
      </c>
      <c r="N758" s="1" t="s">
        <v>8966</v>
      </c>
      <c r="O758" s="1" t="s">
        <v>8967</v>
      </c>
      <c r="P758" s="1" t="s">
        <v>8968</v>
      </c>
      <c r="Q758" s="1">
        <v>0</v>
      </c>
      <c r="R758" s="1" t="s">
        <v>8969</v>
      </c>
      <c r="S758" s="1" t="s">
        <v>8970</v>
      </c>
      <c r="U758" s="2">
        <v>56776</v>
      </c>
      <c r="V758" s="1">
        <v>3.4933989300000001</v>
      </c>
      <c r="W758" s="1">
        <v>2000</v>
      </c>
      <c r="X758" s="1">
        <v>2335</v>
      </c>
      <c r="Y758" s="1">
        <v>627</v>
      </c>
      <c r="Z758" s="1">
        <v>181</v>
      </c>
      <c r="AA758" s="1">
        <v>1527</v>
      </c>
      <c r="AB758" s="1">
        <v>0</v>
      </c>
      <c r="AC758" s="1">
        <v>2</v>
      </c>
      <c r="AD758" s="1" t="s">
        <v>76</v>
      </c>
      <c r="AE758" s="1" t="s">
        <v>8971</v>
      </c>
      <c r="AF758" s="1" t="s">
        <v>8972</v>
      </c>
      <c r="AG758" s="1" t="s">
        <v>8973</v>
      </c>
      <c r="AH758" s="1" t="s">
        <v>8974</v>
      </c>
      <c r="AI758" s="1">
        <v>4.5999999999999996</v>
      </c>
      <c r="AJ758" s="1">
        <v>292</v>
      </c>
      <c r="AK758" s="1">
        <v>1027</v>
      </c>
      <c r="AL758" s="1">
        <v>26</v>
      </c>
    </row>
    <row r="759" spans="1:38" ht="15.75" customHeight="1">
      <c r="A759" s="1">
        <v>101</v>
      </c>
      <c r="C759" s="1">
        <v>4050</v>
      </c>
      <c r="D759" s="1" t="s">
        <v>38</v>
      </c>
      <c r="E759" s="1" t="s">
        <v>39</v>
      </c>
      <c r="F759" s="1" t="s">
        <v>40</v>
      </c>
      <c r="G759" s="1">
        <v>0</v>
      </c>
      <c r="H759" s="1" t="s">
        <v>41</v>
      </c>
      <c r="I759" s="1" t="s">
        <v>8975</v>
      </c>
      <c r="J759" s="1" t="s">
        <v>8976</v>
      </c>
      <c r="K759" s="1" t="s">
        <v>8977</v>
      </c>
      <c r="L759" s="1">
        <v>1</v>
      </c>
      <c r="M759" s="1">
        <v>0</v>
      </c>
      <c r="N759" s="1" t="s">
        <v>8978</v>
      </c>
      <c r="O759" s="1" t="s">
        <v>8979</v>
      </c>
      <c r="P759" s="1" t="s">
        <v>8980</v>
      </c>
      <c r="Q759" s="1">
        <v>0</v>
      </c>
      <c r="R759" s="1" t="s">
        <v>8981</v>
      </c>
      <c r="S759" s="1" t="s">
        <v>8982</v>
      </c>
      <c r="U759" s="2">
        <v>56766</v>
      </c>
      <c r="V759" s="1">
        <v>4.7</v>
      </c>
      <c r="W759" s="1">
        <v>2000</v>
      </c>
      <c r="X759" s="1">
        <v>1840</v>
      </c>
      <c r="Y759" s="1">
        <v>668</v>
      </c>
      <c r="Z759" s="1">
        <v>297</v>
      </c>
      <c r="AA759" s="1">
        <v>875</v>
      </c>
      <c r="AB759" s="1">
        <v>0</v>
      </c>
      <c r="AC759" s="1">
        <v>2</v>
      </c>
      <c r="AD759" s="1" t="s">
        <v>62</v>
      </c>
      <c r="AE759" s="1" t="s">
        <v>8983</v>
      </c>
      <c r="AF759" s="1" t="s">
        <v>8984</v>
      </c>
      <c r="AG759" s="1" t="s">
        <v>8985</v>
      </c>
      <c r="AH759" s="1" t="s">
        <v>8986</v>
      </c>
      <c r="AI759" s="1">
        <v>4.7</v>
      </c>
      <c r="AJ759" s="1">
        <v>1261</v>
      </c>
      <c r="AK759" s="1">
        <v>3264</v>
      </c>
      <c r="AL759" s="1">
        <v>232</v>
      </c>
    </row>
    <row r="760" spans="1:38" ht="15.75" customHeight="1">
      <c r="A760" s="1">
        <v>256</v>
      </c>
      <c r="C760" s="1">
        <v>4050</v>
      </c>
      <c r="D760" s="1" t="s">
        <v>38</v>
      </c>
      <c r="E760" s="1" t="s">
        <v>39</v>
      </c>
      <c r="F760" s="1" t="s">
        <v>195</v>
      </c>
      <c r="G760" s="1">
        <v>0</v>
      </c>
      <c r="H760" s="1" t="s">
        <v>41</v>
      </c>
      <c r="I760" s="1" t="s">
        <v>8987</v>
      </c>
      <c r="J760" s="1" t="s">
        <v>8988</v>
      </c>
      <c r="K760" s="1" t="s">
        <v>8989</v>
      </c>
      <c r="L760" s="1">
        <v>1</v>
      </c>
      <c r="M760" s="1">
        <v>0</v>
      </c>
      <c r="N760" s="1" t="s">
        <v>8990</v>
      </c>
      <c r="O760" s="1" t="s">
        <v>8991</v>
      </c>
      <c r="P760" s="1" t="s">
        <v>8992</v>
      </c>
      <c r="Q760" s="1">
        <v>0</v>
      </c>
      <c r="R760" s="1" t="s">
        <v>8993</v>
      </c>
      <c r="S760" s="1" t="s">
        <v>8994</v>
      </c>
      <c r="U760" s="2">
        <v>56768</v>
      </c>
      <c r="V760" s="1">
        <v>4.5999999999999996</v>
      </c>
      <c r="W760" s="1">
        <v>2000</v>
      </c>
      <c r="X760" s="1">
        <v>2054</v>
      </c>
      <c r="Y760" s="1">
        <v>721</v>
      </c>
      <c r="Z760" s="1">
        <v>501</v>
      </c>
      <c r="AA760" s="1">
        <v>832</v>
      </c>
      <c r="AB760" s="1">
        <v>0</v>
      </c>
      <c r="AC760" s="1">
        <v>3</v>
      </c>
      <c r="AD760" s="1" t="s">
        <v>215</v>
      </c>
      <c r="AE760" s="1" t="s">
        <v>8995</v>
      </c>
      <c r="AF760" s="1" t="s">
        <v>8996</v>
      </c>
      <c r="AG760" s="1" t="s">
        <v>8997</v>
      </c>
      <c r="AH760" s="1" t="s">
        <v>8998</v>
      </c>
      <c r="AI760" s="1">
        <v>4.66</v>
      </c>
      <c r="AJ760" s="1">
        <v>161</v>
      </c>
      <c r="AK760" s="1">
        <v>398</v>
      </c>
    </row>
    <row r="761" spans="1:38" ht="15.75" customHeight="1">
      <c r="A761" s="1">
        <v>294</v>
      </c>
      <c r="C761" s="1">
        <v>4050</v>
      </c>
      <c r="D761" s="1" t="s">
        <v>38</v>
      </c>
      <c r="E761" s="1" t="s">
        <v>39</v>
      </c>
      <c r="F761" s="1" t="s">
        <v>1348</v>
      </c>
      <c r="G761" s="1">
        <v>0</v>
      </c>
      <c r="H761" s="1" t="s">
        <v>41</v>
      </c>
      <c r="I761" s="1" t="s">
        <v>8999</v>
      </c>
      <c r="J761" s="1" t="s">
        <v>9000</v>
      </c>
      <c r="K761" s="1" t="s">
        <v>9001</v>
      </c>
      <c r="L761" s="1">
        <v>1</v>
      </c>
      <c r="M761" s="1">
        <v>0</v>
      </c>
      <c r="N761" s="1" t="s">
        <v>9002</v>
      </c>
      <c r="O761" s="1" t="s">
        <v>9003</v>
      </c>
      <c r="P761" s="1" t="s">
        <v>9004</v>
      </c>
      <c r="Q761" s="1">
        <v>0</v>
      </c>
      <c r="R761" s="1" t="s">
        <v>9005</v>
      </c>
      <c r="S761" s="1" t="s">
        <v>9006</v>
      </c>
      <c r="U761" s="2">
        <v>56768</v>
      </c>
      <c r="V761" s="1">
        <v>4.7</v>
      </c>
      <c r="W761" s="1">
        <v>2000</v>
      </c>
      <c r="X761" s="1">
        <v>2360</v>
      </c>
      <c r="Y761" s="1">
        <v>1623</v>
      </c>
      <c r="Z761" s="1">
        <v>212</v>
      </c>
      <c r="AA761" s="1">
        <v>525</v>
      </c>
      <c r="AB761" s="1">
        <v>1</v>
      </c>
      <c r="AC761" s="1">
        <v>4</v>
      </c>
      <c r="AE761" s="1" t="s">
        <v>9007</v>
      </c>
      <c r="AF761" s="1" t="s">
        <v>9008</v>
      </c>
      <c r="AG761" s="1" t="s">
        <v>9009</v>
      </c>
      <c r="AH761" s="1" t="s">
        <v>9010</v>
      </c>
      <c r="AI761" s="1">
        <v>4.79</v>
      </c>
      <c r="AJ761" s="1">
        <v>1007</v>
      </c>
      <c r="AK761" s="1">
        <v>2899</v>
      </c>
      <c r="AL761" s="1">
        <v>1301</v>
      </c>
    </row>
    <row r="762" spans="1:38" ht="15.75" customHeight="1">
      <c r="A762" s="1">
        <v>434</v>
      </c>
      <c r="C762" s="1">
        <v>4050</v>
      </c>
      <c r="D762" s="1" t="s">
        <v>38</v>
      </c>
      <c r="E762" s="1" t="s">
        <v>39</v>
      </c>
      <c r="F762" s="1" t="s">
        <v>40</v>
      </c>
      <c r="G762" s="1">
        <v>0</v>
      </c>
      <c r="H762" s="1" t="s">
        <v>41</v>
      </c>
      <c r="I762" s="1" t="s">
        <v>9011</v>
      </c>
      <c r="J762" s="1" t="s">
        <v>9012</v>
      </c>
      <c r="K762" s="1" t="s">
        <v>9013</v>
      </c>
      <c r="L762" s="1">
        <v>1</v>
      </c>
      <c r="M762" s="1">
        <v>0</v>
      </c>
      <c r="N762" s="1" t="s">
        <v>9014</v>
      </c>
      <c r="O762" s="1" t="s">
        <v>9015</v>
      </c>
      <c r="P762" s="1" t="s">
        <v>9016</v>
      </c>
      <c r="Q762" s="1">
        <v>0</v>
      </c>
      <c r="R762" s="1" t="s">
        <v>9017</v>
      </c>
      <c r="S762" s="1" t="s">
        <v>9018</v>
      </c>
      <c r="U762" s="2">
        <v>56769</v>
      </c>
      <c r="V762" s="1">
        <v>4.8</v>
      </c>
      <c r="W762" s="1">
        <v>1500</v>
      </c>
      <c r="X762" s="1">
        <v>2434</v>
      </c>
      <c r="Y762" s="1">
        <v>950</v>
      </c>
      <c r="Z762" s="1">
        <v>439</v>
      </c>
      <c r="AA762" s="1">
        <v>1045</v>
      </c>
      <c r="AB762" s="1">
        <v>0</v>
      </c>
      <c r="AC762" s="1">
        <v>1</v>
      </c>
      <c r="AE762" s="1" t="s">
        <v>9019</v>
      </c>
      <c r="AF762" s="1" t="s">
        <v>9020</v>
      </c>
      <c r="AG762" s="1" t="s">
        <v>9021</v>
      </c>
      <c r="AH762" s="1" t="s">
        <v>9022</v>
      </c>
      <c r="AI762" s="1">
        <v>4.7</v>
      </c>
      <c r="AJ762" s="1">
        <v>1261</v>
      </c>
      <c r="AK762" s="1">
        <v>3264</v>
      </c>
      <c r="AL762" s="1">
        <v>232</v>
      </c>
    </row>
    <row r="763" spans="1:38" ht="15.75" customHeight="1">
      <c r="A763" s="1">
        <v>306</v>
      </c>
      <c r="B763" s="1">
        <v>5</v>
      </c>
      <c r="C763" s="1">
        <v>4001</v>
      </c>
      <c r="D763" s="1" t="s">
        <v>51</v>
      </c>
      <c r="E763" s="1" t="s">
        <v>39</v>
      </c>
      <c r="F763" s="1" t="s">
        <v>92</v>
      </c>
      <c r="G763" s="1">
        <v>0</v>
      </c>
      <c r="H763" s="1" t="s">
        <v>41</v>
      </c>
      <c r="I763" s="1" t="s">
        <v>9023</v>
      </c>
      <c r="J763" s="1" t="s">
        <v>9024</v>
      </c>
      <c r="K763" s="1" t="s">
        <v>9025</v>
      </c>
      <c r="L763" s="1">
        <v>1</v>
      </c>
      <c r="M763" s="1">
        <v>0</v>
      </c>
      <c r="N763" s="1" t="s">
        <v>9026</v>
      </c>
      <c r="O763" s="1" t="s">
        <v>9027</v>
      </c>
      <c r="P763" s="1" t="s">
        <v>9028</v>
      </c>
      <c r="Q763" s="1">
        <v>0</v>
      </c>
      <c r="R763" s="1" t="s">
        <v>9029</v>
      </c>
      <c r="S763" s="1" t="s">
        <v>9030</v>
      </c>
      <c r="U763" s="2">
        <v>56768</v>
      </c>
      <c r="V763" s="1">
        <v>4.5</v>
      </c>
      <c r="W763" s="1">
        <v>1500</v>
      </c>
      <c r="X763" s="1">
        <v>1194</v>
      </c>
      <c r="Y763" s="1">
        <v>425</v>
      </c>
      <c r="Z763" s="1">
        <v>324</v>
      </c>
      <c r="AA763" s="1">
        <v>445</v>
      </c>
      <c r="AB763" s="1">
        <v>1</v>
      </c>
      <c r="AC763" s="1">
        <v>2</v>
      </c>
      <c r="AE763" s="1" t="s">
        <v>9031</v>
      </c>
      <c r="AF763" s="1" t="s">
        <v>9032</v>
      </c>
      <c r="AG763" s="1" t="s">
        <v>9033</v>
      </c>
      <c r="AH763" s="1" t="s">
        <v>9034</v>
      </c>
      <c r="AI763" s="1">
        <v>4.03</v>
      </c>
      <c r="AJ763" s="1">
        <v>505</v>
      </c>
      <c r="AK763" s="1">
        <v>1721</v>
      </c>
      <c r="AL763" s="1">
        <v>457</v>
      </c>
    </row>
    <row r="764" spans="1:38" ht="15.75" customHeight="1">
      <c r="A764" s="1">
        <v>738</v>
      </c>
      <c r="C764" s="1">
        <v>4050</v>
      </c>
      <c r="D764" s="1" t="s">
        <v>38</v>
      </c>
      <c r="E764" s="1" t="s">
        <v>39</v>
      </c>
      <c r="F764" s="1" t="s">
        <v>1153</v>
      </c>
      <c r="G764" s="1">
        <v>0</v>
      </c>
      <c r="H764" s="1" t="s">
        <v>41</v>
      </c>
      <c r="I764" s="1" t="s">
        <v>9035</v>
      </c>
      <c r="J764" s="1" t="s">
        <v>9036</v>
      </c>
      <c r="K764" s="1" t="s">
        <v>9037</v>
      </c>
      <c r="L764" s="1">
        <v>1</v>
      </c>
      <c r="M764" s="1">
        <v>0</v>
      </c>
      <c r="N764" s="1" t="s">
        <v>9038</v>
      </c>
      <c r="O764" s="1" t="s">
        <v>9039</v>
      </c>
      <c r="P764" s="1" t="s">
        <v>9040</v>
      </c>
      <c r="Q764" s="1">
        <v>0</v>
      </c>
      <c r="R764" s="1" t="s">
        <v>9041</v>
      </c>
      <c r="S764" s="1" t="s">
        <v>9042</v>
      </c>
      <c r="U764" s="2">
        <v>56771</v>
      </c>
      <c r="V764" s="1">
        <v>3.4392463169999998</v>
      </c>
      <c r="W764" s="1">
        <v>1500</v>
      </c>
      <c r="X764" s="1">
        <v>2344</v>
      </c>
      <c r="Y764" s="1">
        <v>900</v>
      </c>
      <c r="Z764" s="1">
        <v>360</v>
      </c>
      <c r="AA764" s="1">
        <v>1084</v>
      </c>
      <c r="AB764" s="1">
        <v>0</v>
      </c>
      <c r="AC764" s="1">
        <v>1</v>
      </c>
      <c r="AD764" s="1" t="s">
        <v>76</v>
      </c>
      <c r="AE764" s="1" t="s">
        <v>9043</v>
      </c>
      <c r="AF764" s="1" t="s">
        <v>9044</v>
      </c>
      <c r="AG764" s="1" t="s">
        <v>9045</v>
      </c>
      <c r="AH764" s="1" t="s">
        <v>9046</v>
      </c>
      <c r="AI764" s="1">
        <v>4.58</v>
      </c>
      <c r="AJ764" s="1">
        <v>679</v>
      </c>
      <c r="AK764" s="1">
        <v>2371</v>
      </c>
      <c r="AL764" s="1">
        <v>1830</v>
      </c>
    </row>
    <row r="765" spans="1:38" ht="15.75" customHeight="1">
      <c r="A765" s="1">
        <v>1230</v>
      </c>
      <c r="B765" s="1">
        <v>1</v>
      </c>
      <c r="C765" s="1">
        <v>4001</v>
      </c>
      <c r="D765" s="1" t="s">
        <v>51</v>
      </c>
      <c r="E765" s="1" t="s">
        <v>39</v>
      </c>
      <c r="F765" s="1" t="s">
        <v>1456</v>
      </c>
      <c r="G765" s="1">
        <v>0</v>
      </c>
      <c r="H765" s="1" t="s">
        <v>53</v>
      </c>
      <c r="I765" s="1" t="s">
        <v>9047</v>
      </c>
      <c r="J765" s="1" t="s">
        <v>9048</v>
      </c>
      <c r="K765" s="1" t="s">
        <v>9049</v>
      </c>
      <c r="L765" s="1">
        <v>1</v>
      </c>
      <c r="M765" s="1">
        <v>0</v>
      </c>
      <c r="N765" s="1" t="s">
        <v>9050</v>
      </c>
      <c r="O765" s="1" t="s">
        <v>9051</v>
      </c>
      <c r="P765" s="1" t="s">
        <v>9052</v>
      </c>
      <c r="Q765" s="1">
        <v>0</v>
      </c>
      <c r="R765" s="1" t="s">
        <v>9053</v>
      </c>
      <c r="S765" s="1" t="s">
        <v>9054</v>
      </c>
      <c r="U765" s="2">
        <v>56776</v>
      </c>
      <c r="V765" s="1">
        <v>4.5</v>
      </c>
      <c r="W765" s="1">
        <v>1500</v>
      </c>
      <c r="X765" s="1">
        <v>2839</v>
      </c>
      <c r="Y765" s="1">
        <v>1779</v>
      </c>
      <c r="Z765" s="1">
        <v>154</v>
      </c>
      <c r="AA765" s="1">
        <v>906</v>
      </c>
      <c r="AB765" s="1">
        <v>0</v>
      </c>
      <c r="AC765" s="1">
        <v>1</v>
      </c>
      <c r="AD765" s="1" t="s">
        <v>76</v>
      </c>
      <c r="AE765" s="1" t="s">
        <v>9055</v>
      </c>
      <c r="AF765" s="1" t="s">
        <v>9056</v>
      </c>
      <c r="AG765" s="1" t="s">
        <v>9057</v>
      </c>
      <c r="AH765" s="1" t="s">
        <v>9058</v>
      </c>
      <c r="AI765" s="1">
        <v>4.5</v>
      </c>
      <c r="AJ765" s="1">
        <v>394</v>
      </c>
      <c r="AK765" s="1">
        <v>1403</v>
      </c>
    </row>
    <row r="766" spans="1:38" ht="15.75" customHeight="1">
      <c r="A766" s="1">
        <v>1394</v>
      </c>
      <c r="B766" s="1">
        <v>5</v>
      </c>
      <c r="C766" s="1">
        <v>4001</v>
      </c>
      <c r="D766" s="1" t="s">
        <v>51</v>
      </c>
      <c r="E766" s="1" t="s">
        <v>39</v>
      </c>
      <c r="F766" s="1" t="s">
        <v>341</v>
      </c>
      <c r="G766" s="1">
        <v>0</v>
      </c>
      <c r="H766" s="1" t="s">
        <v>41</v>
      </c>
      <c r="I766" s="1" t="s">
        <v>9059</v>
      </c>
      <c r="J766" s="1" t="s">
        <v>9060</v>
      </c>
      <c r="K766" s="1" t="s">
        <v>9061</v>
      </c>
      <c r="L766" s="1">
        <v>1</v>
      </c>
      <c r="M766" s="1">
        <v>0</v>
      </c>
      <c r="N766" s="1" t="s">
        <v>9062</v>
      </c>
      <c r="O766" s="1" t="s">
        <v>9063</v>
      </c>
      <c r="P766" s="1" t="s">
        <v>9064</v>
      </c>
      <c r="Q766" s="1">
        <v>0</v>
      </c>
      <c r="R766" s="1" t="s">
        <v>9065</v>
      </c>
      <c r="S766" s="1" t="s">
        <v>9066</v>
      </c>
      <c r="U766" s="2">
        <v>56777</v>
      </c>
      <c r="V766" s="1">
        <v>4.5</v>
      </c>
      <c r="W766" s="1">
        <v>1500</v>
      </c>
      <c r="X766" s="1">
        <v>1966</v>
      </c>
      <c r="Y766" s="1">
        <v>221</v>
      </c>
      <c r="Z766" s="1">
        <v>1134</v>
      </c>
      <c r="AA766" s="1">
        <v>611</v>
      </c>
      <c r="AB766" s="1">
        <v>0</v>
      </c>
      <c r="AC766" s="1">
        <v>3</v>
      </c>
      <c r="AD766" s="1" t="s">
        <v>62</v>
      </c>
      <c r="AE766" s="1" t="s">
        <v>9067</v>
      </c>
      <c r="AF766" s="1" t="s">
        <v>9068</v>
      </c>
      <c r="AG766" s="1" t="s">
        <v>9069</v>
      </c>
      <c r="AH766" s="1" t="s">
        <v>9070</v>
      </c>
      <c r="AI766" s="1">
        <v>4.54</v>
      </c>
      <c r="AJ766" s="1">
        <v>2229</v>
      </c>
      <c r="AK766" s="1">
        <v>6580</v>
      </c>
    </row>
    <row r="767" spans="1:38" ht="15.75" customHeight="1">
      <c r="A767" s="1">
        <v>530</v>
      </c>
      <c r="C767" s="1">
        <v>4050</v>
      </c>
      <c r="D767" s="1" t="s">
        <v>38</v>
      </c>
      <c r="E767" s="1" t="s">
        <v>39</v>
      </c>
      <c r="F767" s="1" t="s">
        <v>1153</v>
      </c>
      <c r="G767" s="1">
        <v>0</v>
      </c>
      <c r="H767" s="1" t="s">
        <v>41</v>
      </c>
      <c r="I767" s="1" t="s">
        <v>9071</v>
      </c>
      <c r="J767" s="1" t="s">
        <v>9072</v>
      </c>
      <c r="K767" s="1" t="s">
        <v>9073</v>
      </c>
      <c r="L767" s="1">
        <v>1</v>
      </c>
      <c r="M767" s="1">
        <v>0</v>
      </c>
      <c r="N767" s="1" t="s">
        <v>9074</v>
      </c>
      <c r="O767" s="1" t="s">
        <v>9075</v>
      </c>
      <c r="P767" s="1" t="s">
        <v>9076</v>
      </c>
      <c r="Q767" s="1">
        <v>0</v>
      </c>
      <c r="R767" s="1" t="s">
        <v>9077</v>
      </c>
      <c r="S767" s="1" t="s">
        <v>9078</v>
      </c>
      <c r="U767" s="2">
        <v>56769</v>
      </c>
      <c r="V767" s="1">
        <v>4.4000000000000004</v>
      </c>
      <c r="W767" s="1">
        <v>1500</v>
      </c>
      <c r="X767" s="1">
        <v>3038</v>
      </c>
      <c r="Y767" s="1">
        <v>1486</v>
      </c>
      <c r="Z767" s="1">
        <v>61</v>
      </c>
      <c r="AA767" s="1">
        <v>1491</v>
      </c>
      <c r="AB767" s="1">
        <v>0</v>
      </c>
      <c r="AC767" s="1">
        <v>1</v>
      </c>
      <c r="AD767" s="1" t="s">
        <v>76</v>
      </c>
      <c r="AE767" s="1" t="s">
        <v>9079</v>
      </c>
      <c r="AF767" s="1" t="s">
        <v>9080</v>
      </c>
      <c r="AG767" s="1" t="s">
        <v>9081</v>
      </c>
      <c r="AH767" s="1" t="s">
        <v>9082</v>
      </c>
      <c r="AI767" s="1">
        <v>4.58</v>
      </c>
      <c r="AJ767" s="1">
        <v>679</v>
      </c>
      <c r="AK767" s="1">
        <v>2371</v>
      </c>
      <c r="AL767" s="1">
        <v>1830</v>
      </c>
    </row>
    <row r="768" spans="1:38" ht="15.75" customHeight="1">
      <c r="A768" s="1">
        <v>662</v>
      </c>
      <c r="C768" s="1">
        <v>4050</v>
      </c>
      <c r="D768" s="1" t="s">
        <v>38</v>
      </c>
      <c r="E768" s="1" t="s">
        <v>39</v>
      </c>
      <c r="F768" s="1" t="s">
        <v>695</v>
      </c>
      <c r="G768" s="1">
        <v>0</v>
      </c>
      <c r="H768" s="1" t="s">
        <v>41</v>
      </c>
      <c r="I768" s="1" t="s">
        <v>9083</v>
      </c>
      <c r="J768" s="1" t="s">
        <v>9084</v>
      </c>
      <c r="K768" s="1" t="s">
        <v>9085</v>
      </c>
      <c r="L768" s="1">
        <v>1</v>
      </c>
      <c r="M768" s="1">
        <v>0</v>
      </c>
      <c r="N768" s="1" t="s">
        <v>9086</v>
      </c>
      <c r="O768" s="1" t="s">
        <v>9087</v>
      </c>
      <c r="P768" s="1" t="s">
        <v>9088</v>
      </c>
      <c r="Q768" s="1">
        <v>0</v>
      </c>
      <c r="R768" s="1" t="s">
        <v>9089</v>
      </c>
      <c r="S768" s="1" t="s">
        <v>9090</v>
      </c>
      <c r="U768" s="2">
        <v>56770</v>
      </c>
      <c r="V768" s="1">
        <v>4.7</v>
      </c>
      <c r="W768" s="1">
        <v>1500</v>
      </c>
      <c r="X768" s="1">
        <v>3084</v>
      </c>
      <c r="Y768" s="1">
        <v>1978</v>
      </c>
      <c r="Z768" s="1">
        <v>1099</v>
      </c>
      <c r="AA768" s="1">
        <v>7</v>
      </c>
      <c r="AB768" s="1">
        <v>0</v>
      </c>
      <c r="AC768" s="1">
        <v>2</v>
      </c>
      <c r="AD768" s="1" t="s">
        <v>76</v>
      </c>
      <c r="AE768" s="1" t="s">
        <v>9091</v>
      </c>
      <c r="AF768" s="1" t="s">
        <v>9092</v>
      </c>
      <c r="AG768" s="1" t="s">
        <v>9093</v>
      </c>
      <c r="AH768" s="1" t="s">
        <v>9094</v>
      </c>
      <c r="AI768" s="1">
        <v>4.38</v>
      </c>
      <c r="AJ768" s="1">
        <v>196</v>
      </c>
      <c r="AK768" s="1">
        <v>626</v>
      </c>
    </row>
    <row r="769" spans="1:38" ht="15.75" customHeight="1">
      <c r="A769" s="1">
        <v>1224</v>
      </c>
      <c r="B769" s="1">
        <v>4</v>
      </c>
      <c r="C769" s="1">
        <v>4001</v>
      </c>
      <c r="D769" s="1" t="s">
        <v>51</v>
      </c>
      <c r="E769" s="1" t="s">
        <v>39</v>
      </c>
      <c r="F769" s="1" t="s">
        <v>1915</v>
      </c>
      <c r="G769" s="1">
        <v>0</v>
      </c>
      <c r="H769" s="1" t="s">
        <v>53</v>
      </c>
      <c r="I769" s="1" t="s">
        <v>9095</v>
      </c>
      <c r="J769" s="1" t="s">
        <v>9096</v>
      </c>
      <c r="K769" s="1" t="s">
        <v>9097</v>
      </c>
      <c r="L769" s="1">
        <v>1</v>
      </c>
      <c r="M769" s="1">
        <v>0</v>
      </c>
      <c r="N769" s="1" t="s">
        <v>9098</v>
      </c>
      <c r="O769" s="1" t="s">
        <v>9099</v>
      </c>
      <c r="P769" s="1" t="s">
        <v>9100</v>
      </c>
      <c r="Q769" s="1">
        <v>0</v>
      </c>
      <c r="R769" s="1" t="s">
        <v>9101</v>
      </c>
      <c r="U769" s="2">
        <v>56775</v>
      </c>
      <c r="V769" s="1">
        <v>2.9430330480000002</v>
      </c>
      <c r="W769" s="1">
        <v>1500</v>
      </c>
      <c r="X769" s="1">
        <v>3494</v>
      </c>
      <c r="AA769" s="1">
        <v>1271</v>
      </c>
      <c r="AB769" s="1">
        <v>0</v>
      </c>
      <c r="AC769" s="1">
        <v>1</v>
      </c>
      <c r="AE769" s="1" t="s">
        <v>9102</v>
      </c>
      <c r="AF769" s="1" t="s">
        <v>9103</v>
      </c>
      <c r="AG769" s="1" t="s">
        <v>9104</v>
      </c>
      <c r="AI769" s="1">
        <v>4.63</v>
      </c>
      <c r="AJ769" s="1">
        <v>242</v>
      </c>
      <c r="AK769" s="1">
        <v>736</v>
      </c>
    </row>
    <row r="770" spans="1:38" ht="15.75" customHeight="1">
      <c r="A770" s="1">
        <v>1541</v>
      </c>
      <c r="C770" s="1">
        <v>4001</v>
      </c>
      <c r="D770" s="1" t="s">
        <v>51</v>
      </c>
      <c r="E770" s="1" t="s">
        <v>39</v>
      </c>
      <c r="F770" s="1" t="s">
        <v>414</v>
      </c>
      <c r="G770" s="1">
        <v>0</v>
      </c>
      <c r="H770" s="1" t="s">
        <v>53</v>
      </c>
      <c r="I770" s="1" t="s">
        <v>9105</v>
      </c>
      <c r="J770" s="1" t="s">
        <v>9106</v>
      </c>
      <c r="K770" s="1" t="s">
        <v>9107</v>
      </c>
      <c r="L770" s="1">
        <v>1</v>
      </c>
      <c r="M770" s="1">
        <v>0</v>
      </c>
      <c r="N770" s="1" t="s">
        <v>9108</v>
      </c>
      <c r="O770" s="1" t="s">
        <v>9109</v>
      </c>
      <c r="P770" s="1" t="s">
        <v>9110</v>
      </c>
      <c r="Q770" s="1">
        <v>0</v>
      </c>
      <c r="R770" s="1" t="s">
        <v>9111</v>
      </c>
      <c r="U770" s="2">
        <v>56777</v>
      </c>
      <c r="V770" s="1">
        <v>4.5</v>
      </c>
      <c r="W770" s="1">
        <v>1500</v>
      </c>
      <c r="X770" s="1">
        <v>1048</v>
      </c>
      <c r="AA770" s="1">
        <v>542</v>
      </c>
      <c r="AB770" s="1">
        <v>0</v>
      </c>
      <c r="AC770" s="1">
        <v>2</v>
      </c>
      <c r="AE770" s="1" t="s">
        <v>9112</v>
      </c>
      <c r="AF770" s="1" t="s">
        <v>9113</v>
      </c>
      <c r="AG770" s="1" t="s">
        <v>9114</v>
      </c>
      <c r="AI770" s="1">
        <v>4.58</v>
      </c>
      <c r="AJ770" s="1">
        <v>254</v>
      </c>
      <c r="AK770" s="1">
        <v>788</v>
      </c>
      <c r="AL770" s="1">
        <v>9</v>
      </c>
    </row>
    <row r="771" spans="1:38" ht="15.75" customHeight="1">
      <c r="A771" s="1">
        <v>908</v>
      </c>
      <c r="C771" s="1">
        <v>4050</v>
      </c>
      <c r="D771" s="1" t="s">
        <v>38</v>
      </c>
      <c r="E771" s="1" t="s">
        <v>39</v>
      </c>
      <c r="F771" s="1" t="s">
        <v>695</v>
      </c>
      <c r="G771" s="1">
        <v>0</v>
      </c>
      <c r="H771" s="1" t="s">
        <v>41</v>
      </c>
      <c r="I771" s="1" t="s">
        <v>9115</v>
      </c>
      <c r="J771" s="1" t="s">
        <v>9116</v>
      </c>
      <c r="K771" s="1" t="s">
        <v>9117</v>
      </c>
      <c r="L771" s="1">
        <v>1</v>
      </c>
      <c r="M771" s="1">
        <v>0</v>
      </c>
      <c r="N771" s="1" t="s">
        <v>9118</v>
      </c>
      <c r="O771" s="1" t="s">
        <v>9119</v>
      </c>
      <c r="P771" s="1" t="s">
        <v>9120</v>
      </c>
      <c r="Q771" s="1">
        <v>0</v>
      </c>
      <c r="R771" s="1" t="s">
        <v>9121</v>
      </c>
      <c r="S771" s="1" t="s">
        <v>9122</v>
      </c>
      <c r="U771" s="2">
        <v>56772</v>
      </c>
      <c r="V771" s="1">
        <v>4.0999999999999996</v>
      </c>
      <c r="W771" s="1">
        <v>1500</v>
      </c>
      <c r="X771" s="1">
        <v>3405</v>
      </c>
      <c r="Y771" s="1">
        <v>1104</v>
      </c>
      <c r="Z771" s="1">
        <v>1861</v>
      </c>
      <c r="AA771" s="1">
        <v>440</v>
      </c>
      <c r="AB771" s="1">
        <v>0</v>
      </c>
      <c r="AC771" s="1">
        <v>3</v>
      </c>
      <c r="AD771" s="1" t="s">
        <v>76</v>
      </c>
      <c r="AE771" s="1" t="s">
        <v>9123</v>
      </c>
      <c r="AF771" s="1" t="s">
        <v>9124</v>
      </c>
      <c r="AG771" s="1" t="s">
        <v>9125</v>
      </c>
      <c r="AH771" s="1" t="s">
        <v>9126</v>
      </c>
      <c r="AI771" s="1">
        <v>4.38</v>
      </c>
      <c r="AJ771" s="1">
        <v>196</v>
      </c>
      <c r="AK771" s="1">
        <v>626</v>
      </c>
    </row>
    <row r="772" spans="1:38" ht="15.75" customHeight="1">
      <c r="A772" s="1">
        <v>906</v>
      </c>
      <c r="C772" s="1">
        <v>4050</v>
      </c>
      <c r="D772" s="1" t="s">
        <v>38</v>
      </c>
      <c r="E772" s="1" t="s">
        <v>39</v>
      </c>
      <c r="F772" s="1" t="s">
        <v>510</v>
      </c>
      <c r="G772" s="1">
        <v>0</v>
      </c>
      <c r="H772" s="1" t="s">
        <v>41</v>
      </c>
      <c r="I772" s="1" t="s">
        <v>9127</v>
      </c>
      <c r="J772" s="1" t="s">
        <v>9128</v>
      </c>
      <c r="K772" s="1" t="s">
        <v>9129</v>
      </c>
      <c r="L772" s="1">
        <v>1</v>
      </c>
      <c r="M772" s="1">
        <v>0</v>
      </c>
      <c r="N772" s="1" t="s">
        <v>9130</v>
      </c>
      <c r="O772" s="1" t="s">
        <v>9131</v>
      </c>
      <c r="P772" s="1" t="s">
        <v>9132</v>
      </c>
      <c r="Q772" s="1">
        <v>0</v>
      </c>
      <c r="R772" s="1" t="s">
        <v>9133</v>
      </c>
      <c r="U772" s="2">
        <v>56772</v>
      </c>
      <c r="V772" s="1">
        <v>4.5999999999999996</v>
      </c>
      <c r="W772" s="1">
        <v>1500</v>
      </c>
      <c r="X772" s="1">
        <v>789</v>
      </c>
      <c r="AA772" s="1">
        <v>304</v>
      </c>
      <c r="AB772" s="1">
        <v>0</v>
      </c>
      <c r="AC772" s="1">
        <v>5</v>
      </c>
      <c r="AE772" s="1" t="s">
        <v>9134</v>
      </c>
      <c r="AF772" s="1" t="s">
        <v>9135</v>
      </c>
      <c r="AG772" s="1" t="s">
        <v>9136</v>
      </c>
      <c r="AI772" s="1">
        <v>4.62</v>
      </c>
      <c r="AJ772" s="1">
        <v>259</v>
      </c>
      <c r="AK772" s="1">
        <v>604</v>
      </c>
      <c r="AL772" s="1">
        <v>21</v>
      </c>
    </row>
    <row r="773" spans="1:38" ht="15.75" customHeight="1">
      <c r="A773" s="1">
        <v>457</v>
      </c>
      <c r="B773" s="1">
        <v>5</v>
      </c>
      <c r="C773" s="1">
        <v>4001</v>
      </c>
      <c r="D773" s="1" t="s">
        <v>51</v>
      </c>
      <c r="E773" s="1" t="s">
        <v>39</v>
      </c>
      <c r="F773" s="1" t="s">
        <v>414</v>
      </c>
      <c r="G773" s="1">
        <v>0</v>
      </c>
      <c r="H773" s="1" t="s">
        <v>53</v>
      </c>
      <c r="I773" s="1" t="s">
        <v>9137</v>
      </c>
      <c r="J773" s="1" t="s">
        <v>9138</v>
      </c>
      <c r="K773" s="1" t="s">
        <v>9139</v>
      </c>
      <c r="L773" s="1">
        <v>1</v>
      </c>
      <c r="M773" s="1">
        <v>0</v>
      </c>
      <c r="N773" s="1" t="s">
        <v>9140</v>
      </c>
      <c r="O773" s="1" t="s">
        <v>9141</v>
      </c>
      <c r="P773" s="1" t="s">
        <v>9142</v>
      </c>
      <c r="Q773" s="1">
        <v>0</v>
      </c>
      <c r="R773" s="1" t="s">
        <v>9143</v>
      </c>
      <c r="S773" s="1" t="s">
        <v>9144</v>
      </c>
      <c r="U773" s="2">
        <v>56769</v>
      </c>
      <c r="V773" s="1">
        <v>4.5</v>
      </c>
      <c r="W773" s="1">
        <v>1500</v>
      </c>
      <c r="X773" s="1">
        <v>1649</v>
      </c>
      <c r="Y773" s="1">
        <v>1056</v>
      </c>
      <c r="Z773" s="1">
        <v>2</v>
      </c>
      <c r="AA773" s="1">
        <v>591</v>
      </c>
      <c r="AB773" s="1">
        <v>0</v>
      </c>
      <c r="AC773" s="1">
        <v>3</v>
      </c>
      <c r="AD773" s="1" t="s">
        <v>215</v>
      </c>
      <c r="AE773" s="1" t="s">
        <v>9145</v>
      </c>
      <c r="AF773" s="1" t="s">
        <v>9146</v>
      </c>
      <c r="AG773" s="1" t="s">
        <v>9147</v>
      </c>
      <c r="AH773" s="1" t="s">
        <v>9148</v>
      </c>
      <c r="AI773" s="1">
        <v>4.58</v>
      </c>
      <c r="AJ773" s="1">
        <v>254</v>
      </c>
      <c r="AK773" s="1">
        <v>788</v>
      </c>
      <c r="AL773" s="1">
        <v>9</v>
      </c>
    </row>
    <row r="774" spans="1:38" ht="15.75" customHeight="1">
      <c r="A774" s="1">
        <v>569</v>
      </c>
      <c r="C774" s="1">
        <v>4050</v>
      </c>
      <c r="D774" s="1" t="s">
        <v>38</v>
      </c>
      <c r="E774" s="1" t="s">
        <v>39</v>
      </c>
      <c r="F774" s="1" t="s">
        <v>510</v>
      </c>
      <c r="G774" s="1">
        <v>0</v>
      </c>
      <c r="H774" s="1" t="s">
        <v>41</v>
      </c>
      <c r="I774" s="1" t="s">
        <v>9149</v>
      </c>
      <c r="J774" s="1" t="s">
        <v>9150</v>
      </c>
      <c r="K774" s="1" t="s">
        <v>9151</v>
      </c>
      <c r="L774" s="1">
        <v>1</v>
      </c>
      <c r="M774" s="1">
        <v>0</v>
      </c>
      <c r="N774" s="1" t="s">
        <v>9152</v>
      </c>
      <c r="O774" s="1" t="s">
        <v>9153</v>
      </c>
      <c r="P774" s="1" t="s">
        <v>9154</v>
      </c>
      <c r="Q774" s="1">
        <v>0</v>
      </c>
      <c r="R774" s="1" t="s">
        <v>9155</v>
      </c>
      <c r="S774" s="1" t="s">
        <v>9156</v>
      </c>
      <c r="U774" s="2">
        <v>56770</v>
      </c>
      <c r="V774" s="1">
        <v>4.4000000000000004</v>
      </c>
      <c r="W774" s="1">
        <v>1500</v>
      </c>
      <c r="X774" s="1">
        <v>1420</v>
      </c>
      <c r="Y774" s="1">
        <v>573</v>
      </c>
      <c r="Z774" s="1">
        <v>71</v>
      </c>
      <c r="AA774" s="1">
        <v>776</v>
      </c>
      <c r="AB774" s="1">
        <v>0</v>
      </c>
      <c r="AC774" s="1">
        <v>1</v>
      </c>
      <c r="AD774" s="1" t="s">
        <v>76</v>
      </c>
      <c r="AE774" s="1" t="s">
        <v>9157</v>
      </c>
      <c r="AF774" s="1" t="s">
        <v>9158</v>
      </c>
      <c r="AG774" s="1" t="s">
        <v>9159</v>
      </c>
      <c r="AH774" s="1" t="s">
        <v>9160</v>
      </c>
      <c r="AI774" s="1">
        <v>4.62</v>
      </c>
      <c r="AJ774" s="1">
        <v>259</v>
      </c>
      <c r="AK774" s="1">
        <v>604</v>
      </c>
      <c r="AL774" s="1">
        <v>21</v>
      </c>
    </row>
    <row r="775" spans="1:38" ht="15.75" customHeight="1">
      <c r="A775" s="1">
        <v>643</v>
      </c>
      <c r="C775" s="1">
        <v>4001</v>
      </c>
      <c r="D775" s="1" t="s">
        <v>51</v>
      </c>
      <c r="E775" s="1" t="s">
        <v>39</v>
      </c>
      <c r="F775" s="1" t="s">
        <v>52</v>
      </c>
      <c r="G775" s="1">
        <v>0</v>
      </c>
      <c r="H775" s="1" t="s">
        <v>53</v>
      </c>
      <c r="I775" s="1" t="s">
        <v>9161</v>
      </c>
      <c r="J775" s="1" t="s">
        <v>9162</v>
      </c>
      <c r="K775" s="1" t="s">
        <v>9163</v>
      </c>
      <c r="L775" s="1">
        <v>1</v>
      </c>
      <c r="M775" s="1">
        <v>0</v>
      </c>
      <c r="N775" s="1" t="s">
        <v>9164</v>
      </c>
      <c r="O775" s="1" t="s">
        <v>9165</v>
      </c>
      <c r="P775" s="1" t="s">
        <v>9166</v>
      </c>
      <c r="Q775" s="1">
        <v>0</v>
      </c>
      <c r="R775" s="1" t="s">
        <v>9167</v>
      </c>
      <c r="S775" s="1" t="s">
        <v>9168</v>
      </c>
      <c r="U775" s="2">
        <v>56770</v>
      </c>
      <c r="V775" s="1">
        <v>4.4000000000000004</v>
      </c>
      <c r="W775" s="1">
        <v>1500</v>
      </c>
      <c r="X775" s="1">
        <v>5272</v>
      </c>
      <c r="Y775" s="1">
        <v>4984</v>
      </c>
      <c r="Z775" s="1">
        <v>11</v>
      </c>
      <c r="AA775" s="1">
        <v>277</v>
      </c>
      <c r="AB775" s="1">
        <v>1</v>
      </c>
      <c r="AC775" s="1">
        <v>1</v>
      </c>
      <c r="AE775" s="1" t="s">
        <v>9169</v>
      </c>
      <c r="AF775" s="1" t="s">
        <v>9170</v>
      </c>
      <c r="AG775" s="1" t="s">
        <v>9171</v>
      </c>
      <c r="AH775" s="1" t="s">
        <v>9172</v>
      </c>
      <c r="AI775" s="1">
        <v>4.17</v>
      </c>
      <c r="AJ775" s="1">
        <v>457</v>
      </c>
      <c r="AK775" s="1">
        <v>1599</v>
      </c>
    </row>
    <row r="776" spans="1:38" ht="15.75" customHeight="1">
      <c r="A776" s="1">
        <v>880</v>
      </c>
      <c r="B776" s="1">
        <v>1</v>
      </c>
      <c r="C776" s="1">
        <v>4050</v>
      </c>
      <c r="D776" s="1" t="s">
        <v>38</v>
      </c>
      <c r="E776" s="1" t="s">
        <v>39</v>
      </c>
      <c r="F776" s="1" t="s">
        <v>1645</v>
      </c>
      <c r="G776" s="1">
        <v>0</v>
      </c>
      <c r="H776" s="1" t="s">
        <v>41</v>
      </c>
      <c r="I776" s="1" t="s">
        <v>9173</v>
      </c>
      <c r="J776" s="1" t="s">
        <v>9174</v>
      </c>
      <c r="K776" s="1" t="s">
        <v>9175</v>
      </c>
      <c r="L776" s="1">
        <v>1</v>
      </c>
      <c r="M776" s="1">
        <v>0</v>
      </c>
      <c r="N776" s="1" t="s">
        <v>9176</v>
      </c>
      <c r="O776" s="1" t="s">
        <v>9177</v>
      </c>
      <c r="P776" s="1" t="s">
        <v>9178</v>
      </c>
      <c r="Q776" s="1">
        <v>0</v>
      </c>
      <c r="R776" s="1" t="s">
        <v>9179</v>
      </c>
      <c r="S776" s="1" t="s">
        <v>9180</v>
      </c>
      <c r="U776" s="2">
        <v>56772</v>
      </c>
      <c r="V776" s="1">
        <v>4.8</v>
      </c>
      <c r="W776" s="1">
        <v>1500</v>
      </c>
      <c r="X776" s="1">
        <v>6227</v>
      </c>
      <c r="Y776" s="1">
        <v>4865</v>
      </c>
      <c r="Z776" s="1">
        <v>71</v>
      </c>
      <c r="AA776" s="1">
        <v>1291</v>
      </c>
      <c r="AB776" s="1">
        <v>0</v>
      </c>
      <c r="AC776" s="1">
        <v>1</v>
      </c>
      <c r="AD776" s="1" t="s">
        <v>76</v>
      </c>
      <c r="AE776" s="1" t="s">
        <v>9181</v>
      </c>
      <c r="AF776" s="1" t="s">
        <v>9182</v>
      </c>
      <c r="AG776" s="1" t="s">
        <v>9183</v>
      </c>
      <c r="AH776" s="1" t="s">
        <v>9184</v>
      </c>
      <c r="AI776" s="1">
        <v>4.4520547949999996</v>
      </c>
      <c r="AJ776" s="1">
        <v>59</v>
      </c>
      <c r="AK776" s="1">
        <v>171</v>
      </c>
      <c r="AL776" s="1">
        <v>52</v>
      </c>
    </row>
    <row r="777" spans="1:38" ht="15.75" customHeight="1">
      <c r="A777" s="1">
        <v>1575</v>
      </c>
      <c r="C777" s="1">
        <v>4001</v>
      </c>
      <c r="D777" s="1" t="s">
        <v>51</v>
      </c>
      <c r="E777" s="1" t="s">
        <v>39</v>
      </c>
      <c r="F777" s="1" t="s">
        <v>305</v>
      </c>
      <c r="G777" s="1">
        <v>0</v>
      </c>
      <c r="H777" s="1" t="s">
        <v>53</v>
      </c>
      <c r="I777" s="1" t="s">
        <v>9185</v>
      </c>
      <c r="J777" s="1" t="s">
        <v>9186</v>
      </c>
      <c r="K777" s="1" t="s">
        <v>9187</v>
      </c>
      <c r="L777" s="1">
        <v>1</v>
      </c>
      <c r="M777" s="1">
        <v>0</v>
      </c>
      <c r="N777" s="1" t="s">
        <v>9188</v>
      </c>
      <c r="O777" s="1" t="s">
        <v>9189</v>
      </c>
      <c r="P777" s="1" t="s">
        <v>9190</v>
      </c>
      <c r="Q777" s="1">
        <v>0</v>
      </c>
      <c r="R777" s="1" t="s">
        <v>9191</v>
      </c>
      <c r="S777" s="1" t="s">
        <v>9192</v>
      </c>
      <c r="U777" s="2">
        <v>56778</v>
      </c>
      <c r="V777" s="1">
        <v>4.5999999999999996</v>
      </c>
      <c r="W777" s="1">
        <v>1500</v>
      </c>
      <c r="X777" s="1">
        <v>1142</v>
      </c>
      <c r="Y777" s="1">
        <v>274</v>
      </c>
      <c r="Z777" s="1">
        <v>443</v>
      </c>
      <c r="AA777" s="1">
        <v>425</v>
      </c>
      <c r="AB777" s="1">
        <v>1</v>
      </c>
      <c r="AC777" s="1">
        <v>1</v>
      </c>
      <c r="AE777" s="1" t="s">
        <v>9193</v>
      </c>
      <c r="AF777" s="1" t="s">
        <v>9194</v>
      </c>
      <c r="AG777" s="1" t="s">
        <v>9195</v>
      </c>
      <c r="AH777" s="1" t="s">
        <v>9196</v>
      </c>
      <c r="AI777" s="1">
        <v>4.5199999999999996</v>
      </c>
      <c r="AJ777" s="1">
        <v>183</v>
      </c>
      <c r="AK777" s="1">
        <v>522</v>
      </c>
    </row>
    <row r="778" spans="1:38" ht="15.75" customHeight="1">
      <c r="A778" s="1">
        <v>233</v>
      </c>
      <c r="C778" s="1">
        <v>4001</v>
      </c>
      <c r="D778" s="1" t="s">
        <v>51</v>
      </c>
      <c r="E778" s="1" t="s">
        <v>39</v>
      </c>
      <c r="F778" s="1" t="s">
        <v>52</v>
      </c>
      <c r="G778" s="1">
        <v>0</v>
      </c>
      <c r="H778" s="1" t="s">
        <v>53</v>
      </c>
      <c r="I778" s="1" t="s">
        <v>9197</v>
      </c>
      <c r="J778" s="1" t="s">
        <v>9198</v>
      </c>
      <c r="K778" s="1" t="s">
        <v>9199</v>
      </c>
      <c r="L778" s="1">
        <v>1</v>
      </c>
      <c r="M778" s="1">
        <v>0</v>
      </c>
      <c r="N778" s="1" t="s">
        <v>9200</v>
      </c>
      <c r="O778" s="1" t="s">
        <v>9201</v>
      </c>
      <c r="P778" s="1" t="s">
        <v>9202</v>
      </c>
      <c r="Q778" s="1">
        <v>0</v>
      </c>
      <c r="R778" s="1" t="s">
        <v>9203</v>
      </c>
      <c r="S778" s="1" t="s">
        <v>9204</v>
      </c>
      <c r="U778" s="2">
        <v>56767</v>
      </c>
      <c r="V778" s="1">
        <v>4.5</v>
      </c>
      <c r="W778" s="1">
        <v>1500</v>
      </c>
      <c r="X778" s="1">
        <v>2081</v>
      </c>
      <c r="Y778" s="1">
        <v>1397</v>
      </c>
      <c r="Z778" s="1">
        <v>172</v>
      </c>
      <c r="AA778" s="1">
        <v>512</v>
      </c>
      <c r="AB778" s="1">
        <v>0</v>
      </c>
      <c r="AC778" s="1">
        <v>2</v>
      </c>
      <c r="AD778" s="1" t="s">
        <v>215</v>
      </c>
      <c r="AE778" s="1" t="s">
        <v>9205</v>
      </c>
      <c r="AF778" s="1" t="s">
        <v>9206</v>
      </c>
      <c r="AG778" s="1" t="s">
        <v>9207</v>
      </c>
      <c r="AH778" s="1" t="s">
        <v>9208</v>
      </c>
      <c r="AI778" s="1">
        <v>4.17</v>
      </c>
      <c r="AJ778" s="1">
        <v>457</v>
      </c>
      <c r="AK778" s="1">
        <v>1599</v>
      </c>
    </row>
    <row r="779" spans="1:38" ht="15.75" customHeight="1">
      <c r="A779" s="1">
        <v>391</v>
      </c>
      <c r="B779" s="1">
        <v>5</v>
      </c>
      <c r="C779" s="1">
        <v>4050</v>
      </c>
      <c r="D779" s="1" t="s">
        <v>38</v>
      </c>
      <c r="E779" s="1" t="s">
        <v>39</v>
      </c>
      <c r="F779" s="1" t="s">
        <v>1238</v>
      </c>
      <c r="G779" s="1">
        <v>0</v>
      </c>
      <c r="H779" s="1" t="s">
        <v>41</v>
      </c>
      <c r="I779" s="1" t="s">
        <v>9209</v>
      </c>
      <c r="J779" s="1" t="s">
        <v>9210</v>
      </c>
      <c r="K779" s="1" t="s">
        <v>9211</v>
      </c>
      <c r="L779" s="1">
        <v>1</v>
      </c>
      <c r="M779" s="1">
        <v>0</v>
      </c>
      <c r="N779" s="1" t="s">
        <v>9212</v>
      </c>
      <c r="O779" s="1" t="s">
        <v>9213</v>
      </c>
      <c r="P779" s="1" t="s">
        <v>9214</v>
      </c>
      <c r="Q779" s="1">
        <v>0</v>
      </c>
      <c r="R779" s="1" t="s">
        <v>9215</v>
      </c>
      <c r="S779" s="1" t="s">
        <v>9216</v>
      </c>
      <c r="U779" s="2">
        <v>56768</v>
      </c>
      <c r="V779" s="1">
        <v>4.3</v>
      </c>
      <c r="W779" s="1">
        <v>1500</v>
      </c>
      <c r="X779" s="1">
        <v>1909</v>
      </c>
      <c r="Y779" s="1">
        <v>618</v>
      </c>
      <c r="Z779" s="1">
        <v>430</v>
      </c>
      <c r="AA779" s="1">
        <v>861</v>
      </c>
      <c r="AB779" s="1">
        <v>0</v>
      </c>
      <c r="AC779" s="1">
        <v>2</v>
      </c>
      <c r="AD779" s="1" t="s">
        <v>215</v>
      </c>
      <c r="AE779" s="1" t="s">
        <v>9217</v>
      </c>
      <c r="AF779" s="1" t="s">
        <v>9218</v>
      </c>
      <c r="AG779" s="1" t="s">
        <v>9219</v>
      </c>
      <c r="AH779" s="1" t="s">
        <v>9220</v>
      </c>
      <c r="AI779" s="1">
        <v>4.5</v>
      </c>
      <c r="AJ779" s="1">
        <v>55</v>
      </c>
      <c r="AK779" s="1">
        <v>211</v>
      </c>
      <c r="AL779" s="1">
        <v>6</v>
      </c>
    </row>
    <row r="780" spans="1:38" ht="15.75" customHeight="1">
      <c r="A780" s="1">
        <v>809</v>
      </c>
      <c r="B780" s="1">
        <v>5</v>
      </c>
      <c r="C780" s="1">
        <v>4001</v>
      </c>
      <c r="D780" s="1" t="s">
        <v>51</v>
      </c>
      <c r="E780" s="1" t="s">
        <v>39</v>
      </c>
      <c r="F780" s="1" t="s">
        <v>3110</v>
      </c>
      <c r="G780" s="1">
        <v>0</v>
      </c>
      <c r="H780" s="1" t="s">
        <v>53</v>
      </c>
      <c r="I780" s="1" t="s">
        <v>9221</v>
      </c>
      <c r="J780" s="1" t="s">
        <v>9222</v>
      </c>
      <c r="K780" s="1" t="s">
        <v>9223</v>
      </c>
      <c r="L780" s="1">
        <v>1</v>
      </c>
      <c r="M780" s="1">
        <v>0</v>
      </c>
      <c r="N780" s="1" t="s">
        <v>9224</v>
      </c>
      <c r="O780" s="1" t="s">
        <v>9225</v>
      </c>
      <c r="P780" s="1" t="s">
        <v>9226</v>
      </c>
      <c r="Q780" s="1">
        <v>0</v>
      </c>
      <c r="R780" s="1" t="s">
        <v>9227</v>
      </c>
      <c r="S780" s="1" t="s">
        <v>9228</v>
      </c>
      <c r="U780" s="2">
        <v>56771</v>
      </c>
      <c r="V780" s="1">
        <v>4.3</v>
      </c>
      <c r="W780" s="1">
        <v>1500</v>
      </c>
      <c r="X780" s="1">
        <v>4504</v>
      </c>
      <c r="Y780" s="1">
        <v>1063</v>
      </c>
      <c r="Z780" s="1">
        <v>1246</v>
      </c>
      <c r="AA780" s="1">
        <v>2195</v>
      </c>
      <c r="AB780" s="1">
        <v>0</v>
      </c>
      <c r="AC780" s="1">
        <v>2</v>
      </c>
      <c r="AD780" s="1" t="s">
        <v>62</v>
      </c>
      <c r="AE780" s="1" t="s">
        <v>9229</v>
      </c>
      <c r="AF780" s="1" t="s">
        <v>9230</v>
      </c>
      <c r="AG780" s="1" t="s">
        <v>9231</v>
      </c>
      <c r="AH780" s="1" t="s">
        <v>9232</v>
      </c>
      <c r="AI780" s="1">
        <v>4.47</v>
      </c>
      <c r="AJ780" s="1">
        <v>78</v>
      </c>
      <c r="AK780" s="1">
        <v>278</v>
      </c>
      <c r="AL780" s="1">
        <v>26</v>
      </c>
    </row>
    <row r="781" spans="1:38" ht="15.75" customHeight="1">
      <c r="A781" s="1">
        <v>1419</v>
      </c>
      <c r="C781" s="1">
        <v>4001</v>
      </c>
      <c r="D781" s="1" t="s">
        <v>51</v>
      </c>
      <c r="E781" s="1" t="s">
        <v>39</v>
      </c>
      <c r="F781" s="1" t="s">
        <v>341</v>
      </c>
      <c r="G781" s="1">
        <v>0</v>
      </c>
      <c r="H781" s="1" t="s">
        <v>41</v>
      </c>
      <c r="I781" s="1" t="s">
        <v>9233</v>
      </c>
      <c r="J781" s="1" t="s">
        <v>9234</v>
      </c>
      <c r="K781" s="1" t="s">
        <v>9235</v>
      </c>
      <c r="L781" s="1">
        <v>1</v>
      </c>
      <c r="M781" s="1">
        <v>0</v>
      </c>
      <c r="N781" s="1" t="s">
        <v>9236</v>
      </c>
      <c r="O781" s="1" t="s">
        <v>9237</v>
      </c>
      <c r="P781" s="1" t="s">
        <v>9238</v>
      </c>
      <c r="Q781" s="1">
        <v>0</v>
      </c>
      <c r="R781" s="1" t="s">
        <v>9239</v>
      </c>
      <c r="U781" s="2">
        <v>56777</v>
      </c>
      <c r="V781" s="1">
        <v>4.3</v>
      </c>
      <c r="W781" s="1">
        <v>1500</v>
      </c>
      <c r="X781" s="1">
        <v>2420</v>
      </c>
      <c r="AA781" s="1">
        <v>810</v>
      </c>
      <c r="AB781" s="1">
        <v>0</v>
      </c>
      <c r="AC781" s="1">
        <v>3</v>
      </c>
      <c r="AD781" s="1" t="s">
        <v>62</v>
      </c>
      <c r="AE781" s="1" t="s">
        <v>9240</v>
      </c>
      <c r="AF781" s="1" t="s">
        <v>9241</v>
      </c>
      <c r="AG781" s="1" t="s">
        <v>9242</v>
      </c>
      <c r="AI781" s="1">
        <v>4.54</v>
      </c>
      <c r="AJ781" s="1">
        <v>2229</v>
      </c>
      <c r="AK781" s="1">
        <v>6580</v>
      </c>
    </row>
    <row r="782" spans="1:38" ht="15.75" customHeight="1">
      <c r="A782" s="1">
        <v>686</v>
      </c>
      <c r="C782" s="1">
        <v>4050</v>
      </c>
      <c r="D782" s="1" t="s">
        <v>38</v>
      </c>
      <c r="E782" s="1" t="s">
        <v>39</v>
      </c>
      <c r="F782" s="1" t="s">
        <v>280</v>
      </c>
      <c r="G782" s="1">
        <v>0</v>
      </c>
      <c r="H782" s="1" t="s">
        <v>41</v>
      </c>
      <c r="I782" s="1" t="s">
        <v>9243</v>
      </c>
      <c r="J782" s="1" t="s">
        <v>9244</v>
      </c>
      <c r="K782" s="1" t="s">
        <v>9245</v>
      </c>
      <c r="L782" s="1">
        <v>1</v>
      </c>
      <c r="M782" s="1">
        <v>0</v>
      </c>
      <c r="N782" s="1" t="s">
        <v>9246</v>
      </c>
      <c r="O782" s="1" t="s">
        <v>9247</v>
      </c>
      <c r="P782" s="1" t="s">
        <v>9248</v>
      </c>
      <c r="Q782" s="1">
        <v>0</v>
      </c>
      <c r="R782" s="1" t="s">
        <v>9249</v>
      </c>
      <c r="S782" s="1" t="s">
        <v>9250</v>
      </c>
      <c r="U782" s="2">
        <v>56770</v>
      </c>
      <c r="V782" s="1">
        <v>4.5999999999999996</v>
      </c>
      <c r="W782" s="1">
        <v>1500</v>
      </c>
      <c r="X782" s="1">
        <v>3214</v>
      </c>
      <c r="Y782" s="1">
        <v>543</v>
      </c>
      <c r="Z782" s="1">
        <v>2045</v>
      </c>
      <c r="AA782" s="1">
        <v>626</v>
      </c>
      <c r="AB782" s="1">
        <v>1</v>
      </c>
      <c r="AC782" s="1">
        <v>3</v>
      </c>
      <c r="AE782" s="1" t="s">
        <v>9251</v>
      </c>
      <c r="AF782" s="1" t="s">
        <v>9252</v>
      </c>
      <c r="AG782" s="1" t="s">
        <v>9253</v>
      </c>
      <c r="AH782" s="1" t="s">
        <v>9254</v>
      </c>
      <c r="AI782" s="1">
        <v>4.49</v>
      </c>
      <c r="AJ782" s="1">
        <v>2315</v>
      </c>
      <c r="AK782" s="1">
        <v>7039</v>
      </c>
      <c r="AL782" s="1">
        <v>763</v>
      </c>
    </row>
    <row r="783" spans="1:38" ht="15.75" customHeight="1">
      <c r="A783" s="1">
        <v>1075</v>
      </c>
      <c r="C783" s="1">
        <v>4001</v>
      </c>
      <c r="D783" s="1" t="s">
        <v>51</v>
      </c>
      <c r="E783" s="1" t="s">
        <v>39</v>
      </c>
      <c r="F783" s="1" t="s">
        <v>52</v>
      </c>
      <c r="G783" s="1">
        <v>0</v>
      </c>
      <c r="H783" s="1" t="s">
        <v>53</v>
      </c>
      <c r="I783" s="1" t="s">
        <v>9255</v>
      </c>
      <c r="J783" s="1" t="s">
        <v>9256</v>
      </c>
      <c r="K783" s="1" t="s">
        <v>9257</v>
      </c>
      <c r="L783" s="1">
        <v>1</v>
      </c>
      <c r="M783" s="1">
        <v>0</v>
      </c>
      <c r="N783" s="1" t="s">
        <v>9258</v>
      </c>
      <c r="O783" s="1" t="s">
        <v>9259</v>
      </c>
      <c r="P783" s="1" t="s">
        <v>9260</v>
      </c>
      <c r="Q783" s="1">
        <v>0</v>
      </c>
      <c r="R783" s="1" t="s">
        <v>9261</v>
      </c>
      <c r="S783" s="1" t="s">
        <v>9262</v>
      </c>
      <c r="U783" s="2">
        <v>56774</v>
      </c>
      <c r="V783" s="1">
        <v>2.856812235</v>
      </c>
      <c r="W783" s="1">
        <v>1500</v>
      </c>
      <c r="X783" s="1">
        <v>5050</v>
      </c>
      <c r="Y783" s="1">
        <v>2207</v>
      </c>
      <c r="Z783" s="1">
        <v>278</v>
      </c>
      <c r="AA783" s="1">
        <v>2565</v>
      </c>
      <c r="AB783" s="1">
        <v>1</v>
      </c>
      <c r="AC783" s="1">
        <v>3</v>
      </c>
      <c r="AE783" s="1" t="s">
        <v>9263</v>
      </c>
      <c r="AF783" s="1" t="s">
        <v>9264</v>
      </c>
      <c r="AG783" s="1" t="s">
        <v>9265</v>
      </c>
      <c r="AH783" s="1" t="s">
        <v>9266</v>
      </c>
      <c r="AI783" s="1">
        <v>4.17</v>
      </c>
      <c r="AJ783" s="1">
        <v>457</v>
      </c>
      <c r="AK783" s="1">
        <v>1599</v>
      </c>
    </row>
    <row r="784" spans="1:38" ht="15.75" customHeight="1">
      <c r="A784" s="1">
        <v>499</v>
      </c>
      <c r="C784" s="1">
        <v>4001</v>
      </c>
      <c r="D784" s="1" t="s">
        <v>51</v>
      </c>
      <c r="E784" s="1" t="s">
        <v>39</v>
      </c>
      <c r="F784" s="1" t="s">
        <v>414</v>
      </c>
      <c r="G784" s="1">
        <v>0</v>
      </c>
      <c r="H784" s="1" t="s">
        <v>53</v>
      </c>
      <c r="I784" s="1" t="s">
        <v>9267</v>
      </c>
      <c r="J784" s="1" t="s">
        <v>9268</v>
      </c>
      <c r="K784" s="1" t="s">
        <v>9269</v>
      </c>
      <c r="L784" s="1">
        <v>1</v>
      </c>
      <c r="M784" s="1">
        <v>0</v>
      </c>
      <c r="N784" s="1" t="s">
        <v>9270</v>
      </c>
      <c r="O784" s="1" t="s">
        <v>9271</v>
      </c>
      <c r="P784" s="1" t="s">
        <v>9272</v>
      </c>
      <c r="Q784" s="1">
        <v>0</v>
      </c>
      <c r="R784" s="1" t="s">
        <v>9273</v>
      </c>
      <c r="S784" s="1" t="s">
        <v>9274</v>
      </c>
      <c r="U784" s="2">
        <v>56769</v>
      </c>
      <c r="V784" s="1">
        <v>4.5999999999999996</v>
      </c>
      <c r="W784" s="1">
        <v>1500</v>
      </c>
      <c r="X784" s="1">
        <v>1566</v>
      </c>
      <c r="Y784" s="1">
        <v>605</v>
      </c>
      <c r="Z784" s="1">
        <v>369</v>
      </c>
      <c r="AA784" s="1">
        <v>592</v>
      </c>
      <c r="AB784" s="1">
        <v>0</v>
      </c>
      <c r="AC784" s="1">
        <v>2</v>
      </c>
      <c r="AD784" s="1" t="s">
        <v>215</v>
      </c>
      <c r="AE784" s="1" t="s">
        <v>9275</v>
      </c>
      <c r="AF784" s="1" t="s">
        <v>9276</v>
      </c>
      <c r="AG784" s="1" t="s">
        <v>9277</v>
      </c>
      <c r="AH784" s="1" t="s">
        <v>9278</v>
      </c>
      <c r="AI784" s="1">
        <v>4.58</v>
      </c>
      <c r="AJ784" s="1">
        <v>254</v>
      </c>
      <c r="AK784" s="1">
        <v>788</v>
      </c>
      <c r="AL784" s="1">
        <v>9</v>
      </c>
    </row>
    <row r="785" spans="1:38" ht="15.75" customHeight="1">
      <c r="A785" s="1">
        <v>588</v>
      </c>
      <c r="C785" s="1">
        <v>4050</v>
      </c>
      <c r="D785" s="1" t="s">
        <v>38</v>
      </c>
      <c r="E785" s="1" t="s">
        <v>39</v>
      </c>
      <c r="F785" s="1" t="s">
        <v>510</v>
      </c>
      <c r="G785" s="1">
        <v>0</v>
      </c>
      <c r="H785" s="1" t="s">
        <v>41</v>
      </c>
      <c r="I785" s="1" t="s">
        <v>9279</v>
      </c>
      <c r="J785" s="1" t="s">
        <v>9280</v>
      </c>
      <c r="K785" s="1" t="s">
        <v>9281</v>
      </c>
      <c r="L785" s="1">
        <v>1</v>
      </c>
      <c r="M785" s="1">
        <v>0</v>
      </c>
      <c r="N785" s="1" t="s">
        <v>9282</v>
      </c>
      <c r="O785" s="1" t="s">
        <v>9283</v>
      </c>
      <c r="P785" s="1" t="s">
        <v>9284</v>
      </c>
      <c r="Q785" s="1">
        <v>0</v>
      </c>
      <c r="R785" s="1" t="s">
        <v>9285</v>
      </c>
      <c r="S785" s="1" t="s">
        <v>9286</v>
      </c>
      <c r="U785" s="2">
        <v>56770</v>
      </c>
      <c r="V785" s="1">
        <v>4.5</v>
      </c>
      <c r="W785" s="1">
        <v>1500</v>
      </c>
      <c r="X785" s="1">
        <v>1516</v>
      </c>
      <c r="Y785" s="1">
        <v>1015</v>
      </c>
      <c r="AA785" s="1">
        <v>749</v>
      </c>
      <c r="AB785" s="1">
        <v>1</v>
      </c>
      <c r="AC785" s="1">
        <v>1</v>
      </c>
      <c r="AE785" s="1" t="s">
        <v>9287</v>
      </c>
      <c r="AF785" s="1" t="s">
        <v>9288</v>
      </c>
      <c r="AG785" s="1" t="s">
        <v>9289</v>
      </c>
      <c r="AH785" s="1" t="s">
        <v>9290</v>
      </c>
      <c r="AI785" s="1">
        <v>4.62</v>
      </c>
      <c r="AJ785" s="1">
        <v>259</v>
      </c>
      <c r="AK785" s="1">
        <v>604</v>
      </c>
      <c r="AL785" s="1">
        <v>21</v>
      </c>
    </row>
    <row r="786" spans="1:38" ht="15.75" customHeight="1">
      <c r="A786" s="1">
        <v>568</v>
      </c>
      <c r="C786" s="1">
        <v>4050</v>
      </c>
      <c r="D786" s="1" t="s">
        <v>38</v>
      </c>
      <c r="E786" s="1" t="s">
        <v>39</v>
      </c>
      <c r="F786" s="1" t="s">
        <v>1323</v>
      </c>
      <c r="G786" s="1">
        <v>0</v>
      </c>
      <c r="H786" s="1" t="s">
        <v>41</v>
      </c>
      <c r="I786" s="1" t="s">
        <v>9291</v>
      </c>
      <c r="J786" s="1" t="s">
        <v>9292</v>
      </c>
      <c r="K786" s="1" t="s">
        <v>9293</v>
      </c>
      <c r="L786" s="1">
        <v>1</v>
      </c>
      <c r="M786" s="1">
        <v>0</v>
      </c>
      <c r="N786" s="1" t="s">
        <v>9294</v>
      </c>
      <c r="O786" s="1" t="s">
        <v>9295</v>
      </c>
      <c r="P786" s="1" t="s">
        <v>9296</v>
      </c>
      <c r="Q786" s="1">
        <v>0</v>
      </c>
      <c r="R786" s="1" t="s">
        <v>9297</v>
      </c>
      <c r="S786" s="1" t="s">
        <v>9298</v>
      </c>
      <c r="U786" s="2">
        <v>56770</v>
      </c>
      <c r="V786" s="1">
        <v>4.5999999999999996</v>
      </c>
      <c r="W786" s="1">
        <v>1500</v>
      </c>
      <c r="X786" s="1">
        <v>1616</v>
      </c>
      <c r="Y786" s="1">
        <v>772</v>
      </c>
      <c r="Z786" s="1">
        <v>246</v>
      </c>
      <c r="AA786" s="1">
        <v>598</v>
      </c>
      <c r="AB786" s="1">
        <v>0</v>
      </c>
      <c r="AC786" s="1">
        <v>2</v>
      </c>
      <c r="AD786" s="1" t="s">
        <v>76</v>
      </c>
      <c r="AE786" s="1" t="s">
        <v>9299</v>
      </c>
      <c r="AF786" s="1" t="s">
        <v>9300</v>
      </c>
      <c r="AG786" s="1" t="s">
        <v>9301</v>
      </c>
      <c r="AH786" s="1" t="s">
        <v>9302</v>
      </c>
      <c r="AI786" s="1">
        <v>4.57</v>
      </c>
      <c r="AJ786" s="1">
        <v>234</v>
      </c>
      <c r="AK786" s="1">
        <v>726</v>
      </c>
      <c r="AL786" s="1">
        <v>99</v>
      </c>
    </row>
    <row r="787" spans="1:38" ht="15.75" customHeight="1">
      <c r="A787" s="1">
        <v>1339</v>
      </c>
      <c r="B787" s="1">
        <v>1</v>
      </c>
      <c r="C787" s="1">
        <v>4001</v>
      </c>
      <c r="D787" s="1" t="s">
        <v>51</v>
      </c>
      <c r="E787" s="1" t="s">
        <v>39</v>
      </c>
      <c r="F787" s="1" t="s">
        <v>341</v>
      </c>
      <c r="G787" s="1">
        <v>0</v>
      </c>
      <c r="H787" s="1" t="s">
        <v>41</v>
      </c>
      <c r="I787" s="1" t="s">
        <v>9303</v>
      </c>
      <c r="J787" s="1" t="s">
        <v>9304</v>
      </c>
      <c r="K787" s="1" t="s">
        <v>9305</v>
      </c>
      <c r="L787" s="1">
        <v>1</v>
      </c>
      <c r="M787" s="1">
        <v>0</v>
      </c>
      <c r="N787" s="1" t="s">
        <v>9306</v>
      </c>
      <c r="O787" s="1" t="s">
        <v>9307</v>
      </c>
      <c r="P787" s="1" t="s">
        <v>9308</v>
      </c>
      <c r="Q787" s="1">
        <v>0</v>
      </c>
      <c r="R787" s="1" t="s">
        <v>9309</v>
      </c>
      <c r="S787" s="1" t="s">
        <v>9310</v>
      </c>
      <c r="U787" s="2">
        <v>56776</v>
      </c>
      <c r="V787" s="1">
        <v>4</v>
      </c>
      <c r="W787" s="1">
        <v>1500</v>
      </c>
      <c r="X787" s="1">
        <v>2055</v>
      </c>
      <c r="Y787" s="1">
        <v>535</v>
      </c>
      <c r="Z787" s="1">
        <v>615</v>
      </c>
      <c r="AA787" s="1">
        <v>866</v>
      </c>
      <c r="AB787" s="1">
        <v>0</v>
      </c>
      <c r="AC787" s="1">
        <v>3</v>
      </c>
      <c r="AD787" s="1" t="s">
        <v>76</v>
      </c>
      <c r="AE787" s="1" t="s">
        <v>9311</v>
      </c>
      <c r="AF787" s="1" t="s">
        <v>9312</v>
      </c>
      <c r="AG787" s="1" t="s">
        <v>9313</v>
      </c>
      <c r="AH787" s="1" t="s">
        <v>9314</v>
      </c>
      <c r="AI787" s="1">
        <v>4.54</v>
      </c>
      <c r="AJ787" s="1">
        <v>2229</v>
      </c>
      <c r="AK787" s="1">
        <v>6580</v>
      </c>
    </row>
    <row r="788" spans="1:38" ht="15.75" customHeight="1">
      <c r="A788" s="1">
        <v>421</v>
      </c>
      <c r="B788" s="1">
        <v>5</v>
      </c>
      <c r="C788" s="1">
        <v>4050</v>
      </c>
      <c r="D788" s="1" t="s">
        <v>38</v>
      </c>
      <c r="E788" s="1" t="s">
        <v>39</v>
      </c>
      <c r="F788" s="1" t="s">
        <v>280</v>
      </c>
      <c r="G788" s="1">
        <v>0</v>
      </c>
      <c r="H788" s="1" t="s">
        <v>41</v>
      </c>
      <c r="I788" s="1" t="s">
        <v>9315</v>
      </c>
      <c r="J788" s="1" t="s">
        <v>9316</v>
      </c>
      <c r="K788" s="1" t="s">
        <v>9316</v>
      </c>
      <c r="L788" s="1">
        <v>0</v>
      </c>
      <c r="M788" s="1">
        <v>0</v>
      </c>
      <c r="N788" s="1" t="s">
        <v>9317</v>
      </c>
      <c r="O788" s="1" t="s">
        <v>9318</v>
      </c>
      <c r="P788" s="1" t="s">
        <v>9319</v>
      </c>
      <c r="Q788" s="1">
        <v>0</v>
      </c>
      <c r="R788" s="1" t="s">
        <v>9320</v>
      </c>
      <c r="S788" s="1" t="s">
        <v>9321</v>
      </c>
      <c r="U788" s="2">
        <v>56769</v>
      </c>
      <c r="V788" s="1">
        <v>3.501498169</v>
      </c>
      <c r="W788" s="1">
        <v>1500</v>
      </c>
      <c r="X788" s="1">
        <v>2717</v>
      </c>
      <c r="Y788" s="1">
        <v>900</v>
      </c>
      <c r="Z788" s="1">
        <v>694</v>
      </c>
      <c r="AA788" s="1">
        <v>1123</v>
      </c>
      <c r="AB788" s="1">
        <v>0</v>
      </c>
      <c r="AC788" s="1">
        <v>2</v>
      </c>
      <c r="AD788" s="1" t="s">
        <v>76</v>
      </c>
      <c r="AE788" s="1" t="s">
        <v>9322</v>
      </c>
      <c r="AF788" s="1" t="s">
        <v>9323</v>
      </c>
      <c r="AG788" s="1" t="s">
        <v>9324</v>
      </c>
      <c r="AH788" s="1" t="s">
        <v>9325</v>
      </c>
      <c r="AI788" s="1">
        <v>4.49</v>
      </c>
      <c r="AJ788" s="1">
        <v>2315</v>
      </c>
      <c r="AK788" s="1">
        <v>7039</v>
      </c>
      <c r="AL788" s="1">
        <v>763</v>
      </c>
    </row>
    <row r="789" spans="1:38" ht="15.75" customHeight="1">
      <c r="A789" s="1">
        <v>16</v>
      </c>
      <c r="C789" s="1">
        <v>4050</v>
      </c>
      <c r="D789" s="1" t="s">
        <v>38</v>
      </c>
      <c r="E789" s="1" t="s">
        <v>39</v>
      </c>
      <c r="F789" s="1" t="s">
        <v>116</v>
      </c>
      <c r="G789" s="1">
        <v>0</v>
      </c>
      <c r="H789" s="1" t="s">
        <v>41</v>
      </c>
      <c r="I789" s="1" t="s">
        <v>9326</v>
      </c>
      <c r="J789" s="1" t="s">
        <v>9327</v>
      </c>
      <c r="K789" s="1" t="s">
        <v>9328</v>
      </c>
      <c r="L789" s="1">
        <v>1</v>
      </c>
      <c r="M789" s="1">
        <v>0</v>
      </c>
      <c r="N789" s="1" t="s">
        <v>9329</v>
      </c>
      <c r="O789" s="1" t="s">
        <v>9330</v>
      </c>
      <c r="P789" s="1" t="s">
        <v>9331</v>
      </c>
      <c r="Q789" s="1">
        <v>0</v>
      </c>
      <c r="R789" s="1" t="s">
        <v>9332</v>
      </c>
      <c r="S789" s="1" t="s">
        <v>9333</v>
      </c>
      <c r="U789" s="2">
        <v>56766</v>
      </c>
      <c r="V789" s="1">
        <v>4.8</v>
      </c>
      <c r="W789" s="1">
        <v>1500</v>
      </c>
      <c r="X789" s="1">
        <v>1802</v>
      </c>
      <c r="Y789" s="1">
        <v>750</v>
      </c>
      <c r="Z789" s="1">
        <v>297</v>
      </c>
      <c r="AA789" s="1">
        <v>755</v>
      </c>
      <c r="AB789" s="1">
        <v>0</v>
      </c>
      <c r="AC789" s="1">
        <v>3</v>
      </c>
      <c r="AD789" s="1" t="s">
        <v>215</v>
      </c>
      <c r="AE789" s="1" t="s">
        <v>9334</v>
      </c>
      <c r="AF789" s="1" t="s">
        <v>9335</v>
      </c>
      <c r="AG789" s="1" t="s">
        <v>9336</v>
      </c>
      <c r="AH789" s="1" t="s">
        <v>9337</v>
      </c>
      <c r="AI789" s="1">
        <v>4.8899999999999997</v>
      </c>
      <c r="AJ789" s="1">
        <v>1778</v>
      </c>
      <c r="AK789" s="1">
        <v>5138</v>
      </c>
      <c r="AL789" s="1">
        <v>314</v>
      </c>
    </row>
    <row r="790" spans="1:38" ht="15.75" customHeight="1">
      <c r="A790" s="1">
        <v>942</v>
      </c>
      <c r="B790" s="1">
        <v>5</v>
      </c>
      <c r="C790" s="1">
        <v>4001</v>
      </c>
      <c r="D790" s="1" t="s">
        <v>51</v>
      </c>
      <c r="E790" s="1" t="s">
        <v>39</v>
      </c>
      <c r="F790" s="1" t="s">
        <v>305</v>
      </c>
      <c r="G790" s="1">
        <v>0</v>
      </c>
      <c r="H790" s="1" t="s">
        <v>53</v>
      </c>
      <c r="I790" s="1" t="s">
        <v>9338</v>
      </c>
      <c r="J790" s="1" t="s">
        <v>9339</v>
      </c>
      <c r="K790" s="1" t="s">
        <v>9340</v>
      </c>
      <c r="L790" s="1">
        <v>1</v>
      </c>
      <c r="M790" s="1">
        <v>0</v>
      </c>
      <c r="N790" s="1" t="s">
        <v>9341</v>
      </c>
      <c r="O790" s="1" t="s">
        <v>9342</v>
      </c>
      <c r="P790" s="1" t="s">
        <v>9343</v>
      </c>
      <c r="Q790" s="1">
        <v>0</v>
      </c>
      <c r="R790" s="1" t="s">
        <v>9344</v>
      </c>
      <c r="S790" s="1" t="s">
        <v>9345</v>
      </c>
      <c r="U790" s="2">
        <v>56773</v>
      </c>
      <c r="V790" s="1">
        <v>4.4000000000000004</v>
      </c>
      <c r="W790" s="1">
        <v>1500</v>
      </c>
      <c r="X790" s="1">
        <v>1259</v>
      </c>
      <c r="Y790" s="1">
        <v>544</v>
      </c>
      <c r="Z790" s="1">
        <v>532</v>
      </c>
      <c r="AA790" s="1">
        <v>183</v>
      </c>
      <c r="AB790" s="1">
        <v>1</v>
      </c>
      <c r="AC790" s="1">
        <v>1</v>
      </c>
      <c r="AE790" s="1" t="s">
        <v>9346</v>
      </c>
      <c r="AF790" s="1" t="s">
        <v>9347</v>
      </c>
      <c r="AG790" s="1" t="s">
        <v>9348</v>
      </c>
      <c r="AH790" s="1" t="s">
        <v>9349</v>
      </c>
      <c r="AI790" s="1">
        <v>4.5199999999999996</v>
      </c>
      <c r="AJ790" s="1">
        <v>183</v>
      </c>
      <c r="AK790" s="1">
        <v>522</v>
      </c>
    </row>
    <row r="791" spans="1:38" ht="15.75" customHeight="1">
      <c r="A791" s="1">
        <v>1039</v>
      </c>
      <c r="C791" s="1">
        <v>4001</v>
      </c>
      <c r="D791" s="1" t="s">
        <v>51</v>
      </c>
      <c r="E791" s="1" t="s">
        <v>39</v>
      </c>
      <c r="F791" s="1" t="s">
        <v>305</v>
      </c>
      <c r="G791" s="1">
        <v>0</v>
      </c>
      <c r="H791" s="1" t="s">
        <v>53</v>
      </c>
      <c r="I791" s="1" t="s">
        <v>9350</v>
      </c>
      <c r="J791" s="1" t="s">
        <v>9351</v>
      </c>
      <c r="K791" s="1" t="s">
        <v>9352</v>
      </c>
      <c r="L791" s="1">
        <v>1</v>
      </c>
      <c r="M791" s="1">
        <v>0</v>
      </c>
      <c r="N791" s="1" t="s">
        <v>9353</v>
      </c>
      <c r="O791" s="1" t="s">
        <v>9354</v>
      </c>
      <c r="P791" s="1" t="s">
        <v>9355</v>
      </c>
      <c r="Q791" s="1">
        <v>0</v>
      </c>
      <c r="R791" s="1" t="s">
        <v>9356</v>
      </c>
      <c r="S791" s="1" t="s">
        <v>9357</v>
      </c>
      <c r="U791" s="2">
        <v>56774</v>
      </c>
      <c r="V791" s="1">
        <v>4.4000000000000004</v>
      </c>
      <c r="W791" s="1">
        <v>1500</v>
      </c>
      <c r="X791" s="1">
        <v>2553</v>
      </c>
      <c r="Y791" s="1">
        <v>1098</v>
      </c>
      <c r="Z791" s="1">
        <v>802</v>
      </c>
      <c r="AA791" s="1">
        <v>653</v>
      </c>
      <c r="AB791" s="1">
        <v>0</v>
      </c>
      <c r="AC791" s="1">
        <v>3</v>
      </c>
      <c r="AD791" s="1" t="s">
        <v>62</v>
      </c>
      <c r="AE791" s="1" t="s">
        <v>9358</v>
      </c>
      <c r="AF791" s="1" t="s">
        <v>9359</v>
      </c>
      <c r="AG791" s="1" t="s">
        <v>9360</v>
      </c>
      <c r="AH791" s="1" t="s">
        <v>9361</v>
      </c>
      <c r="AI791" s="1">
        <v>4.5199999999999996</v>
      </c>
      <c r="AJ791" s="1">
        <v>183</v>
      </c>
      <c r="AK791" s="1">
        <v>522</v>
      </c>
    </row>
    <row r="792" spans="1:38" ht="15.75" customHeight="1">
      <c r="A792" s="1">
        <v>135</v>
      </c>
      <c r="C792" s="1">
        <v>4050</v>
      </c>
      <c r="D792" s="1" t="s">
        <v>38</v>
      </c>
      <c r="E792" s="1" t="s">
        <v>39</v>
      </c>
      <c r="F792" s="1" t="s">
        <v>40</v>
      </c>
      <c r="G792" s="1">
        <v>0</v>
      </c>
      <c r="H792" s="1" t="s">
        <v>41</v>
      </c>
      <c r="I792" s="1" t="s">
        <v>9362</v>
      </c>
      <c r="J792" s="1" t="s">
        <v>9363</v>
      </c>
      <c r="K792" s="1" t="s">
        <v>9364</v>
      </c>
      <c r="L792" s="1">
        <v>1</v>
      </c>
      <c r="M792" s="1">
        <v>0</v>
      </c>
      <c r="N792" s="1" t="s">
        <v>9365</v>
      </c>
      <c r="O792" s="1" t="s">
        <v>9366</v>
      </c>
      <c r="P792" s="1" t="s">
        <v>9367</v>
      </c>
      <c r="Q792" s="1">
        <v>0</v>
      </c>
      <c r="R792" s="1" t="s">
        <v>9368</v>
      </c>
      <c r="S792" s="1" t="s">
        <v>9369</v>
      </c>
      <c r="U792" s="2">
        <v>56767</v>
      </c>
      <c r="V792" s="1">
        <v>4.5999999999999996</v>
      </c>
      <c r="W792" s="1">
        <v>1500</v>
      </c>
      <c r="X792" s="1">
        <v>2360</v>
      </c>
      <c r="Y792" s="1">
        <v>268</v>
      </c>
      <c r="Z792" s="1">
        <v>1118</v>
      </c>
      <c r="AA792" s="1">
        <v>974</v>
      </c>
      <c r="AB792" s="1">
        <v>1</v>
      </c>
      <c r="AC792" s="1">
        <v>3</v>
      </c>
      <c r="AE792" s="1" t="s">
        <v>9370</v>
      </c>
      <c r="AF792" s="1" t="s">
        <v>9371</v>
      </c>
      <c r="AG792" s="1" t="s">
        <v>9372</v>
      </c>
      <c r="AH792" s="1" t="s">
        <v>9373</v>
      </c>
      <c r="AI792" s="1">
        <v>4.7</v>
      </c>
      <c r="AJ792" s="1">
        <v>1261</v>
      </c>
      <c r="AK792" s="1">
        <v>3264</v>
      </c>
      <c r="AL792" s="1">
        <v>232</v>
      </c>
    </row>
    <row r="793" spans="1:38" ht="15.75" customHeight="1">
      <c r="A793" s="1">
        <v>191</v>
      </c>
      <c r="C793" s="1">
        <v>4050</v>
      </c>
      <c r="D793" s="1" t="s">
        <v>38</v>
      </c>
      <c r="E793" s="1" t="s">
        <v>39</v>
      </c>
      <c r="F793" s="1" t="s">
        <v>116</v>
      </c>
      <c r="G793" s="1">
        <v>0</v>
      </c>
      <c r="H793" s="1" t="s">
        <v>41</v>
      </c>
      <c r="I793" s="1" t="s">
        <v>9374</v>
      </c>
      <c r="J793" s="1" t="s">
        <v>9375</v>
      </c>
      <c r="K793" s="1" t="s">
        <v>9376</v>
      </c>
      <c r="L793" s="1">
        <v>1</v>
      </c>
      <c r="M793" s="1">
        <v>0</v>
      </c>
      <c r="N793" s="1" t="s">
        <v>9377</v>
      </c>
      <c r="O793" s="1" t="s">
        <v>9378</v>
      </c>
      <c r="P793" s="1" t="s">
        <v>9379</v>
      </c>
      <c r="Q793" s="1">
        <v>0</v>
      </c>
      <c r="R793" s="1" t="s">
        <v>9380</v>
      </c>
      <c r="S793" s="1" t="s">
        <v>9381</v>
      </c>
      <c r="U793" s="2">
        <v>56767</v>
      </c>
      <c r="V793" s="1">
        <v>4.5999999999999996</v>
      </c>
      <c r="W793" s="1">
        <v>1500</v>
      </c>
      <c r="X793" s="1">
        <v>1562</v>
      </c>
      <c r="Y793" s="1">
        <v>810</v>
      </c>
      <c r="Z793" s="1">
        <v>301</v>
      </c>
      <c r="AA793" s="1">
        <v>451</v>
      </c>
      <c r="AB793" s="1">
        <v>0</v>
      </c>
      <c r="AC793" s="1">
        <v>1</v>
      </c>
      <c r="AD793" s="1" t="s">
        <v>76</v>
      </c>
      <c r="AE793" s="1" t="s">
        <v>9382</v>
      </c>
      <c r="AF793" s="1" t="s">
        <v>9383</v>
      </c>
      <c r="AG793" s="1" t="s">
        <v>9384</v>
      </c>
      <c r="AH793" s="1" t="s">
        <v>9385</v>
      </c>
      <c r="AI793" s="1">
        <v>4.8899999999999997</v>
      </c>
      <c r="AJ793" s="1">
        <v>1778</v>
      </c>
      <c r="AK793" s="1">
        <v>5138</v>
      </c>
      <c r="AL793" s="1">
        <v>314</v>
      </c>
    </row>
    <row r="794" spans="1:38" ht="15.75" customHeight="1">
      <c r="A794" s="1">
        <v>892</v>
      </c>
      <c r="B794" s="1">
        <v>5</v>
      </c>
      <c r="C794" s="1">
        <v>4050</v>
      </c>
      <c r="D794" s="1" t="s">
        <v>38</v>
      </c>
      <c r="E794" s="1" t="s">
        <v>39</v>
      </c>
      <c r="F794" s="1" t="s">
        <v>695</v>
      </c>
      <c r="G794" s="1">
        <v>0</v>
      </c>
      <c r="H794" s="1" t="s">
        <v>41</v>
      </c>
      <c r="I794" s="1" t="s">
        <v>9386</v>
      </c>
      <c r="J794" s="1" t="s">
        <v>9387</v>
      </c>
      <c r="K794" s="1" t="s">
        <v>9388</v>
      </c>
      <c r="L794" s="1">
        <v>1</v>
      </c>
      <c r="M794" s="1">
        <v>0</v>
      </c>
      <c r="N794" s="1" t="s">
        <v>9389</v>
      </c>
      <c r="O794" s="1" t="s">
        <v>9390</v>
      </c>
      <c r="P794" s="1" t="s">
        <v>9391</v>
      </c>
      <c r="Q794" s="1">
        <v>0</v>
      </c>
      <c r="R794" s="1" t="s">
        <v>9392</v>
      </c>
      <c r="S794" s="1" t="s">
        <v>9393</v>
      </c>
      <c r="U794" s="2">
        <v>56772</v>
      </c>
      <c r="V794" s="1">
        <v>4.7</v>
      </c>
      <c r="W794" s="1">
        <v>1500</v>
      </c>
      <c r="X794" s="1">
        <v>1878</v>
      </c>
      <c r="Y794" s="1">
        <v>1249</v>
      </c>
      <c r="Z794" s="1">
        <v>7</v>
      </c>
      <c r="AA794" s="1">
        <v>622</v>
      </c>
      <c r="AB794" s="1">
        <v>0</v>
      </c>
      <c r="AC794" s="1">
        <v>1</v>
      </c>
      <c r="AD794" s="1" t="s">
        <v>76</v>
      </c>
      <c r="AE794" s="1" t="s">
        <v>9394</v>
      </c>
      <c r="AF794" s="1" t="s">
        <v>9395</v>
      </c>
      <c r="AG794" s="1" t="s">
        <v>9396</v>
      </c>
      <c r="AH794" s="1" t="s">
        <v>9397</v>
      </c>
      <c r="AI794" s="1">
        <v>4.38</v>
      </c>
      <c r="AJ794" s="1">
        <v>196</v>
      </c>
      <c r="AK794" s="1">
        <v>626</v>
      </c>
    </row>
    <row r="795" spans="1:38" ht="15.75" customHeight="1">
      <c r="A795" s="1">
        <v>1382</v>
      </c>
      <c r="C795" s="1">
        <v>4001</v>
      </c>
      <c r="D795" s="1" t="s">
        <v>51</v>
      </c>
      <c r="E795" s="1" t="s">
        <v>39</v>
      </c>
      <c r="F795" s="1" t="s">
        <v>414</v>
      </c>
      <c r="G795" s="1">
        <v>0</v>
      </c>
      <c r="H795" s="1" t="s">
        <v>53</v>
      </c>
      <c r="I795" s="1" t="s">
        <v>9398</v>
      </c>
      <c r="J795" s="1" t="s">
        <v>9399</v>
      </c>
      <c r="K795" s="1" t="s">
        <v>9400</v>
      </c>
      <c r="L795" s="1">
        <v>1</v>
      </c>
      <c r="M795" s="1">
        <v>0</v>
      </c>
      <c r="N795" s="1" t="s">
        <v>9401</v>
      </c>
      <c r="O795" s="1" t="s">
        <v>9402</v>
      </c>
      <c r="P795" s="1" t="s">
        <v>9403</v>
      </c>
      <c r="Q795" s="1">
        <v>0</v>
      </c>
      <c r="R795" s="1" t="s">
        <v>9404</v>
      </c>
      <c r="U795" s="2">
        <v>56777</v>
      </c>
      <c r="V795" s="1">
        <v>3.9</v>
      </c>
      <c r="W795" s="1">
        <v>1500</v>
      </c>
      <c r="X795" s="1">
        <v>4678</v>
      </c>
      <c r="AA795" s="1">
        <v>1699</v>
      </c>
      <c r="AB795" s="1">
        <v>0</v>
      </c>
      <c r="AC795" s="1">
        <v>3</v>
      </c>
      <c r="AE795" s="1" t="s">
        <v>9405</v>
      </c>
      <c r="AF795" s="1" t="s">
        <v>9406</v>
      </c>
      <c r="AG795" s="1" t="s">
        <v>9407</v>
      </c>
      <c r="AI795" s="1">
        <v>4.58</v>
      </c>
      <c r="AJ795" s="1">
        <v>254</v>
      </c>
      <c r="AK795" s="1">
        <v>788</v>
      </c>
      <c r="AL795" s="1">
        <v>9</v>
      </c>
    </row>
    <row r="796" spans="1:38" ht="15.75" customHeight="1">
      <c r="A796" s="1">
        <v>1426</v>
      </c>
      <c r="B796" s="1">
        <v>5</v>
      </c>
      <c r="C796" s="1">
        <v>4001</v>
      </c>
      <c r="D796" s="1" t="s">
        <v>51</v>
      </c>
      <c r="E796" s="1" t="s">
        <v>39</v>
      </c>
      <c r="F796" s="1" t="s">
        <v>104</v>
      </c>
      <c r="G796" s="1">
        <v>0</v>
      </c>
      <c r="H796" s="1" t="s">
        <v>41</v>
      </c>
      <c r="I796" s="1" t="s">
        <v>9408</v>
      </c>
      <c r="J796" s="1" t="s">
        <v>9409</v>
      </c>
      <c r="K796" s="1" t="s">
        <v>9410</v>
      </c>
      <c r="L796" s="1">
        <v>1</v>
      </c>
      <c r="M796" s="1">
        <v>0</v>
      </c>
      <c r="N796" s="1" t="s">
        <v>9411</v>
      </c>
      <c r="O796" s="1" t="s">
        <v>9412</v>
      </c>
      <c r="P796" s="1" t="s">
        <v>9413</v>
      </c>
      <c r="Q796" s="1">
        <v>0</v>
      </c>
      <c r="R796" s="1" t="s">
        <v>9414</v>
      </c>
      <c r="S796" s="1" t="s">
        <v>9415</v>
      </c>
      <c r="U796" s="2">
        <v>56777</v>
      </c>
      <c r="V796" s="1">
        <v>4.5</v>
      </c>
      <c r="W796" s="1">
        <v>1500</v>
      </c>
      <c r="X796" s="1">
        <v>2111</v>
      </c>
      <c r="Y796" s="1">
        <v>1609</v>
      </c>
      <c r="Z796" s="1">
        <v>189</v>
      </c>
      <c r="AA796" s="1">
        <v>313</v>
      </c>
      <c r="AB796" s="1">
        <v>0</v>
      </c>
      <c r="AC796" s="1">
        <v>1</v>
      </c>
      <c r="AD796" s="1" t="s">
        <v>76</v>
      </c>
      <c r="AE796" s="1" t="s">
        <v>9416</v>
      </c>
      <c r="AF796" s="1" t="s">
        <v>9417</v>
      </c>
      <c r="AG796" s="1" t="s">
        <v>9418</v>
      </c>
      <c r="AH796" s="1" t="s">
        <v>9419</v>
      </c>
      <c r="AI796" s="1">
        <v>4.5199999999999996</v>
      </c>
      <c r="AJ796" s="1">
        <v>269</v>
      </c>
      <c r="AK796" s="1">
        <v>895</v>
      </c>
      <c r="AL796" s="1">
        <v>23</v>
      </c>
    </row>
    <row r="797" spans="1:38" ht="15.75" customHeight="1">
      <c r="A797" s="1">
        <v>293</v>
      </c>
      <c r="B797" s="1">
        <v>5</v>
      </c>
      <c r="C797" s="1">
        <v>4050</v>
      </c>
      <c r="D797" s="1" t="s">
        <v>38</v>
      </c>
      <c r="E797" s="1" t="s">
        <v>39</v>
      </c>
      <c r="F797" s="1" t="s">
        <v>220</v>
      </c>
      <c r="G797" s="1">
        <v>0</v>
      </c>
      <c r="H797" s="1" t="s">
        <v>41</v>
      </c>
      <c r="I797" s="1" t="s">
        <v>9420</v>
      </c>
      <c r="J797" s="1" t="s">
        <v>9421</v>
      </c>
      <c r="K797" s="1" t="s">
        <v>9422</v>
      </c>
      <c r="L797" s="1">
        <v>1</v>
      </c>
      <c r="M797" s="1">
        <v>0</v>
      </c>
      <c r="N797" s="1" t="s">
        <v>9423</v>
      </c>
      <c r="O797" s="1" t="s">
        <v>9424</v>
      </c>
      <c r="P797" s="1" t="s">
        <v>9425</v>
      </c>
      <c r="Q797" s="1">
        <v>0</v>
      </c>
      <c r="R797" s="1" t="s">
        <v>9426</v>
      </c>
      <c r="S797" s="1" t="s">
        <v>9427</v>
      </c>
      <c r="U797" s="2">
        <v>56768</v>
      </c>
      <c r="V797" s="1">
        <v>4.7</v>
      </c>
      <c r="W797" s="1">
        <v>1500</v>
      </c>
      <c r="X797" s="1">
        <v>2902</v>
      </c>
      <c r="Y797" s="1">
        <v>741</v>
      </c>
      <c r="Z797" s="1">
        <v>603</v>
      </c>
      <c r="AA797" s="1">
        <v>1558</v>
      </c>
      <c r="AB797" s="1">
        <v>0</v>
      </c>
      <c r="AC797" s="1">
        <v>2</v>
      </c>
      <c r="AD797" s="1" t="s">
        <v>62</v>
      </c>
      <c r="AE797" s="1" t="s">
        <v>9428</v>
      </c>
      <c r="AF797" s="1" t="s">
        <v>9429</v>
      </c>
      <c r="AG797" s="1" t="s">
        <v>9430</v>
      </c>
      <c r="AH797" s="1" t="s">
        <v>9431</v>
      </c>
      <c r="AI797" s="1">
        <v>4.42</v>
      </c>
      <c r="AJ797" s="1">
        <v>1396</v>
      </c>
      <c r="AK797" s="1">
        <v>4836</v>
      </c>
      <c r="AL797" s="1">
        <v>1278</v>
      </c>
    </row>
    <row r="798" spans="1:38" ht="15.75" customHeight="1">
      <c r="A798" s="1">
        <v>727</v>
      </c>
      <c r="B798" s="1">
        <v>5</v>
      </c>
      <c r="C798" s="1">
        <v>4050</v>
      </c>
      <c r="D798" s="1" t="s">
        <v>38</v>
      </c>
      <c r="E798" s="1" t="s">
        <v>39</v>
      </c>
      <c r="F798" s="1" t="s">
        <v>1348</v>
      </c>
      <c r="G798" s="1">
        <v>0</v>
      </c>
      <c r="H798" s="1" t="s">
        <v>41</v>
      </c>
      <c r="I798" s="1" t="s">
        <v>9432</v>
      </c>
      <c r="J798" s="1" t="s">
        <v>9433</v>
      </c>
      <c r="K798" s="1" t="s">
        <v>9434</v>
      </c>
      <c r="L798" s="1">
        <v>1</v>
      </c>
      <c r="M798" s="1">
        <v>0</v>
      </c>
      <c r="N798" s="1" t="s">
        <v>9435</v>
      </c>
      <c r="O798" s="1" t="s">
        <v>9436</v>
      </c>
      <c r="P798" s="1" t="s">
        <v>9437</v>
      </c>
      <c r="Q798" s="1">
        <v>0</v>
      </c>
      <c r="R798" s="1" t="s">
        <v>9438</v>
      </c>
      <c r="S798" s="1" t="s">
        <v>9439</v>
      </c>
      <c r="U798" s="2">
        <v>56771</v>
      </c>
      <c r="V798" s="1">
        <v>4</v>
      </c>
      <c r="W798" s="1">
        <v>1500</v>
      </c>
      <c r="X798" s="1">
        <v>1775</v>
      </c>
      <c r="Y798" s="1">
        <v>487</v>
      </c>
      <c r="Z798" s="1">
        <v>437</v>
      </c>
      <c r="AA798" s="1">
        <v>851</v>
      </c>
      <c r="AB798" s="1">
        <v>0</v>
      </c>
      <c r="AC798" s="1">
        <v>2</v>
      </c>
      <c r="AD798" s="1" t="s">
        <v>215</v>
      </c>
      <c r="AE798" s="1" t="s">
        <v>9440</v>
      </c>
      <c r="AF798" s="1" t="s">
        <v>9441</v>
      </c>
      <c r="AG798" s="1" t="s">
        <v>9442</v>
      </c>
      <c r="AH798" s="1" t="s">
        <v>9443</v>
      </c>
      <c r="AI798" s="1">
        <v>4.79</v>
      </c>
      <c r="AJ798" s="1">
        <v>1007</v>
      </c>
      <c r="AK798" s="1">
        <v>2899</v>
      </c>
      <c r="AL798" s="1">
        <v>1301</v>
      </c>
    </row>
    <row r="799" spans="1:38" ht="15.75" customHeight="1">
      <c r="A799" s="1">
        <v>732</v>
      </c>
      <c r="B799" s="1">
        <v>5</v>
      </c>
      <c r="C799" s="1">
        <v>4050</v>
      </c>
      <c r="D799" s="1" t="s">
        <v>38</v>
      </c>
      <c r="E799" s="1" t="s">
        <v>39</v>
      </c>
      <c r="F799" s="1" t="s">
        <v>695</v>
      </c>
      <c r="G799" s="1">
        <v>0</v>
      </c>
      <c r="H799" s="1" t="s">
        <v>41</v>
      </c>
      <c r="I799" s="1" t="s">
        <v>9444</v>
      </c>
      <c r="J799" s="1" t="s">
        <v>9445</v>
      </c>
      <c r="K799" s="1" t="s">
        <v>9446</v>
      </c>
      <c r="L799" s="1">
        <v>1</v>
      </c>
      <c r="M799" s="1">
        <v>0</v>
      </c>
      <c r="N799" s="1" t="s">
        <v>9447</v>
      </c>
      <c r="O799" s="1" t="s">
        <v>9448</v>
      </c>
      <c r="P799" s="1" t="s">
        <v>9449</v>
      </c>
      <c r="Q799" s="1">
        <v>0</v>
      </c>
      <c r="R799" s="1" t="s">
        <v>9450</v>
      </c>
      <c r="S799" s="1" t="s">
        <v>9451</v>
      </c>
      <c r="U799" s="2">
        <v>56771</v>
      </c>
      <c r="V799" s="1">
        <v>4.7</v>
      </c>
      <c r="W799" s="1">
        <v>1500</v>
      </c>
      <c r="X799" s="1">
        <v>3387</v>
      </c>
      <c r="Y799" s="1">
        <v>1858</v>
      </c>
      <c r="Z799" s="1">
        <v>608</v>
      </c>
      <c r="AA799" s="1">
        <v>921</v>
      </c>
      <c r="AB799" s="1">
        <v>0</v>
      </c>
      <c r="AC799" s="1">
        <v>2</v>
      </c>
      <c r="AD799" s="1" t="s">
        <v>76</v>
      </c>
      <c r="AE799" s="1" t="s">
        <v>9452</v>
      </c>
      <c r="AF799" s="1" t="s">
        <v>9453</v>
      </c>
      <c r="AG799" s="1" t="s">
        <v>9454</v>
      </c>
      <c r="AH799" s="1" t="s">
        <v>9455</v>
      </c>
      <c r="AI799" s="1">
        <v>4.38</v>
      </c>
      <c r="AJ799" s="1">
        <v>196</v>
      </c>
      <c r="AK799" s="1">
        <v>626</v>
      </c>
    </row>
    <row r="800" spans="1:38" ht="15.75" customHeight="1">
      <c r="A800" s="1">
        <v>610</v>
      </c>
      <c r="B800" s="1">
        <v>5</v>
      </c>
      <c r="C800" s="1">
        <v>4050</v>
      </c>
      <c r="D800" s="1" t="s">
        <v>38</v>
      </c>
      <c r="E800" s="1" t="s">
        <v>39</v>
      </c>
      <c r="F800" s="1" t="s">
        <v>280</v>
      </c>
      <c r="G800" s="1">
        <v>0</v>
      </c>
      <c r="H800" s="1" t="s">
        <v>41</v>
      </c>
      <c r="I800" s="1" t="s">
        <v>9456</v>
      </c>
      <c r="J800" s="1" t="s">
        <v>9457</v>
      </c>
      <c r="K800" s="1" t="s">
        <v>9458</v>
      </c>
      <c r="L800" s="1">
        <v>1</v>
      </c>
      <c r="M800" s="1">
        <v>0</v>
      </c>
      <c r="N800" s="1" t="s">
        <v>9459</v>
      </c>
      <c r="O800" s="1" t="s">
        <v>9460</v>
      </c>
      <c r="P800" s="1" t="s">
        <v>9461</v>
      </c>
      <c r="Q800" s="1">
        <v>0</v>
      </c>
      <c r="R800" s="1" t="s">
        <v>9462</v>
      </c>
      <c r="S800" s="1" t="s">
        <v>9463</v>
      </c>
      <c r="U800" s="2">
        <v>56770</v>
      </c>
      <c r="V800" s="1">
        <v>4.5999999999999996</v>
      </c>
      <c r="W800" s="1">
        <v>1500</v>
      </c>
      <c r="X800" s="1">
        <v>2153</v>
      </c>
      <c r="Y800" s="1">
        <v>943</v>
      </c>
      <c r="Z800" s="1">
        <v>35</v>
      </c>
      <c r="AA800" s="1">
        <v>1175</v>
      </c>
      <c r="AB800" s="1">
        <v>0</v>
      </c>
      <c r="AC800" s="1">
        <v>2</v>
      </c>
      <c r="AD800" s="1" t="s">
        <v>76</v>
      </c>
      <c r="AE800" s="1" t="s">
        <v>9464</v>
      </c>
      <c r="AF800" s="1" t="s">
        <v>9465</v>
      </c>
      <c r="AG800" s="1" t="s">
        <v>9466</v>
      </c>
      <c r="AH800" s="1" t="s">
        <v>9467</v>
      </c>
      <c r="AI800" s="1">
        <v>4.49</v>
      </c>
      <c r="AJ800" s="1">
        <v>2315</v>
      </c>
      <c r="AK800" s="1">
        <v>7039</v>
      </c>
      <c r="AL800" s="1">
        <v>763</v>
      </c>
    </row>
    <row r="801" spans="1:38" ht="15.75" customHeight="1">
      <c r="A801" s="1">
        <v>690</v>
      </c>
      <c r="C801" s="1">
        <v>4001</v>
      </c>
      <c r="D801" s="1" t="s">
        <v>51</v>
      </c>
      <c r="E801" s="1" t="s">
        <v>39</v>
      </c>
      <c r="F801" s="1" t="s">
        <v>341</v>
      </c>
      <c r="G801" s="1">
        <v>0</v>
      </c>
      <c r="H801" s="1" t="s">
        <v>41</v>
      </c>
      <c r="I801" s="1" t="s">
        <v>9468</v>
      </c>
      <c r="J801" s="1" t="s">
        <v>9469</v>
      </c>
      <c r="K801" s="1" t="s">
        <v>9470</v>
      </c>
      <c r="L801" s="1">
        <v>1</v>
      </c>
      <c r="M801" s="1">
        <v>0</v>
      </c>
      <c r="N801" s="1" t="s">
        <v>9471</v>
      </c>
      <c r="O801" s="1" t="s">
        <v>9472</v>
      </c>
      <c r="P801" s="1" t="s">
        <v>9473</v>
      </c>
      <c r="Q801" s="1">
        <v>0</v>
      </c>
      <c r="R801" s="1" t="s">
        <v>9474</v>
      </c>
      <c r="S801" s="1" t="s">
        <v>9475</v>
      </c>
      <c r="U801" s="2">
        <v>56770</v>
      </c>
      <c r="V801" s="1">
        <v>4.2</v>
      </c>
      <c r="W801" s="1">
        <v>1500</v>
      </c>
      <c r="X801" s="1">
        <v>2040</v>
      </c>
      <c r="Y801" s="1">
        <v>754</v>
      </c>
      <c r="Z801" s="1">
        <v>911</v>
      </c>
      <c r="AA801" s="1">
        <v>375</v>
      </c>
      <c r="AB801" s="1">
        <v>1</v>
      </c>
      <c r="AC801" s="1">
        <v>4</v>
      </c>
      <c r="AE801" s="1" t="s">
        <v>9476</v>
      </c>
      <c r="AF801" s="1" t="s">
        <v>9477</v>
      </c>
      <c r="AG801" s="1" t="s">
        <v>9478</v>
      </c>
      <c r="AH801" s="1" t="s">
        <v>9479</v>
      </c>
      <c r="AI801" s="1">
        <v>4.54</v>
      </c>
      <c r="AJ801" s="1">
        <v>2229</v>
      </c>
      <c r="AK801" s="1">
        <v>6580</v>
      </c>
    </row>
    <row r="802" spans="1:38" ht="15.75" customHeight="1">
      <c r="A802" s="1">
        <v>921</v>
      </c>
      <c r="B802" s="1">
        <v>5</v>
      </c>
      <c r="C802" s="1">
        <v>4001</v>
      </c>
      <c r="D802" s="1" t="s">
        <v>51</v>
      </c>
      <c r="E802" s="1" t="s">
        <v>39</v>
      </c>
      <c r="F802" s="1" t="s">
        <v>414</v>
      </c>
      <c r="G802" s="1">
        <v>0</v>
      </c>
      <c r="H802" s="1" t="s">
        <v>53</v>
      </c>
      <c r="I802" s="1" t="s">
        <v>9480</v>
      </c>
      <c r="J802" s="1" t="s">
        <v>4419</v>
      </c>
      <c r="K802" s="1" t="s">
        <v>4419</v>
      </c>
      <c r="L802" s="1">
        <v>0</v>
      </c>
      <c r="M802" s="1">
        <v>0</v>
      </c>
      <c r="N802" s="1" t="s">
        <v>9481</v>
      </c>
      <c r="O802" s="1" t="s">
        <v>9482</v>
      </c>
      <c r="P802" s="1" t="s">
        <v>9483</v>
      </c>
      <c r="Q802" s="1">
        <v>0</v>
      </c>
      <c r="R802" s="1" t="s">
        <v>9484</v>
      </c>
      <c r="S802" s="1" t="s">
        <v>9485</v>
      </c>
      <c r="U802" s="2">
        <v>56773</v>
      </c>
      <c r="V802" s="1">
        <v>3.8851878630000001</v>
      </c>
      <c r="W802" s="1">
        <v>1500</v>
      </c>
      <c r="X802" s="1">
        <v>1686</v>
      </c>
      <c r="Y802" s="1">
        <v>758</v>
      </c>
      <c r="Z802" s="1">
        <v>316</v>
      </c>
      <c r="AA802" s="1">
        <v>612</v>
      </c>
      <c r="AB802" s="1">
        <v>1</v>
      </c>
      <c r="AC802" s="1">
        <v>3</v>
      </c>
      <c r="AE802" s="1" t="s">
        <v>9486</v>
      </c>
      <c r="AF802" s="1" t="s">
        <v>9487</v>
      </c>
      <c r="AG802" s="1" t="s">
        <v>9488</v>
      </c>
      <c r="AH802" s="1" t="s">
        <v>9489</v>
      </c>
      <c r="AI802" s="1">
        <v>4.58</v>
      </c>
      <c r="AJ802" s="1">
        <v>254</v>
      </c>
      <c r="AK802" s="1">
        <v>788</v>
      </c>
      <c r="AL802" s="1">
        <v>9</v>
      </c>
    </row>
    <row r="803" spans="1:38" ht="15.75" customHeight="1">
      <c r="A803" s="1">
        <v>28</v>
      </c>
      <c r="C803" s="1">
        <v>4050</v>
      </c>
      <c r="D803" s="1" t="s">
        <v>38</v>
      </c>
      <c r="E803" s="1" t="s">
        <v>39</v>
      </c>
      <c r="F803" s="1" t="s">
        <v>40</v>
      </c>
      <c r="G803" s="1">
        <v>0</v>
      </c>
      <c r="H803" s="1" t="s">
        <v>41</v>
      </c>
      <c r="I803" s="1" t="s">
        <v>9490</v>
      </c>
      <c r="J803" s="1" t="s">
        <v>9491</v>
      </c>
      <c r="K803" s="1" t="s">
        <v>9492</v>
      </c>
      <c r="L803" s="1">
        <v>1</v>
      </c>
      <c r="M803" s="1">
        <v>0</v>
      </c>
      <c r="N803" s="1" t="s">
        <v>9493</v>
      </c>
      <c r="O803" s="1" t="s">
        <v>9494</v>
      </c>
      <c r="P803" s="1" t="s">
        <v>9495</v>
      </c>
      <c r="Q803" s="1">
        <v>1</v>
      </c>
      <c r="R803" s="1" t="s">
        <v>9496</v>
      </c>
      <c r="S803" s="1" t="s">
        <v>9497</v>
      </c>
      <c r="U803" s="2">
        <v>56766</v>
      </c>
      <c r="V803" s="1">
        <v>2.5467935320000001</v>
      </c>
      <c r="W803" s="1">
        <v>1500</v>
      </c>
      <c r="X803" s="1">
        <v>1477</v>
      </c>
      <c r="Y803" s="1">
        <v>475</v>
      </c>
      <c r="Z803" s="1">
        <v>120</v>
      </c>
      <c r="AA803" s="1">
        <v>882</v>
      </c>
      <c r="AB803" s="1">
        <v>0</v>
      </c>
      <c r="AC803" s="1">
        <v>1</v>
      </c>
      <c r="AD803" s="1" t="s">
        <v>76</v>
      </c>
      <c r="AE803" s="1" t="s">
        <v>9498</v>
      </c>
      <c r="AF803" s="1" t="s">
        <v>9499</v>
      </c>
      <c r="AG803" s="1" t="s">
        <v>9500</v>
      </c>
      <c r="AH803" s="1" t="s">
        <v>9501</v>
      </c>
      <c r="AI803" s="1">
        <v>4.7</v>
      </c>
      <c r="AJ803" s="1">
        <v>1261</v>
      </c>
      <c r="AK803" s="1">
        <v>3264</v>
      </c>
      <c r="AL803" s="1">
        <v>232</v>
      </c>
    </row>
    <row r="804" spans="1:38" ht="15.75" customHeight="1">
      <c r="A804" s="1">
        <v>403</v>
      </c>
      <c r="B804" s="1">
        <v>5</v>
      </c>
      <c r="C804" s="1">
        <v>4050</v>
      </c>
      <c r="D804" s="1" t="s">
        <v>38</v>
      </c>
      <c r="E804" s="1" t="s">
        <v>39</v>
      </c>
      <c r="F804" s="1" t="s">
        <v>510</v>
      </c>
      <c r="G804" s="1">
        <v>0</v>
      </c>
      <c r="H804" s="1" t="s">
        <v>41</v>
      </c>
      <c r="I804" s="1" t="s">
        <v>9502</v>
      </c>
      <c r="J804" s="1" t="s">
        <v>1434</v>
      </c>
      <c r="K804" s="1" t="s">
        <v>1434</v>
      </c>
      <c r="L804" s="1">
        <v>0</v>
      </c>
      <c r="M804" s="1">
        <v>0</v>
      </c>
      <c r="N804" s="1" t="s">
        <v>9503</v>
      </c>
      <c r="O804" s="1" t="s">
        <v>9504</v>
      </c>
      <c r="P804" s="1" t="s">
        <v>9505</v>
      </c>
      <c r="Q804" s="1">
        <v>0</v>
      </c>
      <c r="R804" s="1" t="s">
        <v>9506</v>
      </c>
      <c r="S804" s="1" t="s">
        <v>9507</v>
      </c>
      <c r="U804" s="2">
        <v>56769</v>
      </c>
      <c r="V804" s="1">
        <v>3.0894022720000001</v>
      </c>
      <c r="W804" s="1">
        <v>1500</v>
      </c>
      <c r="X804" s="1">
        <v>2292</v>
      </c>
      <c r="Y804" s="1">
        <v>575</v>
      </c>
      <c r="Z804" s="1">
        <v>824</v>
      </c>
      <c r="AA804" s="1">
        <v>893</v>
      </c>
      <c r="AB804" s="1">
        <v>0</v>
      </c>
      <c r="AC804" s="1">
        <v>2</v>
      </c>
      <c r="AD804" s="1" t="s">
        <v>62</v>
      </c>
      <c r="AE804" s="1" t="s">
        <v>9508</v>
      </c>
      <c r="AF804" s="1" t="s">
        <v>9509</v>
      </c>
      <c r="AG804" s="1" t="s">
        <v>9510</v>
      </c>
      <c r="AH804" s="1" t="s">
        <v>9511</v>
      </c>
      <c r="AI804" s="1">
        <v>4.62</v>
      </c>
      <c r="AJ804" s="1">
        <v>259</v>
      </c>
      <c r="AK804" s="1">
        <v>604</v>
      </c>
      <c r="AL804" s="1">
        <v>21</v>
      </c>
    </row>
    <row r="805" spans="1:38" ht="15.75" customHeight="1">
      <c r="A805" s="1">
        <v>1353</v>
      </c>
      <c r="B805" s="1">
        <v>5</v>
      </c>
      <c r="C805" s="1">
        <v>4001</v>
      </c>
      <c r="D805" s="1" t="s">
        <v>51</v>
      </c>
      <c r="E805" s="1" t="s">
        <v>39</v>
      </c>
      <c r="F805" s="1" t="s">
        <v>414</v>
      </c>
      <c r="G805" s="1">
        <v>0</v>
      </c>
      <c r="H805" s="1" t="s">
        <v>53</v>
      </c>
      <c r="I805" s="1" t="s">
        <v>9512</v>
      </c>
      <c r="J805" s="1" t="s">
        <v>9513</v>
      </c>
      <c r="K805" s="1" t="s">
        <v>9514</v>
      </c>
      <c r="L805" s="1">
        <v>1</v>
      </c>
      <c r="M805" s="1">
        <v>0</v>
      </c>
      <c r="N805" s="1" t="s">
        <v>9515</v>
      </c>
      <c r="O805" s="1" t="s">
        <v>9516</v>
      </c>
      <c r="P805" s="1" t="s">
        <v>9517</v>
      </c>
      <c r="Q805" s="1">
        <v>0</v>
      </c>
      <c r="R805" s="1" t="s">
        <v>9518</v>
      </c>
      <c r="S805" s="1" t="s">
        <v>9519</v>
      </c>
      <c r="U805" s="2">
        <v>56776</v>
      </c>
      <c r="V805" s="1">
        <v>4.3</v>
      </c>
      <c r="W805" s="1">
        <v>1500</v>
      </c>
      <c r="X805" s="1">
        <v>3253</v>
      </c>
      <c r="Y805" s="1">
        <v>154</v>
      </c>
      <c r="Z805" s="1">
        <v>2134</v>
      </c>
      <c r="AA805" s="1">
        <v>965</v>
      </c>
      <c r="AB805" s="1">
        <v>1</v>
      </c>
      <c r="AC805" s="1">
        <v>3</v>
      </c>
      <c r="AE805" s="1" t="s">
        <v>9520</v>
      </c>
      <c r="AF805" s="1" t="s">
        <v>9521</v>
      </c>
      <c r="AG805" s="1" t="s">
        <v>9522</v>
      </c>
      <c r="AH805" s="1" t="s">
        <v>9523</v>
      </c>
      <c r="AI805" s="1">
        <v>4.58</v>
      </c>
      <c r="AJ805" s="1">
        <v>254</v>
      </c>
      <c r="AK805" s="1">
        <v>788</v>
      </c>
      <c r="AL805" s="1">
        <v>9</v>
      </c>
    </row>
    <row r="806" spans="1:38" ht="15.75" customHeight="1">
      <c r="A806" s="1">
        <v>804</v>
      </c>
      <c r="B806" s="1">
        <v>5</v>
      </c>
      <c r="C806" s="1">
        <v>4050</v>
      </c>
      <c r="D806" s="1" t="s">
        <v>38</v>
      </c>
      <c r="E806" s="1" t="s">
        <v>39</v>
      </c>
      <c r="F806" s="1" t="s">
        <v>5675</v>
      </c>
      <c r="G806" s="1">
        <v>0</v>
      </c>
      <c r="H806" s="1" t="s">
        <v>41</v>
      </c>
      <c r="I806" s="1" t="s">
        <v>9524</v>
      </c>
      <c r="J806" s="1" t="s">
        <v>9525</v>
      </c>
      <c r="K806" s="1" t="s">
        <v>9526</v>
      </c>
      <c r="L806" s="1">
        <v>1</v>
      </c>
      <c r="M806" s="1">
        <v>0</v>
      </c>
      <c r="N806" s="1" t="s">
        <v>9527</v>
      </c>
      <c r="O806" s="1" t="s">
        <v>9528</v>
      </c>
      <c r="P806" s="1" t="s">
        <v>9529</v>
      </c>
      <c r="Q806" s="1">
        <v>0</v>
      </c>
      <c r="R806" s="1" t="s">
        <v>9530</v>
      </c>
      <c r="S806" s="1" t="s">
        <v>9531</v>
      </c>
      <c r="U806" s="2">
        <v>56771</v>
      </c>
      <c r="V806" s="1">
        <v>4.7</v>
      </c>
      <c r="W806" s="1">
        <v>1500</v>
      </c>
      <c r="X806" s="1">
        <v>1621</v>
      </c>
      <c r="Y806" s="1">
        <v>708</v>
      </c>
      <c r="Z806" s="1">
        <v>317</v>
      </c>
      <c r="AA806" s="1">
        <v>596</v>
      </c>
      <c r="AB806" s="1">
        <v>0</v>
      </c>
      <c r="AC806" s="1">
        <v>2</v>
      </c>
      <c r="AD806" s="1" t="s">
        <v>215</v>
      </c>
      <c r="AE806" s="1" t="s">
        <v>9532</v>
      </c>
      <c r="AF806" s="1" t="s">
        <v>9533</v>
      </c>
      <c r="AG806" s="1" t="s">
        <v>9534</v>
      </c>
      <c r="AH806" s="1" t="s">
        <v>9535</v>
      </c>
      <c r="AI806" s="1">
        <v>4.79</v>
      </c>
      <c r="AJ806" s="1">
        <v>213</v>
      </c>
      <c r="AK806" s="1">
        <v>611</v>
      </c>
      <c r="AL806" s="1">
        <v>122</v>
      </c>
    </row>
    <row r="807" spans="1:38" ht="15.75" customHeight="1">
      <c r="A807" s="1">
        <v>204</v>
      </c>
      <c r="C807" s="1">
        <v>4001</v>
      </c>
      <c r="D807" s="1" t="s">
        <v>51</v>
      </c>
      <c r="E807" s="1" t="s">
        <v>39</v>
      </c>
      <c r="F807" s="1" t="s">
        <v>52</v>
      </c>
      <c r="G807" s="1">
        <v>0</v>
      </c>
      <c r="H807" s="1" t="s">
        <v>53</v>
      </c>
      <c r="I807" s="1" t="s">
        <v>9536</v>
      </c>
      <c r="J807" s="1" t="s">
        <v>9537</v>
      </c>
      <c r="K807" s="1" t="s">
        <v>9538</v>
      </c>
      <c r="L807" s="1">
        <v>1</v>
      </c>
      <c r="M807" s="1">
        <v>0</v>
      </c>
      <c r="N807" s="1" t="s">
        <v>9539</v>
      </c>
      <c r="O807" s="1" t="s">
        <v>9540</v>
      </c>
      <c r="P807" s="1" t="s">
        <v>9541</v>
      </c>
      <c r="Q807" s="1">
        <v>0</v>
      </c>
      <c r="R807" s="1" t="s">
        <v>9542</v>
      </c>
      <c r="S807" s="1" t="s">
        <v>9543</v>
      </c>
      <c r="U807" s="2">
        <v>56767</v>
      </c>
      <c r="V807" s="1">
        <v>4.4000000000000004</v>
      </c>
      <c r="W807" s="1">
        <v>1500</v>
      </c>
      <c r="X807" s="1">
        <v>1960</v>
      </c>
      <c r="Y807" s="1">
        <v>867</v>
      </c>
      <c r="Z807" s="1">
        <v>120</v>
      </c>
      <c r="AA807" s="1">
        <v>973</v>
      </c>
      <c r="AB807" s="1">
        <v>0</v>
      </c>
      <c r="AC807" s="1">
        <v>2</v>
      </c>
      <c r="AD807" s="1" t="s">
        <v>76</v>
      </c>
      <c r="AE807" s="1" t="s">
        <v>9544</v>
      </c>
      <c r="AF807" s="1" t="s">
        <v>9545</v>
      </c>
      <c r="AG807" s="1" t="s">
        <v>9546</v>
      </c>
      <c r="AH807" s="1" t="s">
        <v>9547</v>
      </c>
      <c r="AI807" s="1">
        <v>4.17</v>
      </c>
      <c r="AJ807" s="1">
        <v>457</v>
      </c>
      <c r="AK807" s="1">
        <v>1599</v>
      </c>
    </row>
    <row r="808" spans="1:38" ht="15.75" customHeight="1">
      <c r="A808" s="1">
        <v>307</v>
      </c>
      <c r="B808" s="1">
        <v>4</v>
      </c>
      <c r="C808" s="1">
        <v>4050</v>
      </c>
      <c r="D808" s="1" t="s">
        <v>38</v>
      </c>
      <c r="E808" s="1" t="s">
        <v>39</v>
      </c>
      <c r="F808" s="1" t="s">
        <v>486</v>
      </c>
      <c r="G808" s="1">
        <v>0</v>
      </c>
      <c r="H808" s="1" t="s">
        <v>41</v>
      </c>
      <c r="I808" s="1" t="s">
        <v>9548</v>
      </c>
      <c r="J808" s="1" t="s">
        <v>9549</v>
      </c>
      <c r="K808" s="1" t="s">
        <v>9550</v>
      </c>
      <c r="L808" s="1">
        <v>1</v>
      </c>
      <c r="M808" s="1">
        <v>0</v>
      </c>
      <c r="N808" s="1" t="s">
        <v>9551</v>
      </c>
      <c r="O808" s="1" t="s">
        <v>9552</v>
      </c>
      <c r="P808" s="1" t="s">
        <v>9553</v>
      </c>
      <c r="Q808" s="1">
        <v>0</v>
      </c>
      <c r="R808" s="1" t="s">
        <v>9554</v>
      </c>
      <c r="S808" s="1" t="s">
        <v>9555</v>
      </c>
      <c r="U808" s="2">
        <v>56768</v>
      </c>
      <c r="V808" s="1">
        <v>4.5</v>
      </c>
      <c r="W808" s="1">
        <v>1500</v>
      </c>
      <c r="X808" s="1">
        <v>2480</v>
      </c>
      <c r="Y808" s="1">
        <v>1065</v>
      </c>
      <c r="Z808" s="1">
        <v>153</v>
      </c>
      <c r="AA808" s="1">
        <v>1262</v>
      </c>
      <c r="AB808" s="1">
        <v>0</v>
      </c>
      <c r="AC808" s="1">
        <v>1</v>
      </c>
      <c r="AD808" s="1" t="s">
        <v>215</v>
      </c>
      <c r="AE808" s="1" t="s">
        <v>9556</v>
      </c>
      <c r="AF808" s="1" t="s">
        <v>9557</v>
      </c>
      <c r="AG808" s="1" t="s">
        <v>9558</v>
      </c>
      <c r="AH808" s="1" t="s">
        <v>9559</v>
      </c>
      <c r="AI808" s="1">
        <v>4.7</v>
      </c>
      <c r="AJ808" s="1">
        <v>212</v>
      </c>
      <c r="AK808" s="1">
        <v>624</v>
      </c>
      <c r="AL808" s="1">
        <v>347</v>
      </c>
    </row>
    <row r="809" spans="1:38" ht="15.75" customHeight="1">
      <c r="A809" s="1">
        <v>338</v>
      </c>
      <c r="C809" s="1">
        <v>4050</v>
      </c>
      <c r="D809" s="1" t="s">
        <v>38</v>
      </c>
      <c r="E809" s="1" t="s">
        <v>39</v>
      </c>
      <c r="F809" s="1" t="s">
        <v>486</v>
      </c>
      <c r="G809" s="1">
        <v>0</v>
      </c>
      <c r="H809" s="1" t="s">
        <v>41</v>
      </c>
      <c r="I809" s="1" t="s">
        <v>9560</v>
      </c>
      <c r="J809" s="1" t="s">
        <v>9561</v>
      </c>
      <c r="K809" s="1" t="s">
        <v>9562</v>
      </c>
      <c r="L809" s="1">
        <v>1</v>
      </c>
      <c r="M809" s="1">
        <v>0</v>
      </c>
      <c r="N809" s="1" t="s">
        <v>9563</v>
      </c>
      <c r="O809" s="1" t="s">
        <v>9564</v>
      </c>
      <c r="P809" s="1" t="s">
        <v>9565</v>
      </c>
      <c r="Q809" s="1">
        <v>0</v>
      </c>
      <c r="R809" s="1" t="s">
        <v>9566</v>
      </c>
      <c r="S809" s="1" t="s">
        <v>9567</v>
      </c>
      <c r="U809" s="2">
        <v>56768</v>
      </c>
      <c r="V809" s="1">
        <v>4.5</v>
      </c>
      <c r="W809" s="1">
        <v>1500</v>
      </c>
      <c r="X809" s="1">
        <v>2316</v>
      </c>
      <c r="Y809" s="1">
        <v>875</v>
      </c>
      <c r="Z809" s="1">
        <v>893</v>
      </c>
      <c r="AA809" s="1">
        <v>548</v>
      </c>
      <c r="AB809" s="1">
        <v>0</v>
      </c>
      <c r="AC809" s="1">
        <v>2</v>
      </c>
      <c r="AD809" s="1" t="s">
        <v>62</v>
      </c>
      <c r="AE809" s="1" t="s">
        <v>9568</v>
      </c>
      <c r="AF809" s="1" t="s">
        <v>9569</v>
      </c>
      <c r="AG809" s="1" t="s">
        <v>9570</v>
      </c>
      <c r="AH809" s="1" t="s">
        <v>9571</v>
      </c>
      <c r="AI809" s="1">
        <v>4.7</v>
      </c>
      <c r="AJ809" s="1">
        <v>212</v>
      </c>
      <c r="AK809" s="1">
        <v>624</v>
      </c>
      <c r="AL809" s="1">
        <v>347</v>
      </c>
    </row>
    <row r="810" spans="1:38" ht="15.75" customHeight="1">
      <c r="A810" s="1">
        <v>656</v>
      </c>
      <c r="C810" s="1">
        <v>4001</v>
      </c>
      <c r="D810" s="1" t="s">
        <v>51</v>
      </c>
      <c r="E810" s="1" t="s">
        <v>39</v>
      </c>
      <c r="F810" s="1" t="s">
        <v>341</v>
      </c>
      <c r="G810" s="1">
        <v>0</v>
      </c>
      <c r="H810" s="1" t="s">
        <v>41</v>
      </c>
      <c r="I810" s="1" t="s">
        <v>9572</v>
      </c>
      <c r="J810" s="1" t="s">
        <v>9573</v>
      </c>
      <c r="K810" s="1" t="s">
        <v>9574</v>
      </c>
      <c r="L810" s="1">
        <v>1</v>
      </c>
      <c r="M810" s="1">
        <v>0</v>
      </c>
      <c r="N810" s="1" t="s">
        <v>9575</v>
      </c>
      <c r="O810" s="1" t="s">
        <v>9576</v>
      </c>
      <c r="P810" s="1" t="s">
        <v>9577</v>
      </c>
      <c r="Q810" s="1">
        <v>0</v>
      </c>
      <c r="R810" s="1" t="s">
        <v>9578</v>
      </c>
      <c r="S810" s="1" t="s">
        <v>9579</v>
      </c>
      <c r="U810" s="2">
        <v>56770</v>
      </c>
      <c r="V810" s="1">
        <v>3.7039993550000001</v>
      </c>
      <c r="W810" s="1">
        <v>1500</v>
      </c>
      <c r="X810" s="1">
        <v>1590</v>
      </c>
      <c r="Y810" s="1">
        <v>519</v>
      </c>
      <c r="Z810" s="1">
        <v>105</v>
      </c>
      <c r="AA810" s="1">
        <v>966</v>
      </c>
      <c r="AB810" s="1">
        <v>1</v>
      </c>
      <c r="AC810" s="1">
        <v>1</v>
      </c>
      <c r="AE810" s="1" t="s">
        <v>9580</v>
      </c>
      <c r="AF810" s="1" t="s">
        <v>9581</v>
      </c>
      <c r="AG810" s="1" t="s">
        <v>9582</v>
      </c>
      <c r="AH810" s="1" t="s">
        <v>9583</v>
      </c>
      <c r="AI810" s="1">
        <v>4.54</v>
      </c>
      <c r="AJ810" s="1">
        <v>2229</v>
      </c>
      <c r="AK810" s="1">
        <v>6580</v>
      </c>
    </row>
    <row r="811" spans="1:38" ht="15.75" customHeight="1">
      <c r="A811" s="1">
        <v>674</v>
      </c>
      <c r="C811" s="1">
        <v>4001</v>
      </c>
      <c r="D811" s="1" t="s">
        <v>51</v>
      </c>
      <c r="E811" s="1" t="s">
        <v>39</v>
      </c>
      <c r="F811" s="1" t="s">
        <v>341</v>
      </c>
      <c r="G811" s="1">
        <v>0</v>
      </c>
      <c r="H811" s="1" t="s">
        <v>41</v>
      </c>
      <c r="I811" s="1" t="s">
        <v>9584</v>
      </c>
      <c r="J811" s="1" t="s">
        <v>9585</v>
      </c>
      <c r="K811" s="1" t="s">
        <v>9586</v>
      </c>
      <c r="L811" s="1">
        <v>1</v>
      </c>
      <c r="M811" s="1">
        <v>0</v>
      </c>
      <c r="N811" s="1" t="s">
        <v>9587</v>
      </c>
      <c r="O811" s="1" t="s">
        <v>9588</v>
      </c>
      <c r="P811" s="1" t="s">
        <v>9589</v>
      </c>
      <c r="Q811" s="1">
        <v>0</v>
      </c>
      <c r="R811" s="1" t="s">
        <v>9590</v>
      </c>
      <c r="S811" s="1" t="s">
        <v>9591</v>
      </c>
      <c r="U811" s="2">
        <v>56770</v>
      </c>
      <c r="V811" s="1">
        <v>4.4000000000000004</v>
      </c>
      <c r="W811" s="1">
        <v>1500</v>
      </c>
      <c r="X811" s="1">
        <v>652</v>
      </c>
      <c r="Y811" s="1">
        <v>333</v>
      </c>
      <c r="Z811" s="1">
        <v>64</v>
      </c>
      <c r="AA811" s="1">
        <v>255</v>
      </c>
      <c r="AB811" s="1">
        <v>1</v>
      </c>
      <c r="AC811" s="1">
        <v>1</v>
      </c>
      <c r="AE811" s="1" t="s">
        <v>9592</v>
      </c>
      <c r="AF811" s="1" t="s">
        <v>9593</v>
      </c>
      <c r="AG811" s="1" t="s">
        <v>9594</v>
      </c>
      <c r="AH811" s="1" t="s">
        <v>9595</v>
      </c>
      <c r="AI811" s="1">
        <v>4.54</v>
      </c>
      <c r="AJ811" s="1">
        <v>2229</v>
      </c>
      <c r="AK811" s="1">
        <v>6580</v>
      </c>
    </row>
    <row r="812" spans="1:38" ht="15.75" customHeight="1">
      <c r="A812" s="1">
        <v>992</v>
      </c>
      <c r="C812" s="1">
        <v>4001</v>
      </c>
      <c r="D812" s="1" t="s">
        <v>51</v>
      </c>
      <c r="E812" s="1" t="s">
        <v>39</v>
      </c>
      <c r="F812" s="1" t="s">
        <v>341</v>
      </c>
      <c r="G812" s="1">
        <v>0</v>
      </c>
      <c r="H812" s="1" t="s">
        <v>41</v>
      </c>
      <c r="I812" s="1" t="s">
        <v>9596</v>
      </c>
      <c r="J812" s="1" t="s">
        <v>9597</v>
      </c>
      <c r="K812" s="1" t="s">
        <v>9598</v>
      </c>
      <c r="L812" s="1">
        <v>1</v>
      </c>
      <c r="M812" s="1">
        <v>0</v>
      </c>
      <c r="N812" s="1" t="s">
        <v>9599</v>
      </c>
      <c r="O812" s="1" t="s">
        <v>9600</v>
      </c>
      <c r="P812" s="1" t="s">
        <v>9601</v>
      </c>
      <c r="Q812" s="1">
        <v>0</v>
      </c>
      <c r="R812" s="1" t="s">
        <v>9602</v>
      </c>
      <c r="S812" s="1" t="s">
        <v>9603</v>
      </c>
      <c r="U812" s="2">
        <v>56773</v>
      </c>
      <c r="V812" s="1">
        <v>4.3</v>
      </c>
      <c r="W812" s="1">
        <v>1500</v>
      </c>
      <c r="X812" s="1">
        <v>3703</v>
      </c>
      <c r="Y812" s="1">
        <v>420</v>
      </c>
      <c r="Z812" s="1">
        <v>1322</v>
      </c>
      <c r="AA812" s="1">
        <v>1961</v>
      </c>
      <c r="AB812" s="1">
        <v>0</v>
      </c>
      <c r="AC812" s="1">
        <v>1</v>
      </c>
      <c r="AE812" s="1" t="s">
        <v>9604</v>
      </c>
      <c r="AF812" s="1" t="s">
        <v>9605</v>
      </c>
      <c r="AG812" s="1" t="s">
        <v>9606</v>
      </c>
      <c r="AH812" s="1" t="s">
        <v>9607</v>
      </c>
      <c r="AI812" s="1">
        <v>4.54</v>
      </c>
      <c r="AJ812" s="1">
        <v>2229</v>
      </c>
      <c r="AK812" s="1">
        <v>6580</v>
      </c>
    </row>
    <row r="813" spans="1:38" ht="15.75" customHeight="1">
      <c r="A813" s="1">
        <v>1008</v>
      </c>
      <c r="C813" s="1">
        <v>4001</v>
      </c>
      <c r="D813" s="1" t="s">
        <v>51</v>
      </c>
      <c r="E813" s="1" t="s">
        <v>39</v>
      </c>
      <c r="F813" s="1" t="s">
        <v>67</v>
      </c>
      <c r="G813" s="1">
        <v>0</v>
      </c>
      <c r="H813" s="1" t="s">
        <v>41</v>
      </c>
      <c r="I813" s="1" t="s">
        <v>9608</v>
      </c>
      <c r="J813" s="1" t="s">
        <v>9609</v>
      </c>
      <c r="K813" s="1" t="s">
        <v>9610</v>
      </c>
      <c r="L813" s="1">
        <v>1</v>
      </c>
      <c r="M813" s="1">
        <v>0</v>
      </c>
      <c r="N813" s="1" t="s">
        <v>9611</v>
      </c>
      <c r="O813" s="1" t="s">
        <v>9612</v>
      </c>
      <c r="P813" s="1" t="s">
        <v>9613</v>
      </c>
      <c r="Q813" s="1">
        <v>0</v>
      </c>
      <c r="R813" s="1" t="s">
        <v>9614</v>
      </c>
      <c r="S813" s="1" t="s">
        <v>9615</v>
      </c>
      <c r="U813" s="2">
        <v>56774</v>
      </c>
      <c r="V813" s="1">
        <v>3.9</v>
      </c>
      <c r="W813" s="1">
        <v>1500</v>
      </c>
      <c r="X813" s="1">
        <v>3765</v>
      </c>
      <c r="Y813" s="1">
        <v>787</v>
      </c>
      <c r="Z813" s="1">
        <v>127</v>
      </c>
      <c r="AA813" s="1">
        <v>2851</v>
      </c>
      <c r="AB813" s="1">
        <v>0</v>
      </c>
      <c r="AC813" s="1">
        <v>1</v>
      </c>
      <c r="AD813" s="1" t="s">
        <v>76</v>
      </c>
      <c r="AE813" s="1" t="s">
        <v>9616</v>
      </c>
      <c r="AF813" s="1" t="s">
        <v>9617</v>
      </c>
      <c r="AG813" s="1" t="s">
        <v>9618</v>
      </c>
      <c r="AH813" s="1" t="s">
        <v>9619</v>
      </c>
      <c r="AI813" s="1">
        <v>3.82</v>
      </c>
      <c r="AJ813" s="1">
        <v>174</v>
      </c>
      <c r="AK813" s="1">
        <v>773</v>
      </c>
    </row>
    <row r="814" spans="1:38" ht="15.75" customHeight="1">
      <c r="A814" s="1">
        <v>1154</v>
      </c>
      <c r="B814" s="1">
        <v>5</v>
      </c>
      <c r="C814" s="1">
        <v>4001</v>
      </c>
      <c r="D814" s="1" t="s">
        <v>51</v>
      </c>
      <c r="E814" s="1" t="s">
        <v>39</v>
      </c>
      <c r="F814" s="1" t="s">
        <v>341</v>
      </c>
      <c r="G814" s="1">
        <v>0</v>
      </c>
      <c r="H814" s="1" t="s">
        <v>41</v>
      </c>
      <c r="I814" s="1" t="s">
        <v>9620</v>
      </c>
      <c r="J814" s="1" t="s">
        <v>9621</v>
      </c>
      <c r="K814" s="1" t="s">
        <v>9622</v>
      </c>
      <c r="L814" s="1">
        <v>1</v>
      </c>
      <c r="M814" s="1">
        <v>0</v>
      </c>
      <c r="N814" s="1" t="s">
        <v>9623</v>
      </c>
      <c r="O814" s="1" t="s">
        <v>9624</v>
      </c>
      <c r="P814" s="1" t="s">
        <v>9625</v>
      </c>
      <c r="Q814" s="1">
        <v>0</v>
      </c>
      <c r="R814" s="1" t="s">
        <v>9626</v>
      </c>
      <c r="S814" s="1" t="s">
        <v>9627</v>
      </c>
      <c r="U814" s="2">
        <v>56775</v>
      </c>
      <c r="V814" s="1">
        <v>4.4000000000000004</v>
      </c>
      <c r="W814" s="1">
        <v>1500</v>
      </c>
      <c r="X814" s="1">
        <v>1108</v>
      </c>
      <c r="Y814" s="1">
        <v>422</v>
      </c>
      <c r="Z814" s="1">
        <v>216</v>
      </c>
      <c r="AA814" s="1">
        <v>470</v>
      </c>
      <c r="AB814" s="1">
        <v>0</v>
      </c>
      <c r="AC814" s="1">
        <v>1</v>
      </c>
      <c r="AD814" s="1" t="s">
        <v>215</v>
      </c>
      <c r="AE814" s="1" t="s">
        <v>9628</v>
      </c>
      <c r="AF814" s="1" t="s">
        <v>9629</v>
      </c>
      <c r="AG814" s="1" t="s">
        <v>9630</v>
      </c>
      <c r="AH814" s="1" t="s">
        <v>9631</v>
      </c>
      <c r="AI814" s="1">
        <v>4.54</v>
      </c>
      <c r="AJ814" s="1">
        <v>2229</v>
      </c>
      <c r="AK814" s="1">
        <v>6580</v>
      </c>
    </row>
    <row r="815" spans="1:38" ht="15.75" customHeight="1">
      <c r="A815" s="1">
        <v>1445</v>
      </c>
      <c r="B815" s="1">
        <v>5</v>
      </c>
      <c r="C815" s="1">
        <v>4001</v>
      </c>
      <c r="D815" s="1" t="s">
        <v>51</v>
      </c>
      <c r="E815" s="1" t="s">
        <v>39</v>
      </c>
      <c r="F815" s="1" t="s">
        <v>341</v>
      </c>
      <c r="G815" s="1">
        <v>0</v>
      </c>
      <c r="H815" s="1" t="s">
        <v>41</v>
      </c>
      <c r="I815" s="1" t="s">
        <v>9632</v>
      </c>
      <c r="J815" s="1" t="s">
        <v>9633</v>
      </c>
      <c r="K815" s="1" t="s">
        <v>9634</v>
      </c>
      <c r="L815" s="1">
        <v>1</v>
      </c>
      <c r="M815" s="1">
        <v>0</v>
      </c>
      <c r="N815" s="1" t="s">
        <v>9635</v>
      </c>
      <c r="O815" s="1" t="s">
        <v>9636</v>
      </c>
      <c r="P815" s="1" t="s">
        <v>9637</v>
      </c>
      <c r="Q815" s="1">
        <v>0</v>
      </c>
      <c r="R815" s="1" t="s">
        <v>9638</v>
      </c>
      <c r="S815" s="1" t="s">
        <v>9639</v>
      </c>
      <c r="U815" s="2">
        <v>56777</v>
      </c>
      <c r="V815" s="1">
        <v>2.8543543310000001</v>
      </c>
      <c r="W815" s="1">
        <v>1500</v>
      </c>
      <c r="X815" s="1">
        <v>1495</v>
      </c>
      <c r="Y815" s="1">
        <v>104</v>
      </c>
      <c r="Z815" s="1">
        <v>529</v>
      </c>
      <c r="AA815" s="1">
        <v>862</v>
      </c>
      <c r="AB815" s="1">
        <v>0</v>
      </c>
      <c r="AC815" s="1">
        <v>1</v>
      </c>
      <c r="AD815" s="1" t="s">
        <v>215</v>
      </c>
      <c r="AE815" s="1" t="s">
        <v>9640</v>
      </c>
      <c r="AF815" s="1" t="s">
        <v>9641</v>
      </c>
      <c r="AG815" s="1" t="s">
        <v>9642</v>
      </c>
      <c r="AH815" s="1" t="s">
        <v>9643</v>
      </c>
      <c r="AI815" s="1">
        <v>4.54</v>
      </c>
      <c r="AJ815" s="1">
        <v>2229</v>
      </c>
      <c r="AK815" s="1">
        <v>6580</v>
      </c>
    </row>
    <row r="816" spans="1:38" ht="15.75" customHeight="1">
      <c r="A816" s="1">
        <v>575</v>
      </c>
      <c r="C816" s="1">
        <v>4001</v>
      </c>
      <c r="D816" s="1" t="s">
        <v>51</v>
      </c>
      <c r="E816" s="1" t="s">
        <v>39</v>
      </c>
      <c r="F816" s="1" t="s">
        <v>341</v>
      </c>
      <c r="G816" s="1">
        <v>0</v>
      </c>
      <c r="H816" s="1" t="s">
        <v>41</v>
      </c>
      <c r="I816" s="1" t="s">
        <v>9644</v>
      </c>
      <c r="J816" s="1" t="s">
        <v>9645</v>
      </c>
      <c r="K816" s="1" t="s">
        <v>9646</v>
      </c>
      <c r="L816" s="1">
        <v>1</v>
      </c>
      <c r="M816" s="1">
        <v>0</v>
      </c>
      <c r="N816" s="1" t="s">
        <v>9647</v>
      </c>
      <c r="O816" s="1" t="s">
        <v>9648</v>
      </c>
      <c r="P816" s="1" t="s">
        <v>9649</v>
      </c>
      <c r="Q816" s="1">
        <v>0</v>
      </c>
      <c r="R816" s="1" t="s">
        <v>9650</v>
      </c>
      <c r="S816" s="1" t="s">
        <v>9651</v>
      </c>
      <c r="U816" s="2">
        <v>56770</v>
      </c>
      <c r="V816" s="1">
        <v>4.5</v>
      </c>
      <c r="W816" s="1">
        <v>1500</v>
      </c>
      <c r="X816" s="1">
        <v>1562</v>
      </c>
      <c r="Y816" s="1">
        <v>819</v>
      </c>
      <c r="Z816" s="1">
        <v>270</v>
      </c>
      <c r="AA816" s="1">
        <v>473</v>
      </c>
      <c r="AB816" s="1">
        <v>0</v>
      </c>
      <c r="AC816" s="1">
        <v>2</v>
      </c>
      <c r="AD816" s="1" t="s">
        <v>215</v>
      </c>
      <c r="AE816" s="1" t="s">
        <v>9652</v>
      </c>
      <c r="AF816" s="1" t="s">
        <v>9653</v>
      </c>
      <c r="AG816" s="1" t="s">
        <v>9654</v>
      </c>
      <c r="AH816" s="1" t="s">
        <v>9655</v>
      </c>
      <c r="AI816" s="1">
        <v>4.54</v>
      </c>
      <c r="AJ816" s="1">
        <v>2229</v>
      </c>
      <c r="AK816" s="1">
        <v>6580</v>
      </c>
    </row>
    <row r="817" spans="1:38" ht="15.75" customHeight="1">
      <c r="A817" s="1">
        <v>666</v>
      </c>
      <c r="B817" s="1">
        <v>2</v>
      </c>
      <c r="C817" s="1">
        <v>4050</v>
      </c>
      <c r="D817" s="1" t="s">
        <v>38</v>
      </c>
      <c r="E817" s="1" t="s">
        <v>39</v>
      </c>
      <c r="F817" s="1" t="s">
        <v>451</v>
      </c>
      <c r="G817" s="1">
        <v>0</v>
      </c>
      <c r="H817" s="1" t="s">
        <v>41</v>
      </c>
      <c r="I817" s="1" t="s">
        <v>9656</v>
      </c>
      <c r="J817" s="1" t="s">
        <v>9657</v>
      </c>
      <c r="K817" s="1" t="s">
        <v>9658</v>
      </c>
      <c r="L817" s="1">
        <v>1</v>
      </c>
      <c r="M817" s="1">
        <v>0</v>
      </c>
      <c r="N817" s="1" t="s">
        <v>9659</v>
      </c>
      <c r="O817" s="1" t="s">
        <v>9660</v>
      </c>
      <c r="P817" s="1" t="s">
        <v>9661</v>
      </c>
      <c r="Q817" s="1">
        <v>0</v>
      </c>
      <c r="R817" s="1" t="s">
        <v>9662</v>
      </c>
      <c r="S817" s="1" t="s">
        <v>9663</v>
      </c>
      <c r="U817" s="2">
        <v>56770</v>
      </c>
      <c r="V817" s="1">
        <v>3.6</v>
      </c>
      <c r="W817" s="1">
        <v>1500</v>
      </c>
      <c r="X817" s="1">
        <v>2304</v>
      </c>
      <c r="Y817" s="1">
        <v>1221</v>
      </c>
      <c r="Z817" s="1">
        <v>562</v>
      </c>
      <c r="AA817" s="1">
        <v>521</v>
      </c>
      <c r="AB817" s="1">
        <v>0</v>
      </c>
      <c r="AC817" s="1">
        <v>2</v>
      </c>
      <c r="AD817" s="1" t="s">
        <v>62</v>
      </c>
      <c r="AE817" s="1" t="s">
        <v>9664</v>
      </c>
      <c r="AF817" s="1" t="s">
        <v>9665</v>
      </c>
      <c r="AG817" s="1" t="s">
        <v>9666</v>
      </c>
      <c r="AH817" s="1" t="s">
        <v>9667</v>
      </c>
      <c r="AI817" s="1">
        <v>4.7</v>
      </c>
      <c r="AJ817" s="1">
        <v>272</v>
      </c>
      <c r="AK817" s="1">
        <v>931</v>
      </c>
      <c r="AL817" s="1">
        <v>144</v>
      </c>
    </row>
    <row r="818" spans="1:38" ht="15.75" customHeight="1">
      <c r="A818" s="1">
        <v>640</v>
      </c>
      <c r="B818" s="1">
        <v>1</v>
      </c>
      <c r="C818" s="1">
        <v>4050</v>
      </c>
      <c r="D818" s="1" t="s">
        <v>38</v>
      </c>
      <c r="E818" s="1" t="s">
        <v>39</v>
      </c>
      <c r="F818" s="1" t="s">
        <v>1348</v>
      </c>
      <c r="G818" s="1">
        <v>0</v>
      </c>
      <c r="H818" s="1" t="s">
        <v>41</v>
      </c>
      <c r="I818" s="1" t="s">
        <v>9668</v>
      </c>
      <c r="J818" s="1" t="s">
        <v>9669</v>
      </c>
      <c r="K818" s="1" t="s">
        <v>9670</v>
      </c>
      <c r="L818" s="1">
        <v>1</v>
      </c>
      <c r="M818" s="1">
        <v>0</v>
      </c>
      <c r="N818" s="1" t="s">
        <v>9671</v>
      </c>
      <c r="O818" s="1" t="s">
        <v>9672</v>
      </c>
      <c r="P818" s="1" t="s">
        <v>9673</v>
      </c>
      <c r="Q818" s="1">
        <v>0</v>
      </c>
      <c r="R818" s="1" t="s">
        <v>9674</v>
      </c>
      <c r="S818" s="1" t="s">
        <v>9675</v>
      </c>
      <c r="U818" s="2">
        <v>56770</v>
      </c>
      <c r="V818" s="1">
        <v>4.5</v>
      </c>
      <c r="W818" s="1">
        <v>1500</v>
      </c>
      <c r="X818" s="1">
        <v>1046</v>
      </c>
      <c r="Y818" s="1">
        <v>303</v>
      </c>
      <c r="Z818" s="1">
        <v>401</v>
      </c>
      <c r="AA818" s="1">
        <v>342</v>
      </c>
      <c r="AB818" s="1">
        <v>0</v>
      </c>
      <c r="AC818" s="1">
        <v>2</v>
      </c>
      <c r="AD818" s="1" t="s">
        <v>62</v>
      </c>
      <c r="AE818" s="1" t="s">
        <v>9676</v>
      </c>
      <c r="AF818" s="1" t="s">
        <v>9677</v>
      </c>
      <c r="AG818" s="1" t="s">
        <v>9678</v>
      </c>
      <c r="AH818" s="1" t="s">
        <v>9679</v>
      </c>
      <c r="AI818" s="1">
        <v>4.79</v>
      </c>
      <c r="AJ818" s="1">
        <v>1007</v>
      </c>
      <c r="AK818" s="1">
        <v>2899</v>
      </c>
      <c r="AL818" s="1">
        <v>1301</v>
      </c>
    </row>
    <row r="819" spans="1:38" ht="15.75" customHeight="1">
      <c r="A819" s="1">
        <v>382</v>
      </c>
      <c r="B819" s="1">
        <v>5</v>
      </c>
      <c r="C819" s="1">
        <v>4050</v>
      </c>
      <c r="D819" s="1" t="s">
        <v>38</v>
      </c>
      <c r="E819" s="1" t="s">
        <v>39</v>
      </c>
      <c r="F819" s="1" t="s">
        <v>510</v>
      </c>
      <c r="G819" s="1">
        <v>0</v>
      </c>
      <c r="H819" s="1" t="s">
        <v>41</v>
      </c>
      <c r="I819" s="1" t="s">
        <v>9680</v>
      </c>
      <c r="J819" s="1" t="s">
        <v>9681</v>
      </c>
      <c r="K819" s="1" t="s">
        <v>9682</v>
      </c>
      <c r="L819" s="1">
        <v>1</v>
      </c>
      <c r="M819" s="1">
        <v>0</v>
      </c>
      <c r="N819" s="1" t="s">
        <v>9683</v>
      </c>
      <c r="O819" s="1" t="s">
        <v>9684</v>
      </c>
      <c r="P819" s="1" t="s">
        <v>9685</v>
      </c>
      <c r="Q819" s="1">
        <v>0</v>
      </c>
      <c r="R819" s="1" t="s">
        <v>9686</v>
      </c>
      <c r="S819" s="1" t="s">
        <v>9687</v>
      </c>
      <c r="U819" s="2">
        <v>56768</v>
      </c>
      <c r="V819" s="1">
        <v>4.5999999999999996</v>
      </c>
      <c r="W819" s="1">
        <v>1500</v>
      </c>
      <c r="X819" s="1">
        <v>1714</v>
      </c>
      <c r="Y819" s="1">
        <v>745</v>
      </c>
      <c r="Z819" s="1">
        <v>181</v>
      </c>
      <c r="AA819" s="1">
        <v>788</v>
      </c>
      <c r="AB819" s="1">
        <v>0</v>
      </c>
      <c r="AC819" s="1">
        <v>1</v>
      </c>
      <c r="AD819" s="1" t="s">
        <v>215</v>
      </c>
      <c r="AE819" s="1" t="s">
        <v>9688</v>
      </c>
      <c r="AF819" s="1" t="s">
        <v>9689</v>
      </c>
      <c r="AG819" s="1" t="s">
        <v>9690</v>
      </c>
      <c r="AH819" s="1" t="s">
        <v>9691</v>
      </c>
      <c r="AI819" s="1">
        <v>4.62</v>
      </c>
      <c r="AJ819" s="1">
        <v>259</v>
      </c>
      <c r="AK819" s="1">
        <v>604</v>
      </c>
      <c r="AL819" s="1">
        <v>21</v>
      </c>
    </row>
    <row r="820" spans="1:38" ht="15.75" customHeight="1">
      <c r="A820" s="1">
        <v>580</v>
      </c>
      <c r="C820" s="1">
        <v>4001</v>
      </c>
      <c r="D820" s="1" t="s">
        <v>51</v>
      </c>
      <c r="E820" s="1" t="s">
        <v>39</v>
      </c>
      <c r="F820" s="1" t="s">
        <v>341</v>
      </c>
      <c r="G820" s="1">
        <v>0</v>
      </c>
      <c r="H820" s="1" t="s">
        <v>41</v>
      </c>
      <c r="I820" s="1" t="s">
        <v>9692</v>
      </c>
      <c r="J820" s="1" t="s">
        <v>9693</v>
      </c>
      <c r="K820" s="1" t="s">
        <v>9694</v>
      </c>
      <c r="L820" s="1">
        <v>1</v>
      </c>
      <c r="M820" s="1">
        <v>0</v>
      </c>
      <c r="N820" s="1" t="s">
        <v>9695</v>
      </c>
      <c r="O820" s="1" t="s">
        <v>9696</v>
      </c>
      <c r="P820" s="1" t="s">
        <v>9697</v>
      </c>
      <c r="Q820" s="1">
        <v>0</v>
      </c>
      <c r="R820" s="1" t="s">
        <v>9698</v>
      </c>
      <c r="S820" s="1" t="s">
        <v>9699</v>
      </c>
      <c r="U820" s="2">
        <v>56770</v>
      </c>
      <c r="V820" s="1">
        <v>4.4000000000000004</v>
      </c>
      <c r="W820" s="1">
        <v>1500</v>
      </c>
      <c r="X820" s="1">
        <v>1581</v>
      </c>
      <c r="Y820" s="1">
        <v>286</v>
      </c>
      <c r="Z820" s="1">
        <v>255</v>
      </c>
      <c r="AA820" s="1">
        <v>1040</v>
      </c>
      <c r="AB820" s="1">
        <v>1</v>
      </c>
      <c r="AC820" s="1">
        <v>1</v>
      </c>
      <c r="AE820" s="1" t="s">
        <v>9700</v>
      </c>
      <c r="AF820" s="1" t="s">
        <v>9701</v>
      </c>
      <c r="AG820" s="1" t="s">
        <v>9702</v>
      </c>
      <c r="AH820" s="1" t="s">
        <v>9703</v>
      </c>
      <c r="AI820" s="1">
        <v>4.54</v>
      </c>
      <c r="AJ820" s="1">
        <v>2229</v>
      </c>
      <c r="AK820" s="1">
        <v>6580</v>
      </c>
    </row>
    <row r="821" spans="1:38" ht="15.75" customHeight="1">
      <c r="A821" s="1">
        <v>715</v>
      </c>
      <c r="B821" s="1">
        <v>5</v>
      </c>
      <c r="C821" s="1">
        <v>4050</v>
      </c>
      <c r="D821" s="1" t="s">
        <v>38</v>
      </c>
      <c r="E821" s="1" t="s">
        <v>39</v>
      </c>
      <c r="F821" s="1" t="s">
        <v>1348</v>
      </c>
      <c r="G821" s="1">
        <v>0</v>
      </c>
      <c r="H821" s="1" t="s">
        <v>41</v>
      </c>
      <c r="I821" s="1" t="s">
        <v>9704</v>
      </c>
      <c r="J821" s="1" t="s">
        <v>9705</v>
      </c>
      <c r="K821" s="1" t="s">
        <v>9706</v>
      </c>
      <c r="L821" s="1">
        <v>1</v>
      </c>
      <c r="M821" s="1">
        <v>0</v>
      </c>
      <c r="N821" s="1" t="s">
        <v>9707</v>
      </c>
      <c r="O821" s="1" t="s">
        <v>9708</v>
      </c>
      <c r="P821" s="1" t="s">
        <v>9709</v>
      </c>
      <c r="Q821" s="1">
        <v>0</v>
      </c>
      <c r="R821" s="1" t="s">
        <v>9710</v>
      </c>
      <c r="S821" s="1" t="s">
        <v>9711</v>
      </c>
      <c r="U821" s="2">
        <v>56770</v>
      </c>
      <c r="V821" s="1">
        <v>4.5</v>
      </c>
      <c r="W821" s="1">
        <v>1500</v>
      </c>
      <c r="X821" s="1">
        <v>1883</v>
      </c>
      <c r="Y821" s="1">
        <v>895</v>
      </c>
      <c r="Z821" s="1">
        <v>186</v>
      </c>
      <c r="AA821" s="1">
        <v>802</v>
      </c>
      <c r="AB821" s="1">
        <v>0</v>
      </c>
      <c r="AC821" s="1">
        <v>1</v>
      </c>
      <c r="AD821" s="1" t="s">
        <v>76</v>
      </c>
      <c r="AE821" s="1" t="s">
        <v>9712</v>
      </c>
      <c r="AF821" s="1" t="s">
        <v>9713</v>
      </c>
      <c r="AG821" s="1" t="s">
        <v>9714</v>
      </c>
      <c r="AH821" s="1" t="s">
        <v>9715</v>
      </c>
      <c r="AI821" s="1">
        <v>4.79</v>
      </c>
      <c r="AJ821" s="1">
        <v>1007</v>
      </c>
      <c r="AK821" s="1">
        <v>2899</v>
      </c>
      <c r="AL821" s="1">
        <v>1301</v>
      </c>
    </row>
    <row r="822" spans="1:38" ht="15.75" customHeight="1">
      <c r="A822" s="1">
        <v>881</v>
      </c>
      <c r="B822" s="1">
        <v>5</v>
      </c>
      <c r="C822" s="1">
        <v>4050</v>
      </c>
      <c r="D822" s="1" t="s">
        <v>38</v>
      </c>
      <c r="E822" s="1" t="s">
        <v>39</v>
      </c>
      <c r="F822" s="1" t="s">
        <v>1348</v>
      </c>
      <c r="G822" s="1">
        <v>0</v>
      </c>
      <c r="H822" s="1" t="s">
        <v>41</v>
      </c>
      <c r="I822" s="1" t="s">
        <v>9716</v>
      </c>
      <c r="J822" s="1" t="s">
        <v>9717</v>
      </c>
      <c r="K822" s="1" t="s">
        <v>9718</v>
      </c>
      <c r="L822" s="1">
        <v>1</v>
      </c>
      <c r="M822" s="1">
        <v>0</v>
      </c>
      <c r="N822" s="1" t="s">
        <v>9719</v>
      </c>
      <c r="O822" s="1" t="s">
        <v>9720</v>
      </c>
      <c r="P822" s="1" t="s">
        <v>9721</v>
      </c>
      <c r="Q822" s="1">
        <v>0</v>
      </c>
      <c r="R822" s="1" t="s">
        <v>9722</v>
      </c>
      <c r="S822" s="1" t="s">
        <v>9723</v>
      </c>
      <c r="U822" s="2">
        <v>56772</v>
      </c>
      <c r="V822" s="1">
        <v>4.5999999999999996</v>
      </c>
      <c r="W822" s="1">
        <v>1500</v>
      </c>
      <c r="X822" s="1">
        <v>1879</v>
      </c>
      <c r="Y822" s="1">
        <v>516</v>
      </c>
      <c r="Z822" s="1">
        <v>67</v>
      </c>
      <c r="AA822" s="1">
        <v>1296</v>
      </c>
      <c r="AB822" s="1">
        <v>0</v>
      </c>
      <c r="AC822" s="1">
        <v>1</v>
      </c>
      <c r="AD822" s="1" t="s">
        <v>215</v>
      </c>
      <c r="AE822" s="1" t="s">
        <v>9724</v>
      </c>
      <c r="AF822" s="1" t="s">
        <v>9725</v>
      </c>
      <c r="AG822" s="1" t="s">
        <v>9726</v>
      </c>
      <c r="AH822" s="1" t="s">
        <v>9727</v>
      </c>
      <c r="AI822" s="1">
        <v>4.79</v>
      </c>
      <c r="AJ822" s="1">
        <v>1007</v>
      </c>
      <c r="AK822" s="1">
        <v>2899</v>
      </c>
      <c r="AL822" s="1">
        <v>1301</v>
      </c>
    </row>
    <row r="823" spans="1:38" ht="15.75" customHeight="1">
      <c r="A823" s="1">
        <v>1289</v>
      </c>
      <c r="C823" s="1">
        <v>4001</v>
      </c>
      <c r="D823" s="1" t="s">
        <v>51</v>
      </c>
      <c r="E823" s="1" t="s">
        <v>39</v>
      </c>
      <c r="F823" s="1" t="s">
        <v>341</v>
      </c>
      <c r="G823" s="1">
        <v>0</v>
      </c>
      <c r="H823" s="1" t="s">
        <v>41</v>
      </c>
      <c r="I823" s="1" t="s">
        <v>9728</v>
      </c>
      <c r="J823" s="1" t="s">
        <v>9729</v>
      </c>
      <c r="K823" s="1" t="s">
        <v>9730</v>
      </c>
      <c r="L823" s="1">
        <v>1</v>
      </c>
      <c r="M823" s="1">
        <v>0</v>
      </c>
      <c r="N823" s="1" t="s">
        <v>9731</v>
      </c>
      <c r="O823" s="1" t="s">
        <v>9732</v>
      </c>
      <c r="P823" s="1" t="s">
        <v>9733</v>
      </c>
      <c r="Q823" s="1">
        <v>0</v>
      </c>
      <c r="R823" s="1" t="s">
        <v>9734</v>
      </c>
      <c r="U823" s="2">
        <v>56776</v>
      </c>
      <c r="V823" s="1">
        <v>4.3</v>
      </c>
      <c r="W823" s="1">
        <v>1500</v>
      </c>
      <c r="X823" s="1">
        <v>2244</v>
      </c>
      <c r="AA823" s="1">
        <v>1245</v>
      </c>
      <c r="AB823" s="1">
        <v>0</v>
      </c>
      <c r="AC823" s="1">
        <v>2</v>
      </c>
      <c r="AD823" s="1" t="s">
        <v>62</v>
      </c>
      <c r="AE823" s="1" t="s">
        <v>9735</v>
      </c>
      <c r="AF823" s="1" t="s">
        <v>9736</v>
      </c>
      <c r="AG823" s="1" t="s">
        <v>9737</v>
      </c>
      <c r="AI823" s="1">
        <v>4.54</v>
      </c>
      <c r="AJ823" s="1">
        <v>2229</v>
      </c>
      <c r="AK823" s="1">
        <v>6580</v>
      </c>
    </row>
    <row r="824" spans="1:38" ht="15.75" customHeight="1">
      <c r="A824" s="1">
        <v>228</v>
      </c>
      <c r="B824" s="1">
        <v>5</v>
      </c>
      <c r="C824" s="1">
        <v>4050</v>
      </c>
      <c r="D824" s="1" t="s">
        <v>38</v>
      </c>
      <c r="E824" s="1" t="s">
        <v>39</v>
      </c>
      <c r="F824" s="1" t="s">
        <v>40</v>
      </c>
      <c r="G824" s="1">
        <v>0</v>
      </c>
      <c r="H824" s="1" t="s">
        <v>41</v>
      </c>
      <c r="I824" s="1" t="s">
        <v>9738</v>
      </c>
      <c r="J824" s="1" t="s">
        <v>9739</v>
      </c>
      <c r="K824" s="1" t="s">
        <v>9740</v>
      </c>
      <c r="L824" s="1">
        <v>1</v>
      </c>
      <c r="M824" s="1">
        <v>0</v>
      </c>
      <c r="N824" s="1" t="s">
        <v>9741</v>
      </c>
      <c r="O824" s="1" t="s">
        <v>9742</v>
      </c>
      <c r="P824" s="1" t="s">
        <v>9743</v>
      </c>
      <c r="Q824" s="1">
        <v>0</v>
      </c>
      <c r="R824" s="1" t="s">
        <v>9744</v>
      </c>
      <c r="S824" s="1" t="s">
        <v>9745</v>
      </c>
      <c r="U824" s="2">
        <v>56767</v>
      </c>
      <c r="V824" s="1">
        <v>4.4000000000000004</v>
      </c>
      <c r="W824" s="1">
        <v>1500</v>
      </c>
      <c r="X824" s="1">
        <v>1720</v>
      </c>
      <c r="Y824" s="1">
        <v>860</v>
      </c>
      <c r="Z824" s="1">
        <v>162</v>
      </c>
      <c r="AA824" s="1">
        <v>698</v>
      </c>
      <c r="AB824" s="1">
        <v>0</v>
      </c>
      <c r="AC824" s="1">
        <v>2</v>
      </c>
      <c r="AD824" s="1" t="s">
        <v>62</v>
      </c>
      <c r="AE824" s="1" t="s">
        <v>9746</v>
      </c>
      <c r="AF824" s="1" t="s">
        <v>9747</v>
      </c>
      <c r="AG824" s="1" t="s">
        <v>9748</v>
      </c>
      <c r="AH824" s="1" t="s">
        <v>9749</v>
      </c>
      <c r="AI824" s="1">
        <v>4.7</v>
      </c>
      <c r="AJ824" s="1">
        <v>1261</v>
      </c>
      <c r="AK824" s="1">
        <v>3264</v>
      </c>
      <c r="AL824" s="1">
        <v>232</v>
      </c>
    </row>
    <row r="825" spans="1:38" ht="15.75" customHeight="1">
      <c r="A825" s="1">
        <v>37</v>
      </c>
      <c r="B825" s="1">
        <v>5</v>
      </c>
      <c r="C825" s="1">
        <v>4001</v>
      </c>
      <c r="D825" s="1" t="s">
        <v>51</v>
      </c>
      <c r="E825" s="1" t="s">
        <v>39</v>
      </c>
      <c r="F825" s="1" t="s">
        <v>648</v>
      </c>
      <c r="G825" s="1">
        <v>0</v>
      </c>
      <c r="H825" s="1" t="s">
        <v>53</v>
      </c>
      <c r="I825" s="1" t="s">
        <v>9750</v>
      </c>
      <c r="J825" s="1" t="s">
        <v>9751</v>
      </c>
      <c r="K825" s="1" t="s">
        <v>9751</v>
      </c>
      <c r="L825" s="1">
        <v>0</v>
      </c>
      <c r="M825" s="1">
        <v>0</v>
      </c>
      <c r="N825" s="1" t="s">
        <v>9752</v>
      </c>
      <c r="O825" s="1" t="s">
        <v>9753</v>
      </c>
      <c r="P825" s="1" t="s">
        <v>9754</v>
      </c>
      <c r="Q825" s="1">
        <v>0</v>
      </c>
      <c r="R825" s="1" t="s">
        <v>9755</v>
      </c>
      <c r="S825" s="1" t="s">
        <v>9756</v>
      </c>
      <c r="U825" s="2">
        <v>56766</v>
      </c>
      <c r="V825" s="1">
        <v>4.3</v>
      </c>
      <c r="W825" s="1">
        <v>1500</v>
      </c>
      <c r="X825" s="1">
        <v>1775</v>
      </c>
      <c r="Y825" s="1">
        <v>587</v>
      </c>
      <c r="Z825" s="1">
        <v>484</v>
      </c>
      <c r="AA825" s="1">
        <v>704</v>
      </c>
      <c r="AB825" s="1">
        <v>0</v>
      </c>
      <c r="AC825" s="1">
        <v>3</v>
      </c>
      <c r="AD825" s="1" t="s">
        <v>215</v>
      </c>
      <c r="AE825" s="1" t="s">
        <v>9757</v>
      </c>
      <c r="AF825" s="1" t="s">
        <v>9758</v>
      </c>
      <c r="AG825" s="1" t="s">
        <v>9759</v>
      </c>
      <c r="AH825" s="1" t="s">
        <v>9760</v>
      </c>
      <c r="AI825" s="1">
        <v>4.7</v>
      </c>
      <c r="AJ825" s="1">
        <v>443</v>
      </c>
      <c r="AK825" s="1">
        <v>1579</v>
      </c>
    </row>
    <row r="826" spans="1:38" ht="15.75" customHeight="1">
      <c r="A826" s="1">
        <v>803</v>
      </c>
      <c r="C826" s="1">
        <v>4001</v>
      </c>
      <c r="D826" s="1" t="s">
        <v>51</v>
      </c>
      <c r="E826" s="1" t="s">
        <v>39</v>
      </c>
      <c r="F826" s="1" t="s">
        <v>52</v>
      </c>
      <c r="G826" s="1">
        <v>0</v>
      </c>
      <c r="H826" s="1" t="s">
        <v>53</v>
      </c>
      <c r="I826" s="1" t="s">
        <v>9761</v>
      </c>
      <c r="J826" s="1" t="s">
        <v>9762</v>
      </c>
      <c r="K826" s="1" t="s">
        <v>9763</v>
      </c>
      <c r="L826" s="1">
        <v>1</v>
      </c>
      <c r="M826" s="1">
        <v>0</v>
      </c>
      <c r="N826" s="1" t="s">
        <v>9764</v>
      </c>
      <c r="O826" s="1" t="s">
        <v>9765</v>
      </c>
      <c r="P826" s="1" t="s">
        <v>9766</v>
      </c>
      <c r="Q826" s="1">
        <v>0</v>
      </c>
      <c r="R826" s="1" t="s">
        <v>9767</v>
      </c>
      <c r="S826" s="1" t="s">
        <v>9768</v>
      </c>
      <c r="U826" s="2">
        <v>56771</v>
      </c>
      <c r="V826" s="1">
        <v>4.4000000000000004</v>
      </c>
      <c r="W826" s="1">
        <v>1500</v>
      </c>
      <c r="X826" s="1">
        <v>2544</v>
      </c>
      <c r="Y826" s="1">
        <v>1427</v>
      </c>
      <c r="Z826" s="1">
        <v>699</v>
      </c>
      <c r="AA826" s="1">
        <v>418</v>
      </c>
      <c r="AB826" s="1">
        <v>0</v>
      </c>
      <c r="AC826" s="1">
        <v>3</v>
      </c>
      <c r="AD826" s="1" t="s">
        <v>215</v>
      </c>
      <c r="AE826" s="1" t="s">
        <v>9769</v>
      </c>
      <c r="AF826" s="1" t="s">
        <v>9770</v>
      </c>
      <c r="AG826" s="1" t="s">
        <v>9771</v>
      </c>
      <c r="AH826" s="1" t="s">
        <v>9772</v>
      </c>
      <c r="AI826" s="1">
        <v>4.17</v>
      </c>
      <c r="AJ826" s="1">
        <v>457</v>
      </c>
      <c r="AK826" s="1">
        <v>1599</v>
      </c>
    </row>
    <row r="827" spans="1:38" ht="15.75" customHeight="1">
      <c r="A827" s="1">
        <v>323</v>
      </c>
      <c r="B827" s="1">
        <v>5</v>
      </c>
      <c r="C827" s="1">
        <v>4050</v>
      </c>
      <c r="D827" s="1" t="s">
        <v>38</v>
      </c>
      <c r="E827" s="1" t="s">
        <v>39</v>
      </c>
      <c r="F827" s="1" t="s">
        <v>220</v>
      </c>
      <c r="G827" s="1">
        <v>0</v>
      </c>
      <c r="H827" s="1" t="s">
        <v>41</v>
      </c>
      <c r="I827" s="1" t="s">
        <v>9773</v>
      </c>
      <c r="J827" s="1" t="s">
        <v>9774</v>
      </c>
      <c r="K827" s="1" t="s">
        <v>9775</v>
      </c>
      <c r="L827" s="1">
        <v>1</v>
      </c>
      <c r="M827" s="1">
        <v>0</v>
      </c>
      <c r="N827" s="1" t="s">
        <v>9776</v>
      </c>
      <c r="O827" s="1" t="s">
        <v>9777</v>
      </c>
      <c r="P827" s="1" t="s">
        <v>9778</v>
      </c>
      <c r="Q827" s="1">
        <v>0</v>
      </c>
      <c r="R827" s="1" t="s">
        <v>9779</v>
      </c>
      <c r="S827" s="1" t="s">
        <v>9780</v>
      </c>
      <c r="U827" s="2">
        <v>56768</v>
      </c>
      <c r="V827" s="1">
        <v>4.0999999999999996</v>
      </c>
      <c r="W827" s="1">
        <v>1500</v>
      </c>
      <c r="X827" s="1">
        <v>3487</v>
      </c>
      <c r="Y827" s="1">
        <v>1584</v>
      </c>
      <c r="Z827" s="1">
        <v>521</v>
      </c>
      <c r="AA827" s="1">
        <v>1382</v>
      </c>
      <c r="AB827" s="1">
        <v>0</v>
      </c>
      <c r="AC827" s="1">
        <v>5</v>
      </c>
      <c r="AD827" s="1" t="s">
        <v>62</v>
      </c>
      <c r="AE827" s="1" t="s">
        <v>9781</v>
      </c>
      <c r="AF827" s="1" t="s">
        <v>9782</v>
      </c>
      <c r="AG827" s="1" t="s">
        <v>9783</v>
      </c>
      <c r="AH827" s="1" t="s">
        <v>9784</v>
      </c>
      <c r="AI827" s="1">
        <v>4.42</v>
      </c>
      <c r="AJ827" s="1">
        <v>1396</v>
      </c>
      <c r="AK827" s="1">
        <v>4836</v>
      </c>
      <c r="AL827" s="1">
        <v>1278</v>
      </c>
    </row>
    <row r="828" spans="1:38" ht="15.75" customHeight="1">
      <c r="A828" s="1">
        <v>199</v>
      </c>
      <c r="C828" s="1">
        <v>4050</v>
      </c>
      <c r="D828" s="1" t="s">
        <v>38</v>
      </c>
      <c r="E828" s="1" t="s">
        <v>39</v>
      </c>
      <c r="F828" s="1" t="s">
        <v>151</v>
      </c>
      <c r="G828" s="1">
        <v>0</v>
      </c>
      <c r="H828" s="1" t="s">
        <v>41</v>
      </c>
      <c r="I828" s="1" t="s">
        <v>9785</v>
      </c>
      <c r="J828" s="1" t="s">
        <v>9786</v>
      </c>
      <c r="K828" s="1" t="s">
        <v>9787</v>
      </c>
      <c r="L828" s="1">
        <v>1</v>
      </c>
      <c r="M828" s="1">
        <v>0</v>
      </c>
      <c r="N828" s="1" t="s">
        <v>9788</v>
      </c>
      <c r="O828" s="1" t="s">
        <v>9789</v>
      </c>
      <c r="P828" s="1" t="s">
        <v>9790</v>
      </c>
      <c r="Q828" s="1">
        <v>0</v>
      </c>
      <c r="R828" s="1" t="s">
        <v>9791</v>
      </c>
      <c r="S828" s="1" t="s">
        <v>9792</v>
      </c>
      <c r="U828" s="2">
        <v>56767</v>
      </c>
      <c r="V828" s="1">
        <v>4.5</v>
      </c>
      <c r="W828" s="1">
        <v>1500</v>
      </c>
      <c r="X828" s="1">
        <v>5373</v>
      </c>
      <c r="Y828" s="1">
        <v>4097</v>
      </c>
      <c r="Z828" s="1">
        <v>451</v>
      </c>
      <c r="AA828" s="1">
        <v>825</v>
      </c>
      <c r="AB828" s="1">
        <v>0</v>
      </c>
      <c r="AC828" s="1">
        <v>2</v>
      </c>
      <c r="AD828" s="1" t="s">
        <v>76</v>
      </c>
      <c r="AE828" s="1" t="s">
        <v>9793</v>
      </c>
      <c r="AF828" s="1" t="s">
        <v>9794</v>
      </c>
      <c r="AG828" s="1" t="s">
        <v>9795</v>
      </c>
      <c r="AH828" s="1" t="s">
        <v>9796</v>
      </c>
      <c r="AI828" s="1">
        <v>4.46</v>
      </c>
      <c r="AJ828" s="1">
        <v>349</v>
      </c>
      <c r="AK828" s="1">
        <v>779</v>
      </c>
    </row>
    <row r="829" spans="1:38" ht="15.75" customHeight="1">
      <c r="A829" s="1">
        <v>819</v>
      </c>
      <c r="B829" s="1">
        <v>5</v>
      </c>
      <c r="C829" s="1">
        <v>4001</v>
      </c>
      <c r="D829" s="1" t="s">
        <v>51</v>
      </c>
      <c r="E829" s="1" t="s">
        <v>39</v>
      </c>
      <c r="F829" s="1" t="s">
        <v>708</v>
      </c>
      <c r="G829" s="1">
        <v>0</v>
      </c>
      <c r="H829" s="1" t="s">
        <v>53</v>
      </c>
      <c r="I829" s="1" t="s">
        <v>9797</v>
      </c>
      <c r="J829" s="1" t="s">
        <v>9798</v>
      </c>
      <c r="K829" s="1" t="s">
        <v>9799</v>
      </c>
      <c r="L829" s="1">
        <v>1</v>
      </c>
      <c r="M829" s="1">
        <v>0</v>
      </c>
      <c r="N829" s="1" t="s">
        <v>9800</v>
      </c>
      <c r="O829" s="1" t="s">
        <v>9801</v>
      </c>
      <c r="P829" s="1" t="s">
        <v>9802</v>
      </c>
      <c r="Q829" s="1">
        <v>0</v>
      </c>
      <c r="R829" s="1" t="s">
        <v>9803</v>
      </c>
      <c r="U829" s="2">
        <v>56771</v>
      </c>
      <c r="V829" s="1">
        <v>4.5</v>
      </c>
      <c r="W829" s="1">
        <v>1500</v>
      </c>
      <c r="X829" s="1">
        <v>1907</v>
      </c>
      <c r="AA829" s="1">
        <v>824</v>
      </c>
      <c r="AB829" s="1">
        <v>0</v>
      </c>
      <c r="AC829" s="1">
        <v>2</v>
      </c>
      <c r="AE829" s="1" t="s">
        <v>9804</v>
      </c>
      <c r="AF829" s="1" t="s">
        <v>9805</v>
      </c>
      <c r="AG829" s="1" t="s">
        <v>9806</v>
      </c>
      <c r="AI829" s="1">
        <v>4.5999999999999996</v>
      </c>
      <c r="AJ829" s="1">
        <v>292</v>
      </c>
      <c r="AK829" s="1">
        <v>1027</v>
      </c>
      <c r="AL829" s="1">
        <v>26</v>
      </c>
    </row>
    <row r="830" spans="1:38" ht="15.75" customHeight="1">
      <c r="A830" s="1">
        <v>405</v>
      </c>
      <c r="C830" s="1">
        <v>4050</v>
      </c>
      <c r="D830" s="1" t="s">
        <v>38</v>
      </c>
      <c r="E830" s="1" t="s">
        <v>39</v>
      </c>
      <c r="F830" s="1" t="s">
        <v>365</v>
      </c>
      <c r="G830" s="1">
        <v>0</v>
      </c>
      <c r="H830" s="1" t="s">
        <v>41</v>
      </c>
      <c r="I830" s="1" t="s">
        <v>9807</v>
      </c>
      <c r="J830" s="1" t="s">
        <v>9808</v>
      </c>
      <c r="K830" s="1" t="s">
        <v>9809</v>
      </c>
      <c r="L830" s="1">
        <v>1</v>
      </c>
      <c r="M830" s="1">
        <v>0</v>
      </c>
      <c r="N830" s="1" t="s">
        <v>9810</v>
      </c>
      <c r="O830" s="1" t="s">
        <v>9811</v>
      </c>
      <c r="P830" s="1" t="s">
        <v>9812</v>
      </c>
      <c r="Q830" s="1">
        <v>0</v>
      </c>
      <c r="R830" s="1" t="s">
        <v>9813</v>
      </c>
      <c r="S830" s="1" t="s">
        <v>9814</v>
      </c>
      <c r="U830" s="2">
        <v>56769</v>
      </c>
      <c r="V830" s="1">
        <v>4.2</v>
      </c>
      <c r="W830" s="1">
        <v>1500</v>
      </c>
      <c r="X830" s="1">
        <v>3066</v>
      </c>
      <c r="Y830" s="1">
        <v>592</v>
      </c>
      <c r="Z830" s="1">
        <v>1452</v>
      </c>
      <c r="AA830" s="1">
        <v>1022</v>
      </c>
      <c r="AB830" s="1">
        <v>0</v>
      </c>
      <c r="AC830" s="1">
        <v>2</v>
      </c>
      <c r="AD830" s="1" t="s">
        <v>62</v>
      </c>
      <c r="AE830" s="1" t="s">
        <v>9815</v>
      </c>
      <c r="AF830" s="1" t="s">
        <v>9816</v>
      </c>
      <c r="AG830" s="1" t="s">
        <v>9817</v>
      </c>
      <c r="AH830" s="1" t="s">
        <v>9818</v>
      </c>
      <c r="AI830" s="1">
        <v>4.7699999999999996</v>
      </c>
      <c r="AJ830" s="1">
        <v>426</v>
      </c>
      <c r="AK830" s="1">
        <v>1226</v>
      </c>
      <c r="AL830" s="1">
        <v>85</v>
      </c>
    </row>
    <row r="831" spans="1:38" ht="15.75" customHeight="1">
      <c r="A831" s="1">
        <v>545</v>
      </c>
      <c r="B831" s="1">
        <v>3</v>
      </c>
      <c r="C831" s="1">
        <v>4001</v>
      </c>
      <c r="D831" s="1" t="s">
        <v>51</v>
      </c>
      <c r="E831" s="1" t="s">
        <v>39</v>
      </c>
      <c r="F831" s="1" t="s">
        <v>414</v>
      </c>
      <c r="G831" s="1">
        <v>0</v>
      </c>
      <c r="H831" s="1" t="s">
        <v>53</v>
      </c>
      <c r="I831" s="1" t="s">
        <v>9819</v>
      </c>
      <c r="J831" s="1" t="s">
        <v>9820</v>
      </c>
      <c r="K831" s="1" t="s">
        <v>9821</v>
      </c>
      <c r="L831" s="1">
        <v>1</v>
      </c>
      <c r="M831" s="1">
        <v>0</v>
      </c>
      <c r="N831" s="1" t="s">
        <v>9822</v>
      </c>
      <c r="O831" s="1" t="s">
        <v>9823</v>
      </c>
      <c r="P831" s="1" t="s">
        <v>9824</v>
      </c>
      <c r="Q831" s="1">
        <v>0</v>
      </c>
      <c r="R831" s="1" t="s">
        <v>9825</v>
      </c>
      <c r="S831" s="1" t="s">
        <v>9826</v>
      </c>
      <c r="U831" s="2">
        <v>56770</v>
      </c>
      <c r="V831" s="1">
        <v>4.5999999999999996</v>
      </c>
      <c r="W831" s="1">
        <v>1500</v>
      </c>
      <c r="X831" s="1">
        <v>2499</v>
      </c>
      <c r="Y831" s="1">
        <v>1126</v>
      </c>
      <c r="Z831" s="1">
        <v>211</v>
      </c>
      <c r="AA831" s="1">
        <v>1162</v>
      </c>
      <c r="AB831" s="1">
        <v>0</v>
      </c>
      <c r="AC831" s="1">
        <v>3</v>
      </c>
      <c r="AD831" s="1" t="s">
        <v>76</v>
      </c>
      <c r="AE831" s="1" t="s">
        <v>9827</v>
      </c>
      <c r="AF831" s="1" t="s">
        <v>9828</v>
      </c>
      <c r="AG831" s="1" t="s">
        <v>9829</v>
      </c>
      <c r="AH831" s="1" t="s">
        <v>9830</v>
      </c>
      <c r="AI831" s="1">
        <v>4.58</v>
      </c>
      <c r="AJ831" s="1">
        <v>254</v>
      </c>
      <c r="AK831" s="1">
        <v>788</v>
      </c>
      <c r="AL831" s="1">
        <v>9</v>
      </c>
    </row>
    <row r="832" spans="1:38" ht="15.75" customHeight="1">
      <c r="A832" s="1">
        <v>1296</v>
      </c>
      <c r="B832" s="1">
        <v>5</v>
      </c>
      <c r="C832" s="1">
        <v>4001</v>
      </c>
      <c r="D832" s="1" t="s">
        <v>51</v>
      </c>
      <c r="E832" s="1" t="s">
        <v>39</v>
      </c>
      <c r="F832" s="1" t="s">
        <v>341</v>
      </c>
      <c r="G832" s="1">
        <v>0</v>
      </c>
      <c r="H832" s="1" t="s">
        <v>41</v>
      </c>
      <c r="I832" s="1" t="s">
        <v>9831</v>
      </c>
      <c r="J832" s="1" t="s">
        <v>9832</v>
      </c>
      <c r="K832" s="1" t="s">
        <v>9833</v>
      </c>
      <c r="L832" s="1">
        <v>1</v>
      </c>
      <c r="M832" s="1">
        <v>0</v>
      </c>
      <c r="N832" s="1" t="s">
        <v>9834</v>
      </c>
      <c r="O832" s="1" t="s">
        <v>9835</v>
      </c>
      <c r="P832" s="1" t="s">
        <v>9836</v>
      </c>
      <c r="Q832" s="1">
        <v>0</v>
      </c>
      <c r="R832" s="1" t="s">
        <v>9837</v>
      </c>
      <c r="S832" s="1" t="s">
        <v>9838</v>
      </c>
      <c r="U832" s="2">
        <v>56776</v>
      </c>
      <c r="V832" s="1">
        <v>3.1158632100000001</v>
      </c>
      <c r="W832" s="1">
        <v>1500</v>
      </c>
      <c r="X832" s="1">
        <v>2443</v>
      </c>
      <c r="Y832" s="1">
        <v>1146</v>
      </c>
      <c r="Z832" s="1">
        <v>583</v>
      </c>
      <c r="AA832" s="1">
        <v>714</v>
      </c>
      <c r="AB832" s="1">
        <v>0</v>
      </c>
      <c r="AC832" s="1">
        <v>2</v>
      </c>
      <c r="AD832" s="1" t="s">
        <v>62</v>
      </c>
      <c r="AE832" s="1" t="s">
        <v>9839</v>
      </c>
      <c r="AF832" s="1" t="s">
        <v>9840</v>
      </c>
      <c r="AG832" s="1" t="s">
        <v>9841</v>
      </c>
      <c r="AH832" s="1" t="s">
        <v>9842</v>
      </c>
      <c r="AI832" s="1">
        <v>4.54</v>
      </c>
      <c r="AJ832" s="1">
        <v>2229</v>
      </c>
      <c r="AK832" s="1">
        <v>6580</v>
      </c>
    </row>
    <row r="833" spans="1:38" ht="15.75" customHeight="1">
      <c r="A833" s="1">
        <v>327</v>
      </c>
      <c r="B833" s="1">
        <v>5</v>
      </c>
      <c r="C833" s="1">
        <v>4001</v>
      </c>
      <c r="D833" s="1" t="s">
        <v>51</v>
      </c>
      <c r="E833" s="1" t="s">
        <v>39</v>
      </c>
      <c r="F833" s="1" t="s">
        <v>648</v>
      </c>
      <c r="G833" s="1">
        <v>0</v>
      </c>
      <c r="H833" s="1" t="s">
        <v>53</v>
      </c>
      <c r="I833" s="1" t="s">
        <v>9843</v>
      </c>
      <c r="J833" s="1" t="s">
        <v>9844</v>
      </c>
      <c r="K833" s="1" t="s">
        <v>9845</v>
      </c>
      <c r="L833" s="1">
        <v>1</v>
      </c>
      <c r="M833" s="1">
        <v>0</v>
      </c>
      <c r="N833" s="1" t="s">
        <v>9846</v>
      </c>
      <c r="O833" s="1" t="s">
        <v>9847</v>
      </c>
      <c r="P833" s="1" t="s">
        <v>9848</v>
      </c>
      <c r="Q833" s="1">
        <v>0</v>
      </c>
      <c r="R833" s="1" t="s">
        <v>9849</v>
      </c>
      <c r="S833" s="1" t="s">
        <v>9850</v>
      </c>
      <c r="U833" s="2">
        <v>56768</v>
      </c>
      <c r="V833" s="1">
        <v>4.2</v>
      </c>
      <c r="W833" s="1">
        <v>1500</v>
      </c>
      <c r="X833" s="1">
        <v>2367</v>
      </c>
      <c r="Y833" s="1">
        <v>1103</v>
      </c>
      <c r="Z833" s="1">
        <v>80</v>
      </c>
      <c r="AA833" s="1">
        <v>1184</v>
      </c>
      <c r="AB833" s="1">
        <v>0</v>
      </c>
      <c r="AC833" s="1">
        <v>2</v>
      </c>
      <c r="AD833" s="1" t="s">
        <v>215</v>
      </c>
      <c r="AE833" s="1" t="s">
        <v>9851</v>
      </c>
      <c r="AF833" s="1" t="s">
        <v>9852</v>
      </c>
      <c r="AG833" s="1" t="s">
        <v>9853</v>
      </c>
      <c r="AH833" s="1" t="s">
        <v>9854</v>
      </c>
      <c r="AI833" s="1">
        <v>4.7</v>
      </c>
      <c r="AJ833" s="1">
        <v>443</v>
      </c>
      <c r="AK833" s="1">
        <v>1579</v>
      </c>
    </row>
    <row r="834" spans="1:38" ht="15.75" customHeight="1">
      <c r="A834" s="1">
        <v>187</v>
      </c>
      <c r="B834" s="1">
        <v>5</v>
      </c>
      <c r="C834" s="1">
        <v>4001</v>
      </c>
      <c r="D834" s="1" t="s">
        <v>51</v>
      </c>
      <c r="E834" s="1" t="s">
        <v>39</v>
      </c>
      <c r="F834" s="1" t="s">
        <v>232</v>
      </c>
      <c r="G834" s="1">
        <v>0</v>
      </c>
      <c r="H834" s="1" t="s">
        <v>53</v>
      </c>
      <c r="I834" s="1" t="s">
        <v>9855</v>
      </c>
      <c r="J834" s="1" t="s">
        <v>9856</v>
      </c>
      <c r="K834" s="1" t="s">
        <v>9857</v>
      </c>
      <c r="L834" s="1">
        <v>1</v>
      </c>
      <c r="M834" s="1">
        <v>0</v>
      </c>
      <c r="N834" s="1" t="s">
        <v>9858</v>
      </c>
      <c r="O834" s="1" t="s">
        <v>9859</v>
      </c>
      <c r="P834" s="1" t="s">
        <v>9860</v>
      </c>
      <c r="Q834" s="1">
        <v>0</v>
      </c>
      <c r="R834" s="1" t="s">
        <v>9861</v>
      </c>
      <c r="S834" s="1" t="s">
        <v>9862</v>
      </c>
      <c r="U834" s="2">
        <v>56767</v>
      </c>
      <c r="V834" s="1">
        <v>4.3</v>
      </c>
      <c r="W834" s="1">
        <v>1500</v>
      </c>
      <c r="X834" s="1">
        <v>1276</v>
      </c>
      <c r="Y834" s="1">
        <v>792</v>
      </c>
      <c r="AA834" s="1">
        <v>838</v>
      </c>
      <c r="AB834" s="1">
        <v>0</v>
      </c>
      <c r="AC834" s="1">
        <v>1</v>
      </c>
      <c r="AD834" s="1" t="s">
        <v>76</v>
      </c>
      <c r="AE834" s="1" t="s">
        <v>9863</v>
      </c>
      <c r="AF834" s="1" t="s">
        <v>9864</v>
      </c>
      <c r="AG834" s="1" t="s">
        <v>9865</v>
      </c>
      <c r="AH834" s="1" t="s">
        <v>9866</v>
      </c>
      <c r="AI834" s="1">
        <v>4.5599999999999996</v>
      </c>
      <c r="AJ834" s="1">
        <v>765</v>
      </c>
      <c r="AK834" s="1">
        <v>2618</v>
      </c>
    </row>
    <row r="835" spans="1:38" ht="15.75" customHeight="1">
      <c r="A835" s="1">
        <v>1276</v>
      </c>
      <c r="B835" s="1">
        <v>5</v>
      </c>
      <c r="C835" s="1">
        <v>4001</v>
      </c>
      <c r="D835" s="1" t="s">
        <v>51</v>
      </c>
      <c r="E835" s="1" t="s">
        <v>39</v>
      </c>
      <c r="F835" s="1" t="s">
        <v>341</v>
      </c>
      <c r="G835" s="1">
        <v>0</v>
      </c>
      <c r="H835" s="1" t="s">
        <v>41</v>
      </c>
      <c r="I835" s="1" t="s">
        <v>9867</v>
      </c>
      <c r="J835" s="1" t="s">
        <v>9868</v>
      </c>
      <c r="K835" s="1" t="s">
        <v>9869</v>
      </c>
      <c r="L835" s="1">
        <v>1</v>
      </c>
      <c r="M835" s="1">
        <v>0</v>
      </c>
      <c r="N835" s="1" t="s">
        <v>9870</v>
      </c>
      <c r="O835" s="1" t="s">
        <v>9871</v>
      </c>
      <c r="P835" s="1" t="s">
        <v>9872</v>
      </c>
      <c r="Q835" s="1">
        <v>0</v>
      </c>
      <c r="R835" s="1" t="s">
        <v>9873</v>
      </c>
      <c r="S835" s="1" t="s">
        <v>9874</v>
      </c>
      <c r="U835" s="2">
        <v>56776</v>
      </c>
      <c r="V835" s="1">
        <v>4.2</v>
      </c>
      <c r="W835" s="1">
        <v>1500</v>
      </c>
      <c r="X835" s="1">
        <v>2267</v>
      </c>
      <c r="Y835" s="1">
        <v>761</v>
      </c>
      <c r="Z835" s="1">
        <v>639</v>
      </c>
      <c r="AA835" s="1">
        <v>867</v>
      </c>
      <c r="AB835" s="1">
        <v>0</v>
      </c>
      <c r="AC835" s="1">
        <v>3</v>
      </c>
      <c r="AD835" s="1" t="s">
        <v>215</v>
      </c>
      <c r="AE835" s="1" t="s">
        <v>9875</v>
      </c>
      <c r="AF835" s="1" t="s">
        <v>9876</v>
      </c>
      <c r="AG835" s="1" t="s">
        <v>9877</v>
      </c>
      <c r="AH835" s="1" t="s">
        <v>9878</v>
      </c>
      <c r="AI835" s="1">
        <v>4.54</v>
      </c>
      <c r="AJ835" s="1">
        <v>2229</v>
      </c>
      <c r="AK835" s="1">
        <v>6580</v>
      </c>
    </row>
    <row r="836" spans="1:38" ht="15.75" customHeight="1">
      <c r="A836" s="1">
        <v>30</v>
      </c>
      <c r="B836" s="1">
        <v>5</v>
      </c>
      <c r="C836" s="1">
        <v>4050</v>
      </c>
      <c r="D836" s="1" t="s">
        <v>38</v>
      </c>
      <c r="E836" s="1" t="s">
        <v>39</v>
      </c>
      <c r="F836" s="1" t="s">
        <v>173</v>
      </c>
      <c r="G836" s="1">
        <v>0</v>
      </c>
      <c r="H836" s="1" t="s">
        <v>41</v>
      </c>
      <c r="I836" s="1" t="s">
        <v>9879</v>
      </c>
      <c r="J836" s="1" t="s">
        <v>9880</v>
      </c>
      <c r="K836" s="1" t="s">
        <v>9881</v>
      </c>
      <c r="L836" s="1">
        <v>1</v>
      </c>
      <c r="M836" s="1">
        <v>0</v>
      </c>
      <c r="N836" s="1" t="s">
        <v>9882</v>
      </c>
      <c r="O836" s="1" t="s">
        <v>9883</v>
      </c>
      <c r="P836" s="1" t="s">
        <v>9884</v>
      </c>
      <c r="Q836" s="1">
        <v>0</v>
      </c>
      <c r="R836" s="1" t="s">
        <v>9885</v>
      </c>
      <c r="S836" s="1" t="s">
        <v>9886</v>
      </c>
      <c r="U836" s="2">
        <v>56766</v>
      </c>
      <c r="V836" s="1">
        <v>4.5999999999999996</v>
      </c>
      <c r="W836" s="1">
        <v>1500</v>
      </c>
      <c r="X836" s="1">
        <v>2812</v>
      </c>
      <c r="Y836" s="1">
        <v>1326</v>
      </c>
      <c r="Z836" s="1">
        <v>466</v>
      </c>
      <c r="AA836" s="1">
        <v>1020</v>
      </c>
      <c r="AB836" s="1">
        <v>0</v>
      </c>
      <c r="AC836" s="1">
        <v>1</v>
      </c>
      <c r="AD836" s="1" t="s">
        <v>76</v>
      </c>
      <c r="AE836" s="1" t="s">
        <v>9887</v>
      </c>
      <c r="AF836" s="1" t="s">
        <v>9888</v>
      </c>
      <c r="AG836" s="1" t="s">
        <v>9889</v>
      </c>
      <c r="AH836" s="1" t="s">
        <v>9890</v>
      </c>
      <c r="AI836" s="1">
        <v>4.22</v>
      </c>
      <c r="AJ836" s="1">
        <v>1551</v>
      </c>
      <c r="AK836" s="1">
        <v>4625</v>
      </c>
    </row>
    <row r="837" spans="1:38" ht="15.75" customHeight="1">
      <c r="A837" s="1">
        <v>73</v>
      </c>
      <c r="C837" s="1">
        <v>4001</v>
      </c>
      <c r="D837" s="1" t="s">
        <v>51</v>
      </c>
      <c r="E837" s="1" t="s">
        <v>39</v>
      </c>
      <c r="F837" s="1" t="s">
        <v>232</v>
      </c>
      <c r="G837" s="1">
        <v>0</v>
      </c>
      <c r="H837" s="1" t="s">
        <v>53</v>
      </c>
      <c r="I837" s="1" t="s">
        <v>9891</v>
      </c>
      <c r="J837" s="1" t="s">
        <v>9892</v>
      </c>
      <c r="K837" s="1" t="s">
        <v>9893</v>
      </c>
      <c r="L837" s="1">
        <v>1</v>
      </c>
      <c r="M837" s="1">
        <v>0</v>
      </c>
      <c r="N837" s="1" t="s">
        <v>9894</v>
      </c>
      <c r="O837" s="1" t="s">
        <v>9895</v>
      </c>
      <c r="P837" s="1" t="s">
        <v>9896</v>
      </c>
      <c r="Q837" s="1">
        <v>0</v>
      </c>
      <c r="R837" s="1" t="s">
        <v>9897</v>
      </c>
      <c r="S837" s="1" t="s">
        <v>9898</v>
      </c>
      <c r="U837" s="2">
        <v>56766</v>
      </c>
      <c r="V837" s="1">
        <v>4.3</v>
      </c>
      <c r="W837" s="1">
        <v>1500</v>
      </c>
      <c r="X837" s="1">
        <v>2183</v>
      </c>
      <c r="Y837" s="1">
        <v>1372</v>
      </c>
      <c r="AA837" s="1">
        <v>824</v>
      </c>
      <c r="AB837" s="1">
        <v>0</v>
      </c>
      <c r="AC837" s="1">
        <v>1</v>
      </c>
      <c r="AD837" s="1" t="s">
        <v>76</v>
      </c>
      <c r="AE837" s="1" t="s">
        <v>9899</v>
      </c>
      <c r="AF837" s="1" t="s">
        <v>9900</v>
      </c>
      <c r="AG837" s="1" t="s">
        <v>9901</v>
      </c>
      <c r="AH837" s="1" t="s">
        <v>9902</v>
      </c>
      <c r="AI837" s="1">
        <v>4.5599999999999996</v>
      </c>
      <c r="AJ837" s="1">
        <v>765</v>
      </c>
      <c r="AK837" s="1">
        <v>2618</v>
      </c>
    </row>
    <row r="838" spans="1:38" ht="15.75" customHeight="1">
      <c r="A838" s="1">
        <v>168</v>
      </c>
      <c r="B838" s="1">
        <v>5</v>
      </c>
      <c r="C838" s="1">
        <v>4001</v>
      </c>
      <c r="D838" s="1" t="s">
        <v>51</v>
      </c>
      <c r="E838" s="1" t="s">
        <v>39</v>
      </c>
      <c r="F838" s="1" t="s">
        <v>414</v>
      </c>
      <c r="G838" s="1">
        <v>0</v>
      </c>
      <c r="H838" s="1" t="s">
        <v>53</v>
      </c>
      <c r="I838" s="1" t="s">
        <v>9903</v>
      </c>
      <c r="J838" s="1" t="s">
        <v>9904</v>
      </c>
      <c r="K838" s="1" t="s">
        <v>9905</v>
      </c>
      <c r="L838" s="1">
        <v>1</v>
      </c>
      <c r="M838" s="1">
        <v>0</v>
      </c>
      <c r="N838" s="1" t="s">
        <v>9906</v>
      </c>
      <c r="O838" s="1" t="s">
        <v>9907</v>
      </c>
      <c r="P838" s="1" t="s">
        <v>9908</v>
      </c>
      <c r="Q838" s="1">
        <v>0</v>
      </c>
      <c r="R838" s="1" t="s">
        <v>9909</v>
      </c>
      <c r="S838" s="1" t="s">
        <v>9910</v>
      </c>
      <c r="U838" s="2">
        <v>56767</v>
      </c>
      <c r="V838" s="1">
        <v>3.3797930389999999</v>
      </c>
      <c r="W838" s="1">
        <v>1500</v>
      </c>
      <c r="X838" s="1">
        <v>1355</v>
      </c>
      <c r="Y838" s="1">
        <v>172</v>
      </c>
      <c r="Z838" s="1">
        <v>501</v>
      </c>
      <c r="AA838" s="1">
        <v>682</v>
      </c>
      <c r="AB838" s="1">
        <v>0</v>
      </c>
      <c r="AC838" s="1">
        <v>1</v>
      </c>
      <c r="AD838" s="1" t="s">
        <v>215</v>
      </c>
      <c r="AE838" s="1" t="s">
        <v>9911</v>
      </c>
      <c r="AF838" s="1" t="s">
        <v>9912</v>
      </c>
      <c r="AG838" s="1" t="s">
        <v>9913</v>
      </c>
      <c r="AH838" s="1" t="s">
        <v>9914</v>
      </c>
      <c r="AI838" s="1">
        <v>4.58</v>
      </c>
      <c r="AJ838" s="1">
        <v>254</v>
      </c>
      <c r="AK838" s="1">
        <v>788</v>
      </c>
      <c r="AL838" s="1">
        <v>9</v>
      </c>
    </row>
    <row r="839" spans="1:38" ht="15.75" customHeight="1">
      <c r="A839" s="1">
        <v>287</v>
      </c>
      <c r="B839" s="1">
        <v>5</v>
      </c>
      <c r="C839" s="1">
        <v>4001</v>
      </c>
      <c r="D839" s="1" t="s">
        <v>51</v>
      </c>
      <c r="E839" s="1" t="s">
        <v>39</v>
      </c>
      <c r="F839" s="1" t="s">
        <v>305</v>
      </c>
      <c r="G839" s="1">
        <v>0</v>
      </c>
      <c r="H839" s="1" t="s">
        <v>53</v>
      </c>
      <c r="I839" s="1" t="s">
        <v>9915</v>
      </c>
      <c r="J839" s="1" t="s">
        <v>9916</v>
      </c>
      <c r="K839" s="1" t="s">
        <v>9917</v>
      </c>
      <c r="L839" s="1">
        <v>1</v>
      </c>
      <c r="M839" s="1">
        <v>0</v>
      </c>
      <c r="N839" s="1" t="s">
        <v>9918</v>
      </c>
      <c r="O839" s="1" t="s">
        <v>9919</v>
      </c>
      <c r="P839" s="1" t="s">
        <v>9920</v>
      </c>
      <c r="Q839" s="1">
        <v>0</v>
      </c>
      <c r="R839" s="1" t="s">
        <v>9921</v>
      </c>
      <c r="S839" s="1" t="s">
        <v>9922</v>
      </c>
      <c r="U839" s="2">
        <v>56768</v>
      </c>
      <c r="V839" s="1">
        <v>4.5350087180000003</v>
      </c>
      <c r="W839" s="1">
        <v>1500</v>
      </c>
      <c r="X839" s="1">
        <v>1142</v>
      </c>
      <c r="Y839" s="1">
        <v>431</v>
      </c>
      <c r="Z839" s="1">
        <v>391</v>
      </c>
      <c r="AA839" s="1">
        <v>320</v>
      </c>
      <c r="AB839" s="1">
        <v>0</v>
      </c>
      <c r="AC839" s="1">
        <v>1</v>
      </c>
      <c r="AD839" s="1" t="s">
        <v>215</v>
      </c>
      <c r="AE839" s="1" t="s">
        <v>9923</v>
      </c>
      <c r="AF839" s="1" t="s">
        <v>9924</v>
      </c>
      <c r="AG839" s="1" t="s">
        <v>9925</v>
      </c>
      <c r="AH839" s="1" t="s">
        <v>9926</v>
      </c>
      <c r="AI839" s="1">
        <v>4.5199999999999996</v>
      </c>
      <c r="AJ839" s="1">
        <v>183</v>
      </c>
      <c r="AK839" s="1">
        <v>522</v>
      </c>
    </row>
    <row r="840" spans="1:38" ht="15.75" customHeight="1">
      <c r="A840" s="1">
        <v>692</v>
      </c>
      <c r="B840" s="1">
        <v>5</v>
      </c>
      <c r="C840" s="1">
        <v>4001</v>
      </c>
      <c r="D840" s="1" t="s">
        <v>51</v>
      </c>
      <c r="E840" s="1" t="s">
        <v>39</v>
      </c>
      <c r="F840" s="1" t="s">
        <v>648</v>
      </c>
      <c r="G840" s="1">
        <v>0</v>
      </c>
      <c r="H840" s="1" t="s">
        <v>53</v>
      </c>
      <c r="I840" s="1" t="s">
        <v>9927</v>
      </c>
      <c r="J840" s="1" t="s">
        <v>9928</v>
      </c>
      <c r="K840" s="1" t="s">
        <v>9929</v>
      </c>
      <c r="L840" s="1">
        <v>1</v>
      </c>
      <c r="M840" s="1">
        <v>0</v>
      </c>
      <c r="N840" s="1" t="s">
        <v>9930</v>
      </c>
      <c r="O840" s="1" t="s">
        <v>9931</v>
      </c>
      <c r="P840" s="1" t="s">
        <v>9932</v>
      </c>
      <c r="Q840" s="1">
        <v>0</v>
      </c>
      <c r="R840" s="1" t="s">
        <v>9933</v>
      </c>
      <c r="S840" s="1" t="s">
        <v>9934</v>
      </c>
      <c r="U840" s="2">
        <v>56770</v>
      </c>
      <c r="V840" s="1">
        <v>3.6497971109999998</v>
      </c>
      <c r="W840" s="1">
        <v>1500</v>
      </c>
      <c r="X840" s="1">
        <v>1115</v>
      </c>
      <c r="Y840" s="1">
        <v>300</v>
      </c>
      <c r="Z840" s="1">
        <v>283</v>
      </c>
      <c r="AA840" s="1">
        <v>532</v>
      </c>
      <c r="AB840" s="1">
        <v>0</v>
      </c>
      <c r="AC840" s="1">
        <v>2</v>
      </c>
      <c r="AD840" s="1" t="s">
        <v>215</v>
      </c>
      <c r="AE840" s="1" t="s">
        <v>9935</v>
      </c>
      <c r="AF840" s="1" t="s">
        <v>9936</v>
      </c>
      <c r="AG840" s="1" t="s">
        <v>9937</v>
      </c>
      <c r="AH840" s="1" t="s">
        <v>9938</v>
      </c>
      <c r="AI840" s="1">
        <v>4.7</v>
      </c>
      <c r="AJ840" s="1">
        <v>443</v>
      </c>
      <c r="AK840" s="1">
        <v>1579</v>
      </c>
    </row>
    <row r="841" spans="1:38" ht="15.75" customHeight="1">
      <c r="A841" s="1">
        <v>825</v>
      </c>
      <c r="B841" s="1">
        <v>5</v>
      </c>
      <c r="C841" s="1">
        <v>4050</v>
      </c>
      <c r="D841" s="1" t="s">
        <v>38</v>
      </c>
      <c r="E841" s="1" t="s">
        <v>39</v>
      </c>
      <c r="F841" s="1" t="s">
        <v>365</v>
      </c>
      <c r="G841" s="1">
        <v>0</v>
      </c>
      <c r="H841" s="1" t="s">
        <v>41</v>
      </c>
      <c r="I841" s="1" t="s">
        <v>9939</v>
      </c>
      <c r="J841" s="1" t="s">
        <v>9940</v>
      </c>
      <c r="K841" s="1" t="s">
        <v>9940</v>
      </c>
      <c r="L841" s="1">
        <v>0</v>
      </c>
      <c r="M841" s="1">
        <v>0</v>
      </c>
      <c r="N841" s="1" t="s">
        <v>9941</v>
      </c>
      <c r="O841" s="1" t="s">
        <v>9942</v>
      </c>
      <c r="P841" s="1" t="s">
        <v>9943</v>
      </c>
      <c r="Q841" s="1">
        <v>0</v>
      </c>
      <c r="R841" s="1" t="s">
        <v>9944</v>
      </c>
      <c r="S841" s="1" t="s">
        <v>9945</v>
      </c>
      <c r="U841" s="2">
        <v>56772</v>
      </c>
      <c r="V841" s="1">
        <v>4.7</v>
      </c>
      <c r="W841" s="1">
        <v>1500</v>
      </c>
      <c r="X841" s="1">
        <v>1445</v>
      </c>
      <c r="Y841" s="1">
        <v>470</v>
      </c>
      <c r="Z841" s="1">
        <v>116</v>
      </c>
      <c r="AA841" s="1">
        <v>859</v>
      </c>
      <c r="AB841" s="1">
        <v>0</v>
      </c>
      <c r="AC841" s="1">
        <v>1</v>
      </c>
      <c r="AE841" s="1" t="s">
        <v>9946</v>
      </c>
      <c r="AF841" s="1" t="s">
        <v>9947</v>
      </c>
      <c r="AG841" s="1" t="s">
        <v>9948</v>
      </c>
      <c r="AH841" s="1" t="s">
        <v>9949</v>
      </c>
      <c r="AI841" s="1">
        <v>4.7699999999999996</v>
      </c>
      <c r="AJ841" s="1">
        <v>426</v>
      </c>
      <c r="AK841" s="1">
        <v>1226</v>
      </c>
      <c r="AL841" s="1">
        <v>85</v>
      </c>
    </row>
    <row r="842" spans="1:38" ht="15.75" customHeight="1">
      <c r="A842" s="1">
        <v>1492</v>
      </c>
      <c r="C842" s="1">
        <v>4001</v>
      </c>
      <c r="D842" s="1" t="s">
        <v>51</v>
      </c>
      <c r="E842" s="1" t="s">
        <v>39</v>
      </c>
      <c r="F842" s="1" t="s">
        <v>414</v>
      </c>
      <c r="G842" s="1">
        <v>0</v>
      </c>
      <c r="H842" s="1" t="s">
        <v>53</v>
      </c>
      <c r="I842" s="1" t="s">
        <v>9950</v>
      </c>
      <c r="J842" s="1" t="s">
        <v>9951</v>
      </c>
      <c r="K842" s="1" t="s">
        <v>9952</v>
      </c>
      <c r="L842" s="1">
        <v>1</v>
      </c>
      <c r="M842" s="1">
        <v>0</v>
      </c>
      <c r="N842" s="1" t="s">
        <v>9953</v>
      </c>
      <c r="O842" s="1" t="s">
        <v>9954</v>
      </c>
      <c r="P842" s="1" t="s">
        <v>9955</v>
      </c>
      <c r="Q842" s="1">
        <v>0</v>
      </c>
      <c r="R842" s="1" t="s">
        <v>9956</v>
      </c>
      <c r="S842" s="1" t="s">
        <v>9957</v>
      </c>
      <c r="U842" s="2">
        <v>56777</v>
      </c>
      <c r="V842" s="1">
        <v>3.4</v>
      </c>
      <c r="W842" s="1">
        <v>1500</v>
      </c>
      <c r="X842" s="1">
        <v>1043</v>
      </c>
      <c r="Y842" s="1">
        <v>158</v>
      </c>
      <c r="Z842" s="1">
        <v>296</v>
      </c>
      <c r="AA842" s="1">
        <v>589</v>
      </c>
      <c r="AB842" s="1">
        <v>0</v>
      </c>
      <c r="AC842" s="1">
        <v>1</v>
      </c>
      <c r="AD842" s="1" t="s">
        <v>215</v>
      </c>
      <c r="AE842" s="1" t="s">
        <v>9958</v>
      </c>
      <c r="AF842" s="1" t="s">
        <v>9959</v>
      </c>
      <c r="AG842" s="1" t="s">
        <v>9960</v>
      </c>
      <c r="AH842" s="1" t="s">
        <v>9961</v>
      </c>
      <c r="AI842" s="1">
        <v>4.58</v>
      </c>
      <c r="AJ842" s="1">
        <v>254</v>
      </c>
      <c r="AK842" s="1">
        <v>788</v>
      </c>
      <c r="AL842" s="1">
        <v>9</v>
      </c>
    </row>
    <row r="843" spans="1:38" ht="15.75" customHeight="1">
      <c r="A843" s="1">
        <v>1537</v>
      </c>
      <c r="C843" s="1">
        <v>4001</v>
      </c>
      <c r="D843" s="1" t="s">
        <v>51</v>
      </c>
      <c r="E843" s="1" t="s">
        <v>39</v>
      </c>
      <c r="F843" s="1" t="s">
        <v>52</v>
      </c>
      <c r="G843" s="1">
        <v>0</v>
      </c>
      <c r="H843" s="1" t="s">
        <v>53</v>
      </c>
      <c r="I843" s="1" t="s">
        <v>9962</v>
      </c>
      <c r="J843" s="1" t="s">
        <v>9963</v>
      </c>
      <c r="K843" s="1" t="s">
        <v>9964</v>
      </c>
      <c r="L843" s="1">
        <v>1</v>
      </c>
      <c r="M843" s="1">
        <v>0</v>
      </c>
      <c r="N843" s="1" t="s">
        <v>9965</v>
      </c>
      <c r="O843" s="1" t="s">
        <v>9966</v>
      </c>
      <c r="P843" s="1" t="s">
        <v>9967</v>
      </c>
      <c r="Q843" s="1">
        <v>0</v>
      </c>
      <c r="R843" s="1" t="s">
        <v>9968</v>
      </c>
      <c r="S843" s="1" t="s">
        <v>9969</v>
      </c>
      <c r="U843" s="2">
        <v>56777</v>
      </c>
      <c r="V843" s="1">
        <v>4.5</v>
      </c>
      <c r="W843" s="1">
        <v>1500</v>
      </c>
      <c r="X843" s="1">
        <v>2570</v>
      </c>
      <c r="Y843" s="1">
        <v>519</v>
      </c>
      <c r="Z843" s="1">
        <v>1380</v>
      </c>
      <c r="AA843" s="1">
        <v>671</v>
      </c>
      <c r="AB843" s="1">
        <v>0</v>
      </c>
      <c r="AC843" s="1">
        <v>2</v>
      </c>
      <c r="AD843" s="1" t="s">
        <v>62</v>
      </c>
      <c r="AE843" s="1" t="s">
        <v>9970</v>
      </c>
      <c r="AF843" s="1" t="s">
        <v>9971</v>
      </c>
      <c r="AG843" s="1" t="s">
        <v>9972</v>
      </c>
      <c r="AH843" s="1" t="s">
        <v>9973</v>
      </c>
      <c r="AI843" s="1">
        <v>4.17</v>
      </c>
      <c r="AJ843" s="1">
        <v>457</v>
      </c>
      <c r="AK843" s="1">
        <v>1599</v>
      </c>
    </row>
    <row r="844" spans="1:38" ht="15.75" customHeight="1">
      <c r="A844" s="1">
        <v>402</v>
      </c>
      <c r="B844" s="1">
        <v>4</v>
      </c>
      <c r="C844" s="1">
        <v>4001</v>
      </c>
      <c r="D844" s="1" t="s">
        <v>51</v>
      </c>
      <c r="E844" s="1" t="s">
        <v>39</v>
      </c>
      <c r="F844" s="1" t="s">
        <v>92</v>
      </c>
      <c r="G844" s="1">
        <v>0</v>
      </c>
      <c r="H844" s="1" t="s">
        <v>41</v>
      </c>
      <c r="I844" s="1" t="s">
        <v>9974</v>
      </c>
      <c r="J844" s="1" t="s">
        <v>9975</v>
      </c>
      <c r="K844" s="1" t="s">
        <v>9976</v>
      </c>
      <c r="L844" s="1">
        <v>1</v>
      </c>
      <c r="M844" s="1">
        <v>0</v>
      </c>
      <c r="N844" s="1" t="s">
        <v>9977</v>
      </c>
      <c r="O844" s="1" t="s">
        <v>9978</v>
      </c>
      <c r="P844" s="1" t="s">
        <v>9979</v>
      </c>
      <c r="Q844" s="1">
        <v>0</v>
      </c>
      <c r="R844" s="1" t="s">
        <v>9980</v>
      </c>
      <c r="S844" s="1" t="s">
        <v>9981</v>
      </c>
      <c r="U844" s="2">
        <v>56769</v>
      </c>
      <c r="V844" s="1">
        <v>3.4727281200000002</v>
      </c>
      <c r="W844" s="1">
        <v>1500</v>
      </c>
      <c r="X844" s="1">
        <v>2614</v>
      </c>
      <c r="Y844" s="1">
        <v>991</v>
      </c>
      <c r="Z844" s="1">
        <v>903</v>
      </c>
      <c r="AA844" s="1">
        <v>720</v>
      </c>
      <c r="AB844" s="1">
        <v>0</v>
      </c>
      <c r="AC844" s="1">
        <v>1</v>
      </c>
      <c r="AD844" s="1" t="s">
        <v>62</v>
      </c>
      <c r="AE844" s="1" t="s">
        <v>9982</v>
      </c>
      <c r="AF844" s="1" t="s">
        <v>9983</v>
      </c>
      <c r="AG844" s="1" t="s">
        <v>9984</v>
      </c>
      <c r="AH844" s="1" t="s">
        <v>9985</v>
      </c>
      <c r="AI844" s="1">
        <v>4.03</v>
      </c>
      <c r="AJ844" s="1">
        <v>505</v>
      </c>
      <c r="AK844" s="1">
        <v>1721</v>
      </c>
      <c r="AL844" s="1">
        <v>457</v>
      </c>
    </row>
    <row r="845" spans="1:38" ht="15.75" customHeight="1">
      <c r="A845" s="1">
        <v>925</v>
      </c>
      <c r="C845" s="1">
        <v>4001</v>
      </c>
      <c r="D845" s="1" t="s">
        <v>51</v>
      </c>
      <c r="E845" s="1" t="s">
        <v>39</v>
      </c>
      <c r="F845" s="1" t="s">
        <v>3110</v>
      </c>
      <c r="G845" s="1">
        <v>0</v>
      </c>
      <c r="H845" s="1" t="s">
        <v>53</v>
      </c>
      <c r="I845" s="1" t="s">
        <v>9986</v>
      </c>
      <c r="J845" s="1" t="s">
        <v>9987</v>
      </c>
      <c r="K845" s="1" t="s">
        <v>9987</v>
      </c>
      <c r="L845" s="1">
        <v>0</v>
      </c>
      <c r="M845" s="1">
        <v>0</v>
      </c>
      <c r="N845" s="1" t="s">
        <v>9988</v>
      </c>
      <c r="O845" s="1" t="s">
        <v>9989</v>
      </c>
      <c r="P845" s="1" t="s">
        <v>9990</v>
      </c>
      <c r="Q845" s="1">
        <v>0</v>
      </c>
      <c r="R845" s="1" t="s">
        <v>9991</v>
      </c>
      <c r="S845" s="1" t="s">
        <v>9992</v>
      </c>
      <c r="U845" s="2">
        <v>56773</v>
      </c>
      <c r="V845" s="1">
        <v>3.4727281200000002</v>
      </c>
      <c r="W845" s="1">
        <v>1500</v>
      </c>
      <c r="X845" s="1">
        <v>3217</v>
      </c>
      <c r="Y845" s="1">
        <v>1064</v>
      </c>
      <c r="Z845" s="1">
        <v>1318</v>
      </c>
      <c r="AA845" s="1">
        <v>835</v>
      </c>
      <c r="AB845" s="1">
        <v>0</v>
      </c>
      <c r="AC845" s="1">
        <v>1</v>
      </c>
      <c r="AE845" s="1" t="s">
        <v>9993</v>
      </c>
      <c r="AF845" s="1" t="s">
        <v>9994</v>
      </c>
      <c r="AG845" s="1" t="s">
        <v>9995</v>
      </c>
      <c r="AH845" s="1" t="s">
        <v>9996</v>
      </c>
      <c r="AI845" s="1">
        <v>4.47</v>
      </c>
      <c r="AJ845" s="1">
        <v>78</v>
      </c>
      <c r="AK845" s="1">
        <v>278</v>
      </c>
      <c r="AL845" s="1">
        <v>26</v>
      </c>
    </row>
    <row r="846" spans="1:38" ht="15.75" customHeight="1">
      <c r="A846" s="1">
        <v>117</v>
      </c>
      <c r="C846" s="1">
        <v>4001</v>
      </c>
      <c r="D846" s="1" t="s">
        <v>51</v>
      </c>
      <c r="E846" s="1" t="s">
        <v>39</v>
      </c>
      <c r="F846" s="1" t="s">
        <v>2021</v>
      </c>
      <c r="G846" s="1">
        <v>0</v>
      </c>
      <c r="H846" s="1" t="s">
        <v>53</v>
      </c>
      <c r="I846" s="1" t="s">
        <v>9997</v>
      </c>
      <c r="J846" s="1" t="s">
        <v>9998</v>
      </c>
      <c r="K846" s="1" t="s">
        <v>9998</v>
      </c>
      <c r="L846" s="1">
        <v>0</v>
      </c>
      <c r="M846" s="1">
        <v>0</v>
      </c>
      <c r="N846" s="1" t="s">
        <v>9999</v>
      </c>
      <c r="O846" s="1" t="s">
        <v>10000</v>
      </c>
      <c r="P846" s="1" t="s">
        <v>10001</v>
      </c>
      <c r="Q846" s="1">
        <v>0</v>
      </c>
      <c r="R846" s="1" t="s">
        <v>10002</v>
      </c>
      <c r="S846" s="1" t="s">
        <v>10003</v>
      </c>
      <c r="U846" s="2">
        <v>56767</v>
      </c>
      <c r="V846" s="1">
        <v>4.5999999999999996</v>
      </c>
      <c r="W846" s="1">
        <v>1500</v>
      </c>
      <c r="X846" s="1">
        <v>1725</v>
      </c>
      <c r="Y846" s="1">
        <v>525</v>
      </c>
      <c r="Z846" s="1">
        <v>243</v>
      </c>
      <c r="AA846" s="1">
        <v>957</v>
      </c>
      <c r="AB846" s="1">
        <v>0</v>
      </c>
      <c r="AC846" s="1">
        <v>3</v>
      </c>
      <c r="AD846" s="1" t="s">
        <v>215</v>
      </c>
      <c r="AE846" s="1" t="s">
        <v>10004</v>
      </c>
      <c r="AF846" s="1" t="s">
        <v>10005</v>
      </c>
      <c r="AG846" s="1" t="s">
        <v>10006</v>
      </c>
      <c r="AH846" s="1" t="s">
        <v>10007</v>
      </c>
      <c r="AI846" s="1">
        <v>4.8099999999999996</v>
      </c>
      <c r="AJ846" s="1">
        <v>747</v>
      </c>
      <c r="AK846" s="1">
        <v>2902</v>
      </c>
      <c r="AL846" s="1">
        <v>484</v>
      </c>
    </row>
    <row r="847" spans="1:38" ht="15.75" customHeight="1">
      <c r="A847" s="1">
        <v>328</v>
      </c>
      <c r="B847" s="1">
        <v>5</v>
      </c>
      <c r="C847" s="1">
        <v>4050</v>
      </c>
      <c r="D847" s="1" t="s">
        <v>38</v>
      </c>
      <c r="E847" s="1" t="s">
        <v>39</v>
      </c>
      <c r="F847" s="1" t="s">
        <v>510</v>
      </c>
      <c r="G847" s="1">
        <v>0</v>
      </c>
      <c r="H847" s="1" t="s">
        <v>41</v>
      </c>
      <c r="I847" s="1" t="s">
        <v>10008</v>
      </c>
      <c r="J847" s="1" t="s">
        <v>10009</v>
      </c>
      <c r="K847" s="1" t="s">
        <v>10010</v>
      </c>
      <c r="L847" s="1">
        <v>1</v>
      </c>
      <c r="M847" s="1">
        <v>0</v>
      </c>
      <c r="N847" s="1" t="s">
        <v>10011</v>
      </c>
      <c r="O847" s="1" t="s">
        <v>10012</v>
      </c>
      <c r="P847" s="1" t="s">
        <v>10013</v>
      </c>
      <c r="Q847" s="1">
        <v>0</v>
      </c>
      <c r="R847" s="1" t="s">
        <v>10014</v>
      </c>
      <c r="U847" s="2">
        <v>56768</v>
      </c>
      <c r="V847" s="1">
        <v>4.5999999999999996</v>
      </c>
      <c r="W847" s="1">
        <v>1500</v>
      </c>
      <c r="X847" s="1">
        <v>2250</v>
      </c>
      <c r="AA847" s="1">
        <v>1638</v>
      </c>
      <c r="AB847" s="1">
        <v>0</v>
      </c>
      <c r="AC847" s="1">
        <v>2</v>
      </c>
      <c r="AE847" s="1" t="s">
        <v>10015</v>
      </c>
      <c r="AF847" s="1" t="s">
        <v>10016</v>
      </c>
      <c r="AG847" s="1" t="s">
        <v>10017</v>
      </c>
      <c r="AI847" s="1">
        <v>4.62</v>
      </c>
      <c r="AJ847" s="1">
        <v>259</v>
      </c>
      <c r="AK847" s="1">
        <v>604</v>
      </c>
      <c r="AL847" s="1">
        <v>21</v>
      </c>
    </row>
    <row r="848" spans="1:38" ht="15.75" customHeight="1">
      <c r="A848" s="1">
        <v>573</v>
      </c>
      <c r="C848" s="1">
        <v>4001</v>
      </c>
      <c r="D848" s="1" t="s">
        <v>51</v>
      </c>
      <c r="E848" s="1" t="s">
        <v>39</v>
      </c>
      <c r="F848" s="1" t="s">
        <v>92</v>
      </c>
      <c r="G848" s="1">
        <v>0</v>
      </c>
      <c r="H848" s="1" t="s">
        <v>41</v>
      </c>
      <c r="I848" s="1" t="s">
        <v>10018</v>
      </c>
      <c r="J848" s="1" t="s">
        <v>10019</v>
      </c>
      <c r="K848" s="1" t="s">
        <v>10020</v>
      </c>
      <c r="L848" s="1">
        <v>1</v>
      </c>
      <c r="M848" s="1">
        <v>0</v>
      </c>
      <c r="N848" s="1" t="s">
        <v>10021</v>
      </c>
      <c r="O848" s="1" t="s">
        <v>10022</v>
      </c>
      <c r="P848" s="1" t="s">
        <v>10023</v>
      </c>
      <c r="Q848" s="1">
        <v>0</v>
      </c>
      <c r="R848" s="1" t="s">
        <v>10024</v>
      </c>
      <c r="S848" s="1" t="s">
        <v>10025</v>
      </c>
      <c r="U848" s="2">
        <v>56770</v>
      </c>
      <c r="V848" s="1">
        <v>4.5350087180000003</v>
      </c>
      <c r="W848" s="1">
        <v>1500</v>
      </c>
      <c r="X848" s="1">
        <v>1212</v>
      </c>
      <c r="Y848" s="1">
        <v>446</v>
      </c>
      <c r="Z848" s="1">
        <v>405</v>
      </c>
      <c r="AA848" s="1">
        <v>361</v>
      </c>
      <c r="AB848" s="1">
        <v>0</v>
      </c>
      <c r="AC848" s="1">
        <v>2</v>
      </c>
      <c r="AD848" s="1" t="s">
        <v>215</v>
      </c>
      <c r="AE848" s="1" t="s">
        <v>10026</v>
      </c>
      <c r="AF848" s="1" t="s">
        <v>10027</v>
      </c>
      <c r="AG848" s="1" t="s">
        <v>10028</v>
      </c>
      <c r="AH848" s="1" t="s">
        <v>10029</v>
      </c>
      <c r="AI848" s="1">
        <v>4.03</v>
      </c>
      <c r="AJ848" s="1">
        <v>505</v>
      </c>
      <c r="AK848" s="1">
        <v>1721</v>
      </c>
      <c r="AL848" s="1">
        <v>457</v>
      </c>
    </row>
    <row r="849" spans="1:38" ht="15.75" customHeight="1">
      <c r="A849" s="1">
        <v>282</v>
      </c>
      <c r="C849" s="1">
        <v>4050</v>
      </c>
      <c r="D849" s="1" t="s">
        <v>38</v>
      </c>
      <c r="E849" s="1" t="s">
        <v>39</v>
      </c>
      <c r="F849" s="1" t="s">
        <v>116</v>
      </c>
      <c r="G849" s="1">
        <v>0</v>
      </c>
      <c r="H849" s="1" t="s">
        <v>41</v>
      </c>
      <c r="I849" s="1" t="s">
        <v>10030</v>
      </c>
      <c r="J849" s="1" t="s">
        <v>10031</v>
      </c>
      <c r="K849" s="1" t="s">
        <v>10032</v>
      </c>
      <c r="L849" s="1">
        <v>1</v>
      </c>
      <c r="M849" s="1">
        <v>0</v>
      </c>
      <c r="N849" s="1" t="s">
        <v>10033</v>
      </c>
      <c r="O849" s="1" t="s">
        <v>10034</v>
      </c>
      <c r="P849" s="1" t="s">
        <v>10035</v>
      </c>
      <c r="Q849" s="1">
        <v>0</v>
      </c>
      <c r="R849" s="1" t="s">
        <v>10036</v>
      </c>
      <c r="S849" s="1" t="s">
        <v>10037</v>
      </c>
      <c r="U849" s="2">
        <v>56768</v>
      </c>
      <c r="V849" s="1">
        <v>4.5999999999999996</v>
      </c>
      <c r="W849" s="1">
        <v>1500</v>
      </c>
      <c r="X849" s="1">
        <v>1199</v>
      </c>
      <c r="Y849" s="1">
        <v>449</v>
      </c>
      <c r="Z849" s="1">
        <v>205</v>
      </c>
      <c r="AA849" s="1">
        <v>545</v>
      </c>
      <c r="AB849" s="1">
        <v>0</v>
      </c>
      <c r="AC849" s="1">
        <v>2</v>
      </c>
      <c r="AD849" s="1" t="s">
        <v>76</v>
      </c>
      <c r="AE849" s="1" t="s">
        <v>10038</v>
      </c>
      <c r="AF849" s="1" t="s">
        <v>10039</v>
      </c>
      <c r="AG849" s="1" t="s">
        <v>10040</v>
      </c>
      <c r="AH849" s="1" t="s">
        <v>10041</v>
      </c>
      <c r="AI849" s="1">
        <v>4.8899999999999997</v>
      </c>
      <c r="AJ849" s="1">
        <v>1778</v>
      </c>
      <c r="AK849" s="1">
        <v>5138</v>
      </c>
      <c r="AL849" s="1">
        <v>314</v>
      </c>
    </row>
    <row r="850" spans="1:38" ht="15.75" customHeight="1">
      <c r="A850" s="1">
        <v>658</v>
      </c>
      <c r="C850" s="1">
        <v>4001</v>
      </c>
      <c r="D850" s="1" t="s">
        <v>51</v>
      </c>
      <c r="E850" s="1" t="s">
        <v>39</v>
      </c>
      <c r="F850" s="1" t="s">
        <v>341</v>
      </c>
      <c r="G850" s="1">
        <v>0</v>
      </c>
      <c r="H850" s="1" t="s">
        <v>41</v>
      </c>
      <c r="I850" s="1" t="s">
        <v>10042</v>
      </c>
      <c r="J850" s="1" t="s">
        <v>10043</v>
      </c>
      <c r="K850" s="1" t="s">
        <v>10044</v>
      </c>
      <c r="L850" s="1">
        <v>1</v>
      </c>
      <c r="M850" s="1">
        <v>0</v>
      </c>
      <c r="N850" s="1" t="s">
        <v>10045</v>
      </c>
      <c r="O850" s="1" t="s">
        <v>10046</v>
      </c>
      <c r="P850" s="1" t="s">
        <v>10047</v>
      </c>
      <c r="Q850" s="1">
        <v>0</v>
      </c>
      <c r="R850" s="1" t="s">
        <v>10048</v>
      </c>
      <c r="S850" s="1" t="s">
        <v>10049</v>
      </c>
      <c r="U850" s="2">
        <v>56770</v>
      </c>
      <c r="V850" s="1">
        <v>4.2</v>
      </c>
      <c r="W850" s="1">
        <v>1500</v>
      </c>
      <c r="X850" s="1">
        <v>2036</v>
      </c>
      <c r="Y850" s="1">
        <v>685</v>
      </c>
      <c r="Z850" s="1">
        <v>300</v>
      </c>
      <c r="AA850" s="1">
        <v>1051</v>
      </c>
      <c r="AB850" s="1">
        <v>1</v>
      </c>
      <c r="AC850" s="1">
        <v>2</v>
      </c>
      <c r="AE850" s="1" t="s">
        <v>10050</v>
      </c>
      <c r="AF850" s="1" t="s">
        <v>10051</v>
      </c>
      <c r="AG850" s="1" t="s">
        <v>10052</v>
      </c>
      <c r="AH850" s="1" t="s">
        <v>10053</v>
      </c>
      <c r="AI850" s="1">
        <v>4.54</v>
      </c>
      <c r="AJ850" s="1">
        <v>2229</v>
      </c>
      <c r="AK850" s="1">
        <v>6580</v>
      </c>
    </row>
    <row r="851" spans="1:38" ht="15.75" customHeight="1">
      <c r="A851" s="1">
        <v>122</v>
      </c>
      <c r="B851" s="1">
        <v>5</v>
      </c>
      <c r="C851" s="1">
        <v>4050</v>
      </c>
      <c r="D851" s="1" t="s">
        <v>38</v>
      </c>
      <c r="E851" s="1" t="s">
        <v>39</v>
      </c>
      <c r="F851" s="1" t="s">
        <v>1153</v>
      </c>
      <c r="G851" s="1">
        <v>0</v>
      </c>
      <c r="H851" s="1" t="s">
        <v>41</v>
      </c>
      <c r="I851" s="1" t="s">
        <v>10054</v>
      </c>
      <c r="J851" s="1" t="s">
        <v>10055</v>
      </c>
      <c r="K851" s="1" t="s">
        <v>10056</v>
      </c>
      <c r="L851" s="1">
        <v>1</v>
      </c>
      <c r="M851" s="1">
        <v>0</v>
      </c>
      <c r="N851" s="1" t="s">
        <v>10057</v>
      </c>
      <c r="O851" s="1" t="s">
        <v>10058</v>
      </c>
      <c r="P851" s="1" t="s">
        <v>10059</v>
      </c>
      <c r="Q851" s="1">
        <v>0</v>
      </c>
      <c r="R851" s="1" t="s">
        <v>10060</v>
      </c>
      <c r="S851" s="1" t="s">
        <v>10061</v>
      </c>
      <c r="U851" s="2">
        <v>56767</v>
      </c>
      <c r="V851" s="1">
        <v>4.5999999999999996</v>
      </c>
      <c r="W851" s="1">
        <v>1500</v>
      </c>
      <c r="X851" s="1">
        <v>2010</v>
      </c>
      <c r="Y851" s="1">
        <v>403</v>
      </c>
      <c r="Z851" s="1">
        <v>269</v>
      </c>
      <c r="AA851" s="1">
        <v>1338</v>
      </c>
      <c r="AB851" s="1">
        <v>0</v>
      </c>
      <c r="AC851" s="1">
        <v>2</v>
      </c>
      <c r="AD851" s="1" t="s">
        <v>62</v>
      </c>
      <c r="AE851" s="1" t="s">
        <v>10062</v>
      </c>
      <c r="AF851" s="1" t="s">
        <v>10063</v>
      </c>
      <c r="AG851" s="1" t="s">
        <v>10064</v>
      </c>
      <c r="AH851" s="1" t="s">
        <v>10065</v>
      </c>
      <c r="AI851" s="1">
        <v>4.58</v>
      </c>
      <c r="AJ851" s="1">
        <v>679</v>
      </c>
      <c r="AK851" s="1">
        <v>2371</v>
      </c>
      <c r="AL851" s="1">
        <v>1830</v>
      </c>
    </row>
    <row r="852" spans="1:38" ht="15.75" customHeight="1">
      <c r="A852" s="1">
        <v>929</v>
      </c>
      <c r="B852" s="1">
        <v>5</v>
      </c>
      <c r="C852" s="1">
        <v>4001</v>
      </c>
      <c r="D852" s="1" t="s">
        <v>51</v>
      </c>
      <c r="E852" s="1" t="s">
        <v>39</v>
      </c>
      <c r="F852" s="1" t="s">
        <v>414</v>
      </c>
      <c r="G852" s="1">
        <v>0</v>
      </c>
      <c r="H852" s="1" t="s">
        <v>53</v>
      </c>
      <c r="I852" s="1" t="s">
        <v>10066</v>
      </c>
      <c r="J852" s="1" t="s">
        <v>10067</v>
      </c>
      <c r="K852" s="1" t="s">
        <v>10068</v>
      </c>
      <c r="L852" s="1">
        <v>1</v>
      </c>
      <c r="M852" s="1">
        <v>0</v>
      </c>
      <c r="N852" s="1" t="s">
        <v>10069</v>
      </c>
      <c r="O852" s="1" t="s">
        <v>10070</v>
      </c>
      <c r="P852" s="1" t="s">
        <v>10071</v>
      </c>
      <c r="Q852" s="1">
        <v>0</v>
      </c>
      <c r="R852" s="1" t="s">
        <v>10072</v>
      </c>
      <c r="S852" s="1" t="s">
        <v>10073</v>
      </c>
      <c r="U852" s="2">
        <v>56773</v>
      </c>
      <c r="V852" s="1">
        <v>4.3</v>
      </c>
      <c r="W852" s="1">
        <v>1500</v>
      </c>
      <c r="X852" s="1">
        <v>1610</v>
      </c>
      <c r="Y852" s="1">
        <v>627</v>
      </c>
      <c r="Z852" s="1">
        <v>347</v>
      </c>
      <c r="AA852" s="1">
        <v>636</v>
      </c>
      <c r="AB852" s="1">
        <v>0</v>
      </c>
      <c r="AC852" s="1">
        <v>2</v>
      </c>
      <c r="AD852" s="1" t="s">
        <v>62</v>
      </c>
      <c r="AE852" s="1" t="s">
        <v>10074</v>
      </c>
      <c r="AF852" s="1" t="s">
        <v>10075</v>
      </c>
      <c r="AG852" s="1" t="s">
        <v>10076</v>
      </c>
      <c r="AH852" s="1" t="s">
        <v>10077</v>
      </c>
      <c r="AI852" s="1">
        <v>4.58</v>
      </c>
      <c r="AJ852" s="1">
        <v>254</v>
      </c>
      <c r="AK852" s="1">
        <v>788</v>
      </c>
      <c r="AL852" s="1">
        <v>9</v>
      </c>
    </row>
    <row r="853" spans="1:38" ht="15.75" customHeight="1">
      <c r="A853" s="1">
        <v>1212</v>
      </c>
      <c r="B853" s="1">
        <v>5</v>
      </c>
      <c r="C853" s="1">
        <v>4001</v>
      </c>
      <c r="D853" s="1" t="s">
        <v>51</v>
      </c>
      <c r="E853" s="1" t="s">
        <v>39</v>
      </c>
      <c r="F853" s="1" t="s">
        <v>1915</v>
      </c>
      <c r="G853" s="1">
        <v>0</v>
      </c>
      <c r="H853" s="1" t="s">
        <v>53</v>
      </c>
      <c r="I853" s="1" t="s">
        <v>10078</v>
      </c>
      <c r="J853" s="1" t="s">
        <v>10079</v>
      </c>
      <c r="K853" s="1" t="s">
        <v>10080</v>
      </c>
      <c r="L853" s="1">
        <v>1</v>
      </c>
      <c r="M853" s="1">
        <v>0</v>
      </c>
      <c r="N853" s="1" t="s">
        <v>10081</v>
      </c>
      <c r="O853" s="1" t="s">
        <v>10082</v>
      </c>
      <c r="P853" s="1" t="s">
        <v>10083</v>
      </c>
      <c r="Q853" s="1">
        <v>0</v>
      </c>
      <c r="R853" s="1" t="s">
        <v>10084</v>
      </c>
      <c r="S853" s="1" t="s">
        <v>10085</v>
      </c>
      <c r="U853" s="2">
        <v>56775</v>
      </c>
      <c r="V853" s="1">
        <v>4.3</v>
      </c>
      <c r="W853" s="1">
        <v>1500</v>
      </c>
      <c r="X853" s="1">
        <v>1893</v>
      </c>
      <c r="Z853" s="1">
        <v>437</v>
      </c>
      <c r="AA853" s="1">
        <v>1458</v>
      </c>
      <c r="AB853" s="1">
        <v>0</v>
      </c>
      <c r="AC853" s="1">
        <v>3</v>
      </c>
      <c r="AE853" s="1" t="s">
        <v>10086</v>
      </c>
      <c r="AF853" s="1" t="s">
        <v>10087</v>
      </c>
      <c r="AG853" s="1" t="s">
        <v>10088</v>
      </c>
      <c r="AH853" s="1" t="s">
        <v>10089</v>
      </c>
      <c r="AI853" s="1">
        <v>4.63</v>
      </c>
      <c r="AJ853" s="1">
        <v>242</v>
      </c>
      <c r="AK853" s="1">
        <v>736</v>
      </c>
    </row>
    <row r="854" spans="1:38" ht="15.75" customHeight="1">
      <c r="A854" s="1">
        <v>472</v>
      </c>
      <c r="B854" s="1">
        <v>4</v>
      </c>
      <c r="C854" s="1">
        <v>4050</v>
      </c>
      <c r="D854" s="1" t="s">
        <v>38</v>
      </c>
      <c r="E854" s="1" t="s">
        <v>39</v>
      </c>
      <c r="F854" s="1" t="s">
        <v>1348</v>
      </c>
      <c r="G854" s="1">
        <v>0</v>
      </c>
      <c r="H854" s="1" t="s">
        <v>41</v>
      </c>
      <c r="I854" s="1" t="s">
        <v>10090</v>
      </c>
      <c r="J854" s="1" t="s">
        <v>10091</v>
      </c>
      <c r="K854" s="1" t="s">
        <v>10092</v>
      </c>
      <c r="L854" s="1">
        <v>1</v>
      </c>
      <c r="M854" s="1">
        <v>0</v>
      </c>
      <c r="N854" s="1" t="s">
        <v>10093</v>
      </c>
      <c r="O854" s="1" t="s">
        <v>10094</v>
      </c>
      <c r="P854" s="1" t="s">
        <v>10095</v>
      </c>
      <c r="Q854" s="1">
        <v>0</v>
      </c>
      <c r="R854" s="1" t="s">
        <v>10096</v>
      </c>
      <c r="S854" s="1" t="s">
        <v>10097</v>
      </c>
      <c r="U854" s="2">
        <v>56769</v>
      </c>
      <c r="V854" s="1">
        <v>4.7</v>
      </c>
      <c r="W854" s="1">
        <v>1500</v>
      </c>
      <c r="X854" s="1">
        <v>1504</v>
      </c>
      <c r="Y854" s="1">
        <v>715</v>
      </c>
      <c r="Z854" s="1">
        <v>231</v>
      </c>
      <c r="AA854" s="1">
        <v>558</v>
      </c>
      <c r="AB854" s="1">
        <v>0</v>
      </c>
      <c r="AC854" s="1">
        <v>1</v>
      </c>
      <c r="AE854" s="1" t="s">
        <v>10098</v>
      </c>
      <c r="AF854" s="1" t="s">
        <v>10099</v>
      </c>
      <c r="AG854" s="1" t="s">
        <v>10100</v>
      </c>
      <c r="AH854" s="1" t="s">
        <v>10101</v>
      </c>
      <c r="AI854" s="1">
        <v>4.79</v>
      </c>
      <c r="AJ854" s="1">
        <v>1007</v>
      </c>
      <c r="AK854" s="1">
        <v>2899</v>
      </c>
      <c r="AL854" s="1">
        <v>1301</v>
      </c>
    </row>
    <row r="855" spans="1:38" ht="15.75" customHeight="1">
      <c r="A855" s="1">
        <v>562</v>
      </c>
      <c r="C855" s="1">
        <v>4050</v>
      </c>
      <c r="D855" s="1" t="s">
        <v>38</v>
      </c>
      <c r="E855" s="1" t="s">
        <v>39</v>
      </c>
      <c r="F855" s="1" t="s">
        <v>1323</v>
      </c>
      <c r="G855" s="1">
        <v>0</v>
      </c>
      <c r="H855" s="1" t="s">
        <v>41</v>
      </c>
      <c r="I855" s="1" t="s">
        <v>10102</v>
      </c>
      <c r="J855" s="1" t="s">
        <v>10103</v>
      </c>
      <c r="K855" s="1" t="s">
        <v>10104</v>
      </c>
      <c r="L855" s="1">
        <v>1</v>
      </c>
      <c r="M855" s="1">
        <v>0</v>
      </c>
      <c r="N855" s="1" t="s">
        <v>10105</v>
      </c>
      <c r="O855" s="1" t="s">
        <v>10106</v>
      </c>
      <c r="P855" s="1" t="s">
        <v>10107</v>
      </c>
      <c r="Q855" s="1">
        <v>0</v>
      </c>
      <c r="R855" s="1" t="s">
        <v>10108</v>
      </c>
      <c r="S855" s="1" t="s">
        <v>10109</v>
      </c>
      <c r="U855" s="2">
        <v>56770</v>
      </c>
      <c r="V855" s="1">
        <v>3.5301882610000002</v>
      </c>
      <c r="W855" s="1">
        <v>1500</v>
      </c>
      <c r="X855" s="1">
        <v>1641</v>
      </c>
      <c r="Y855" s="1">
        <v>633</v>
      </c>
      <c r="Z855" s="1">
        <v>311</v>
      </c>
      <c r="AA855" s="1">
        <v>697</v>
      </c>
      <c r="AB855" s="1">
        <v>0</v>
      </c>
      <c r="AC855" s="1">
        <v>6</v>
      </c>
      <c r="AD855" s="1" t="s">
        <v>62</v>
      </c>
      <c r="AE855" s="1" t="s">
        <v>10110</v>
      </c>
      <c r="AF855" s="1" t="s">
        <v>10111</v>
      </c>
      <c r="AG855" s="1" t="s">
        <v>10112</v>
      </c>
      <c r="AH855" s="1" t="s">
        <v>10113</v>
      </c>
      <c r="AI855" s="1">
        <v>4.57</v>
      </c>
      <c r="AJ855" s="1">
        <v>234</v>
      </c>
      <c r="AK855" s="1">
        <v>726</v>
      </c>
      <c r="AL855" s="1">
        <v>99</v>
      </c>
    </row>
    <row r="856" spans="1:38" ht="15.75" customHeight="1">
      <c r="A856" s="1">
        <v>58</v>
      </c>
      <c r="C856" s="1">
        <v>4001</v>
      </c>
      <c r="D856" s="1" t="s">
        <v>51</v>
      </c>
      <c r="E856" s="1" t="s">
        <v>39</v>
      </c>
      <c r="F856" s="1" t="s">
        <v>341</v>
      </c>
      <c r="G856" s="1">
        <v>0</v>
      </c>
      <c r="H856" s="1" t="s">
        <v>41</v>
      </c>
      <c r="I856" s="1" t="s">
        <v>10114</v>
      </c>
      <c r="J856" s="1" t="s">
        <v>10115</v>
      </c>
      <c r="K856" s="1" t="s">
        <v>10116</v>
      </c>
      <c r="L856" s="1">
        <v>1</v>
      </c>
      <c r="M856" s="1">
        <v>0</v>
      </c>
      <c r="N856" s="1" t="s">
        <v>10117</v>
      </c>
      <c r="O856" s="1" t="s">
        <v>10118</v>
      </c>
      <c r="P856" s="1" t="s">
        <v>10119</v>
      </c>
      <c r="Q856" s="1">
        <v>0</v>
      </c>
      <c r="R856" s="1" t="s">
        <v>10120</v>
      </c>
      <c r="S856" s="1" t="s">
        <v>10121</v>
      </c>
      <c r="U856" s="2">
        <v>56766</v>
      </c>
      <c r="V856" s="1">
        <v>4</v>
      </c>
      <c r="W856" s="1">
        <v>1500</v>
      </c>
      <c r="X856" s="1">
        <v>1646</v>
      </c>
      <c r="Y856" s="1">
        <v>243</v>
      </c>
      <c r="Z856" s="1">
        <v>357</v>
      </c>
      <c r="AA856" s="1">
        <v>1046</v>
      </c>
      <c r="AB856" s="1">
        <v>1</v>
      </c>
      <c r="AC856" s="1">
        <v>4</v>
      </c>
      <c r="AE856" s="1" t="s">
        <v>10122</v>
      </c>
      <c r="AF856" s="1" t="s">
        <v>10123</v>
      </c>
      <c r="AG856" s="1" t="s">
        <v>10124</v>
      </c>
      <c r="AH856" s="1" t="s">
        <v>10125</v>
      </c>
      <c r="AI856" s="1">
        <v>4.54</v>
      </c>
      <c r="AJ856" s="1">
        <v>2229</v>
      </c>
      <c r="AK856" s="1">
        <v>6580</v>
      </c>
    </row>
    <row r="857" spans="1:38" ht="15.75" customHeight="1">
      <c r="A857" s="1">
        <v>137</v>
      </c>
      <c r="B857" s="1">
        <v>5</v>
      </c>
      <c r="C857" s="1">
        <v>4050</v>
      </c>
      <c r="D857" s="1" t="s">
        <v>38</v>
      </c>
      <c r="E857" s="1" t="s">
        <v>39</v>
      </c>
      <c r="F857" s="1" t="s">
        <v>1372</v>
      </c>
      <c r="G857" s="1">
        <v>0</v>
      </c>
      <c r="H857" s="1" t="s">
        <v>41</v>
      </c>
      <c r="I857" s="1" t="s">
        <v>10126</v>
      </c>
      <c r="J857" s="1" t="s">
        <v>10127</v>
      </c>
      <c r="K857" s="1" t="s">
        <v>10128</v>
      </c>
      <c r="L857" s="1">
        <v>1</v>
      </c>
      <c r="M857" s="1">
        <v>0</v>
      </c>
      <c r="N857" s="1" t="s">
        <v>10129</v>
      </c>
      <c r="O857" s="1" t="s">
        <v>10130</v>
      </c>
      <c r="P857" s="1" t="s">
        <v>10131</v>
      </c>
      <c r="Q857" s="1">
        <v>0</v>
      </c>
      <c r="R857" s="1" t="s">
        <v>10132</v>
      </c>
      <c r="S857" s="1" t="s">
        <v>10133</v>
      </c>
      <c r="U857" s="2">
        <v>56767</v>
      </c>
      <c r="V857" s="1">
        <v>4.5999999999999996</v>
      </c>
      <c r="W857" s="1">
        <v>1500</v>
      </c>
      <c r="X857" s="1">
        <v>2028</v>
      </c>
      <c r="Y857" s="1">
        <v>608</v>
      </c>
      <c r="Z857" s="1">
        <v>320</v>
      </c>
      <c r="AA857" s="1">
        <v>1100</v>
      </c>
      <c r="AB857" s="1">
        <v>0</v>
      </c>
      <c r="AC857" s="1">
        <v>1</v>
      </c>
      <c r="AD857" s="1" t="s">
        <v>215</v>
      </c>
      <c r="AE857" s="1" t="s">
        <v>10134</v>
      </c>
      <c r="AF857" s="1" t="s">
        <v>10135</v>
      </c>
      <c r="AG857" s="1" t="s">
        <v>10136</v>
      </c>
      <c r="AH857" s="1" t="s">
        <v>10137</v>
      </c>
      <c r="AI857" s="1">
        <v>4.4111111110000003</v>
      </c>
      <c r="AJ857" s="1">
        <v>68</v>
      </c>
      <c r="AK857" s="1">
        <v>223</v>
      </c>
      <c r="AL857" s="1">
        <v>118</v>
      </c>
    </row>
    <row r="858" spans="1:38" ht="15.75" customHeight="1">
      <c r="A858" s="1">
        <v>555</v>
      </c>
      <c r="C858" s="1">
        <v>4050</v>
      </c>
      <c r="D858" s="1" t="s">
        <v>38</v>
      </c>
      <c r="E858" s="1" t="s">
        <v>39</v>
      </c>
      <c r="F858" s="1" t="s">
        <v>280</v>
      </c>
      <c r="G858" s="1">
        <v>0</v>
      </c>
      <c r="H858" s="1" t="s">
        <v>41</v>
      </c>
      <c r="I858" s="1" t="s">
        <v>10138</v>
      </c>
      <c r="J858" s="1" t="s">
        <v>10139</v>
      </c>
      <c r="K858" s="1" t="s">
        <v>10140</v>
      </c>
      <c r="L858" s="1">
        <v>1</v>
      </c>
      <c r="M858" s="1">
        <v>0</v>
      </c>
      <c r="N858" s="1" t="s">
        <v>10141</v>
      </c>
      <c r="O858" s="1" t="s">
        <v>10142</v>
      </c>
      <c r="P858" s="1" t="s">
        <v>10143</v>
      </c>
      <c r="Q858" s="1">
        <v>0</v>
      </c>
      <c r="R858" s="1" t="s">
        <v>10144</v>
      </c>
      <c r="S858" s="1" t="s">
        <v>10145</v>
      </c>
      <c r="U858" s="2">
        <v>56770</v>
      </c>
      <c r="V858" s="1">
        <v>4.5</v>
      </c>
      <c r="W858" s="1">
        <v>1500</v>
      </c>
      <c r="X858" s="1">
        <v>1458</v>
      </c>
      <c r="Y858" s="1">
        <v>366</v>
      </c>
      <c r="Z858" s="1">
        <v>282</v>
      </c>
      <c r="AA858" s="1">
        <v>810</v>
      </c>
      <c r="AB858" s="1">
        <v>0</v>
      </c>
      <c r="AC858" s="1">
        <v>4</v>
      </c>
      <c r="AD858" s="1" t="s">
        <v>62</v>
      </c>
      <c r="AE858" s="1" t="s">
        <v>10146</v>
      </c>
      <c r="AF858" s="1" t="s">
        <v>10147</v>
      </c>
      <c r="AG858" s="1" t="s">
        <v>10148</v>
      </c>
      <c r="AH858" s="1" t="s">
        <v>10149</v>
      </c>
      <c r="AI858" s="1">
        <v>4.49</v>
      </c>
      <c r="AJ858" s="1">
        <v>2315</v>
      </c>
      <c r="AK858" s="1">
        <v>7039</v>
      </c>
      <c r="AL858" s="1">
        <v>763</v>
      </c>
    </row>
    <row r="859" spans="1:38" ht="15.75" customHeight="1">
      <c r="A859" s="1">
        <v>1005</v>
      </c>
      <c r="B859" s="1">
        <v>5</v>
      </c>
      <c r="C859" s="1">
        <v>4001</v>
      </c>
      <c r="D859" s="1" t="s">
        <v>51</v>
      </c>
      <c r="E859" s="1" t="s">
        <v>39</v>
      </c>
      <c r="F859" s="1" t="s">
        <v>52</v>
      </c>
      <c r="G859" s="1">
        <v>0</v>
      </c>
      <c r="H859" s="1" t="s">
        <v>53</v>
      </c>
      <c r="I859" s="1" t="s">
        <v>10150</v>
      </c>
      <c r="J859" s="1" t="s">
        <v>10151</v>
      </c>
      <c r="K859" s="1" t="s">
        <v>10152</v>
      </c>
      <c r="L859" s="1">
        <v>1</v>
      </c>
      <c r="M859" s="1">
        <v>0</v>
      </c>
      <c r="N859" s="1" t="s">
        <v>10153</v>
      </c>
      <c r="O859" s="1" t="s">
        <v>10154</v>
      </c>
      <c r="P859" s="1" t="s">
        <v>10155</v>
      </c>
      <c r="Q859" s="1">
        <v>0</v>
      </c>
      <c r="R859" s="1" t="s">
        <v>10156</v>
      </c>
      <c r="S859" s="1" t="s">
        <v>10157</v>
      </c>
      <c r="U859" s="2">
        <v>56773</v>
      </c>
      <c r="V859" s="1">
        <v>3.2614118520000002</v>
      </c>
      <c r="W859" s="1">
        <v>1500</v>
      </c>
      <c r="X859" s="1">
        <v>1333</v>
      </c>
      <c r="Y859" s="1">
        <v>357</v>
      </c>
      <c r="Z859" s="1">
        <v>306</v>
      </c>
      <c r="AA859" s="1">
        <v>670</v>
      </c>
      <c r="AB859" s="1">
        <v>0</v>
      </c>
      <c r="AC859" s="1">
        <v>1</v>
      </c>
      <c r="AD859" s="1" t="s">
        <v>215</v>
      </c>
      <c r="AE859" s="1" t="s">
        <v>10158</v>
      </c>
      <c r="AF859" s="1" t="s">
        <v>10159</v>
      </c>
      <c r="AG859" s="1" t="s">
        <v>10160</v>
      </c>
      <c r="AH859" s="1" t="s">
        <v>10161</v>
      </c>
      <c r="AI859" s="1">
        <v>4.17</v>
      </c>
      <c r="AJ859" s="1">
        <v>457</v>
      </c>
      <c r="AK859" s="1">
        <v>1599</v>
      </c>
    </row>
    <row r="860" spans="1:38" ht="15.75" customHeight="1">
      <c r="A860" s="1">
        <v>616</v>
      </c>
      <c r="C860" s="1">
        <v>4050</v>
      </c>
      <c r="D860" s="1" t="s">
        <v>38</v>
      </c>
      <c r="E860" s="1" t="s">
        <v>39</v>
      </c>
      <c r="F860" s="1" t="s">
        <v>451</v>
      </c>
      <c r="G860" s="1">
        <v>0</v>
      </c>
      <c r="H860" s="1" t="s">
        <v>41</v>
      </c>
      <c r="I860" s="1" t="s">
        <v>10162</v>
      </c>
      <c r="J860" s="1" t="s">
        <v>10163</v>
      </c>
      <c r="K860" s="1" t="s">
        <v>10164</v>
      </c>
      <c r="L860" s="1">
        <v>1</v>
      </c>
      <c r="M860" s="1">
        <v>0</v>
      </c>
      <c r="N860" s="1" t="s">
        <v>10165</v>
      </c>
      <c r="O860" s="1" t="s">
        <v>10166</v>
      </c>
      <c r="P860" s="1" t="s">
        <v>10167</v>
      </c>
      <c r="Q860" s="1">
        <v>0</v>
      </c>
      <c r="R860" s="1" t="s">
        <v>10168</v>
      </c>
      <c r="S860" s="1" t="s">
        <v>10169</v>
      </c>
      <c r="U860" s="2">
        <v>56770</v>
      </c>
      <c r="V860" s="1">
        <v>4.7</v>
      </c>
      <c r="W860" s="1">
        <v>1500</v>
      </c>
      <c r="X860" s="1">
        <v>2695</v>
      </c>
      <c r="Y860" s="1">
        <v>1357</v>
      </c>
      <c r="Z860" s="1">
        <v>203</v>
      </c>
      <c r="AA860" s="1">
        <v>1135</v>
      </c>
      <c r="AB860" s="1">
        <v>0</v>
      </c>
      <c r="AC860" s="1">
        <v>1</v>
      </c>
      <c r="AD860" s="1" t="s">
        <v>76</v>
      </c>
      <c r="AE860" s="1" t="s">
        <v>10170</v>
      </c>
      <c r="AF860" s="1" t="s">
        <v>10171</v>
      </c>
      <c r="AG860" s="1" t="s">
        <v>10172</v>
      </c>
      <c r="AH860" s="1" t="s">
        <v>10173</v>
      </c>
      <c r="AI860" s="1">
        <v>4.7</v>
      </c>
      <c r="AJ860" s="1">
        <v>272</v>
      </c>
      <c r="AK860" s="1">
        <v>931</v>
      </c>
      <c r="AL860" s="1">
        <v>144</v>
      </c>
    </row>
    <row r="861" spans="1:38" ht="15.75" customHeight="1">
      <c r="A861" s="1">
        <v>812</v>
      </c>
      <c r="B861" s="1">
        <v>5</v>
      </c>
      <c r="C861" s="1">
        <v>4050</v>
      </c>
      <c r="D861" s="1" t="s">
        <v>38</v>
      </c>
      <c r="E861" s="1" t="s">
        <v>39</v>
      </c>
      <c r="F861" s="1" t="s">
        <v>40</v>
      </c>
      <c r="G861" s="1">
        <v>0</v>
      </c>
      <c r="H861" s="1" t="s">
        <v>41</v>
      </c>
      <c r="I861" s="1" t="s">
        <v>10174</v>
      </c>
      <c r="J861" s="1" t="s">
        <v>10175</v>
      </c>
      <c r="K861" s="1" t="s">
        <v>10176</v>
      </c>
      <c r="L861" s="1">
        <v>1</v>
      </c>
      <c r="M861" s="1">
        <v>0</v>
      </c>
      <c r="N861" s="1" t="s">
        <v>10177</v>
      </c>
      <c r="O861" s="1" t="s">
        <v>10178</v>
      </c>
      <c r="P861" s="1" t="s">
        <v>10179</v>
      </c>
      <c r="Q861" s="1">
        <v>0</v>
      </c>
      <c r="R861" s="1" t="s">
        <v>10180</v>
      </c>
      <c r="U861" s="2">
        <v>56771</v>
      </c>
      <c r="V861" s="1">
        <v>4.7</v>
      </c>
      <c r="W861" s="1">
        <v>1500</v>
      </c>
      <c r="X861" s="1">
        <v>1458</v>
      </c>
      <c r="AA861" s="1">
        <v>559</v>
      </c>
      <c r="AB861" s="1">
        <v>0</v>
      </c>
      <c r="AC861" s="1">
        <v>4</v>
      </c>
      <c r="AE861" s="1" t="s">
        <v>10181</v>
      </c>
      <c r="AF861" s="1" t="s">
        <v>10182</v>
      </c>
      <c r="AG861" s="1" t="s">
        <v>10183</v>
      </c>
      <c r="AI861" s="1">
        <v>4.7</v>
      </c>
      <c r="AJ861" s="1">
        <v>1261</v>
      </c>
      <c r="AK861" s="1">
        <v>3264</v>
      </c>
      <c r="AL861" s="1">
        <v>232</v>
      </c>
    </row>
    <row r="862" spans="1:38" ht="15.75" customHeight="1">
      <c r="A862" s="1">
        <v>864</v>
      </c>
      <c r="C862" s="1">
        <v>4050</v>
      </c>
      <c r="D862" s="1" t="s">
        <v>38</v>
      </c>
      <c r="E862" s="1" t="s">
        <v>39</v>
      </c>
      <c r="F862" s="1" t="s">
        <v>116</v>
      </c>
      <c r="G862" s="1">
        <v>0</v>
      </c>
      <c r="H862" s="1" t="s">
        <v>41</v>
      </c>
      <c r="I862" s="1" t="s">
        <v>10184</v>
      </c>
      <c r="J862" s="1" t="s">
        <v>10185</v>
      </c>
      <c r="K862" s="1" t="s">
        <v>10186</v>
      </c>
      <c r="L862" s="1">
        <v>1</v>
      </c>
      <c r="M862" s="1">
        <v>0</v>
      </c>
      <c r="N862" s="1" t="s">
        <v>10187</v>
      </c>
      <c r="O862" s="1" t="s">
        <v>10188</v>
      </c>
      <c r="P862" s="1" t="s">
        <v>10189</v>
      </c>
      <c r="Q862" s="1">
        <v>0</v>
      </c>
      <c r="R862" s="1" t="s">
        <v>10190</v>
      </c>
      <c r="S862" s="1" t="s">
        <v>10191</v>
      </c>
      <c r="U862" s="2">
        <v>56772</v>
      </c>
      <c r="V862" s="1">
        <v>4.5</v>
      </c>
      <c r="W862" s="1">
        <v>1500</v>
      </c>
      <c r="X862" s="1">
        <v>1959</v>
      </c>
      <c r="Y862" s="1">
        <v>762</v>
      </c>
      <c r="Z862" s="1">
        <v>418</v>
      </c>
      <c r="AA862" s="1">
        <v>779</v>
      </c>
      <c r="AB862" s="1">
        <v>0</v>
      </c>
      <c r="AC862" s="1">
        <v>2</v>
      </c>
      <c r="AD862" s="1" t="s">
        <v>215</v>
      </c>
      <c r="AE862" s="1" t="s">
        <v>10192</v>
      </c>
      <c r="AF862" s="1" t="s">
        <v>10193</v>
      </c>
      <c r="AG862" s="1" t="s">
        <v>10194</v>
      </c>
      <c r="AH862" s="1" t="s">
        <v>10195</v>
      </c>
      <c r="AI862" s="1">
        <v>4.8899999999999997</v>
      </c>
      <c r="AJ862" s="1">
        <v>1778</v>
      </c>
      <c r="AK862" s="1">
        <v>5138</v>
      </c>
      <c r="AL862" s="1">
        <v>314</v>
      </c>
    </row>
    <row r="863" spans="1:38" ht="15.75" customHeight="1">
      <c r="A863" s="1">
        <v>502</v>
      </c>
      <c r="B863" s="1">
        <v>5</v>
      </c>
      <c r="C863" s="1">
        <v>4001</v>
      </c>
      <c r="D863" s="1" t="s">
        <v>51</v>
      </c>
      <c r="E863" s="1" t="s">
        <v>39</v>
      </c>
      <c r="F863" s="1" t="s">
        <v>414</v>
      </c>
      <c r="G863" s="1">
        <v>0</v>
      </c>
      <c r="H863" s="1" t="s">
        <v>53</v>
      </c>
      <c r="I863" s="1" t="s">
        <v>10196</v>
      </c>
      <c r="J863" s="1" t="s">
        <v>10197</v>
      </c>
      <c r="K863" s="1" t="s">
        <v>10198</v>
      </c>
      <c r="L863" s="1">
        <v>1</v>
      </c>
      <c r="M863" s="1">
        <v>0</v>
      </c>
      <c r="N863" s="1" t="s">
        <v>10199</v>
      </c>
      <c r="O863" s="1" t="s">
        <v>10200</v>
      </c>
      <c r="P863" s="1" t="s">
        <v>10201</v>
      </c>
      <c r="Q863" s="1">
        <v>0</v>
      </c>
      <c r="R863" s="1" t="s">
        <v>10202</v>
      </c>
      <c r="S863" s="1" t="s">
        <v>10203</v>
      </c>
      <c r="U863" s="2">
        <v>56769</v>
      </c>
      <c r="V863" s="1">
        <v>4.3</v>
      </c>
      <c r="W863" s="1">
        <v>1500</v>
      </c>
      <c r="X863" s="1">
        <v>2400</v>
      </c>
      <c r="Y863" s="1">
        <v>265</v>
      </c>
      <c r="Z863" s="1">
        <v>1247</v>
      </c>
      <c r="AA863" s="1">
        <v>888</v>
      </c>
      <c r="AB863" s="1">
        <v>0</v>
      </c>
      <c r="AC863" s="1">
        <v>2</v>
      </c>
      <c r="AD863" s="1" t="s">
        <v>62</v>
      </c>
      <c r="AE863" s="1" t="s">
        <v>10204</v>
      </c>
      <c r="AF863" s="1" t="s">
        <v>10205</v>
      </c>
      <c r="AG863" s="1" t="s">
        <v>10206</v>
      </c>
      <c r="AH863" s="1" t="s">
        <v>10207</v>
      </c>
      <c r="AI863" s="1">
        <v>4.58</v>
      </c>
      <c r="AJ863" s="1">
        <v>254</v>
      </c>
      <c r="AK863" s="1">
        <v>788</v>
      </c>
      <c r="AL863" s="1">
        <v>9</v>
      </c>
    </row>
    <row r="864" spans="1:38" ht="15.75" customHeight="1">
      <c r="A864" s="1">
        <v>310</v>
      </c>
      <c r="B864" s="1">
        <v>3</v>
      </c>
      <c r="C864" s="1">
        <v>4001</v>
      </c>
      <c r="D864" s="1" t="s">
        <v>51</v>
      </c>
      <c r="E864" s="1" t="s">
        <v>39</v>
      </c>
      <c r="F864" s="1" t="s">
        <v>648</v>
      </c>
      <c r="G864" s="1">
        <v>0</v>
      </c>
      <c r="H864" s="1" t="s">
        <v>53</v>
      </c>
      <c r="I864" s="1" t="s">
        <v>10208</v>
      </c>
      <c r="J864" s="1" t="s">
        <v>10209</v>
      </c>
      <c r="K864" s="1" t="s">
        <v>10210</v>
      </c>
      <c r="L864" s="1">
        <v>1</v>
      </c>
      <c r="M864" s="1">
        <v>0</v>
      </c>
      <c r="N864" s="1" t="s">
        <v>10211</v>
      </c>
      <c r="O864" s="1" t="s">
        <v>10212</v>
      </c>
      <c r="P864" s="1" t="s">
        <v>10213</v>
      </c>
      <c r="Q864" s="1">
        <v>0</v>
      </c>
      <c r="R864" s="1" t="s">
        <v>10214</v>
      </c>
      <c r="S864" s="1" t="s">
        <v>10215</v>
      </c>
      <c r="U864" s="2">
        <v>56768</v>
      </c>
      <c r="V864" s="1">
        <v>4.3</v>
      </c>
      <c r="W864" s="1">
        <v>1500</v>
      </c>
      <c r="X864" s="1">
        <v>1957</v>
      </c>
      <c r="Y864" s="1">
        <v>283</v>
      </c>
      <c r="Z864" s="1">
        <v>721</v>
      </c>
      <c r="AA864" s="1">
        <v>953</v>
      </c>
      <c r="AB864" s="1">
        <v>0</v>
      </c>
      <c r="AC864" s="1">
        <v>3</v>
      </c>
      <c r="AD864" s="1" t="s">
        <v>215</v>
      </c>
      <c r="AE864" s="1" t="s">
        <v>10216</v>
      </c>
      <c r="AF864" s="1" t="s">
        <v>10217</v>
      </c>
      <c r="AG864" s="1" t="s">
        <v>10218</v>
      </c>
      <c r="AH864" s="1" t="s">
        <v>10219</v>
      </c>
      <c r="AI864" s="1">
        <v>4.7</v>
      </c>
      <c r="AJ864" s="1">
        <v>443</v>
      </c>
      <c r="AK864" s="1">
        <v>1579</v>
      </c>
    </row>
    <row r="865" spans="1:38" ht="15.75" customHeight="1">
      <c r="A865" s="1">
        <v>400</v>
      </c>
      <c r="C865" s="1">
        <v>4001</v>
      </c>
      <c r="D865" s="1" t="s">
        <v>51</v>
      </c>
      <c r="E865" s="1" t="s">
        <v>39</v>
      </c>
      <c r="F865" s="1" t="s">
        <v>92</v>
      </c>
      <c r="G865" s="1">
        <v>0</v>
      </c>
      <c r="H865" s="1" t="s">
        <v>41</v>
      </c>
      <c r="I865" s="1" t="s">
        <v>10220</v>
      </c>
      <c r="J865" s="1" t="s">
        <v>8259</v>
      </c>
      <c r="K865" s="1" t="s">
        <v>8259</v>
      </c>
      <c r="L865" s="1">
        <v>0</v>
      </c>
      <c r="M865" s="1">
        <v>0</v>
      </c>
      <c r="N865" s="1" t="s">
        <v>10221</v>
      </c>
      <c r="O865" s="1" t="s">
        <v>10222</v>
      </c>
      <c r="P865" s="1" t="s">
        <v>10223</v>
      </c>
      <c r="Q865" s="1">
        <v>0</v>
      </c>
      <c r="R865" s="1" t="s">
        <v>10224</v>
      </c>
      <c r="S865" s="1" t="s">
        <v>10225</v>
      </c>
      <c r="U865" s="2">
        <v>56769</v>
      </c>
      <c r="V865" s="1">
        <v>4.5</v>
      </c>
      <c r="W865" s="1">
        <v>1500</v>
      </c>
      <c r="X865" s="1">
        <v>1490</v>
      </c>
      <c r="Y865" s="1">
        <v>104</v>
      </c>
      <c r="Z865" s="1">
        <v>648</v>
      </c>
      <c r="AA865" s="1">
        <v>738</v>
      </c>
      <c r="AB865" s="1">
        <v>0</v>
      </c>
      <c r="AC865" s="1">
        <v>3</v>
      </c>
      <c r="AD865" s="1" t="s">
        <v>62</v>
      </c>
      <c r="AE865" s="1" t="s">
        <v>10226</v>
      </c>
      <c r="AF865" s="1" t="s">
        <v>10227</v>
      </c>
      <c r="AG865" s="1" t="s">
        <v>10228</v>
      </c>
      <c r="AH865" s="1" t="s">
        <v>10229</v>
      </c>
      <c r="AI865" s="1">
        <v>4.03</v>
      </c>
      <c r="AJ865" s="1">
        <v>505</v>
      </c>
      <c r="AK865" s="1">
        <v>1721</v>
      </c>
      <c r="AL865" s="1">
        <v>457</v>
      </c>
    </row>
    <row r="866" spans="1:38" ht="15.75" customHeight="1">
      <c r="A866" s="1">
        <v>128</v>
      </c>
      <c r="C866" s="1">
        <v>4050</v>
      </c>
      <c r="D866" s="1" t="s">
        <v>38</v>
      </c>
      <c r="E866" s="1" t="s">
        <v>39</v>
      </c>
      <c r="F866" s="1" t="s">
        <v>280</v>
      </c>
      <c r="G866" s="1">
        <v>0</v>
      </c>
      <c r="H866" s="1" t="s">
        <v>41</v>
      </c>
      <c r="I866" s="1" t="s">
        <v>10230</v>
      </c>
      <c r="J866" s="1" t="s">
        <v>10231</v>
      </c>
      <c r="K866" s="1" t="s">
        <v>10232</v>
      </c>
      <c r="L866" s="1">
        <v>1</v>
      </c>
      <c r="M866" s="1">
        <v>0</v>
      </c>
      <c r="N866" s="1" t="s">
        <v>10233</v>
      </c>
      <c r="O866" s="1" t="s">
        <v>10234</v>
      </c>
      <c r="P866" s="1" t="s">
        <v>10235</v>
      </c>
      <c r="Q866" s="1">
        <v>0</v>
      </c>
      <c r="R866" s="1" t="s">
        <v>10236</v>
      </c>
      <c r="S866" s="1" t="s">
        <v>10237</v>
      </c>
      <c r="U866" s="2">
        <v>56767</v>
      </c>
      <c r="V866" s="1">
        <v>4.5999999999999996</v>
      </c>
      <c r="W866" s="1">
        <v>1500</v>
      </c>
      <c r="X866" s="1">
        <v>2128</v>
      </c>
      <c r="Y866" s="1">
        <v>238</v>
      </c>
      <c r="Z866" s="1">
        <v>470</v>
      </c>
      <c r="AA866" s="1">
        <v>1420</v>
      </c>
      <c r="AB866" s="1">
        <v>1</v>
      </c>
      <c r="AC866" s="1">
        <v>1</v>
      </c>
      <c r="AE866" s="1" t="s">
        <v>10238</v>
      </c>
      <c r="AF866" s="1" t="s">
        <v>10239</v>
      </c>
      <c r="AG866" s="1" t="s">
        <v>10240</v>
      </c>
      <c r="AH866" s="1" t="s">
        <v>10241</v>
      </c>
      <c r="AI866" s="1">
        <v>4.49</v>
      </c>
      <c r="AJ866" s="1">
        <v>2315</v>
      </c>
      <c r="AK866" s="1">
        <v>7039</v>
      </c>
      <c r="AL866" s="1">
        <v>763</v>
      </c>
    </row>
    <row r="867" spans="1:38" ht="15.75" customHeight="1">
      <c r="A867" s="1">
        <v>148</v>
      </c>
      <c r="B867" s="1">
        <v>5</v>
      </c>
      <c r="C867" s="1">
        <v>4001</v>
      </c>
      <c r="D867" s="1" t="s">
        <v>51</v>
      </c>
      <c r="E867" s="1" t="s">
        <v>39</v>
      </c>
      <c r="F867" s="1" t="s">
        <v>341</v>
      </c>
      <c r="G867" s="1">
        <v>0</v>
      </c>
      <c r="H867" s="1" t="s">
        <v>41</v>
      </c>
      <c r="I867" s="1" t="s">
        <v>10242</v>
      </c>
      <c r="J867" s="1" t="s">
        <v>10243</v>
      </c>
      <c r="K867" s="1" t="s">
        <v>10244</v>
      </c>
      <c r="L867" s="1">
        <v>1</v>
      </c>
      <c r="M867" s="1">
        <v>0</v>
      </c>
      <c r="N867" s="1" t="s">
        <v>10245</v>
      </c>
      <c r="O867" s="1" t="s">
        <v>10246</v>
      </c>
      <c r="P867" s="1" t="s">
        <v>10247</v>
      </c>
      <c r="Q867" s="1">
        <v>0</v>
      </c>
      <c r="R867" s="1" t="s">
        <v>10248</v>
      </c>
      <c r="S867" s="1" t="s">
        <v>10249</v>
      </c>
      <c r="U867" s="2">
        <v>56767</v>
      </c>
      <c r="V867" s="1">
        <v>4.5999999999999996</v>
      </c>
      <c r="W867" s="1">
        <v>1500</v>
      </c>
      <c r="X867" s="1">
        <v>1242</v>
      </c>
      <c r="Y867" s="1">
        <v>330</v>
      </c>
      <c r="Z867" s="1">
        <v>95</v>
      </c>
      <c r="AA867" s="1">
        <v>817</v>
      </c>
      <c r="AB867" s="1">
        <v>0</v>
      </c>
      <c r="AC867" s="1">
        <v>1</v>
      </c>
      <c r="AD867" s="1" t="s">
        <v>215</v>
      </c>
      <c r="AE867" s="1" t="s">
        <v>10250</v>
      </c>
      <c r="AF867" s="1" t="s">
        <v>10251</v>
      </c>
      <c r="AG867" s="1" t="s">
        <v>10252</v>
      </c>
      <c r="AH867" s="1" t="s">
        <v>10253</v>
      </c>
      <c r="AI867" s="1">
        <v>4.54</v>
      </c>
      <c r="AJ867" s="1">
        <v>2229</v>
      </c>
      <c r="AK867" s="1">
        <v>6580</v>
      </c>
    </row>
    <row r="868" spans="1:38" ht="15.75" customHeight="1">
      <c r="A868" s="1">
        <v>337</v>
      </c>
      <c r="B868" s="1">
        <v>5</v>
      </c>
      <c r="C868" s="1">
        <v>4050</v>
      </c>
      <c r="D868" s="1" t="s">
        <v>38</v>
      </c>
      <c r="E868" s="1" t="s">
        <v>39</v>
      </c>
      <c r="F868" s="1" t="s">
        <v>510</v>
      </c>
      <c r="G868" s="1">
        <v>0</v>
      </c>
      <c r="H868" s="1" t="s">
        <v>41</v>
      </c>
      <c r="I868" s="1" t="s">
        <v>10254</v>
      </c>
      <c r="J868" s="1" t="s">
        <v>10255</v>
      </c>
      <c r="K868" s="1" t="s">
        <v>10256</v>
      </c>
      <c r="L868" s="1">
        <v>1</v>
      </c>
      <c r="M868" s="1">
        <v>0</v>
      </c>
      <c r="N868" s="1" t="s">
        <v>10257</v>
      </c>
      <c r="O868" s="1" t="s">
        <v>10258</v>
      </c>
      <c r="P868" s="1" t="s">
        <v>10259</v>
      </c>
      <c r="Q868" s="1">
        <v>0</v>
      </c>
      <c r="R868" s="1" t="s">
        <v>10260</v>
      </c>
      <c r="S868" s="1" t="s">
        <v>10261</v>
      </c>
      <c r="U868" s="2">
        <v>56768</v>
      </c>
      <c r="V868" s="1">
        <v>4.5</v>
      </c>
      <c r="W868" s="1">
        <v>1500</v>
      </c>
      <c r="X868" s="1">
        <v>1763</v>
      </c>
      <c r="Y868" s="1">
        <v>984</v>
      </c>
      <c r="Z868" s="1">
        <v>22</v>
      </c>
      <c r="AA868" s="1">
        <v>757</v>
      </c>
      <c r="AB868" s="1">
        <v>0</v>
      </c>
      <c r="AC868" s="1">
        <v>1</v>
      </c>
      <c r="AD868" s="1" t="s">
        <v>76</v>
      </c>
      <c r="AE868" s="1" t="s">
        <v>10262</v>
      </c>
      <c r="AF868" s="1" t="s">
        <v>10263</v>
      </c>
      <c r="AG868" s="1" t="s">
        <v>10264</v>
      </c>
      <c r="AH868" s="1" t="s">
        <v>10265</v>
      </c>
      <c r="AI868" s="1">
        <v>4.62</v>
      </c>
      <c r="AJ868" s="1">
        <v>259</v>
      </c>
      <c r="AK868" s="1">
        <v>604</v>
      </c>
      <c r="AL868" s="1">
        <v>21</v>
      </c>
    </row>
    <row r="869" spans="1:38" ht="15.75" customHeight="1">
      <c r="A869" s="1">
        <v>491</v>
      </c>
      <c r="C869" s="1">
        <v>4050</v>
      </c>
      <c r="D869" s="1" t="s">
        <v>38</v>
      </c>
      <c r="E869" s="1" t="s">
        <v>39</v>
      </c>
      <c r="F869" s="1" t="s">
        <v>1348</v>
      </c>
      <c r="G869" s="1">
        <v>0</v>
      </c>
      <c r="H869" s="1" t="s">
        <v>41</v>
      </c>
      <c r="I869" s="1" t="s">
        <v>10266</v>
      </c>
      <c r="J869" s="1" t="s">
        <v>10267</v>
      </c>
      <c r="K869" s="1" t="s">
        <v>10268</v>
      </c>
      <c r="L869" s="1">
        <v>1</v>
      </c>
      <c r="M869" s="1">
        <v>0</v>
      </c>
      <c r="N869" s="1" t="s">
        <v>10269</v>
      </c>
      <c r="O869" s="1" t="s">
        <v>10270</v>
      </c>
      <c r="P869" s="1" t="s">
        <v>10271</v>
      </c>
      <c r="Q869" s="1">
        <v>0</v>
      </c>
      <c r="R869" s="1" t="s">
        <v>10272</v>
      </c>
      <c r="S869" s="1" t="s">
        <v>10273</v>
      </c>
      <c r="U869" s="2">
        <v>56769</v>
      </c>
      <c r="V869" s="1">
        <v>4.5</v>
      </c>
      <c r="W869" s="1">
        <v>1500</v>
      </c>
      <c r="X869" s="1">
        <v>1225</v>
      </c>
      <c r="Y869" s="1">
        <v>301</v>
      </c>
      <c r="Z869" s="1">
        <v>123</v>
      </c>
      <c r="AA869" s="1">
        <v>801</v>
      </c>
      <c r="AB869" s="1">
        <v>0</v>
      </c>
      <c r="AC869" s="1">
        <v>1</v>
      </c>
      <c r="AD869" s="1" t="s">
        <v>76</v>
      </c>
      <c r="AE869" s="1" t="s">
        <v>10274</v>
      </c>
      <c r="AF869" s="1" t="s">
        <v>10275</v>
      </c>
      <c r="AG869" s="1" t="s">
        <v>10276</v>
      </c>
      <c r="AH869" s="1" t="s">
        <v>10277</v>
      </c>
      <c r="AI869" s="1">
        <v>4.79</v>
      </c>
      <c r="AJ869" s="1">
        <v>1007</v>
      </c>
      <c r="AK869" s="1">
        <v>2899</v>
      </c>
      <c r="AL869" s="1">
        <v>1301</v>
      </c>
    </row>
    <row r="870" spans="1:38" ht="15.75" customHeight="1">
      <c r="A870" s="1">
        <v>777</v>
      </c>
      <c r="C870" s="1">
        <v>4050</v>
      </c>
      <c r="D870" s="1" t="s">
        <v>38</v>
      </c>
      <c r="E870" s="1" t="s">
        <v>39</v>
      </c>
      <c r="F870" s="1" t="s">
        <v>40</v>
      </c>
      <c r="G870" s="1">
        <v>0</v>
      </c>
      <c r="H870" s="1" t="s">
        <v>41</v>
      </c>
      <c r="I870" s="1" t="s">
        <v>10278</v>
      </c>
      <c r="J870" s="1" t="s">
        <v>10279</v>
      </c>
      <c r="K870" s="1" t="s">
        <v>10280</v>
      </c>
      <c r="L870" s="1">
        <v>1</v>
      </c>
      <c r="M870" s="1">
        <v>0</v>
      </c>
      <c r="N870" s="1" t="s">
        <v>10281</v>
      </c>
      <c r="O870" s="1" t="s">
        <v>10282</v>
      </c>
      <c r="P870" s="1" t="s">
        <v>10283</v>
      </c>
      <c r="Q870" s="1">
        <v>0</v>
      </c>
      <c r="R870" s="1" t="s">
        <v>10284</v>
      </c>
      <c r="S870" s="1" t="s">
        <v>10285</v>
      </c>
      <c r="U870" s="2">
        <v>56771</v>
      </c>
      <c r="V870" s="1">
        <v>4.4000000000000004</v>
      </c>
      <c r="W870" s="1">
        <v>1500</v>
      </c>
      <c r="X870" s="1">
        <v>2124</v>
      </c>
      <c r="Y870" s="1">
        <v>911</v>
      </c>
      <c r="Z870" s="1">
        <v>427</v>
      </c>
      <c r="AA870" s="1">
        <v>786</v>
      </c>
      <c r="AB870" s="1">
        <v>0</v>
      </c>
      <c r="AC870" s="1">
        <v>3</v>
      </c>
      <c r="AD870" s="1" t="s">
        <v>62</v>
      </c>
      <c r="AE870" s="1" t="s">
        <v>10286</v>
      </c>
      <c r="AF870" s="1" t="s">
        <v>10287</v>
      </c>
      <c r="AG870" s="1" t="s">
        <v>10288</v>
      </c>
      <c r="AH870" s="1" t="s">
        <v>10289</v>
      </c>
      <c r="AI870" s="1">
        <v>4.7</v>
      </c>
      <c r="AJ870" s="1">
        <v>1261</v>
      </c>
      <c r="AK870" s="1">
        <v>3264</v>
      </c>
      <c r="AL870" s="1">
        <v>232</v>
      </c>
    </row>
    <row r="871" spans="1:38" ht="15.75" customHeight="1">
      <c r="A871" s="1">
        <v>9</v>
      </c>
      <c r="C871" s="1">
        <v>4050</v>
      </c>
      <c r="D871" s="1" t="s">
        <v>38</v>
      </c>
      <c r="E871" s="1" t="s">
        <v>39</v>
      </c>
      <c r="F871" s="1" t="s">
        <v>914</v>
      </c>
      <c r="G871" s="1">
        <v>0</v>
      </c>
      <c r="H871" s="1" t="s">
        <v>41</v>
      </c>
      <c r="I871" s="1" t="s">
        <v>10290</v>
      </c>
      <c r="J871" s="1" t="s">
        <v>10291</v>
      </c>
      <c r="K871" s="1" t="s">
        <v>10292</v>
      </c>
      <c r="L871" s="1">
        <v>1</v>
      </c>
      <c r="M871" s="1">
        <v>0</v>
      </c>
      <c r="N871" s="1" t="s">
        <v>10293</v>
      </c>
      <c r="O871" s="1" t="s">
        <v>10294</v>
      </c>
      <c r="P871" s="1" t="s">
        <v>10295</v>
      </c>
      <c r="Q871" s="1">
        <v>0</v>
      </c>
      <c r="R871" s="1" t="s">
        <v>10296</v>
      </c>
      <c r="S871" s="1" t="s">
        <v>10297</v>
      </c>
      <c r="U871" s="2">
        <v>56766</v>
      </c>
      <c r="V871" s="1">
        <v>4.7</v>
      </c>
      <c r="W871" s="1">
        <v>1500</v>
      </c>
      <c r="X871" s="1">
        <v>1844</v>
      </c>
      <c r="Y871" s="1">
        <v>580</v>
      </c>
      <c r="Z871" s="1">
        <v>346</v>
      </c>
      <c r="AA871" s="1">
        <v>918</v>
      </c>
      <c r="AB871" s="1">
        <v>0</v>
      </c>
      <c r="AC871" s="1">
        <v>2</v>
      </c>
      <c r="AD871" s="1" t="s">
        <v>62</v>
      </c>
      <c r="AE871" s="1" t="s">
        <v>10298</v>
      </c>
      <c r="AF871" s="1" t="s">
        <v>10299</v>
      </c>
      <c r="AG871" s="1" t="s">
        <v>10300</v>
      </c>
      <c r="AH871" s="1" t="s">
        <v>10301</v>
      </c>
      <c r="AI871" s="1">
        <v>4.6900000000000004</v>
      </c>
      <c r="AJ871" s="1">
        <v>89</v>
      </c>
      <c r="AK871" s="1">
        <v>258</v>
      </c>
      <c r="AL871" s="1">
        <v>154</v>
      </c>
    </row>
    <row r="872" spans="1:38" ht="15.75" customHeight="1">
      <c r="A872" s="1">
        <v>116</v>
      </c>
      <c r="B872" s="1">
        <v>5</v>
      </c>
      <c r="C872" s="1">
        <v>4050</v>
      </c>
      <c r="D872" s="1" t="s">
        <v>38</v>
      </c>
      <c r="E872" s="1" t="s">
        <v>39</v>
      </c>
      <c r="F872" s="1" t="s">
        <v>695</v>
      </c>
      <c r="G872" s="1">
        <v>0</v>
      </c>
      <c r="H872" s="1" t="s">
        <v>41</v>
      </c>
      <c r="I872" s="1" t="s">
        <v>10302</v>
      </c>
      <c r="J872" s="1" t="s">
        <v>10303</v>
      </c>
      <c r="K872" s="1" t="s">
        <v>10304</v>
      </c>
      <c r="L872" s="1">
        <v>1</v>
      </c>
      <c r="M872" s="1">
        <v>0</v>
      </c>
      <c r="N872" s="1" t="s">
        <v>10305</v>
      </c>
      <c r="O872" s="1" t="s">
        <v>10306</v>
      </c>
      <c r="P872" s="1" t="s">
        <v>10307</v>
      </c>
      <c r="Q872" s="1">
        <v>0</v>
      </c>
      <c r="R872" s="1" t="s">
        <v>10308</v>
      </c>
      <c r="S872" s="1" t="s">
        <v>10309</v>
      </c>
      <c r="U872" s="2">
        <v>56767</v>
      </c>
      <c r="V872" s="1">
        <v>4.7</v>
      </c>
      <c r="W872" s="1">
        <v>1500</v>
      </c>
      <c r="X872" s="1">
        <v>1609</v>
      </c>
      <c r="Y872" s="1">
        <v>1166</v>
      </c>
      <c r="Z872" s="1">
        <v>94</v>
      </c>
      <c r="AA872" s="1">
        <v>349</v>
      </c>
      <c r="AB872" s="1">
        <v>0</v>
      </c>
      <c r="AC872" s="1">
        <v>2</v>
      </c>
      <c r="AD872" s="1" t="s">
        <v>76</v>
      </c>
      <c r="AE872" s="1" t="s">
        <v>10310</v>
      </c>
      <c r="AF872" s="1" t="s">
        <v>10311</v>
      </c>
      <c r="AG872" s="1" t="s">
        <v>10312</v>
      </c>
      <c r="AH872" s="1" t="s">
        <v>10313</v>
      </c>
      <c r="AI872" s="1">
        <v>4.38</v>
      </c>
      <c r="AJ872" s="1">
        <v>196</v>
      </c>
      <c r="AK872" s="1">
        <v>626</v>
      </c>
    </row>
    <row r="873" spans="1:38" ht="15.75" customHeight="1">
      <c r="A873" s="1">
        <v>596</v>
      </c>
      <c r="C873" s="1">
        <v>4001</v>
      </c>
      <c r="D873" s="1" t="s">
        <v>51</v>
      </c>
      <c r="E873" s="1" t="s">
        <v>39</v>
      </c>
      <c r="F873" s="1" t="s">
        <v>92</v>
      </c>
      <c r="G873" s="1">
        <v>0</v>
      </c>
      <c r="H873" s="1" t="s">
        <v>41</v>
      </c>
      <c r="I873" s="1" t="s">
        <v>10314</v>
      </c>
      <c r="J873" s="1" t="s">
        <v>10315</v>
      </c>
      <c r="K873" s="1" t="s">
        <v>10316</v>
      </c>
      <c r="L873" s="1">
        <v>1</v>
      </c>
      <c r="M873" s="1">
        <v>0</v>
      </c>
      <c r="N873" s="1" t="s">
        <v>10317</v>
      </c>
      <c r="O873" s="1" t="s">
        <v>10318</v>
      </c>
      <c r="P873" s="1" t="s">
        <v>10319</v>
      </c>
      <c r="Q873" s="1">
        <v>0</v>
      </c>
      <c r="R873" s="1" t="s">
        <v>10320</v>
      </c>
      <c r="S873" s="1" t="s">
        <v>10321</v>
      </c>
      <c r="U873" s="2">
        <v>56770</v>
      </c>
      <c r="V873" s="1">
        <v>4.2</v>
      </c>
      <c r="W873" s="1">
        <v>1500</v>
      </c>
      <c r="X873" s="1">
        <v>2000</v>
      </c>
      <c r="Y873" s="1">
        <v>1062</v>
      </c>
      <c r="Z873" s="1">
        <v>215</v>
      </c>
      <c r="AA873" s="1">
        <v>723</v>
      </c>
      <c r="AB873" s="1">
        <v>0</v>
      </c>
      <c r="AC873" s="1">
        <v>1</v>
      </c>
      <c r="AD873" s="1" t="s">
        <v>215</v>
      </c>
      <c r="AE873" s="1" t="s">
        <v>10322</v>
      </c>
      <c r="AF873" s="1" t="s">
        <v>10323</v>
      </c>
      <c r="AG873" s="1" t="s">
        <v>10324</v>
      </c>
      <c r="AH873" s="1" t="s">
        <v>10325</v>
      </c>
      <c r="AI873" s="1">
        <v>4.03</v>
      </c>
      <c r="AJ873" s="1">
        <v>505</v>
      </c>
      <c r="AK873" s="1">
        <v>1721</v>
      </c>
      <c r="AL873" s="1">
        <v>457</v>
      </c>
    </row>
    <row r="874" spans="1:38" ht="15.75" customHeight="1">
      <c r="A874" s="1">
        <v>1317</v>
      </c>
      <c r="C874" s="1">
        <v>4001</v>
      </c>
      <c r="D874" s="1" t="s">
        <v>51</v>
      </c>
      <c r="E874" s="1" t="s">
        <v>39</v>
      </c>
      <c r="F874" s="1" t="s">
        <v>1915</v>
      </c>
      <c r="G874" s="1">
        <v>0</v>
      </c>
      <c r="H874" s="1" t="s">
        <v>53</v>
      </c>
      <c r="I874" s="1" t="s">
        <v>10326</v>
      </c>
      <c r="J874" s="1" t="s">
        <v>10327</v>
      </c>
      <c r="K874" s="1" t="s">
        <v>10328</v>
      </c>
      <c r="L874" s="1">
        <v>1</v>
      </c>
      <c r="M874" s="1">
        <v>0</v>
      </c>
      <c r="N874" s="1" t="s">
        <v>10329</v>
      </c>
      <c r="O874" s="1" t="s">
        <v>10330</v>
      </c>
      <c r="P874" s="1" t="s">
        <v>10331</v>
      </c>
      <c r="Q874" s="1">
        <v>0</v>
      </c>
      <c r="R874" s="1" t="s">
        <v>10332</v>
      </c>
      <c r="S874" s="1" t="s">
        <v>10333</v>
      </c>
      <c r="U874" s="2">
        <v>56776</v>
      </c>
      <c r="V874" s="1">
        <v>2.9310346549999999</v>
      </c>
      <c r="W874" s="1">
        <v>1500</v>
      </c>
      <c r="X874" s="1">
        <v>2552</v>
      </c>
      <c r="Y874" s="1">
        <v>904</v>
      </c>
      <c r="Z874" s="1">
        <v>453</v>
      </c>
      <c r="AA874" s="1">
        <v>1195</v>
      </c>
      <c r="AB874" s="1">
        <v>0</v>
      </c>
      <c r="AC874" s="1">
        <v>3</v>
      </c>
      <c r="AE874" s="1" t="s">
        <v>10334</v>
      </c>
      <c r="AF874" s="1" t="s">
        <v>10335</v>
      </c>
      <c r="AG874" s="1" t="s">
        <v>10336</v>
      </c>
      <c r="AH874" s="1" t="s">
        <v>10337</v>
      </c>
      <c r="AI874" s="1">
        <v>4.63</v>
      </c>
      <c r="AJ874" s="1">
        <v>242</v>
      </c>
      <c r="AK874" s="1">
        <v>736</v>
      </c>
    </row>
    <row r="875" spans="1:38" ht="15.75" customHeight="1">
      <c r="A875" s="1">
        <v>373</v>
      </c>
      <c r="B875" s="1">
        <v>5</v>
      </c>
      <c r="C875" s="1">
        <v>4001</v>
      </c>
      <c r="D875" s="1" t="s">
        <v>51</v>
      </c>
      <c r="E875" s="1" t="s">
        <v>39</v>
      </c>
      <c r="F875" s="1" t="s">
        <v>648</v>
      </c>
      <c r="G875" s="1">
        <v>0</v>
      </c>
      <c r="H875" s="1" t="s">
        <v>53</v>
      </c>
      <c r="I875" s="1" t="s">
        <v>10338</v>
      </c>
      <c r="J875" s="1" t="s">
        <v>10339</v>
      </c>
      <c r="K875" s="1" t="s">
        <v>10340</v>
      </c>
      <c r="L875" s="1">
        <v>1</v>
      </c>
      <c r="M875" s="1">
        <v>0</v>
      </c>
      <c r="N875" s="1" t="s">
        <v>10341</v>
      </c>
      <c r="O875" s="1" t="s">
        <v>10342</v>
      </c>
      <c r="P875" s="1" t="s">
        <v>10343</v>
      </c>
      <c r="Q875" s="1">
        <v>0</v>
      </c>
      <c r="R875" s="1" t="s">
        <v>10344</v>
      </c>
      <c r="S875" s="1" t="s">
        <v>10345</v>
      </c>
      <c r="U875" s="2">
        <v>56768</v>
      </c>
      <c r="V875" s="1">
        <v>3.5722388999999999</v>
      </c>
      <c r="W875" s="1">
        <v>1500</v>
      </c>
      <c r="X875" s="1">
        <v>2975</v>
      </c>
      <c r="Y875" s="1">
        <v>1017</v>
      </c>
      <c r="Z875" s="1">
        <v>980</v>
      </c>
      <c r="AA875" s="1">
        <v>978</v>
      </c>
      <c r="AB875" s="1">
        <v>0</v>
      </c>
      <c r="AC875" s="1">
        <v>2</v>
      </c>
      <c r="AD875" s="1" t="s">
        <v>62</v>
      </c>
      <c r="AE875" s="1" t="s">
        <v>10346</v>
      </c>
      <c r="AF875" s="1" t="s">
        <v>10347</v>
      </c>
      <c r="AG875" s="1" t="s">
        <v>10348</v>
      </c>
      <c r="AH875" s="1" t="s">
        <v>10349</v>
      </c>
      <c r="AI875" s="1">
        <v>4.7</v>
      </c>
      <c r="AJ875" s="1">
        <v>443</v>
      </c>
      <c r="AK875" s="1">
        <v>1579</v>
      </c>
    </row>
    <row r="876" spans="1:38" ht="15.75" customHeight="1">
      <c r="A876" s="1">
        <v>532</v>
      </c>
      <c r="B876" s="1">
        <v>4</v>
      </c>
      <c r="C876" s="1">
        <v>4050</v>
      </c>
      <c r="D876" s="1" t="s">
        <v>38</v>
      </c>
      <c r="E876" s="1" t="s">
        <v>39</v>
      </c>
      <c r="F876" s="1" t="s">
        <v>40</v>
      </c>
      <c r="G876" s="1">
        <v>0</v>
      </c>
      <c r="H876" s="1" t="s">
        <v>41</v>
      </c>
      <c r="I876" s="1" t="s">
        <v>10350</v>
      </c>
      <c r="J876" s="1" t="s">
        <v>10351</v>
      </c>
      <c r="K876" s="1" t="s">
        <v>10352</v>
      </c>
      <c r="L876" s="1">
        <v>1</v>
      </c>
      <c r="M876" s="1">
        <v>0</v>
      </c>
      <c r="N876" s="1" t="s">
        <v>10353</v>
      </c>
      <c r="O876" s="1" t="s">
        <v>10354</v>
      </c>
      <c r="P876" s="1" t="s">
        <v>10355</v>
      </c>
      <c r="Q876" s="1">
        <v>0</v>
      </c>
      <c r="R876" s="1" t="s">
        <v>10356</v>
      </c>
      <c r="S876" s="1" t="s">
        <v>10357</v>
      </c>
      <c r="U876" s="2">
        <v>56769</v>
      </c>
      <c r="V876" s="1">
        <v>4.5999999999999996</v>
      </c>
      <c r="W876" s="1">
        <v>1500</v>
      </c>
      <c r="X876" s="1">
        <v>1694</v>
      </c>
      <c r="Y876" s="1">
        <v>579</v>
      </c>
      <c r="Z876" s="1">
        <v>356</v>
      </c>
      <c r="AA876" s="1">
        <v>759</v>
      </c>
      <c r="AB876" s="1">
        <v>0</v>
      </c>
      <c r="AC876" s="1">
        <v>3</v>
      </c>
      <c r="AD876" s="1" t="s">
        <v>215</v>
      </c>
      <c r="AE876" s="1" t="s">
        <v>10358</v>
      </c>
      <c r="AF876" s="1" t="s">
        <v>10359</v>
      </c>
      <c r="AG876" s="1" t="s">
        <v>10360</v>
      </c>
      <c r="AH876" s="1" t="s">
        <v>10361</v>
      </c>
      <c r="AI876" s="1">
        <v>4.7</v>
      </c>
      <c r="AJ876" s="1">
        <v>1261</v>
      </c>
      <c r="AK876" s="1">
        <v>3264</v>
      </c>
      <c r="AL876" s="1">
        <v>232</v>
      </c>
    </row>
    <row r="877" spans="1:38" ht="15.75" customHeight="1">
      <c r="A877" s="1">
        <v>556</v>
      </c>
      <c r="B877" s="1">
        <v>5</v>
      </c>
      <c r="C877" s="1">
        <v>4001</v>
      </c>
      <c r="D877" s="1" t="s">
        <v>51</v>
      </c>
      <c r="E877" s="1" t="s">
        <v>39</v>
      </c>
      <c r="F877" s="1" t="s">
        <v>341</v>
      </c>
      <c r="G877" s="1">
        <v>0</v>
      </c>
      <c r="H877" s="1" t="s">
        <v>41</v>
      </c>
      <c r="I877" s="1" t="s">
        <v>10362</v>
      </c>
      <c r="J877" s="1" t="s">
        <v>10363</v>
      </c>
      <c r="K877" s="1" t="s">
        <v>10364</v>
      </c>
      <c r="L877" s="1">
        <v>1</v>
      </c>
      <c r="M877" s="1">
        <v>0</v>
      </c>
      <c r="N877" s="1" t="s">
        <v>10365</v>
      </c>
      <c r="O877" s="1" t="s">
        <v>10366</v>
      </c>
      <c r="P877" s="1" t="s">
        <v>10367</v>
      </c>
      <c r="Q877" s="1">
        <v>0</v>
      </c>
      <c r="R877" s="1" t="s">
        <v>10368</v>
      </c>
      <c r="S877" s="1" t="s">
        <v>10369</v>
      </c>
      <c r="U877" s="2">
        <v>56770</v>
      </c>
      <c r="V877" s="1">
        <v>4.3</v>
      </c>
      <c r="W877" s="1">
        <v>1500</v>
      </c>
      <c r="X877" s="1">
        <v>1383</v>
      </c>
      <c r="Y877" s="1">
        <v>683</v>
      </c>
      <c r="Z877" s="1">
        <v>200</v>
      </c>
      <c r="AA877" s="1">
        <v>500</v>
      </c>
      <c r="AB877" s="1">
        <v>1</v>
      </c>
      <c r="AC877" s="1">
        <v>2</v>
      </c>
      <c r="AE877" s="1" t="s">
        <v>10370</v>
      </c>
      <c r="AF877" s="1" t="s">
        <v>10371</v>
      </c>
      <c r="AG877" s="1" t="s">
        <v>10372</v>
      </c>
      <c r="AH877" s="1" t="s">
        <v>10373</v>
      </c>
      <c r="AI877" s="1">
        <v>4.54</v>
      </c>
      <c r="AJ877" s="1">
        <v>2229</v>
      </c>
      <c r="AK877" s="1">
        <v>6580</v>
      </c>
    </row>
    <row r="878" spans="1:38" ht="15.75" customHeight="1">
      <c r="A878" s="1">
        <v>733</v>
      </c>
      <c r="C878" s="1">
        <v>4001</v>
      </c>
      <c r="D878" s="1" t="s">
        <v>51</v>
      </c>
      <c r="E878" s="1" t="s">
        <v>39</v>
      </c>
      <c r="F878" s="1" t="s">
        <v>305</v>
      </c>
      <c r="G878" s="1">
        <v>0</v>
      </c>
      <c r="H878" s="1" t="s">
        <v>53</v>
      </c>
      <c r="I878" s="1" t="s">
        <v>10374</v>
      </c>
      <c r="J878" s="1" t="s">
        <v>10375</v>
      </c>
      <c r="K878" s="1" t="s">
        <v>10376</v>
      </c>
      <c r="L878" s="1">
        <v>1</v>
      </c>
      <c r="M878" s="1">
        <v>0</v>
      </c>
      <c r="N878" s="1" t="s">
        <v>10377</v>
      </c>
      <c r="O878" s="1" t="s">
        <v>10378</v>
      </c>
      <c r="P878" s="1" t="s">
        <v>10379</v>
      </c>
      <c r="Q878" s="1">
        <v>0</v>
      </c>
      <c r="R878" s="1" t="s">
        <v>10380</v>
      </c>
      <c r="S878" s="1" t="s">
        <v>10381</v>
      </c>
      <c r="U878" s="2">
        <v>56771</v>
      </c>
      <c r="V878" s="1">
        <v>3.3797930389999999</v>
      </c>
      <c r="W878" s="1">
        <v>1500</v>
      </c>
      <c r="X878" s="1">
        <v>1899</v>
      </c>
      <c r="Y878" s="1">
        <v>294</v>
      </c>
      <c r="Z878" s="1">
        <v>664</v>
      </c>
      <c r="AA878" s="1">
        <v>941</v>
      </c>
      <c r="AB878" s="1">
        <v>0</v>
      </c>
      <c r="AC878" s="1">
        <v>1</v>
      </c>
      <c r="AD878" s="1" t="s">
        <v>215</v>
      </c>
      <c r="AE878" s="1" t="s">
        <v>10382</v>
      </c>
      <c r="AF878" s="1" t="s">
        <v>10383</v>
      </c>
      <c r="AG878" s="1" t="s">
        <v>10384</v>
      </c>
      <c r="AH878" s="1" t="s">
        <v>10385</v>
      </c>
      <c r="AI878" s="1">
        <v>4.5199999999999996</v>
      </c>
      <c r="AJ878" s="1">
        <v>183</v>
      </c>
      <c r="AK878" s="1">
        <v>522</v>
      </c>
    </row>
    <row r="879" spans="1:38" ht="15.75" customHeight="1">
      <c r="A879" s="1">
        <v>1511</v>
      </c>
      <c r="C879" s="1">
        <v>4001</v>
      </c>
      <c r="D879" s="1" t="s">
        <v>51</v>
      </c>
      <c r="E879" s="1" t="s">
        <v>39</v>
      </c>
      <c r="F879" s="1" t="s">
        <v>1915</v>
      </c>
      <c r="G879" s="1">
        <v>0</v>
      </c>
      <c r="H879" s="1" t="s">
        <v>53</v>
      </c>
      <c r="I879" s="1" t="s">
        <v>10386</v>
      </c>
      <c r="J879" s="1" t="s">
        <v>10387</v>
      </c>
      <c r="K879" s="1" t="s">
        <v>10388</v>
      </c>
      <c r="L879" s="1">
        <v>1</v>
      </c>
      <c r="M879" s="1">
        <v>0</v>
      </c>
      <c r="N879" s="1" t="s">
        <v>10389</v>
      </c>
      <c r="O879" s="1" t="s">
        <v>10390</v>
      </c>
      <c r="P879" s="1" t="s">
        <v>10391</v>
      </c>
      <c r="Q879" s="1">
        <v>0</v>
      </c>
      <c r="R879" s="1" t="s">
        <v>10392</v>
      </c>
      <c r="S879" s="1" t="s">
        <v>10393</v>
      </c>
      <c r="U879" s="2">
        <v>56777</v>
      </c>
      <c r="V879" s="1">
        <v>3.1522727769999999</v>
      </c>
      <c r="W879" s="1">
        <v>1500</v>
      </c>
      <c r="X879" s="1">
        <v>2968</v>
      </c>
      <c r="Y879" s="1">
        <v>1454</v>
      </c>
      <c r="Z879" s="1">
        <v>146</v>
      </c>
      <c r="AA879" s="1">
        <v>1368</v>
      </c>
      <c r="AB879" s="1">
        <v>0</v>
      </c>
      <c r="AC879" s="1">
        <v>2</v>
      </c>
      <c r="AD879" s="1" t="s">
        <v>76</v>
      </c>
      <c r="AE879" s="1" t="s">
        <v>10394</v>
      </c>
      <c r="AF879" s="1" t="s">
        <v>10395</v>
      </c>
      <c r="AG879" s="1" t="s">
        <v>10396</v>
      </c>
      <c r="AH879" s="1" t="s">
        <v>10397</v>
      </c>
      <c r="AI879" s="1">
        <v>4.63</v>
      </c>
      <c r="AJ879" s="1">
        <v>242</v>
      </c>
      <c r="AK879" s="1">
        <v>736</v>
      </c>
    </row>
    <row r="880" spans="1:38" ht="15.75" customHeight="1">
      <c r="A880" s="1">
        <v>943</v>
      </c>
      <c r="C880" s="1">
        <v>4050</v>
      </c>
      <c r="D880" s="1" t="s">
        <v>38</v>
      </c>
      <c r="E880" s="1" t="s">
        <v>39</v>
      </c>
      <c r="F880" s="1" t="s">
        <v>1372</v>
      </c>
      <c r="G880" s="1">
        <v>0</v>
      </c>
      <c r="H880" s="1" t="s">
        <v>41</v>
      </c>
      <c r="I880" s="1" t="s">
        <v>10398</v>
      </c>
      <c r="J880" s="1" t="s">
        <v>10399</v>
      </c>
      <c r="K880" s="1" t="s">
        <v>10400</v>
      </c>
      <c r="L880" s="1">
        <v>1</v>
      </c>
      <c r="M880" s="1">
        <v>0</v>
      </c>
      <c r="N880" s="1" t="s">
        <v>10401</v>
      </c>
      <c r="O880" s="1" t="s">
        <v>10402</v>
      </c>
      <c r="P880" s="1" t="s">
        <v>10403</v>
      </c>
      <c r="Q880" s="1">
        <v>0</v>
      </c>
      <c r="R880" s="1" t="s">
        <v>10404</v>
      </c>
      <c r="S880" s="1" t="s">
        <v>10405</v>
      </c>
      <c r="U880" s="2">
        <v>56773</v>
      </c>
      <c r="V880" s="1">
        <v>4.3</v>
      </c>
      <c r="W880" s="1">
        <v>1500</v>
      </c>
      <c r="X880" s="1">
        <v>2561</v>
      </c>
      <c r="Y880" s="1">
        <v>451</v>
      </c>
      <c r="Z880" s="1">
        <v>692</v>
      </c>
      <c r="AA880" s="1">
        <v>1418</v>
      </c>
      <c r="AB880" s="1">
        <v>0</v>
      </c>
      <c r="AC880" s="1">
        <v>2</v>
      </c>
      <c r="AD880" s="1" t="s">
        <v>215</v>
      </c>
      <c r="AE880" s="1" t="s">
        <v>10406</v>
      </c>
      <c r="AF880" s="1" t="s">
        <v>10407</v>
      </c>
      <c r="AG880" s="1" t="s">
        <v>10408</v>
      </c>
      <c r="AH880" s="1" t="s">
        <v>10409</v>
      </c>
      <c r="AI880" s="1">
        <v>4.4111111110000003</v>
      </c>
      <c r="AJ880" s="1">
        <v>68</v>
      </c>
      <c r="AK880" s="1">
        <v>223</v>
      </c>
      <c r="AL880" s="1">
        <v>118</v>
      </c>
    </row>
    <row r="881" spans="1:38" ht="15.75" customHeight="1">
      <c r="A881" s="1">
        <v>277</v>
      </c>
      <c r="B881" s="1">
        <v>5</v>
      </c>
      <c r="C881" s="1">
        <v>4050</v>
      </c>
      <c r="D881" s="1" t="s">
        <v>38</v>
      </c>
      <c r="E881" s="1" t="s">
        <v>39</v>
      </c>
      <c r="F881" s="1" t="s">
        <v>116</v>
      </c>
      <c r="G881" s="1">
        <v>0</v>
      </c>
      <c r="H881" s="1" t="s">
        <v>41</v>
      </c>
      <c r="I881" s="1" t="s">
        <v>10410</v>
      </c>
      <c r="J881" s="1" t="s">
        <v>10411</v>
      </c>
      <c r="K881" s="1" t="s">
        <v>10412</v>
      </c>
      <c r="L881" s="1">
        <v>1</v>
      </c>
      <c r="M881" s="1">
        <v>0</v>
      </c>
      <c r="N881" s="1" t="s">
        <v>10413</v>
      </c>
      <c r="O881" s="1" t="s">
        <v>10414</v>
      </c>
      <c r="P881" s="1" t="s">
        <v>10415</v>
      </c>
      <c r="Q881" s="1">
        <v>0</v>
      </c>
      <c r="R881" s="1" t="s">
        <v>10416</v>
      </c>
      <c r="U881" s="2">
        <v>56768</v>
      </c>
      <c r="V881" s="1">
        <v>4.5</v>
      </c>
      <c r="W881" s="1">
        <v>1500</v>
      </c>
      <c r="X881" s="1">
        <v>1878</v>
      </c>
      <c r="AA881" s="1">
        <v>592</v>
      </c>
      <c r="AB881" s="1">
        <v>0</v>
      </c>
      <c r="AC881" s="1">
        <v>2</v>
      </c>
      <c r="AE881" s="1" t="s">
        <v>10417</v>
      </c>
      <c r="AF881" s="1" t="s">
        <v>10418</v>
      </c>
      <c r="AG881" s="1" t="s">
        <v>10419</v>
      </c>
      <c r="AI881" s="1">
        <v>4.8899999999999997</v>
      </c>
      <c r="AJ881" s="1">
        <v>1778</v>
      </c>
      <c r="AK881" s="1">
        <v>5138</v>
      </c>
      <c r="AL881" s="1">
        <v>314</v>
      </c>
    </row>
    <row r="882" spans="1:38" ht="15.75" customHeight="1">
      <c r="A882" s="1">
        <v>96</v>
      </c>
      <c r="C882" s="1">
        <v>4001</v>
      </c>
      <c r="D882" s="1" t="s">
        <v>51</v>
      </c>
      <c r="E882" s="1" t="s">
        <v>39</v>
      </c>
      <c r="F882" s="1" t="s">
        <v>341</v>
      </c>
      <c r="G882" s="1">
        <v>0</v>
      </c>
      <c r="H882" s="1" t="s">
        <v>41</v>
      </c>
      <c r="I882" s="1" t="s">
        <v>10420</v>
      </c>
      <c r="J882" s="1" t="s">
        <v>10421</v>
      </c>
      <c r="K882" s="1" t="s">
        <v>10422</v>
      </c>
      <c r="L882" s="1">
        <v>1</v>
      </c>
      <c r="M882" s="1">
        <v>0</v>
      </c>
      <c r="N882" s="1" t="s">
        <v>10423</v>
      </c>
      <c r="O882" s="1" t="s">
        <v>10424</v>
      </c>
      <c r="P882" s="1" t="s">
        <v>10425</v>
      </c>
      <c r="Q882" s="1">
        <v>0</v>
      </c>
      <c r="R882" s="1" t="s">
        <v>10426</v>
      </c>
      <c r="U882" s="2">
        <v>56766</v>
      </c>
      <c r="V882" s="1">
        <v>4.2</v>
      </c>
      <c r="W882" s="1">
        <v>1500</v>
      </c>
      <c r="X882" s="1">
        <v>2102</v>
      </c>
      <c r="AA882" s="1">
        <v>615</v>
      </c>
      <c r="AB882" s="1">
        <v>0</v>
      </c>
      <c r="AC882" s="1">
        <v>2</v>
      </c>
      <c r="AE882" s="1" t="s">
        <v>10427</v>
      </c>
      <c r="AF882" s="1" t="s">
        <v>10428</v>
      </c>
      <c r="AG882" s="1" t="s">
        <v>10429</v>
      </c>
      <c r="AI882" s="1">
        <v>4.54</v>
      </c>
      <c r="AJ882" s="1">
        <v>2229</v>
      </c>
      <c r="AK882" s="1">
        <v>6580</v>
      </c>
    </row>
    <row r="883" spans="1:38" ht="15.75" customHeight="1">
      <c r="A883" s="1">
        <v>265</v>
      </c>
      <c r="B883" s="1">
        <v>5</v>
      </c>
      <c r="C883" s="1">
        <v>4001</v>
      </c>
      <c r="D883" s="1" t="s">
        <v>51</v>
      </c>
      <c r="E883" s="1" t="s">
        <v>39</v>
      </c>
      <c r="F883" s="1" t="s">
        <v>414</v>
      </c>
      <c r="G883" s="1">
        <v>0</v>
      </c>
      <c r="H883" s="1" t="s">
        <v>53</v>
      </c>
      <c r="I883" s="1" t="s">
        <v>10430</v>
      </c>
      <c r="J883" s="1" t="s">
        <v>10431</v>
      </c>
      <c r="K883" s="1" t="s">
        <v>10432</v>
      </c>
      <c r="L883" s="1">
        <v>1</v>
      </c>
      <c r="M883" s="1">
        <v>0</v>
      </c>
      <c r="N883" s="1" t="s">
        <v>10433</v>
      </c>
      <c r="O883" s="1" t="s">
        <v>10434</v>
      </c>
      <c r="P883" s="1" t="s">
        <v>10435</v>
      </c>
      <c r="Q883" s="1">
        <v>0</v>
      </c>
      <c r="R883" s="1" t="s">
        <v>10436</v>
      </c>
      <c r="S883" s="1" t="s">
        <v>10437</v>
      </c>
      <c r="U883" s="2">
        <v>56768</v>
      </c>
      <c r="V883" s="1">
        <v>4.2</v>
      </c>
      <c r="W883" s="1">
        <v>1500</v>
      </c>
      <c r="X883" s="1">
        <v>2510</v>
      </c>
      <c r="Y883" s="1">
        <v>1059</v>
      </c>
      <c r="Z883" s="1">
        <v>973</v>
      </c>
      <c r="AA883" s="1">
        <v>478</v>
      </c>
      <c r="AB883" s="1">
        <v>1</v>
      </c>
      <c r="AC883" s="1">
        <v>2</v>
      </c>
      <c r="AE883" s="1" t="s">
        <v>10438</v>
      </c>
      <c r="AF883" s="1" t="s">
        <v>10439</v>
      </c>
      <c r="AG883" s="1" t="s">
        <v>10440</v>
      </c>
      <c r="AH883" s="1" t="s">
        <v>10441</v>
      </c>
      <c r="AI883" s="1">
        <v>4.58</v>
      </c>
      <c r="AJ883" s="1">
        <v>254</v>
      </c>
      <c r="AK883" s="1">
        <v>788</v>
      </c>
      <c r="AL883" s="1">
        <v>9</v>
      </c>
    </row>
    <row r="884" spans="1:38" ht="15.75" customHeight="1">
      <c r="A884" s="1">
        <v>229</v>
      </c>
      <c r="C884" s="1">
        <v>4001</v>
      </c>
      <c r="D884" s="1" t="s">
        <v>51</v>
      </c>
      <c r="E884" s="1" t="s">
        <v>39</v>
      </c>
      <c r="F884" s="1" t="s">
        <v>648</v>
      </c>
      <c r="G884" s="1">
        <v>0</v>
      </c>
      <c r="H884" s="1" t="s">
        <v>53</v>
      </c>
      <c r="I884" s="1" t="s">
        <v>10442</v>
      </c>
      <c r="J884" s="1" t="s">
        <v>10443</v>
      </c>
      <c r="K884" s="1" t="s">
        <v>10444</v>
      </c>
      <c r="L884" s="1">
        <v>1</v>
      </c>
      <c r="M884" s="1">
        <v>0</v>
      </c>
      <c r="N884" s="1" t="s">
        <v>10445</v>
      </c>
      <c r="O884" s="1" t="s">
        <v>10446</v>
      </c>
      <c r="P884" s="1" t="s">
        <v>10447</v>
      </c>
      <c r="Q884" s="1">
        <v>0</v>
      </c>
      <c r="R884" s="1" t="s">
        <v>10448</v>
      </c>
      <c r="S884" s="1" t="s">
        <v>10449</v>
      </c>
      <c r="U884" s="2">
        <v>56767</v>
      </c>
      <c r="V884" s="1">
        <v>4.2</v>
      </c>
      <c r="W884" s="1">
        <v>1500</v>
      </c>
      <c r="X884" s="1">
        <v>3520</v>
      </c>
      <c r="Y884" s="1">
        <v>182</v>
      </c>
      <c r="Z884" s="1">
        <v>1071</v>
      </c>
      <c r="AA884" s="1">
        <v>2267</v>
      </c>
      <c r="AB884" s="1">
        <v>1</v>
      </c>
      <c r="AC884" s="1">
        <v>3</v>
      </c>
      <c r="AE884" s="1" t="s">
        <v>10450</v>
      </c>
      <c r="AF884" s="1" t="s">
        <v>10451</v>
      </c>
      <c r="AG884" s="1" t="s">
        <v>10452</v>
      </c>
      <c r="AH884" s="1" t="s">
        <v>10453</v>
      </c>
      <c r="AI884" s="1">
        <v>4.7</v>
      </c>
      <c r="AJ884" s="1">
        <v>443</v>
      </c>
      <c r="AK884" s="1">
        <v>1579</v>
      </c>
    </row>
    <row r="885" spans="1:38" ht="15.75" customHeight="1">
      <c r="A885" s="1">
        <v>799</v>
      </c>
      <c r="B885" s="1">
        <v>4</v>
      </c>
      <c r="C885" s="1">
        <v>4001</v>
      </c>
      <c r="D885" s="1" t="s">
        <v>51</v>
      </c>
      <c r="E885" s="1" t="s">
        <v>39</v>
      </c>
      <c r="F885" s="1" t="s">
        <v>708</v>
      </c>
      <c r="G885" s="1">
        <v>0</v>
      </c>
      <c r="H885" s="1" t="s">
        <v>53</v>
      </c>
      <c r="I885" s="1" t="s">
        <v>10454</v>
      </c>
      <c r="J885" s="1" t="s">
        <v>10455</v>
      </c>
      <c r="K885" s="1" t="s">
        <v>10456</v>
      </c>
      <c r="L885" s="1">
        <v>1</v>
      </c>
      <c r="M885" s="1">
        <v>0</v>
      </c>
      <c r="N885" s="1" t="s">
        <v>10457</v>
      </c>
      <c r="O885" s="1" t="s">
        <v>10458</v>
      </c>
      <c r="P885" s="1" t="s">
        <v>10459</v>
      </c>
      <c r="Q885" s="1">
        <v>0</v>
      </c>
      <c r="R885" s="1" t="s">
        <v>10460</v>
      </c>
      <c r="S885" s="1" t="s">
        <v>10461</v>
      </c>
      <c r="U885" s="2">
        <v>56771</v>
      </c>
      <c r="V885" s="1">
        <v>4.4000000000000004</v>
      </c>
      <c r="W885" s="1">
        <v>1500</v>
      </c>
      <c r="X885" s="1">
        <v>2776</v>
      </c>
      <c r="Y885" s="1">
        <v>1087</v>
      </c>
      <c r="Z885" s="1">
        <v>1682</v>
      </c>
      <c r="AA885" s="1">
        <v>7</v>
      </c>
      <c r="AB885" s="1">
        <v>0</v>
      </c>
      <c r="AC885" s="1">
        <v>3</v>
      </c>
      <c r="AD885" s="1" t="s">
        <v>215</v>
      </c>
      <c r="AE885" s="1" t="s">
        <v>10462</v>
      </c>
      <c r="AF885" s="1" t="s">
        <v>10463</v>
      </c>
      <c r="AG885" s="1" t="s">
        <v>10464</v>
      </c>
      <c r="AH885" s="1" t="s">
        <v>10465</v>
      </c>
      <c r="AI885" s="1">
        <v>4.5999999999999996</v>
      </c>
      <c r="AJ885" s="1">
        <v>292</v>
      </c>
      <c r="AK885" s="1">
        <v>1027</v>
      </c>
      <c r="AL885" s="1">
        <v>26</v>
      </c>
    </row>
    <row r="886" spans="1:38" ht="15.75" customHeight="1">
      <c r="A886" s="1">
        <v>517</v>
      </c>
      <c r="B886" s="1">
        <v>3</v>
      </c>
      <c r="C886" s="1">
        <v>4050</v>
      </c>
      <c r="D886" s="1" t="s">
        <v>38</v>
      </c>
      <c r="E886" s="1" t="s">
        <v>39</v>
      </c>
      <c r="F886" s="1" t="s">
        <v>1153</v>
      </c>
      <c r="G886" s="1">
        <v>0</v>
      </c>
      <c r="H886" s="1" t="s">
        <v>41</v>
      </c>
      <c r="I886" s="1" t="s">
        <v>10466</v>
      </c>
      <c r="J886" s="1" t="s">
        <v>10467</v>
      </c>
      <c r="K886" s="1" t="s">
        <v>10468</v>
      </c>
      <c r="L886" s="1">
        <v>1</v>
      </c>
      <c r="M886" s="1">
        <v>0</v>
      </c>
      <c r="N886" s="1" t="s">
        <v>10469</v>
      </c>
      <c r="O886" s="1" t="s">
        <v>10470</v>
      </c>
      <c r="P886" s="1" t="s">
        <v>10471</v>
      </c>
      <c r="Q886" s="1">
        <v>0</v>
      </c>
      <c r="R886" s="1" t="s">
        <v>10472</v>
      </c>
      <c r="S886" s="1" t="s">
        <v>10473</v>
      </c>
      <c r="U886" s="2">
        <v>56769</v>
      </c>
      <c r="V886" s="1">
        <v>4.5999999999999996</v>
      </c>
      <c r="W886" s="1">
        <v>1500</v>
      </c>
      <c r="X886" s="1">
        <v>2480</v>
      </c>
      <c r="Y886" s="1">
        <v>684</v>
      </c>
      <c r="Z886" s="1">
        <v>433</v>
      </c>
      <c r="AA886" s="1">
        <v>1363</v>
      </c>
      <c r="AB886" s="1">
        <v>0</v>
      </c>
      <c r="AC886" s="1">
        <v>2</v>
      </c>
      <c r="AD886" s="1" t="s">
        <v>76</v>
      </c>
      <c r="AE886" s="1" t="s">
        <v>10474</v>
      </c>
      <c r="AF886" s="1" t="s">
        <v>10475</v>
      </c>
      <c r="AG886" s="1" t="s">
        <v>10476</v>
      </c>
      <c r="AH886" s="1" t="s">
        <v>10477</v>
      </c>
      <c r="AI886" s="1">
        <v>4.58</v>
      </c>
      <c r="AJ886" s="1">
        <v>679</v>
      </c>
      <c r="AK886" s="1">
        <v>2371</v>
      </c>
      <c r="AL886" s="1">
        <v>1830</v>
      </c>
    </row>
    <row r="887" spans="1:38" ht="15.75" customHeight="1">
      <c r="A887" s="1">
        <v>661</v>
      </c>
      <c r="C887" s="1">
        <v>4050</v>
      </c>
      <c r="D887" s="1" t="s">
        <v>38</v>
      </c>
      <c r="E887" s="1" t="s">
        <v>39</v>
      </c>
      <c r="F887" s="1" t="s">
        <v>390</v>
      </c>
      <c r="G887" s="1">
        <v>0</v>
      </c>
      <c r="H887" s="1" t="s">
        <v>41</v>
      </c>
      <c r="I887" s="1" t="s">
        <v>10478</v>
      </c>
      <c r="J887" s="1" t="s">
        <v>10479</v>
      </c>
      <c r="K887" s="1" t="s">
        <v>10480</v>
      </c>
      <c r="L887" s="1">
        <v>1</v>
      </c>
      <c r="M887" s="1">
        <v>0</v>
      </c>
      <c r="N887" s="1" t="s">
        <v>10481</v>
      </c>
      <c r="O887" s="1" t="s">
        <v>10482</v>
      </c>
      <c r="P887" s="1" t="s">
        <v>10483</v>
      </c>
      <c r="Q887" s="1">
        <v>0</v>
      </c>
      <c r="R887" s="1" t="s">
        <v>10484</v>
      </c>
      <c r="S887" s="1" t="s">
        <v>10485</v>
      </c>
      <c r="U887" s="2">
        <v>56770</v>
      </c>
      <c r="V887" s="1">
        <v>4.8</v>
      </c>
      <c r="W887" s="1">
        <v>1500</v>
      </c>
      <c r="X887" s="1">
        <v>1958</v>
      </c>
      <c r="Y887" s="1">
        <v>446</v>
      </c>
      <c r="AA887" s="1">
        <v>1609</v>
      </c>
      <c r="AB887" s="1">
        <v>1</v>
      </c>
      <c r="AC887" s="1">
        <v>1</v>
      </c>
      <c r="AE887" s="1" t="s">
        <v>10486</v>
      </c>
      <c r="AF887" s="1" t="s">
        <v>10487</v>
      </c>
      <c r="AG887" s="1" t="s">
        <v>10488</v>
      </c>
      <c r="AH887" s="1" t="s">
        <v>10489</v>
      </c>
      <c r="AI887" s="1">
        <v>4.5599999999999996</v>
      </c>
      <c r="AJ887" s="1">
        <v>344</v>
      </c>
      <c r="AK887" s="1">
        <v>947</v>
      </c>
      <c r="AL887" s="1">
        <v>22</v>
      </c>
    </row>
    <row r="888" spans="1:38" ht="15.75" customHeight="1">
      <c r="A888" s="1">
        <v>728</v>
      </c>
      <c r="C888" s="1">
        <v>4050</v>
      </c>
      <c r="D888" s="1" t="s">
        <v>38</v>
      </c>
      <c r="E888" s="1" t="s">
        <v>39</v>
      </c>
      <c r="F888" s="1" t="s">
        <v>695</v>
      </c>
      <c r="G888" s="1">
        <v>0</v>
      </c>
      <c r="H888" s="1" t="s">
        <v>41</v>
      </c>
      <c r="I888" s="1" t="s">
        <v>10490</v>
      </c>
      <c r="J888" s="1" t="s">
        <v>10491</v>
      </c>
      <c r="K888" s="1" t="s">
        <v>10492</v>
      </c>
      <c r="L888" s="1">
        <v>1</v>
      </c>
      <c r="M888" s="1">
        <v>0</v>
      </c>
      <c r="N888" s="1" t="s">
        <v>10493</v>
      </c>
      <c r="O888" s="1" t="s">
        <v>10494</v>
      </c>
      <c r="P888" s="1" t="s">
        <v>10495</v>
      </c>
      <c r="Q888" s="1">
        <v>0</v>
      </c>
      <c r="R888" s="1" t="s">
        <v>10496</v>
      </c>
      <c r="S888" s="1" t="s">
        <v>10497</v>
      </c>
      <c r="U888" s="2">
        <v>56771</v>
      </c>
      <c r="V888" s="1">
        <v>4.7</v>
      </c>
      <c r="W888" s="1">
        <v>1500</v>
      </c>
      <c r="X888" s="1">
        <v>960</v>
      </c>
      <c r="Y888" s="1">
        <v>594</v>
      </c>
      <c r="Z888" s="1">
        <v>236</v>
      </c>
      <c r="AA888" s="1">
        <v>130</v>
      </c>
      <c r="AB888" s="1">
        <v>0</v>
      </c>
      <c r="AC888" s="1">
        <v>2</v>
      </c>
      <c r="AD888" s="1" t="s">
        <v>215</v>
      </c>
      <c r="AE888" s="1" t="s">
        <v>10498</v>
      </c>
      <c r="AF888" s="1" t="s">
        <v>10499</v>
      </c>
      <c r="AG888" s="1" t="s">
        <v>10500</v>
      </c>
      <c r="AH888" s="1" t="s">
        <v>10501</v>
      </c>
      <c r="AI888" s="1">
        <v>4.38</v>
      </c>
      <c r="AJ888" s="1">
        <v>196</v>
      </c>
      <c r="AK888" s="1">
        <v>626</v>
      </c>
    </row>
    <row r="889" spans="1:38" ht="15.75" customHeight="1">
      <c r="A889" s="1">
        <v>932</v>
      </c>
      <c r="C889" s="1">
        <v>4050</v>
      </c>
      <c r="D889" s="1" t="s">
        <v>38</v>
      </c>
      <c r="E889" s="1" t="s">
        <v>39</v>
      </c>
      <c r="F889" s="1" t="s">
        <v>195</v>
      </c>
      <c r="G889" s="1">
        <v>0</v>
      </c>
      <c r="H889" s="1" t="s">
        <v>41</v>
      </c>
      <c r="I889" s="1" t="s">
        <v>10502</v>
      </c>
      <c r="J889" s="1" t="s">
        <v>10503</v>
      </c>
      <c r="K889" s="1" t="s">
        <v>10504</v>
      </c>
      <c r="L889" s="1">
        <v>1</v>
      </c>
      <c r="M889" s="1">
        <v>0</v>
      </c>
      <c r="N889" s="1" t="s">
        <v>10505</v>
      </c>
      <c r="O889" s="1" t="s">
        <v>10506</v>
      </c>
      <c r="P889" s="1" t="s">
        <v>10507</v>
      </c>
      <c r="Q889" s="1">
        <v>0</v>
      </c>
      <c r="R889" s="1" t="s">
        <v>10508</v>
      </c>
      <c r="S889" s="1" t="s">
        <v>10509</v>
      </c>
      <c r="U889" s="2">
        <v>56773</v>
      </c>
      <c r="V889" s="1">
        <v>4.5</v>
      </c>
      <c r="W889" s="1">
        <v>1500</v>
      </c>
      <c r="X889" s="1">
        <v>1562</v>
      </c>
      <c r="Y889" s="1">
        <v>370</v>
      </c>
      <c r="Z889" s="1">
        <v>1180</v>
      </c>
      <c r="AA889" s="1">
        <v>12</v>
      </c>
      <c r="AB889" s="1">
        <v>0</v>
      </c>
      <c r="AC889" s="1">
        <v>2</v>
      </c>
      <c r="AD889" s="1" t="s">
        <v>62</v>
      </c>
      <c r="AE889" s="1" t="s">
        <v>10510</v>
      </c>
      <c r="AF889" s="1" t="s">
        <v>10511</v>
      </c>
      <c r="AG889" s="1" t="s">
        <v>10512</v>
      </c>
      <c r="AH889" s="1" t="s">
        <v>10513</v>
      </c>
      <c r="AI889" s="1">
        <v>4.66</v>
      </c>
      <c r="AJ889" s="1">
        <v>161</v>
      </c>
      <c r="AK889" s="1">
        <v>398</v>
      </c>
    </row>
    <row r="890" spans="1:38" ht="15.75" customHeight="1">
      <c r="A890" s="1">
        <v>946</v>
      </c>
      <c r="C890" s="1">
        <v>4001</v>
      </c>
      <c r="D890" s="1" t="s">
        <v>51</v>
      </c>
      <c r="E890" s="1" t="s">
        <v>39</v>
      </c>
      <c r="F890" s="1" t="s">
        <v>305</v>
      </c>
      <c r="G890" s="1">
        <v>0</v>
      </c>
      <c r="H890" s="1" t="s">
        <v>53</v>
      </c>
      <c r="I890" s="1" t="s">
        <v>10514</v>
      </c>
      <c r="J890" s="1" t="s">
        <v>10515</v>
      </c>
      <c r="K890" s="1" t="s">
        <v>10516</v>
      </c>
      <c r="L890" s="1">
        <v>1</v>
      </c>
      <c r="M890" s="1">
        <v>0</v>
      </c>
      <c r="N890" s="1" t="s">
        <v>10517</v>
      </c>
      <c r="O890" s="1" t="s">
        <v>10518</v>
      </c>
      <c r="P890" s="1" t="s">
        <v>10519</v>
      </c>
      <c r="Q890" s="1">
        <v>0</v>
      </c>
      <c r="R890" s="1" t="s">
        <v>10520</v>
      </c>
      <c r="S890" s="1" t="s">
        <v>10521</v>
      </c>
      <c r="U890" s="2">
        <v>56773</v>
      </c>
      <c r="V890" s="1">
        <v>4.3</v>
      </c>
      <c r="W890" s="1">
        <v>1500</v>
      </c>
      <c r="X890" s="1">
        <v>1881</v>
      </c>
      <c r="Y890" s="1">
        <v>9</v>
      </c>
      <c r="Z890" s="1">
        <v>904</v>
      </c>
      <c r="AA890" s="1">
        <v>968</v>
      </c>
      <c r="AB890" s="1">
        <v>1</v>
      </c>
      <c r="AC890" s="1">
        <v>1</v>
      </c>
      <c r="AE890" s="1" t="s">
        <v>10522</v>
      </c>
      <c r="AF890" s="1" t="s">
        <v>10523</v>
      </c>
      <c r="AG890" s="1" t="s">
        <v>10524</v>
      </c>
      <c r="AH890" s="1" t="s">
        <v>10525</v>
      </c>
      <c r="AI890" s="1">
        <v>4.5199999999999996</v>
      </c>
      <c r="AJ890" s="1">
        <v>183</v>
      </c>
      <c r="AK890" s="1">
        <v>522</v>
      </c>
    </row>
    <row r="891" spans="1:38" ht="15.75" customHeight="1">
      <c r="A891" s="1">
        <v>1126</v>
      </c>
      <c r="C891" s="1">
        <v>4001</v>
      </c>
      <c r="D891" s="1" t="s">
        <v>51</v>
      </c>
      <c r="E891" s="1" t="s">
        <v>39</v>
      </c>
      <c r="F891" s="1" t="s">
        <v>414</v>
      </c>
      <c r="G891" s="1">
        <v>0</v>
      </c>
      <c r="H891" s="1" t="s">
        <v>53</v>
      </c>
      <c r="I891" s="1" t="s">
        <v>10526</v>
      </c>
      <c r="J891" s="1" t="s">
        <v>10527</v>
      </c>
      <c r="K891" s="1" t="s">
        <v>10528</v>
      </c>
      <c r="L891" s="1">
        <v>1</v>
      </c>
      <c r="M891" s="1">
        <v>0</v>
      </c>
      <c r="N891" s="1" t="s">
        <v>10529</v>
      </c>
      <c r="O891" s="1" t="s">
        <v>10530</v>
      </c>
      <c r="P891" s="1" t="s">
        <v>10531</v>
      </c>
      <c r="Q891" s="1">
        <v>0</v>
      </c>
      <c r="R891" s="1" t="s">
        <v>10532</v>
      </c>
      <c r="U891" s="2">
        <v>56775</v>
      </c>
      <c r="V891" s="1">
        <v>3.9792116329999998</v>
      </c>
      <c r="W891" s="1">
        <v>1500</v>
      </c>
      <c r="X891" s="1">
        <v>2596</v>
      </c>
      <c r="AA891" s="1">
        <v>705</v>
      </c>
      <c r="AB891" s="1">
        <v>1</v>
      </c>
      <c r="AC891" s="1">
        <v>1</v>
      </c>
      <c r="AE891" s="1" t="s">
        <v>10533</v>
      </c>
      <c r="AF891" s="1" t="s">
        <v>10534</v>
      </c>
      <c r="AG891" s="1" t="s">
        <v>10535</v>
      </c>
      <c r="AI891" s="1">
        <v>4.58</v>
      </c>
      <c r="AJ891" s="1">
        <v>254</v>
      </c>
      <c r="AK891" s="1">
        <v>788</v>
      </c>
      <c r="AL891" s="1">
        <v>9</v>
      </c>
    </row>
    <row r="892" spans="1:38" ht="15.75" customHeight="1">
      <c r="A892" s="1">
        <v>1137</v>
      </c>
      <c r="C892" s="1">
        <v>4001</v>
      </c>
      <c r="D892" s="1" t="s">
        <v>51</v>
      </c>
      <c r="E892" s="1" t="s">
        <v>39</v>
      </c>
      <c r="F892" s="1" t="s">
        <v>341</v>
      </c>
      <c r="G892" s="1">
        <v>0</v>
      </c>
      <c r="H892" s="1" t="s">
        <v>41</v>
      </c>
      <c r="I892" s="1" t="s">
        <v>10536</v>
      </c>
      <c r="J892" s="1" t="s">
        <v>10537</v>
      </c>
      <c r="K892" s="1" t="s">
        <v>10538</v>
      </c>
      <c r="L892" s="1">
        <v>1</v>
      </c>
      <c r="M892" s="1">
        <v>0</v>
      </c>
      <c r="N892" s="1" t="s">
        <v>10539</v>
      </c>
      <c r="O892" s="1" t="s">
        <v>10540</v>
      </c>
      <c r="P892" s="1" t="s">
        <v>10541</v>
      </c>
      <c r="Q892" s="1">
        <v>0</v>
      </c>
      <c r="R892" s="1" t="s">
        <v>10542</v>
      </c>
      <c r="S892" s="1" t="s">
        <v>10543</v>
      </c>
      <c r="U892" s="2">
        <v>56775</v>
      </c>
      <c r="V892" s="1">
        <v>3.768462177</v>
      </c>
      <c r="W892" s="1">
        <v>1500</v>
      </c>
      <c r="X892" s="1">
        <v>880</v>
      </c>
      <c r="Y892" s="1">
        <v>163</v>
      </c>
      <c r="Z892" s="1">
        <v>246</v>
      </c>
      <c r="AA892" s="1">
        <v>471</v>
      </c>
      <c r="AB892" s="1">
        <v>0</v>
      </c>
      <c r="AC892" s="1">
        <v>2</v>
      </c>
      <c r="AD892" s="1" t="s">
        <v>215</v>
      </c>
      <c r="AE892" s="1" t="s">
        <v>10544</v>
      </c>
      <c r="AF892" s="1" t="s">
        <v>10545</v>
      </c>
      <c r="AG892" s="1" t="s">
        <v>10546</v>
      </c>
      <c r="AH892" s="1" t="s">
        <v>10547</v>
      </c>
      <c r="AI892" s="1">
        <v>4.54</v>
      </c>
      <c r="AJ892" s="1">
        <v>2229</v>
      </c>
      <c r="AK892" s="1">
        <v>6580</v>
      </c>
    </row>
    <row r="893" spans="1:38" ht="15.75" customHeight="1">
      <c r="A893" s="1">
        <v>1271</v>
      </c>
      <c r="C893" s="1">
        <v>4001</v>
      </c>
      <c r="D893" s="1" t="s">
        <v>51</v>
      </c>
      <c r="E893" s="1" t="s">
        <v>39</v>
      </c>
      <c r="F893" s="1" t="s">
        <v>341</v>
      </c>
      <c r="G893" s="1">
        <v>0</v>
      </c>
      <c r="H893" s="1" t="s">
        <v>41</v>
      </c>
      <c r="I893" s="1" t="s">
        <v>10548</v>
      </c>
      <c r="J893" s="1" t="s">
        <v>10549</v>
      </c>
      <c r="K893" s="1" t="s">
        <v>10550</v>
      </c>
      <c r="L893" s="1">
        <v>1</v>
      </c>
      <c r="M893" s="1">
        <v>0</v>
      </c>
      <c r="N893" s="1" t="s">
        <v>10551</v>
      </c>
      <c r="O893" s="1" t="s">
        <v>10552</v>
      </c>
      <c r="P893" s="1" t="s">
        <v>10553</v>
      </c>
      <c r="Q893" s="1">
        <v>0</v>
      </c>
      <c r="R893" s="1" t="s">
        <v>10554</v>
      </c>
      <c r="S893" s="1" t="s">
        <v>10555</v>
      </c>
      <c r="U893" s="2">
        <v>56776</v>
      </c>
      <c r="V893" s="1">
        <v>4.5</v>
      </c>
      <c r="W893" s="1">
        <v>1500</v>
      </c>
      <c r="X893" s="1">
        <v>1514</v>
      </c>
      <c r="Y893" s="1">
        <v>417</v>
      </c>
      <c r="Z893" s="1">
        <v>597</v>
      </c>
      <c r="AA893" s="1">
        <v>500</v>
      </c>
      <c r="AB893" s="1">
        <v>0</v>
      </c>
      <c r="AC893" s="1">
        <v>2</v>
      </c>
      <c r="AD893" s="1" t="s">
        <v>215</v>
      </c>
      <c r="AE893" s="1" t="s">
        <v>10556</v>
      </c>
      <c r="AF893" s="1" t="s">
        <v>10557</v>
      </c>
      <c r="AG893" s="1" t="s">
        <v>10558</v>
      </c>
      <c r="AH893" s="1" t="s">
        <v>10559</v>
      </c>
      <c r="AI893" s="1">
        <v>4.54</v>
      </c>
      <c r="AJ893" s="1">
        <v>2229</v>
      </c>
      <c r="AK893" s="1">
        <v>6580</v>
      </c>
    </row>
    <row r="894" spans="1:38" ht="15.75" customHeight="1">
      <c r="A894" s="1">
        <v>500</v>
      </c>
      <c r="B894" s="1">
        <v>5</v>
      </c>
      <c r="C894" s="1">
        <v>4050</v>
      </c>
      <c r="D894" s="1" t="s">
        <v>38</v>
      </c>
      <c r="E894" s="1" t="s">
        <v>39</v>
      </c>
      <c r="F894" s="1" t="s">
        <v>1372</v>
      </c>
      <c r="G894" s="1">
        <v>0</v>
      </c>
      <c r="H894" s="1" t="s">
        <v>41</v>
      </c>
      <c r="I894" s="1" t="s">
        <v>10560</v>
      </c>
      <c r="J894" s="1" t="s">
        <v>10561</v>
      </c>
      <c r="K894" s="1" t="s">
        <v>10562</v>
      </c>
      <c r="L894" s="1">
        <v>1</v>
      </c>
      <c r="M894" s="1">
        <v>0</v>
      </c>
      <c r="N894" s="1" t="s">
        <v>10563</v>
      </c>
      <c r="O894" s="1" t="s">
        <v>10564</v>
      </c>
      <c r="P894" s="1" t="s">
        <v>10565</v>
      </c>
      <c r="Q894" s="1">
        <v>0</v>
      </c>
      <c r="R894" s="1" t="s">
        <v>10566</v>
      </c>
      <c r="S894" s="1" t="s">
        <v>10567</v>
      </c>
      <c r="U894" s="2">
        <v>56769</v>
      </c>
      <c r="V894" s="1">
        <v>4.5</v>
      </c>
      <c r="W894" s="1">
        <v>1500</v>
      </c>
      <c r="X894" s="1">
        <v>2069</v>
      </c>
      <c r="Y894" s="1">
        <v>700</v>
      </c>
      <c r="Z894" s="1">
        <v>450</v>
      </c>
      <c r="AA894" s="1">
        <v>919</v>
      </c>
      <c r="AB894" s="1">
        <v>0</v>
      </c>
      <c r="AC894" s="1">
        <v>2</v>
      </c>
      <c r="AD894" s="1" t="s">
        <v>76</v>
      </c>
      <c r="AE894" s="1" t="s">
        <v>10568</v>
      </c>
      <c r="AF894" s="1" t="s">
        <v>10569</v>
      </c>
      <c r="AG894" s="1" t="s">
        <v>10570</v>
      </c>
      <c r="AH894" s="1" t="s">
        <v>10571</v>
      </c>
      <c r="AI894" s="1">
        <v>4.4111111110000003</v>
      </c>
      <c r="AJ894" s="1">
        <v>68</v>
      </c>
      <c r="AK894" s="1">
        <v>223</v>
      </c>
      <c r="AL894" s="1">
        <v>118</v>
      </c>
    </row>
    <row r="895" spans="1:38" ht="15.75" customHeight="1">
      <c r="A895" s="1">
        <v>664</v>
      </c>
      <c r="B895" s="1">
        <v>5</v>
      </c>
      <c r="C895" s="1">
        <v>4001</v>
      </c>
      <c r="D895" s="1" t="s">
        <v>51</v>
      </c>
      <c r="E895" s="1" t="s">
        <v>39</v>
      </c>
      <c r="F895" s="1" t="s">
        <v>92</v>
      </c>
      <c r="G895" s="1">
        <v>0</v>
      </c>
      <c r="H895" s="1" t="s">
        <v>41</v>
      </c>
      <c r="I895" s="1" t="s">
        <v>10572</v>
      </c>
      <c r="J895" s="1" t="s">
        <v>10573</v>
      </c>
      <c r="K895" s="1" t="s">
        <v>10574</v>
      </c>
      <c r="L895" s="1">
        <v>1</v>
      </c>
      <c r="M895" s="1">
        <v>0</v>
      </c>
      <c r="N895" s="1" t="s">
        <v>10575</v>
      </c>
      <c r="O895" s="1" t="s">
        <v>10576</v>
      </c>
      <c r="P895" s="1" t="s">
        <v>10577</v>
      </c>
      <c r="Q895" s="1">
        <v>0</v>
      </c>
      <c r="R895" s="1" t="s">
        <v>10578</v>
      </c>
      <c r="S895" s="1" t="s">
        <v>10579</v>
      </c>
      <c r="U895" s="2">
        <v>56770</v>
      </c>
      <c r="V895" s="1">
        <v>4.5</v>
      </c>
      <c r="W895" s="1">
        <v>1500</v>
      </c>
      <c r="X895" s="1">
        <v>1612</v>
      </c>
      <c r="Y895" s="1">
        <v>753</v>
      </c>
      <c r="Z895" s="1">
        <v>666</v>
      </c>
      <c r="AA895" s="1">
        <v>193</v>
      </c>
      <c r="AB895" s="1">
        <v>0</v>
      </c>
      <c r="AC895" s="1">
        <v>2</v>
      </c>
      <c r="AD895" s="1" t="s">
        <v>76</v>
      </c>
      <c r="AE895" s="1" t="s">
        <v>10580</v>
      </c>
      <c r="AF895" s="1" t="s">
        <v>10581</v>
      </c>
      <c r="AG895" s="1" t="s">
        <v>10582</v>
      </c>
      <c r="AH895" s="1" t="s">
        <v>10583</v>
      </c>
      <c r="AI895" s="1">
        <v>4.03</v>
      </c>
      <c r="AJ895" s="1">
        <v>505</v>
      </c>
      <c r="AK895" s="1">
        <v>1721</v>
      </c>
      <c r="AL895" s="1">
        <v>457</v>
      </c>
    </row>
    <row r="896" spans="1:38" ht="15.75" customHeight="1">
      <c r="A896" s="1">
        <v>800</v>
      </c>
      <c r="C896" s="1">
        <v>4050</v>
      </c>
      <c r="D896" s="1" t="s">
        <v>38</v>
      </c>
      <c r="E896" s="1" t="s">
        <v>39</v>
      </c>
      <c r="F896" s="1" t="s">
        <v>116</v>
      </c>
      <c r="G896" s="1">
        <v>0</v>
      </c>
      <c r="H896" s="1" t="s">
        <v>41</v>
      </c>
      <c r="I896" s="1" t="s">
        <v>10584</v>
      </c>
      <c r="J896" s="1" t="s">
        <v>10585</v>
      </c>
      <c r="K896" s="1" t="s">
        <v>10586</v>
      </c>
      <c r="L896" s="1">
        <v>1</v>
      </c>
      <c r="M896" s="1">
        <v>0</v>
      </c>
      <c r="N896" s="1" t="s">
        <v>10587</v>
      </c>
      <c r="O896" s="1" t="s">
        <v>10588</v>
      </c>
      <c r="P896" s="1" t="s">
        <v>10589</v>
      </c>
      <c r="Q896" s="1">
        <v>0</v>
      </c>
      <c r="R896" s="1" t="s">
        <v>10590</v>
      </c>
      <c r="S896" s="1" t="s">
        <v>10591</v>
      </c>
      <c r="U896" s="2">
        <v>56771</v>
      </c>
      <c r="V896" s="1">
        <v>4.7</v>
      </c>
      <c r="W896" s="1">
        <v>1500</v>
      </c>
      <c r="X896" s="1">
        <v>2014</v>
      </c>
      <c r="Y896" s="1">
        <v>503</v>
      </c>
      <c r="Z896" s="1">
        <v>857</v>
      </c>
      <c r="AA896" s="1">
        <v>654</v>
      </c>
      <c r="AB896" s="1">
        <v>0</v>
      </c>
      <c r="AC896" s="1">
        <v>2</v>
      </c>
      <c r="AD896" s="1" t="s">
        <v>62</v>
      </c>
      <c r="AE896" s="1" t="s">
        <v>10592</v>
      </c>
      <c r="AF896" s="1" t="s">
        <v>10593</v>
      </c>
      <c r="AG896" s="1" t="s">
        <v>10594</v>
      </c>
      <c r="AH896" s="1" t="s">
        <v>10595</v>
      </c>
      <c r="AI896" s="1">
        <v>4.8899999999999997</v>
      </c>
      <c r="AJ896" s="1">
        <v>1778</v>
      </c>
      <c r="AK896" s="1">
        <v>5138</v>
      </c>
      <c r="AL896" s="1">
        <v>314</v>
      </c>
    </row>
    <row r="897" spans="1:38" ht="15.75" customHeight="1">
      <c r="A897" s="1">
        <v>841</v>
      </c>
      <c r="C897" s="1">
        <v>4001</v>
      </c>
      <c r="D897" s="1" t="s">
        <v>51</v>
      </c>
      <c r="E897" s="1" t="s">
        <v>39</v>
      </c>
      <c r="F897" s="1" t="s">
        <v>341</v>
      </c>
      <c r="G897" s="1">
        <v>0</v>
      </c>
      <c r="H897" s="1" t="s">
        <v>41</v>
      </c>
      <c r="I897" s="1" t="s">
        <v>10596</v>
      </c>
      <c r="J897" s="1" t="s">
        <v>10597</v>
      </c>
      <c r="K897" s="1" t="s">
        <v>10598</v>
      </c>
      <c r="L897" s="1">
        <v>1</v>
      </c>
      <c r="M897" s="1">
        <v>0</v>
      </c>
      <c r="N897" s="1" t="s">
        <v>10599</v>
      </c>
      <c r="O897" s="1" t="s">
        <v>10600</v>
      </c>
      <c r="P897" s="1" t="s">
        <v>10601</v>
      </c>
      <c r="Q897" s="1">
        <v>0</v>
      </c>
      <c r="R897" s="1" t="s">
        <v>10602</v>
      </c>
      <c r="S897" s="1" t="s">
        <v>10603</v>
      </c>
      <c r="U897" s="2">
        <v>56772</v>
      </c>
      <c r="V897" s="1">
        <v>4.5</v>
      </c>
      <c r="W897" s="1">
        <v>1500</v>
      </c>
      <c r="X897" s="1">
        <v>1731</v>
      </c>
      <c r="Y897" s="1">
        <v>416</v>
      </c>
      <c r="Z897" s="1">
        <v>537</v>
      </c>
      <c r="AA897" s="1">
        <v>778</v>
      </c>
      <c r="AB897" s="1">
        <v>0</v>
      </c>
      <c r="AC897" s="1">
        <v>1</v>
      </c>
      <c r="AD897" s="1" t="s">
        <v>215</v>
      </c>
      <c r="AE897" s="1" t="s">
        <v>10604</v>
      </c>
      <c r="AF897" s="1" t="s">
        <v>10605</v>
      </c>
      <c r="AG897" s="1" t="s">
        <v>10606</v>
      </c>
      <c r="AH897" s="1" t="s">
        <v>10607</v>
      </c>
      <c r="AI897" s="1">
        <v>4.54</v>
      </c>
      <c r="AJ897" s="1">
        <v>2229</v>
      </c>
      <c r="AK897" s="1">
        <v>6580</v>
      </c>
    </row>
    <row r="898" spans="1:38" ht="15.75" customHeight="1">
      <c r="A898" s="1">
        <v>911</v>
      </c>
      <c r="C898" s="1">
        <v>4050</v>
      </c>
      <c r="D898" s="1" t="s">
        <v>38</v>
      </c>
      <c r="E898" s="1" t="s">
        <v>39</v>
      </c>
      <c r="F898" s="1" t="s">
        <v>1348</v>
      </c>
      <c r="G898" s="1">
        <v>0</v>
      </c>
      <c r="H898" s="1" t="s">
        <v>41</v>
      </c>
      <c r="I898" s="1" t="s">
        <v>10608</v>
      </c>
      <c r="J898" s="1" t="s">
        <v>10609</v>
      </c>
      <c r="K898" s="1" t="s">
        <v>10610</v>
      </c>
      <c r="L898" s="1">
        <v>1</v>
      </c>
      <c r="M898" s="1">
        <v>0</v>
      </c>
      <c r="N898" s="1" t="s">
        <v>10611</v>
      </c>
      <c r="O898" s="1" t="s">
        <v>10612</v>
      </c>
      <c r="P898" s="1" t="s">
        <v>10613</v>
      </c>
      <c r="Q898" s="1">
        <v>0</v>
      </c>
      <c r="R898" s="1" t="s">
        <v>10614</v>
      </c>
      <c r="S898" s="1" t="s">
        <v>10615</v>
      </c>
      <c r="U898" s="2">
        <v>56772</v>
      </c>
      <c r="V898" s="1">
        <v>4.4000000000000004</v>
      </c>
      <c r="W898" s="1">
        <v>1500</v>
      </c>
      <c r="X898" s="1">
        <v>2218</v>
      </c>
      <c r="Y898" s="1">
        <v>615</v>
      </c>
      <c r="Z898" s="1">
        <v>356</v>
      </c>
      <c r="AA898" s="1">
        <v>1247</v>
      </c>
      <c r="AB898" s="1">
        <v>0</v>
      </c>
      <c r="AC898" s="1">
        <v>2</v>
      </c>
      <c r="AD898" s="1" t="s">
        <v>215</v>
      </c>
      <c r="AE898" s="1" t="s">
        <v>10616</v>
      </c>
      <c r="AF898" s="1" t="s">
        <v>10617</v>
      </c>
      <c r="AG898" s="1" t="s">
        <v>10618</v>
      </c>
      <c r="AH898" s="1" t="s">
        <v>10619</v>
      </c>
      <c r="AI898" s="1">
        <v>4.79</v>
      </c>
      <c r="AJ898" s="1">
        <v>1007</v>
      </c>
      <c r="AK898" s="1">
        <v>2899</v>
      </c>
      <c r="AL898" s="1">
        <v>1301</v>
      </c>
    </row>
    <row r="899" spans="1:38" ht="15.75" customHeight="1">
      <c r="A899" s="1">
        <v>1570</v>
      </c>
      <c r="B899" s="1">
        <v>4</v>
      </c>
      <c r="C899" s="1">
        <v>4001</v>
      </c>
      <c r="D899" s="1" t="s">
        <v>51</v>
      </c>
      <c r="E899" s="1" t="s">
        <v>39</v>
      </c>
      <c r="F899" s="1" t="s">
        <v>341</v>
      </c>
      <c r="G899" s="1">
        <v>0</v>
      </c>
      <c r="H899" s="1" t="s">
        <v>41</v>
      </c>
      <c r="I899" s="1" t="s">
        <v>10620</v>
      </c>
      <c r="J899" s="1" t="s">
        <v>10621</v>
      </c>
      <c r="K899" s="1" t="s">
        <v>10622</v>
      </c>
      <c r="L899" s="1">
        <v>1</v>
      </c>
      <c r="M899" s="1">
        <v>0</v>
      </c>
      <c r="N899" s="1" t="s">
        <v>10623</v>
      </c>
      <c r="O899" s="1" t="s">
        <v>10624</v>
      </c>
      <c r="P899" s="1" t="s">
        <v>10625</v>
      </c>
      <c r="Q899" s="1">
        <v>0</v>
      </c>
      <c r="R899" s="1" t="s">
        <v>10626</v>
      </c>
      <c r="S899" s="1" t="s">
        <v>10627</v>
      </c>
      <c r="U899" s="2">
        <v>56778</v>
      </c>
      <c r="V899" s="1">
        <v>4.5</v>
      </c>
      <c r="W899" s="1">
        <v>1500</v>
      </c>
      <c r="X899" s="1">
        <v>1435</v>
      </c>
      <c r="Y899" s="1">
        <v>760</v>
      </c>
      <c r="Z899" s="1">
        <v>116</v>
      </c>
      <c r="AA899" s="1">
        <v>559</v>
      </c>
      <c r="AB899" s="1">
        <v>0</v>
      </c>
      <c r="AC899" s="1">
        <v>1</v>
      </c>
      <c r="AD899" s="1" t="s">
        <v>76</v>
      </c>
      <c r="AE899" s="1" t="s">
        <v>10628</v>
      </c>
      <c r="AF899" s="1" t="s">
        <v>10629</v>
      </c>
      <c r="AG899" s="1" t="s">
        <v>10630</v>
      </c>
      <c r="AH899" s="1" t="s">
        <v>10631</v>
      </c>
      <c r="AI899" s="1">
        <v>4.54</v>
      </c>
      <c r="AJ899" s="1">
        <v>2229</v>
      </c>
      <c r="AK899" s="1">
        <v>6580</v>
      </c>
    </row>
    <row r="900" spans="1:38" ht="15.75" customHeight="1">
      <c r="A900" s="1">
        <v>713</v>
      </c>
      <c r="C900" s="1">
        <v>4001</v>
      </c>
      <c r="D900" s="1" t="s">
        <v>51</v>
      </c>
      <c r="E900" s="1" t="s">
        <v>39</v>
      </c>
      <c r="F900" s="1" t="s">
        <v>648</v>
      </c>
      <c r="G900" s="1">
        <v>0</v>
      </c>
      <c r="H900" s="1" t="s">
        <v>53</v>
      </c>
      <c r="I900" s="1" t="s">
        <v>10632</v>
      </c>
      <c r="J900" s="1" t="s">
        <v>10633</v>
      </c>
      <c r="K900" s="1" t="s">
        <v>10634</v>
      </c>
      <c r="L900" s="1">
        <v>1</v>
      </c>
      <c r="M900" s="1">
        <v>0</v>
      </c>
      <c r="N900" s="1" t="s">
        <v>10635</v>
      </c>
      <c r="O900" s="1" t="s">
        <v>10636</v>
      </c>
      <c r="P900" s="1" t="s">
        <v>10637</v>
      </c>
      <c r="Q900" s="1">
        <v>0</v>
      </c>
      <c r="R900" s="1" t="s">
        <v>10638</v>
      </c>
      <c r="S900" s="1" t="s">
        <v>10639</v>
      </c>
      <c r="U900" s="2">
        <v>56770</v>
      </c>
      <c r="V900" s="1">
        <v>4.1859685679999998</v>
      </c>
      <c r="W900" s="1">
        <v>1500</v>
      </c>
      <c r="X900" s="1">
        <v>3241</v>
      </c>
      <c r="Y900" s="1">
        <v>835</v>
      </c>
      <c r="Z900" s="1">
        <v>247</v>
      </c>
      <c r="AA900" s="1">
        <v>2159</v>
      </c>
      <c r="AB900" s="1">
        <v>1</v>
      </c>
      <c r="AC900" s="1">
        <v>1</v>
      </c>
      <c r="AE900" s="1" t="s">
        <v>10640</v>
      </c>
      <c r="AF900" s="1" t="s">
        <v>10641</v>
      </c>
      <c r="AG900" s="1" t="s">
        <v>10642</v>
      </c>
      <c r="AH900" s="1" t="s">
        <v>10643</v>
      </c>
      <c r="AI900" s="1">
        <v>4.7</v>
      </c>
      <c r="AJ900" s="1">
        <v>443</v>
      </c>
      <c r="AK900" s="1">
        <v>1579</v>
      </c>
    </row>
    <row r="901" spans="1:38" ht="15.75" customHeight="1">
      <c r="A901" s="1">
        <v>248</v>
      </c>
      <c r="B901" s="1">
        <v>5</v>
      </c>
      <c r="C901" s="1">
        <v>4050</v>
      </c>
      <c r="D901" s="1" t="s">
        <v>38</v>
      </c>
      <c r="E901" s="1" t="s">
        <v>39</v>
      </c>
      <c r="F901" s="1" t="s">
        <v>510</v>
      </c>
      <c r="G901" s="1">
        <v>0</v>
      </c>
      <c r="H901" s="1" t="s">
        <v>41</v>
      </c>
      <c r="I901" s="1" t="s">
        <v>10644</v>
      </c>
      <c r="J901" s="1" t="s">
        <v>10645</v>
      </c>
      <c r="K901" s="1" t="s">
        <v>10646</v>
      </c>
      <c r="L901" s="1">
        <v>1</v>
      </c>
      <c r="M901" s="1">
        <v>0</v>
      </c>
      <c r="N901" s="1" t="s">
        <v>10647</v>
      </c>
      <c r="O901" s="1" t="s">
        <v>10648</v>
      </c>
      <c r="P901" s="1" t="s">
        <v>10649</v>
      </c>
      <c r="Q901" s="1">
        <v>0</v>
      </c>
      <c r="R901" s="1" t="s">
        <v>10650</v>
      </c>
      <c r="S901" s="1" t="s">
        <v>10651</v>
      </c>
      <c r="U901" s="2">
        <v>56767</v>
      </c>
      <c r="V901" s="1">
        <v>4.3</v>
      </c>
      <c r="W901" s="1">
        <v>1500</v>
      </c>
      <c r="X901" s="1">
        <v>2830</v>
      </c>
      <c r="Y901" s="1">
        <v>662</v>
      </c>
      <c r="Z901" s="1">
        <v>1341</v>
      </c>
      <c r="AA901" s="1">
        <v>827</v>
      </c>
      <c r="AB901" s="1">
        <v>0</v>
      </c>
      <c r="AC901" s="1">
        <v>2</v>
      </c>
      <c r="AD901" s="1" t="s">
        <v>62</v>
      </c>
      <c r="AE901" s="1" t="s">
        <v>10652</v>
      </c>
      <c r="AF901" s="1" t="s">
        <v>10653</v>
      </c>
      <c r="AG901" s="1" t="s">
        <v>10654</v>
      </c>
      <c r="AH901" s="1" t="s">
        <v>10655</v>
      </c>
      <c r="AI901" s="1">
        <v>4.62</v>
      </c>
      <c r="AJ901" s="1">
        <v>259</v>
      </c>
      <c r="AK901" s="1">
        <v>604</v>
      </c>
      <c r="AL901" s="1">
        <v>21</v>
      </c>
    </row>
    <row r="902" spans="1:38" ht="15.75" customHeight="1">
      <c r="A902" s="1">
        <v>427</v>
      </c>
      <c r="C902" s="1">
        <v>4050</v>
      </c>
      <c r="D902" s="1" t="s">
        <v>38</v>
      </c>
      <c r="E902" s="1" t="s">
        <v>39</v>
      </c>
      <c r="F902" s="1" t="s">
        <v>1372</v>
      </c>
      <c r="G902" s="1">
        <v>0</v>
      </c>
      <c r="H902" s="1" t="s">
        <v>41</v>
      </c>
      <c r="I902" s="1" t="s">
        <v>10656</v>
      </c>
      <c r="J902" s="1" t="s">
        <v>10657</v>
      </c>
      <c r="K902" s="1" t="s">
        <v>10658</v>
      </c>
      <c r="L902" s="1">
        <v>1</v>
      </c>
      <c r="M902" s="1">
        <v>0</v>
      </c>
      <c r="N902" s="1" t="s">
        <v>10659</v>
      </c>
      <c r="O902" s="1" t="s">
        <v>10660</v>
      </c>
      <c r="P902" s="1" t="s">
        <v>10661</v>
      </c>
      <c r="Q902" s="1">
        <v>0</v>
      </c>
      <c r="R902" s="1" t="s">
        <v>10662</v>
      </c>
      <c r="S902" s="1" t="s">
        <v>10663</v>
      </c>
      <c r="U902" s="2">
        <v>56769</v>
      </c>
      <c r="V902" s="1">
        <v>3.266997924</v>
      </c>
      <c r="W902" s="1">
        <v>1500</v>
      </c>
      <c r="X902" s="1">
        <v>2297</v>
      </c>
      <c r="Y902" s="1">
        <v>696</v>
      </c>
      <c r="Z902" s="1">
        <v>115</v>
      </c>
      <c r="AA902" s="1">
        <v>1486</v>
      </c>
      <c r="AB902" s="1">
        <v>0</v>
      </c>
      <c r="AC902" s="1">
        <v>2</v>
      </c>
      <c r="AD902" s="1" t="s">
        <v>76</v>
      </c>
      <c r="AE902" s="1" t="s">
        <v>10664</v>
      </c>
      <c r="AF902" s="1" t="s">
        <v>10665</v>
      </c>
      <c r="AG902" s="1" t="s">
        <v>10666</v>
      </c>
      <c r="AH902" s="1" t="s">
        <v>10667</v>
      </c>
      <c r="AI902" s="1">
        <v>4.4111111110000003</v>
      </c>
      <c r="AJ902" s="1">
        <v>68</v>
      </c>
      <c r="AK902" s="1">
        <v>223</v>
      </c>
      <c r="AL902" s="1">
        <v>118</v>
      </c>
    </row>
    <row r="903" spans="1:38" ht="15.75" customHeight="1">
      <c r="A903" s="1">
        <v>444</v>
      </c>
      <c r="C903" s="1">
        <v>4050</v>
      </c>
      <c r="D903" s="1" t="s">
        <v>38</v>
      </c>
      <c r="E903" s="1" t="s">
        <v>39</v>
      </c>
      <c r="F903" s="1" t="s">
        <v>510</v>
      </c>
      <c r="G903" s="1">
        <v>0</v>
      </c>
      <c r="H903" s="1" t="s">
        <v>41</v>
      </c>
      <c r="I903" s="1" t="s">
        <v>10668</v>
      </c>
      <c r="J903" s="1" t="s">
        <v>10669</v>
      </c>
      <c r="K903" s="1" t="s">
        <v>10670</v>
      </c>
      <c r="L903" s="1">
        <v>1</v>
      </c>
      <c r="M903" s="1">
        <v>0</v>
      </c>
      <c r="N903" s="1" t="s">
        <v>10671</v>
      </c>
      <c r="O903" s="1" t="s">
        <v>10672</v>
      </c>
      <c r="P903" s="1" t="s">
        <v>10673</v>
      </c>
      <c r="Q903" s="1">
        <v>0</v>
      </c>
      <c r="R903" s="1" t="s">
        <v>10674</v>
      </c>
      <c r="S903" s="1" t="s">
        <v>10675</v>
      </c>
      <c r="U903" s="2">
        <v>56769</v>
      </c>
      <c r="V903" s="1">
        <v>3.0051857470000001</v>
      </c>
      <c r="W903" s="1">
        <v>1500</v>
      </c>
      <c r="X903" s="1">
        <v>1575</v>
      </c>
      <c r="Y903" s="1">
        <v>936</v>
      </c>
      <c r="AA903" s="1">
        <v>798</v>
      </c>
      <c r="AB903" s="1">
        <v>0</v>
      </c>
      <c r="AC903" s="1">
        <v>2</v>
      </c>
      <c r="AE903" s="1" t="s">
        <v>10676</v>
      </c>
      <c r="AF903" s="1" t="s">
        <v>10677</v>
      </c>
      <c r="AG903" s="1" t="s">
        <v>10678</v>
      </c>
      <c r="AH903" s="1" t="s">
        <v>10679</v>
      </c>
      <c r="AI903" s="1">
        <v>4.62</v>
      </c>
      <c r="AJ903" s="1">
        <v>259</v>
      </c>
      <c r="AK903" s="1">
        <v>604</v>
      </c>
      <c r="AL903" s="1">
        <v>21</v>
      </c>
    </row>
    <row r="904" spans="1:38" ht="15.75" customHeight="1">
      <c r="A904" s="1">
        <v>564</v>
      </c>
      <c r="C904" s="1">
        <v>4050</v>
      </c>
      <c r="D904" s="1" t="s">
        <v>38</v>
      </c>
      <c r="E904" s="1" t="s">
        <v>39</v>
      </c>
      <c r="F904" s="1" t="s">
        <v>40</v>
      </c>
      <c r="G904" s="1">
        <v>0</v>
      </c>
      <c r="H904" s="1" t="s">
        <v>41</v>
      </c>
      <c r="I904" s="1" t="s">
        <v>10680</v>
      </c>
      <c r="J904" s="1" t="s">
        <v>10681</v>
      </c>
      <c r="K904" s="1" t="s">
        <v>10682</v>
      </c>
      <c r="L904" s="1">
        <v>1</v>
      </c>
      <c r="M904" s="1">
        <v>0</v>
      </c>
      <c r="N904" s="1" t="s">
        <v>10683</v>
      </c>
      <c r="O904" s="1" t="s">
        <v>10684</v>
      </c>
      <c r="P904" s="1" t="s">
        <v>10685</v>
      </c>
      <c r="Q904" s="1">
        <v>0</v>
      </c>
      <c r="R904" s="1" t="s">
        <v>10686</v>
      </c>
      <c r="S904" s="1" t="s">
        <v>10687</v>
      </c>
      <c r="U904" s="2">
        <v>56770</v>
      </c>
      <c r="V904" s="1">
        <v>3.266997924</v>
      </c>
      <c r="W904" s="1">
        <v>1500</v>
      </c>
      <c r="X904" s="1">
        <v>2029</v>
      </c>
      <c r="Y904" s="1">
        <v>618</v>
      </c>
      <c r="Z904" s="1">
        <v>386</v>
      </c>
      <c r="AA904" s="1">
        <v>1025</v>
      </c>
      <c r="AB904" s="1">
        <v>0</v>
      </c>
      <c r="AC904" s="1">
        <v>3</v>
      </c>
      <c r="AD904" s="1" t="s">
        <v>76</v>
      </c>
      <c r="AE904" s="1" t="s">
        <v>10688</v>
      </c>
      <c r="AF904" s="1" t="s">
        <v>10689</v>
      </c>
      <c r="AG904" s="1" t="s">
        <v>10690</v>
      </c>
      <c r="AH904" s="1" t="s">
        <v>10691</v>
      </c>
      <c r="AI904" s="1">
        <v>4.7</v>
      </c>
      <c r="AJ904" s="1">
        <v>1261</v>
      </c>
      <c r="AK904" s="1">
        <v>3264</v>
      </c>
      <c r="AL904" s="1">
        <v>232</v>
      </c>
    </row>
    <row r="905" spans="1:38" ht="15.75" customHeight="1">
      <c r="A905" s="1">
        <v>1582</v>
      </c>
      <c r="B905" s="1">
        <v>5</v>
      </c>
      <c r="C905" s="1">
        <v>4001</v>
      </c>
      <c r="D905" s="1" t="s">
        <v>51</v>
      </c>
      <c r="E905" s="1" t="s">
        <v>39</v>
      </c>
      <c r="F905" s="1" t="s">
        <v>1915</v>
      </c>
      <c r="G905" s="1">
        <v>0</v>
      </c>
      <c r="H905" s="1" t="s">
        <v>53</v>
      </c>
      <c r="I905" s="1" t="s">
        <v>10692</v>
      </c>
      <c r="J905" s="1" t="s">
        <v>10693</v>
      </c>
      <c r="K905" s="1" t="s">
        <v>10694</v>
      </c>
      <c r="L905" s="1">
        <v>1</v>
      </c>
      <c r="M905" s="1">
        <v>0</v>
      </c>
      <c r="N905" s="1" t="s">
        <v>10695</v>
      </c>
      <c r="O905" s="1" t="s">
        <v>10696</v>
      </c>
      <c r="P905" s="1" t="s">
        <v>10697</v>
      </c>
      <c r="Q905" s="1">
        <v>0</v>
      </c>
      <c r="R905" s="1" t="s">
        <v>10698</v>
      </c>
      <c r="S905" s="1" t="s">
        <v>10699</v>
      </c>
      <c r="U905" s="2">
        <v>56778</v>
      </c>
      <c r="V905" s="1">
        <v>2.8584156639999998</v>
      </c>
      <c r="W905" s="1">
        <v>1500</v>
      </c>
      <c r="X905" s="1">
        <v>826</v>
      </c>
      <c r="Y905" s="1">
        <v>174</v>
      </c>
      <c r="Z905" s="1">
        <v>79</v>
      </c>
      <c r="AA905" s="1">
        <v>573</v>
      </c>
      <c r="AB905" s="1">
        <v>0</v>
      </c>
      <c r="AC905" s="1">
        <v>3</v>
      </c>
      <c r="AD905" s="1" t="s">
        <v>62</v>
      </c>
      <c r="AE905" s="1" t="s">
        <v>10700</v>
      </c>
      <c r="AF905" s="1" t="s">
        <v>10701</v>
      </c>
      <c r="AG905" s="1" t="s">
        <v>10702</v>
      </c>
      <c r="AH905" s="1" t="s">
        <v>10703</v>
      </c>
      <c r="AI905" s="1">
        <v>4.63</v>
      </c>
      <c r="AJ905" s="1">
        <v>242</v>
      </c>
      <c r="AK905" s="1">
        <v>736</v>
      </c>
    </row>
    <row r="906" spans="1:38" ht="15.75" customHeight="1">
      <c r="A906" s="1">
        <v>559</v>
      </c>
      <c r="C906" s="1">
        <v>4050</v>
      </c>
      <c r="D906" s="1" t="s">
        <v>38</v>
      </c>
      <c r="E906" s="1" t="s">
        <v>39</v>
      </c>
      <c r="F906" s="1" t="s">
        <v>280</v>
      </c>
      <c r="G906" s="1">
        <v>0</v>
      </c>
      <c r="H906" s="1" t="s">
        <v>41</v>
      </c>
      <c r="I906" s="1" t="s">
        <v>10704</v>
      </c>
      <c r="J906" s="1" t="s">
        <v>10705</v>
      </c>
      <c r="K906" s="1" t="s">
        <v>10706</v>
      </c>
      <c r="L906" s="1">
        <v>1</v>
      </c>
      <c r="M906" s="1">
        <v>0</v>
      </c>
      <c r="N906" s="1" t="s">
        <v>10707</v>
      </c>
      <c r="O906" s="1" t="s">
        <v>10708</v>
      </c>
      <c r="P906" s="1" t="s">
        <v>10709</v>
      </c>
      <c r="Q906" s="1">
        <v>0</v>
      </c>
      <c r="R906" s="1" t="s">
        <v>10710</v>
      </c>
      <c r="S906" s="1" t="s">
        <v>10711</v>
      </c>
      <c r="U906" s="2">
        <v>56770</v>
      </c>
      <c r="V906" s="1">
        <v>4.5999999999999996</v>
      </c>
      <c r="W906" s="1">
        <v>1500</v>
      </c>
      <c r="X906" s="1">
        <v>1543</v>
      </c>
      <c r="Y906" s="1">
        <v>478</v>
      </c>
      <c r="Z906" s="1">
        <v>299</v>
      </c>
      <c r="AA906" s="1">
        <v>766</v>
      </c>
      <c r="AB906" s="1">
        <v>0</v>
      </c>
      <c r="AC906" s="1">
        <v>5</v>
      </c>
      <c r="AD906" s="1" t="s">
        <v>215</v>
      </c>
      <c r="AE906" s="1" t="s">
        <v>10712</v>
      </c>
      <c r="AF906" s="1" t="s">
        <v>10713</v>
      </c>
      <c r="AG906" s="1" t="s">
        <v>10714</v>
      </c>
      <c r="AH906" s="1" t="s">
        <v>10715</v>
      </c>
      <c r="AI906" s="1">
        <v>4.49</v>
      </c>
      <c r="AJ906" s="1">
        <v>2315</v>
      </c>
      <c r="AK906" s="1">
        <v>7039</v>
      </c>
      <c r="AL906" s="1">
        <v>763</v>
      </c>
    </row>
    <row r="907" spans="1:38" ht="15.75" customHeight="1">
      <c r="A907" s="1">
        <v>144</v>
      </c>
      <c r="B907" s="1">
        <v>5</v>
      </c>
      <c r="C907" s="1">
        <v>4050</v>
      </c>
      <c r="D907" s="1" t="s">
        <v>38</v>
      </c>
      <c r="E907" s="1" t="s">
        <v>39</v>
      </c>
      <c r="F907" s="1" t="s">
        <v>195</v>
      </c>
      <c r="G907" s="1">
        <v>0</v>
      </c>
      <c r="H907" s="1" t="s">
        <v>41</v>
      </c>
      <c r="I907" s="1" t="s">
        <v>10716</v>
      </c>
      <c r="J907" s="1" t="s">
        <v>10717</v>
      </c>
      <c r="K907" s="1" t="s">
        <v>10718</v>
      </c>
      <c r="L907" s="1">
        <v>1</v>
      </c>
      <c r="M907" s="1">
        <v>0</v>
      </c>
      <c r="N907" s="1" t="s">
        <v>10719</v>
      </c>
      <c r="O907" s="1" t="s">
        <v>10720</v>
      </c>
      <c r="P907" s="1" t="s">
        <v>10721</v>
      </c>
      <c r="Q907" s="1">
        <v>0</v>
      </c>
      <c r="R907" s="1" t="s">
        <v>10722</v>
      </c>
      <c r="S907" s="1" t="s">
        <v>10723</v>
      </c>
      <c r="U907" s="2">
        <v>56767</v>
      </c>
      <c r="V907" s="1">
        <v>4.5999999999999996</v>
      </c>
      <c r="W907" s="1">
        <v>1500</v>
      </c>
      <c r="X907" s="1">
        <v>1952</v>
      </c>
      <c r="Y907" s="1">
        <v>453</v>
      </c>
      <c r="Z907" s="1">
        <v>600</v>
      </c>
      <c r="AA907" s="1">
        <v>899</v>
      </c>
      <c r="AB907" s="1">
        <v>0</v>
      </c>
      <c r="AC907" s="1">
        <v>2</v>
      </c>
      <c r="AD907" s="1" t="s">
        <v>215</v>
      </c>
      <c r="AE907" s="1" t="s">
        <v>10724</v>
      </c>
      <c r="AF907" s="1" t="s">
        <v>10725</v>
      </c>
      <c r="AG907" s="1" t="s">
        <v>10726</v>
      </c>
      <c r="AH907" s="1" t="s">
        <v>10727</v>
      </c>
      <c r="AI907" s="1">
        <v>4.66</v>
      </c>
      <c r="AJ907" s="1">
        <v>161</v>
      </c>
      <c r="AK907" s="1">
        <v>398</v>
      </c>
    </row>
    <row r="908" spans="1:38" ht="15.75" customHeight="1">
      <c r="A908" s="1">
        <v>822</v>
      </c>
      <c r="C908" s="1">
        <v>4001</v>
      </c>
      <c r="D908" s="1" t="s">
        <v>51</v>
      </c>
      <c r="E908" s="1" t="s">
        <v>39</v>
      </c>
      <c r="F908" s="1" t="s">
        <v>67</v>
      </c>
      <c r="G908" s="1">
        <v>0</v>
      </c>
      <c r="H908" s="1" t="s">
        <v>41</v>
      </c>
      <c r="I908" s="1" t="s">
        <v>10728</v>
      </c>
      <c r="J908" s="1" t="s">
        <v>10729</v>
      </c>
      <c r="K908" s="1" t="s">
        <v>10729</v>
      </c>
      <c r="L908" s="1">
        <v>0</v>
      </c>
      <c r="M908" s="1">
        <v>0</v>
      </c>
      <c r="N908" s="1" t="s">
        <v>10730</v>
      </c>
      <c r="O908" s="1" t="s">
        <v>10731</v>
      </c>
      <c r="P908" s="1" t="s">
        <v>10732</v>
      </c>
      <c r="Q908" s="1">
        <v>0</v>
      </c>
      <c r="R908" s="1" t="s">
        <v>10733</v>
      </c>
      <c r="S908" s="1" t="s">
        <v>10734</v>
      </c>
      <c r="U908" s="2">
        <v>56772</v>
      </c>
      <c r="V908" s="1">
        <v>4.5</v>
      </c>
      <c r="W908" s="1">
        <v>1500</v>
      </c>
      <c r="X908" s="1">
        <v>2110</v>
      </c>
      <c r="Y908" s="1">
        <v>999</v>
      </c>
      <c r="Z908" s="1">
        <v>219</v>
      </c>
      <c r="AA908" s="1">
        <v>892</v>
      </c>
      <c r="AB908" s="1">
        <v>0</v>
      </c>
      <c r="AC908" s="1">
        <v>3</v>
      </c>
      <c r="AD908" s="1" t="s">
        <v>76</v>
      </c>
      <c r="AE908" s="1" t="s">
        <v>10735</v>
      </c>
      <c r="AF908" s="1" t="s">
        <v>10736</v>
      </c>
      <c r="AG908" s="1" t="s">
        <v>10737</v>
      </c>
      <c r="AH908" s="1" t="s">
        <v>10738</v>
      </c>
      <c r="AI908" s="1">
        <v>3.82</v>
      </c>
      <c r="AJ908" s="1">
        <v>174</v>
      </c>
      <c r="AK908" s="1">
        <v>773</v>
      </c>
    </row>
    <row r="909" spans="1:38" ht="15.75" customHeight="1">
      <c r="A909" s="1">
        <v>1235</v>
      </c>
      <c r="B909" s="1">
        <v>5</v>
      </c>
      <c r="C909" s="1">
        <v>4001</v>
      </c>
      <c r="D909" s="1" t="s">
        <v>51</v>
      </c>
      <c r="E909" s="1" t="s">
        <v>39</v>
      </c>
      <c r="F909" s="1" t="s">
        <v>341</v>
      </c>
      <c r="G909" s="1">
        <v>0</v>
      </c>
      <c r="H909" s="1" t="s">
        <v>41</v>
      </c>
      <c r="I909" s="1" t="s">
        <v>10739</v>
      </c>
      <c r="J909" s="1" t="s">
        <v>10740</v>
      </c>
      <c r="K909" s="1" t="s">
        <v>10741</v>
      </c>
      <c r="L909" s="1">
        <v>1</v>
      </c>
      <c r="M909" s="1">
        <v>0</v>
      </c>
      <c r="N909" s="1" t="s">
        <v>10742</v>
      </c>
      <c r="O909" s="1" t="s">
        <v>10743</v>
      </c>
      <c r="P909" s="1" t="s">
        <v>10744</v>
      </c>
      <c r="Q909" s="1">
        <v>0</v>
      </c>
      <c r="R909" s="1" t="s">
        <v>10745</v>
      </c>
      <c r="S909" s="1" t="s">
        <v>10746</v>
      </c>
      <c r="U909" s="2">
        <v>56776</v>
      </c>
      <c r="V909" s="1">
        <v>4.5</v>
      </c>
      <c r="W909" s="1">
        <v>1500</v>
      </c>
      <c r="X909" s="1">
        <v>987</v>
      </c>
      <c r="Y909" s="1">
        <v>308</v>
      </c>
      <c r="Z909" s="1">
        <v>112</v>
      </c>
      <c r="AA909" s="1">
        <v>567</v>
      </c>
      <c r="AB909" s="1">
        <v>0</v>
      </c>
      <c r="AC909" s="1">
        <v>3</v>
      </c>
      <c r="AD909" s="1" t="s">
        <v>215</v>
      </c>
      <c r="AE909" s="1" t="s">
        <v>10747</v>
      </c>
      <c r="AF909" s="1" t="s">
        <v>10748</v>
      </c>
      <c r="AG909" s="1" t="s">
        <v>10749</v>
      </c>
      <c r="AH909" s="1" t="s">
        <v>10750</v>
      </c>
      <c r="AI909" s="1">
        <v>4.54</v>
      </c>
      <c r="AJ909" s="1">
        <v>2229</v>
      </c>
      <c r="AK909" s="1">
        <v>6580</v>
      </c>
    </row>
    <row r="910" spans="1:38" ht="15.75" customHeight="1">
      <c r="A910" s="1">
        <v>29</v>
      </c>
      <c r="B910" s="1">
        <v>5</v>
      </c>
      <c r="C910" s="1">
        <v>4050</v>
      </c>
      <c r="D910" s="1" t="s">
        <v>38</v>
      </c>
      <c r="E910" s="1" t="s">
        <v>39</v>
      </c>
      <c r="F910" s="1" t="s">
        <v>40</v>
      </c>
      <c r="G910" s="1">
        <v>0</v>
      </c>
      <c r="H910" s="1" t="s">
        <v>41</v>
      </c>
      <c r="I910" s="1" t="s">
        <v>10751</v>
      </c>
      <c r="J910" s="1" t="s">
        <v>10752</v>
      </c>
      <c r="K910" s="1" t="s">
        <v>10753</v>
      </c>
      <c r="L910" s="1">
        <v>1</v>
      </c>
      <c r="M910" s="1">
        <v>0</v>
      </c>
      <c r="N910" s="1" t="s">
        <v>10754</v>
      </c>
      <c r="O910" s="1" t="s">
        <v>10755</v>
      </c>
      <c r="P910" s="1" t="s">
        <v>10756</v>
      </c>
      <c r="Q910" s="1">
        <v>0</v>
      </c>
      <c r="R910" s="1" t="s">
        <v>10757</v>
      </c>
      <c r="S910" s="1" t="s">
        <v>10758</v>
      </c>
      <c r="U910" s="2">
        <v>56766</v>
      </c>
      <c r="V910" s="1">
        <v>4.5999999999999996</v>
      </c>
      <c r="W910" s="1">
        <v>1500</v>
      </c>
      <c r="X910" s="1">
        <v>1446</v>
      </c>
      <c r="Y910" s="1">
        <v>1049</v>
      </c>
      <c r="AA910" s="1">
        <v>558</v>
      </c>
      <c r="AB910" s="1">
        <v>0</v>
      </c>
      <c r="AC910" s="1">
        <v>2</v>
      </c>
      <c r="AD910" s="1" t="s">
        <v>76</v>
      </c>
      <c r="AE910" s="1" t="s">
        <v>10759</v>
      </c>
      <c r="AF910" s="1" t="s">
        <v>10760</v>
      </c>
      <c r="AG910" s="1" t="s">
        <v>10761</v>
      </c>
      <c r="AH910" s="1" t="s">
        <v>10762</v>
      </c>
      <c r="AI910" s="1">
        <v>4.7</v>
      </c>
      <c r="AJ910" s="1">
        <v>1261</v>
      </c>
      <c r="AK910" s="1">
        <v>3264</v>
      </c>
      <c r="AL910" s="1">
        <v>232</v>
      </c>
    </row>
    <row r="911" spans="1:38" ht="15.75" customHeight="1">
      <c r="A911" s="1">
        <v>309</v>
      </c>
      <c r="B911" s="1">
        <v>5</v>
      </c>
      <c r="C911" s="1">
        <v>4001</v>
      </c>
      <c r="D911" s="1" t="s">
        <v>51</v>
      </c>
      <c r="E911" s="1" t="s">
        <v>39</v>
      </c>
      <c r="F911" s="1" t="s">
        <v>92</v>
      </c>
      <c r="G911" s="1">
        <v>0</v>
      </c>
      <c r="H911" s="1" t="s">
        <v>41</v>
      </c>
      <c r="I911" s="1" t="s">
        <v>10763</v>
      </c>
      <c r="J911" s="1" t="s">
        <v>10764</v>
      </c>
      <c r="K911" s="1" t="s">
        <v>10765</v>
      </c>
      <c r="L911" s="1">
        <v>1</v>
      </c>
      <c r="M911" s="1">
        <v>0</v>
      </c>
      <c r="N911" s="1" t="s">
        <v>10766</v>
      </c>
      <c r="O911" s="1" t="s">
        <v>10767</v>
      </c>
      <c r="P911" s="1" t="s">
        <v>10768</v>
      </c>
      <c r="Q911" s="1">
        <v>0</v>
      </c>
      <c r="R911" s="1" t="s">
        <v>10769</v>
      </c>
      <c r="S911" s="1" t="s">
        <v>10770</v>
      </c>
      <c r="U911" s="2">
        <v>56768</v>
      </c>
      <c r="V911" s="1">
        <v>4.3</v>
      </c>
      <c r="W911" s="1">
        <v>1500</v>
      </c>
      <c r="X911" s="1">
        <v>2123</v>
      </c>
      <c r="Y911" s="1">
        <v>483</v>
      </c>
      <c r="Z911" s="1">
        <v>937</v>
      </c>
      <c r="AA911" s="1">
        <v>703</v>
      </c>
      <c r="AB911" s="1">
        <v>1</v>
      </c>
      <c r="AC911" s="1">
        <v>1</v>
      </c>
      <c r="AE911" s="1" t="s">
        <v>10771</v>
      </c>
      <c r="AF911" s="1" t="s">
        <v>10772</v>
      </c>
      <c r="AG911" s="1" t="s">
        <v>10773</v>
      </c>
      <c r="AH911" s="1" t="s">
        <v>10774</v>
      </c>
      <c r="AI911" s="1">
        <v>4.03</v>
      </c>
      <c r="AJ911" s="1">
        <v>505</v>
      </c>
      <c r="AK911" s="1">
        <v>1721</v>
      </c>
      <c r="AL911" s="1">
        <v>457</v>
      </c>
    </row>
    <row r="912" spans="1:38" ht="15.75" customHeight="1">
      <c r="A912" s="1">
        <v>1502</v>
      </c>
      <c r="B912" s="1">
        <v>1</v>
      </c>
      <c r="C912" s="1">
        <v>4001</v>
      </c>
      <c r="D912" s="1" t="s">
        <v>51</v>
      </c>
      <c r="E912" s="1" t="s">
        <v>39</v>
      </c>
      <c r="F912" s="1" t="s">
        <v>52</v>
      </c>
      <c r="G912" s="1">
        <v>0</v>
      </c>
      <c r="H912" s="1" t="s">
        <v>53</v>
      </c>
      <c r="I912" s="1" t="s">
        <v>10775</v>
      </c>
      <c r="J912" s="1" t="s">
        <v>10776</v>
      </c>
      <c r="K912" s="1" t="s">
        <v>10777</v>
      </c>
      <c r="L912" s="1">
        <v>1</v>
      </c>
      <c r="M912" s="1">
        <v>0</v>
      </c>
      <c r="N912" s="1" t="s">
        <v>10778</v>
      </c>
      <c r="O912" s="1" t="s">
        <v>10779</v>
      </c>
      <c r="P912" s="1" t="s">
        <v>10780</v>
      </c>
      <c r="Q912" s="1">
        <v>0</v>
      </c>
      <c r="R912" s="1" t="s">
        <v>10781</v>
      </c>
      <c r="S912" s="1" t="s">
        <v>10782</v>
      </c>
      <c r="U912" s="2">
        <v>56777</v>
      </c>
      <c r="V912" s="1">
        <v>4.3</v>
      </c>
      <c r="W912" s="1">
        <v>1500</v>
      </c>
      <c r="X912" s="1">
        <v>1267</v>
      </c>
      <c r="Y912" s="1">
        <v>581</v>
      </c>
      <c r="Z912" s="1">
        <v>153</v>
      </c>
      <c r="AA912" s="1">
        <v>533</v>
      </c>
      <c r="AB912" s="1">
        <v>0</v>
      </c>
      <c r="AC912" s="1">
        <v>1</v>
      </c>
      <c r="AD912" s="1" t="s">
        <v>215</v>
      </c>
      <c r="AE912" s="1" t="s">
        <v>10783</v>
      </c>
      <c r="AF912" s="1" t="s">
        <v>10784</v>
      </c>
      <c r="AG912" s="1" t="s">
        <v>10785</v>
      </c>
      <c r="AH912" s="1" t="s">
        <v>10786</v>
      </c>
      <c r="AI912" s="1">
        <v>4.17</v>
      </c>
      <c r="AJ912" s="1">
        <v>457</v>
      </c>
      <c r="AK912" s="1">
        <v>1599</v>
      </c>
    </row>
    <row r="913" spans="1:38" ht="15.75" customHeight="1">
      <c r="A913" s="1">
        <v>278</v>
      </c>
      <c r="C913" s="1">
        <v>4001</v>
      </c>
      <c r="D913" s="1" t="s">
        <v>51</v>
      </c>
      <c r="E913" s="1" t="s">
        <v>39</v>
      </c>
      <c r="F913" s="1" t="s">
        <v>305</v>
      </c>
      <c r="G913" s="1">
        <v>0</v>
      </c>
      <c r="H913" s="1" t="s">
        <v>53</v>
      </c>
      <c r="I913" s="1" t="s">
        <v>10787</v>
      </c>
      <c r="J913" s="1" t="s">
        <v>10788</v>
      </c>
      <c r="K913" s="1" t="s">
        <v>10789</v>
      </c>
      <c r="L913" s="1">
        <v>1</v>
      </c>
      <c r="M913" s="1">
        <v>0</v>
      </c>
      <c r="N913" s="1" t="s">
        <v>10790</v>
      </c>
      <c r="O913" s="1" t="s">
        <v>10791</v>
      </c>
      <c r="P913" s="1" t="s">
        <v>10792</v>
      </c>
      <c r="Q913" s="1">
        <v>0</v>
      </c>
      <c r="R913" s="1" t="s">
        <v>10793</v>
      </c>
      <c r="S913" s="1" t="s">
        <v>10794</v>
      </c>
      <c r="U913" s="2">
        <v>56768</v>
      </c>
      <c r="V913" s="1">
        <v>3.4933989300000001</v>
      </c>
      <c r="W913" s="1">
        <v>1500</v>
      </c>
      <c r="X913" s="1">
        <v>1132</v>
      </c>
      <c r="Y913" s="1">
        <v>131</v>
      </c>
      <c r="Z913" s="1">
        <v>449</v>
      </c>
      <c r="AA913" s="1">
        <v>552</v>
      </c>
      <c r="AB913" s="1">
        <v>1</v>
      </c>
      <c r="AC913" s="1">
        <v>1</v>
      </c>
      <c r="AE913" s="1" t="s">
        <v>10795</v>
      </c>
      <c r="AF913" s="1" t="s">
        <v>10796</v>
      </c>
      <c r="AG913" s="1" t="s">
        <v>10797</v>
      </c>
      <c r="AH913" s="1" t="s">
        <v>10798</v>
      </c>
      <c r="AI913" s="1">
        <v>4.5199999999999996</v>
      </c>
      <c r="AJ913" s="1">
        <v>183</v>
      </c>
      <c r="AK913" s="1">
        <v>522</v>
      </c>
    </row>
    <row r="914" spans="1:38" ht="15.75" customHeight="1">
      <c r="A914" s="1">
        <v>782</v>
      </c>
      <c r="C914" s="1">
        <v>4050</v>
      </c>
      <c r="D914" s="1" t="s">
        <v>38</v>
      </c>
      <c r="E914" s="1" t="s">
        <v>39</v>
      </c>
      <c r="F914" s="1" t="s">
        <v>173</v>
      </c>
      <c r="G914" s="1">
        <v>0</v>
      </c>
      <c r="H914" s="1" t="s">
        <v>41</v>
      </c>
      <c r="I914" s="1" t="s">
        <v>10799</v>
      </c>
      <c r="J914" s="1" t="s">
        <v>10800</v>
      </c>
      <c r="K914" s="1" t="s">
        <v>10801</v>
      </c>
      <c r="L914" s="1">
        <v>1</v>
      </c>
      <c r="M914" s="1">
        <v>0</v>
      </c>
      <c r="N914" s="1" t="s">
        <v>10802</v>
      </c>
      <c r="O914" s="1" t="s">
        <v>10803</v>
      </c>
      <c r="P914" s="1" t="s">
        <v>10804</v>
      </c>
      <c r="Q914" s="1">
        <v>0</v>
      </c>
      <c r="R914" s="1" t="s">
        <v>10805</v>
      </c>
      <c r="S914" s="1" t="s">
        <v>10806</v>
      </c>
      <c r="U914" s="2">
        <v>56771</v>
      </c>
      <c r="V914" s="1">
        <v>4.4000000000000004</v>
      </c>
      <c r="W914" s="1">
        <v>1500</v>
      </c>
      <c r="X914" s="1">
        <v>2951</v>
      </c>
      <c r="Y914" s="1">
        <v>1442</v>
      </c>
      <c r="Z914" s="1">
        <v>358</v>
      </c>
      <c r="AA914" s="1">
        <v>1151</v>
      </c>
      <c r="AB914" s="1">
        <v>0</v>
      </c>
      <c r="AC914" s="1">
        <v>5</v>
      </c>
      <c r="AD914" s="1" t="s">
        <v>62</v>
      </c>
      <c r="AE914" s="1" t="s">
        <v>10807</v>
      </c>
      <c r="AF914" s="1" t="s">
        <v>10808</v>
      </c>
      <c r="AG914" s="1" t="s">
        <v>10809</v>
      </c>
      <c r="AH914" s="1" t="s">
        <v>10810</v>
      </c>
      <c r="AI914" s="1">
        <v>4.22</v>
      </c>
      <c r="AJ914" s="1">
        <v>1551</v>
      </c>
      <c r="AK914" s="1">
        <v>4625</v>
      </c>
    </row>
    <row r="915" spans="1:38" ht="15.75" customHeight="1">
      <c r="A915" s="1">
        <v>1549</v>
      </c>
      <c r="B915" s="1">
        <v>5</v>
      </c>
      <c r="C915" s="1">
        <v>4001</v>
      </c>
      <c r="D915" s="1" t="s">
        <v>51</v>
      </c>
      <c r="E915" s="1" t="s">
        <v>39</v>
      </c>
      <c r="F915" s="1" t="s">
        <v>1915</v>
      </c>
      <c r="G915" s="1">
        <v>0</v>
      </c>
      <c r="H915" s="1" t="s">
        <v>53</v>
      </c>
      <c r="I915" s="1" t="s">
        <v>10811</v>
      </c>
      <c r="J915" s="1" t="s">
        <v>10812</v>
      </c>
      <c r="K915" s="1" t="s">
        <v>10813</v>
      </c>
      <c r="L915" s="1">
        <v>1</v>
      </c>
      <c r="M915" s="1">
        <v>0</v>
      </c>
      <c r="N915" s="1" t="s">
        <v>10814</v>
      </c>
      <c r="O915" s="1" t="s">
        <v>10815</v>
      </c>
      <c r="P915" s="1" t="s">
        <v>10816</v>
      </c>
      <c r="Q915" s="1">
        <v>0</v>
      </c>
      <c r="R915" s="1" t="s">
        <v>10817</v>
      </c>
      <c r="S915" s="1" t="s">
        <v>10818</v>
      </c>
      <c r="U915" s="2">
        <v>56778</v>
      </c>
      <c r="V915" s="1">
        <v>4.3</v>
      </c>
      <c r="W915" s="1">
        <v>1500</v>
      </c>
      <c r="X915" s="1">
        <v>1827</v>
      </c>
      <c r="Y915" s="1">
        <v>493</v>
      </c>
      <c r="Z915" s="1">
        <v>161</v>
      </c>
      <c r="AA915" s="1">
        <v>1173</v>
      </c>
      <c r="AB915" s="1">
        <v>0</v>
      </c>
      <c r="AC915" s="1">
        <v>2</v>
      </c>
      <c r="AD915" s="1" t="s">
        <v>215</v>
      </c>
      <c r="AE915" s="1" t="s">
        <v>10819</v>
      </c>
      <c r="AF915" s="1" t="s">
        <v>10820</v>
      </c>
      <c r="AG915" s="1" t="s">
        <v>10821</v>
      </c>
      <c r="AH915" s="1" t="s">
        <v>10822</v>
      </c>
      <c r="AI915" s="1">
        <v>4.63</v>
      </c>
      <c r="AJ915" s="1">
        <v>242</v>
      </c>
      <c r="AK915" s="1">
        <v>736</v>
      </c>
    </row>
    <row r="916" spans="1:38" ht="15.75" customHeight="1">
      <c r="A916" s="1">
        <v>46</v>
      </c>
      <c r="C916" s="1">
        <v>4050</v>
      </c>
      <c r="D916" s="1" t="s">
        <v>38</v>
      </c>
      <c r="E916" s="1" t="s">
        <v>39</v>
      </c>
      <c r="F916" s="1" t="s">
        <v>40</v>
      </c>
      <c r="G916" s="1">
        <v>0</v>
      </c>
      <c r="H916" s="1" t="s">
        <v>41</v>
      </c>
      <c r="I916" s="1" t="s">
        <v>10823</v>
      </c>
      <c r="J916" s="1" t="s">
        <v>10824</v>
      </c>
      <c r="K916" s="1" t="s">
        <v>10825</v>
      </c>
      <c r="L916" s="1">
        <v>1</v>
      </c>
      <c r="M916" s="1">
        <v>0</v>
      </c>
      <c r="N916" s="1" t="s">
        <v>10826</v>
      </c>
      <c r="O916" s="1" t="s">
        <v>10827</v>
      </c>
      <c r="P916" s="1" t="s">
        <v>10828</v>
      </c>
      <c r="Q916" s="1">
        <v>0</v>
      </c>
      <c r="R916" s="1" t="s">
        <v>10829</v>
      </c>
      <c r="S916" s="1" t="s">
        <v>10830</v>
      </c>
      <c r="U916" s="2">
        <v>56766</v>
      </c>
      <c r="V916" s="1">
        <v>4.5</v>
      </c>
      <c r="W916" s="1">
        <v>1500</v>
      </c>
      <c r="X916" s="1">
        <v>2647</v>
      </c>
      <c r="Y916" s="1">
        <v>1945</v>
      </c>
      <c r="AA916" s="1">
        <v>745</v>
      </c>
      <c r="AB916" s="1">
        <v>0</v>
      </c>
      <c r="AC916" s="1">
        <v>4</v>
      </c>
      <c r="AD916" s="1" t="s">
        <v>76</v>
      </c>
      <c r="AE916" s="1" t="s">
        <v>10831</v>
      </c>
      <c r="AF916" s="1" t="s">
        <v>10832</v>
      </c>
      <c r="AG916" s="1" t="s">
        <v>10833</v>
      </c>
      <c r="AH916" s="1" t="s">
        <v>10834</v>
      </c>
      <c r="AI916" s="1">
        <v>4.7</v>
      </c>
      <c r="AJ916" s="1">
        <v>1261</v>
      </c>
      <c r="AK916" s="1">
        <v>3264</v>
      </c>
      <c r="AL916" s="1">
        <v>232</v>
      </c>
    </row>
    <row r="917" spans="1:38" ht="15.75" customHeight="1">
      <c r="A917" s="1">
        <v>99</v>
      </c>
      <c r="C917" s="1">
        <v>4050</v>
      </c>
      <c r="D917" s="1" t="s">
        <v>38</v>
      </c>
      <c r="E917" s="1" t="s">
        <v>39</v>
      </c>
      <c r="F917" s="1" t="s">
        <v>280</v>
      </c>
      <c r="G917" s="1">
        <v>0</v>
      </c>
      <c r="H917" s="1" t="s">
        <v>41</v>
      </c>
      <c r="I917" s="1" t="s">
        <v>10835</v>
      </c>
      <c r="J917" s="1" t="s">
        <v>10836</v>
      </c>
      <c r="K917" s="1" t="s">
        <v>10837</v>
      </c>
      <c r="L917" s="1">
        <v>1</v>
      </c>
      <c r="M917" s="1">
        <v>0</v>
      </c>
      <c r="N917" s="1" t="s">
        <v>10838</v>
      </c>
      <c r="O917" s="1" t="s">
        <v>10839</v>
      </c>
      <c r="P917" s="1" t="s">
        <v>10840</v>
      </c>
      <c r="Q917" s="1">
        <v>0</v>
      </c>
      <c r="R917" s="1" t="s">
        <v>10841</v>
      </c>
      <c r="S917" s="1" t="s">
        <v>10842</v>
      </c>
      <c r="U917" s="2">
        <v>56766</v>
      </c>
      <c r="V917" s="1">
        <v>4.7</v>
      </c>
      <c r="W917" s="1">
        <v>1500</v>
      </c>
      <c r="X917" s="1">
        <v>1760</v>
      </c>
      <c r="Y917" s="1">
        <v>417</v>
      </c>
      <c r="Z917" s="1">
        <v>691</v>
      </c>
      <c r="AA917" s="1">
        <v>652</v>
      </c>
      <c r="AB917" s="1">
        <v>0</v>
      </c>
      <c r="AC917" s="1">
        <v>1</v>
      </c>
      <c r="AD917" s="1" t="s">
        <v>62</v>
      </c>
      <c r="AE917" s="1" t="s">
        <v>10843</v>
      </c>
      <c r="AF917" s="1" t="s">
        <v>10844</v>
      </c>
      <c r="AG917" s="1" t="s">
        <v>10845</v>
      </c>
      <c r="AH917" s="1" t="s">
        <v>10846</v>
      </c>
      <c r="AI917" s="1">
        <v>4.49</v>
      </c>
      <c r="AJ917" s="1">
        <v>2315</v>
      </c>
      <c r="AK917" s="1">
        <v>7039</v>
      </c>
      <c r="AL917" s="1">
        <v>763</v>
      </c>
    </row>
    <row r="918" spans="1:38" ht="15.75" customHeight="1">
      <c r="A918" s="1">
        <v>136</v>
      </c>
      <c r="B918" s="1">
        <v>5</v>
      </c>
      <c r="C918" s="1">
        <v>4001</v>
      </c>
      <c r="D918" s="1" t="s">
        <v>51</v>
      </c>
      <c r="E918" s="1" t="s">
        <v>39</v>
      </c>
      <c r="F918" s="1" t="s">
        <v>341</v>
      </c>
      <c r="G918" s="1">
        <v>0</v>
      </c>
      <c r="H918" s="1" t="s">
        <v>41</v>
      </c>
      <c r="I918" s="1" t="s">
        <v>10847</v>
      </c>
      <c r="J918" s="1" t="s">
        <v>10848</v>
      </c>
      <c r="K918" s="1" t="s">
        <v>10849</v>
      </c>
      <c r="L918" s="1">
        <v>1</v>
      </c>
      <c r="M918" s="1">
        <v>0</v>
      </c>
      <c r="N918" s="1" t="s">
        <v>10850</v>
      </c>
      <c r="O918" s="1" t="s">
        <v>10851</v>
      </c>
      <c r="P918" s="1" t="s">
        <v>10852</v>
      </c>
      <c r="Q918" s="1">
        <v>0</v>
      </c>
      <c r="R918" s="1" t="s">
        <v>10853</v>
      </c>
      <c r="U918" s="2">
        <v>56767</v>
      </c>
      <c r="V918" s="1">
        <v>3.996030663</v>
      </c>
      <c r="W918" s="1">
        <v>1500</v>
      </c>
      <c r="X918" s="1">
        <v>1465</v>
      </c>
      <c r="AA918" s="1">
        <v>311</v>
      </c>
      <c r="AB918" s="1">
        <v>0</v>
      </c>
      <c r="AC918" s="1">
        <v>1</v>
      </c>
      <c r="AE918" s="1" t="s">
        <v>10854</v>
      </c>
      <c r="AF918" s="1" t="s">
        <v>10855</v>
      </c>
      <c r="AG918" s="1" t="s">
        <v>10856</v>
      </c>
      <c r="AI918" s="1">
        <v>4.54</v>
      </c>
      <c r="AJ918" s="1">
        <v>2229</v>
      </c>
      <c r="AK918" s="1">
        <v>6580</v>
      </c>
    </row>
    <row r="919" spans="1:38" ht="15.75" customHeight="1">
      <c r="A919" s="1">
        <v>583</v>
      </c>
      <c r="B919" s="1">
        <v>5</v>
      </c>
      <c r="C919" s="1">
        <v>4001</v>
      </c>
      <c r="D919" s="1" t="s">
        <v>51</v>
      </c>
      <c r="E919" s="1" t="s">
        <v>39</v>
      </c>
      <c r="F919" s="1" t="s">
        <v>341</v>
      </c>
      <c r="G919" s="1">
        <v>0</v>
      </c>
      <c r="H919" s="1" t="s">
        <v>41</v>
      </c>
      <c r="I919" s="1" t="s">
        <v>10857</v>
      </c>
      <c r="J919" s="1" t="s">
        <v>10858</v>
      </c>
      <c r="K919" s="1" t="s">
        <v>10859</v>
      </c>
      <c r="L919" s="1">
        <v>1</v>
      </c>
      <c r="M919" s="1">
        <v>0</v>
      </c>
      <c r="N919" s="1" t="s">
        <v>10860</v>
      </c>
      <c r="O919" s="1" t="s">
        <v>10861</v>
      </c>
      <c r="P919" s="1" t="s">
        <v>10862</v>
      </c>
      <c r="Q919" s="1">
        <v>0</v>
      </c>
      <c r="R919" s="1" t="s">
        <v>10863</v>
      </c>
      <c r="S919" s="1" t="s">
        <v>10864</v>
      </c>
      <c r="U919" s="2">
        <v>56770</v>
      </c>
      <c r="V919" s="1">
        <v>3.4134581599999998</v>
      </c>
      <c r="W919" s="1">
        <v>1500</v>
      </c>
      <c r="X919" s="1">
        <v>1927</v>
      </c>
      <c r="Y919" s="1">
        <v>345</v>
      </c>
      <c r="Z919" s="1">
        <v>643</v>
      </c>
      <c r="AA919" s="1">
        <v>939</v>
      </c>
      <c r="AB919" s="1">
        <v>1</v>
      </c>
      <c r="AC919" s="1">
        <v>1</v>
      </c>
      <c r="AE919" s="1" t="s">
        <v>10865</v>
      </c>
      <c r="AF919" s="1" t="s">
        <v>10866</v>
      </c>
      <c r="AG919" s="1" t="s">
        <v>10867</v>
      </c>
      <c r="AH919" s="1" t="s">
        <v>10868</v>
      </c>
      <c r="AI919" s="1">
        <v>4.54</v>
      </c>
      <c r="AJ919" s="1">
        <v>2229</v>
      </c>
      <c r="AK919" s="1">
        <v>6580</v>
      </c>
    </row>
    <row r="920" spans="1:38" ht="15.75" customHeight="1">
      <c r="A920" s="1">
        <v>779</v>
      </c>
      <c r="C920" s="1">
        <v>4001</v>
      </c>
      <c r="D920" s="1" t="s">
        <v>51</v>
      </c>
      <c r="E920" s="1" t="s">
        <v>39</v>
      </c>
      <c r="F920" s="1" t="s">
        <v>708</v>
      </c>
      <c r="G920" s="1">
        <v>0</v>
      </c>
      <c r="H920" s="1" t="s">
        <v>53</v>
      </c>
      <c r="I920" s="1" t="s">
        <v>10869</v>
      </c>
      <c r="J920" s="1" t="s">
        <v>10870</v>
      </c>
      <c r="K920" s="1" t="s">
        <v>10871</v>
      </c>
      <c r="L920" s="1">
        <v>1</v>
      </c>
      <c r="M920" s="1">
        <v>0</v>
      </c>
      <c r="N920" s="1" t="s">
        <v>10872</v>
      </c>
      <c r="O920" s="1" t="s">
        <v>10873</v>
      </c>
      <c r="P920" s="1" t="s">
        <v>10874</v>
      </c>
      <c r="Q920" s="1">
        <v>1</v>
      </c>
      <c r="R920" s="1" t="s">
        <v>10875</v>
      </c>
      <c r="U920" s="2">
        <v>56771</v>
      </c>
      <c r="V920" s="1">
        <v>4.8</v>
      </c>
      <c r="W920" s="1">
        <v>1500</v>
      </c>
      <c r="X920" s="1">
        <v>1975</v>
      </c>
      <c r="AA920" s="1">
        <v>934</v>
      </c>
      <c r="AB920" s="1">
        <v>0</v>
      </c>
      <c r="AC920" s="1">
        <v>2</v>
      </c>
      <c r="AE920" s="1" t="s">
        <v>10876</v>
      </c>
      <c r="AF920" s="1" t="s">
        <v>10877</v>
      </c>
      <c r="AG920" s="1" t="s">
        <v>10878</v>
      </c>
      <c r="AI920" s="1">
        <v>4.5999999999999996</v>
      </c>
      <c r="AJ920" s="1">
        <v>292</v>
      </c>
      <c r="AK920" s="1">
        <v>1027</v>
      </c>
      <c r="AL920" s="1">
        <v>26</v>
      </c>
    </row>
    <row r="921" spans="1:38" ht="15.75" customHeight="1">
      <c r="A921" s="1">
        <v>874</v>
      </c>
      <c r="B921" s="1">
        <v>5</v>
      </c>
      <c r="C921" s="1">
        <v>4050</v>
      </c>
      <c r="D921" s="1" t="s">
        <v>38</v>
      </c>
      <c r="E921" s="1" t="s">
        <v>39</v>
      </c>
      <c r="F921" s="1" t="s">
        <v>390</v>
      </c>
      <c r="G921" s="1">
        <v>0</v>
      </c>
      <c r="H921" s="1" t="s">
        <v>41</v>
      </c>
      <c r="I921" s="1" t="s">
        <v>10879</v>
      </c>
      <c r="J921" s="1" t="s">
        <v>10880</v>
      </c>
      <c r="K921" s="1" t="s">
        <v>10881</v>
      </c>
      <c r="L921" s="1">
        <v>1</v>
      </c>
      <c r="M921" s="1">
        <v>0</v>
      </c>
      <c r="N921" s="1" t="s">
        <v>10882</v>
      </c>
      <c r="O921" s="1" t="s">
        <v>10883</v>
      </c>
      <c r="P921" s="1" t="s">
        <v>10884</v>
      </c>
      <c r="Q921" s="1">
        <v>0</v>
      </c>
      <c r="R921" s="1" t="s">
        <v>10885</v>
      </c>
      <c r="S921" s="1" t="s">
        <v>10886</v>
      </c>
      <c r="U921" s="2">
        <v>56772</v>
      </c>
      <c r="V921" s="1">
        <v>4.5</v>
      </c>
      <c r="W921" s="1">
        <v>1500</v>
      </c>
      <c r="X921" s="1">
        <v>3067</v>
      </c>
      <c r="Y921" s="1">
        <v>1941</v>
      </c>
      <c r="Z921" s="1">
        <v>123</v>
      </c>
      <c r="AA921" s="1">
        <v>1003</v>
      </c>
      <c r="AB921" s="1">
        <v>0</v>
      </c>
      <c r="AC921" s="1">
        <v>1</v>
      </c>
      <c r="AD921" s="1" t="s">
        <v>76</v>
      </c>
      <c r="AE921" s="1" t="s">
        <v>10887</v>
      </c>
      <c r="AF921" s="1" t="s">
        <v>10888</v>
      </c>
      <c r="AG921" s="1" t="s">
        <v>10889</v>
      </c>
      <c r="AH921" s="1" t="s">
        <v>10890</v>
      </c>
      <c r="AI921" s="1">
        <v>4.5599999999999996</v>
      </c>
      <c r="AJ921" s="1">
        <v>344</v>
      </c>
      <c r="AK921" s="1">
        <v>947</v>
      </c>
      <c r="AL921" s="1">
        <v>22</v>
      </c>
    </row>
    <row r="922" spans="1:38" ht="15.75" customHeight="1">
      <c r="A922" s="1">
        <v>879</v>
      </c>
      <c r="B922" s="1">
        <v>5</v>
      </c>
      <c r="C922" s="1">
        <v>4050</v>
      </c>
      <c r="D922" s="1" t="s">
        <v>38</v>
      </c>
      <c r="E922" s="1" t="s">
        <v>39</v>
      </c>
      <c r="F922" s="1" t="s">
        <v>390</v>
      </c>
      <c r="G922" s="1">
        <v>0</v>
      </c>
      <c r="H922" s="1" t="s">
        <v>41</v>
      </c>
      <c r="I922" s="1" t="s">
        <v>10891</v>
      </c>
      <c r="J922" s="1" t="s">
        <v>10892</v>
      </c>
      <c r="K922" s="1" t="s">
        <v>10893</v>
      </c>
      <c r="L922" s="1">
        <v>1</v>
      </c>
      <c r="M922" s="1">
        <v>0</v>
      </c>
      <c r="N922" s="1" t="s">
        <v>10894</v>
      </c>
      <c r="O922" s="1" t="s">
        <v>10895</v>
      </c>
      <c r="P922" s="1" t="s">
        <v>10896</v>
      </c>
      <c r="Q922" s="1">
        <v>0</v>
      </c>
      <c r="R922" s="1" t="s">
        <v>10897</v>
      </c>
      <c r="S922" s="1" t="s">
        <v>10898</v>
      </c>
      <c r="U922" s="2">
        <v>56772</v>
      </c>
      <c r="V922" s="1">
        <v>4.7</v>
      </c>
      <c r="W922" s="1">
        <v>1500</v>
      </c>
      <c r="X922" s="1">
        <v>1722</v>
      </c>
      <c r="Y922" s="1">
        <v>592</v>
      </c>
      <c r="Z922" s="1">
        <v>125</v>
      </c>
      <c r="AA922" s="1">
        <v>1005</v>
      </c>
      <c r="AB922" s="1">
        <v>0</v>
      </c>
      <c r="AC922" s="1">
        <v>1</v>
      </c>
      <c r="AD922" s="1" t="s">
        <v>215</v>
      </c>
      <c r="AE922" s="1" t="s">
        <v>10899</v>
      </c>
      <c r="AF922" s="1" t="s">
        <v>10900</v>
      </c>
      <c r="AG922" s="1" t="s">
        <v>10901</v>
      </c>
      <c r="AH922" s="1" t="s">
        <v>10902</v>
      </c>
      <c r="AI922" s="1">
        <v>4.5599999999999996</v>
      </c>
      <c r="AJ922" s="1">
        <v>344</v>
      </c>
      <c r="AK922" s="1">
        <v>947</v>
      </c>
      <c r="AL922" s="1">
        <v>22</v>
      </c>
    </row>
    <row r="923" spans="1:38" ht="15.75" customHeight="1">
      <c r="A923" s="1">
        <v>972</v>
      </c>
      <c r="B923" s="1">
        <v>5</v>
      </c>
      <c r="C923" s="1">
        <v>4001</v>
      </c>
      <c r="D923" s="1" t="s">
        <v>51</v>
      </c>
      <c r="E923" s="1" t="s">
        <v>39</v>
      </c>
      <c r="F923" s="1" t="s">
        <v>52</v>
      </c>
      <c r="G923" s="1">
        <v>0</v>
      </c>
      <c r="H923" s="1" t="s">
        <v>53</v>
      </c>
      <c r="I923" s="1" t="s">
        <v>10903</v>
      </c>
      <c r="J923" s="1" t="s">
        <v>10904</v>
      </c>
      <c r="K923" s="1" t="s">
        <v>10905</v>
      </c>
      <c r="L923" s="1">
        <v>1</v>
      </c>
      <c r="M923" s="1">
        <v>0</v>
      </c>
      <c r="N923" s="1" t="s">
        <v>10906</v>
      </c>
      <c r="O923" s="1" t="s">
        <v>10907</v>
      </c>
      <c r="P923" s="1" t="s">
        <v>10908</v>
      </c>
      <c r="Q923" s="1">
        <v>0</v>
      </c>
      <c r="R923" s="1" t="s">
        <v>10909</v>
      </c>
      <c r="U923" s="2">
        <v>56773</v>
      </c>
      <c r="V923" s="1">
        <v>4.3922363950000003</v>
      </c>
      <c r="W923" s="1">
        <v>1500</v>
      </c>
      <c r="X923" s="1">
        <v>1937</v>
      </c>
      <c r="AA923" s="1">
        <v>465</v>
      </c>
      <c r="AB923" s="1">
        <v>0</v>
      </c>
      <c r="AC923" s="1">
        <v>1</v>
      </c>
      <c r="AE923" s="1" t="s">
        <v>10910</v>
      </c>
      <c r="AF923" s="1" t="s">
        <v>10911</v>
      </c>
      <c r="AG923" s="1" t="s">
        <v>10912</v>
      </c>
      <c r="AI923" s="1">
        <v>4.17</v>
      </c>
      <c r="AJ923" s="1">
        <v>457</v>
      </c>
      <c r="AK923" s="1">
        <v>1599</v>
      </c>
    </row>
    <row r="924" spans="1:38" ht="15.75" customHeight="1">
      <c r="A924" s="1">
        <v>242</v>
      </c>
      <c r="B924" s="1">
        <v>5</v>
      </c>
      <c r="C924" s="1">
        <v>4050</v>
      </c>
      <c r="D924" s="1" t="s">
        <v>38</v>
      </c>
      <c r="E924" s="1" t="s">
        <v>39</v>
      </c>
      <c r="F924" s="1" t="s">
        <v>390</v>
      </c>
      <c r="G924" s="1">
        <v>0</v>
      </c>
      <c r="H924" s="1" t="s">
        <v>41</v>
      </c>
      <c r="I924" s="1" t="s">
        <v>10913</v>
      </c>
      <c r="J924" s="1" t="s">
        <v>10914</v>
      </c>
      <c r="K924" s="1" t="s">
        <v>10915</v>
      </c>
      <c r="L924" s="1">
        <v>1</v>
      </c>
      <c r="M924" s="1">
        <v>0</v>
      </c>
      <c r="N924" s="1" t="s">
        <v>10916</v>
      </c>
      <c r="O924" s="1" t="s">
        <v>10917</v>
      </c>
      <c r="P924" s="1" t="s">
        <v>10918</v>
      </c>
      <c r="Q924" s="1">
        <v>0</v>
      </c>
      <c r="R924" s="1" t="s">
        <v>10919</v>
      </c>
      <c r="U924" s="2">
        <v>56767</v>
      </c>
      <c r="V924" s="1">
        <v>4.5999999999999996</v>
      </c>
      <c r="W924" s="1">
        <v>1500</v>
      </c>
      <c r="X924" s="1">
        <v>1830</v>
      </c>
      <c r="AA924" s="1">
        <v>950</v>
      </c>
      <c r="AB924" s="1">
        <v>0</v>
      </c>
      <c r="AC924" s="1">
        <v>1</v>
      </c>
      <c r="AE924" s="1" t="s">
        <v>10920</v>
      </c>
      <c r="AF924" s="1" t="s">
        <v>10921</v>
      </c>
      <c r="AG924" s="1" t="s">
        <v>10922</v>
      </c>
      <c r="AI924" s="1">
        <v>4.5599999999999996</v>
      </c>
      <c r="AJ924" s="1">
        <v>344</v>
      </c>
      <c r="AK924" s="1">
        <v>947</v>
      </c>
      <c r="AL924" s="1">
        <v>22</v>
      </c>
    </row>
    <row r="925" spans="1:38" ht="15.75" customHeight="1">
      <c r="A925" s="1">
        <v>722</v>
      </c>
      <c r="B925" s="1">
        <v>4</v>
      </c>
      <c r="C925" s="1">
        <v>4050</v>
      </c>
      <c r="D925" s="1" t="s">
        <v>38</v>
      </c>
      <c r="E925" s="1" t="s">
        <v>39</v>
      </c>
      <c r="F925" s="1" t="s">
        <v>695</v>
      </c>
      <c r="G925" s="1">
        <v>0</v>
      </c>
      <c r="H925" s="1" t="s">
        <v>41</v>
      </c>
      <c r="I925" s="1" t="s">
        <v>10923</v>
      </c>
      <c r="J925" s="1" t="s">
        <v>10924</v>
      </c>
      <c r="K925" s="1" t="s">
        <v>10925</v>
      </c>
      <c r="L925" s="1">
        <v>1</v>
      </c>
      <c r="M925" s="1">
        <v>0</v>
      </c>
      <c r="N925" s="1" t="s">
        <v>10926</v>
      </c>
      <c r="O925" s="1" t="s">
        <v>10927</v>
      </c>
      <c r="P925" s="1" t="s">
        <v>10928</v>
      </c>
      <c r="Q925" s="1">
        <v>0</v>
      </c>
      <c r="R925" s="1" t="s">
        <v>10929</v>
      </c>
      <c r="S925" s="1" t="s">
        <v>10930</v>
      </c>
      <c r="U925" s="2">
        <v>56770</v>
      </c>
      <c r="V925" s="1">
        <v>4.4000000000000004</v>
      </c>
      <c r="W925" s="1">
        <v>1500</v>
      </c>
      <c r="X925" s="1">
        <v>1503</v>
      </c>
      <c r="Y925" s="1">
        <v>415</v>
      </c>
      <c r="Z925" s="1">
        <v>805</v>
      </c>
      <c r="AA925" s="1">
        <v>283</v>
      </c>
      <c r="AB925" s="1">
        <v>0</v>
      </c>
      <c r="AC925" s="1">
        <v>1</v>
      </c>
      <c r="AD925" s="1" t="s">
        <v>62</v>
      </c>
      <c r="AE925" s="1" t="s">
        <v>10931</v>
      </c>
      <c r="AF925" s="1" t="s">
        <v>10932</v>
      </c>
      <c r="AG925" s="1" t="s">
        <v>10933</v>
      </c>
      <c r="AH925" s="1" t="s">
        <v>10934</v>
      </c>
      <c r="AI925" s="1">
        <v>4.38</v>
      </c>
      <c r="AJ925" s="1">
        <v>196</v>
      </c>
      <c r="AK925" s="1">
        <v>626</v>
      </c>
    </row>
    <row r="926" spans="1:38" ht="15.75" customHeight="1">
      <c r="A926" s="1">
        <v>390</v>
      </c>
      <c r="B926" s="1">
        <v>5</v>
      </c>
      <c r="C926" s="1">
        <v>4050</v>
      </c>
      <c r="D926" s="1" t="s">
        <v>38</v>
      </c>
      <c r="E926" s="1" t="s">
        <v>39</v>
      </c>
      <c r="F926" s="1" t="s">
        <v>510</v>
      </c>
      <c r="G926" s="1">
        <v>0</v>
      </c>
      <c r="H926" s="1" t="s">
        <v>41</v>
      </c>
      <c r="I926" s="1" t="s">
        <v>10935</v>
      </c>
      <c r="J926" s="1" t="s">
        <v>10936</v>
      </c>
      <c r="K926" s="1" t="s">
        <v>10937</v>
      </c>
      <c r="L926" s="1">
        <v>1</v>
      </c>
      <c r="M926" s="1">
        <v>0</v>
      </c>
      <c r="N926" s="1" t="s">
        <v>10938</v>
      </c>
      <c r="O926" s="1" t="s">
        <v>10939</v>
      </c>
      <c r="P926" s="1" t="s">
        <v>10940</v>
      </c>
      <c r="Q926" s="1">
        <v>0</v>
      </c>
      <c r="R926" s="1" t="s">
        <v>10941</v>
      </c>
      <c r="S926" s="1" t="s">
        <v>10942</v>
      </c>
      <c r="U926" s="2">
        <v>56768</v>
      </c>
      <c r="V926" s="1">
        <v>4.5999999999999996</v>
      </c>
      <c r="W926" s="1">
        <v>1500</v>
      </c>
      <c r="X926" s="1">
        <v>3351</v>
      </c>
      <c r="Y926" s="1">
        <v>1525</v>
      </c>
      <c r="Z926" s="1">
        <v>1454</v>
      </c>
      <c r="AA926" s="1">
        <v>372</v>
      </c>
      <c r="AB926" s="1">
        <v>0</v>
      </c>
      <c r="AC926" s="1">
        <v>3</v>
      </c>
      <c r="AD926" s="1" t="s">
        <v>62</v>
      </c>
      <c r="AE926" s="1" t="s">
        <v>10943</v>
      </c>
      <c r="AF926" s="1" t="s">
        <v>10944</v>
      </c>
      <c r="AG926" s="1" t="s">
        <v>10945</v>
      </c>
      <c r="AH926" s="1" t="s">
        <v>10946</v>
      </c>
      <c r="AI926" s="1">
        <v>4.62</v>
      </c>
      <c r="AJ926" s="1">
        <v>259</v>
      </c>
      <c r="AK926" s="1">
        <v>604</v>
      </c>
      <c r="AL926" s="1">
        <v>21</v>
      </c>
    </row>
    <row r="927" spans="1:38" ht="15.75" customHeight="1">
      <c r="A927" s="1">
        <v>855</v>
      </c>
      <c r="C927" s="1">
        <v>4050</v>
      </c>
      <c r="D927" s="1" t="s">
        <v>38</v>
      </c>
      <c r="E927" s="1" t="s">
        <v>39</v>
      </c>
      <c r="F927" s="1" t="s">
        <v>695</v>
      </c>
      <c r="G927" s="1">
        <v>0</v>
      </c>
      <c r="H927" s="1" t="s">
        <v>41</v>
      </c>
      <c r="I927" s="1" t="s">
        <v>10947</v>
      </c>
      <c r="J927" s="1" t="s">
        <v>10948</v>
      </c>
      <c r="K927" s="1" t="s">
        <v>10949</v>
      </c>
      <c r="L927" s="1">
        <v>1</v>
      </c>
      <c r="M927" s="1">
        <v>0</v>
      </c>
      <c r="N927" s="1" t="s">
        <v>10950</v>
      </c>
      <c r="O927" s="1" t="s">
        <v>10951</v>
      </c>
      <c r="P927" s="1" t="s">
        <v>10952</v>
      </c>
      <c r="Q927" s="1">
        <v>0</v>
      </c>
      <c r="R927" s="1" t="s">
        <v>10953</v>
      </c>
      <c r="S927" s="1" t="s">
        <v>10954</v>
      </c>
      <c r="U927" s="2">
        <v>56772</v>
      </c>
      <c r="V927" s="1">
        <v>4.5999999999999996</v>
      </c>
      <c r="W927" s="1">
        <v>1500</v>
      </c>
      <c r="X927" s="1">
        <v>3042</v>
      </c>
      <c r="Y927" s="1">
        <v>2219</v>
      </c>
      <c r="Z927" s="1">
        <v>120</v>
      </c>
      <c r="AA927" s="1">
        <v>703</v>
      </c>
      <c r="AB927" s="1">
        <v>0</v>
      </c>
      <c r="AC927" s="1">
        <v>2</v>
      </c>
      <c r="AD927" s="1" t="s">
        <v>76</v>
      </c>
      <c r="AE927" s="1" t="s">
        <v>10955</v>
      </c>
      <c r="AF927" s="1" t="s">
        <v>10956</v>
      </c>
      <c r="AG927" s="1" t="s">
        <v>10957</v>
      </c>
      <c r="AH927" s="1" t="s">
        <v>10958</v>
      </c>
      <c r="AI927" s="1">
        <v>4.38</v>
      </c>
      <c r="AJ927" s="1">
        <v>196</v>
      </c>
      <c r="AK927" s="1">
        <v>626</v>
      </c>
    </row>
    <row r="928" spans="1:38" ht="15.75" customHeight="1">
      <c r="A928" s="1">
        <v>321</v>
      </c>
      <c r="C928" s="1">
        <v>4050</v>
      </c>
      <c r="D928" s="1" t="s">
        <v>38</v>
      </c>
      <c r="E928" s="1" t="s">
        <v>39</v>
      </c>
      <c r="F928" s="1" t="s">
        <v>510</v>
      </c>
      <c r="G928" s="1">
        <v>0</v>
      </c>
      <c r="H928" s="1" t="s">
        <v>41</v>
      </c>
      <c r="I928" s="1" t="s">
        <v>10959</v>
      </c>
      <c r="J928" s="1" t="s">
        <v>10960</v>
      </c>
      <c r="K928" s="1" t="s">
        <v>10961</v>
      </c>
      <c r="L928" s="1">
        <v>1</v>
      </c>
      <c r="M928" s="1">
        <v>0</v>
      </c>
      <c r="N928" s="1" t="s">
        <v>10962</v>
      </c>
      <c r="O928" s="1" t="s">
        <v>10963</v>
      </c>
      <c r="P928" s="1" t="s">
        <v>10964</v>
      </c>
      <c r="Q928" s="1">
        <v>0</v>
      </c>
      <c r="R928" s="1" t="s">
        <v>10965</v>
      </c>
      <c r="S928" s="1" t="s">
        <v>10966</v>
      </c>
      <c r="U928" s="2">
        <v>56768</v>
      </c>
      <c r="V928" s="1">
        <v>4.3</v>
      </c>
      <c r="W928" s="1">
        <v>1500</v>
      </c>
      <c r="X928" s="1">
        <v>2057</v>
      </c>
      <c r="Y928" s="1">
        <v>363</v>
      </c>
      <c r="Z928" s="1">
        <v>698</v>
      </c>
      <c r="AA928" s="1">
        <v>996</v>
      </c>
      <c r="AB928" s="1">
        <v>0</v>
      </c>
      <c r="AC928" s="1">
        <v>1</v>
      </c>
      <c r="AD928" s="1" t="s">
        <v>62</v>
      </c>
      <c r="AE928" s="1" t="s">
        <v>10967</v>
      </c>
      <c r="AF928" s="1" t="s">
        <v>10968</v>
      </c>
      <c r="AG928" s="1" t="s">
        <v>10969</v>
      </c>
      <c r="AH928" s="1" t="s">
        <v>10970</v>
      </c>
      <c r="AI928" s="1">
        <v>4.62</v>
      </c>
      <c r="AJ928" s="1">
        <v>259</v>
      </c>
      <c r="AK928" s="1">
        <v>604</v>
      </c>
      <c r="AL928" s="1">
        <v>21</v>
      </c>
    </row>
    <row r="929" spans="1:38" ht="15.75" customHeight="1">
      <c r="A929" s="1">
        <v>359</v>
      </c>
      <c r="B929" s="1">
        <v>5</v>
      </c>
      <c r="C929" s="1">
        <v>4001</v>
      </c>
      <c r="D929" s="1" t="s">
        <v>51</v>
      </c>
      <c r="E929" s="1" t="s">
        <v>39</v>
      </c>
      <c r="F929" s="1" t="s">
        <v>341</v>
      </c>
      <c r="G929" s="1">
        <v>0</v>
      </c>
      <c r="H929" s="1" t="s">
        <v>41</v>
      </c>
      <c r="I929" s="1" t="s">
        <v>10971</v>
      </c>
      <c r="J929" s="1" t="s">
        <v>10972</v>
      </c>
      <c r="K929" s="1" t="s">
        <v>10973</v>
      </c>
      <c r="L929" s="1">
        <v>1</v>
      </c>
      <c r="M929" s="1">
        <v>0</v>
      </c>
      <c r="N929" s="1" t="s">
        <v>10974</v>
      </c>
      <c r="O929" s="1" t="s">
        <v>10975</v>
      </c>
      <c r="P929" s="1" t="s">
        <v>10976</v>
      </c>
      <c r="Q929" s="1">
        <v>0</v>
      </c>
      <c r="R929" s="1" t="s">
        <v>10977</v>
      </c>
      <c r="S929" s="1" t="s">
        <v>10978</v>
      </c>
      <c r="U929" s="2">
        <v>56768</v>
      </c>
      <c r="V929" s="1">
        <v>4.4056206070000004</v>
      </c>
      <c r="W929" s="1">
        <v>1500</v>
      </c>
      <c r="X929" s="1">
        <v>1834</v>
      </c>
      <c r="Y929" s="1">
        <v>777</v>
      </c>
      <c r="Z929" s="1">
        <v>178</v>
      </c>
      <c r="AA929" s="1">
        <v>879</v>
      </c>
      <c r="AB929" s="1">
        <v>0</v>
      </c>
      <c r="AC929" s="1">
        <v>1</v>
      </c>
      <c r="AD929" s="1" t="s">
        <v>215</v>
      </c>
      <c r="AE929" s="1" t="s">
        <v>10979</v>
      </c>
      <c r="AF929" s="1" t="s">
        <v>10980</v>
      </c>
      <c r="AG929" s="1" t="s">
        <v>10981</v>
      </c>
      <c r="AH929" s="1" t="s">
        <v>10982</v>
      </c>
      <c r="AI929" s="1">
        <v>4.54</v>
      </c>
      <c r="AJ929" s="1">
        <v>2229</v>
      </c>
      <c r="AK929" s="1">
        <v>6580</v>
      </c>
    </row>
    <row r="930" spans="1:38" ht="15.75" customHeight="1">
      <c r="A930" s="1">
        <v>506</v>
      </c>
      <c r="B930" s="1">
        <v>5</v>
      </c>
      <c r="C930" s="1">
        <v>4001</v>
      </c>
      <c r="D930" s="1" t="s">
        <v>51</v>
      </c>
      <c r="E930" s="1" t="s">
        <v>39</v>
      </c>
      <c r="F930" s="1" t="s">
        <v>52</v>
      </c>
      <c r="G930" s="1">
        <v>0</v>
      </c>
      <c r="H930" s="1" t="s">
        <v>53</v>
      </c>
      <c r="I930" s="1" t="s">
        <v>10983</v>
      </c>
      <c r="J930" s="1" t="s">
        <v>10984</v>
      </c>
      <c r="K930" s="1" t="s">
        <v>10985</v>
      </c>
      <c r="L930" s="1">
        <v>1</v>
      </c>
      <c r="M930" s="1">
        <v>0</v>
      </c>
      <c r="N930" s="1" t="s">
        <v>10986</v>
      </c>
      <c r="O930" s="1" t="s">
        <v>10987</v>
      </c>
      <c r="P930" s="1" t="s">
        <v>10988</v>
      </c>
      <c r="Q930" s="1">
        <v>0</v>
      </c>
      <c r="R930" s="1" t="s">
        <v>10989</v>
      </c>
      <c r="S930" s="1" t="s">
        <v>10990</v>
      </c>
      <c r="U930" s="2">
        <v>56769</v>
      </c>
      <c r="V930" s="1">
        <v>4.5</v>
      </c>
      <c r="W930" s="1">
        <v>1500</v>
      </c>
      <c r="X930" s="1">
        <v>1441</v>
      </c>
      <c r="Y930" s="1">
        <v>872</v>
      </c>
      <c r="AA930" s="1">
        <v>603</v>
      </c>
      <c r="AB930" s="1">
        <v>0</v>
      </c>
      <c r="AC930" s="1">
        <v>2</v>
      </c>
      <c r="AD930" s="1" t="s">
        <v>76</v>
      </c>
      <c r="AE930" s="1" t="s">
        <v>10991</v>
      </c>
      <c r="AF930" s="1" t="s">
        <v>10992</v>
      </c>
      <c r="AG930" s="1" t="s">
        <v>10993</v>
      </c>
      <c r="AH930" s="1" t="s">
        <v>10994</v>
      </c>
      <c r="AI930" s="1">
        <v>4.17</v>
      </c>
      <c r="AJ930" s="1">
        <v>457</v>
      </c>
      <c r="AK930" s="1">
        <v>1599</v>
      </c>
    </row>
    <row r="931" spans="1:38" ht="15.75" customHeight="1">
      <c r="A931" s="1">
        <v>853</v>
      </c>
      <c r="C931" s="1">
        <v>4050</v>
      </c>
      <c r="D931" s="1" t="s">
        <v>38</v>
      </c>
      <c r="E931" s="1" t="s">
        <v>39</v>
      </c>
      <c r="F931" s="1" t="s">
        <v>7434</v>
      </c>
      <c r="G931" s="1">
        <v>0</v>
      </c>
      <c r="H931" s="1" t="s">
        <v>41</v>
      </c>
      <c r="I931" s="1" t="s">
        <v>10995</v>
      </c>
      <c r="J931" s="1" t="s">
        <v>10996</v>
      </c>
      <c r="K931" s="1" t="s">
        <v>10997</v>
      </c>
      <c r="L931" s="1">
        <v>1</v>
      </c>
      <c r="M931" s="1">
        <v>0</v>
      </c>
      <c r="N931" s="1" t="s">
        <v>10998</v>
      </c>
      <c r="O931" s="1" t="s">
        <v>10999</v>
      </c>
      <c r="P931" s="1" t="s">
        <v>11000</v>
      </c>
      <c r="Q931" s="1">
        <v>0</v>
      </c>
      <c r="R931" s="1" t="s">
        <v>11001</v>
      </c>
      <c r="S931" s="1" t="s">
        <v>11002</v>
      </c>
      <c r="U931" s="2">
        <v>56772</v>
      </c>
      <c r="V931" s="1">
        <v>4.3</v>
      </c>
      <c r="W931" s="1">
        <v>1500</v>
      </c>
      <c r="X931" s="1">
        <v>1763</v>
      </c>
      <c r="Y931" s="1">
        <v>403</v>
      </c>
      <c r="Z931" s="1">
        <v>435</v>
      </c>
      <c r="AA931" s="1">
        <v>925</v>
      </c>
      <c r="AB931" s="1">
        <v>0</v>
      </c>
      <c r="AC931" s="1">
        <v>1</v>
      </c>
      <c r="AD931" s="1" t="s">
        <v>62</v>
      </c>
      <c r="AE931" s="1" t="s">
        <v>11003</v>
      </c>
      <c r="AF931" s="1" t="s">
        <v>11004</v>
      </c>
      <c r="AG931" s="1" t="s">
        <v>11005</v>
      </c>
      <c r="AH931" s="1" t="s">
        <v>11006</v>
      </c>
      <c r="AI931" s="1">
        <v>4.5714285710000002</v>
      </c>
      <c r="AJ931" s="1">
        <v>77</v>
      </c>
      <c r="AK931" s="1">
        <v>206</v>
      </c>
      <c r="AL931" s="1">
        <v>11</v>
      </c>
    </row>
    <row r="932" spans="1:38" ht="15.75" customHeight="1">
      <c r="A932" s="1">
        <v>854</v>
      </c>
      <c r="B932" s="1">
        <v>5</v>
      </c>
      <c r="C932" s="1">
        <v>4050</v>
      </c>
      <c r="D932" s="1" t="s">
        <v>38</v>
      </c>
      <c r="E932" s="1" t="s">
        <v>39</v>
      </c>
      <c r="F932" s="1" t="s">
        <v>365</v>
      </c>
      <c r="G932" s="1">
        <v>0</v>
      </c>
      <c r="H932" s="1" t="s">
        <v>41</v>
      </c>
      <c r="I932" s="1" t="s">
        <v>11007</v>
      </c>
      <c r="J932" s="1" t="s">
        <v>11008</v>
      </c>
      <c r="K932" s="1" t="s">
        <v>11009</v>
      </c>
      <c r="L932" s="1">
        <v>1</v>
      </c>
      <c r="M932" s="1">
        <v>0</v>
      </c>
      <c r="N932" s="1" t="s">
        <v>11010</v>
      </c>
      <c r="O932" s="1" t="s">
        <v>11011</v>
      </c>
      <c r="P932" s="1" t="s">
        <v>11012</v>
      </c>
      <c r="Q932" s="1">
        <v>0</v>
      </c>
      <c r="R932" s="1" t="s">
        <v>11013</v>
      </c>
      <c r="U932" s="2">
        <v>56772</v>
      </c>
      <c r="V932" s="1">
        <v>4.5</v>
      </c>
      <c r="W932" s="1">
        <v>1500</v>
      </c>
      <c r="X932" s="1">
        <v>1981</v>
      </c>
      <c r="AA932" s="1">
        <v>1013</v>
      </c>
      <c r="AB932" s="1">
        <v>0</v>
      </c>
      <c r="AC932" s="1">
        <v>3</v>
      </c>
      <c r="AE932" s="1" t="s">
        <v>11014</v>
      </c>
      <c r="AF932" s="1" t="s">
        <v>11015</v>
      </c>
      <c r="AG932" s="1" t="s">
        <v>11016</v>
      </c>
      <c r="AI932" s="1">
        <v>4.7699999999999996</v>
      </c>
      <c r="AJ932" s="1">
        <v>426</v>
      </c>
      <c r="AK932" s="1">
        <v>1226</v>
      </c>
      <c r="AL932" s="1">
        <v>85</v>
      </c>
    </row>
    <row r="933" spans="1:38" ht="15.75" customHeight="1">
      <c r="A933" s="1">
        <v>904</v>
      </c>
      <c r="C933" s="1">
        <v>4050</v>
      </c>
      <c r="D933" s="1" t="s">
        <v>38</v>
      </c>
      <c r="E933" s="1" t="s">
        <v>39</v>
      </c>
      <c r="F933" s="1" t="s">
        <v>220</v>
      </c>
      <c r="G933" s="1">
        <v>0</v>
      </c>
      <c r="H933" s="1" t="s">
        <v>6287</v>
      </c>
      <c r="I933" s="1" t="s">
        <v>11017</v>
      </c>
      <c r="J933" s="1" t="s">
        <v>11018</v>
      </c>
      <c r="K933" s="1" t="s">
        <v>11019</v>
      </c>
      <c r="L933" s="1">
        <v>1</v>
      </c>
      <c r="M933" s="1">
        <v>0</v>
      </c>
      <c r="N933" s="1" t="s">
        <v>11020</v>
      </c>
      <c r="O933" s="1" t="s">
        <v>11021</v>
      </c>
      <c r="P933" s="1" t="s">
        <v>11022</v>
      </c>
      <c r="Q933" s="1">
        <v>0</v>
      </c>
      <c r="R933" s="1" t="s">
        <v>11023</v>
      </c>
      <c r="S933" s="1" t="s">
        <v>11024</v>
      </c>
      <c r="U933" s="2">
        <v>56772</v>
      </c>
      <c r="V933" s="1">
        <v>3.769433614</v>
      </c>
      <c r="W933" s="1">
        <v>1500</v>
      </c>
      <c r="X933" s="1">
        <v>1669</v>
      </c>
      <c r="Y933" s="1">
        <v>876</v>
      </c>
      <c r="Z933" s="1">
        <v>152</v>
      </c>
      <c r="AA933" s="1">
        <v>641</v>
      </c>
      <c r="AB933" s="1">
        <v>0</v>
      </c>
      <c r="AC933" s="1">
        <v>1</v>
      </c>
      <c r="AD933" s="1" t="s">
        <v>76</v>
      </c>
      <c r="AE933" s="1" t="s">
        <v>11025</v>
      </c>
      <c r="AF933" s="1" t="s">
        <v>11026</v>
      </c>
      <c r="AG933" s="1" t="s">
        <v>11027</v>
      </c>
      <c r="AH933" s="1" t="s">
        <v>11028</v>
      </c>
      <c r="AI933" s="1">
        <v>4.42</v>
      </c>
      <c r="AJ933" s="1">
        <v>1396</v>
      </c>
      <c r="AK933" s="1">
        <v>4836</v>
      </c>
      <c r="AL933" s="1">
        <v>1278</v>
      </c>
    </row>
    <row r="934" spans="1:38" ht="15.75" customHeight="1">
      <c r="A934" s="1">
        <v>940</v>
      </c>
      <c r="C934" s="1">
        <v>4050</v>
      </c>
      <c r="D934" s="1" t="s">
        <v>38</v>
      </c>
      <c r="E934" s="1" t="s">
        <v>39</v>
      </c>
      <c r="F934" s="1" t="s">
        <v>1348</v>
      </c>
      <c r="G934" s="1">
        <v>0</v>
      </c>
      <c r="H934" s="1" t="s">
        <v>41</v>
      </c>
      <c r="I934" s="1" t="s">
        <v>11029</v>
      </c>
      <c r="J934" s="1" t="s">
        <v>11030</v>
      </c>
      <c r="K934" s="1" t="s">
        <v>11031</v>
      </c>
      <c r="L934" s="1">
        <v>1</v>
      </c>
      <c r="M934" s="1">
        <v>0</v>
      </c>
      <c r="N934" s="1" t="s">
        <v>11032</v>
      </c>
      <c r="O934" s="1" t="s">
        <v>11033</v>
      </c>
      <c r="P934" s="1" t="s">
        <v>11034</v>
      </c>
      <c r="Q934" s="1">
        <v>0</v>
      </c>
      <c r="R934" s="1" t="s">
        <v>11035</v>
      </c>
      <c r="S934" s="1" t="s">
        <v>11036</v>
      </c>
      <c r="U934" s="2">
        <v>56773</v>
      </c>
      <c r="V934" s="1">
        <v>3.2123488949999999</v>
      </c>
      <c r="W934" s="1">
        <v>1500</v>
      </c>
      <c r="X934" s="1">
        <v>2425</v>
      </c>
      <c r="Y934" s="1">
        <v>460</v>
      </c>
      <c r="Z934" s="1">
        <v>1235</v>
      </c>
      <c r="AA934" s="1">
        <v>730</v>
      </c>
      <c r="AB934" s="1">
        <v>0</v>
      </c>
      <c r="AC934" s="1">
        <v>2</v>
      </c>
      <c r="AD934" s="1" t="s">
        <v>62</v>
      </c>
      <c r="AE934" s="1" t="s">
        <v>11037</v>
      </c>
      <c r="AF934" s="1" t="s">
        <v>11038</v>
      </c>
      <c r="AG934" s="1" t="s">
        <v>11039</v>
      </c>
      <c r="AH934" s="1" t="s">
        <v>11040</v>
      </c>
      <c r="AI934" s="1">
        <v>4.79</v>
      </c>
      <c r="AJ934" s="1">
        <v>1007</v>
      </c>
      <c r="AK934" s="1">
        <v>2899</v>
      </c>
      <c r="AL934" s="1">
        <v>1301</v>
      </c>
    </row>
    <row r="935" spans="1:38" ht="15.75" customHeight="1">
      <c r="A935" s="1">
        <v>132</v>
      </c>
      <c r="B935" s="1">
        <v>5</v>
      </c>
      <c r="C935" s="1">
        <v>4001</v>
      </c>
      <c r="D935" s="1" t="s">
        <v>51</v>
      </c>
      <c r="E935" s="1" t="s">
        <v>39</v>
      </c>
      <c r="F935" s="1" t="s">
        <v>708</v>
      </c>
      <c r="G935" s="1">
        <v>0</v>
      </c>
      <c r="H935" s="1" t="s">
        <v>53</v>
      </c>
      <c r="I935" s="1" t="s">
        <v>11041</v>
      </c>
      <c r="J935" s="1" t="s">
        <v>11042</v>
      </c>
      <c r="K935" s="1" t="s">
        <v>11043</v>
      </c>
      <c r="L935" s="1">
        <v>1</v>
      </c>
      <c r="M935" s="1">
        <v>0</v>
      </c>
      <c r="N935" s="1" t="s">
        <v>11044</v>
      </c>
      <c r="O935" s="1" t="s">
        <v>11045</v>
      </c>
      <c r="P935" s="1" t="s">
        <v>11046</v>
      </c>
      <c r="Q935" s="1">
        <v>0</v>
      </c>
      <c r="R935" s="1" t="s">
        <v>11047</v>
      </c>
      <c r="S935" s="1" t="s">
        <v>11048</v>
      </c>
      <c r="U935" s="2">
        <v>56767</v>
      </c>
      <c r="V935" s="1">
        <v>4.3</v>
      </c>
      <c r="W935" s="1">
        <v>1500</v>
      </c>
      <c r="X935" s="1">
        <v>1891</v>
      </c>
      <c r="Y935" s="1">
        <v>1080</v>
      </c>
      <c r="Z935" s="1">
        <v>94</v>
      </c>
      <c r="AA935" s="1">
        <v>717</v>
      </c>
      <c r="AB935" s="1">
        <v>0</v>
      </c>
      <c r="AC935" s="1">
        <v>4</v>
      </c>
      <c r="AD935" s="1" t="s">
        <v>215</v>
      </c>
      <c r="AE935" s="1" t="s">
        <v>11049</v>
      </c>
      <c r="AF935" s="1" t="s">
        <v>11050</v>
      </c>
      <c r="AG935" s="1" t="s">
        <v>11051</v>
      </c>
      <c r="AH935" s="1" t="s">
        <v>11052</v>
      </c>
      <c r="AI935" s="1">
        <v>4.5999999999999996</v>
      </c>
      <c r="AJ935" s="1">
        <v>292</v>
      </c>
      <c r="AK935" s="1">
        <v>1027</v>
      </c>
      <c r="AL935" s="1">
        <v>26</v>
      </c>
    </row>
    <row r="936" spans="1:38" ht="15.75" customHeight="1">
      <c r="A936" s="1">
        <v>406</v>
      </c>
      <c r="B936" s="1">
        <v>5</v>
      </c>
      <c r="C936" s="1">
        <v>4050</v>
      </c>
      <c r="D936" s="1" t="s">
        <v>38</v>
      </c>
      <c r="E936" s="1" t="s">
        <v>39</v>
      </c>
      <c r="F936" s="1" t="s">
        <v>280</v>
      </c>
      <c r="G936" s="1">
        <v>0</v>
      </c>
      <c r="H936" s="1" t="s">
        <v>41</v>
      </c>
      <c r="I936" s="1" t="s">
        <v>11053</v>
      </c>
      <c r="J936" s="1" t="s">
        <v>11054</v>
      </c>
      <c r="K936" s="1" t="s">
        <v>11055</v>
      </c>
      <c r="L936" s="1">
        <v>1</v>
      </c>
      <c r="M936" s="1">
        <v>0</v>
      </c>
      <c r="N936" s="1" t="s">
        <v>11056</v>
      </c>
      <c r="O936" s="1" t="s">
        <v>11057</v>
      </c>
      <c r="P936" s="1" t="s">
        <v>11058</v>
      </c>
      <c r="Q936" s="1">
        <v>0</v>
      </c>
      <c r="R936" s="1" t="s">
        <v>11059</v>
      </c>
      <c r="U936" s="2">
        <v>56769</v>
      </c>
      <c r="V936" s="1">
        <v>4.5</v>
      </c>
      <c r="W936" s="1">
        <v>1500</v>
      </c>
      <c r="X936" s="1">
        <v>1646</v>
      </c>
      <c r="AA936" s="1">
        <v>544</v>
      </c>
      <c r="AB936" s="1">
        <v>0</v>
      </c>
      <c r="AC936" s="1">
        <v>1</v>
      </c>
      <c r="AE936" s="1" t="s">
        <v>11060</v>
      </c>
      <c r="AF936" s="1" t="s">
        <v>11061</v>
      </c>
      <c r="AG936" s="1" t="s">
        <v>11062</v>
      </c>
      <c r="AI936" s="1">
        <v>4.49</v>
      </c>
      <c r="AJ936" s="1">
        <v>2315</v>
      </c>
      <c r="AK936" s="1">
        <v>7039</v>
      </c>
      <c r="AL936" s="1">
        <v>763</v>
      </c>
    </row>
    <row r="937" spans="1:38" ht="15.75" customHeight="1">
      <c r="A937" s="1">
        <v>1146</v>
      </c>
      <c r="B937" s="1">
        <v>5</v>
      </c>
      <c r="C937" s="1">
        <v>4001</v>
      </c>
      <c r="D937" s="1" t="s">
        <v>51</v>
      </c>
      <c r="E937" s="1" t="s">
        <v>39</v>
      </c>
      <c r="F937" s="1" t="s">
        <v>745</v>
      </c>
      <c r="G937" s="1">
        <v>0</v>
      </c>
      <c r="H937" s="1" t="s">
        <v>53</v>
      </c>
      <c r="I937" s="1" t="s">
        <v>11063</v>
      </c>
      <c r="J937" s="1" t="s">
        <v>11064</v>
      </c>
      <c r="K937" s="1" t="s">
        <v>11065</v>
      </c>
      <c r="L937" s="1">
        <v>1</v>
      </c>
      <c r="M937" s="1">
        <v>0</v>
      </c>
      <c r="N937" s="1" t="s">
        <v>11066</v>
      </c>
      <c r="O937" s="1" t="s">
        <v>11067</v>
      </c>
      <c r="P937" s="1" t="s">
        <v>11068</v>
      </c>
      <c r="Q937" s="1">
        <v>0</v>
      </c>
      <c r="R937" s="1" t="s">
        <v>11069</v>
      </c>
      <c r="S937" s="1" t="s">
        <v>11070</v>
      </c>
      <c r="U937" s="2">
        <v>56775</v>
      </c>
      <c r="V937" s="1">
        <v>4.4000000000000004</v>
      </c>
      <c r="W937" s="1">
        <v>1500</v>
      </c>
      <c r="X937" s="1">
        <v>2585</v>
      </c>
      <c r="Y937" s="1">
        <v>1303</v>
      </c>
      <c r="Z937" s="1">
        <v>294</v>
      </c>
      <c r="AA937" s="1">
        <v>988</v>
      </c>
      <c r="AB937" s="1">
        <v>0</v>
      </c>
      <c r="AC937" s="1">
        <v>4</v>
      </c>
      <c r="AD937" s="1" t="s">
        <v>62</v>
      </c>
      <c r="AE937" s="1" t="s">
        <v>11071</v>
      </c>
      <c r="AF937" s="1" t="s">
        <v>11072</v>
      </c>
      <c r="AG937" s="1" t="s">
        <v>11073</v>
      </c>
      <c r="AH937" s="1" t="s">
        <v>11074</v>
      </c>
      <c r="AI937" s="1">
        <v>4.72</v>
      </c>
      <c r="AJ937" s="1">
        <v>141</v>
      </c>
      <c r="AK937" s="1">
        <v>418</v>
      </c>
      <c r="AL937" s="1">
        <v>90</v>
      </c>
    </row>
    <row r="938" spans="1:38" ht="15.75" customHeight="1">
      <c r="A938" s="1">
        <v>1098</v>
      </c>
      <c r="B938" s="1">
        <v>5</v>
      </c>
      <c r="C938" s="1">
        <v>4001</v>
      </c>
      <c r="D938" s="1" t="s">
        <v>51</v>
      </c>
      <c r="E938" s="1" t="s">
        <v>39</v>
      </c>
      <c r="F938" s="1" t="s">
        <v>414</v>
      </c>
      <c r="G938" s="1">
        <v>0</v>
      </c>
      <c r="H938" s="1" t="s">
        <v>53</v>
      </c>
      <c r="I938" s="1" t="s">
        <v>11075</v>
      </c>
      <c r="J938" s="1" t="s">
        <v>11076</v>
      </c>
      <c r="K938" s="1" t="s">
        <v>11077</v>
      </c>
      <c r="L938" s="1">
        <v>1</v>
      </c>
      <c r="M938" s="1">
        <v>0</v>
      </c>
      <c r="N938" s="1" t="s">
        <v>11078</v>
      </c>
      <c r="O938" s="1" t="s">
        <v>11079</v>
      </c>
      <c r="P938" s="1" t="s">
        <v>11080</v>
      </c>
      <c r="Q938" s="1">
        <v>0</v>
      </c>
      <c r="R938" s="1" t="s">
        <v>11081</v>
      </c>
      <c r="S938" s="1" t="s">
        <v>11082</v>
      </c>
      <c r="U938" s="2">
        <v>56774</v>
      </c>
      <c r="V938" s="1">
        <v>3.3797930389999999</v>
      </c>
      <c r="W938" s="1">
        <v>1500</v>
      </c>
      <c r="X938" s="1">
        <v>1074</v>
      </c>
      <c r="Y938" s="1">
        <v>559</v>
      </c>
      <c r="Z938" s="1">
        <v>20</v>
      </c>
      <c r="AA938" s="1">
        <v>495</v>
      </c>
      <c r="AB938" s="1">
        <v>0</v>
      </c>
      <c r="AC938" s="1">
        <v>1</v>
      </c>
      <c r="AD938" s="1" t="s">
        <v>76</v>
      </c>
      <c r="AE938" s="1" t="s">
        <v>11083</v>
      </c>
      <c r="AF938" s="1" t="s">
        <v>11084</v>
      </c>
      <c r="AG938" s="1" t="s">
        <v>11085</v>
      </c>
      <c r="AH938" s="1" t="s">
        <v>11086</v>
      </c>
      <c r="AI938" s="1">
        <v>4.58</v>
      </c>
      <c r="AJ938" s="1">
        <v>254</v>
      </c>
      <c r="AK938" s="1">
        <v>788</v>
      </c>
      <c r="AL938" s="1">
        <v>9</v>
      </c>
    </row>
    <row r="939" spans="1:38" ht="15.75" customHeight="1">
      <c r="A939" s="1">
        <v>609</v>
      </c>
      <c r="C939" s="1">
        <v>4050</v>
      </c>
      <c r="D939" s="1" t="s">
        <v>38</v>
      </c>
      <c r="E939" s="1" t="s">
        <v>39</v>
      </c>
      <c r="F939" s="1" t="s">
        <v>451</v>
      </c>
      <c r="G939" s="1">
        <v>0</v>
      </c>
      <c r="H939" s="1" t="s">
        <v>41</v>
      </c>
      <c r="I939" s="1" t="s">
        <v>11087</v>
      </c>
      <c r="J939" s="1" t="s">
        <v>11088</v>
      </c>
      <c r="K939" s="1" t="s">
        <v>11089</v>
      </c>
      <c r="L939" s="1">
        <v>1</v>
      </c>
      <c r="M939" s="1">
        <v>0</v>
      </c>
      <c r="N939" s="1" t="s">
        <v>11090</v>
      </c>
      <c r="O939" s="1" t="s">
        <v>11091</v>
      </c>
      <c r="P939" s="1" t="s">
        <v>11092</v>
      </c>
      <c r="Q939" s="1">
        <v>0</v>
      </c>
      <c r="R939" s="1" t="s">
        <v>11093</v>
      </c>
      <c r="S939" s="1" t="s">
        <v>11094</v>
      </c>
      <c r="U939" s="2">
        <v>56770</v>
      </c>
      <c r="V939" s="1">
        <v>4.7</v>
      </c>
      <c r="W939" s="1">
        <v>1500</v>
      </c>
      <c r="X939" s="1">
        <v>2193</v>
      </c>
      <c r="Y939" s="1">
        <v>803</v>
      </c>
      <c r="Z939" s="1">
        <v>263</v>
      </c>
      <c r="AA939" s="1">
        <v>1127</v>
      </c>
      <c r="AB939" s="1">
        <v>1</v>
      </c>
      <c r="AC939" s="1">
        <v>2</v>
      </c>
      <c r="AE939" s="1" t="s">
        <v>11095</v>
      </c>
      <c r="AF939" s="1" t="s">
        <v>11096</v>
      </c>
      <c r="AG939" s="1" t="s">
        <v>11097</v>
      </c>
      <c r="AH939" s="1" t="s">
        <v>11098</v>
      </c>
      <c r="AI939" s="1">
        <v>4.7</v>
      </c>
      <c r="AJ939" s="1">
        <v>272</v>
      </c>
      <c r="AK939" s="1">
        <v>931</v>
      </c>
      <c r="AL939" s="1">
        <v>144</v>
      </c>
    </row>
    <row r="940" spans="1:38" ht="15.75" customHeight="1">
      <c r="A940" s="1">
        <v>601</v>
      </c>
      <c r="B940" s="1">
        <v>5</v>
      </c>
      <c r="C940" s="1">
        <v>4001</v>
      </c>
      <c r="D940" s="1" t="s">
        <v>51</v>
      </c>
      <c r="E940" s="1" t="s">
        <v>39</v>
      </c>
      <c r="F940" s="1" t="s">
        <v>341</v>
      </c>
      <c r="G940" s="1">
        <v>0</v>
      </c>
      <c r="H940" s="1" t="s">
        <v>41</v>
      </c>
      <c r="I940" s="1" t="s">
        <v>11099</v>
      </c>
      <c r="J940" s="1" t="s">
        <v>11100</v>
      </c>
      <c r="K940" s="1" t="s">
        <v>11101</v>
      </c>
      <c r="L940" s="1">
        <v>1</v>
      </c>
      <c r="M940" s="1">
        <v>0</v>
      </c>
      <c r="N940" s="1" t="s">
        <v>11102</v>
      </c>
      <c r="O940" s="1" t="s">
        <v>11103</v>
      </c>
      <c r="P940" s="1" t="s">
        <v>11104</v>
      </c>
      <c r="Q940" s="1">
        <v>0</v>
      </c>
      <c r="R940" s="1" t="s">
        <v>11105</v>
      </c>
      <c r="S940" s="1" t="s">
        <v>11106</v>
      </c>
      <c r="U940" s="2">
        <v>56770</v>
      </c>
      <c r="V940" s="1">
        <v>4.3</v>
      </c>
      <c r="W940" s="1">
        <v>1500</v>
      </c>
      <c r="X940" s="1">
        <v>2723</v>
      </c>
      <c r="Y940" s="1">
        <v>693</v>
      </c>
      <c r="Z940" s="1">
        <v>1301</v>
      </c>
      <c r="AA940" s="1">
        <v>729</v>
      </c>
      <c r="AB940" s="1">
        <v>0</v>
      </c>
      <c r="AC940" s="1">
        <v>3</v>
      </c>
      <c r="AD940" s="1" t="s">
        <v>62</v>
      </c>
      <c r="AE940" s="1" t="s">
        <v>11107</v>
      </c>
      <c r="AF940" s="1" t="s">
        <v>11108</v>
      </c>
      <c r="AG940" s="1" t="s">
        <v>11109</v>
      </c>
      <c r="AH940" s="1" t="s">
        <v>11110</v>
      </c>
      <c r="AI940" s="1">
        <v>4.54</v>
      </c>
      <c r="AJ940" s="1">
        <v>2229</v>
      </c>
      <c r="AK940" s="1">
        <v>6580</v>
      </c>
    </row>
    <row r="941" spans="1:38" ht="15.75" customHeight="1">
      <c r="A941" s="1">
        <v>155</v>
      </c>
      <c r="C941" s="1">
        <v>4050</v>
      </c>
      <c r="D941" s="1" t="s">
        <v>38</v>
      </c>
      <c r="E941" s="1" t="s">
        <v>39</v>
      </c>
      <c r="F941" s="1" t="s">
        <v>510</v>
      </c>
      <c r="G941" s="1">
        <v>0</v>
      </c>
      <c r="H941" s="1" t="s">
        <v>41</v>
      </c>
      <c r="I941" s="1" t="s">
        <v>11111</v>
      </c>
      <c r="J941" s="1" t="s">
        <v>11112</v>
      </c>
      <c r="K941" s="1" t="s">
        <v>11113</v>
      </c>
      <c r="L941" s="1">
        <v>1</v>
      </c>
      <c r="M941" s="1">
        <v>0</v>
      </c>
      <c r="N941" s="1" t="s">
        <v>11114</v>
      </c>
      <c r="O941" s="1" t="s">
        <v>11115</v>
      </c>
      <c r="P941" s="1" t="s">
        <v>11116</v>
      </c>
      <c r="Q941" s="1">
        <v>0</v>
      </c>
      <c r="R941" s="1" t="s">
        <v>11117</v>
      </c>
      <c r="S941" s="1" t="s">
        <v>11118</v>
      </c>
      <c r="U941" s="2">
        <v>56767</v>
      </c>
      <c r="V941" s="1">
        <v>4.5999999999999996</v>
      </c>
      <c r="W941" s="1">
        <v>1500</v>
      </c>
      <c r="X941" s="1">
        <v>1335</v>
      </c>
      <c r="Y941" s="1">
        <v>656</v>
      </c>
      <c r="Z941" s="1">
        <v>140</v>
      </c>
      <c r="AA941" s="1">
        <v>539</v>
      </c>
      <c r="AB941" s="1">
        <v>0</v>
      </c>
      <c r="AC941" s="1">
        <v>1</v>
      </c>
      <c r="AD941" s="1" t="s">
        <v>215</v>
      </c>
      <c r="AE941" s="1" t="s">
        <v>11119</v>
      </c>
      <c r="AF941" s="1" t="s">
        <v>11120</v>
      </c>
      <c r="AG941" s="1" t="s">
        <v>11121</v>
      </c>
      <c r="AH941" s="1" t="s">
        <v>11122</v>
      </c>
      <c r="AI941" s="1">
        <v>4.62</v>
      </c>
      <c r="AJ941" s="1">
        <v>259</v>
      </c>
      <c r="AK941" s="1">
        <v>604</v>
      </c>
      <c r="AL941" s="1">
        <v>21</v>
      </c>
    </row>
    <row r="942" spans="1:38" ht="15.75" customHeight="1">
      <c r="A942" s="1">
        <v>794</v>
      </c>
      <c r="C942" s="1">
        <v>4050</v>
      </c>
      <c r="D942" s="1" t="s">
        <v>38</v>
      </c>
      <c r="E942" s="1" t="s">
        <v>39</v>
      </c>
      <c r="F942" s="1" t="s">
        <v>2811</v>
      </c>
      <c r="G942" s="1">
        <v>0</v>
      </c>
      <c r="H942" s="1" t="s">
        <v>41</v>
      </c>
      <c r="I942" s="1" t="s">
        <v>11123</v>
      </c>
      <c r="J942" s="1" t="s">
        <v>11124</v>
      </c>
      <c r="K942" s="1" t="s">
        <v>11125</v>
      </c>
      <c r="L942" s="1">
        <v>1</v>
      </c>
      <c r="M942" s="1">
        <v>0</v>
      </c>
      <c r="N942" s="1" t="s">
        <v>11126</v>
      </c>
      <c r="O942" s="1" t="s">
        <v>11127</v>
      </c>
      <c r="P942" s="1" t="s">
        <v>11128</v>
      </c>
      <c r="Q942" s="1">
        <v>0</v>
      </c>
      <c r="R942" s="1" t="s">
        <v>11129</v>
      </c>
      <c r="S942" s="1" t="s">
        <v>11130</v>
      </c>
      <c r="U942" s="2">
        <v>56771</v>
      </c>
      <c r="V942" s="1">
        <v>4.5999999999999996</v>
      </c>
      <c r="W942" s="1">
        <v>1500</v>
      </c>
      <c r="X942" s="1">
        <v>1909</v>
      </c>
      <c r="Y942" s="1">
        <v>733</v>
      </c>
      <c r="Z942" s="1">
        <v>146</v>
      </c>
      <c r="AA942" s="1">
        <v>1030</v>
      </c>
      <c r="AB942" s="1">
        <v>0</v>
      </c>
      <c r="AC942" s="1">
        <v>1</v>
      </c>
      <c r="AD942" s="1" t="s">
        <v>215</v>
      </c>
      <c r="AE942" s="1" t="s">
        <v>11131</v>
      </c>
      <c r="AF942" s="1" t="s">
        <v>11132</v>
      </c>
      <c r="AG942" s="1" t="s">
        <v>11133</v>
      </c>
      <c r="AH942" s="1" t="s">
        <v>11134</v>
      </c>
      <c r="AI942" s="1">
        <v>5</v>
      </c>
      <c r="AJ942" s="1">
        <v>6</v>
      </c>
      <c r="AK942" s="1">
        <v>20</v>
      </c>
      <c r="AL942" s="1">
        <v>5</v>
      </c>
    </row>
    <row r="943" spans="1:38" ht="15.75" customHeight="1">
      <c r="A943" s="1">
        <v>869</v>
      </c>
      <c r="C943" s="1">
        <v>4050</v>
      </c>
      <c r="D943" s="1" t="s">
        <v>38</v>
      </c>
      <c r="E943" s="1" t="s">
        <v>39</v>
      </c>
      <c r="F943" s="1" t="s">
        <v>173</v>
      </c>
      <c r="G943" s="1">
        <v>0</v>
      </c>
      <c r="H943" s="1" t="s">
        <v>41</v>
      </c>
      <c r="I943" s="1" t="s">
        <v>11135</v>
      </c>
      <c r="J943" s="1" t="s">
        <v>11136</v>
      </c>
      <c r="K943" s="1" t="s">
        <v>11137</v>
      </c>
      <c r="L943" s="1">
        <v>1</v>
      </c>
      <c r="M943" s="1">
        <v>0</v>
      </c>
      <c r="N943" s="1" t="s">
        <v>11138</v>
      </c>
      <c r="O943" s="1" t="s">
        <v>11139</v>
      </c>
      <c r="P943" s="1" t="s">
        <v>11140</v>
      </c>
      <c r="Q943" s="1">
        <v>0</v>
      </c>
      <c r="R943" s="1" t="s">
        <v>11141</v>
      </c>
      <c r="S943" s="1" t="s">
        <v>11142</v>
      </c>
      <c r="U943" s="2">
        <v>56772</v>
      </c>
      <c r="V943" s="1">
        <v>4.5</v>
      </c>
      <c r="W943" s="1">
        <v>1500</v>
      </c>
      <c r="X943" s="1">
        <v>2908</v>
      </c>
      <c r="Y943" s="1">
        <v>1543</v>
      </c>
      <c r="Z943" s="1">
        <v>140</v>
      </c>
      <c r="AA943" s="1">
        <v>1225</v>
      </c>
      <c r="AB943" s="1">
        <v>0</v>
      </c>
      <c r="AC943" s="1">
        <v>1</v>
      </c>
      <c r="AD943" s="1" t="s">
        <v>76</v>
      </c>
      <c r="AE943" s="1" t="s">
        <v>11143</v>
      </c>
      <c r="AF943" s="1" t="s">
        <v>11144</v>
      </c>
      <c r="AG943" s="1" t="s">
        <v>11145</v>
      </c>
      <c r="AH943" s="1" t="s">
        <v>11146</v>
      </c>
      <c r="AI943" s="1">
        <v>4.22</v>
      </c>
      <c r="AJ943" s="1">
        <v>1551</v>
      </c>
      <c r="AK943" s="1">
        <v>4625</v>
      </c>
    </row>
    <row r="944" spans="1:38" ht="15.75" customHeight="1">
      <c r="A944" s="1">
        <v>1011</v>
      </c>
      <c r="C944" s="1">
        <v>4001</v>
      </c>
      <c r="D944" s="1" t="s">
        <v>51</v>
      </c>
      <c r="E944" s="1" t="s">
        <v>39</v>
      </c>
      <c r="F944" s="1" t="s">
        <v>67</v>
      </c>
      <c r="G944" s="1">
        <v>0</v>
      </c>
      <c r="H944" s="1" t="s">
        <v>41</v>
      </c>
      <c r="I944" s="1" t="s">
        <v>11147</v>
      </c>
      <c r="J944" s="1" t="s">
        <v>11148</v>
      </c>
      <c r="K944" s="1" t="s">
        <v>11148</v>
      </c>
      <c r="L944" s="1">
        <v>0</v>
      </c>
      <c r="M944" s="1">
        <v>0</v>
      </c>
      <c r="N944" s="1" t="s">
        <v>11149</v>
      </c>
      <c r="O944" s="1" t="s">
        <v>11150</v>
      </c>
      <c r="P944" s="1" t="s">
        <v>11151</v>
      </c>
      <c r="Q944" s="1">
        <v>0</v>
      </c>
      <c r="R944" s="1" t="s">
        <v>11152</v>
      </c>
      <c r="S944" s="1" t="s">
        <v>11153</v>
      </c>
      <c r="U944" s="2">
        <v>56774</v>
      </c>
      <c r="V944" s="1">
        <v>4.3</v>
      </c>
      <c r="W944" s="1">
        <v>1500</v>
      </c>
      <c r="X944" s="1">
        <v>4555</v>
      </c>
      <c r="Y944" s="1">
        <v>1665</v>
      </c>
      <c r="Z944" s="1">
        <v>111</v>
      </c>
      <c r="AA944" s="1">
        <v>2779</v>
      </c>
      <c r="AB944" s="1">
        <v>1</v>
      </c>
      <c r="AC944" s="1">
        <v>2</v>
      </c>
      <c r="AE944" s="1" t="s">
        <v>11154</v>
      </c>
      <c r="AF944" s="1" t="s">
        <v>11155</v>
      </c>
      <c r="AG944" s="1" t="s">
        <v>11156</v>
      </c>
      <c r="AH944" s="1" t="s">
        <v>11157</v>
      </c>
      <c r="AI944" s="1">
        <v>3.82</v>
      </c>
      <c r="AJ944" s="1">
        <v>174</v>
      </c>
      <c r="AK944" s="1">
        <v>773</v>
      </c>
    </row>
    <row r="945" spans="1:38" ht="15.75" customHeight="1">
      <c r="A945" s="1">
        <v>1025</v>
      </c>
      <c r="C945" s="1">
        <v>4001</v>
      </c>
      <c r="D945" s="1" t="s">
        <v>51</v>
      </c>
      <c r="E945" s="1" t="s">
        <v>39</v>
      </c>
      <c r="F945" s="1" t="s">
        <v>2338</v>
      </c>
      <c r="G945" s="1">
        <v>0</v>
      </c>
      <c r="H945" s="1" t="s">
        <v>53</v>
      </c>
      <c r="I945" s="1" t="s">
        <v>11158</v>
      </c>
      <c r="J945" s="1" t="s">
        <v>11159</v>
      </c>
      <c r="K945" s="1" t="s">
        <v>11160</v>
      </c>
      <c r="L945" s="1">
        <v>1</v>
      </c>
      <c r="M945" s="1">
        <v>0</v>
      </c>
      <c r="N945" s="1" t="s">
        <v>11161</v>
      </c>
      <c r="O945" s="1" t="s">
        <v>11162</v>
      </c>
      <c r="P945" s="1" t="s">
        <v>11163</v>
      </c>
      <c r="Q945" s="1">
        <v>0</v>
      </c>
      <c r="R945" s="1" t="s">
        <v>11164</v>
      </c>
      <c r="S945" s="1" t="s">
        <v>11165</v>
      </c>
      <c r="U945" s="2">
        <v>56774</v>
      </c>
      <c r="V945" s="1">
        <v>3.9792116329999998</v>
      </c>
      <c r="W945" s="1">
        <v>1500</v>
      </c>
      <c r="X945" s="1">
        <v>1156</v>
      </c>
      <c r="Y945" s="1">
        <v>588</v>
      </c>
      <c r="Z945" s="1">
        <v>493</v>
      </c>
      <c r="AA945" s="1">
        <v>75</v>
      </c>
      <c r="AB945" s="1">
        <v>0</v>
      </c>
      <c r="AC945" s="1">
        <v>1</v>
      </c>
      <c r="AD945" s="1" t="s">
        <v>76</v>
      </c>
      <c r="AE945" s="1" t="s">
        <v>11166</v>
      </c>
      <c r="AF945" s="1" t="s">
        <v>11167</v>
      </c>
      <c r="AG945" s="1" t="s">
        <v>11168</v>
      </c>
      <c r="AH945" s="1" t="s">
        <v>11169</v>
      </c>
      <c r="AI945" s="1">
        <v>4.3510638300000002</v>
      </c>
      <c r="AJ945" s="1">
        <v>62</v>
      </c>
      <c r="AK945" s="1">
        <v>228</v>
      </c>
    </row>
    <row r="946" spans="1:38" ht="15.75" customHeight="1">
      <c r="A946" s="1">
        <v>1578</v>
      </c>
      <c r="C946" s="1">
        <v>4001</v>
      </c>
      <c r="D946" s="1" t="s">
        <v>51</v>
      </c>
      <c r="E946" s="1" t="s">
        <v>39</v>
      </c>
      <c r="F946" s="1" t="s">
        <v>7339</v>
      </c>
      <c r="G946" s="1">
        <v>0</v>
      </c>
      <c r="H946" s="1" t="s">
        <v>53</v>
      </c>
      <c r="I946" s="1" t="s">
        <v>11170</v>
      </c>
      <c r="J946" s="1" t="s">
        <v>11171</v>
      </c>
      <c r="K946" s="1" t="s">
        <v>11172</v>
      </c>
      <c r="L946" s="1">
        <v>1</v>
      </c>
      <c r="M946" s="1">
        <v>0</v>
      </c>
      <c r="N946" s="1" t="s">
        <v>11173</v>
      </c>
      <c r="O946" s="1" t="s">
        <v>11174</v>
      </c>
      <c r="P946" s="1" t="s">
        <v>11175</v>
      </c>
      <c r="Q946" s="1">
        <v>0</v>
      </c>
      <c r="R946" s="1" t="s">
        <v>11176</v>
      </c>
      <c r="S946" s="1" t="s">
        <v>11177</v>
      </c>
      <c r="U946" s="2">
        <v>56778</v>
      </c>
      <c r="V946" s="1">
        <v>3.5722388999999999</v>
      </c>
      <c r="W946" s="1">
        <v>1500</v>
      </c>
      <c r="X946" s="1">
        <v>2406</v>
      </c>
      <c r="Y946" s="1">
        <v>248</v>
      </c>
      <c r="Z946" s="1">
        <v>1062</v>
      </c>
      <c r="AA946" s="1">
        <v>1096</v>
      </c>
      <c r="AB946" s="1">
        <v>0</v>
      </c>
      <c r="AC946" s="1">
        <v>2</v>
      </c>
      <c r="AD946" s="1" t="s">
        <v>62</v>
      </c>
      <c r="AE946" s="1" t="s">
        <v>11178</v>
      </c>
      <c r="AF946" s="1" t="s">
        <v>11179</v>
      </c>
      <c r="AG946" s="1" t="s">
        <v>11180</v>
      </c>
      <c r="AH946" s="1" t="s">
        <v>11181</v>
      </c>
      <c r="AI946" s="1">
        <v>4.5370370370000002</v>
      </c>
      <c r="AJ946" s="1">
        <v>43</v>
      </c>
      <c r="AK946" s="1">
        <v>142</v>
      </c>
      <c r="AL946" s="1">
        <v>11</v>
      </c>
    </row>
    <row r="947" spans="1:38" ht="15.75" customHeight="1">
      <c r="A947" s="1">
        <v>470</v>
      </c>
      <c r="B947" s="1">
        <v>5</v>
      </c>
      <c r="C947" s="1">
        <v>4001</v>
      </c>
      <c r="D947" s="1" t="s">
        <v>51</v>
      </c>
      <c r="E947" s="1" t="s">
        <v>39</v>
      </c>
      <c r="F947" s="1" t="s">
        <v>414</v>
      </c>
      <c r="G947" s="1">
        <v>0</v>
      </c>
      <c r="H947" s="1" t="s">
        <v>53</v>
      </c>
      <c r="I947" s="1" t="s">
        <v>11182</v>
      </c>
      <c r="J947" s="1" t="s">
        <v>11183</v>
      </c>
      <c r="K947" s="1" t="s">
        <v>11184</v>
      </c>
      <c r="L947" s="1">
        <v>1</v>
      </c>
      <c r="M947" s="1">
        <v>0</v>
      </c>
      <c r="N947" s="1" t="s">
        <v>11185</v>
      </c>
      <c r="O947" s="1" t="s">
        <v>11186</v>
      </c>
      <c r="P947" s="1" t="s">
        <v>11187</v>
      </c>
      <c r="Q947" s="1">
        <v>0</v>
      </c>
      <c r="R947" s="1" t="s">
        <v>11188</v>
      </c>
      <c r="S947" s="1" t="s">
        <v>11189</v>
      </c>
      <c r="U947" s="2">
        <v>56769</v>
      </c>
      <c r="V947" s="1">
        <v>4.5</v>
      </c>
      <c r="W947" s="1">
        <v>1500</v>
      </c>
      <c r="X947" s="1">
        <v>1638</v>
      </c>
      <c r="Y947" s="1">
        <v>278</v>
      </c>
      <c r="Z947" s="1">
        <v>620</v>
      </c>
      <c r="AA947" s="1">
        <v>740</v>
      </c>
      <c r="AB947" s="1">
        <v>0</v>
      </c>
      <c r="AC947" s="1">
        <v>2</v>
      </c>
      <c r="AD947" s="1" t="s">
        <v>215</v>
      </c>
      <c r="AE947" s="1" t="s">
        <v>11190</v>
      </c>
      <c r="AF947" s="1" t="s">
        <v>11191</v>
      </c>
      <c r="AG947" s="1" t="s">
        <v>11192</v>
      </c>
      <c r="AH947" s="1" t="s">
        <v>11193</v>
      </c>
      <c r="AI947" s="1">
        <v>4.58</v>
      </c>
      <c r="AJ947" s="1">
        <v>254</v>
      </c>
      <c r="AK947" s="1">
        <v>788</v>
      </c>
      <c r="AL947" s="1">
        <v>9</v>
      </c>
    </row>
    <row r="948" spans="1:38" ht="15.75" customHeight="1">
      <c r="A948" s="1">
        <v>773</v>
      </c>
      <c r="C948" s="1">
        <v>4050</v>
      </c>
      <c r="D948" s="1" t="s">
        <v>38</v>
      </c>
      <c r="E948" s="1" t="s">
        <v>39</v>
      </c>
      <c r="F948" s="1" t="s">
        <v>116</v>
      </c>
      <c r="G948" s="1">
        <v>0</v>
      </c>
      <c r="H948" s="1" t="s">
        <v>41</v>
      </c>
      <c r="I948" s="1" t="s">
        <v>11194</v>
      </c>
      <c r="J948" s="1" t="s">
        <v>5802</v>
      </c>
      <c r="K948" s="1" t="s">
        <v>5802</v>
      </c>
      <c r="L948" s="1">
        <v>0</v>
      </c>
      <c r="M948" s="1">
        <v>0</v>
      </c>
      <c r="N948" s="1" t="s">
        <v>11195</v>
      </c>
      <c r="O948" s="1" t="s">
        <v>11196</v>
      </c>
      <c r="P948" s="1" t="s">
        <v>11197</v>
      </c>
      <c r="Q948" s="1">
        <v>0</v>
      </c>
      <c r="R948" s="1" t="s">
        <v>11198</v>
      </c>
      <c r="U948" s="2">
        <v>56771</v>
      </c>
      <c r="V948" s="1">
        <v>4.5</v>
      </c>
      <c r="W948" s="1">
        <v>1500</v>
      </c>
      <c r="X948" s="1">
        <v>1988</v>
      </c>
      <c r="AA948" s="1">
        <v>370</v>
      </c>
      <c r="AB948" s="1">
        <v>0</v>
      </c>
      <c r="AC948" s="1">
        <v>1</v>
      </c>
      <c r="AE948" s="1" t="s">
        <v>11199</v>
      </c>
      <c r="AF948" s="1" t="s">
        <v>11200</v>
      </c>
      <c r="AG948" s="1" t="s">
        <v>11201</v>
      </c>
      <c r="AI948" s="1">
        <v>4.8899999999999997</v>
      </c>
      <c r="AJ948" s="1">
        <v>1778</v>
      </c>
      <c r="AK948" s="1">
        <v>5138</v>
      </c>
      <c r="AL948" s="1">
        <v>314</v>
      </c>
    </row>
    <row r="949" spans="1:38" ht="15.75" customHeight="1">
      <c r="A949" s="1">
        <v>832</v>
      </c>
      <c r="B949" s="1">
        <v>5</v>
      </c>
      <c r="C949" s="1">
        <v>4001</v>
      </c>
      <c r="D949" s="1" t="s">
        <v>51</v>
      </c>
      <c r="E949" s="1" t="s">
        <v>39</v>
      </c>
      <c r="F949" s="1" t="s">
        <v>341</v>
      </c>
      <c r="G949" s="1">
        <v>0</v>
      </c>
      <c r="H949" s="1" t="s">
        <v>41</v>
      </c>
      <c r="I949" s="1" t="s">
        <v>11202</v>
      </c>
      <c r="J949" s="1" t="s">
        <v>11203</v>
      </c>
      <c r="K949" s="1" t="s">
        <v>11204</v>
      </c>
      <c r="L949" s="1">
        <v>1</v>
      </c>
      <c r="M949" s="1">
        <v>0</v>
      </c>
      <c r="N949" s="1" t="s">
        <v>11205</v>
      </c>
      <c r="O949" s="1" t="s">
        <v>11206</v>
      </c>
      <c r="P949" s="1" t="s">
        <v>11207</v>
      </c>
      <c r="Q949" s="1">
        <v>0</v>
      </c>
      <c r="R949" s="1" t="s">
        <v>11208</v>
      </c>
      <c r="U949" s="2">
        <v>56772</v>
      </c>
      <c r="V949" s="1">
        <v>4</v>
      </c>
      <c r="W949" s="1">
        <v>1500</v>
      </c>
      <c r="X949" s="1">
        <v>1436</v>
      </c>
      <c r="AA949" s="1">
        <v>378</v>
      </c>
      <c r="AB949" s="1">
        <v>0</v>
      </c>
      <c r="AC949" s="1">
        <v>2</v>
      </c>
      <c r="AE949" s="1" t="s">
        <v>11209</v>
      </c>
      <c r="AF949" s="1" t="s">
        <v>11210</v>
      </c>
      <c r="AG949" s="1" t="s">
        <v>11211</v>
      </c>
      <c r="AI949" s="1">
        <v>4.54</v>
      </c>
      <c r="AJ949" s="1">
        <v>2229</v>
      </c>
      <c r="AK949" s="1">
        <v>6580</v>
      </c>
    </row>
    <row r="950" spans="1:38" ht="15.75" customHeight="1">
      <c r="A950" s="1">
        <v>948</v>
      </c>
      <c r="C950" s="1">
        <v>4050</v>
      </c>
      <c r="D950" s="1" t="s">
        <v>38</v>
      </c>
      <c r="E950" s="1" t="s">
        <v>39</v>
      </c>
      <c r="F950" s="1" t="s">
        <v>116</v>
      </c>
      <c r="G950" s="1">
        <v>0</v>
      </c>
      <c r="H950" s="1" t="s">
        <v>41</v>
      </c>
      <c r="I950" s="1" t="s">
        <v>11212</v>
      </c>
      <c r="J950" s="1" t="s">
        <v>11213</v>
      </c>
      <c r="K950" s="1" t="s">
        <v>11214</v>
      </c>
      <c r="L950" s="1">
        <v>1</v>
      </c>
      <c r="M950" s="1">
        <v>0</v>
      </c>
      <c r="N950" s="1" t="s">
        <v>11215</v>
      </c>
      <c r="O950" s="1" t="s">
        <v>11216</v>
      </c>
      <c r="P950" s="1" t="s">
        <v>11217</v>
      </c>
      <c r="Q950" s="1">
        <v>0</v>
      </c>
      <c r="R950" s="1" t="s">
        <v>11218</v>
      </c>
      <c r="S950" s="1" t="s">
        <v>11219</v>
      </c>
      <c r="U950" s="2">
        <v>56773</v>
      </c>
      <c r="V950" s="1">
        <v>4.5999999999999996</v>
      </c>
      <c r="W950" s="1">
        <v>1500</v>
      </c>
      <c r="X950" s="1">
        <v>1143</v>
      </c>
      <c r="Y950" s="1">
        <v>527</v>
      </c>
      <c r="Z950" s="1">
        <v>421</v>
      </c>
      <c r="AA950" s="1">
        <v>195</v>
      </c>
      <c r="AB950" s="1">
        <v>0</v>
      </c>
      <c r="AC950" s="1">
        <v>2</v>
      </c>
      <c r="AD950" s="1" t="s">
        <v>62</v>
      </c>
      <c r="AE950" s="1" t="s">
        <v>11220</v>
      </c>
      <c r="AF950" s="1" t="s">
        <v>11221</v>
      </c>
      <c r="AG950" s="1" t="s">
        <v>11222</v>
      </c>
      <c r="AH950" s="1" t="s">
        <v>11223</v>
      </c>
      <c r="AI950" s="1">
        <v>4.8899999999999997</v>
      </c>
      <c r="AJ950" s="1">
        <v>1778</v>
      </c>
      <c r="AK950" s="1">
        <v>5138</v>
      </c>
      <c r="AL950" s="1">
        <v>314</v>
      </c>
    </row>
    <row r="951" spans="1:38" ht="15.75" customHeight="1">
      <c r="A951" s="1">
        <v>873</v>
      </c>
      <c r="B951" s="1">
        <v>5</v>
      </c>
      <c r="C951" s="1">
        <v>4050</v>
      </c>
      <c r="D951" s="1" t="s">
        <v>38</v>
      </c>
      <c r="E951" s="1" t="s">
        <v>39</v>
      </c>
      <c r="F951" s="1" t="s">
        <v>510</v>
      </c>
      <c r="G951" s="1">
        <v>0</v>
      </c>
      <c r="H951" s="1" t="s">
        <v>41</v>
      </c>
      <c r="I951" s="1" t="s">
        <v>11224</v>
      </c>
      <c r="J951" s="1" t="s">
        <v>11225</v>
      </c>
      <c r="K951" s="1" t="s">
        <v>11226</v>
      </c>
      <c r="L951" s="1">
        <v>1</v>
      </c>
      <c r="M951" s="1">
        <v>0</v>
      </c>
      <c r="N951" s="1" t="s">
        <v>11227</v>
      </c>
      <c r="O951" s="1" t="s">
        <v>11228</v>
      </c>
      <c r="P951" s="1" t="s">
        <v>11229</v>
      </c>
      <c r="Q951" s="1">
        <v>0</v>
      </c>
      <c r="R951" s="1" t="s">
        <v>11230</v>
      </c>
      <c r="S951" s="1" t="s">
        <v>11231</v>
      </c>
      <c r="U951" s="2">
        <v>56772</v>
      </c>
      <c r="V951" s="1">
        <v>2.6646198769999998</v>
      </c>
      <c r="W951" s="1">
        <v>1500</v>
      </c>
      <c r="X951" s="1">
        <v>1752</v>
      </c>
      <c r="Y951" s="1">
        <v>425</v>
      </c>
      <c r="Z951" s="1">
        <v>1379</v>
      </c>
      <c r="AB951" s="1">
        <v>0</v>
      </c>
      <c r="AC951" s="1">
        <v>4</v>
      </c>
      <c r="AD951" s="1" t="s">
        <v>215</v>
      </c>
      <c r="AE951" s="1" t="s">
        <v>11232</v>
      </c>
      <c r="AF951" s="1" t="s">
        <v>11233</v>
      </c>
      <c r="AG951" s="1" t="s">
        <v>11234</v>
      </c>
      <c r="AH951" s="1" t="s">
        <v>11235</v>
      </c>
      <c r="AI951" s="1">
        <v>4.62</v>
      </c>
      <c r="AJ951" s="1">
        <v>259</v>
      </c>
      <c r="AK951" s="1">
        <v>604</v>
      </c>
      <c r="AL951" s="1">
        <v>21</v>
      </c>
    </row>
    <row r="952" spans="1:38" ht="15.75" customHeight="1">
      <c r="A952" s="1">
        <v>1021</v>
      </c>
      <c r="B952" s="1">
        <v>5</v>
      </c>
      <c r="C952" s="1">
        <v>4001</v>
      </c>
      <c r="D952" s="1" t="s">
        <v>51</v>
      </c>
      <c r="E952" s="1" t="s">
        <v>39</v>
      </c>
      <c r="F952" s="1" t="s">
        <v>2338</v>
      </c>
      <c r="G952" s="1">
        <v>0</v>
      </c>
      <c r="H952" s="1" t="s">
        <v>53</v>
      </c>
      <c r="I952" s="1" t="s">
        <v>11236</v>
      </c>
      <c r="J952" s="1" t="s">
        <v>11237</v>
      </c>
      <c r="K952" s="1" t="s">
        <v>11238</v>
      </c>
      <c r="L952" s="1">
        <v>1</v>
      </c>
      <c r="M952" s="1">
        <v>0</v>
      </c>
      <c r="N952" s="1" t="s">
        <v>11239</v>
      </c>
      <c r="O952" s="1" t="s">
        <v>11240</v>
      </c>
      <c r="P952" s="1" t="s">
        <v>11241</v>
      </c>
      <c r="Q952" s="1">
        <v>0</v>
      </c>
      <c r="R952" s="1" t="s">
        <v>11242</v>
      </c>
      <c r="S952" s="1" t="s">
        <v>11243</v>
      </c>
      <c r="U952" s="2">
        <v>56774</v>
      </c>
      <c r="V952" s="1">
        <v>4.3</v>
      </c>
      <c r="W952" s="1">
        <v>1500</v>
      </c>
      <c r="X952" s="1">
        <v>2560</v>
      </c>
      <c r="Y952" s="1">
        <v>820</v>
      </c>
      <c r="Z952" s="1">
        <v>164</v>
      </c>
      <c r="AA952" s="1">
        <v>1576</v>
      </c>
      <c r="AB952" s="1">
        <v>1</v>
      </c>
      <c r="AC952" s="1">
        <v>2</v>
      </c>
      <c r="AE952" s="1" t="s">
        <v>11244</v>
      </c>
      <c r="AF952" s="1" t="s">
        <v>11245</v>
      </c>
      <c r="AG952" s="1" t="s">
        <v>11246</v>
      </c>
      <c r="AH952" s="1" t="s">
        <v>11247</v>
      </c>
      <c r="AI952" s="1">
        <v>4.3510638300000002</v>
      </c>
      <c r="AJ952" s="1">
        <v>62</v>
      </c>
      <c r="AK952" s="1">
        <v>228</v>
      </c>
    </row>
    <row r="953" spans="1:38" ht="15.75" customHeight="1">
      <c r="A953" s="1">
        <v>474</v>
      </c>
      <c r="B953" s="1">
        <v>5</v>
      </c>
      <c r="C953" s="1">
        <v>4050</v>
      </c>
      <c r="D953" s="1" t="s">
        <v>38</v>
      </c>
      <c r="E953" s="1" t="s">
        <v>39</v>
      </c>
      <c r="F953" s="1" t="s">
        <v>365</v>
      </c>
      <c r="G953" s="1">
        <v>0</v>
      </c>
      <c r="H953" s="1" t="s">
        <v>41</v>
      </c>
      <c r="I953" s="1" t="s">
        <v>11248</v>
      </c>
      <c r="J953" s="1" t="s">
        <v>11249</v>
      </c>
      <c r="K953" s="1" t="s">
        <v>11250</v>
      </c>
      <c r="L953" s="1">
        <v>1</v>
      </c>
      <c r="M953" s="1">
        <v>0</v>
      </c>
      <c r="N953" s="1" t="s">
        <v>11251</v>
      </c>
      <c r="O953" s="1" t="s">
        <v>11252</v>
      </c>
      <c r="P953" s="1" t="s">
        <v>11253</v>
      </c>
      <c r="Q953" s="1">
        <v>0</v>
      </c>
      <c r="R953" s="1" t="s">
        <v>11254</v>
      </c>
      <c r="S953" s="1" t="s">
        <v>11255</v>
      </c>
      <c r="U953" s="2">
        <v>56769</v>
      </c>
      <c r="V953" s="1">
        <v>4.5</v>
      </c>
      <c r="W953" s="1">
        <v>1500</v>
      </c>
      <c r="X953" s="1">
        <v>2127</v>
      </c>
      <c r="Y953" s="1">
        <v>911</v>
      </c>
      <c r="Z953" s="1">
        <v>208</v>
      </c>
      <c r="AA953" s="1">
        <v>1008</v>
      </c>
      <c r="AB953" s="1">
        <v>0</v>
      </c>
      <c r="AC953" s="1">
        <v>1</v>
      </c>
      <c r="AD953" s="1" t="s">
        <v>76</v>
      </c>
      <c r="AE953" s="1" t="s">
        <v>11256</v>
      </c>
      <c r="AF953" s="1" t="s">
        <v>11257</v>
      </c>
      <c r="AG953" s="1" t="s">
        <v>11258</v>
      </c>
      <c r="AH953" s="1" t="s">
        <v>11259</v>
      </c>
      <c r="AI953" s="1">
        <v>4.7699999999999996</v>
      </c>
      <c r="AJ953" s="1">
        <v>426</v>
      </c>
      <c r="AK953" s="1">
        <v>1226</v>
      </c>
      <c r="AL953" s="1">
        <v>85</v>
      </c>
    </row>
    <row r="954" spans="1:38" ht="15.75" customHeight="1">
      <c r="A954" s="1">
        <v>739</v>
      </c>
      <c r="B954" s="1">
        <v>4</v>
      </c>
      <c r="C954" s="1">
        <v>4050</v>
      </c>
      <c r="D954" s="1" t="s">
        <v>38</v>
      </c>
      <c r="E954" s="1" t="s">
        <v>39</v>
      </c>
      <c r="F954" s="1" t="s">
        <v>914</v>
      </c>
      <c r="G954" s="1">
        <v>0</v>
      </c>
      <c r="H954" s="1" t="s">
        <v>41</v>
      </c>
      <c r="I954" s="1" t="s">
        <v>11260</v>
      </c>
      <c r="J954" s="1" t="s">
        <v>11261</v>
      </c>
      <c r="K954" s="1" t="s">
        <v>11262</v>
      </c>
      <c r="L954" s="1">
        <v>1</v>
      </c>
      <c r="M954" s="1">
        <v>0</v>
      </c>
      <c r="N954" s="1" t="s">
        <v>11263</v>
      </c>
      <c r="O954" s="1" t="s">
        <v>11264</v>
      </c>
      <c r="P954" s="1" t="s">
        <v>11265</v>
      </c>
      <c r="Q954" s="1">
        <v>0</v>
      </c>
      <c r="R954" s="1" t="s">
        <v>11266</v>
      </c>
      <c r="S954" s="1" t="s">
        <v>11267</v>
      </c>
      <c r="U954" s="2">
        <v>56771</v>
      </c>
      <c r="V954" s="1">
        <v>4.5999999999999996</v>
      </c>
      <c r="W954" s="1">
        <v>1500</v>
      </c>
      <c r="X954" s="1">
        <v>1372</v>
      </c>
      <c r="Y954" s="1">
        <v>292</v>
      </c>
      <c r="Z954" s="1">
        <v>498</v>
      </c>
      <c r="AA954" s="1">
        <v>582</v>
      </c>
      <c r="AB954" s="1">
        <v>0</v>
      </c>
      <c r="AC954" s="1">
        <v>1</v>
      </c>
      <c r="AD954" s="1" t="s">
        <v>62</v>
      </c>
      <c r="AE954" s="1" t="s">
        <v>11268</v>
      </c>
      <c r="AF954" s="1" t="s">
        <v>11269</v>
      </c>
      <c r="AG954" s="1" t="s">
        <v>11270</v>
      </c>
      <c r="AH954" s="1" t="s">
        <v>11271</v>
      </c>
      <c r="AI954" s="1">
        <v>4.6900000000000004</v>
      </c>
      <c r="AJ954" s="1">
        <v>89</v>
      </c>
      <c r="AK954" s="1">
        <v>258</v>
      </c>
      <c r="AL954" s="1">
        <v>154</v>
      </c>
    </row>
    <row r="955" spans="1:38" ht="15.75" customHeight="1">
      <c r="A955" s="1">
        <v>736</v>
      </c>
      <c r="B955" s="1">
        <v>4</v>
      </c>
      <c r="C955" s="1">
        <v>4050</v>
      </c>
      <c r="D955" s="1" t="s">
        <v>38</v>
      </c>
      <c r="E955" s="1" t="s">
        <v>39</v>
      </c>
      <c r="F955" s="1" t="s">
        <v>1348</v>
      </c>
      <c r="G955" s="1">
        <v>0</v>
      </c>
      <c r="H955" s="1" t="s">
        <v>41</v>
      </c>
      <c r="I955" s="1" t="s">
        <v>11272</v>
      </c>
      <c r="J955" s="1" t="s">
        <v>11273</v>
      </c>
      <c r="K955" s="1" t="s">
        <v>11274</v>
      </c>
      <c r="L955" s="1">
        <v>1</v>
      </c>
      <c r="M955" s="1">
        <v>0</v>
      </c>
      <c r="N955" s="1" t="s">
        <v>11275</v>
      </c>
      <c r="O955" s="1" t="s">
        <v>11276</v>
      </c>
      <c r="P955" s="1" t="s">
        <v>11277</v>
      </c>
      <c r="Q955" s="1">
        <v>0</v>
      </c>
      <c r="R955" s="1" t="s">
        <v>11278</v>
      </c>
      <c r="U955" s="2">
        <v>56771</v>
      </c>
      <c r="V955" s="1">
        <v>4.5999999999999996</v>
      </c>
      <c r="W955" s="1">
        <v>1500</v>
      </c>
      <c r="X955" s="1">
        <v>2182</v>
      </c>
      <c r="AA955" s="1">
        <v>661</v>
      </c>
      <c r="AB955" s="1">
        <v>0</v>
      </c>
      <c r="AC955" s="1">
        <v>4</v>
      </c>
      <c r="AE955" s="1" t="s">
        <v>11279</v>
      </c>
      <c r="AF955" s="1" t="s">
        <v>11280</v>
      </c>
      <c r="AG955" s="1" t="s">
        <v>11281</v>
      </c>
      <c r="AI955" s="1">
        <v>4.79</v>
      </c>
      <c r="AJ955" s="1">
        <v>1007</v>
      </c>
      <c r="AK955" s="1">
        <v>2899</v>
      </c>
      <c r="AL955" s="1">
        <v>1301</v>
      </c>
    </row>
    <row r="956" spans="1:38" ht="15.75" customHeight="1">
      <c r="A956" s="1">
        <v>388</v>
      </c>
      <c r="C956" s="1">
        <v>4050</v>
      </c>
      <c r="D956" s="1" t="s">
        <v>38</v>
      </c>
      <c r="E956" s="1" t="s">
        <v>39</v>
      </c>
      <c r="F956" s="1" t="s">
        <v>451</v>
      </c>
      <c r="G956" s="1">
        <v>0</v>
      </c>
      <c r="H956" s="1" t="s">
        <v>41</v>
      </c>
      <c r="I956" s="1" t="s">
        <v>11282</v>
      </c>
      <c r="J956" s="1" t="s">
        <v>11283</v>
      </c>
      <c r="K956" s="1" t="s">
        <v>11284</v>
      </c>
      <c r="L956" s="1">
        <v>1</v>
      </c>
      <c r="M956" s="1">
        <v>0</v>
      </c>
      <c r="N956" s="1" t="s">
        <v>11285</v>
      </c>
      <c r="O956" s="1" t="s">
        <v>11286</v>
      </c>
      <c r="P956" s="1" t="s">
        <v>11287</v>
      </c>
      <c r="Q956" s="1">
        <v>0</v>
      </c>
      <c r="R956" s="1" t="s">
        <v>11288</v>
      </c>
      <c r="S956" s="1" t="s">
        <v>11289</v>
      </c>
      <c r="U956" s="2">
        <v>56768</v>
      </c>
      <c r="V956" s="1">
        <v>4.7</v>
      </c>
      <c r="W956" s="1">
        <v>1500</v>
      </c>
      <c r="X956" s="1">
        <v>2323</v>
      </c>
      <c r="Y956" s="1">
        <v>747</v>
      </c>
      <c r="Z956" s="1">
        <v>598</v>
      </c>
      <c r="AA956" s="1">
        <v>978</v>
      </c>
      <c r="AB956" s="1">
        <v>0</v>
      </c>
      <c r="AC956" s="1">
        <v>2</v>
      </c>
      <c r="AD956" s="1" t="s">
        <v>62</v>
      </c>
      <c r="AE956" s="1" t="s">
        <v>11290</v>
      </c>
      <c r="AF956" s="1" t="s">
        <v>11291</v>
      </c>
      <c r="AG956" s="1" t="s">
        <v>11292</v>
      </c>
      <c r="AH956" s="1" t="s">
        <v>11293</v>
      </c>
      <c r="AI956" s="1">
        <v>4.7</v>
      </c>
      <c r="AJ956" s="1">
        <v>272</v>
      </c>
      <c r="AK956" s="1">
        <v>931</v>
      </c>
      <c r="AL956" s="1">
        <v>144</v>
      </c>
    </row>
    <row r="957" spans="1:38" ht="15.75" customHeight="1">
      <c r="A957" s="1">
        <v>1056</v>
      </c>
      <c r="B957" s="1">
        <v>5</v>
      </c>
      <c r="C957" s="1">
        <v>4001</v>
      </c>
      <c r="D957" s="1" t="s">
        <v>51</v>
      </c>
      <c r="E957" s="1" t="s">
        <v>39</v>
      </c>
      <c r="F957" s="1" t="s">
        <v>92</v>
      </c>
      <c r="G957" s="1">
        <v>0</v>
      </c>
      <c r="H957" s="1" t="s">
        <v>41</v>
      </c>
      <c r="I957" s="1" t="s">
        <v>11294</v>
      </c>
      <c r="J957" s="1" t="s">
        <v>11295</v>
      </c>
      <c r="K957" s="1" t="s">
        <v>11296</v>
      </c>
      <c r="L957" s="1">
        <v>1</v>
      </c>
      <c r="M957" s="1">
        <v>0</v>
      </c>
      <c r="N957" s="1" t="s">
        <v>11297</v>
      </c>
      <c r="O957" s="1" t="s">
        <v>11298</v>
      </c>
      <c r="P957" s="1" t="s">
        <v>11299</v>
      </c>
      <c r="Q957" s="1">
        <v>0</v>
      </c>
      <c r="R957" s="1" t="s">
        <v>11300</v>
      </c>
      <c r="S957" s="1" t="s">
        <v>11301</v>
      </c>
      <c r="U957" s="2">
        <v>56774</v>
      </c>
      <c r="V957" s="1">
        <v>4.3</v>
      </c>
      <c r="W957" s="1">
        <v>1500</v>
      </c>
      <c r="X957" s="1">
        <v>1610</v>
      </c>
      <c r="Y957" s="1">
        <v>1117</v>
      </c>
      <c r="Z957" s="1">
        <v>108</v>
      </c>
      <c r="AA957" s="1">
        <v>385</v>
      </c>
      <c r="AB957" s="1">
        <v>0</v>
      </c>
      <c r="AC957" s="1">
        <v>1</v>
      </c>
      <c r="AD957" s="1" t="s">
        <v>76</v>
      </c>
      <c r="AE957" s="1" t="s">
        <v>11302</v>
      </c>
      <c r="AF957" s="1" t="s">
        <v>11303</v>
      </c>
      <c r="AG957" s="1" t="s">
        <v>11304</v>
      </c>
      <c r="AH957" s="1" t="s">
        <v>11305</v>
      </c>
      <c r="AI957" s="1">
        <v>4.03</v>
      </c>
      <c r="AJ957" s="1">
        <v>505</v>
      </c>
      <c r="AK957" s="1">
        <v>1721</v>
      </c>
      <c r="AL957" s="1">
        <v>457</v>
      </c>
    </row>
    <row r="958" spans="1:38" ht="15.75" customHeight="1">
      <c r="A958" s="1">
        <v>550</v>
      </c>
      <c r="C958" s="1">
        <v>4050</v>
      </c>
      <c r="D958" s="1" t="s">
        <v>38</v>
      </c>
      <c r="E958" s="1" t="s">
        <v>39</v>
      </c>
      <c r="F958" s="1" t="s">
        <v>1348</v>
      </c>
      <c r="G958" s="1">
        <v>0</v>
      </c>
      <c r="H958" s="1" t="s">
        <v>41</v>
      </c>
      <c r="I958" s="1" t="s">
        <v>11306</v>
      </c>
      <c r="J958" s="1" t="s">
        <v>11307</v>
      </c>
      <c r="K958" s="1" t="s">
        <v>11308</v>
      </c>
      <c r="L958" s="1">
        <v>1</v>
      </c>
      <c r="M958" s="1">
        <v>0</v>
      </c>
      <c r="N958" s="1" t="s">
        <v>11309</v>
      </c>
      <c r="O958" s="1" t="s">
        <v>11310</v>
      </c>
      <c r="P958" s="1" t="s">
        <v>11311</v>
      </c>
      <c r="Q958" s="1">
        <v>0</v>
      </c>
      <c r="R958" s="1" t="s">
        <v>11312</v>
      </c>
      <c r="S958" s="1" t="s">
        <v>11313</v>
      </c>
      <c r="U958" s="2">
        <v>56770</v>
      </c>
      <c r="V958" s="1">
        <v>4.5999999999999996</v>
      </c>
      <c r="W958" s="1">
        <v>1500</v>
      </c>
      <c r="X958" s="1">
        <v>1648</v>
      </c>
      <c r="Y958" s="1">
        <v>353</v>
      </c>
      <c r="Z958" s="1">
        <v>644</v>
      </c>
      <c r="AA958" s="1">
        <v>651</v>
      </c>
      <c r="AB958" s="1">
        <v>0</v>
      </c>
      <c r="AC958" s="1">
        <v>1</v>
      </c>
      <c r="AD958" s="1" t="s">
        <v>62</v>
      </c>
      <c r="AE958" s="1" t="s">
        <v>11314</v>
      </c>
      <c r="AF958" s="1" t="s">
        <v>11315</v>
      </c>
      <c r="AG958" s="1" t="s">
        <v>11316</v>
      </c>
      <c r="AH958" s="1" t="s">
        <v>11317</v>
      </c>
      <c r="AI958" s="1">
        <v>4.79</v>
      </c>
      <c r="AJ958" s="1">
        <v>1007</v>
      </c>
      <c r="AK958" s="1">
        <v>2899</v>
      </c>
      <c r="AL958" s="1">
        <v>1301</v>
      </c>
    </row>
    <row r="959" spans="1:38" ht="15.75" customHeight="1">
      <c r="A959" s="1">
        <v>120</v>
      </c>
      <c r="C959" s="1">
        <v>4050</v>
      </c>
      <c r="D959" s="1" t="s">
        <v>38</v>
      </c>
      <c r="E959" s="1" t="s">
        <v>39</v>
      </c>
      <c r="F959" s="1" t="s">
        <v>1348</v>
      </c>
      <c r="G959" s="1">
        <v>0</v>
      </c>
      <c r="H959" s="1" t="s">
        <v>41</v>
      </c>
      <c r="I959" s="1" t="s">
        <v>11318</v>
      </c>
      <c r="J959" s="1" t="s">
        <v>11319</v>
      </c>
      <c r="K959" s="1" t="s">
        <v>11320</v>
      </c>
      <c r="L959" s="1">
        <v>1</v>
      </c>
      <c r="M959" s="1">
        <v>0</v>
      </c>
      <c r="N959" s="1" t="s">
        <v>11321</v>
      </c>
      <c r="O959" s="1" t="s">
        <v>11322</v>
      </c>
      <c r="P959" s="1" t="s">
        <v>11323</v>
      </c>
      <c r="Q959" s="1">
        <v>0</v>
      </c>
      <c r="R959" s="1" t="s">
        <v>11324</v>
      </c>
      <c r="S959" s="1" t="s">
        <v>11325</v>
      </c>
      <c r="U959" s="2">
        <v>56767</v>
      </c>
      <c r="V959" s="1">
        <v>4.5</v>
      </c>
      <c r="W959" s="1">
        <v>1500</v>
      </c>
      <c r="X959" s="1">
        <v>1416</v>
      </c>
      <c r="Y959" s="1">
        <v>429</v>
      </c>
      <c r="Z959" s="1">
        <v>231</v>
      </c>
      <c r="AA959" s="1">
        <v>756</v>
      </c>
      <c r="AB959" s="1">
        <v>0</v>
      </c>
      <c r="AC959" s="1">
        <v>2</v>
      </c>
      <c r="AD959" s="1" t="s">
        <v>62</v>
      </c>
      <c r="AE959" s="1" t="s">
        <v>11326</v>
      </c>
      <c r="AF959" s="1" t="s">
        <v>11327</v>
      </c>
      <c r="AG959" s="1" t="s">
        <v>11328</v>
      </c>
      <c r="AH959" s="1" t="s">
        <v>11329</v>
      </c>
      <c r="AI959" s="1">
        <v>4.79</v>
      </c>
      <c r="AJ959" s="1">
        <v>1007</v>
      </c>
      <c r="AK959" s="1">
        <v>2899</v>
      </c>
      <c r="AL959" s="1">
        <v>1301</v>
      </c>
    </row>
    <row r="960" spans="1:38" ht="15.75" customHeight="1">
      <c r="A960" s="1">
        <v>836</v>
      </c>
      <c r="B960" s="1">
        <v>1</v>
      </c>
      <c r="C960" s="1">
        <v>4001</v>
      </c>
      <c r="D960" s="1" t="s">
        <v>51</v>
      </c>
      <c r="E960" s="1" t="s">
        <v>39</v>
      </c>
      <c r="F960" s="1" t="s">
        <v>67</v>
      </c>
      <c r="G960" s="1">
        <v>0</v>
      </c>
      <c r="H960" s="1" t="s">
        <v>41</v>
      </c>
      <c r="I960" s="1" t="s">
        <v>11330</v>
      </c>
      <c r="J960" s="1" t="s">
        <v>11331</v>
      </c>
      <c r="K960" s="1" t="s">
        <v>11332</v>
      </c>
      <c r="L960" s="1">
        <v>1</v>
      </c>
      <c r="M960" s="1">
        <v>0</v>
      </c>
      <c r="N960" s="1" t="s">
        <v>11333</v>
      </c>
      <c r="O960" s="1" t="s">
        <v>11334</v>
      </c>
      <c r="P960" s="1" t="s">
        <v>11335</v>
      </c>
      <c r="Q960" s="1">
        <v>0</v>
      </c>
      <c r="R960" s="1" t="s">
        <v>11336</v>
      </c>
      <c r="S960" s="1" t="s">
        <v>11337</v>
      </c>
      <c r="U960" s="2">
        <v>56772</v>
      </c>
      <c r="V960" s="1">
        <v>4.4000000000000004</v>
      </c>
      <c r="W960" s="1">
        <v>1500</v>
      </c>
      <c r="X960" s="1">
        <v>5188</v>
      </c>
      <c r="Y960" s="1">
        <v>1382</v>
      </c>
      <c r="Z960" s="1">
        <v>356</v>
      </c>
      <c r="AA960" s="1">
        <v>3450</v>
      </c>
      <c r="AB960" s="1">
        <v>1</v>
      </c>
      <c r="AC960" s="1">
        <v>1</v>
      </c>
      <c r="AE960" s="1" t="s">
        <v>11338</v>
      </c>
      <c r="AF960" s="1" t="s">
        <v>11339</v>
      </c>
      <c r="AG960" s="1" t="s">
        <v>11340</v>
      </c>
      <c r="AH960" s="1" t="s">
        <v>11341</v>
      </c>
      <c r="AI960" s="1">
        <v>3.82</v>
      </c>
      <c r="AJ960" s="1">
        <v>174</v>
      </c>
      <c r="AK960" s="1">
        <v>773</v>
      </c>
    </row>
    <row r="961" spans="1:38" ht="15.75" customHeight="1">
      <c r="A961" s="1">
        <v>453</v>
      </c>
      <c r="C961" s="1">
        <v>4050</v>
      </c>
      <c r="D961" s="1" t="s">
        <v>38</v>
      </c>
      <c r="E961" s="1" t="s">
        <v>39</v>
      </c>
      <c r="F961" s="1" t="s">
        <v>1372</v>
      </c>
      <c r="G961" s="1">
        <v>0</v>
      </c>
      <c r="H961" s="1" t="s">
        <v>41</v>
      </c>
      <c r="I961" s="1" t="s">
        <v>11342</v>
      </c>
      <c r="J961" s="1" t="s">
        <v>11343</v>
      </c>
      <c r="K961" s="1" t="s">
        <v>11344</v>
      </c>
      <c r="L961" s="1">
        <v>1</v>
      </c>
      <c r="M961" s="1">
        <v>0</v>
      </c>
      <c r="N961" s="1" t="s">
        <v>11345</v>
      </c>
      <c r="O961" s="1" t="s">
        <v>11346</v>
      </c>
      <c r="P961" s="1" t="s">
        <v>11347</v>
      </c>
      <c r="Q961" s="1">
        <v>0</v>
      </c>
      <c r="R961" s="1" t="s">
        <v>11348</v>
      </c>
      <c r="S961" s="1" t="s">
        <v>11349</v>
      </c>
      <c r="U961" s="2">
        <v>56769</v>
      </c>
      <c r="V961" s="1">
        <v>4.5</v>
      </c>
      <c r="W961" s="1">
        <v>1500</v>
      </c>
      <c r="X961" s="1">
        <v>1943</v>
      </c>
      <c r="Y961" s="1">
        <v>667</v>
      </c>
      <c r="Z961" s="1">
        <v>237</v>
      </c>
      <c r="AA961" s="1">
        <v>1039</v>
      </c>
      <c r="AB961" s="1">
        <v>0</v>
      </c>
      <c r="AC961" s="1">
        <v>3</v>
      </c>
      <c r="AD961" s="1" t="s">
        <v>76</v>
      </c>
      <c r="AE961" s="1" t="s">
        <v>11350</v>
      </c>
      <c r="AF961" s="1" t="s">
        <v>11351</v>
      </c>
      <c r="AG961" s="1" t="s">
        <v>11352</v>
      </c>
      <c r="AH961" s="1" t="s">
        <v>11353</v>
      </c>
      <c r="AI961" s="1">
        <v>4.4111111110000003</v>
      </c>
      <c r="AJ961" s="1">
        <v>68</v>
      </c>
      <c r="AK961" s="1">
        <v>223</v>
      </c>
      <c r="AL961" s="1">
        <v>118</v>
      </c>
    </row>
    <row r="962" spans="1:38" ht="15.75" customHeight="1">
      <c r="A962" s="1">
        <v>92</v>
      </c>
      <c r="C962" s="1">
        <v>4001</v>
      </c>
      <c r="D962" s="1" t="s">
        <v>51</v>
      </c>
      <c r="E962" s="1" t="s">
        <v>39</v>
      </c>
      <c r="F962" s="1" t="s">
        <v>708</v>
      </c>
      <c r="G962" s="1">
        <v>0</v>
      </c>
      <c r="H962" s="1" t="s">
        <v>53</v>
      </c>
      <c r="I962" s="1" t="s">
        <v>11354</v>
      </c>
      <c r="J962" s="1" t="s">
        <v>11355</v>
      </c>
      <c r="K962" s="1" t="s">
        <v>11356</v>
      </c>
      <c r="L962" s="1">
        <v>1</v>
      </c>
      <c r="M962" s="1">
        <v>0</v>
      </c>
      <c r="N962" s="1" t="s">
        <v>11357</v>
      </c>
      <c r="O962" s="1" t="s">
        <v>11358</v>
      </c>
      <c r="P962" s="1" t="s">
        <v>11359</v>
      </c>
      <c r="Q962" s="1">
        <v>0</v>
      </c>
      <c r="R962" s="1" t="s">
        <v>11360</v>
      </c>
      <c r="S962" s="1" t="s">
        <v>11361</v>
      </c>
      <c r="U962" s="2">
        <v>56766</v>
      </c>
      <c r="V962" s="1">
        <v>4.3</v>
      </c>
      <c r="W962" s="1">
        <v>1500</v>
      </c>
      <c r="X962" s="1">
        <v>2704</v>
      </c>
      <c r="Y962" s="1">
        <v>1067</v>
      </c>
      <c r="Z962" s="1">
        <v>963</v>
      </c>
      <c r="AA962" s="1">
        <v>674</v>
      </c>
      <c r="AB962" s="1">
        <v>0</v>
      </c>
      <c r="AC962" s="1">
        <v>2</v>
      </c>
      <c r="AD962" s="1" t="s">
        <v>215</v>
      </c>
      <c r="AE962" s="1" t="s">
        <v>11362</v>
      </c>
      <c r="AF962" s="1" t="s">
        <v>11363</v>
      </c>
      <c r="AG962" s="1" t="s">
        <v>11364</v>
      </c>
      <c r="AH962" s="1" t="s">
        <v>11365</v>
      </c>
      <c r="AI962" s="1">
        <v>4.5999999999999996</v>
      </c>
      <c r="AJ962" s="1">
        <v>292</v>
      </c>
      <c r="AK962" s="1">
        <v>1027</v>
      </c>
      <c r="AL962" s="1">
        <v>26</v>
      </c>
    </row>
    <row r="963" spans="1:38" ht="15.75" customHeight="1">
      <c r="A963" s="1">
        <v>936</v>
      </c>
      <c r="B963" s="1">
        <v>5</v>
      </c>
      <c r="C963" s="1">
        <v>4050</v>
      </c>
      <c r="D963" s="1" t="s">
        <v>38</v>
      </c>
      <c r="E963" s="1" t="s">
        <v>39</v>
      </c>
      <c r="F963" s="1" t="s">
        <v>1348</v>
      </c>
      <c r="G963" s="1">
        <v>0</v>
      </c>
      <c r="H963" s="1" t="s">
        <v>41</v>
      </c>
      <c r="I963" s="1" t="s">
        <v>11366</v>
      </c>
      <c r="J963" s="1" t="s">
        <v>11367</v>
      </c>
      <c r="K963" s="1" t="s">
        <v>11368</v>
      </c>
      <c r="L963" s="1">
        <v>1</v>
      </c>
      <c r="M963" s="1">
        <v>0</v>
      </c>
      <c r="N963" s="1" t="s">
        <v>11369</v>
      </c>
      <c r="O963" s="1" t="s">
        <v>11370</v>
      </c>
      <c r="P963" s="1" t="s">
        <v>11371</v>
      </c>
      <c r="Q963" s="1">
        <v>0</v>
      </c>
      <c r="R963" s="1" t="s">
        <v>11372</v>
      </c>
      <c r="S963" s="1" t="s">
        <v>11373</v>
      </c>
      <c r="U963" s="2">
        <v>56773</v>
      </c>
      <c r="V963" s="1">
        <v>3.6322420129999999</v>
      </c>
      <c r="W963" s="1">
        <v>1500</v>
      </c>
      <c r="X963" s="1">
        <v>2057</v>
      </c>
      <c r="Y963" s="1">
        <v>1085</v>
      </c>
      <c r="Z963" s="1">
        <v>423</v>
      </c>
      <c r="AA963" s="1">
        <v>549</v>
      </c>
      <c r="AB963" s="1">
        <v>0</v>
      </c>
      <c r="AC963" s="1">
        <v>1</v>
      </c>
      <c r="AD963" s="1" t="s">
        <v>76</v>
      </c>
      <c r="AE963" s="1" t="s">
        <v>11374</v>
      </c>
      <c r="AF963" s="1" t="s">
        <v>11375</v>
      </c>
      <c r="AG963" s="1" t="s">
        <v>11376</v>
      </c>
      <c r="AH963" s="1" t="s">
        <v>11377</v>
      </c>
      <c r="AI963" s="1">
        <v>4.79</v>
      </c>
      <c r="AJ963" s="1">
        <v>1007</v>
      </c>
      <c r="AK963" s="1">
        <v>2899</v>
      </c>
      <c r="AL963" s="1">
        <v>1301</v>
      </c>
    </row>
    <row r="964" spans="1:38" ht="15.75" customHeight="1">
      <c r="A964" s="1">
        <v>1299</v>
      </c>
      <c r="B964" s="1">
        <v>5</v>
      </c>
      <c r="C964" s="1">
        <v>4001</v>
      </c>
      <c r="D964" s="1" t="s">
        <v>51</v>
      </c>
      <c r="E964" s="1" t="s">
        <v>39</v>
      </c>
      <c r="F964" s="1" t="s">
        <v>1915</v>
      </c>
      <c r="G964" s="1">
        <v>0</v>
      </c>
      <c r="H964" s="1" t="s">
        <v>53</v>
      </c>
      <c r="I964" s="1" t="s">
        <v>11378</v>
      </c>
      <c r="J964" s="1" t="s">
        <v>11379</v>
      </c>
      <c r="K964" s="1" t="s">
        <v>11380</v>
      </c>
      <c r="L964" s="1">
        <v>1</v>
      </c>
      <c r="M964" s="1">
        <v>0</v>
      </c>
      <c r="N964" s="1" t="s">
        <v>11381</v>
      </c>
      <c r="O964" s="1" t="s">
        <v>11382</v>
      </c>
      <c r="P964" s="1" t="s">
        <v>11383</v>
      </c>
      <c r="Q964" s="1">
        <v>0</v>
      </c>
      <c r="R964" s="1" t="s">
        <v>11384</v>
      </c>
      <c r="S964" s="1" t="s">
        <v>11385</v>
      </c>
      <c r="U964" s="2">
        <v>56776</v>
      </c>
      <c r="V964" s="1">
        <v>4.3</v>
      </c>
      <c r="W964" s="1">
        <v>1500</v>
      </c>
      <c r="X964" s="1">
        <v>2808</v>
      </c>
      <c r="Y964" s="1">
        <v>710</v>
      </c>
      <c r="Z964" s="1">
        <v>587</v>
      </c>
      <c r="AA964" s="1">
        <v>1511</v>
      </c>
      <c r="AB964" s="1">
        <v>0</v>
      </c>
      <c r="AC964" s="1">
        <v>2</v>
      </c>
      <c r="AD964" s="1" t="s">
        <v>62</v>
      </c>
      <c r="AE964" s="1" t="s">
        <v>11386</v>
      </c>
      <c r="AF964" s="1" t="s">
        <v>11387</v>
      </c>
      <c r="AG964" s="1" t="s">
        <v>11388</v>
      </c>
      <c r="AH964" s="1" t="s">
        <v>11389</v>
      </c>
      <c r="AI964" s="1">
        <v>4.63</v>
      </c>
      <c r="AJ964" s="1">
        <v>242</v>
      </c>
      <c r="AK964" s="1">
        <v>736</v>
      </c>
    </row>
    <row r="965" spans="1:38" ht="15.75" customHeight="1">
      <c r="A965" s="1">
        <v>1168</v>
      </c>
      <c r="B965" s="1">
        <v>5</v>
      </c>
      <c r="C965" s="1">
        <v>4001</v>
      </c>
      <c r="D965" s="1" t="s">
        <v>51</v>
      </c>
      <c r="E965" s="1" t="s">
        <v>39</v>
      </c>
      <c r="F965" s="1" t="s">
        <v>52</v>
      </c>
      <c r="G965" s="1">
        <v>0</v>
      </c>
      <c r="H965" s="1" t="s">
        <v>53</v>
      </c>
      <c r="I965" s="1" t="s">
        <v>11390</v>
      </c>
      <c r="J965" s="1" t="s">
        <v>11391</v>
      </c>
      <c r="K965" s="1" t="s">
        <v>11392</v>
      </c>
      <c r="L965" s="1">
        <v>1</v>
      </c>
      <c r="M965" s="1">
        <v>0</v>
      </c>
      <c r="N965" s="1" t="s">
        <v>11393</v>
      </c>
      <c r="O965" s="1" t="s">
        <v>11394</v>
      </c>
      <c r="P965" s="1" t="s">
        <v>11395</v>
      </c>
      <c r="Q965" s="1">
        <v>0</v>
      </c>
      <c r="R965" s="1" t="s">
        <v>11396</v>
      </c>
      <c r="S965" s="1" t="s">
        <v>11397</v>
      </c>
      <c r="U965" s="2">
        <v>56775</v>
      </c>
      <c r="V965" s="1">
        <v>4.5</v>
      </c>
      <c r="W965" s="1">
        <v>1500</v>
      </c>
      <c r="X965" s="1">
        <v>4019</v>
      </c>
      <c r="Y965" s="1">
        <v>2187</v>
      </c>
      <c r="AA965" s="1">
        <v>1881</v>
      </c>
      <c r="AB965" s="1">
        <v>0</v>
      </c>
      <c r="AC965" s="1">
        <v>2</v>
      </c>
      <c r="AE965" s="1" t="s">
        <v>11398</v>
      </c>
      <c r="AF965" s="1" t="s">
        <v>11399</v>
      </c>
      <c r="AG965" s="1" t="s">
        <v>11400</v>
      </c>
      <c r="AH965" s="1" t="s">
        <v>11401</v>
      </c>
      <c r="AI965" s="1">
        <v>4.17</v>
      </c>
      <c r="AJ965" s="1">
        <v>457</v>
      </c>
      <c r="AK965" s="1">
        <v>1599</v>
      </c>
    </row>
    <row r="966" spans="1:38" ht="15.75" customHeight="1">
      <c r="A966" s="1">
        <v>44</v>
      </c>
      <c r="B966" s="1">
        <v>5</v>
      </c>
      <c r="C966" s="1">
        <v>4001</v>
      </c>
      <c r="D966" s="1" t="s">
        <v>51</v>
      </c>
      <c r="E966" s="1" t="s">
        <v>39</v>
      </c>
      <c r="F966" s="1" t="s">
        <v>708</v>
      </c>
      <c r="G966" s="1">
        <v>0</v>
      </c>
      <c r="H966" s="1" t="s">
        <v>53</v>
      </c>
      <c r="I966" s="1" t="s">
        <v>11402</v>
      </c>
      <c r="J966" s="1" t="s">
        <v>11403</v>
      </c>
      <c r="K966" s="1" t="s">
        <v>11404</v>
      </c>
      <c r="L966" s="1">
        <v>1</v>
      </c>
      <c r="M966" s="1">
        <v>0</v>
      </c>
      <c r="N966" s="1" t="s">
        <v>11405</v>
      </c>
      <c r="O966" s="1" t="s">
        <v>11406</v>
      </c>
      <c r="P966" s="1" t="s">
        <v>11407</v>
      </c>
      <c r="Q966" s="1">
        <v>0</v>
      </c>
      <c r="R966" s="1" t="s">
        <v>11408</v>
      </c>
      <c r="S966" s="1" t="s">
        <v>11409</v>
      </c>
      <c r="U966" s="2">
        <v>56766</v>
      </c>
      <c r="V966" s="1">
        <v>4.6781930059999999</v>
      </c>
      <c r="W966" s="1">
        <v>1500</v>
      </c>
      <c r="X966" s="1">
        <v>1907</v>
      </c>
      <c r="Y966" s="1">
        <v>796</v>
      </c>
      <c r="Z966" s="1">
        <v>55</v>
      </c>
      <c r="AA966" s="1">
        <v>1056</v>
      </c>
      <c r="AB966" s="1">
        <v>0</v>
      </c>
      <c r="AC966" s="1">
        <v>1</v>
      </c>
      <c r="AD966" s="1" t="s">
        <v>76</v>
      </c>
      <c r="AE966" s="1" t="s">
        <v>11410</v>
      </c>
      <c r="AF966" s="1" t="s">
        <v>11411</v>
      </c>
      <c r="AG966" s="1" t="s">
        <v>11412</v>
      </c>
      <c r="AH966" s="1" t="s">
        <v>11413</v>
      </c>
      <c r="AI966" s="1">
        <v>4.5999999999999996</v>
      </c>
      <c r="AJ966" s="1">
        <v>292</v>
      </c>
      <c r="AK966" s="1">
        <v>1027</v>
      </c>
      <c r="AL966" s="1">
        <v>26</v>
      </c>
    </row>
    <row r="967" spans="1:38" ht="15.75" customHeight="1">
      <c r="A967" s="1">
        <v>225</v>
      </c>
      <c r="B967" s="1">
        <v>5</v>
      </c>
      <c r="C967" s="1">
        <v>4050</v>
      </c>
      <c r="D967" s="1" t="s">
        <v>38</v>
      </c>
      <c r="E967" s="1" t="s">
        <v>39</v>
      </c>
      <c r="F967" s="1" t="s">
        <v>116</v>
      </c>
      <c r="G967" s="1">
        <v>0</v>
      </c>
      <c r="H967" s="1" t="s">
        <v>41</v>
      </c>
      <c r="I967" s="1" t="s">
        <v>11414</v>
      </c>
      <c r="J967" s="1" t="s">
        <v>11415</v>
      </c>
      <c r="K967" s="1" t="s">
        <v>11416</v>
      </c>
      <c r="L967" s="1">
        <v>1</v>
      </c>
      <c r="M967" s="1">
        <v>0</v>
      </c>
      <c r="N967" s="1" t="s">
        <v>11417</v>
      </c>
      <c r="O967" s="1" t="s">
        <v>11418</v>
      </c>
      <c r="P967" s="1" t="s">
        <v>11419</v>
      </c>
      <c r="Q967" s="1">
        <v>0</v>
      </c>
      <c r="R967" s="1" t="s">
        <v>11420</v>
      </c>
      <c r="S967" s="1" t="s">
        <v>11421</v>
      </c>
      <c r="U967" s="2">
        <v>56767</v>
      </c>
      <c r="V967" s="1">
        <v>4.5999999999999996</v>
      </c>
      <c r="W967" s="1">
        <v>1500</v>
      </c>
      <c r="X967" s="1">
        <v>1615</v>
      </c>
      <c r="Y967" s="1">
        <v>453</v>
      </c>
      <c r="Z967" s="1">
        <v>167</v>
      </c>
      <c r="AA967" s="1">
        <v>995</v>
      </c>
      <c r="AB967" s="1">
        <v>0</v>
      </c>
      <c r="AC967" s="1">
        <v>1</v>
      </c>
      <c r="AD967" s="1" t="s">
        <v>215</v>
      </c>
      <c r="AE967" s="1" t="s">
        <v>11422</v>
      </c>
      <c r="AF967" s="1" t="s">
        <v>11423</v>
      </c>
      <c r="AG967" s="1" t="s">
        <v>11424</v>
      </c>
      <c r="AH967" s="1" t="s">
        <v>11425</v>
      </c>
      <c r="AI967" s="1">
        <v>4.8899999999999997</v>
      </c>
      <c r="AJ967" s="1">
        <v>1778</v>
      </c>
      <c r="AK967" s="1">
        <v>5138</v>
      </c>
      <c r="AL967" s="1">
        <v>314</v>
      </c>
    </row>
    <row r="968" spans="1:38" ht="15.75" customHeight="1">
      <c r="A968" s="1">
        <v>264</v>
      </c>
      <c r="C968" s="1">
        <v>4001</v>
      </c>
      <c r="D968" s="1" t="s">
        <v>51</v>
      </c>
      <c r="E968" s="1" t="s">
        <v>39</v>
      </c>
      <c r="F968" s="1" t="s">
        <v>341</v>
      </c>
      <c r="G968" s="1">
        <v>0</v>
      </c>
      <c r="H968" s="1" t="s">
        <v>41</v>
      </c>
      <c r="I968" s="1" t="s">
        <v>11426</v>
      </c>
      <c r="J968" s="1" t="s">
        <v>11427</v>
      </c>
      <c r="K968" s="1" t="s">
        <v>11427</v>
      </c>
      <c r="L968" s="1">
        <v>0</v>
      </c>
      <c r="M968" s="1">
        <v>0</v>
      </c>
      <c r="N968" s="1" t="s">
        <v>11428</v>
      </c>
      <c r="O968" s="1" t="s">
        <v>11429</v>
      </c>
      <c r="P968" s="1" t="s">
        <v>11430</v>
      </c>
      <c r="Q968" s="1">
        <v>0</v>
      </c>
      <c r="R968" s="1" t="s">
        <v>11431</v>
      </c>
      <c r="S968" s="1" t="s">
        <v>11432</v>
      </c>
      <c r="U968" s="2">
        <v>56768</v>
      </c>
      <c r="V968" s="1">
        <v>4.5</v>
      </c>
      <c r="W968" s="1">
        <v>1500</v>
      </c>
      <c r="X968" s="1">
        <v>1044</v>
      </c>
      <c r="Y968" s="1">
        <v>171</v>
      </c>
      <c r="Z968" s="1">
        <v>549</v>
      </c>
      <c r="AA968" s="1">
        <v>324</v>
      </c>
      <c r="AB968" s="1">
        <v>1</v>
      </c>
      <c r="AC968" s="1">
        <v>1</v>
      </c>
      <c r="AE968" s="1" t="s">
        <v>11433</v>
      </c>
      <c r="AF968" s="1" t="s">
        <v>11434</v>
      </c>
      <c r="AG968" s="1" t="s">
        <v>11435</v>
      </c>
      <c r="AH968" s="1" t="s">
        <v>11436</v>
      </c>
      <c r="AI968" s="1">
        <v>4.54</v>
      </c>
      <c r="AJ968" s="1">
        <v>2229</v>
      </c>
      <c r="AK968" s="1">
        <v>6580</v>
      </c>
    </row>
    <row r="969" spans="1:38" ht="15.75" customHeight="1">
      <c r="A969" s="1">
        <v>419</v>
      </c>
      <c r="C969" s="1">
        <v>4001</v>
      </c>
      <c r="D969" s="1" t="s">
        <v>51</v>
      </c>
      <c r="E969" s="1" t="s">
        <v>39</v>
      </c>
      <c r="F969" s="1" t="s">
        <v>92</v>
      </c>
      <c r="G969" s="1">
        <v>0</v>
      </c>
      <c r="H969" s="1" t="s">
        <v>41</v>
      </c>
      <c r="I969" s="1" t="s">
        <v>11437</v>
      </c>
      <c r="J969" s="1" t="s">
        <v>11438</v>
      </c>
      <c r="K969" s="1" t="s">
        <v>11439</v>
      </c>
      <c r="L969" s="1">
        <v>1</v>
      </c>
      <c r="M969" s="1">
        <v>0</v>
      </c>
      <c r="N969" s="1" t="s">
        <v>11440</v>
      </c>
      <c r="O969" s="1" t="s">
        <v>11441</v>
      </c>
      <c r="P969" s="1" t="s">
        <v>11442</v>
      </c>
      <c r="Q969" s="1">
        <v>0</v>
      </c>
      <c r="R969" s="1" t="s">
        <v>11443</v>
      </c>
      <c r="S969" s="1" t="s">
        <v>11444</v>
      </c>
      <c r="U969" s="2">
        <v>56769</v>
      </c>
      <c r="V969" s="1">
        <v>4.5999999999999996</v>
      </c>
      <c r="W969" s="1">
        <v>1500</v>
      </c>
      <c r="X969" s="1">
        <v>1681</v>
      </c>
      <c r="Y969" s="1">
        <v>185</v>
      </c>
      <c r="Z969" s="1">
        <v>1466</v>
      </c>
      <c r="AA969" s="1">
        <v>30</v>
      </c>
      <c r="AB969" s="1">
        <v>0</v>
      </c>
      <c r="AC969" s="1">
        <v>3</v>
      </c>
      <c r="AD969" s="1" t="s">
        <v>62</v>
      </c>
      <c r="AE969" s="1" t="s">
        <v>11445</v>
      </c>
      <c r="AF969" s="1" t="s">
        <v>11446</v>
      </c>
      <c r="AG969" s="1" t="s">
        <v>11447</v>
      </c>
      <c r="AH969" s="1" t="s">
        <v>11448</v>
      </c>
      <c r="AI969" s="1">
        <v>4.03</v>
      </c>
      <c r="AJ969" s="1">
        <v>505</v>
      </c>
      <c r="AK969" s="1">
        <v>1721</v>
      </c>
      <c r="AL969" s="1">
        <v>457</v>
      </c>
    </row>
    <row r="970" spans="1:38" ht="15.75" customHeight="1">
      <c r="A970" s="1">
        <v>565</v>
      </c>
      <c r="B970" s="1">
        <v>3</v>
      </c>
      <c r="C970" s="1">
        <v>4050</v>
      </c>
      <c r="D970" s="1" t="s">
        <v>38</v>
      </c>
      <c r="E970" s="1" t="s">
        <v>39</v>
      </c>
      <c r="F970" s="1" t="s">
        <v>510</v>
      </c>
      <c r="G970" s="1">
        <v>0</v>
      </c>
      <c r="H970" s="1" t="s">
        <v>41</v>
      </c>
      <c r="I970" s="1" t="s">
        <v>11449</v>
      </c>
      <c r="J970" s="1" t="s">
        <v>11450</v>
      </c>
      <c r="K970" s="1" t="s">
        <v>11451</v>
      </c>
      <c r="L970" s="1">
        <v>1</v>
      </c>
      <c r="M970" s="1">
        <v>0</v>
      </c>
      <c r="N970" s="1" t="s">
        <v>11452</v>
      </c>
      <c r="O970" s="1" t="s">
        <v>11453</v>
      </c>
      <c r="P970" s="1" t="s">
        <v>11454</v>
      </c>
      <c r="Q970" s="1">
        <v>0</v>
      </c>
      <c r="R970" s="1" t="s">
        <v>11455</v>
      </c>
      <c r="S970" s="1" t="s">
        <v>11456</v>
      </c>
      <c r="U970" s="2">
        <v>56770</v>
      </c>
      <c r="V970" s="1">
        <v>4.5999999999999996</v>
      </c>
      <c r="W970" s="1">
        <v>1500</v>
      </c>
      <c r="X970" s="1">
        <v>1246</v>
      </c>
      <c r="Y970" s="1">
        <v>369</v>
      </c>
      <c r="Z970" s="1">
        <v>494</v>
      </c>
      <c r="AA970" s="1">
        <v>383</v>
      </c>
      <c r="AB970" s="1">
        <v>1</v>
      </c>
      <c r="AC970" s="1">
        <v>1</v>
      </c>
      <c r="AE970" s="1" t="s">
        <v>11457</v>
      </c>
      <c r="AF970" s="1" t="s">
        <v>11458</v>
      </c>
      <c r="AG970" s="1" t="s">
        <v>11459</v>
      </c>
      <c r="AH970" s="1" t="s">
        <v>11460</v>
      </c>
      <c r="AI970" s="1">
        <v>4.62</v>
      </c>
      <c r="AJ970" s="1">
        <v>259</v>
      </c>
      <c r="AK970" s="1">
        <v>604</v>
      </c>
      <c r="AL970" s="1">
        <v>21</v>
      </c>
    </row>
    <row r="971" spans="1:38" ht="15.75" customHeight="1">
      <c r="A971" s="1">
        <v>856</v>
      </c>
      <c r="C971" s="1">
        <v>4001</v>
      </c>
      <c r="D971" s="1" t="s">
        <v>51</v>
      </c>
      <c r="E971" s="1" t="s">
        <v>39</v>
      </c>
      <c r="F971" s="1" t="s">
        <v>341</v>
      </c>
      <c r="G971" s="1">
        <v>0</v>
      </c>
      <c r="H971" s="1" t="s">
        <v>41</v>
      </c>
      <c r="I971" s="1" t="s">
        <v>11461</v>
      </c>
      <c r="J971" s="1" t="s">
        <v>11462</v>
      </c>
      <c r="K971" s="1" t="s">
        <v>11463</v>
      </c>
      <c r="L971" s="1">
        <v>1</v>
      </c>
      <c r="M971" s="1">
        <v>0</v>
      </c>
      <c r="N971" s="1" t="s">
        <v>11464</v>
      </c>
      <c r="O971" s="1" t="s">
        <v>11465</v>
      </c>
      <c r="P971" s="1" t="s">
        <v>11466</v>
      </c>
      <c r="Q971" s="1">
        <v>0</v>
      </c>
      <c r="R971" s="1" t="s">
        <v>11467</v>
      </c>
      <c r="S971" s="1" t="s">
        <v>11468</v>
      </c>
      <c r="U971" s="2">
        <v>56772</v>
      </c>
      <c r="V971" s="1">
        <v>4.649691893</v>
      </c>
      <c r="W971" s="1">
        <v>1500</v>
      </c>
      <c r="X971" s="1">
        <v>708</v>
      </c>
      <c r="Y971" s="1">
        <v>85</v>
      </c>
      <c r="Z971" s="1">
        <v>206</v>
      </c>
      <c r="AA971" s="1">
        <v>417</v>
      </c>
      <c r="AB971" s="1">
        <v>0</v>
      </c>
      <c r="AC971" s="1">
        <v>3</v>
      </c>
      <c r="AD971" s="1" t="s">
        <v>62</v>
      </c>
      <c r="AE971" s="1" t="s">
        <v>11469</v>
      </c>
      <c r="AF971" s="1" t="s">
        <v>11470</v>
      </c>
      <c r="AG971" s="1" t="s">
        <v>11471</v>
      </c>
      <c r="AH971" s="1" t="s">
        <v>11472</v>
      </c>
      <c r="AI971" s="1">
        <v>4.54</v>
      </c>
      <c r="AJ971" s="1">
        <v>2229</v>
      </c>
      <c r="AK971" s="1">
        <v>6580</v>
      </c>
    </row>
    <row r="972" spans="1:38" ht="15.75" customHeight="1">
      <c r="A972" s="1">
        <v>1552</v>
      </c>
      <c r="C972" s="1">
        <v>4001</v>
      </c>
      <c r="D972" s="1" t="s">
        <v>51</v>
      </c>
      <c r="E972" s="1" t="s">
        <v>39</v>
      </c>
      <c r="F972" s="1" t="s">
        <v>341</v>
      </c>
      <c r="G972" s="1">
        <v>0</v>
      </c>
      <c r="H972" s="1" t="s">
        <v>41</v>
      </c>
      <c r="I972" s="1" t="s">
        <v>11473</v>
      </c>
      <c r="J972" s="1" t="s">
        <v>11474</v>
      </c>
      <c r="K972" s="1" t="s">
        <v>11475</v>
      </c>
      <c r="L972" s="1">
        <v>1</v>
      </c>
      <c r="M972" s="1">
        <v>0</v>
      </c>
      <c r="N972" s="1" t="s">
        <v>11476</v>
      </c>
      <c r="O972" s="1" t="s">
        <v>11477</v>
      </c>
      <c r="P972" s="1" t="s">
        <v>11478</v>
      </c>
      <c r="Q972" s="1">
        <v>0</v>
      </c>
      <c r="R972" s="1" t="s">
        <v>11479</v>
      </c>
      <c r="S972" s="1" t="s">
        <v>11480</v>
      </c>
      <c r="U972" s="2">
        <v>56778</v>
      </c>
      <c r="V972" s="1">
        <v>4.5999999999999996</v>
      </c>
      <c r="W972" s="1">
        <v>1500</v>
      </c>
      <c r="X972" s="1">
        <v>1681</v>
      </c>
      <c r="Y972" s="1">
        <v>231</v>
      </c>
      <c r="Z972" s="1">
        <v>1173</v>
      </c>
      <c r="AA972" s="1">
        <v>277</v>
      </c>
      <c r="AB972" s="1">
        <v>0</v>
      </c>
      <c r="AC972" s="1">
        <v>2</v>
      </c>
      <c r="AD972" s="1" t="s">
        <v>215</v>
      </c>
      <c r="AE972" s="1" t="s">
        <v>11481</v>
      </c>
      <c r="AF972" s="1" t="s">
        <v>11482</v>
      </c>
      <c r="AG972" s="1" t="s">
        <v>11483</v>
      </c>
      <c r="AH972" s="1" t="s">
        <v>11484</v>
      </c>
      <c r="AI972" s="1">
        <v>4.54</v>
      </c>
      <c r="AJ972" s="1">
        <v>2229</v>
      </c>
      <c r="AK972" s="1">
        <v>6580</v>
      </c>
    </row>
    <row r="973" spans="1:38" ht="15.75" customHeight="1">
      <c r="A973" s="1">
        <v>19</v>
      </c>
      <c r="C973" s="1">
        <v>4001</v>
      </c>
      <c r="D973" s="1" t="s">
        <v>51</v>
      </c>
      <c r="E973" s="1" t="s">
        <v>39</v>
      </c>
      <c r="F973" s="1" t="s">
        <v>305</v>
      </c>
      <c r="G973" s="1">
        <v>0</v>
      </c>
      <c r="H973" s="1" t="s">
        <v>53</v>
      </c>
      <c r="I973" s="1" t="s">
        <v>11485</v>
      </c>
      <c r="J973" s="1" t="s">
        <v>11486</v>
      </c>
      <c r="K973" s="1" t="s">
        <v>11487</v>
      </c>
      <c r="L973" s="1">
        <v>1</v>
      </c>
      <c r="M973" s="1">
        <v>0</v>
      </c>
      <c r="N973" s="1" t="s">
        <v>11488</v>
      </c>
      <c r="O973" s="1" t="s">
        <v>11489</v>
      </c>
      <c r="P973" s="1" t="s">
        <v>11490</v>
      </c>
      <c r="Q973" s="1">
        <v>0</v>
      </c>
      <c r="R973" s="1" t="s">
        <v>11491</v>
      </c>
      <c r="U973" s="2">
        <v>56766</v>
      </c>
      <c r="V973" s="1">
        <v>4.2</v>
      </c>
      <c r="W973" s="1">
        <v>1500</v>
      </c>
      <c r="X973" s="1">
        <v>2339</v>
      </c>
      <c r="AA973" s="1">
        <v>1096</v>
      </c>
      <c r="AB973" s="1">
        <v>0</v>
      </c>
      <c r="AC973" s="1">
        <v>2</v>
      </c>
      <c r="AE973" s="1" t="s">
        <v>11492</v>
      </c>
      <c r="AF973" s="1" t="s">
        <v>11493</v>
      </c>
      <c r="AG973" s="1" t="s">
        <v>11494</v>
      </c>
      <c r="AI973" s="1">
        <v>4.5199999999999996</v>
      </c>
      <c r="AJ973" s="1">
        <v>183</v>
      </c>
      <c r="AK973" s="1">
        <v>522</v>
      </c>
    </row>
    <row r="974" spans="1:38" ht="15.75" customHeight="1">
      <c r="A974" s="1">
        <v>598</v>
      </c>
      <c r="C974" s="1">
        <v>4050</v>
      </c>
      <c r="D974" s="1" t="s">
        <v>38</v>
      </c>
      <c r="E974" s="1" t="s">
        <v>39</v>
      </c>
      <c r="F974" s="1" t="s">
        <v>510</v>
      </c>
      <c r="G974" s="1">
        <v>0</v>
      </c>
      <c r="H974" s="1" t="s">
        <v>41</v>
      </c>
      <c r="I974" s="1" t="s">
        <v>11495</v>
      </c>
      <c r="J974" s="1" t="s">
        <v>11496</v>
      </c>
      <c r="K974" s="1" t="s">
        <v>11497</v>
      </c>
      <c r="L974" s="1">
        <v>1</v>
      </c>
      <c r="M974" s="1">
        <v>0</v>
      </c>
      <c r="N974" s="1" t="s">
        <v>11498</v>
      </c>
      <c r="O974" s="1" t="s">
        <v>11499</v>
      </c>
      <c r="P974" s="1" t="s">
        <v>11500</v>
      </c>
      <c r="Q974" s="1">
        <v>0</v>
      </c>
      <c r="R974" s="1" t="s">
        <v>11501</v>
      </c>
      <c r="S974" s="1" t="s">
        <v>11502</v>
      </c>
      <c r="U974" s="2">
        <v>56770</v>
      </c>
      <c r="V974" s="1">
        <v>3.753117198</v>
      </c>
      <c r="W974" s="1">
        <v>1500</v>
      </c>
      <c r="X974" s="1">
        <v>1868</v>
      </c>
      <c r="Y974" s="1">
        <v>735</v>
      </c>
      <c r="Z974" s="1">
        <v>237</v>
      </c>
      <c r="AA974" s="1">
        <v>896</v>
      </c>
      <c r="AB974" s="1">
        <v>0</v>
      </c>
      <c r="AC974" s="1">
        <v>2</v>
      </c>
      <c r="AD974" s="1" t="s">
        <v>215</v>
      </c>
      <c r="AE974" s="1" t="s">
        <v>11503</v>
      </c>
      <c r="AF974" s="1" t="s">
        <v>11504</v>
      </c>
      <c r="AG974" s="1" t="s">
        <v>11505</v>
      </c>
      <c r="AH974" s="1" t="s">
        <v>11506</v>
      </c>
      <c r="AI974" s="1">
        <v>4.62</v>
      </c>
      <c r="AJ974" s="1">
        <v>259</v>
      </c>
      <c r="AK974" s="1">
        <v>604</v>
      </c>
      <c r="AL974" s="1">
        <v>21</v>
      </c>
    </row>
    <row r="975" spans="1:38" ht="15.75" customHeight="1">
      <c r="A975" s="1">
        <v>140</v>
      </c>
      <c r="B975" s="1">
        <v>5</v>
      </c>
      <c r="C975" s="1">
        <v>4050</v>
      </c>
      <c r="D975" s="1" t="s">
        <v>38</v>
      </c>
      <c r="E975" s="1" t="s">
        <v>39</v>
      </c>
      <c r="F975" s="1" t="s">
        <v>1153</v>
      </c>
      <c r="G975" s="1">
        <v>0</v>
      </c>
      <c r="H975" s="1" t="s">
        <v>41</v>
      </c>
      <c r="I975" s="1" t="s">
        <v>11507</v>
      </c>
      <c r="J975" s="1" t="s">
        <v>11508</v>
      </c>
      <c r="K975" s="1" t="s">
        <v>11509</v>
      </c>
      <c r="L975" s="1">
        <v>1</v>
      </c>
      <c r="M975" s="1">
        <v>0</v>
      </c>
      <c r="N975" s="1" t="s">
        <v>11510</v>
      </c>
      <c r="O975" s="1" t="s">
        <v>11511</v>
      </c>
      <c r="P975" s="1" t="s">
        <v>11512</v>
      </c>
      <c r="Q975" s="1">
        <v>0</v>
      </c>
      <c r="R975" s="1" t="s">
        <v>11513</v>
      </c>
      <c r="S975" s="1" t="s">
        <v>11514</v>
      </c>
      <c r="U975" s="2">
        <v>56767</v>
      </c>
      <c r="V975" s="1">
        <v>4.5</v>
      </c>
      <c r="W975" s="1">
        <v>1500</v>
      </c>
      <c r="X975" s="1">
        <v>1976</v>
      </c>
      <c r="Y975" s="1">
        <v>542</v>
      </c>
      <c r="Z975" s="1">
        <v>177</v>
      </c>
      <c r="AA975" s="1">
        <v>1257</v>
      </c>
      <c r="AB975" s="1">
        <v>0</v>
      </c>
      <c r="AC975" s="1">
        <v>4</v>
      </c>
      <c r="AD975" s="1" t="s">
        <v>215</v>
      </c>
      <c r="AE975" s="1" t="s">
        <v>11515</v>
      </c>
      <c r="AF975" s="1" t="s">
        <v>11516</v>
      </c>
      <c r="AG975" s="1" t="s">
        <v>11517</v>
      </c>
      <c r="AH975" s="1" t="s">
        <v>11518</v>
      </c>
      <c r="AI975" s="1">
        <v>4.58</v>
      </c>
      <c r="AJ975" s="1">
        <v>679</v>
      </c>
      <c r="AK975" s="1">
        <v>2371</v>
      </c>
      <c r="AL975" s="1">
        <v>1830</v>
      </c>
    </row>
    <row r="976" spans="1:38" ht="15.75" customHeight="1">
      <c r="A976" s="1">
        <v>314</v>
      </c>
      <c r="B976" s="1">
        <v>5</v>
      </c>
      <c r="C976" s="1">
        <v>4050</v>
      </c>
      <c r="D976" s="1" t="s">
        <v>38</v>
      </c>
      <c r="E976" s="1" t="s">
        <v>39</v>
      </c>
      <c r="F976" s="1" t="s">
        <v>486</v>
      </c>
      <c r="G976" s="1">
        <v>0</v>
      </c>
      <c r="H976" s="1" t="s">
        <v>41</v>
      </c>
      <c r="I976" s="1" t="s">
        <v>11519</v>
      </c>
      <c r="J976" s="1" t="s">
        <v>11520</v>
      </c>
      <c r="K976" s="1" t="s">
        <v>11521</v>
      </c>
      <c r="L976" s="1">
        <v>1</v>
      </c>
      <c r="M976" s="1">
        <v>0</v>
      </c>
      <c r="N976" s="1" t="s">
        <v>11522</v>
      </c>
      <c r="O976" s="1" t="s">
        <v>11523</v>
      </c>
      <c r="P976" s="1" t="s">
        <v>11524</v>
      </c>
      <c r="Q976" s="1">
        <v>0</v>
      </c>
      <c r="R976" s="1" t="s">
        <v>11525</v>
      </c>
      <c r="S976" s="1" t="s">
        <v>11526</v>
      </c>
      <c r="U976" s="2">
        <v>56768</v>
      </c>
      <c r="V976" s="1">
        <v>5</v>
      </c>
      <c r="W976" s="1">
        <v>1500</v>
      </c>
      <c r="X976" s="1">
        <v>2740</v>
      </c>
      <c r="Y976" s="1">
        <v>1336</v>
      </c>
      <c r="Z976" s="1">
        <v>506</v>
      </c>
      <c r="AA976" s="1">
        <v>898</v>
      </c>
      <c r="AB976" s="1">
        <v>0</v>
      </c>
      <c r="AC976" s="1">
        <v>2</v>
      </c>
      <c r="AD976" s="1" t="s">
        <v>62</v>
      </c>
      <c r="AE976" s="1" t="s">
        <v>11527</v>
      </c>
      <c r="AF976" s="1" t="s">
        <v>11528</v>
      </c>
      <c r="AG976" s="1" t="s">
        <v>11529</v>
      </c>
      <c r="AH976" s="1" t="s">
        <v>11530</v>
      </c>
      <c r="AI976" s="1">
        <v>4.7</v>
      </c>
      <c r="AJ976" s="1">
        <v>212</v>
      </c>
      <c r="AK976" s="1">
        <v>624</v>
      </c>
      <c r="AL976" s="1">
        <v>347</v>
      </c>
    </row>
    <row r="977" spans="1:38" ht="15.75" customHeight="1">
      <c r="A977" s="1">
        <v>10</v>
      </c>
      <c r="B977" s="1">
        <v>5</v>
      </c>
      <c r="C977" s="1">
        <v>4050</v>
      </c>
      <c r="D977" s="1" t="s">
        <v>38</v>
      </c>
      <c r="E977" s="1" t="s">
        <v>39</v>
      </c>
      <c r="F977" s="1" t="s">
        <v>116</v>
      </c>
      <c r="G977" s="1">
        <v>0</v>
      </c>
      <c r="H977" s="1" t="s">
        <v>41</v>
      </c>
      <c r="I977" s="1" t="s">
        <v>11531</v>
      </c>
      <c r="J977" s="1" t="s">
        <v>11532</v>
      </c>
      <c r="K977" s="1" t="s">
        <v>11533</v>
      </c>
      <c r="L977" s="1">
        <v>1</v>
      </c>
      <c r="M977" s="1">
        <v>0</v>
      </c>
      <c r="N977" s="1" t="s">
        <v>11534</v>
      </c>
      <c r="O977" s="1" t="s">
        <v>11535</v>
      </c>
      <c r="P977" s="1" t="s">
        <v>11536</v>
      </c>
      <c r="Q977" s="1">
        <v>0</v>
      </c>
      <c r="R977" s="1" t="s">
        <v>11537</v>
      </c>
      <c r="S977" s="1" t="s">
        <v>11538</v>
      </c>
      <c r="U977" s="2">
        <v>56766</v>
      </c>
      <c r="V977" s="1">
        <v>4.4000000000000004</v>
      </c>
      <c r="W977" s="1">
        <v>1500</v>
      </c>
      <c r="X977" s="1">
        <v>1442</v>
      </c>
      <c r="Y977" s="1">
        <v>408</v>
      </c>
      <c r="Z977" s="1">
        <v>765</v>
      </c>
      <c r="AA977" s="1">
        <v>269</v>
      </c>
      <c r="AB977" s="1">
        <v>0</v>
      </c>
      <c r="AC977" s="1">
        <v>3</v>
      </c>
      <c r="AD977" s="1" t="s">
        <v>62</v>
      </c>
      <c r="AE977" s="1" t="s">
        <v>11539</v>
      </c>
      <c r="AF977" s="1" t="s">
        <v>11540</v>
      </c>
      <c r="AG977" s="1" t="s">
        <v>11541</v>
      </c>
      <c r="AH977" s="1" t="s">
        <v>11542</v>
      </c>
      <c r="AI977" s="1">
        <v>4.8899999999999997</v>
      </c>
      <c r="AJ977" s="1">
        <v>1778</v>
      </c>
      <c r="AK977" s="1">
        <v>5138</v>
      </c>
      <c r="AL977" s="1">
        <v>314</v>
      </c>
    </row>
    <row r="978" spans="1:38" ht="15.75" customHeight="1">
      <c r="A978" s="1">
        <v>114</v>
      </c>
      <c r="B978" s="1">
        <v>5</v>
      </c>
      <c r="C978" s="1">
        <v>4050</v>
      </c>
      <c r="D978" s="1" t="s">
        <v>38</v>
      </c>
      <c r="E978" s="1" t="s">
        <v>39</v>
      </c>
      <c r="F978" s="1" t="s">
        <v>195</v>
      </c>
      <c r="G978" s="1">
        <v>0</v>
      </c>
      <c r="H978" s="1" t="s">
        <v>41</v>
      </c>
      <c r="I978" s="1" t="s">
        <v>11543</v>
      </c>
      <c r="J978" s="1" t="s">
        <v>11544</v>
      </c>
      <c r="K978" s="1" t="s">
        <v>11544</v>
      </c>
      <c r="L978" s="1">
        <v>0</v>
      </c>
      <c r="M978" s="1">
        <v>0</v>
      </c>
      <c r="N978" s="1" t="s">
        <v>11545</v>
      </c>
      <c r="O978" s="1" t="s">
        <v>11546</v>
      </c>
      <c r="P978" s="1" t="s">
        <v>11547</v>
      </c>
      <c r="Q978" s="1">
        <v>0</v>
      </c>
      <c r="R978" s="1" t="s">
        <v>11548</v>
      </c>
      <c r="S978" s="1" t="s">
        <v>11549</v>
      </c>
      <c r="U978" s="2">
        <v>56767</v>
      </c>
      <c r="V978" s="1">
        <v>4.4000000000000004</v>
      </c>
      <c r="W978" s="1">
        <v>1500</v>
      </c>
      <c r="X978" s="1">
        <v>2097</v>
      </c>
      <c r="Y978" s="1">
        <v>242</v>
      </c>
      <c r="Z978" s="1">
        <v>1026</v>
      </c>
      <c r="AA978" s="1">
        <v>829</v>
      </c>
      <c r="AB978" s="1">
        <v>0</v>
      </c>
      <c r="AC978" s="1">
        <v>1</v>
      </c>
      <c r="AD978" s="1" t="s">
        <v>62</v>
      </c>
      <c r="AE978" s="1" t="s">
        <v>11550</v>
      </c>
      <c r="AF978" s="1" t="s">
        <v>11551</v>
      </c>
      <c r="AG978" s="1" t="s">
        <v>11552</v>
      </c>
      <c r="AH978" s="1" t="s">
        <v>11553</v>
      </c>
      <c r="AI978" s="1">
        <v>4.66</v>
      </c>
      <c r="AJ978" s="1">
        <v>161</v>
      </c>
      <c r="AK978" s="1">
        <v>398</v>
      </c>
    </row>
    <row r="979" spans="1:38" ht="15.75" customHeight="1">
      <c r="A979" s="1">
        <v>356</v>
      </c>
      <c r="B979" s="1">
        <v>5</v>
      </c>
      <c r="C979" s="1">
        <v>4050</v>
      </c>
      <c r="D979" s="1" t="s">
        <v>38</v>
      </c>
      <c r="E979" s="1" t="s">
        <v>39</v>
      </c>
      <c r="F979" s="1" t="s">
        <v>116</v>
      </c>
      <c r="G979" s="1">
        <v>0</v>
      </c>
      <c r="H979" s="1" t="s">
        <v>41</v>
      </c>
      <c r="I979" s="1" t="s">
        <v>11554</v>
      </c>
      <c r="J979" s="1" t="s">
        <v>11555</v>
      </c>
      <c r="K979" s="1" t="s">
        <v>11556</v>
      </c>
      <c r="L979" s="1">
        <v>1</v>
      </c>
      <c r="M979" s="1">
        <v>0</v>
      </c>
      <c r="N979" s="1" t="s">
        <v>11557</v>
      </c>
      <c r="O979" s="1" t="s">
        <v>11558</v>
      </c>
      <c r="P979" s="1" t="s">
        <v>11559</v>
      </c>
      <c r="Q979" s="1">
        <v>0</v>
      </c>
      <c r="R979" s="1" t="s">
        <v>11560</v>
      </c>
      <c r="S979" s="1" t="s">
        <v>11561</v>
      </c>
      <c r="U979" s="2">
        <v>56768</v>
      </c>
      <c r="V979" s="1">
        <v>4.8</v>
      </c>
      <c r="W979" s="1">
        <v>1500</v>
      </c>
      <c r="X979" s="1">
        <v>2912</v>
      </c>
      <c r="Y979" s="1">
        <v>2024</v>
      </c>
      <c r="Z979" s="1">
        <v>196</v>
      </c>
      <c r="AA979" s="1">
        <v>692</v>
      </c>
      <c r="AB979" s="1">
        <v>0</v>
      </c>
      <c r="AC979" s="1">
        <v>1</v>
      </c>
      <c r="AD979" s="1" t="s">
        <v>76</v>
      </c>
      <c r="AE979" s="1" t="s">
        <v>11562</v>
      </c>
      <c r="AF979" s="1" t="s">
        <v>11563</v>
      </c>
      <c r="AG979" s="1" t="s">
        <v>11564</v>
      </c>
      <c r="AH979" s="1" t="s">
        <v>11565</v>
      </c>
      <c r="AI979" s="1">
        <v>4.8899999999999997</v>
      </c>
      <c r="AJ979" s="1">
        <v>1778</v>
      </c>
      <c r="AK979" s="1">
        <v>5138</v>
      </c>
      <c r="AL979" s="1">
        <v>314</v>
      </c>
    </row>
    <row r="980" spans="1:38" ht="15.75" customHeight="1">
      <c r="A980" s="1">
        <v>751</v>
      </c>
      <c r="C980" s="1">
        <v>4050</v>
      </c>
      <c r="D980" s="1" t="s">
        <v>38</v>
      </c>
      <c r="E980" s="1" t="s">
        <v>39</v>
      </c>
      <c r="F980" s="1" t="s">
        <v>914</v>
      </c>
      <c r="G980" s="1">
        <v>0</v>
      </c>
      <c r="H980" s="1" t="s">
        <v>41</v>
      </c>
      <c r="I980" s="1" t="s">
        <v>11566</v>
      </c>
      <c r="J980" s="1" t="s">
        <v>11567</v>
      </c>
      <c r="K980" s="1" t="s">
        <v>11568</v>
      </c>
      <c r="L980" s="1">
        <v>1</v>
      </c>
      <c r="M980" s="1">
        <v>0</v>
      </c>
      <c r="N980" s="1" t="s">
        <v>11569</v>
      </c>
      <c r="O980" s="1" t="s">
        <v>11570</v>
      </c>
      <c r="P980" s="1" t="s">
        <v>11571</v>
      </c>
      <c r="Q980" s="1">
        <v>0</v>
      </c>
      <c r="R980" s="1" t="s">
        <v>11572</v>
      </c>
      <c r="S980" s="1" t="s">
        <v>11573</v>
      </c>
      <c r="U980" s="2">
        <v>56771</v>
      </c>
      <c r="V980" s="1">
        <v>4.3</v>
      </c>
      <c r="W980" s="1">
        <v>1500</v>
      </c>
      <c r="X980" s="1">
        <v>2146</v>
      </c>
      <c r="Y980" s="1">
        <v>877</v>
      </c>
      <c r="Z980" s="1">
        <v>179</v>
      </c>
      <c r="AA980" s="1">
        <v>1090</v>
      </c>
      <c r="AB980" s="1">
        <v>0</v>
      </c>
      <c r="AC980" s="1">
        <v>1</v>
      </c>
      <c r="AD980" s="1" t="s">
        <v>76</v>
      </c>
      <c r="AE980" s="1" t="s">
        <v>11574</v>
      </c>
      <c r="AF980" s="1" t="s">
        <v>11575</v>
      </c>
      <c r="AG980" s="1" t="s">
        <v>11576</v>
      </c>
      <c r="AH980" s="1" t="s">
        <v>11577</v>
      </c>
      <c r="AI980" s="1">
        <v>4.6900000000000004</v>
      </c>
      <c r="AJ980" s="1">
        <v>89</v>
      </c>
      <c r="AK980" s="1">
        <v>258</v>
      </c>
      <c r="AL980" s="1">
        <v>154</v>
      </c>
    </row>
    <row r="981" spans="1:38" ht="15.75" customHeight="1">
      <c r="A981" s="1">
        <v>790</v>
      </c>
      <c r="C981" s="1">
        <v>4050</v>
      </c>
      <c r="D981" s="1" t="s">
        <v>38</v>
      </c>
      <c r="E981" s="1" t="s">
        <v>39</v>
      </c>
      <c r="F981" s="1" t="s">
        <v>1645</v>
      </c>
      <c r="G981" s="1">
        <v>0</v>
      </c>
      <c r="H981" s="1" t="s">
        <v>41</v>
      </c>
      <c r="I981" s="1" t="s">
        <v>11578</v>
      </c>
      <c r="J981" s="1" t="s">
        <v>11579</v>
      </c>
      <c r="K981" s="1" t="s">
        <v>11580</v>
      </c>
      <c r="L981" s="1">
        <v>1</v>
      </c>
      <c r="M981" s="1">
        <v>0</v>
      </c>
      <c r="N981" s="1" t="s">
        <v>11581</v>
      </c>
      <c r="O981" s="1" t="s">
        <v>11582</v>
      </c>
      <c r="P981" s="1" t="s">
        <v>11583</v>
      </c>
      <c r="Q981" s="1">
        <v>0</v>
      </c>
      <c r="R981" s="1" t="s">
        <v>11584</v>
      </c>
      <c r="S981" s="1" t="s">
        <v>11585</v>
      </c>
      <c r="U981" s="2">
        <v>56771</v>
      </c>
      <c r="V981" s="1">
        <v>4.5</v>
      </c>
      <c r="W981" s="1">
        <v>1500</v>
      </c>
      <c r="X981" s="1">
        <v>1541</v>
      </c>
      <c r="Y981" s="1">
        <v>127</v>
      </c>
      <c r="Z981" s="1">
        <v>292</v>
      </c>
      <c r="AA981" s="1">
        <v>1122</v>
      </c>
      <c r="AB981" s="1">
        <v>0</v>
      </c>
      <c r="AC981" s="1">
        <v>3</v>
      </c>
      <c r="AD981" s="1" t="s">
        <v>215</v>
      </c>
      <c r="AE981" s="1" t="s">
        <v>11586</v>
      </c>
      <c r="AF981" s="1" t="s">
        <v>11587</v>
      </c>
      <c r="AG981" s="1" t="s">
        <v>11588</v>
      </c>
      <c r="AH981" s="1" t="s">
        <v>11589</v>
      </c>
      <c r="AI981" s="1">
        <v>4.4520547949999996</v>
      </c>
      <c r="AJ981" s="1">
        <v>59</v>
      </c>
      <c r="AK981" s="1">
        <v>171</v>
      </c>
      <c r="AL981" s="1">
        <v>52</v>
      </c>
    </row>
    <row r="982" spans="1:38" ht="15.75" customHeight="1">
      <c r="A982" s="1">
        <v>828</v>
      </c>
      <c r="B982" s="1">
        <v>5</v>
      </c>
      <c r="C982" s="1">
        <v>4001</v>
      </c>
      <c r="D982" s="1" t="s">
        <v>51</v>
      </c>
      <c r="E982" s="1" t="s">
        <v>39</v>
      </c>
      <c r="F982" s="1" t="s">
        <v>341</v>
      </c>
      <c r="G982" s="1">
        <v>0</v>
      </c>
      <c r="H982" s="1" t="s">
        <v>41</v>
      </c>
      <c r="I982" s="1" t="s">
        <v>11590</v>
      </c>
      <c r="J982" s="1" t="s">
        <v>11591</v>
      </c>
      <c r="K982" s="1" t="s">
        <v>11592</v>
      </c>
      <c r="L982" s="1">
        <v>1</v>
      </c>
      <c r="M982" s="1">
        <v>0</v>
      </c>
      <c r="N982" s="1" t="s">
        <v>11593</v>
      </c>
      <c r="O982" s="1" t="s">
        <v>11594</v>
      </c>
      <c r="P982" s="1" t="s">
        <v>11595</v>
      </c>
      <c r="Q982" s="1">
        <v>0</v>
      </c>
      <c r="R982" s="1" t="s">
        <v>11596</v>
      </c>
      <c r="S982" s="1" t="s">
        <v>11597</v>
      </c>
      <c r="U982" s="2">
        <v>56772</v>
      </c>
      <c r="V982" s="1">
        <v>4.5</v>
      </c>
      <c r="W982" s="1">
        <v>1500</v>
      </c>
      <c r="X982" s="1">
        <v>1272</v>
      </c>
      <c r="Y982" s="1">
        <v>167</v>
      </c>
      <c r="Z982" s="1">
        <v>758</v>
      </c>
      <c r="AA982" s="1">
        <v>347</v>
      </c>
      <c r="AB982" s="1">
        <v>0</v>
      </c>
      <c r="AC982" s="1">
        <v>1</v>
      </c>
      <c r="AE982" s="1" t="s">
        <v>11598</v>
      </c>
      <c r="AF982" s="1" t="s">
        <v>11599</v>
      </c>
      <c r="AG982" s="1" t="s">
        <v>11600</v>
      </c>
      <c r="AH982" s="1" t="s">
        <v>11601</v>
      </c>
      <c r="AI982" s="1">
        <v>4.54</v>
      </c>
      <c r="AJ982" s="1">
        <v>2229</v>
      </c>
      <c r="AK982" s="1">
        <v>6580</v>
      </c>
    </row>
    <row r="983" spans="1:38" ht="15.75" customHeight="1">
      <c r="A983" s="1">
        <v>1566</v>
      </c>
      <c r="C983" s="1">
        <v>4001</v>
      </c>
      <c r="D983" s="1" t="s">
        <v>51</v>
      </c>
      <c r="E983" s="1" t="s">
        <v>39</v>
      </c>
      <c r="F983" s="1" t="s">
        <v>7339</v>
      </c>
      <c r="G983" s="1">
        <v>0</v>
      </c>
      <c r="H983" s="1" t="s">
        <v>53</v>
      </c>
      <c r="I983" s="1" t="s">
        <v>11602</v>
      </c>
      <c r="J983" s="1" t="s">
        <v>11603</v>
      </c>
      <c r="K983" s="1" t="s">
        <v>11604</v>
      </c>
      <c r="L983" s="1">
        <v>1</v>
      </c>
      <c r="M983" s="1">
        <v>0</v>
      </c>
      <c r="N983" s="1" t="s">
        <v>11605</v>
      </c>
      <c r="O983" s="1" t="s">
        <v>11606</v>
      </c>
      <c r="P983" s="1" t="s">
        <v>11607</v>
      </c>
      <c r="Q983" s="1">
        <v>0</v>
      </c>
      <c r="R983" s="1" t="s">
        <v>11608</v>
      </c>
      <c r="S983" s="1" t="s">
        <v>11609</v>
      </c>
      <c r="U983" s="2">
        <v>56778</v>
      </c>
      <c r="V983" s="1">
        <v>3.7553505</v>
      </c>
      <c r="W983" s="1">
        <v>1500</v>
      </c>
      <c r="X983" s="1">
        <v>2764</v>
      </c>
      <c r="Y983" s="1">
        <v>749</v>
      </c>
      <c r="Z983" s="1">
        <v>788</v>
      </c>
      <c r="AA983" s="1">
        <v>1227</v>
      </c>
      <c r="AB983" s="1">
        <v>0</v>
      </c>
      <c r="AC983" s="1">
        <v>2</v>
      </c>
      <c r="AD983" s="1" t="s">
        <v>76</v>
      </c>
      <c r="AE983" s="1" t="s">
        <v>11610</v>
      </c>
      <c r="AF983" s="1" t="s">
        <v>11611</v>
      </c>
      <c r="AG983" s="1" t="s">
        <v>11612</v>
      </c>
      <c r="AH983" s="1" t="s">
        <v>11613</v>
      </c>
      <c r="AI983" s="1">
        <v>4.5370370370000002</v>
      </c>
      <c r="AJ983" s="1">
        <v>43</v>
      </c>
      <c r="AK983" s="1">
        <v>142</v>
      </c>
      <c r="AL983" s="1">
        <v>11</v>
      </c>
    </row>
    <row r="984" spans="1:38" ht="15.75" customHeight="1">
      <c r="A984" s="1">
        <v>350</v>
      </c>
      <c r="B984" s="1">
        <v>5</v>
      </c>
      <c r="C984" s="1">
        <v>4001</v>
      </c>
      <c r="D984" s="1" t="s">
        <v>51</v>
      </c>
      <c r="E984" s="1" t="s">
        <v>39</v>
      </c>
      <c r="F984" s="1" t="s">
        <v>648</v>
      </c>
      <c r="G984" s="1">
        <v>0</v>
      </c>
      <c r="H984" s="1" t="s">
        <v>53</v>
      </c>
      <c r="I984" s="1" t="s">
        <v>11614</v>
      </c>
      <c r="J984" s="1" t="s">
        <v>11615</v>
      </c>
      <c r="K984" s="1" t="s">
        <v>11616</v>
      </c>
      <c r="L984" s="1">
        <v>1</v>
      </c>
      <c r="M984" s="1">
        <v>0</v>
      </c>
      <c r="N984" s="1" t="s">
        <v>11617</v>
      </c>
      <c r="O984" s="1" t="s">
        <v>11618</v>
      </c>
      <c r="P984" s="1" t="s">
        <v>11619</v>
      </c>
      <c r="Q984" s="1">
        <v>0</v>
      </c>
      <c r="R984" s="1" t="s">
        <v>11620</v>
      </c>
      <c r="S984" s="1" t="s">
        <v>11621</v>
      </c>
      <c r="U984" s="2">
        <v>56768</v>
      </c>
      <c r="V984" s="1">
        <v>3.125580518</v>
      </c>
      <c r="W984" s="1">
        <v>1500</v>
      </c>
      <c r="X984" s="1">
        <v>1931</v>
      </c>
      <c r="Y984" s="1">
        <v>309</v>
      </c>
      <c r="Z984" s="1">
        <v>724</v>
      </c>
      <c r="AA984" s="1">
        <v>898</v>
      </c>
      <c r="AB984" s="1">
        <v>0</v>
      </c>
      <c r="AC984" s="1">
        <v>3</v>
      </c>
      <c r="AD984" s="1" t="s">
        <v>215</v>
      </c>
      <c r="AE984" s="1" t="s">
        <v>11622</v>
      </c>
      <c r="AF984" s="1" t="s">
        <v>11623</v>
      </c>
      <c r="AG984" s="1" t="s">
        <v>11624</v>
      </c>
      <c r="AH984" s="1" t="s">
        <v>11625</v>
      </c>
      <c r="AI984" s="1">
        <v>4.7</v>
      </c>
      <c r="AJ984" s="1">
        <v>443</v>
      </c>
      <c r="AK984" s="1">
        <v>1579</v>
      </c>
    </row>
    <row r="985" spans="1:38" ht="15.75" customHeight="1">
      <c r="A985" s="1">
        <v>355</v>
      </c>
      <c r="B985" s="1">
        <v>5</v>
      </c>
      <c r="C985" s="1">
        <v>4001</v>
      </c>
      <c r="D985" s="1" t="s">
        <v>51</v>
      </c>
      <c r="E985" s="1" t="s">
        <v>39</v>
      </c>
      <c r="F985" s="1" t="s">
        <v>2044</v>
      </c>
      <c r="G985" s="1">
        <v>0</v>
      </c>
      <c r="H985" s="1" t="s">
        <v>53</v>
      </c>
      <c r="I985" s="1" t="s">
        <v>11626</v>
      </c>
      <c r="J985" s="1" t="s">
        <v>11627</v>
      </c>
      <c r="K985" s="1" t="s">
        <v>11628</v>
      </c>
      <c r="L985" s="1">
        <v>1</v>
      </c>
      <c r="M985" s="1">
        <v>0</v>
      </c>
      <c r="N985" s="1" t="s">
        <v>11629</v>
      </c>
      <c r="O985" s="1" t="s">
        <v>11630</v>
      </c>
      <c r="P985" s="1" t="s">
        <v>11631</v>
      </c>
      <c r="Q985" s="1">
        <v>0</v>
      </c>
      <c r="R985" s="1" t="s">
        <v>11632</v>
      </c>
      <c r="U985" s="2">
        <v>56768</v>
      </c>
      <c r="V985" s="1">
        <v>3.8399158610000002</v>
      </c>
      <c r="W985" s="1">
        <v>1500</v>
      </c>
      <c r="X985" s="1">
        <v>1356</v>
      </c>
      <c r="AA985" s="1">
        <v>950</v>
      </c>
      <c r="AB985" s="1">
        <v>0</v>
      </c>
      <c r="AC985" s="1">
        <v>1</v>
      </c>
      <c r="AE985" s="1" t="s">
        <v>11633</v>
      </c>
      <c r="AF985" s="1" t="s">
        <v>11634</v>
      </c>
      <c r="AG985" s="1" t="s">
        <v>11635</v>
      </c>
      <c r="AI985" s="1">
        <v>4.63</v>
      </c>
      <c r="AJ985" s="1">
        <v>265</v>
      </c>
      <c r="AK985" s="1">
        <v>905</v>
      </c>
      <c r="AL985" s="1">
        <v>77</v>
      </c>
    </row>
    <row r="986" spans="1:38" ht="15.75" customHeight="1">
      <c r="A986" s="1">
        <v>570</v>
      </c>
      <c r="B986" s="1">
        <v>2</v>
      </c>
      <c r="C986" s="1">
        <v>4001</v>
      </c>
      <c r="D986" s="1" t="s">
        <v>51</v>
      </c>
      <c r="E986" s="1" t="s">
        <v>39</v>
      </c>
      <c r="F986" s="1" t="s">
        <v>341</v>
      </c>
      <c r="G986" s="1">
        <v>0</v>
      </c>
      <c r="H986" s="1" t="s">
        <v>41</v>
      </c>
      <c r="I986" s="1" t="s">
        <v>11636</v>
      </c>
      <c r="J986" s="1" t="s">
        <v>11637</v>
      </c>
      <c r="K986" s="1" t="s">
        <v>11638</v>
      </c>
      <c r="L986" s="1">
        <v>1</v>
      </c>
      <c r="M986" s="1">
        <v>0</v>
      </c>
      <c r="N986" s="1" t="s">
        <v>11639</v>
      </c>
      <c r="O986" s="1" t="s">
        <v>11640</v>
      </c>
      <c r="P986" s="1" t="s">
        <v>11641</v>
      </c>
      <c r="Q986" s="1">
        <v>0</v>
      </c>
      <c r="R986" s="1" t="s">
        <v>11642</v>
      </c>
      <c r="S986" s="1" t="s">
        <v>11643</v>
      </c>
      <c r="U986" s="2">
        <v>56770</v>
      </c>
      <c r="V986" s="1">
        <v>4.4000000000000004</v>
      </c>
      <c r="W986" s="1">
        <v>1500</v>
      </c>
      <c r="X986" s="1">
        <v>958</v>
      </c>
      <c r="Y986" s="1">
        <v>278</v>
      </c>
      <c r="Z986" s="1">
        <v>220</v>
      </c>
      <c r="AA986" s="1">
        <v>460</v>
      </c>
      <c r="AB986" s="1">
        <v>0</v>
      </c>
      <c r="AC986" s="1">
        <v>1</v>
      </c>
      <c r="AD986" s="1" t="s">
        <v>62</v>
      </c>
      <c r="AE986" s="1" t="s">
        <v>11644</v>
      </c>
      <c r="AF986" s="1" t="s">
        <v>11645</v>
      </c>
      <c r="AG986" s="1" t="s">
        <v>11646</v>
      </c>
      <c r="AH986" s="1" t="s">
        <v>11647</v>
      </c>
      <c r="AI986" s="1">
        <v>4.54</v>
      </c>
      <c r="AJ986" s="1">
        <v>2229</v>
      </c>
      <c r="AK986" s="1">
        <v>6580</v>
      </c>
    </row>
    <row r="987" spans="1:38" ht="15.75" customHeight="1">
      <c r="A987" s="1">
        <v>634</v>
      </c>
      <c r="C987" s="1">
        <v>4001</v>
      </c>
      <c r="D987" s="1" t="s">
        <v>51</v>
      </c>
      <c r="E987" s="1" t="s">
        <v>39</v>
      </c>
      <c r="F987" s="1" t="s">
        <v>648</v>
      </c>
      <c r="G987" s="1">
        <v>0</v>
      </c>
      <c r="H987" s="1" t="s">
        <v>53</v>
      </c>
      <c r="I987" s="1" t="s">
        <v>11648</v>
      </c>
      <c r="J987" s="1" t="s">
        <v>11649</v>
      </c>
      <c r="K987" s="1" t="s">
        <v>11650</v>
      </c>
      <c r="L987" s="1">
        <v>1</v>
      </c>
      <c r="M987" s="1">
        <v>0</v>
      </c>
      <c r="N987" s="1" t="s">
        <v>11651</v>
      </c>
      <c r="O987" s="1" t="s">
        <v>11652</v>
      </c>
      <c r="P987" s="1" t="s">
        <v>11653</v>
      </c>
      <c r="Q987" s="1">
        <v>0</v>
      </c>
      <c r="R987" s="1" t="s">
        <v>11654</v>
      </c>
      <c r="S987" s="1" t="s">
        <v>11655</v>
      </c>
      <c r="U987" s="2">
        <v>56770</v>
      </c>
      <c r="V987" s="1">
        <v>4.7147049110000001</v>
      </c>
      <c r="W987" s="1">
        <v>1500</v>
      </c>
      <c r="X987" s="1">
        <v>1150</v>
      </c>
      <c r="Y987" s="1">
        <v>276</v>
      </c>
      <c r="Z987" s="1">
        <v>93</v>
      </c>
      <c r="AA987" s="1">
        <v>781</v>
      </c>
      <c r="AB987" s="1">
        <v>0</v>
      </c>
      <c r="AC987" s="1">
        <v>4</v>
      </c>
      <c r="AD987" s="1" t="s">
        <v>215</v>
      </c>
      <c r="AE987" s="1" t="s">
        <v>11656</v>
      </c>
      <c r="AF987" s="1" t="s">
        <v>11657</v>
      </c>
      <c r="AG987" s="1" t="s">
        <v>11658</v>
      </c>
      <c r="AH987" s="1" t="s">
        <v>11659</v>
      </c>
      <c r="AI987" s="1">
        <v>4.7</v>
      </c>
      <c r="AJ987" s="1">
        <v>443</v>
      </c>
      <c r="AK987" s="1">
        <v>1579</v>
      </c>
    </row>
    <row r="988" spans="1:38" ht="15.75" customHeight="1">
      <c r="A988" s="1">
        <v>1534</v>
      </c>
      <c r="C988" s="1">
        <v>4001</v>
      </c>
      <c r="D988" s="1" t="s">
        <v>51</v>
      </c>
      <c r="E988" s="1" t="s">
        <v>39</v>
      </c>
      <c r="F988" s="1" t="s">
        <v>414</v>
      </c>
      <c r="G988" s="1">
        <v>0</v>
      </c>
      <c r="H988" s="1" t="s">
        <v>53</v>
      </c>
      <c r="I988" s="1" t="s">
        <v>11660</v>
      </c>
      <c r="J988" s="1" t="s">
        <v>11661</v>
      </c>
      <c r="K988" s="1" t="s">
        <v>11662</v>
      </c>
      <c r="L988" s="1">
        <v>1</v>
      </c>
      <c r="M988" s="1">
        <v>0</v>
      </c>
      <c r="N988" s="1" t="s">
        <v>11663</v>
      </c>
      <c r="O988" s="1" t="s">
        <v>11664</v>
      </c>
      <c r="P988" s="1" t="s">
        <v>11665</v>
      </c>
      <c r="Q988" s="1">
        <v>0</v>
      </c>
      <c r="R988" s="1" t="s">
        <v>11666</v>
      </c>
      <c r="S988" s="1" t="s">
        <v>11667</v>
      </c>
      <c r="U988" s="2">
        <v>56777</v>
      </c>
      <c r="V988" s="1">
        <v>4.3</v>
      </c>
      <c r="W988" s="1">
        <v>1500</v>
      </c>
      <c r="X988" s="1">
        <v>1040</v>
      </c>
      <c r="Y988" s="1">
        <v>525</v>
      </c>
      <c r="Z988" s="1">
        <v>57</v>
      </c>
      <c r="AA988" s="1">
        <v>458</v>
      </c>
      <c r="AB988" s="1">
        <v>0</v>
      </c>
      <c r="AC988" s="1">
        <v>1</v>
      </c>
      <c r="AD988" s="1" t="s">
        <v>76</v>
      </c>
      <c r="AE988" s="1" t="s">
        <v>11668</v>
      </c>
      <c r="AF988" s="1" t="s">
        <v>11669</v>
      </c>
      <c r="AG988" s="1" t="s">
        <v>11670</v>
      </c>
      <c r="AH988" s="1" t="s">
        <v>11671</v>
      </c>
      <c r="AI988" s="1">
        <v>4.58</v>
      </c>
      <c r="AJ988" s="1">
        <v>254</v>
      </c>
      <c r="AK988" s="1">
        <v>788</v>
      </c>
      <c r="AL988" s="1">
        <v>9</v>
      </c>
    </row>
    <row r="989" spans="1:38" ht="15.75" customHeight="1">
      <c r="A989" s="1">
        <v>1574</v>
      </c>
      <c r="B989" s="1">
        <v>4</v>
      </c>
      <c r="C989" s="1">
        <v>4001</v>
      </c>
      <c r="D989" s="1" t="s">
        <v>51</v>
      </c>
      <c r="E989" s="1" t="s">
        <v>39</v>
      </c>
      <c r="F989" s="1" t="s">
        <v>305</v>
      </c>
      <c r="G989" s="1">
        <v>0</v>
      </c>
      <c r="H989" s="1" t="s">
        <v>53</v>
      </c>
      <c r="I989" s="1" t="s">
        <v>11672</v>
      </c>
      <c r="J989" s="1" t="s">
        <v>11673</v>
      </c>
      <c r="K989" s="1" t="s">
        <v>11674</v>
      </c>
      <c r="L989" s="1">
        <v>1</v>
      </c>
      <c r="M989" s="1">
        <v>0</v>
      </c>
      <c r="N989" s="1" t="s">
        <v>11675</v>
      </c>
      <c r="O989" s="1" t="s">
        <v>11676</v>
      </c>
      <c r="P989" s="1" t="s">
        <v>11677</v>
      </c>
      <c r="Q989" s="1">
        <v>0</v>
      </c>
      <c r="R989" s="1" t="s">
        <v>11678</v>
      </c>
      <c r="S989" s="1" t="s">
        <v>11679</v>
      </c>
      <c r="U989" s="2">
        <v>56778</v>
      </c>
      <c r="V989" s="1">
        <v>4.5</v>
      </c>
      <c r="W989" s="1">
        <v>1500</v>
      </c>
      <c r="X989" s="1">
        <v>3075</v>
      </c>
      <c r="Y989" s="1">
        <v>1279</v>
      </c>
      <c r="Z989" s="1">
        <v>1132</v>
      </c>
      <c r="AA989" s="1">
        <v>664</v>
      </c>
      <c r="AB989" s="1">
        <v>1</v>
      </c>
      <c r="AC989" s="1">
        <v>1</v>
      </c>
      <c r="AE989" s="1" t="s">
        <v>11680</v>
      </c>
      <c r="AF989" s="1" t="s">
        <v>11681</v>
      </c>
      <c r="AG989" s="1" t="s">
        <v>11682</v>
      </c>
      <c r="AH989" s="1" t="s">
        <v>11683</v>
      </c>
      <c r="AI989" s="1">
        <v>4.5199999999999996</v>
      </c>
      <c r="AJ989" s="1">
        <v>183</v>
      </c>
      <c r="AK989" s="1">
        <v>522</v>
      </c>
    </row>
    <row r="990" spans="1:38" ht="15.75" customHeight="1">
      <c r="A990" s="1">
        <v>1585</v>
      </c>
      <c r="C990" s="1">
        <v>4001</v>
      </c>
      <c r="D990" s="1" t="s">
        <v>51</v>
      </c>
      <c r="E990" s="1" t="s">
        <v>39</v>
      </c>
      <c r="F990" s="1" t="s">
        <v>1915</v>
      </c>
      <c r="G990" s="1">
        <v>0</v>
      </c>
      <c r="H990" s="1" t="s">
        <v>53</v>
      </c>
      <c r="I990" s="1" t="s">
        <v>11684</v>
      </c>
      <c r="J990" s="1" t="s">
        <v>11685</v>
      </c>
      <c r="K990" s="1" t="s">
        <v>11686</v>
      </c>
      <c r="L990" s="1">
        <v>1</v>
      </c>
      <c r="M990" s="1">
        <v>0</v>
      </c>
      <c r="N990" s="1" t="s">
        <v>11687</v>
      </c>
      <c r="O990" s="1" t="s">
        <v>11688</v>
      </c>
      <c r="P990" s="1" t="s">
        <v>11689</v>
      </c>
      <c r="Q990" s="1">
        <v>0</v>
      </c>
      <c r="R990" s="1" t="s">
        <v>11690</v>
      </c>
      <c r="S990" s="1" t="s">
        <v>11691</v>
      </c>
      <c r="U990" s="2">
        <v>56778</v>
      </c>
      <c r="V990" s="1">
        <v>4.3</v>
      </c>
      <c r="W990" s="1">
        <v>1500</v>
      </c>
      <c r="X990" s="1">
        <v>1844</v>
      </c>
      <c r="Y990" s="1">
        <v>467</v>
      </c>
      <c r="Z990" s="1">
        <v>330</v>
      </c>
      <c r="AA990" s="1">
        <v>1047</v>
      </c>
      <c r="AB990" s="1">
        <v>1</v>
      </c>
      <c r="AC990" s="1">
        <v>1</v>
      </c>
      <c r="AE990" s="1" t="s">
        <v>11692</v>
      </c>
      <c r="AF990" s="1" t="s">
        <v>11693</v>
      </c>
      <c r="AG990" s="1" t="s">
        <v>11694</v>
      </c>
      <c r="AH990" s="1" t="s">
        <v>11695</v>
      </c>
      <c r="AI990" s="1">
        <v>4.63</v>
      </c>
      <c r="AJ990" s="1">
        <v>242</v>
      </c>
      <c r="AK990" s="1">
        <v>736</v>
      </c>
    </row>
    <row r="991" spans="1:38" ht="15.75" customHeight="1">
      <c r="A991" s="1">
        <v>1586</v>
      </c>
      <c r="C991" s="1">
        <v>4001</v>
      </c>
      <c r="D991" s="1" t="s">
        <v>51</v>
      </c>
      <c r="E991" s="1" t="s">
        <v>39</v>
      </c>
      <c r="F991" s="1" t="s">
        <v>1915</v>
      </c>
      <c r="G991" s="1">
        <v>0</v>
      </c>
      <c r="H991" s="1" t="s">
        <v>53</v>
      </c>
      <c r="I991" s="1" t="s">
        <v>11696</v>
      </c>
      <c r="J991" s="1" t="s">
        <v>11697</v>
      </c>
      <c r="K991" s="1" t="s">
        <v>11698</v>
      </c>
      <c r="L991" s="1">
        <v>1</v>
      </c>
      <c r="M991" s="1">
        <v>0</v>
      </c>
      <c r="N991" s="1" t="s">
        <v>11699</v>
      </c>
      <c r="O991" s="1" t="s">
        <v>11700</v>
      </c>
      <c r="P991" s="1" t="s">
        <v>11701</v>
      </c>
      <c r="Q991" s="1">
        <v>0</v>
      </c>
      <c r="R991" s="1" t="s">
        <v>11702</v>
      </c>
      <c r="S991" s="1" t="s">
        <v>11703</v>
      </c>
      <c r="U991" s="2">
        <v>56778</v>
      </c>
      <c r="V991" s="1">
        <v>4.3</v>
      </c>
      <c r="W991" s="1">
        <v>1500</v>
      </c>
      <c r="X991" s="1">
        <v>1634</v>
      </c>
      <c r="Y991" s="1">
        <v>274</v>
      </c>
      <c r="Z991" s="1">
        <v>339</v>
      </c>
      <c r="AA991" s="1">
        <v>1021</v>
      </c>
      <c r="AB991" s="1">
        <v>1</v>
      </c>
      <c r="AC991" s="1">
        <v>1</v>
      </c>
      <c r="AE991" s="1" t="s">
        <v>11704</v>
      </c>
      <c r="AF991" s="1" t="s">
        <v>11705</v>
      </c>
      <c r="AG991" s="1" t="s">
        <v>11706</v>
      </c>
      <c r="AH991" s="1" t="s">
        <v>11707</v>
      </c>
      <c r="AI991" s="1">
        <v>4.63</v>
      </c>
      <c r="AJ991" s="1">
        <v>242</v>
      </c>
      <c r="AK991" s="1">
        <v>736</v>
      </c>
    </row>
    <row r="992" spans="1:38" ht="15.75" customHeight="1">
      <c r="A992" s="1">
        <v>79</v>
      </c>
      <c r="C992" s="1">
        <v>4050</v>
      </c>
      <c r="D992" s="1" t="s">
        <v>38</v>
      </c>
      <c r="E992" s="1" t="s">
        <v>39</v>
      </c>
      <c r="F992" s="1" t="s">
        <v>1153</v>
      </c>
      <c r="G992" s="1">
        <v>0</v>
      </c>
      <c r="H992" s="1" t="s">
        <v>41</v>
      </c>
      <c r="I992" s="1" t="s">
        <v>11708</v>
      </c>
      <c r="J992" s="1" t="s">
        <v>11709</v>
      </c>
      <c r="K992" s="1" t="s">
        <v>11710</v>
      </c>
      <c r="L992" s="1">
        <v>1</v>
      </c>
      <c r="M992" s="1">
        <v>0</v>
      </c>
      <c r="N992" s="1" t="s">
        <v>11711</v>
      </c>
      <c r="O992" s="1" t="s">
        <v>11712</v>
      </c>
      <c r="P992" s="1" t="s">
        <v>11713</v>
      </c>
      <c r="Q992" s="1">
        <v>0</v>
      </c>
      <c r="R992" s="1" t="s">
        <v>11714</v>
      </c>
      <c r="S992" s="1" t="s">
        <v>11715</v>
      </c>
      <c r="U992" s="2">
        <v>56766</v>
      </c>
      <c r="V992" s="1">
        <v>4.7</v>
      </c>
      <c r="W992" s="1">
        <v>1500</v>
      </c>
      <c r="X992" s="1">
        <v>1517</v>
      </c>
      <c r="Y992" s="1">
        <v>821</v>
      </c>
      <c r="AA992" s="1">
        <v>737</v>
      </c>
      <c r="AB992" s="1">
        <v>0</v>
      </c>
      <c r="AC992" s="1">
        <v>2</v>
      </c>
      <c r="AD992" s="1" t="s">
        <v>76</v>
      </c>
      <c r="AE992" s="1" t="s">
        <v>11716</v>
      </c>
      <c r="AF992" s="1" t="s">
        <v>11717</v>
      </c>
      <c r="AG992" s="1" t="s">
        <v>11718</v>
      </c>
      <c r="AH992" s="1" t="s">
        <v>11719</v>
      </c>
      <c r="AI992" s="1">
        <v>4.58</v>
      </c>
      <c r="AJ992" s="1">
        <v>679</v>
      </c>
      <c r="AK992" s="1">
        <v>2371</v>
      </c>
      <c r="AL992" s="1">
        <v>1830</v>
      </c>
    </row>
    <row r="993" spans="1:38" ht="15.75" customHeight="1">
      <c r="A993" s="1">
        <v>708</v>
      </c>
      <c r="B993" s="1">
        <v>5</v>
      </c>
      <c r="C993" s="1">
        <v>4050</v>
      </c>
      <c r="D993" s="1" t="s">
        <v>38</v>
      </c>
      <c r="E993" s="1" t="s">
        <v>39</v>
      </c>
      <c r="F993" s="1" t="s">
        <v>1323</v>
      </c>
      <c r="G993" s="1">
        <v>0</v>
      </c>
      <c r="H993" s="1" t="s">
        <v>41</v>
      </c>
      <c r="I993" s="1" t="s">
        <v>11720</v>
      </c>
      <c r="J993" s="1" t="s">
        <v>11721</v>
      </c>
      <c r="K993" s="1" t="s">
        <v>11722</v>
      </c>
      <c r="L993" s="1">
        <v>1</v>
      </c>
      <c r="M993" s="1">
        <v>0</v>
      </c>
      <c r="N993" s="1" t="s">
        <v>11723</v>
      </c>
      <c r="O993" s="1" t="s">
        <v>11724</v>
      </c>
      <c r="P993" s="1" t="s">
        <v>11725</v>
      </c>
      <c r="Q993" s="1">
        <v>0</v>
      </c>
      <c r="R993" s="1" t="s">
        <v>11726</v>
      </c>
      <c r="S993" s="1" t="s">
        <v>11727</v>
      </c>
      <c r="U993" s="2">
        <v>56770</v>
      </c>
      <c r="V993" s="1">
        <v>4.5</v>
      </c>
      <c r="W993" s="1">
        <v>1500</v>
      </c>
      <c r="X993" s="1">
        <v>1659</v>
      </c>
      <c r="Y993" s="1">
        <v>243</v>
      </c>
      <c r="Z993" s="1">
        <v>965</v>
      </c>
      <c r="AA993" s="1">
        <v>451</v>
      </c>
      <c r="AB993" s="1">
        <v>0</v>
      </c>
      <c r="AC993" s="1">
        <v>3</v>
      </c>
      <c r="AD993" s="1" t="s">
        <v>62</v>
      </c>
      <c r="AE993" s="1" t="s">
        <v>11728</v>
      </c>
      <c r="AF993" s="1" t="s">
        <v>11729</v>
      </c>
      <c r="AG993" s="1" t="s">
        <v>11730</v>
      </c>
      <c r="AH993" s="1" t="s">
        <v>11731</v>
      </c>
      <c r="AI993" s="1">
        <v>4.57</v>
      </c>
      <c r="AJ993" s="1">
        <v>234</v>
      </c>
      <c r="AK993" s="1">
        <v>726</v>
      </c>
      <c r="AL993" s="1">
        <v>99</v>
      </c>
    </row>
    <row r="994" spans="1:38" ht="15.75" customHeight="1">
      <c r="A994" s="1">
        <v>298</v>
      </c>
      <c r="B994" s="1">
        <v>5</v>
      </c>
      <c r="C994" s="1">
        <v>4001</v>
      </c>
      <c r="D994" s="1" t="s">
        <v>51</v>
      </c>
      <c r="E994" s="1" t="s">
        <v>39</v>
      </c>
      <c r="F994" s="1" t="s">
        <v>92</v>
      </c>
      <c r="G994" s="1">
        <v>0</v>
      </c>
      <c r="H994" s="1" t="s">
        <v>41</v>
      </c>
      <c r="I994" s="1" t="s">
        <v>11732</v>
      </c>
      <c r="J994" s="1" t="s">
        <v>11733</v>
      </c>
      <c r="K994" s="1" t="s">
        <v>11734</v>
      </c>
      <c r="L994" s="1">
        <v>1</v>
      </c>
      <c r="M994" s="1">
        <v>0</v>
      </c>
      <c r="N994" s="1" t="s">
        <v>11735</v>
      </c>
      <c r="O994" s="1" t="s">
        <v>11736</v>
      </c>
      <c r="P994" s="1" t="s">
        <v>11737</v>
      </c>
      <c r="Q994" s="1">
        <v>0</v>
      </c>
      <c r="R994" s="1" t="s">
        <v>11738</v>
      </c>
      <c r="S994" s="1" t="s">
        <v>11739</v>
      </c>
      <c r="U994" s="2">
        <v>56768</v>
      </c>
      <c r="V994" s="1">
        <v>4.5999999999999996</v>
      </c>
      <c r="W994" s="1">
        <v>1500</v>
      </c>
      <c r="X994" s="1">
        <v>2125</v>
      </c>
      <c r="Y994" s="1">
        <v>494</v>
      </c>
      <c r="Z994" s="1">
        <v>697</v>
      </c>
      <c r="AA994" s="1">
        <v>934</v>
      </c>
      <c r="AB994" s="1">
        <v>0</v>
      </c>
      <c r="AC994" s="1">
        <v>2</v>
      </c>
      <c r="AD994" s="1" t="s">
        <v>215</v>
      </c>
      <c r="AE994" s="1" t="s">
        <v>11740</v>
      </c>
      <c r="AF994" s="1" t="s">
        <v>11741</v>
      </c>
      <c r="AG994" s="1" t="s">
        <v>11742</v>
      </c>
      <c r="AH994" s="1" t="s">
        <v>11743</v>
      </c>
      <c r="AI994" s="1">
        <v>4.03</v>
      </c>
      <c r="AJ994" s="1">
        <v>505</v>
      </c>
      <c r="AK994" s="1">
        <v>1721</v>
      </c>
      <c r="AL994" s="1">
        <v>457</v>
      </c>
    </row>
    <row r="995" spans="1:38" ht="15.75" customHeight="1">
      <c r="A995" s="1">
        <v>266</v>
      </c>
      <c r="B995" s="1">
        <v>4</v>
      </c>
      <c r="C995" s="1">
        <v>4050</v>
      </c>
      <c r="D995" s="1" t="s">
        <v>38</v>
      </c>
      <c r="E995" s="1" t="s">
        <v>39</v>
      </c>
      <c r="F995" s="1" t="s">
        <v>195</v>
      </c>
      <c r="G995" s="1">
        <v>0</v>
      </c>
      <c r="H995" s="1" t="s">
        <v>41</v>
      </c>
      <c r="I995" s="1" t="s">
        <v>11744</v>
      </c>
      <c r="J995" s="1" t="s">
        <v>11745</v>
      </c>
      <c r="K995" s="1" t="s">
        <v>11746</v>
      </c>
      <c r="L995" s="1">
        <v>1</v>
      </c>
      <c r="M995" s="1">
        <v>0</v>
      </c>
      <c r="N995" s="1" t="s">
        <v>11747</v>
      </c>
      <c r="O995" s="1" t="s">
        <v>11748</v>
      </c>
      <c r="P995" s="1" t="s">
        <v>11749</v>
      </c>
      <c r="Q995" s="1">
        <v>0</v>
      </c>
      <c r="R995" s="1" t="s">
        <v>11750</v>
      </c>
      <c r="S995" s="1" t="s">
        <v>11751</v>
      </c>
      <c r="U995" s="2">
        <v>56768</v>
      </c>
      <c r="V995" s="1">
        <v>4.5</v>
      </c>
      <c r="W995" s="1">
        <v>1500</v>
      </c>
      <c r="X995" s="1">
        <v>2046</v>
      </c>
      <c r="Y995" s="1">
        <v>1356</v>
      </c>
      <c r="Z995" s="1">
        <v>329</v>
      </c>
      <c r="AA995" s="1">
        <v>361</v>
      </c>
      <c r="AB995" s="1">
        <v>0</v>
      </c>
      <c r="AC995" s="1">
        <v>4</v>
      </c>
      <c r="AD995" s="1" t="s">
        <v>62</v>
      </c>
      <c r="AE995" s="1" t="s">
        <v>11752</v>
      </c>
      <c r="AF995" s="1" t="s">
        <v>11753</v>
      </c>
      <c r="AG995" s="1" t="s">
        <v>11754</v>
      </c>
      <c r="AH995" s="1" t="s">
        <v>11755</v>
      </c>
      <c r="AI995" s="1">
        <v>4.66</v>
      </c>
      <c r="AJ995" s="1">
        <v>161</v>
      </c>
      <c r="AK995" s="1">
        <v>398</v>
      </c>
    </row>
    <row r="996" spans="1:38" ht="15.75" customHeight="1">
      <c r="A996" s="1">
        <v>123</v>
      </c>
      <c r="B996" s="1">
        <v>1</v>
      </c>
      <c r="C996" s="1">
        <v>4001</v>
      </c>
      <c r="D996" s="1" t="s">
        <v>51</v>
      </c>
      <c r="E996" s="1" t="s">
        <v>39</v>
      </c>
      <c r="F996" s="1" t="s">
        <v>341</v>
      </c>
      <c r="G996" s="1">
        <v>0</v>
      </c>
      <c r="H996" s="1" t="s">
        <v>41</v>
      </c>
      <c r="I996" s="1" t="s">
        <v>11756</v>
      </c>
      <c r="J996" s="1" t="s">
        <v>11757</v>
      </c>
      <c r="K996" s="1" t="s">
        <v>11758</v>
      </c>
      <c r="L996" s="1">
        <v>1</v>
      </c>
      <c r="M996" s="1">
        <v>0</v>
      </c>
      <c r="N996" s="1" t="s">
        <v>11759</v>
      </c>
      <c r="O996" s="1" t="s">
        <v>11760</v>
      </c>
      <c r="P996" s="1" t="s">
        <v>11761</v>
      </c>
      <c r="Q996" s="1">
        <v>0</v>
      </c>
      <c r="R996" s="1" t="s">
        <v>11762</v>
      </c>
      <c r="S996" s="1" t="s">
        <v>11763</v>
      </c>
      <c r="U996" s="2">
        <v>56767</v>
      </c>
      <c r="V996" s="1">
        <v>4.3</v>
      </c>
      <c r="W996" s="1">
        <v>1500</v>
      </c>
      <c r="X996" s="1">
        <v>5039</v>
      </c>
      <c r="Z996" s="1">
        <v>3684</v>
      </c>
      <c r="AA996" s="1">
        <v>1362</v>
      </c>
      <c r="AB996" s="1">
        <v>1</v>
      </c>
      <c r="AC996" s="1">
        <v>1</v>
      </c>
      <c r="AE996" s="1" t="s">
        <v>11764</v>
      </c>
      <c r="AF996" s="1" t="s">
        <v>11765</v>
      </c>
      <c r="AG996" s="1" t="s">
        <v>11766</v>
      </c>
      <c r="AH996" s="1" t="s">
        <v>11767</v>
      </c>
      <c r="AI996" s="1">
        <v>4.54</v>
      </c>
      <c r="AJ996" s="1">
        <v>2229</v>
      </c>
      <c r="AK996" s="1">
        <v>6580</v>
      </c>
    </row>
    <row r="997" spans="1:38" ht="15.75" customHeight="1">
      <c r="A997" s="1">
        <v>630</v>
      </c>
      <c r="B997" s="1">
        <v>4</v>
      </c>
      <c r="C997" s="1">
        <v>4001</v>
      </c>
      <c r="D997" s="1" t="s">
        <v>51</v>
      </c>
      <c r="E997" s="1" t="s">
        <v>39</v>
      </c>
      <c r="F997" s="1" t="s">
        <v>341</v>
      </c>
      <c r="G997" s="1">
        <v>0</v>
      </c>
      <c r="H997" s="1" t="s">
        <v>41</v>
      </c>
      <c r="I997" s="1" t="s">
        <v>11768</v>
      </c>
      <c r="J997" s="1" t="s">
        <v>11769</v>
      </c>
      <c r="K997" s="1" t="s">
        <v>11770</v>
      </c>
      <c r="L997" s="1">
        <v>1</v>
      </c>
      <c r="M997" s="1">
        <v>0</v>
      </c>
      <c r="N997" s="1" t="s">
        <v>11771</v>
      </c>
      <c r="O997" s="1" t="s">
        <v>11772</v>
      </c>
      <c r="P997" s="1" t="s">
        <v>11773</v>
      </c>
      <c r="Q997" s="1">
        <v>1</v>
      </c>
      <c r="R997" s="1" t="s">
        <v>11774</v>
      </c>
      <c r="S997" s="1" t="s">
        <v>11775</v>
      </c>
      <c r="U997" s="2">
        <v>56770</v>
      </c>
      <c r="V997" s="1">
        <v>4.3</v>
      </c>
      <c r="W997" s="1">
        <v>1500</v>
      </c>
      <c r="X997" s="1">
        <v>1722</v>
      </c>
      <c r="Y997" s="1">
        <v>388</v>
      </c>
      <c r="Z997" s="1">
        <v>88</v>
      </c>
      <c r="AA997" s="1">
        <v>1246</v>
      </c>
      <c r="AB997" s="1">
        <v>1</v>
      </c>
      <c r="AC997" s="1">
        <v>1</v>
      </c>
      <c r="AE997" s="1" t="s">
        <v>11776</v>
      </c>
      <c r="AF997" s="1" t="s">
        <v>11777</v>
      </c>
      <c r="AG997" s="1" t="s">
        <v>11778</v>
      </c>
      <c r="AH997" s="1" t="s">
        <v>11779</v>
      </c>
      <c r="AI997" s="1">
        <v>4.54</v>
      </c>
      <c r="AJ997" s="1">
        <v>2229</v>
      </c>
      <c r="AK997" s="1">
        <v>6580</v>
      </c>
    </row>
    <row r="998" spans="1:38" ht="15.75" customHeight="1">
      <c r="A998" s="1">
        <v>744</v>
      </c>
      <c r="B998" s="1">
        <v>5</v>
      </c>
      <c r="C998" s="1">
        <v>4050</v>
      </c>
      <c r="D998" s="1" t="s">
        <v>38</v>
      </c>
      <c r="E998" s="1" t="s">
        <v>39</v>
      </c>
      <c r="F998" s="1" t="s">
        <v>116</v>
      </c>
      <c r="G998" s="1">
        <v>0</v>
      </c>
      <c r="H998" s="1" t="s">
        <v>41</v>
      </c>
      <c r="I998" s="1" t="s">
        <v>11780</v>
      </c>
      <c r="J998" s="1" t="s">
        <v>11781</v>
      </c>
      <c r="K998" s="1" t="s">
        <v>11782</v>
      </c>
      <c r="L998" s="1">
        <v>1</v>
      </c>
      <c r="M998" s="1">
        <v>0</v>
      </c>
      <c r="N998" s="1" t="s">
        <v>11783</v>
      </c>
      <c r="O998" s="1" t="s">
        <v>11784</v>
      </c>
      <c r="P998" s="1" t="s">
        <v>11785</v>
      </c>
      <c r="Q998" s="1">
        <v>0</v>
      </c>
      <c r="R998" s="1" t="s">
        <v>11786</v>
      </c>
      <c r="S998" s="1" t="s">
        <v>11787</v>
      </c>
      <c r="U998" s="2">
        <v>56771</v>
      </c>
      <c r="V998" s="1">
        <v>4.4000000000000004</v>
      </c>
      <c r="W998" s="1">
        <v>1500</v>
      </c>
      <c r="X998" s="1">
        <v>2864</v>
      </c>
      <c r="Y998" s="1">
        <v>139</v>
      </c>
      <c r="Z998" s="1">
        <v>2045</v>
      </c>
      <c r="AA998" s="1">
        <v>680</v>
      </c>
      <c r="AB998" s="1">
        <v>1</v>
      </c>
      <c r="AC998" s="1">
        <v>1</v>
      </c>
      <c r="AE998" s="1" t="s">
        <v>11788</v>
      </c>
      <c r="AF998" s="1" t="s">
        <v>11789</v>
      </c>
      <c r="AG998" s="1" t="s">
        <v>11790</v>
      </c>
      <c r="AH998" s="1" t="s">
        <v>11791</v>
      </c>
      <c r="AI998" s="1">
        <v>4.8899999999999997</v>
      </c>
      <c r="AJ998" s="1">
        <v>1778</v>
      </c>
      <c r="AK998" s="1">
        <v>5138</v>
      </c>
      <c r="AL998" s="1">
        <v>314</v>
      </c>
    </row>
    <row r="999" spans="1:38" ht="15.75" customHeight="1">
      <c r="A999" s="1">
        <v>765</v>
      </c>
      <c r="B999" s="1">
        <v>5</v>
      </c>
      <c r="C999" s="1">
        <v>4001</v>
      </c>
      <c r="D999" s="1" t="s">
        <v>51</v>
      </c>
      <c r="E999" s="1" t="s">
        <v>39</v>
      </c>
      <c r="F999" s="1" t="s">
        <v>305</v>
      </c>
      <c r="G999" s="1">
        <v>0</v>
      </c>
      <c r="H999" s="1" t="s">
        <v>53</v>
      </c>
      <c r="I999" s="1" t="s">
        <v>11792</v>
      </c>
      <c r="J999" s="1" t="s">
        <v>11793</v>
      </c>
      <c r="K999" s="1" t="s">
        <v>11794</v>
      </c>
      <c r="L999" s="1">
        <v>1</v>
      </c>
      <c r="M999" s="1">
        <v>0</v>
      </c>
      <c r="N999" s="1" t="s">
        <v>11795</v>
      </c>
      <c r="O999" s="1" t="s">
        <v>11796</v>
      </c>
      <c r="P999" s="1" t="s">
        <v>11797</v>
      </c>
      <c r="Q999" s="1">
        <v>0</v>
      </c>
      <c r="R999" s="1" t="s">
        <v>11798</v>
      </c>
      <c r="S999" s="1" t="s">
        <v>11799</v>
      </c>
      <c r="U999" s="2">
        <v>56771</v>
      </c>
      <c r="V999" s="1">
        <v>4.5</v>
      </c>
      <c r="W999" s="1">
        <v>1500</v>
      </c>
      <c r="X999" s="1">
        <v>1389</v>
      </c>
      <c r="Y999" s="1">
        <v>119</v>
      </c>
      <c r="Z999" s="1">
        <v>434</v>
      </c>
      <c r="AA999" s="1">
        <v>836</v>
      </c>
      <c r="AB999" s="1">
        <v>0</v>
      </c>
      <c r="AC999" s="1">
        <v>1</v>
      </c>
      <c r="AD999" s="1" t="s">
        <v>62</v>
      </c>
      <c r="AE999" s="1" t="s">
        <v>11800</v>
      </c>
      <c r="AF999" s="1" t="s">
        <v>11801</v>
      </c>
      <c r="AG999" s="1" t="s">
        <v>11802</v>
      </c>
      <c r="AH999" s="1" t="s">
        <v>11803</v>
      </c>
      <c r="AI999" s="1">
        <v>4.5199999999999996</v>
      </c>
      <c r="AJ999" s="1">
        <v>183</v>
      </c>
      <c r="AK999" s="1">
        <v>522</v>
      </c>
    </row>
    <row r="1000" spans="1:38" ht="15.75" customHeight="1">
      <c r="A1000" s="1">
        <v>1277</v>
      </c>
      <c r="C1000" s="1">
        <v>4001</v>
      </c>
      <c r="D1000" s="1" t="s">
        <v>51</v>
      </c>
      <c r="E1000" s="1" t="s">
        <v>39</v>
      </c>
      <c r="F1000" s="1" t="s">
        <v>341</v>
      </c>
      <c r="G1000" s="1">
        <v>0</v>
      </c>
      <c r="H1000" s="1" t="s">
        <v>41</v>
      </c>
      <c r="I1000" s="1" t="s">
        <v>11804</v>
      </c>
      <c r="J1000" s="1" t="s">
        <v>11805</v>
      </c>
      <c r="K1000" s="1" t="s">
        <v>11806</v>
      </c>
      <c r="L1000" s="1">
        <v>1</v>
      </c>
      <c r="M1000" s="1">
        <v>0</v>
      </c>
      <c r="N1000" s="1" t="s">
        <v>11807</v>
      </c>
      <c r="O1000" s="1" t="s">
        <v>11808</v>
      </c>
      <c r="P1000" s="1" t="s">
        <v>11809</v>
      </c>
      <c r="Q1000" s="1">
        <v>0</v>
      </c>
      <c r="R1000" s="1" t="s">
        <v>11810</v>
      </c>
      <c r="S1000" s="1" t="s">
        <v>11811</v>
      </c>
      <c r="U1000" s="2">
        <v>56776</v>
      </c>
      <c r="V1000" s="1">
        <v>4.3</v>
      </c>
      <c r="W1000" s="1">
        <v>1500</v>
      </c>
      <c r="X1000" s="1">
        <v>1309</v>
      </c>
      <c r="Y1000" s="1">
        <v>850</v>
      </c>
      <c r="Z1000" s="1">
        <v>141</v>
      </c>
      <c r="AA1000" s="1">
        <v>318</v>
      </c>
      <c r="AB1000" s="1">
        <v>0</v>
      </c>
      <c r="AC1000" s="1">
        <v>1</v>
      </c>
      <c r="AD1000" s="1" t="s">
        <v>215</v>
      </c>
      <c r="AE1000" s="1" t="s">
        <v>11812</v>
      </c>
      <c r="AF1000" s="1" t="s">
        <v>11813</v>
      </c>
      <c r="AG1000" s="1" t="s">
        <v>11814</v>
      </c>
      <c r="AH1000" s="1" t="s">
        <v>11815</v>
      </c>
      <c r="AI1000" s="1">
        <v>4.54</v>
      </c>
      <c r="AJ1000" s="1">
        <v>2229</v>
      </c>
      <c r="AK1000" s="1">
        <v>6580</v>
      </c>
    </row>
    <row r="1001" spans="1:38" ht="15.75" customHeight="1">
      <c r="A1001" s="1">
        <v>1422</v>
      </c>
      <c r="B1001" s="1">
        <v>5</v>
      </c>
      <c r="C1001" s="1">
        <v>4001</v>
      </c>
      <c r="D1001" s="1" t="s">
        <v>51</v>
      </c>
      <c r="E1001" s="1" t="s">
        <v>39</v>
      </c>
      <c r="F1001" s="1" t="s">
        <v>414</v>
      </c>
      <c r="G1001" s="1">
        <v>0</v>
      </c>
      <c r="H1001" s="1" t="s">
        <v>53</v>
      </c>
      <c r="I1001" s="1" t="s">
        <v>11816</v>
      </c>
      <c r="J1001" s="1" t="s">
        <v>11817</v>
      </c>
      <c r="K1001" s="1" t="s">
        <v>11818</v>
      </c>
      <c r="L1001" s="1">
        <v>1</v>
      </c>
      <c r="M1001" s="1">
        <v>0</v>
      </c>
      <c r="N1001" s="1" t="s">
        <v>11819</v>
      </c>
      <c r="O1001" s="1" t="s">
        <v>11820</v>
      </c>
      <c r="P1001" s="1" t="s">
        <v>11821</v>
      </c>
      <c r="Q1001" s="1">
        <v>0</v>
      </c>
      <c r="R1001" s="1" t="s">
        <v>11822</v>
      </c>
      <c r="S1001" s="1" t="s">
        <v>11823</v>
      </c>
      <c r="U1001" s="2">
        <v>56777</v>
      </c>
      <c r="V1001" s="1">
        <v>4.3</v>
      </c>
      <c r="W1001" s="1">
        <v>1500</v>
      </c>
      <c r="X1001" s="1">
        <v>1475</v>
      </c>
      <c r="Y1001" s="1">
        <v>591</v>
      </c>
      <c r="Z1001" s="1">
        <v>295</v>
      </c>
      <c r="AA1001" s="1">
        <v>589</v>
      </c>
      <c r="AB1001" s="1">
        <v>0</v>
      </c>
      <c r="AC1001" s="1">
        <v>1</v>
      </c>
      <c r="AD1001" s="1" t="s">
        <v>215</v>
      </c>
      <c r="AE1001" s="1" t="s">
        <v>11824</v>
      </c>
      <c r="AF1001" s="1" t="s">
        <v>11825</v>
      </c>
      <c r="AG1001" s="1" t="s">
        <v>11826</v>
      </c>
      <c r="AH1001" s="1" t="s">
        <v>11827</v>
      </c>
      <c r="AI1001" s="1">
        <v>4.58</v>
      </c>
      <c r="AJ1001" s="1">
        <v>254</v>
      </c>
      <c r="AK1001" s="1">
        <v>788</v>
      </c>
      <c r="AL1001" s="1">
        <v>9</v>
      </c>
    </row>
    <row r="1002" spans="1:38" ht="15.75" customHeight="1">
      <c r="A1002" s="1">
        <v>767</v>
      </c>
      <c r="B1002" s="1">
        <v>5</v>
      </c>
      <c r="C1002" s="1">
        <v>4001</v>
      </c>
      <c r="D1002" s="1" t="s">
        <v>51</v>
      </c>
      <c r="E1002" s="1" t="s">
        <v>39</v>
      </c>
      <c r="F1002" s="1" t="s">
        <v>305</v>
      </c>
      <c r="G1002" s="1">
        <v>0</v>
      </c>
      <c r="H1002" s="1" t="s">
        <v>53</v>
      </c>
      <c r="I1002" s="1" t="s">
        <v>11828</v>
      </c>
      <c r="J1002" s="1" t="s">
        <v>11829</v>
      </c>
      <c r="K1002" s="1" t="s">
        <v>11830</v>
      </c>
      <c r="L1002" s="1">
        <v>1</v>
      </c>
      <c r="M1002" s="1">
        <v>0</v>
      </c>
      <c r="N1002" s="1" t="s">
        <v>11831</v>
      </c>
      <c r="O1002" s="1" t="s">
        <v>11832</v>
      </c>
      <c r="P1002" s="1" t="s">
        <v>11833</v>
      </c>
      <c r="Q1002" s="1">
        <v>0</v>
      </c>
      <c r="R1002" s="1" t="s">
        <v>11834</v>
      </c>
      <c r="S1002" s="1" t="s">
        <v>11835</v>
      </c>
      <c r="U1002" s="2">
        <v>56771</v>
      </c>
      <c r="V1002" s="1">
        <v>2.4954501520000001</v>
      </c>
      <c r="W1002" s="1">
        <v>1500</v>
      </c>
      <c r="X1002" s="1">
        <v>966</v>
      </c>
      <c r="Y1002" s="1">
        <v>174</v>
      </c>
      <c r="Z1002" s="1">
        <v>303</v>
      </c>
      <c r="AA1002" s="1">
        <v>489</v>
      </c>
      <c r="AB1002" s="1">
        <v>0</v>
      </c>
      <c r="AC1002" s="1">
        <v>3</v>
      </c>
      <c r="AD1002" s="1" t="s">
        <v>215</v>
      </c>
      <c r="AE1002" s="1" t="s">
        <v>11836</v>
      </c>
      <c r="AF1002" s="1" t="s">
        <v>11837</v>
      </c>
      <c r="AG1002" s="1" t="s">
        <v>11838</v>
      </c>
      <c r="AH1002" s="1" t="s">
        <v>11839</v>
      </c>
      <c r="AI1002" s="1">
        <v>4.5199999999999996</v>
      </c>
      <c r="AJ1002" s="1">
        <v>183</v>
      </c>
      <c r="AK1002" s="1">
        <v>522</v>
      </c>
    </row>
    <row r="1003" spans="1:38" ht="15.75" customHeight="1">
      <c r="A1003" s="1">
        <v>384</v>
      </c>
      <c r="B1003" s="1">
        <v>4</v>
      </c>
      <c r="C1003" s="1">
        <v>4001</v>
      </c>
      <c r="D1003" s="1" t="s">
        <v>51</v>
      </c>
      <c r="E1003" s="1" t="s">
        <v>39</v>
      </c>
      <c r="F1003" s="1" t="s">
        <v>52</v>
      </c>
      <c r="G1003" s="1">
        <v>0</v>
      </c>
      <c r="H1003" s="1" t="s">
        <v>53</v>
      </c>
      <c r="I1003" s="1" t="s">
        <v>11840</v>
      </c>
      <c r="J1003" s="1" t="s">
        <v>11841</v>
      </c>
      <c r="K1003" s="1" t="s">
        <v>11842</v>
      </c>
      <c r="L1003" s="1">
        <v>1</v>
      </c>
      <c r="M1003" s="1">
        <v>0</v>
      </c>
      <c r="N1003" s="1" t="s">
        <v>11843</v>
      </c>
      <c r="O1003" s="1" t="s">
        <v>11844</v>
      </c>
      <c r="P1003" s="1" t="s">
        <v>11845</v>
      </c>
      <c r="Q1003" s="1">
        <v>0</v>
      </c>
      <c r="R1003" s="1" t="s">
        <v>11846</v>
      </c>
      <c r="S1003" s="1" t="s">
        <v>11847</v>
      </c>
      <c r="U1003" s="2">
        <v>56768</v>
      </c>
      <c r="V1003" s="1">
        <v>4.2</v>
      </c>
      <c r="W1003" s="1">
        <v>1500</v>
      </c>
      <c r="X1003" s="1">
        <v>1703</v>
      </c>
      <c r="Y1003" s="1">
        <v>294</v>
      </c>
      <c r="Z1003" s="1">
        <v>1102</v>
      </c>
      <c r="AA1003" s="1">
        <v>307</v>
      </c>
      <c r="AB1003" s="1">
        <v>0</v>
      </c>
      <c r="AC1003" s="1">
        <v>2</v>
      </c>
      <c r="AD1003" s="1" t="s">
        <v>215</v>
      </c>
      <c r="AE1003" s="1" t="s">
        <v>11848</v>
      </c>
      <c r="AF1003" s="1" t="s">
        <v>11849</v>
      </c>
      <c r="AG1003" s="1" t="s">
        <v>11850</v>
      </c>
      <c r="AH1003" s="1" t="s">
        <v>11851</v>
      </c>
      <c r="AI1003" s="1">
        <v>4.17</v>
      </c>
      <c r="AJ1003" s="1">
        <v>457</v>
      </c>
      <c r="AK1003" s="1">
        <v>1599</v>
      </c>
    </row>
    <row r="1004" spans="1:38" ht="15.75" customHeight="1">
      <c r="A1004" s="1">
        <v>6</v>
      </c>
      <c r="B1004" s="1">
        <v>5</v>
      </c>
      <c r="C1004" s="1">
        <v>4050</v>
      </c>
      <c r="D1004" s="1" t="s">
        <v>38</v>
      </c>
      <c r="E1004" s="1" t="s">
        <v>39</v>
      </c>
      <c r="F1004" s="1" t="s">
        <v>195</v>
      </c>
      <c r="G1004" s="1">
        <v>0</v>
      </c>
      <c r="H1004" s="1" t="s">
        <v>41</v>
      </c>
      <c r="I1004" s="1" t="s">
        <v>11852</v>
      </c>
      <c r="J1004" s="1" t="s">
        <v>11853</v>
      </c>
      <c r="K1004" s="1" t="s">
        <v>11853</v>
      </c>
      <c r="L1004" s="1">
        <v>0</v>
      </c>
      <c r="M1004" s="1">
        <v>0</v>
      </c>
      <c r="N1004" s="1" t="s">
        <v>11854</v>
      </c>
      <c r="O1004" s="1" t="s">
        <v>11855</v>
      </c>
      <c r="P1004" s="1" t="s">
        <v>11856</v>
      </c>
      <c r="Q1004" s="1">
        <v>0</v>
      </c>
      <c r="R1004" s="1" t="s">
        <v>11857</v>
      </c>
      <c r="S1004" s="1" t="s">
        <v>11858</v>
      </c>
      <c r="U1004" s="2">
        <v>56766</v>
      </c>
      <c r="V1004" s="1">
        <v>4.7</v>
      </c>
      <c r="W1004" s="1">
        <v>1500</v>
      </c>
      <c r="X1004" s="1">
        <v>3370</v>
      </c>
      <c r="Y1004" s="1">
        <v>978</v>
      </c>
      <c r="Z1004" s="1">
        <v>991</v>
      </c>
      <c r="AA1004" s="1">
        <v>1401</v>
      </c>
      <c r="AB1004" s="1">
        <v>0</v>
      </c>
      <c r="AC1004" s="1">
        <v>1</v>
      </c>
      <c r="AD1004" s="1" t="s">
        <v>62</v>
      </c>
      <c r="AE1004" s="1" t="s">
        <v>11859</v>
      </c>
      <c r="AF1004" s="1" t="s">
        <v>11860</v>
      </c>
      <c r="AG1004" s="1" t="s">
        <v>11861</v>
      </c>
      <c r="AH1004" s="1" t="s">
        <v>11862</v>
      </c>
      <c r="AI1004" s="1">
        <v>4.66</v>
      </c>
      <c r="AJ1004" s="1">
        <v>161</v>
      </c>
      <c r="AK1004" s="1">
        <v>398</v>
      </c>
    </row>
    <row r="1005" spans="1:38" ht="15.75" customHeight="1">
      <c r="A1005" s="1">
        <v>145</v>
      </c>
      <c r="C1005" s="1">
        <v>4050</v>
      </c>
      <c r="D1005" s="1" t="s">
        <v>38</v>
      </c>
      <c r="E1005" s="1" t="s">
        <v>39</v>
      </c>
      <c r="F1005" s="1" t="s">
        <v>116</v>
      </c>
      <c r="G1005" s="1">
        <v>0</v>
      </c>
      <c r="H1005" s="1" t="s">
        <v>41</v>
      </c>
      <c r="I1005" s="1" t="s">
        <v>11863</v>
      </c>
      <c r="J1005" s="1" t="s">
        <v>11864</v>
      </c>
      <c r="K1005" s="1" t="s">
        <v>11865</v>
      </c>
      <c r="L1005" s="1">
        <v>1</v>
      </c>
      <c r="M1005" s="1">
        <v>0</v>
      </c>
      <c r="N1005" s="1" t="s">
        <v>11866</v>
      </c>
      <c r="O1005" s="1" t="s">
        <v>11867</v>
      </c>
      <c r="P1005" s="1" t="s">
        <v>11868</v>
      </c>
      <c r="Q1005" s="1">
        <v>0</v>
      </c>
      <c r="R1005" s="1" t="s">
        <v>11869</v>
      </c>
      <c r="S1005" s="1" t="s">
        <v>11870</v>
      </c>
      <c r="U1005" s="2">
        <v>56767</v>
      </c>
      <c r="V1005" s="1">
        <v>4.5999999999999996</v>
      </c>
      <c r="W1005" s="1">
        <v>1500</v>
      </c>
      <c r="X1005" s="1">
        <v>1296</v>
      </c>
      <c r="Y1005" s="1">
        <v>455</v>
      </c>
      <c r="Z1005" s="1">
        <v>329</v>
      </c>
      <c r="AA1005" s="1">
        <v>512</v>
      </c>
      <c r="AB1005" s="1">
        <v>0</v>
      </c>
      <c r="AC1005" s="1">
        <v>1</v>
      </c>
      <c r="AD1005" s="1" t="s">
        <v>215</v>
      </c>
      <c r="AE1005" s="1" t="s">
        <v>11871</v>
      </c>
      <c r="AF1005" s="1" t="s">
        <v>11872</v>
      </c>
      <c r="AG1005" s="1" t="s">
        <v>11873</v>
      </c>
      <c r="AH1005" s="1" t="s">
        <v>11874</v>
      </c>
      <c r="AI1005" s="1">
        <v>4.8899999999999997</v>
      </c>
      <c r="AJ1005" s="1">
        <v>1778</v>
      </c>
      <c r="AK1005" s="1">
        <v>5138</v>
      </c>
      <c r="AL1005" s="1">
        <v>314</v>
      </c>
    </row>
    <row r="1006" spans="1:38" ht="15.75" customHeight="1">
      <c r="A1006" s="1">
        <v>311</v>
      </c>
      <c r="C1006" s="1">
        <v>4001</v>
      </c>
      <c r="D1006" s="1" t="s">
        <v>51</v>
      </c>
      <c r="E1006" s="1" t="s">
        <v>39</v>
      </c>
      <c r="F1006" s="1" t="s">
        <v>341</v>
      </c>
      <c r="G1006" s="1">
        <v>0</v>
      </c>
      <c r="H1006" s="1" t="s">
        <v>41</v>
      </c>
      <c r="I1006" s="1" t="s">
        <v>11875</v>
      </c>
      <c r="J1006" s="1" t="s">
        <v>11876</v>
      </c>
      <c r="K1006" s="1" t="s">
        <v>11877</v>
      </c>
      <c r="L1006" s="1">
        <v>1</v>
      </c>
      <c r="M1006" s="1">
        <v>0</v>
      </c>
      <c r="N1006" s="1" t="s">
        <v>11878</v>
      </c>
      <c r="O1006" s="1" t="s">
        <v>11879</v>
      </c>
      <c r="P1006" s="1" t="s">
        <v>11880</v>
      </c>
      <c r="Q1006" s="1">
        <v>0</v>
      </c>
      <c r="R1006" s="1" t="s">
        <v>11881</v>
      </c>
      <c r="S1006" s="1" t="s">
        <v>11882</v>
      </c>
      <c r="U1006" s="2">
        <v>56768</v>
      </c>
      <c r="V1006" s="1">
        <v>4.5</v>
      </c>
      <c r="W1006" s="1">
        <v>1500</v>
      </c>
      <c r="X1006" s="1">
        <v>2690</v>
      </c>
      <c r="Y1006" s="1">
        <v>2223</v>
      </c>
      <c r="Z1006" s="1">
        <v>84</v>
      </c>
      <c r="AA1006" s="1">
        <v>383</v>
      </c>
      <c r="AB1006" s="1">
        <v>1</v>
      </c>
      <c r="AC1006" s="1">
        <v>2</v>
      </c>
      <c r="AE1006" s="1" t="s">
        <v>11883</v>
      </c>
      <c r="AF1006" s="1" t="s">
        <v>11884</v>
      </c>
      <c r="AG1006" s="1" t="s">
        <v>11885</v>
      </c>
      <c r="AH1006" s="1" t="s">
        <v>11886</v>
      </c>
      <c r="AI1006" s="1">
        <v>4.54</v>
      </c>
      <c r="AJ1006" s="1">
        <v>2229</v>
      </c>
      <c r="AK1006" s="1">
        <v>6580</v>
      </c>
    </row>
    <row r="1007" spans="1:38" ht="15.75" customHeight="1">
      <c r="A1007" s="1">
        <v>883</v>
      </c>
      <c r="C1007" s="1">
        <v>4050</v>
      </c>
      <c r="D1007" s="1" t="s">
        <v>38</v>
      </c>
      <c r="E1007" s="1" t="s">
        <v>39</v>
      </c>
      <c r="F1007" s="1" t="s">
        <v>510</v>
      </c>
      <c r="G1007" s="1">
        <v>0</v>
      </c>
      <c r="H1007" s="1" t="s">
        <v>41</v>
      </c>
      <c r="I1007" s="1" t="s">
        <v>11887</v>
      </c>
      <c r="J1007" s="1" t="s">
        <v>11888</v>
      </c>
      <c r="K1007" s="1" t="s">
        <v>11889</v>
      </c>
      <c r="L1007" s="1">
        <v>1</v>
      </c>
      <c r="M1007" s="1">
        <v>0</v>
      </c>
      <c r="N1007" s="1" t="s">
        <v>11890</v>
      </c>
      <c r="O1007" s="1" t="s">
        <v>11891</v>
      </c>
      <c r="P1007" s="1" t="s">
        <v>11892</v>
      </c>
      <c r="Q1007" s="1">
        <v>1</v>
      </c>
      <c r="R1007" s="1" t="s">
        <v>11893</v>
      </c>
      <c r="S1007" s="1" t="s">
        <v>11894</v>
      </c>
      <c r="U1007" s="2">
        <v>56772</v>
      </c>
      <c r="V1007" s="1">
        <v>4.5</v>
      </c>
      <c r="W1007" s="1">
        <v>1500</v>
      </c>
      <c r="X1007" s="1">
        <v>2129</v>
      </c>
      <c r="Y1007" s="1">
        <v>1234</v>
      </c>
      <c r="Z1007" s="1">
        <v>109</v>
      </c>
      <c r="AA1007" s="1">
        <v>786</v>
      </c>
      <c r="AB1007" s="1">
        <v>0</v>
      </c>
      <c r="AC1007" s="1">
        <v>3</v>
      </c>
      <c r="AD1007" s="1" t="s">
        <v>76</v>
      </c>
      <c r="AE1007" s="1" t="s">
        <v>11895</v>
      </c>
      <c r="AF1007" s="1" t="s">
        <v>11896</v>
      </c>
      <c r="AG1007" s="1" t="s">
        <v>11897</v>
      </c>
      <c r="AH1007" s="1" t="s">
        <v>11898</v>
      </c>
      <c r="AI1007" s="1">
        <v>4.62</v>
      </c>
      <c r="AJ1007" s="1">
        <v>259</v>
      </c>
      <c r="AK1007" s="1">
        <v>604</v>
      </c>
      <c r="AL1007" s="1">
        <v>21</v>
      </c>
    </row>
    <row r="1008" spans="1:38" ht="15.75" customHeight="1">
      <c r="A1008" s="1">
        <v>1568</v>
      </c>
      <c r="C1008" s="1">
        <v>4001</v>
      </c>
      <c r="D1008" s="1" t="s">
        <v>51</v>
      </c>
      <c r="E1008" s="1" t="s">
        <v>39</v>
      </c>
      <c r="F1008" s="1" t="s">
        <v>305</v>
      </c>
      <c r="G1008" s="1">
        <v>0</v>
      </c>
      <c r="H1008" s="1" t="s">
        <v>53</v>
      </c>
      <c r="I1008" s="1" t="s">
        <v>11899</v>
      </c>
      <c r="J1008" s="1" t="s">
        <v>11900</v>
      </c>
      <c r="K1008" s="1" t="s">
        <v>11901</v>
      </c>
      <c r="L1008" s="1">
        <v>1</v>
      </c>
      <c r="M1008" s="1">
        <v>0</v>
      </c>
      <c r="N1008" s="1" t="s">
        <v>11902</v>
      </c>
      <c r="O1008" s="1" t="s">
        <v>11903</v>
      </c>
      <c r="P1008" s="1" t="s">
        <v>11904</v>
      </c>
      <c r="Q1008" s="1">
        <v>0</v>
      </c>
      <c r="R1008" s="1" t="s">
        <v>11905</v>
      </c>
      <c r="S1008" s="1" t="s">
        <v>11906</v>
      </c>
      <c r="U1008" s="2">
        <v>56778</v>
      </c>
      <c r="V1008" s="1">
        <v>3.897026173</v>
      </c>
      <c r="W1008" s="1">
        <v>1500</v>
      </c>
      <c r="X1008" s="1">
        <v>850</v>
      </c>
      <c r="Y1008" s="1">
        <v>134</v>
      </c>
      <c r="Z1008" s="1">
        <v>117</v>
      </c>
      <c r="AA1008" s="1">
        <v>599</v>
      </c>
      <c r="AB1008" s="1">
        <v>0</v>
      </c>
      <c r="AC1008" s="1">
        <v>1</v>
      </c>
      <c r="AD1008" s="1" t="s">
        <v>215</v>
      </c>
      <c r="AE1008" s="1" t="s">
        <v>11907</v>
      </c>
      <c r="AF1008" s="1" t="s">
        <v>11908</v>
      </c>
      <c r="AG1008" s="1" t="s">
        <v>11909</v>
      </c>
      <c r="AH1008" s="1" t="s">
        <v>11910</v>
      </c>
      <c r="AI1008" s="1">
        <v>4.5199999999999996</v>
      </c>
      <c r="AJ1008" s="1">
        <v>183</v>
      </c>
      <c r="AK1008" s="1">
        <v>522</v>
      </c>
    </row>
    <row r="1009" spans="1:38" ht="15.75" customHeight="1">
      <c r="A1009" s="1">
        <v>454</v>
      </c>
      <c r="C1009" s="1">
        <v>4050</v>
      </c>
      <c r="D1009" s="1" t="s">
        <v>38</v>
      </c>
      <c r="E1009" s="1" t="s">
        <v>39</v>
      </c>
      <c r="F1009" s="1" t="s">
        <v>510</v>
      </c>
      <c r="G1009" s="1">
        <v>0</v>
      </c>
      <c r="H1009" s="1" t="s">
        <v>41</v>
      </c>
      <c r="I1009" s="1" t="s">
        <v>11911</v>
      </c>
      <c r="J1009" s="1" t="s">
        <v>11912</v>
      </c>
      <c r="K1009" s="1" t="s">
        <v>11913</v>
      </c>
      <c r="L1009" s="1">
        <v>1</v>
      </c>
      <c r="M1009" s="1">
        <v>0</v>
      </c>
      <c r="N1009" s="1" t="s">
        <v>11914</v>
      </c>
      <c r="O1009" s="1" t="s">
        <v>11915</v>
      </c>
      <c r="P1009" s="1" t="s">
        <v>11916</v>
      </c>
      <c r="Q1009" s="1">
        <v>0</v>
      </c>
      <c r="R1009" s="1" t="s">
        <v>11917</v>
      </c>
      <c r="S1009" s="1" t="s">
        <v>11918</v>
      </c>
      <c r="U1009" s="2">
        <v>56769</v>
      </c>
      <c r="V1009" s="1">
        <v>4.7</v>
      </c>
      <c r="W1009" s="1">
        <v>1500</v>
      </c>
      <c r="X1009" s="1">
        <v>1565</v>
      </c>
      <c r="Y1009" s="1">
        <v>871</v>
      </c>
      <c r="Z1009" s="1">
        <v>180</v>
      </c>
      <c r="AA1009" s="1">
        <v>514</v>
      </c>
      <c r="AB1009" s="1">
        <v>0</v>
      </c>
      <c r="AC1009" s="1">
        <v>1</v>
      </c>
      <c r="AD1009" s="1" t="s">
        <v>62</v>
      </c>
      <c r="AE1009" s="1" t="s">
        <v>11919</v>
      </c>
      <c r="AF1009" s="1" t="s">
        <v>11920</v>
      </c>
      <c r="AG1009" s="1" t="s">
        <v>11921</v>
      </c>
      <c r="AH1009" s="1" t="s">
        <v>11922</v>
      </c>
      <c r="AI1009" s="1">
        <v>4.62</v>
      </c>
      <c r="AJ1009" s="1">
        <v>259</v>
      </c>
      <c r="AK1009" s="1">
        <v>604</v>
      </c>
      <c r="AL1009" s="1">
        <v>21</v>
      </c>
    </row>
    <row r="1010" spans="1:38" ht="15.75" customHeight="1">
      <c r="A1010" s="1">
        <v>413</v>
      </c>
      <c r="B1010" s="1">
        <v>5</v>
      </c>
      <c r="C1010" s="1">
        <v>4050</v>
      </c>
      <c r="D1010" s="1" t="s">
        <v>38</v>
      </c>
      <c r="E1010" s="1" t="s">
        <v>39</v>
      </c>
      <c r="F1010" s="1" t="s">
        <v>510</v>
      </c>
      <c r="G1010" s="1">
        <v>0</v>
      </c>
      <c r="H1010" s="1" t="s">
        <v>41</v>
      </c>
      <c r="I1010" s="1" t="s">
        <v>11923</v>
      </c>
      <c r="J1010" s="1" t="s">
        <v>11924</v>
      </c>
      <c r="K1010" s="1" t="s">
        <v>11925</v>
      </c>
      <c r="L1010" s="1">
        <v>1</v>
      </c>
      <c r="M1010" s="1">
        <v>0</v>
      </c>
      <c r="N1010" s="1" t="s">
        <v>11926</v>
      </c>
      <c r="O1010" s="1" t="s">
        <v>11927</v>
      </c>
      <c r="P1010" s="1" t="s">
        <v>11928</v>
      </c>
      <c r="Q1010" s="1">
        <v>0</v>
      </c>
      <c r="R1010" s="1" t="s">
        <v>11929</v>
      </c>
      <c r="S1010" s="1" t="s">
        <v>11930</v>
      </c>
      <c r="U1010" s="2">
        <v>56769</v>
      </c>
      <c r="V1010" s="1">
        <v>4.3</v>
      </c>
      <c r="W1010" s="1">
        <v>1500</v>
      </c>
      <c r="X1010" s="1">
        <v>2958</v>
      </c>
      <c r="Y1010" s="1">
        <v>1181</v>
      </c>
      <c r="Z1010" s="1">
        <v>633</v>
      </c>
      <c r="AA1010" s="1">
        <v>1144</v>
      </c>
      <c r="AB1010" s="1">
        <v>0</v>
      </c>
      <c r="AC1010" s="1">
        <v>3</v>
      </c>
      <c r="AD1010" s="1" t="s">
        <v>76</v>
      </c>
      <c r="AE1010" s="1" t="s">
        <v>11931</v>
      </c>
      <c r="AF1010" s="1" t="s">
        <v>11932</v>
      </c>
      <c r="AG1010" s="1" t="s">
        <v>11933</v>
      </c>
      <c r="AH1010" s="1" t="s">
        <v>11934</v>
      </c>
      <c r="AI1010" s="1">
        <v>4.62</v>
      </c>
      <c r="AJ1010" s="1">
        <v>259</v>
      </c>
      <c r="AK1010" s="1">
        <v>604</v>
      </c>
      <c r="AL1010" s="1">
        <v>21</v>
      </c>
    </row>
    <row r="1011" spans="1:38" ht="15.75" customHeight="1">
      <c r="A1011" s="1">
        <v>189</v>
      </c>
      <c r="C1011" s="1">
        <v>4001</v>
      </c>
      <c r="D1011" s="1" t="s">
        <v>51</v>
      </c>
      <c r="E1011" s="1" t="s">
        <v>39</v>
      </c>
      <c r="F1011" s="1" t="s">
        <v>92</v>
      </c>
      <c r="G1011" s="1">
        <v>0</v>
      </c>
      <c r="H1011" s="1" t="s">
        <v>41</v>
      </c>
      <c r="I1011" s="1" t="s">
        <v>11935</v>
      </c>
      <c r="J1011" s="1" t="s">
        <v>11936</v>
      </c>
      <c r="K1011" s="1" t="s">
        <v>11937</v>
      </c>
      <c r="L1011" s="1">
        <v>1</v>
      </c>
      <c r="M1011" s="1">
        <v>0</v>
      </c>
      <c r="N1011" s="1" t="s">
        <v>11938</v>
      </c>
      <c r="O1011" s="1" t="s">
        <v>11939</v>
      </c>
      <c r="P1011" s="1" t="s">
        <v>11940</v>
      </c>
      <c r="Q1011" s="1">
        <v>0</v>
      </c>
      <c r="R1011" s="1" t="s">
        <v>11941</v>
      </c>
      <c r="S1011" s="1" t="s">
        <v>11942</v>
      </c>
      <c r="U1011" s="2">
        <v>56767</v>
      </c>
      <c r="V1011" s="1">
        <v>3.3645375990000002</v>
      </c>
      <c r="W1011" s="1">
        <v>1500</v>
      </c>
      <c r="X1011" s="1">
        <v>2090</v>
      </c>
      <c r="Y1011" s="1">
        <v>408</v>
      </c>
      <c r="Z1011" s="1">
        <v>203</v>
      </c>
      <c r="AA1011" s="1">
        <v>1479</v>
      </c>
      <c r="AB1011" s="1">
        <v>0</v>
      </c>
      <c r="AC1011" s="1">
        <v>1</v>
      </c>
      <c r="AD1011" s="1" t="s">
        <v>215</v>
      </c>
      <c r="AE1011" s="1" t="s">
        <v>11943</v>
      </c>
      <c r="AF1011" s="1" t="s">
        <v>11944</v>
      </c>
      <c r="AG1011" s="1" t="s">
        <v>11945</v>
      </c>
      <c r="AH1011" s="1" t="s">
        <v>11946</v>
      </c>
      <c r="AI1011" s="1">
        <v>4.03</v>
      </c>
      <c r="AJ1011" s="1">
        <v>505</v>
      </c>
      <c r="AK1011" s="1">
        <v>1721</v>
      </c>
      <c r="AL1011" s="1">
        <v>457</v>
      </c>
    </row>
    <row r="1012" spans="1:38" ht="15.75" customHeight="1">
      <c r="A1012" s="1">
        <v>255</v>
      </c>
      <c r="C1012" s="1">
        <v>4050</v>
      </c>
      <c r="D1012" s="1" t="s">
        <v>38</v>
      </c>
      <c r="E1012" s="1" t="s">
        <v>39</v>
      </c>
      <c r="F1012" s="1" t="s">
        <v>510</v>
      </c>
      <c r="G1012" s="1">
        <v>0</v>
      </c>
      <c r="H1012" s="1" t="s">
        <v>41</v>
      </c>
      <c r="I1012" s="1" t="s">
        <v>11947</v>
      </c>
      <c r="J1012" s="1" t="s">
        <v>11948</v>
      </c>
      <c r="K1012" s="1" t="s">
        <v>11948</v>
      </c>
      <c r="L1012" s="1">
        <v>0</v>
      </c>
      <c r="M1012" s="1">
        <v>0</v>
      </c>
      <c r="N1012" s="1" t="s">
        <v>11949</v>
      </c>
      <c r="O1012" s="1" t="s">
        <v>11950</v>
      </c>
      <c r="P1012" s="1" t="s">
        <v>11951</v>
      </c>
      <c r="Q1012" s="1">
        <v>0</v>
      </c>
      <c r="R1012" s="1" t="s">
        <v>11952</v>
      </c>
      <c r="S1012" s="1" t="s">
        <v>11953</v>
      </c>
      <c r="U1012" s="2">
        <v>56768</v>
      </c>
      <c r="V1012" s="1">
        <v>3.3379757900000002</v>
      </c>
      <c r="W1012" s="1">
        <v>1500</v>
      </c>
      <c r="X1012" s="1">
        <v>3299</v>
      </c>
      <c r="Y1012" s="1">
        <v>976</v>
      </c>
      <c r="Z1012" s="1">
        <v>1385</v>
      </c>
      <c r="AA1012" s="1">
        <v>938</v>
      </c>
      <c r="AB1012" s="1">
        <v>0</v>
      </c>
      <c r="AC1012" s="1">
        <v>2</v>
      </c>
      <c r="AD1012" s="1" t="s">
        <v>215</v>
      </c>
      <c r="AE1012" s="1" t="s">
        <v>11954</v>
      </c>
      <c r="AF1012" s="1" t="s">
        <v>11955</v>
      </c>
      <c r="AG1012" s="1" t="s">
        <v>11956</v>
      </c>
      <c r="AH1012" s="1" t="s">
        <v>11957</v>
      </c>
      <c r="AI1012" s="1">
        <v>4.62</v>
      </c>
      <c r="AJ1012" s="1">
        <v>259</v>
      </c>
      <c r="AK1012" s="1">
        <v>604</v>
      </c>
      <c r="AL1012" s="1">
        <v>21</v>
      </c>
    </row>
    <row r="1013" spans="1:38" ht="15.75" customHeight="1">
      <c r="A1013" s="1">
        <v>552</v>
      </c>
      <c r="B1013" s="1">
        <v>5</v>
      </c>
      <c r="C1013" s="1">
        <v>4001</v>
      </c>
      <c r="D1013" s="1" t="s">
        <v>51</v>
      </c>
      <c r="E1013" s="1" t="s">
        <v>39</v>
      </c>
      <c r="F1013" s="1" t="s">
        <v>92</v>
      </c>
      <c r="G1013" s="1">
        <v>0</v>
      </c>
      <c r="H1013" s="1" t="s">
        <v>41</v>
      </c>
      <c r="I1013" s="1" t="s">
        <v>11958</v>
      </c>
      <c r="J1013" s="1" t="s">
        <v>11959</v>
      </c>
      <c r="K1013" s="1" t="s">
        <v>11960</v>
      </c>
      <c r="L1013" s="1">
        <v>1</v>
      </c>
      <c r="M1013" s="1">
        <v>0</v>
      </c>
      <c r="N1013" s="1" t="s">
        <v>11961</v>
      </c>
      <c r="O1013" s="1" t="s">
        <v>11962</v>
      </c>
      <c r="P1013" s="1" t="s">
        <v>11963</v>
      </c>
      <c r="Q1013" s="1">
        <v>0</v>
      </c>
      <c r="R1013" s="1" t="s">
        <v>11964</v>
      </c>
      <c r="S1013" s="1" t="s">
        <v>11965</v>
      </c>
      <c r="U1013" s="2">
        <v>56770</v>
      </c>
      <c r="V1013" s="1">
        <v>4.4000000000000004</v>
      </c>
      <c r="W1013" s="1">
        <v>1500</v>
      </c>
      <c r="X1013" s="1">
        <v>1413</v>
      </c>
      <c r="Y1013" s="1">
        <v>477</v>
      </c>
      <c r="Z1013" s="1">
        <v>467</v>
      </c>
      <c r="AA1013" s="1">
        <v>469</v>
      </c>
      <c r="AB1013" s="1">
        <v>1</v>
      </c>
      <c r="AC1013" s="1">
        <v>25</v>
      </c>
      <c r="AE1013" s="1" t="s">
        <v>11966</v>
      </c>
      <c r="AF1013" s="1" t="s">
        <v>11967</v>
      </c>
      <c r="AG1013" s="1" t="s">
        <v>11968</v>
      </c>
      <c r="AH1013" s="1" t="s">
        <v>11969</v>
      </c>
      <c r="AI1013" s="1">
        <v>4.03</v>
      </c>
      <c r="AJ1013" s="1">
        <v>505</v>
      </c>
      <c r="AK1013" s="1">
        <v>1721</v>
      </c>
      <c r="AL1013" s="1">
        <v>457</v>
      </c>
    </row>
    <row r="1014" spans="1:38" ht="15.75" customHeight="1">
      <c r="A1014" s="1">
        <v>760</v>
      </c>
      <c r="B1014" s="1">
        <v>5</v>
      </c>
      <c r="C1014" s="1">
        <v>4050</v>
      </c>
      <c r="D1014" s="1" t="s">
        <v>38</v>
      </c>
      <c r="E1014" s="1" t="s">
        <v>39</v>
      </c>
      <c r="F1014" s="1" t="s">
        <v>116</v>
      </c>
      <c r="G1014" s="1">
        <v>0</v>
      </c>
      <c r="H1014" s="1" t="s">
        <v>41</v>
      </c>
      <c r="I1014" s="1" t="s">
        <v>11970</v>
      </c>
      <c r="J1014" s="1" t="s">
        <v>11971</v>
      </c>
      <c r="K1014" s="1" t="s">
        <v>11972</v>
      </c>
      <c r="L1014" s="1">
        <v>1</v>
      </c>
      <c r="M1014" s="1">
        <v>0</v>
      </c>
      <c r="N1014" s="1" t="s">
        <v>11973</v>
      </c>
      <c r="O1014" s="1" t="s">
        <v>11974</v>
      </c>
      <c r="P1014" s="1" t="s">
        <v>11975</v>
      </c>
      <c r="Q1014" s="1">
        <v>0</v>
      </c>
      <c r="R1014" s="1" t="s">
        <v>11976</v>
      </c>
      <c r="U1014" s="2">
        <v>56771</v>
      </c>
      <c r="V1014" s="1">
        <v>4.3</v>
      </c>
      <c r="W1014" s="1">
        <v>1500</v>
      </c>
      <c r="X1014" s="1">
        <v>2295</v>
      </c>
      <c r="AA1014" s="1">
        <v>455</v>
      </c>
      <c r="AB1014" s="1">
        <v>0</v>
      </c>
      <c r="AC1014" s="1">
        <v>3</v>
      </c>
      <c r="AE1014" s="1" t="s">
        <v>11977</v>
      </c>
      <c r="AF1014" s="1" t="s">
        <v>11978</v>
      </c>
      <c r="AG1014" s="1" t="s">
        <v>11979</v>
      </c>
      <c r="AI1014" s="1">
        <v>4.8899999999999997</v>
      </c>
      <c r="AJ1014" s="1">
        <v>1778</v>
      </c>
      <c r="AK1014" s="1">
        <v>5138</v>
      </c>
      <c r="AL1014" s="1">
        <v>314</v>
      </c>
    </row>
    <row r="1015" spans="1:38" ht="15.75" customHeight="1">
      <c r="A1015" s="1">
        <v>843</v>
      </c>
      <c r="B1015" s="1">
        <v>5</v>
      </c>
      <c r="C1015" s="1">
        <v>4050</v>
      </c>
      <c r="D1015" s="1" t="s">
        <v>38</v>
      </c>
      <c r="E1015" s="1" t="s">
        <v>39</v>
      </c>
      <c r="F1015" s="1" t="s">
        <v>510</v>
      </c>
      <c r="G1015" s="1">
        <v>0</v>
      </c>
      <c r="H1015" s="1" t="s">
        <v>41</v>
      </c>
      <c r="I1015" s="1" t="s">
        <v>11980</v>
      </c>
      <c r="J1015" s="1" t="s">
        <v>11981</v>
      </c>
      <c r="K1015" s="1" t="s">
        <v>11982</v>
      </c>
      <c r="L1015" s="1">
        <v>1</v>
      </c>
      <c r="M1015" s="1">
        <v>0</v>
      </c>
      <c r="N1015" s="1" t="s">
        <v>11983</v>
      </c>
      <c r="O1015" s="1" t="s">
        <v>11984</v>
      </c>
      <c r="P1015" s="1" t="s">
        <v>11985</v>
      </c>
      <c r="Q1015" s="1">
        <v>0</v>
      </c>
      <c r="R1015" s="1" t="s">
        <v>11986</v>
      </c>
      <c r="S1015" s="1" t="s">
        <v>11987</v>
      </c>
      <c r="U1015" s="2">
        <v>56772</v>
      </c>
      <c r="V1015" s="1">
        <v>4.5</v>
      </c>
      <c r="W1015" s="1">
        <v>1500</v>
      </c>
      <c r="X1015" s="1">
        <v>1755</v>
      </c>
      <c r="Y1015" s="1">
        <v>753</v>
      </c>
      <c r="Z1015" s="1">
        <v>162</v>
      </c>
      <c r="AA1015" s="1">
        <v>840</v>
      </c>
      <c r="AB1015" s="1">
        <v>0</v>
      </c>
      <c r="AC1015" s="1">
        <v>1</v>
      </c>
      <c r="AD1015" s="1" t="s">
        <v>76</v>
      </c>
      <c r="AE1015" s="1" t="s">
        <v>11988</v>
      </c>
      <c r="AF1015" s="1" t="s">
        <v>11989</v>
      </c>
      <c r="AG1015" s="1" t="s">
        <v>11990</v>
      </c>
      <c r="AH1015" s="1" t="s">
        <v>11991</v>
      </c>
      <c r="AI1015" s="1">
        <v>4.62</v>
      </c>
      <c r="AJ1015" s="1">
        <v>259</v>
      </c>
      <c r="AK1015" s="1">
        <v>604</v>
      </c>
      <c r="AL1015" s="1">
        <v>21</v>
      </c>
    </row>
    <row r="1016" spans="1:38" ht="15.75" customHeight="1">
      <c r="A1016" s="1">
        <v>1440</v>
      </c>
      <c r="B1016" s="1">
        <v>5</v>
      </c>
      <c r="C1016" s="1">
        <v>4001</v>
      </c>
      <c r="D1016" s="1" t="s">
        <v>51</v>
      </c>
      <c r="E1016" s="1" t="s">
        <v>39</v>
      </c>
      <c r="F1016" s="1" t="s">
        <v>2338</v>
      </c>
      <c r="G1016" s="1">
        <v>0</v>
      </c>
      <c r="H1016" s="1" t="s">
        <v>53</v>
      </c>
      <c r="I1016" s="1" t="s">
        <v>11992</v>
      </c>
      <c r="J1016" s="1" t="s">
        <v>11993</v>
      </c>
      <c r="K1016" s="1" t="s">
        <v>11994</v>
      </c>
      <c r="L1016" s="1">
        <v>1</v>
      </c>
      <c r="M1016" s="1">
        <v>0</v>
      </c>
      <c r="N1016" s="1" t="s">
        <v>11995</v>
      </c>
      <c r="O1016" s="1" t="s">
        <v>11996</v>
      </c>
      <c r="P1016" s="1" t="s">
        <v>11997</v>
      </c>
      <c r="Q1016" s="1">
        <v>0</v>
      </c>
      <c r="R1016" s="1" t="s">
        <v>11998</v>
      </c>
      <c r="S1016" s="1" t="s">
        <v>11999</v>
      </c>
      <c r="U1016" s="2">
        <v>56777</v>
      </c>
      <c r="V1016" s="1">
        <v>4.2</v>
      </c>
      <c r="W1016" s="1">
        <v>1500</v>
      </c>
      <c r="X1016" s="1">
        <v>4569</v>
      </c>
      <c r="Y1016" s="1">
        <v>1383</v>
      </c>
      <c r="Z1016" s="1">
        <v>1076</v>
      </c>
      <c r="AA1016" s="1">
        <v>2110</v>
      </c>
      <c r="AB1016" s="1">
        <v>0</v>
      </c>
      <c r="AC1016" s="1">
        <v>2</v>
      </c>
      <c r="AD1016" s="1" t="s">
        <v>62</v>
      </c>
      <c r="AE1016" s="1" t="s">
        <v>12000</v>
      </c>
      <c r="AF1016" s="1" t="s">
        <v>12001</v>
      </c>
      <c r="AG1016" s="1" t="s">
        <v>12002</v>
      </c>
      <c r="AH1016" s="1" t="s">
        <v>12003</v>
      </c>
      <c r="AI1016" s="1">
        <v>4.3510638300000002</v>
      </c>
      <c r="AJ1016" s="1">
        <v>62</v>
      </c>
      <c r="AK1016" s="1">
        <v>228</v>
      </c>
    </row>
    <row r="1017" spans="1:38" ht="15.75" customHeight="1">
      <c r="A1017" s="1">
        <v>734</v>
      </c>
      <c r="C1017" s="1">
        <v>4050</v>
      </c>
      <c r="D1017" s="1" t="s">
        <v>38</v>
      </c>
      <c r="E1017" s="1" t="s">
        <v>39</v>
      </c>
      <c r="F1017" s="1" t="s">
        <v>206</v>
      </c>
      <c r="G1017" s="1">
        <v>0</v>
      </c>
      <c r="H1017" s="1" t="s">
        <v>41</v>
      </c>
      <c r="I1017" s="1" t="s">
        <v>12004</v>
      </c>
      <c r="J1017" s="1" t="s">
        <v>12005</v>
      </c>
      <c r="K1017" s="1" t="s">
        <v>12006</v>
      </c>
      <c r="L1017" s="1">
        <v>1</v>
      </c>
      <c r="M1017" s="1">
        <v>0</v>
      </c>
      <c r="N1017" s="1" t="s">
        <v>12007</v>
      </c>
      <c r="O1017" s="1" t="s">
        <v>12008</v>
      </c>
      <c r="P1017" s="1" t="s">
        <v>12009</v>
      </c>
      <c r="Q1017" s="1">
        <v>0</v>
      </c>
      <c r="R1017" s="1" t="s">
        <v>12010</v>
      </c>
      <c r="S1017" s="1" t="s">
        <v>12011</v>
      </c>
      <c r="U1017" s="2">
        <v>56771</v>
      </c>
      <c r="V1017" s="1">
        <v>4.8</v>
      </c>
      <c r="W1017" s="1">
        <v>1500</v>
      </c>
      <c r="X1017" s="1">
        <v>1278</v>
      </c>
      <c r="Y1017" s="1">
        <v>680</v>
      </c>
      <c r="Z1017" s="1">
        <v>51</v>
      </c>
      <c r="AA1017" s="1">
        <v>547</v>
      </c>
      <c r="AB1017" s="1">
        <v>0</v>
      </c>
      <c r="AC1017" s="1">
        <v>1</v>
      </c>
      <c r="AD1017" s="1" t="s">
        <v>76</v>
      </c>
      <c r="AE1017" s="1" t="s">
        <v>12012</v>
      </c>
      <c r="AF1017" s="1" t="s">
        <v>12013</v>
      </c>
      <c r="AG1017" s="1" t="s">
        <v>12014</v>
      </c>
      <c r="AH1017" s="1" t="s">
        <v>12015</v>
      </c>
      <c r="AI1017" s="1">
        <v>4.3670886080000004</v>
      </c>
      <c r="AJ1017" s="1">
        <v>59</v>
      </c>
      <c r="AK1017" s="1">
        <v>198</v>
      </c>
      <c r="AL1017" s="1">
        <v>42</v>
      </c>
    </row>
    <row r="1018" spans="1:38" ht="15.75" customHeight="1">
      <c r="A1018" s="1">
        <v>914</v>
      </c>
      <c r="C1018" s="1">
        <v>4050</v>
      </c>
      <c r="D1018" s="1" t="s">
        <v>38</v>
      </c>
      <c r="E1018" s="1" t="s">
        <v>39</v>
      </c>
      <c r="F1018" s="1" t="s">
        <v>510</v>
      </c>
      <c r="G1018" s="1">
        <v>0</v>
      </c>
      <c r="H1018" s="1" t="s">
        <v>41</v>
      </c>
      <c r="I1018" s="1" t="s">
        <v>12016</v>
      </c>
      <c r="J1018" s="1" t="s">
        <v>12017</v>
      </c>
      <c r="K1018" s="1" t="s">
        <v>12018</v>
      </c>
      <c r="L1018" s="1">
        <v>1</v>
      </c>
      <c r="M1018" s="1">
        <v>0</v>
      </c>
      <c r="N1018" s="1" t="s">
        <v>12019</v>
      </c>
      <c r="O1018" s="1" t="s">
        <v>12020</v>
      </c>
      <c r="P1018" s="1" t="s">
        <v>12021</v>
      </c>
      <c r="Q1018" s="1">
        <v>0</v>
      </c>
      <c r="R1018" s="1" t="s">
        <v>12022</v>
      </c>
      <c r="S1018" s="1" t="s">
        <v>12023</v>
      </c>
      <c r="U1018" s="2">
        <v>56772</v>
      </c>
      <c r="V1018" s="1">
        <v>4.2</v>
      </c>
      <c r="W1018" s="1">
        <v>1500</v>
      </c>
      <c r="X1018" s="1">
        <v>2815</v>
      </c>
      <c r="Y1018" s="1">
        <v>638</v>
      </c>
      <c r="Z1018" s="1">
        <v>1512</v>
      </c>
      <c r="AA1018" s="1">
        <v>665</v>
      </c>
      <c r="AB1018" s="1">
        <v>0</v>
      </c>
      <c r="AC1018" s="1">
        <v>1</v>
      </c>
      <c r="AD1018" s="1" t="s">
        <v>62</v>
      </c>
      <c r="AE1018" s="1" t="s">
        <v>12024</v>
      </c>
      <c r="AF1018" s="1" t="s">
        <v>12025</v>
      </c>
      <c r="AG1018" s="1" t="s">
        <v>12026</v>
      </c>
      <c r="AH1018" s="1" t="s">
        <v>12027</v>
      </c>
      <c r="AI1018" s="1">
        <v>4.62</v>
      </c>
      <c r="AJ1018" s="1">
        <v>259</v>
      </c>
      <c r="AK1018" s="1">
        <v>604</v>
      </c>
      <c r="AL1018" s="1">
        <v>21</v>
      </c>
    </row>
    <row r="1019" spans="1:38" ht="15.75" customHeight="1">
      <c r="A1019" s="1">
        <v>953</v>
      </c>
      <c r="C1019" s="1">
        <v>4001</v>
      </c>
      <c r="D1019" s="1" t="s">
        <v>51</v>
      </c>
      <c r="E1019" s="1" t="s">
        <v>39</v>
      </c>
      <c r="F1019" s="1" t="s">
        <v>341</v>
      </c>
      <c r="G1019" s="1">
        <v>0</v>
      </c>
      <c r="H1019" s="1" t="s">
        <v>41</v>
      </c>
      <c r="I1019" s="1" t="s">
        <v>12028</v>
      </c>
      <c r="J1019" s="1" t="s">
        <v>12029</v>
      </c>
      <c r="K1019" s="1" t="s">
        <v>12030</v>
      </c>
      <c r="L1019" s="1">
        <v>1</v>
      </c>
      <c r="M1019" s="1">
        <v>0</v>
      </c>
      <c r="N1019" s="1" t="s">
        <v>12031</v>
      </c>
      <c r="O1019" s="1" t="s">
        <v>12032</v>
      </c>
      <c r="P1019" s="1" t="s">
        <v>12033</v>
      </c>
      <c r="Q1019" s="1">
        <v>0</v>
      </c>
      <c r="R1019" s="1" t="s">
        <v>12034</v>
      </c>
      <c r="S1019" s="1" t="s">
        <v>12035</v>
      </c>
      <c r="U1019" s="2">
        <v>56773</v>
      </c>
      <c r="V1019" s="1">
        <v>4.5999999999999996</v>
      </c>
      <c r="W1019" s="1">
        <v>1500</v>
      </c>
      <c r="X1019" s="1">
        <v>3257</v>
      </c>
      <c r="Y1019" s="1">
        <v>2428</v>
      </c>
      <c r="Z1019" s="1">
        <v>75</v>
      </c>
      <c r="AA1019" s="1">
        <v>754</v>
      </c>
      <c r="AB1019" s="1">
        <v>1</v>
      </c>
      <c r="AC1019" s="1">
        <v>1</v>
      </c>
      <c r="AE1019" s="1" t="s">
        <v>12036</v>
      </c>
      <c r="AF1019" s="1" t="s">
        <v>12037</v>
      </c>
      <c r="AG1019" s="1" t="s">
        <v>12038</v>
      </c>
      <c r="AH1019" s="1" t="s">
        <v>12039</v>
      </c>
      <c r="AI1019" s="1">
        <v>4.54</v>
      </c>
      <c r="AJ1019" s="1">
        <v>2229</v>
      </c>
      <c r="AK1019" s="1">
        <v>6580</v>
      </c>
    </row>
    <row r="1020" spans="1:38" ht="15.75" customHeight="1">
      <c r="A1020" s="1">
        <v>1579</v>
      </c>
      <c r="C1020" s="1">
        <v>4001</v>
      </c>
      <c r="D1020" s="1" t="s">
        <v>51</v>
      </c>
      <c r="E1020" s="1" t="s">
        <v>39</v>
      </c>
      <c r="F1020" s="1" t="s">
        <v>341</v>
      </c>
      <c r="G1020" s="1">
        <v>0</v>
      </c>
      <c r="H1020" s="1" t="s">
        <v>41</v>
      </c>
      <c r="I1020" s="1" t="s">
        <v>12040</v>
      </c>
      <c r="J1020" s="1" t="s">
        <v>12041</v>
      </c>
      <c r="K1020" s="1" t="s">
        <v>12042</v>
      </c>
      <c r="L1020" s="1">
        <v>1</v>
      </c>
      <c r="M1020" s="1">
        <v>0</v>
      </c>
      <c r="N1020" s="1" t="s">
        <v>12043</v>
      </c>
      <c r="O1020" s="1" t="s">
        <v>12044</v>
      </c>
      <c r="P1020" s="1" t="s">
        <v>12045</v>
      </c>
      <c r="Q1020" s="1">
        <v>0</v>
      </c>
      <c r="R1020" s="1" t="s">
        <v>12046</v>
      </c>
      <c r="S1020" s="1" t="s">
        <v>12047</v>
      </c>
      <c r="U1020" s="2">
        <v>56778</v>
      </c>
      <c r="V1020" s="1">
        <v>4.5999999999999996</v>
      </c>
      <c r="W1020" s="1">
        <v>1500</v>
      </c>
      <c r="X1020" s="1">
        <v>1460</v>
      </c>
      <c r="Y1020" s="1">
        <v>216</v>
      </c>
      <c r="Z1020" s="1">
        <v>482</v>
      </c>
      <c r="AA1020" s="1">
        <v>762</v>
      </c>
      <c r="AB1020" s="1">
        <v>0</v>
      </c>
      <c r="AC1020" s="1">
        <v>1</v>
      </c>
      <c r="AD1020" s="1" t="s">
        <v>215</v>
      </c>
      <c r="AE1020" s="1" t="s">
        <v>12048</v>
      </c>
      <c r="AF1020" s="1" t="s">
        <v>12049</v>
      </c>
      <c r="AG1020" s="1" t="s">
        <v>12050</v>
      </c>
      <c r="AH1020" s="1" t="s">
        <v>12051</v>
      </c>
      <c r="AI1020" s="1">
        <v>4.54</v>
      </c>
      <c r="AJ1020" s="1">
        <v>2229</v>
      </c>
      <c r="AK1020" s="1">
        <v>6580</v>
      </c>
    </row>
    <row r="1021" spans="1:38" ht="15.75" customHeight="1">
      <c r="A1021" s="1">
        <v>1158</v>
      </c>
      <c r="C1021" s="1">
        <v>4001</v>
      </c>
      <c r="D1021" s="1" t="s">
        <v>51</v>
      </c>
      <c r="E1021" s="1" t="s">
        <v>39</v>
      </c>
      <c r="F1021" s="1" t="s">
        <v>341</v>
      </c>
      <c r="G1021" s="1">
        <v>0</v>
      </c>
      <c r="H1021" s="1" t="s">
        <v>41</v>
      </c>
      <c r="I1021" s="1" t="s">
        <v>12052</v>
      </c>
      <c r="J1021" s="1" t="s">
        <v>12053</v>
      </c>
      <c r="K1021" s="1" t="s">
        <v>12054</v>
      </c>
      <c r="L1021" s="1">
        <v>1</v>
      </c>
      <c r="M1021" s="1">
        <v>0</v>
      </c>
      <c r="N1021" s="1" t="s">
        <v>12055</v>
      </c>
      <c r="O1021" s="1" t="s">
        <v>12056</v>
      </c>
      <c r="P1021" s="1" t="s">
        <v>12057</v>
      </c>
      <c r="Q1021" s="1">
        <v>0</v>
      </c>
      <c r="R1021" s="1" t="s">
        <v>12058</v>
      </c>
      <c r="S1021" s="1" t="s">
        <v>12059</v>
      </c>
      <c r="U1021" s="2">
        <v>56775</v>
      </c>
      <c r="V1021" s="1">
        <v>3.7333313459999999</v>
      </c>
      <c r="W1021" s="1">
        <v>1500</v>
      </c>
      <c r="X1021" s="1">
        <v>2224</v>
      </c>
      <c r="Y1021" s="1">
        <v>899</v>
      </c>
      <c r="Z1021" s="1">
        <v>498</v>
      </c>
      <c r="AA1021" s="1">
        <v>827</v>
      </c>
      <c r="AB1021" s="1">
        <v>0</v>
      </c>
      <c r="AC1021" s="1">
        <v>2</v>
      </c>
      <c r="AD1021" s="1" t="s">
        <v>62</v>
      </c>
      <c r="AE1021" s="1" t="s">
        <v>12060</v>
      </c>
      <c r="AF1021" s="1" t="s">
        <v>12061</v>
      </c>
      <c r="AG1021" s="1" t="s">
        <v>12062</v>
      </c>
      <c r="AH1021" s="1" t="s">
        <v>12063</v>
      </c>
      <c r="AI1021" s="1">
        <v>4.54</v>
      </c>
      <c r="AJ1021" s="1">
        <v>2229</v>
      </c>
      <c r="AK1021" s="1">
        <v>6580</v>
      </c>
    </row>
    <row r="1022" spans="1:38" ht="15.75" customHeight="1">
      <c r="A1022" s="1">
        <v>687</v>
      </c>
      <c r="C1022" s="1">
        <v>4001</v>
      </c>
      <c r="D1022" s="1" t="s">
        <v>51</v>
      </c>
      <c r="E1022" s="1" t="s">
        <v>39</v>
      </c>
      <c r="F1022" s="1" t="s">
        <v>52</v>
      </c>
      <c r="G1022" s="1">
        <v>0</v>
      </c>
      <c r="H1022" s="1" t="s">
        <v>53</v>
      </c>
      <c r="I1022" s="1" t="s">
        <v>12064</v>
      </c>
      <c r="J1022" s="1" t="s">
        <v>12065</v>
      </c>
      <c r="K1022" s="1" t="s">
        <v>12066</v>
      </c>
      <c r="L1022" s="1">
        <v>1</v>
      </c>
      <c r="M1022" s="1">
        <v>0</v>
      </c>
      <c r="N1022" s="1" t="s">
        <v>12067</v>
      </c>
      <c r="O1022" s="1" t="s">
        <v>12068</v>
      </c>
      <c r="P1022" s="1" t="s">
        <v>12069</v>
      </c>
      <c r="Q1022" s="1">
        <v>0</v>
      </c>
      <c r="R1022" s="1" t="s">
        <v>12070</v>
      </c>
      <c r="S1022" s="1" t="s">
        <v>12071</v>
      </c>
      <c r="U1022" s="2">
        <v>56770</v>
      </c>
      <c r="V1022" s="1">
        <v>4.5999999999999996</v>
      </c>
      <c r="W1022" s="1">
        <v>1500</v>
      </c>
      <c r="X1022" s="1">
        <v>991</v>
      </c>
      <c r="Y1022" s="1">
        <v>195</v>
      </c>
      <c r="Z1022" s="1">
        <v>161</v>
      </c>
      <c r="AA1022" s="1">
        <v>635</v>
      </c>
      <c r="AB1022" s="1">
        <v>0</v>
      </c>
      <c r="AC1022" s="1">
        <v>1</v>
      </c>
      <c r="AD1022" s="1" t="s">
        <v>215</v>
      </c>
      <c r="AE1022" s="1" t="s">
        <v>12072</v>
      </c>
      <c r="AF1022" s="1" t="s">
        <v>12073</v>
      </c>
      <c r="AG1022" s="1" t="s">
        <v>12074</v>
      </c>
      <c r="AH1022" s="1" t="s">
        <v>12075</v>
      </c>
      <c r="AI1022" s="1">
        <v>4.17</v>
      </c>
      <c r="AJ1022" s="1">
        <v>457</v>
      </c>
      <c r="AK1022" s="1">
        <v>1599</v>
      </c>
    </row>
    <row r="1023" spans="1:38" ht="15.75" customHeight="1">
      <c r="A1023" s="1">
        <v>159</v>
      </c>
      <c r="B1023" s="1">
        <v>5</v>
      </c>
      <c r="C1023" s="1">
        <v>4050</v>
      </c>
      <c r="D1023" s="1" t="s">
        <v>38</v>
      </c>
      <c r="E1023" s="1" t="s">
        <v>39</v>
      </c>
      <c r="F1023" s="1" t="s">
        <v>510</v>
      </c>
      <c r="G1023" s="1">
        <v>0</v>
      </c>
      <c r="H1023" s="1" t="s">
        <v>41</v>
      </c>
      <c r="I1023" s="1" t="s">
        <v>12076</v>
      </c>
      <c r="J1023" s="1" t="s">
        <v>12077</v>
      </c>
      <c r="K1023" s="1" t="s">
        <v>12078</v>
      </c>
      <c r="L1023" s="1">
        <v>1</v>
      </c>
      <c r="M1023" s="1">
        <v>0</v>
      </c>
      <c r="N1023" s="1" t="s">
        <v>12079</v>
      </c>
      <c r="O1023" s="1" t="s">
        <v>12080</v>
      </c>
      <c r="P1023" s="1" t="s">
        <v>12081</v>
      </c>
      <c r="Q1023" s="1">
        <v>0</v>
      </c>
      <c r="R1023" s="1" t="s">
        <v>12082</v>
      </c>
      <c r="U1023" s="2">
        <v>56767</v>
      </c>
      <c r="V1023" s="1">
        <v>4.5999999999999996</v>
      </c>
      <c r="W1023" s="1">
        <v>1500</v>
      </c>
      <c r="X1023" s="1">
        <v>3382</v>
      </c>
      <c r="AA1023" s="1">
        <v>1438</v>
      </c>
      <c r="AB1023" s="1">
        <v>0</v>
      </c>
      <c r="AC1023" s="1">
        <v>3</v>
      </c>
      <c r="AE1023" s="1" t="s">
        <v>12083</v>
      </c>
      <c r="AF1023" s="1" t="s">
        <v>12084</v>
      </c>
      <c r="AG1023" s="1" t="s">
        <v>12085</v>
      </c>
      <c r="AI1023" s="1">
        <v>4.62</v>
      </c>
      <c r="AJ1023" s="1">
        <v>259</v>
      </c>
      <c r="AK1023" s="1">
        <v>604</v>
      </c>
      <c r="AL1023" s="1">
        <v>21</v>
      </c>
    </row>
    <row r="1024" spans="1:38" ht="15.75" customHeight="1">
      <c r="A1024" s="1">
        <v>408</v>
      </c>
      <c r="B1024" s="1">
        <v>5</v>
      </c>
      <c r="C1024" s="1">
        <v>4050</v>
      </c>
      <c r="D1024" s="1" t="s">
        <v>38</v>
      </c>
      <c r="E1024" s="1" t="s">
        <v>39</v>
      </c>
      <c r="F1024" s="1" t="s">
        <v>510</v>
      </c>
      <c r="G1024" s="1">
        <v>0</v>
      </c>
      <c r="H1024" s="1" t="s">
        <v>41</v>
      </c>
      <c r="I1024" s="1" t="s">
        <v>12086</v>
      </c>
      <c r="J1024" s="1" t="s">
        <v>12087</v>
      </c>
      <c r="K1024" s="1" t="s">
        <v>12087</v>
      </c>
      <c r="L1024" s="1">
        <v>0</v>
      </c>
      <c r="M1024" s="1">
        <v>0</v>
      </c>
      <c r="N1024" s="1" t="s">
        <v>12088</v>
      </c>
      <c r="O1024" s="1" t="s">
        <v>12089</v>
      </c>
      <c r="P1024" s="1" t="s">
        <v>12090</v>
      </c>
      <c r="Q1024" s="1">
        <v>0</v>
      </c>
      <c r="R1024" s="1" t="s">
        <v>12091</v>
      </c>
      <c r="U1024" s="2">
        <v>56769</v>
      </c>
      <c r="V1024" s="1">
        <v>4.5999999999999996</v>
      </c>
      <c r="W1024" s="1">
        <v>1500</v>
      </c>
      <c r="X1024" s="1">
        <v>1586</v>
      </c>
      <c r="AA1024" s="1">
        <v>761</v>
      </c>
      <c r="AB1024" s="1">
        <v>0</v>
      </c>
      <c r="AC1024" s="1">
        <v>3</v>
      </c>
      <c r="AE1024" s="1" t="s">
        <v>12092</v>
      </c>
      <c r="AF1024" s="1" t="s">
        <v>12093</v>
      </c>
      <c r="AG1024" s="1" t="s">
        <v>12094</v>
      </c>
      <c r="AI1024" s="1">
        <v>4.62</v>
      </c>
      <c r="AJ1024" s="1">
        <v>259</v>
      </c>
      <c r="AK1024" s="1">
        <v>604</v>
      </c>
      <c r="AL1024" s="1">
        <v>21</v>
      </c>
    </row>
    <row r="1025" spans="1:38" ht="15.75" customHeight="1">
      <c r="A1025" s="1">
        <v>749</v>
      </c>
      <c r="C1025" s="1">
        <v>4001</v>
      </c>
      <c r="D1025" s="1" t="s">
        <v>51</v>
      </c>
      <c r="E1025" s="1" t="s">
        <v>39</v>
      </c>
      <c r="F1025" s="1" t="s">
        <v>305</v>
      </c>
      <c r="G1025" s="1">
        <v>0</v>
      </c>
      <c r="H1025" s="1" t="s">
        <v>53</v>
      </c>
      <c r="I1025" s="1" t="s">
        <v>12095</v>
      </c>
      <c r="J1025" s="1" t="s">
        <v>12096</v>
      </c>
      <c r="K1025" s="1" t="s">
        <v>12097</v>
      </c>
      <c r="L1025" s="1">
        <v>1</v>
      </c>
      <c r="M1025" s="1">
        <v>0</v>
      </c>
      <c r="N1025" s="1" t="s">
        <v>12098</v>
      </c>
      <c r="O1025" s="1" t="s">
        <v>12099</v>
      </c>
      <c r="P1025" s="1" t="s">
        <v>12100</v>
      </c>
      <c r="Q1025" s="1">
        <v>0</v>
      </c>
      <c r="R1025" s="1" t="s">
        <v>12101</v>
      </c>
      <c r="S1025" s="1" t="s">
        <v>12102</v>
      </c>
      <c r="U1025" s="2">
        <v>56771</v>
      </c>
      <c r="V1025" s="1">
        <v>4.4000000000000004</v>
      </c>
      <c r="W1025" s="1">
        <v>1500</v>
      </c>
      <c r="X1025" s="1">
        <v>1913</v>
      </c>
      <c r="Y1025" s="1">
        <v>678</v>
      </c>
      <c r="Z1025" s="1">
        <v>561</v>
      </c>
      <c r="AA1025" s="1">
        <v>674</v>
      </c>
      <c r="AB1025" s="1">
        <v>0</v>
      </c>
      <c r="AC1025" s="1">
        <v>1</v>
      </c>
      <c r="AD1025" s="1" t="s">
        <v>62</v>
      </c>
      <c r="AE1025" s="1" t="s">
        <v>12103</v>
      </c>
      <c r="AF1025" s="1" t="s">
        <v>12104</v>
      </c>
      <c r="AG1025" s="1" t="s">
        <v>12105</v>
      </c>
      <c r="AH1025" s="1" t="s">
        <v>12106</v>
      </c>
      <c r="AI1025" s="1">
        <v>4.5199999999999996</v>
      </c>
      <c r="AJ1025" s="1">
        <v>183</v>
      </c>
      <c r="AK1025" s="1">
        <v>522</v>
      </c>
    </row>
    <row r="1026" spans="1:38" ht="15.75" customHeight="1">
      <c r="A1026" s="1">
        <v>156</v>
      </c>
      <c r="C1026" s="1">
        <v>4050</v>
      </c>
      <c r="D1026" s="1" t="s">
        <v>38</v>
      </c>
      <c r="E1026" s="1" t="s">
        <v>39</v>
      </c>
      <c r="F1026" s="1" t="s">
        <v>510</v>
      </c>
      <c r="G1026" s="1">
        <v>0</v>
      </c>
      <c r="H1026" s="1" t="s">
        <v>41</v>
      </c>
      <c r="I1026" s="1" t="s">
        <v>12107</v>
      </c>
      <c r="J1026" s="1" t="s">
        <v>12108</v>
      </c>
      <c r="K1026" s="1" t="s">
        <v>12109</v>
      </c>
      <c r="L1026" s="1">
        <v>1</v>
      </c>
      <c r="M1026" s="1">
        <v>0</v>
      </c>
      <c r="N1026" s="1" t="s">
        <v>12110</v>
      </c>
      <c r="O1026" s="1" t="s">
        <v>12111</v>
      </c>
      <c r="P1026" s="1" t="s">
        <v>12112</v>
      </c>
      <c r="Q1026" s="1">
        <v>0</v>
      </c>
      <c r="R1026" s="1" t="s">
        <v>12113</v>
      </c>
      <c r="S1026" s="1" t="s">
        <v>12114</v>
      </c>
      <c r="U1026" s="2">
        <v>56767</v>
      </c>
      <c r="V1026" s="1">
        <v>3.3899669370000001</v>
      </c>
      <c r="W1026" s="1">
        <v>1500</v>
      </c>
      <c r="X1026" s="1">
        <v>1192</v>
      </c>
      <c r="Y1026" s="1">
        <v>415</v>
      </c>
      <c r="Z1026" s="1">
        <v>421</v>
      </c>
      <c r="AA1026" s="1">
        <v>356</v>
      </c>
      <c r="AB1026" s="1">
        <v>0</v>
      </c>
      <c r="AC1026" s="1">
        <v>3</v>
      </c>
      <c r="AD1026" s="1" t="s">
        <v>62</v>
      </c>
      <c r="AE1026" s="1" t="s">
        <v>12115</v>
      </c>
      <c r="AF1026" s="1" t="s">
        <v>12116</v>
      </c>
      <c r="AG1026" s="1" t="s">
        <v>12117</v>
      </c>
      <c r="AH1026" s="1" t="s">
        <v>12118</v>
      </c>
      <c r="AI1026" s="1">
        <v>4.62</v>
      </c>
      <c r="AJ1026" s="1">
        <v>259</v>
      </c>
      <c r="AK1026" s="1">
        <v>604</v>
      </c>
      <c r="AL1026" s="1">
        <v>21</v>
      </c>
    </row>
    <row r="1027" spans="1:38" ht="15.75" customHeight="1">
      <c r="A1027" s="1">
        <v>299</v>
      </c>
      <c r="B1027" s="1">
        <v>5</v>
      </c>
      <c r="C1027" s="1">
        <v>4001</v>
      </c>
      <c r="D1027" s="1" t="s">
        <v>51</v>
      </c>
      <c r="E1027" s="1" t="s">
        <v>39</v>
      </c>
      <c r="F1027" s="1" t="s">
        <v>341</v>
      </c>
      <c r="G1027" s="1">
        <v>0</v>
      </c>
      <c r="H1027" s="1" t="s">
        <v>41</v>
      </c>
      <c r="I1027" s="1" t="s">
        <v>12119</v>
      </c>
      <c r="J1027" s="1" t="s">
        <v>12120</v>
      </c>
      <c r="K1027" s="1" t="s">
        <v>12121</v>
      </c>
      <c r="L1027" s="1">
        <v>1</v>
      </c>
      <c r="M1027" s="1">
        <v>0</v>
      </c>
      <c r="N1027" s="1" t="s">
        <v>12122</v>
      </c>
      <c r="O1027" s="1" t="s">
        <v>12123</v>
      </c>
      <c r="P1027" s="1" t="s">
        <v>12124</v>
      </c>
      <c r="Q1027" s="1">
        <v>0</v>
      </c>
      <c r="R1027" s="1" t="s">
        <v>12125</v>
      </c>
      <c r="S1027" s="1" t="s">
        <v>12126</v>
      </c>
      <c r="U1027" s="2">
        <v>56768</v>
      </c>
      <c r="V1027" s="1">
        <v>3.897026173</v>
      </c>
      <c r="W1027" s="1">
        <v>1000</v>
      </c>
      <c r="X1027" s="1">
        <v>1919</v>
      </c>
      <c r="Y1027" s="1">
        <v>1006</v>
      </c>
      <c r="Z1027" s="1">
        <v>97</v>
      </c>
      <c r="AA1027" s="1">
        <v>816</v>
      </c>
      <c r="AB1027" s="1">
        <v>0</v>
      </c>
      <c r="AC1027" s="1">
        <v>1</v>
      </c>
      <c r="AD1027" s="1" t="s">
        <v>76</v>
      </c>
      <c r="AE1027" s="1" t="s">
        <v>12127</v>
      </c>
      <c r="AF1027" s="1" t="s">
        <v>12128</v>
      </c>
      <c r="AG1027" s="1" t="s">
        <v>12129</v>
      </c>
      <c r="AH1027" s="1" t="s">
        <v>12130</v>
      </c>
      <c r="AI1027" s="1">
        <v>4.54</v>
      </c>
      <c r="AJ1027" s="1">
        <v>2229</v>
      </c>
      <c r="AK1027" s="1">
        <v>6580</v>
      </c>
    </row>
    <row r="1028" spans="1:38" ht="15.75" customHeight="1">
      <c r="A1028" s="1">
        <v>358</v>
      </c>
      <c r="C1028" s="1">
        <v>4001</v>
      </c>
      <c r="D1028" s="1" t="s">
        <v>51</v>
      </c>
      <c r="E1028" s="1" t="s">
        <v>39</v>
      </c>
      <c r="F1028" s="1" t="s">
        <v>52</v>
      </c>
      <c r="G1028" s="1">
        <v>0</v>
      </c>
      <c r="H1028" s="1" t="s">
        <v>53</v>
      </c>
      <c r="I1028" s="1" t="s">
        <v>12131</v>
      </c>
      <c r="J1028" s="1" t="s">
        <v>12132</v>
      </c>
      <c r="K1028" s="1" t="s">
        <v>12133</v>
      </c>
      <c r="L1028" s="1">
        <v>1</v>
      </c>
      <c r="M1028" s="1">
        <v>0</v>
      </c>
      <c r="N1028" s="1" t="s">
        <v>12134</v>
      </c>
      <c r="O1028" s="1" t="s">
        <v>12135</v>
      </c>
      <c r="P1028" s="1" t="s">
        <v>12136</v>
      </c>
      <c r="Q1028" s="1">
        <v>0</v>
      </c>
      <c r="R1028" s="1" t="s">
        <v>12137</v>
      </c>
      <c r="S1028" s="1" t="s">
        <v>12138</v>
      </c>
      <c r="U1028" s="2">
        <v>56768</v>
      </c>
      <c r="V1028" s="1">
        <v>4.3</v>
      </c>
      <c r="W1028" s="1">
        <v>1000</v>
      </c>
      <c r="X1028" s="1">
        <v>2340</v>
      </c>
      <c r="Y1028" s="1">
        <v>1623</v>
      </c>
      <c r="AA1028" s="1">
        <v>809</v>
      </c>
      <c r="AB1028" s="1">
        <v>0</v>
      </c>
      <c r="AC1028" s="1">
        <v>1</v>
      </c>
      <c r="AD1028" s="1" t="s">
        <v>76</v>
      </c>
      <c r="AE1028" s="1" t="s">
        <v>12139</v>
      </c>
      <c r="AF1028" s="1" t="s">
        <v>12140</v>
      </c>
      <c r="AG1028" s="1" t="s">
        <v>12141</v>
      </c>
      <c r="AH1028" s="1" t="s">
        <v>12142</v>
      </c>
      <c r="AI1028" s="1">
        <v>4.17</v>
      </c>
      <c r="AJ1028" s="1">
        <v>457</v>
      </c>
      <c r="AK1028" s="1">
        <v>1599</v>
      </c>
    </row>
    <row r="1029" spans="1:38" ht="15.75" customHeight="1">
      <c r="A1029" s="1">
        <v>969</v>
      </c>
      <c r="C1029" s="1">
        <v>4001</v>
      </c>
      <c r="D1029" s="1" t="s">
        <v>51</v>
      </c>
      <c r="E1029" s="1" t="s">
        <v>39</v>
      </c>
      <c r="F1029" s="1" t="s">
        <v>341</v>
      </c>
      <c r="G1029" s="1">
        <v>0</v>
      </c>
      <c r="H1029" s="1" t="s">
        <v>41</v>
      </c>
      <c r="I1029" s="1" t="s">
        <v>12143</v>
      </c>
      <c r="J1029" s="1" t="s">
        <v>12144</v>
      </c>
      <c r="K1029" s="1" t="s">
        <v>12145</v>
      </c>
      <c r="L1029" s="1">
        <v>1</v>
      </c>
      <c r="M1029" s="1">
        <v>0</v>
      </c>
      <c r="N1029" s="1" t="s">
        <v>12146</v>
      </c>
      <c r="O1029" s="1" t="s">
        <v>12147</v>
      </c>
      <c r="P1029" s="1" t="s">
        <v>12148</v>
      </c>
      <c r="Q1029" s="1">
        <v>0</v>
      </c>
      <c r="R1029" s="1" t="s">
        <v>12149</v>
      </c>
      <c r="S1029" s="1" t="s">
        <v>12150</v>
      </c>
      <c r="U1029" s="2">
        <v>56773</v>
      </c>
      <c r="V1029" s="1">
        <v>4.4000000000000004</v>
      </c>
      <c r="W1029" s="1">
        <v>1000</v>
      </c>
      <c r="X1029" s="1">
        <v>2365</v>
      </c>
      <c r="Y1029" s="1">
        <v>296</v>
      </c>
      <c r="Z1029" s="1">
        <v>206</v>
      </c>
      <c r="AA1029" s="1">
        <v>1863</v>
      </c>
      <c r="AB1029" s="1">
        <v>0</v>
      </c>
      <c r="AC1029" s="1">
        <v>1</v>
      </c>
      <c r="AD1029" s="1" t="s">
        <v>215</v>
      </c>
      <c r="AE1029" s="1" t="s">
        <v>12151</v>
      </c>
      <c r="AF1029" s="1" t="s">
        <v>12152</v>
      </c>
      <c r="AG1029" s="1" t="s">
        <v>12153</v>
      </c>
      <c r="AH1029" s="1" t="s">
        <v>12154</v>
      </c>
      <c r="AI1029" s="1">
        <v>4.54</v>
      </c>
      <c r="AJ1029" s="1">
        <v>2229</v>
      </c>
      <c r="AK1029" s="1">
        <v>6580</v>
      </c>
    </row>
    <row r="1030" spans="1:38" ht="15.75" customHeight="1">
      <c r="A1030" s="1">
        <v>110</v>
      </c>
      <c r="B1030" s="1">
        <v>5</v>
      </c>
      <c r="C1030" s="1">
        <v>4001</v>
      </c>
      <c r="D1030" s="1" t="s">
        <v>51</v>
      </c>
      <c r="E1030" s="1" t="s">
        <v>39</v>
      </c>
      <c r="F1030" s="1" t="s">
        <v>232</v>
      </c>
      <c r="G1030" s="1">
        <v>0</v>
      </c>
      <c r="H1030" s="1" t="s">
        <v>53</v>
      </c>
      <c r="I1030" s="1" t="s">
        <v>12155</v>
      </c>
      <c r="J1030" s="1" t="s">
        <v>12156</v>
      </c>
      <c r="K1030" s="1" t="s">
        <v>12157</v>
      </c>
      <c r="L1030" s="1">
        <v>1</v>
      </c>
      <c r="M1030" s="1">
        <v>0</v>
      </c>
      <c r="N1030" s="1" t="s">
        <v>12158</v>
      </c>
      <c r="O1030" s="1" t="s">
        <v>12159</v>
      </c>
      <c r="P1030" s="1" t="s">
        <v>12160</v>
      </c>
      <c r="Q1030" s="1">
        <v>0</v>
      </c>
      <c r="R1030" s="1" t="s">
        <v>12161</v>
      </c>
      <c r="S1030" s="1" t="s">
        <v>12162</v>
      </c>
      <c r="U1030" s="2">
        <v>56766</v>
      </c>
      <c r="V1030" s="1">
        <v>4.5</v>
      </c>
      <c r="W1030" s="1">
        <v>1000</v>
      </c>
      <c r="X1030" s="1">
        <v>3572</v>
      </c>
      <c r="Y1030" s="1">
        <v>1293</v>
      </c>
      <c r="AA1030" s="1">
        <v>2288</v>
      </c>
      <c r="AB1030" s="1">
        <v>0</v>
      </c>
      <c r="AC1030" s="1">
        <v>2</v>
      </c>
      <c r="AE1030" s="1" t="s">
        <v>12163</v>
      </c>
      <c r="AF1030" s="1" t="s">
        <v>12164</v>
      </c>
      <c r="AG1030" s="1" t="s">
        <v>12165</v>
      </c>
      <c r="AH1030" s="1" t="s">
        <v>12166</v>
      </c>
      <c r="AI1030" s="1">
        <v>4.5599999999999996</v>
      </c>
      <c r="AJ1030" s="1">
        <v>765</v>
      </c>
      <c r="AK1030" s="1">
        <v>2618</v>
      </c>
    </row>
    <row r="1031" spans="1:38" ht="15.75" customHeight="1">
      <c r="A1031" s="1">
        <v>239</v>
      </c>
      <c r="C1031" s="1">
        <v>4050</v>
      </c>
      <c r="D1031" s="1" t="s">
        <v>38</v>
      </c>
      <c r="E1031" s="1" t="s">
        <v>39</v>
      </c>
      <c r="F1031" s="1" t="s">
        <v>116</v>
      </c>
      <c r="G1031" s="1">
        <v>0</v>
      </c>
      <c r="H1031" s="1" t="s">
        <v>41</v>
      </c>
      <c r="I1031" s="1" t="s">
        <v>12167</v>
      </c>
      <c r="J1031" s="1" t="s">
        <v>12168</v>
      </c>
      <c r="K1031" s="1" t="s">
        <v>12169</v>
      </c>
      <c r="L1031" s="1">
        <v>1</v>
      </c>
      <c r="M1031" s="1">
        <v>0</v>
      </c>
      <c r="N1031" s="1" t="s">
        <v>12170</v>
      </c>
      <c r="O1031" s="1" t="s">
        <v>12171</v>
      </c>
      <c r="P1031" s="1" t="s">
        <v>12172</v>
      </c>
      <c r="Q1031" s="1">
        <v>0</v>
      </c>
      <c r="R1031" s="1" t="s">
        <v>12173</v>
      </c>
      <c r="S1031" s="1" t="s">
        <v>12174</v>
      </c>
      <c r="U1031" s="2">
        <v>56767</v>
      </c>
      <c r="V1031" s="1">
        <v>4.5999999999999996</v>
      </c>
      <c r="W1031" s="1">
        <v>1000</v>
      </c>
      <c r="X1031" s="1">
        <v>2020</v>
      </c>
      <c r="Y1031" s="1">
        <v>333</v>
      </c>
      <c r="Z1031" s="1">
        <v>368</v>
      </c>
      <c r="AA1031" s="1">
        <v>1319</v>
      </c>
      <c r="AB1031" s="1">
        <v>0</v>
      </c>
      <c r="AC1031" s="1">
        <v>1</v>
      </c>
      <c r="AD1031" s="1" t="s">
        <v>62</v>
      </c>
      <c r="AE1031" s="1" t="s">
        <v>12175</v>
      </c>
      <c r="AF1031" s="1" t="s">
        <v>12176</v>
      </c>
      <c r="AG1031" s="1" t="s">
        <v>12177</v>
      </c>
      <c r="AH1031" s="1" t="s">
        <v>12178</v>
      </c>
      <c r="AI1031" s="1">
        <v>4.8899999999999997</v>
      </c>
      <c r="AJ1031" s="1">
        <v>1778</v>
      </c>
      <c r="AK1031" s="1">
        <v>5138</v>
      </c>
      <c r="AL1031" s="1">
        <v>314</v>
      </c>
    </row>
    <row r="1032" spans="1:38" ht="15.75" customHeight="1">
      <c r="A1032" s="1">
        <v>280</v>
      </c>
      <c r="C1032" s="1">
        <v>4050</v>
      </c>
      <c r="D1032" s="1" t="s">
        <v>38</v>
      </c>
      <c r="E1032" s="1" t="s">
        <v>39</v>
      </c>
      <c r="F1032" s="1" t="s">
        <v>1348</v>
      </c>
      <c r="G1032" s="1">
        <v>0</v>
      </c>
      <c r="H1032" s="1" t="s">
        <v>41</v>
      </c>
      <c r="I1032" s="1" t="s">
        <v>12179</v>
      </c>
      <c r="J1032" s="1" t="s">
        <v>12180</v>
      </c>
      <c r="K1032" s="1" t="s">
        <v>12181</v>
      </c>
      <c r="L1032" s="1">
        <v>1</v>
      </c>
      <c r="M1032" s="1">
        <v>0</v>
      </c>
      <c r="N1032" s="1" t="s">
        <v>12182</v>
      </c>
      <c r="O1032" s="1" t="s">
        <v>12183</v>
      </c>
      <c r="P1032" s="1" t="s">
        <v>12184</v>
      </c>
      <c r="Q1032" s="1">
        <v>0</v>
      </c>
      <c r="R1032" s="1" t="s">
        <v>12185</v>
      </c>
      <c r="S1032" s="1" t="s">
        <v>12186</v>
      </c>
      <c r="U1032" s="2">
        <v>56768</v>
      </c>
      <c r="V1032" s="1">
        <v>2.560617369</v>
      </c>
      <c r="W1032" s="1">
        <v>1000</v>
      </c>
      <c r="X1032" s="1">
        <v>1827</v>
      </c>
      <c r="Y1032" s="1">
        <v>637</v>
      </c>
      <c r="Z1032" s="1">
        <v>391</v>
      </c>
      <c r="AA1032" s="1">
        <v>799</v>
      </c>
      <c r="AB1032" s="1">
        <v>0</v>
      </c>
      <c r="AC1032" s="1">
        <v>1</v>
      </c>
      <c r="AD1032" s="1" t="s">
        <v>215</v>
      </c>
      <c r="AE1032" s="1" t="s">
        <v>12187</v>
      </c>
      <c r="AF1032" s="1" t="s">
        <v>12188</v>
      </c>
      <c r="AG1032" s="1" t="s">
        <v>12189</v>
      </c>
      <c r="AH1032" s="1" t="s">
        <v>12190</v>
      </c>
      <c r="AI1032" s="1">
        <v>4.79</v>
      </c>
      <c r="AJ1032" s="1">
        <v>1007</v>
      </c>
      <c r="AK1032" s="1">
        <v>2899</v>
      </c>
      <c r="AL1032" s="1">
        <v>1301</v>
      </c>
    </row>
    <row r="1033" spans="1:38" ht="15.75" customHeight="1">
      <c r="A1033" s="1">
        <v>339</v>
      </c>
      <c r="B1033" s="1">
        <v>5</v>
      </c>
      <c r="C1033" s="1">
        <v>4050</v>
      </c>
      <c r="D1033" s="1" t="s">
        <v>38</v>
      </c>
      <c r="E1033" s="1" t="s">
        <v>39</v>
      </c>
      <c r="F1033" s="1" t="s">
        <v>1238</v>
      </c>
      <c r="G1033" s="1">
        <v>0</v>
      </c>
      <c r="H1033" s="1" t="s">
        <v>41</v>
      </c>
      <c r="I1033" s="1" t="s">
        <v>12191</v>
      </c>
      <c r="J1033" s="1" t="s">
        <v>12192</v>
      </c>
      <c r="K1033" s="1" t="s">
        <v>12193</v>
      </c>
      <c r="L1033" s="1">
        <v>1</v>
      </c>
      <c r="M1033" s="1">
        <v>0</v>
      </c>
      <c r="N1033" s="1" t="s">
        <v>12194</v>
      </c>
      <c r="O1033" s="1" t="s">
        <v>12195</v>
      </c>
      <c r="P1033" s="1" t="s">
        <v>12196</v>
      </c>
      <c r="Q1033" s="1">
        <v>0</v>
      </c>
      <c r="R1033" s="1" t="s">
        <v>12197</v>
      </c>
      <c r="S1033" s="1" t="s">
        <v>12198</v>
      </c>
      <c r="U1033" s="2">
        <v>56768</v>
      </c>
      <c r="V1033" s="1">
        <v>4.5</v>
      </c>
      <c r="W1033" s="1">
        <v>1000</v>
      </c>
      <c r="X1033" s="1">
        <v>1665</v>
      </c>
      <c r="Y1033" s="1">
        <v>773</v>
      </c>
      <c r="Z1033" s="1">
        <v>193</v>
      </c>
      <c r="AA1033" s="1">
        <v>699</v>
      </c>
      <c r="AB1033" s="1">
        <v>0</v>
      </c>
      <c r="AC1033" s="1">
        <v>1</v>
      </c>
      <c r="AD1033" s="1" t="s">
        <v>215</v>
      </c>
      <c r="AE1033" s="1" t="s">
        <v>12199</v>
      </c>
      <c r="AF1033" s="1" t="s">
        <v>12200</v>
      </c>
      <c r="AG1033" s="1" t="s">
        <v>12201</v>
      </c>
      <c r="AH1033" s="1" t="s">
        <v>12202</v>
      </c>
      <c r="AI1033" s="1">
        <v>4.5</v>
      </c>
      <c r="AJ1033" s="1">
        <v>55</v>
      </c>
      <c r="AK1033" s="1">
        <v>211</v>
      </c>
      <c r="AL1033" s="1">
        <v>6</v>
      </c>
    </row>
    <row r="1034" spans="1:38" ht="15.75" customHeight="1">
      <c r="A1034" s="1">
        <v>754</v>
      </c>
      <c r="C1034" s="1">
        <v>4050</v>
      </c>
      <c r="D1034" s="1" t="s">
        <v>38</v>
      </c>
      <c r="E1034" s="1" t="s">
        <v>39</v>
      </c>
      <c r="F1034" s="1" t="s">
        <v>695</v>
      </c>
      <c r="G1034" s="1">
        <v>0</v>
      </c>
      <c r="H1034" s="1" t="s">
        <v>41</v>
      </c>
      <c r="I1034" s="1" t="s">
        <v>12203</v>
      </c>
      <c r="J1034" s="1" t="s">
        <v>12204</v>
      </c>
      <c r="K1034" s="1" t="s">
        <v>12205</v>
      </c>
      <c r="L1034" s="1">
        <v>1</v>
      </c>
      <c r="M1034" s="1">
        <v>0</v>
      </c>
      <c r="N1034" s="1" t="s">
        <v>12206</v>
      </c>
      <c r="O1034" s="1" t="s">
        <v>12207</v>
      </c>
      <c r="P1034" s="1" t="s">
        <v>12208</v>
      </c>
      <c r="Q1034" s="1">
        <v>0</v>
      </c>
      <c r="R1034" s="1" t="s">
        <v>12209</v>
      </c>
      <c r="S1034" s="1" t="s">
        <v>12210</v>
      </c>
      <c r="U1034" s="2">
        <v>56771</v>
      </c>
      <c r="V1034" s="1">
        <v>4.4000000000000004</v>
      </c>
      <c r="W1034" s="1">
        <v>1000</v>
      </c>
      <c r="X1034" s="1">
        <v>2968</v>
      </c>
      <c r="Y1034" s="1">
        <v>1927</v>
      </c>
      <c r="Z1034" s="1">
        <v>340</v>
      </c>
      <c r="AA1034" s="1">
        <v>701</v>
      </c>
      <c r="AB1034" s="1">
        <v>0</v>
      </c>
      <c r="AC1034" s="1">
        <v>1</v>
      </c>
      <c r="AD1034" s="1" t="s">
        <v>76</v>
      </c>
      <c r="AE1034" s="1" t="s">
        <v>12211</v>
      </c>
      <c r="AF1034" s="1" t="s">
        <v>12212</v>
      </c>
      <c r="AG1034" s="1" t="s">
        <v>12213</v>
      </c>
      <c r="AH1034" s="1" t="s">
        <v>12214</v>
      </c>
      <c r="AI1034" s="1">
        <v>4.38</v>
      </c>
      <c r="AJ1034" s="1">
        <v>196</v>
      </c>
      <c r="AK1034" s="1">
        <v>626</v>
      </c>
    </row>
    <row r="1035" spans="1:38" ht="15.75" customHeight="1">
      <c r="A1035" s="1">
        <v>393</v>
      </c>
      <c r="B1035" s="1">
        <v>5</v>
      </c>
      <c r="C1035" s="1">
        <v>4050</v>
      </c>
      <c r="D1035" s="1" t="s">
        <v>38</v>
      </c>
      <c r="E1035" s="1" t="s">
        <v>39</v>
      </c>
      <c r="F1035" s="1" t="s">
        <v>173</v>
      </c>
      <c r="G1035" s="1">
        <v>0</v>
      </c>
      <c r="H1035" s="1" t="s">
        <v>41</v>
      </c>
      <c r="I1035" s="1" t="s">
        <v>12215</v>
      </c>
      <c r="J1035" s="1" t="s">
        <v>12216</v>
      </c>
      <c r="K1035" s="1" t="s">
        <v>12217</v>
      </c>
      <c r="L1035" s="1">
        <v>1</v>
      </c>
      <c r="M1035" s="1">
        <v>0</v>
      </c>
      <c r="N1035" s="1" t="s">
        <v>12218</v>
      </c>
      <c r="O1035" s="1" t="s">
        <v>12219</v>
      </c>
      <c r="P1035" s="1" t="s">
        <v>12220</v>
      </c>
      <c r="Q1035" s="1">
        <v>0</v>
      </c>
      <c r="R1035" s="1" t="s">
        <v>12221</v>
      </c>
      <c r="S1035" s="1" t="s">
        <v>12222</v>
      </c>
      <c r="U1035" s="2">
        <v>56768</v>
      </c>
      <c r="V1035" s="1">
        <v>4.3</v>
      </c>
      <c r="W1035" s="1">
        <v>1000</v>
      </c>
      <c r="X1035" s="1">
        <v>2585</v>
      </c>
      <c r="Y1035" s="1">
        <v>1393</v>
      </c>
      <c r="Z1035" s="1">
        <v>171</v>
      </c>
      <c r="AA1035" s="1">
        <v>1021</v>
      </c>
      <c r="AB1035" s="1">
        <v>0</v>
      </c>
      <c r="AC1035" s="1">
        <v>2</v>
      </c>
      <c r="AD1035" s="1" t="s">
        <v>76</v>
      </c>
      <c r="AE1035" s="1" t="s">
        <v>12223</v>
      </c>
      <c r="AF1035" s="1" t="s">
        <v>12224</v>
      </c>
      <c r="AG1035" s="1" t="s">
        <v>12225</v>
      </c>
      <c r="AH1035" s="1" t="s">
        <v>12226</v>
      </c>
      <c r="AI1035" s="1">
        <v>4.22</v>
      </c>
      <c r="AJ1035" s="1">
        <v>1551</v>
      </c>
      <c r="AK1035" s="1">
        <v>4625</v>
      </c>
    </row>
    <row r="1036" spans="1:38" ht="15.75" customHeight="1">
      <c r="A1036" s="1">
        <v>441</v>
      </c>
      <c r="B1036" s="1">
        <v>1</v>
      </c>
      <c r="C1036" s="1">
        <v>4050</v>
      </c>
      <c r="D1036" s="1" t="s">
        <v>38</v>
      </c>
      <c r="E1036" s="1" t="s">
        <v>39</v>
      </c>
      <c r="F1036" s="1" t="s">
        <v>1372</v>
      </c>
      <c r="G1036" s="1">
        <v>0</v>
      </c>
      <c r="H1036" s="1" t="s">
        <v>41</v>
      </c>
      <c r="I1036" s="1" t="s">
        <v>12227</v>
      </c>
      <c r="J1036" s="1" t="s">
        <v>12228</v>
      </c>
      <c r="K1036" s="1" t="s">
        <v>12229</v>
      </c>
      <c r="L1036" s="1">
        <v>1</v>
      </c>
      <c r="M1036" s="1">
        <v>0</v>
      </c>
      <c r="N1036" s="1" t="s">
        <v>12230</v>
      </c>
      <c r="O1036" s="1" t="s">
        <v>12231</v>
      </c>
      <c r="P1036" s="1" t="s">
        <v>12232</v>
      </c>
      <c r="Q1036" s="1">
        <v>0</v>
      </c>
      <c r="R1036" s="1" t="s">
        <v>12233</v>
      </c>
      <c r="S1036" s="1" t="s">
        <v>12234</v>
      </c>
      <c r="U1036" s="2">
        <v>56769</v>
      </c>
      <c r="V1036" s="1">
        <v>4.3</v>
      </c>
      <c r="W1036" s="1">
        <v>1000</v>
      </c>
      <c r="X1036" s="1">
        <v>1741</v>
      </c>
      <c r="Y1036" s="1">
        <v>477</v>
      </c>
      <c r="Z1036" s="1">
        <v>326</v>
      </c>
      <c r="AA1036" s="1">
        <v>938</v>
      </c>
      <c r="AB1036" s="1">
        <v>0</v>
      </c>
      <c r="AC1036" s="1">
        <v>2</v>
      </c>
      <c r="AD1036" s="1" t="s">
        <v>215</v>
      </c>
      <c r="AE1036" s="1" t="s">
        <v>12235</v>
      </c>
      <c r="AF1036" s="1" t="s">
        <v>12236</v>
      </c>
      <c r="AG1036" s="1" t="s">
        <v>12237</v>
      </c>
      <c r="AH1036" s="1" t="s">
        <v>12238</v>
      </c>
      <c r="AI1036" s="1">
        <v>4.4111111110000003</v>
      </c>
      <c r="AJ1036" s="1">
        <v>68</v>
      </c>
      <c r="AK1036" s="1">
        <v>223</v>
      </c>
      <c r="AL1036" s="1">
        <v>118</v>
      </c>
    </row>
    <row r="1037" spans="1:38" ht="15.75" customHeight="1">
      <c r="A1037" s="1">
        <v>1546</v>
      </c>
      <c r="B1037" s="1">
        <v>5</v>
      </c>
      <c r="C1037" s="1">
        <v>4001</v>
      </c>
      <c r="D1037" s="1" t="s">
        <v>51</v>
      </c>
      <c r="E1037" s="1" t="s">
        <v>39</v>
      </c>
      <c r="F1037" s="1" t="s">
        <v>414</v>
      </c>
      <c r="G1037" s="1">
        <v>0</v>
      </c>
      <c r="H1037" s="1" t="s">
        <v>53</v>
      </c>
      <c r="I1037" s="1" t="s">
        <v>12239</v>
      </c>
      <c r="J1037" s="1" t="s">
        <v>12240</v>
      </c>
      <c r="K1037" s="1" t="s">
        <v>12241</v>
      </c>
      <c r="L1037" s="1">
        <v>1</v>
      </c>
      <c r="M1037" s="1">
        <v>0</v>
      </c>
      <c r="N1037" s="1" t="s">
        <v>12242</v>
      </c>
      <c r="O1037" s="1" t="s">
        <v>12243</v>
      </c>
      <c r="P1037" s="1" t="s">
        <v>12244</v>
      </c>
      <c r="Q1037" s="1">
        <v>0</v>
      </c>
      <c r="R1037" s="1" t="s">
        <v>12245</v>
      </c>
      <c r="S1037" s="1" t="s">
        <v>12246</v>
      </c>
      <c r="U1037" s="2">
        <v>56777</v>
      </c>
      <c r="V1037" s="1">
        <v>4.3</v>
      </c>
      <c r="W1037" s="1">
        <v>1000</v>
      </c>
      <c r="X1037" s="1">
        <v>1422</v>
      </c>
      <c r="Y1037" s="1">
        <v>400</v>
      </c>
      <c r="Z1037" s="1">
        <v>495</v>
      </c>
      <c r="AA1037" s="1">
        <v>527</v>
      </c>
      <c r="AB1037" s="1">
        <v>0</v>
      </c>
      <c r="AC1037" s="1">
        <v>2</v>
      </c>
      <c r="AD1037" s="1" t="s">
        <v>215</v>
      </c>
      <c r="AE1037" s="1" t="s">
        <v>12247</v>
      </c>
      <c r="AF1037" s="1" t="s">
        <v>12248</v>
      </c>
      <c r="AG1037" s="1" t="s">
        <v>12249</v>
      </c>
      <c r="AH1037" s="1" t="s">
        <v>12250</v>
      </c>
      <c r="AI1037" s="1">
        <v>4.58</v>
      </c>
      <c r="AJ1037" s="1">
        <v>254</v>
      </c>
      <c r="AK1037" s="1">
        <v>788</v>
      </c>
      <c r="AL1037" s="1">
        <v>9</v>
      </c>
    </row>
    <row r="1038" spans="1:38" ht="15.75" customHeight="1">
      <c r="A1038" s="1">
        <v>11</v>
      </c>
      <c r="C1038" s="1">
        <v>4050</v>
      </c>
      <c r="D1038" s="1" t="s">
        <v>38</v>
      </c>
      <c r="E1038" s="1" t="s">
        <v>39</v>
      </c>
      <c r="F1038" s="1" t="s">
        <v>195</v>
      </c>
      <c r="G1038" s="1">
        <v>0</v>
      </c>
      <c r="H1038" s="1" t="s">
        <v>41</v>
      </c>
      <c r="I1038" s="1" t="s">
        <v>12251</v>
      </c>
      <c r="J1038" s="1" t="s">
        <v>12252</v>
      </c>
      <c r="K1038" s="1" t="s">
        <v>12253</v>
      </c>
      <c r="L1038" s="1">
        <v>1</v>
      </c>
      <c r="M1038" s="1">
        <v>0</v>
      </c>
      <c r="N1038" s="1" t="s">
        <v>12254</v>
      </c>
      <c r="O1038" s="1" t="s">
        <v>12255</v>
      </c>
      <c r="P1038" s="1" t="s">
        <v>12256</v>
      </c>
      <c r="Q1038" s="1">
        <v>0</v>
      </c>
      <c r="R1038" s="1" t="s">
        <v>12257</v>
      </c>
      <c r="S1038" s="1" t="s">
        <v>12258</v>
      </c>
      <c r="U1038" s="2">
        <v>56766</v>
      </c>
      <c r="V1038" s="1">
        <v>4.3</v>
      </c>
      <c r="W1038" s="1">
        <v>1000</v>
      </c>
      <c r="X1038" s="1">
        <v>1697</v>
      </c>
      <c r="Y1038" s="1">
        <v>206</v>
      </c>
      <c r="Z1038" s="1">
        <v>815</v>
      </c>
      <c r="AA1038" s="1">
        <v>676</v>
      </c>
      <c r="AB1038" s="1">
        <v>0</v>
      </c>
      <c r="AC1038" s="1">
        <v>1</v>
      </c>
      <c r="AD1038" s="1" t="s">
        <v>62</v>
      </c>
      <c r="AE1038" s="1" t="s">
        <v>12259</v>
      </c>
      <c r="AF1038" s="1" t="s">
        <v>12260</v>
      </c>
      <c r="AG1038" s="1" t="s">
        <v>12261</v>
      </c>
      <c r="AH1038" s="1" t="s">
        <v>12262</v>
      </c>
      <c r="AI1038" s="1">
        <v>4.66</v>
      </c>
      <c r="AJ1038" s="1">
        <v>161</v>
      </c>
      <c r="AK1038" s="1">
        <v>398</v>
      </c>
    </row>
    <row r="1039" spans="1:38" ht="15.75" customHeight="1">
      <c r="A1039" s="1">
        <v>107</v>
      </c>
      <c r="B1039" s="1">
        <v>4</v>
      </c>
      <c r="C1039" s="1">
        <v>4001</v>
      </c>
      <c r="D1039" s="1" t="s">
        <v>51</v>
      </c>
      <c r="E1039" s="1" t="s">
        <v>39</v>
      </c>
      <c r="F1039" s="1" t="s">
        <v>341</v>
      </c>
      <c r="G1039" s="1">
        <v>0</v>
      </c>
      <c r="H1039" s="1" t="s">
        <v>41</v>
      </c>
      <c r="I1039" s="1" t="s">
        <v>12263</v>
      </c>
      <c r="J1039" s="1" t="s">
        <v>12264</v>
      </c>
      <c r="K1039" s="1" t="s">
        <v>12265</v>
      </c>
      <c r="L1039" s="1">
        <v>1</v>
      </c>
      <c r="M1039" s="1">
        <v>0</v>
      </c>
      <c r="N1039" s="1" t="s">
        <v>12266</v>
      </c>
      <c r="O1039" s="1" t="s">
        <v>12267</v>
      </c>
      <c r="P1039" s="1" t="s">
        <v>12268</v>
      </c>
      <c r="Q1039" s="1">
        <v>0</v>
      </c>
      <c r="R1039" s="1" t="s">
        <v>12269</v>
      </c>
      <c r="S1039" s="1" t="s">
        <v>12270</v>
      </c>
      <c r="U1039" s="2">
        <v>56766</v>
      </c>
      <c r="V1039" s="1">
        <v>3.6627761969999999</v>
      </c>
      <c r="W1039" s="1">
        <v>1000</v>
      </c>
      <c r="X1039" s="1">
        <v>1343</v>
      </c>
      <c r="Y1039" s="1">
        <v>310</v>
      </c>
      <c r="Z1039" s="1">
        <v>3</v>
      </c>
      <c r="AA1039" s="1">
        <v>1030</v>
      </c>
      <c r="AB1039" s="1">
        <v>0</v>
      </c>
      <c r="AC1039" s="1">
        <v>1</v>
      </c>
      <c r="AD1039" s="1" t="s">
        <v>215</v>
      </c>
      <c r="AE1039" s="1" t="s">
        <v>12271</v>
      </c>
      <c r="AF1039" s="1" t="s">
        <v>12272</v>
      </c>
      <c r="AG1039" s="1" t="s">
        <v>12273</v>
      </c>
      <c r="AH1039" s="1" t="s">
        <v>12274</v>
      </c>
      <c r="AI1039" s="1">
        <v>4.54</v>
      </c>
      <c r="AJ1039" s="1">
        <v>2229</v>
      </c>
      <c r="AK1039" s="1">
        <v>6580</v>
      </c>
    </row>
    <row r="1040" spans="1:38" ht="15.75" customHeight="1">
      <c r="A1040" s="1">
        <v>1501</v>
      </c>
      <c r="B1040" s="1">
        <v>4</v>
      </c>
      <c r="C1040" s="1">
        <v>4001</v>
      </c>
      <c r="D1040" s="1" t="s">
        <v>51</v>
      </c>
      <c r="E1040" s="1" t="s">
        <v>39</v>
      </c>
      <c r="F1040" s="1" t="s">
        <v>708</v>
      </c>
      <c r="G1040" s="1">
        <v>0</v>
      </c>
      <c r="H1040" s="1" t="s">
        <v>53</v>
      </c>
      <c r="I1040" s="1" t="s">
        <v>12275</v>
      </c>
      <c r="J1040" s="1" t="s">
        <v>12276</v>
      </c>
      <c r="K1040" s="1" t="s">
        <v>12277</v>
      </c>
      <c r="L1040" s="1">
        <v>1</v>
      </c>
      <c r="M1040" s="1">
        <v>0</v>
      </c>
      <c r="N1040" s="1" t="s">
        <v>12278</v>
      </c>
      <c r="O1040" s="1" t="s">
        <v>12279</v>
      </c>
      <c r="P1040" s="1" t="s">
        <v>12280</v>
      </c>
      <c r="Q1040" s="1">
        <v>0</v>
      </c>
      <c r="R1040" s="1" t="s">
        <v>12281</v>
      </c>
      <c r="S1040" s="1" t="s">
        <v>12282</v>
      </c>
      <c r="U1040" s="2">
        <v>56777</v>
      </c>
      <c r="V1040" s="1">
        <v>4.3</v>
      </c>
      <c r="W1040" s="1">
        <v>1000</v>
      </c>
      <c r="X1040" s="1">
        <v>5164</v>
      </c>
      <c r="Y1040" s="1">
        <v>658</v>
      </c>
      <c r="Z1040" s="1">
        <v>4480</v>
      </c>
      <c r="AA1040" s="1">
        <v>26</v>
      </c>
      <c r="AB1040" s="1">
        <v>1</v>
      </c>
      <c r="AC1040" s="1">
        <v>1</v>
      </c>
      <c r="AE1040" s="1" t="s">
        <v>12283</v>
      </c>
      <c r="AF1040" s="1" t="s">
        <v>12284</v>
      </c>
      <c r="AG1040" s="1" t="s">
        <v>12285</v>
      </c>
      <c r="AH1040" s="1" t="s">
        <v>12286</v>
      </c>
      <c r="AI1040" s="1">
        <v>4.5999999999999996</v>
      </c>
      <c r="AJ1040" s="1">
        <v>292</v>
      </c>
      <c r="AK1040" s="1">
        <v>1027</v>
      </c>
      <c r="AL1040" s="1">
        <v>26</v>
      </c>
    </row>
    <row r="1041" spans="1:38" ht="15.75" customHeight="1">
      <c r="A1041" s="1">
        <v>525</v>
      </c>
      <c r="C1041" s="1">
        <v>4001</v>
      </c>
      <c r="D1041" s="1" t="s">
        <v>51</v>
      </c>
      <c r="E1041" s="1" t="s">
        <v>39</v>
      </c>
      <c r="F1041" s="1" t="s">
        <v>232</v>
      </c>
      <c r="G1041" s="1">
        <v>0</v>
      </c>
      <c r="H1041" s="1" t="s">
        <v>53</v>
      </c>
      <c r="I1041" s="1" t="s">
        <v>12287</v>
      </c>
      <c r="J1041" s="1" t="s">
        <v>12288</v>
      </c>
      <c r="K1041" s="1" t="s">
        <v>12289</v>
      </c>
      <c r="L1041" s="1">
        <v>1</v>
      </c>
      <c r="M1041" s="1">
        <v>0</v>
      </c>
      <c r="N1041" s="1" t="s">
        <v>12290</v>
      </c>
      <c r="O1041" s="1" t="s">
        <v>12291</v>
      </c>
      <c r="P1041" s="1" t="s">
        <v>12292</v>
      </c>
      <c r="Q1041" s="1">
        <v>0</v>
      </c>
      <c r="R1041" s="1" t="s">
        <v>12293</v>
      </c>
      <c r="S1041" s="1" t="s">
        <v>12294</v>
      </c>
      <c r="U1041" s="2">
        <v>56769</v>
      </c>
      <c r="V1041" s="1">
        <v>4.5</v>
      </c>
      <c r="W1041" s="1">
        <v>1000</v>
      </c>
      <c r="X1041" s="1">
        <v>1673</v>
      </c>
      <c r="Y1041" s="1">
        <v>911</v>
      </c>
      <c r="AA1041" s="1">
        <v>770</v>
      </c>
      <c r="AB1041" s="1">
        <v>0</v>
      </c>
      <c r="AC1041" s="1">
        <v>3</v>
      </c>
      <c r="AE1041" s="1" t="s">
        <v>12295</v>
      </c>
      <c r="AF1041" s="1" t="s">
        <v>12296</v>
      </c>
      <c r="AG1041" s="1" t="s">
        <v>12297</v>
      </c>
      <c r="AH1041" s="1" t="s">
        <v>12298</v>
      </c>
      <c r="AI1041" s="1">
        <v>4.5599999999999996</v>
      </c>
      <c r="AJ1041" s="1">
        <v>765</v>
      </c>
      <c r="AK1041" s="1">
        <v>2618</v>
      </c>
    </row>
    <row r="1042" spans="1:38" ht="15.75" customHeight="1">
      <c r="A1042" s="1">
        <v>1577</v>
      </c>
      <c r="C1042" s="1">
        <v>4001</v>
      </c>
      <c r="D1042" s="1" t="s">
        <v>51</v>
      </c>
      <c r="E1042" s="1" t="s">
        <v>39</v>
      </c>
      <c r="F1042" s="1" t="s">
        <v>1915</v>
      </c>
      <c r="G1042" s="1">
        <v>0</v>
      </c>
      <c r="H1042" s="1" t="s">
        <v>53</v>
      </c>
      <c r="I1042" s="1" t="s">
        <v>12299</v>
      </c>
      <c r="J1042" s="1" t="s">
        <v>12300</v>
      </c>
      <c r="K1042" s="1" t="s">
        <v>12301</v>
      </c>
      <c r="L1042" s="1">
        <v>1</v>
      </c>
      <c r="M1042" s="1">
        <v>0</v>
      </c>
      <c r="N1042" s="1" t="s">
        <v>12302</v>
      </c>
      <c r="O1042" s="1" t="s">
        <v>12303</v>
      </c>
      <c r="P1042" s="1" t="s">
        <v>12304</v>
      </c>
      <c r="Q1042" s="1">
        <v>0</v>
      </c>
      <c r="R1042" s="1" t="s">
        <v>12305</v>
      </c>
      <c r="S1042" s="1" t="s">
        <v>12306</v>
      </c>
      <c r="U1042" s="2">
        <v>56778</v>
      </c>
      <c r="V1042" s="1">
        <v>4.5999999999999996</v>
      </c>
      <c r="W1042" s="1">
        <v>1000</v>
      </c>
      <c r="X1042" s="1">
        <v>1461</v>
      </c>
      <c r="Y1042" s="1">
        <v>9</v>
      </c>
      <c r="Z1042" s="1">
        <v>360</v>
      </c>
      <c r="AA1042" s="1">
        <v>1092</v>
      </c>
      <c r="AB1042" s="1">
        <v>0</v>
      </c>
      <c r="AC1042" s="1">
        <v>1</v>
      </c>
      <c r="AD1042" s="1" t="s">
        <v>62</v>
      </c>
      <c r="AE1042" s="1" t="s">
        <v>12307</v>
      </c>
      <c r="AF1042" s="1" t="s">
        <v>12308</v>
      </c>
      <c r="AG1042" s="1" t="s">
        <v>12309</v>
      </c>
      <c r="AH1042" s="1" t="s">
        <v>12310</v>
      </c>
      <c r="AI1042" s="1">
        <v>4.63</v>
      </c>
      <c r="AJ1042" s="1">
        <v>242</v>
      </c>
      <c r="AK1042" s="1">
        <v>736</v>
      </c>
    </row>
    <row r="1043" spans="1:38" ht="15.75" customHeight="1">
      <c r="A1043" s="1">
        <v>368</v>
      </c>
      <c r="C1043" s="1">
        <v>4050</v>
      </c>
      <c r="D1043" s="1" t="s">
        <v>38</v>
      </c>
      <c r="E1043" s="1" t="s">
        <v>39</v>
      </c>
      <c r="F1043" s="1" t="s">
        <v>510</v>
      </c>
      <c r="G1043" s="1">
        <v>0</v>
      </c>
      <c r="H1043" s="1" t="s">
        <v>41</v>
      </c>
      <c r="I1043" s="1" t="s">
        <v>12311</v>
      </c>
      <c r="J1043" s="1" t="s">
        <v>12312</v>
      </c>
      <c r="K1043" s="1" t="s">
        <v>12313</v>
      </c>
      <c r="L1043" s="1">
        <v>1</v>
      </c>
      <c r="M1043" s="1">
        <v>0</v>
      </c>
      <c r="N1043" s="1" t="s">
        <v>12314</v>
      </c>
      <c r="O1043" s="1" t="s">
        <v>12315</v>
      </c>
      <c r="P1043" s="1" t="s">
        <v>12316</v>
      </c>
      <c r="Q1043" s="1">
        <v>0</v>
      </c>
      <c r="R1043" s="1" t="s">
        <v>12317</v>
      </c>
      <c r="U1043" s="2">
        <v>56768</v>
      </c>
      <c r="V1043" s="1">
        <v>4.5999999999999996</v>
      </c>
      <c r="W1043" s="1">
        <v>1000</v>
      </c>
      <c r="X1043" s="1">
        <v>1431</v>
      </c>
      <c r="AA1043" s="1">
        <v>827</v>
      </c>
      <c r="AB1043" s="1">
        <v>0</v>
      </c>
      <c r="AC1043" s="1">
        <v>4</v>
      </c>
      <c r="AE1043" s="1" t="s">
        <v>12318</v>
      </c>
      <c r="AF1043" s="1" t="s">
        <v>12319</v>
      </c>
      <c r="AG1043" s="1" t="s">
        <v>12320</v>
      </c>
      <c r="AI1043" s="1">
        <v>4.62</v>
      </c>
      <c r="AJ1043" s="1">
        <v>259</v>
      </c>
      <c r="AK1043" s="1">
        <v>604</v>
      </c>
      <c r="AL1043" s="1">
        <v>21</v>
      </c>
    </row>
    <row r="1044" spans="1:38" ht="15.75" customHeight="1">
      <c r="A1044" s="1">
        <v>581</v>
      </c>
      <c r="B1044" s="1">
        <v>4</v>
      </c>
      <c r="C1044" s="1">
        <v>4050</v>
      </c>
      <c r="D1044" s="1" t="s">
        <v>38</v>
      </c>
      <c r="E1044" s="1" t="s">
        <v>39</v>
      </c>
      <c r="F1044" s="1" t="s">
        <v>510</v>
      </c>
      <c r="G1044" s="1">
        <v>0</v>
      </c>
      <c r="H1044" s="1" t="s">
        <v>41</v>
      </c>
      <c r="I1044" s="1" t="s">
        <v>12321</v>
      </c>
      <c r="J1044" s="1" t="s">
        <v>12322</v>
      </c>
      <c r="K1044" s="1" t="s">
        <v>12323</v>
      </c>
      <c r="L1044" s="1">
        <v>1</v>
      </c>
      <c r="M1044" s="1">
        <v>0</v>
      </c>
      <c r="N1044" s="1" t="s">
        <v>12324</v>
      </c>
      <c r="O1044" s="1" t="s">
        <v>12325</v>
      </c>
      <c r="P1044" s="1" t="s">
        <v>12326</v>
      </c>
      <c r="Q1044" s="1">
        <v>0</v>
      </c>
      <c r="R1044" s="1" t="s">
        <v>12327</v>
      </c>
      <c r="S1044" s="1" t="s">
        <v>12328</v>
      </c>
      <c r="U1044" s="2">
        <v>56770</v>
      </c>
      <c r="V1044" s="1">
        <v>3.1401228149999998</v>
      </c>
      <c r="W1044" s="1">
        <v>1000</v>
      </c>
      <c r="X1044" s="1">
        <v>2692</v>
      </c>
      <c r="Y1044" s="1">
        <v>982</v>
      </c>
      <c r="Z1044" s="1">
        <v>236</v>
      </c>
      <c r="AA1044" s="1">
        <v>1474</v>
      </c>
      <c r="AB1044" s="1">
        <v>1</v>
      </c>
      <c r="AC1044" s="1">
        <v>4</v>
      </c>
      <c r="AE1044" s="1" t="s">
        <v>12329</v>
      </c>
      <c r="AF1044" s="1" t="s">
        <v>12330</v>
      </c>
      <c r="AG1044" s="1" t="s">
        <v>12331</v>
      </c>
      <c r="AH1044" s="1" t="s">
        <v>12332</v>
      </c>
      <c r="AI1044" s="1">
        <v>4.62</v>
      </c>
      <c r="AJ1044" s="1">
        <v>259</v>
      </c>
      <c r="AK1044" s="1">
        <v>604</v>
      </c>
      <c r="AL1044" s="1">
        <v>21</v>
      </c>
    </row>
    <row r="1045" spans="1:38" ht="15.75" customHeight="1">
      <c r="A1045" s="1">
        <v>243</v>
      </c>
      <c r="B1045" s="1">
        <v>4</v>
      </c>
      <c r="C1045" s="1">
        <v>4050</v>
      </c>
      <c r="D1045" s="1" t="s">
        <v>38</v>
      </c>
      <c r="E1045" s="1" t="s">
        <v>39</v>
      </c>
      <c r="F1045" s="1" t="s">
        <v>510</v>
      </c>
      <c r="G1045" s="1">
        <v>0</v>
      </c>
      <c r="H1045" s="1" t="s">
        <v>41</v>
      </c>
      <c r="I1045" s="1" t="s">
        <v>12333</v>
      </c>
      <c r="J1045" s="1" t="s">
        <v>12334</v>
      </c>
      <c r="K1045" s="1" t="s">
        <v>12335</v>
      </c>
      <c r="L1045" s="1">
        <v>1</v>
      </c>
      <c r="M1045" s="1">
        <v>0</v>
      </c>
      <c r="N1045" s="1" t="s">
        <v>12336</v>
      </c>
      <c r="O1045" s="1" t="s">
        <v>12337</v>
      </c>
      <c r="P1045" s="1" t="s">
        <v>12338</v>
      </c>
      <c r="Q1045" s="1">
        <v>0</v>
      </c>
      <c r="R1045" s="1" t="s">
        <v>12339</v>
      </c>
      <c r="S1045" s="1" t="s">
        <v>12340</v>
      </c>
      <c r="U1045" s="2">
        <v>56767</v>
      </c>
      <c r="V1045" s="1">
        <v>4.5999999999999996</v>
      </c>
      <c r="W1045" s="1">
        <v>1000</v>
      </c>
      <c r="X1045" s="1">
        <v>1105</v>
      </c>
      <c r="Y1045" s="1">
        <v>586</v>
      </c>
      <c r="Z1045" s="1">
        <v>12</v>
      </c>
      <c r="AA1045" s="1">
        <v>507</v>
      </c>
      <c r="AB1045" s="1">
        <v>0</v>
      </c>
      <c r="AC1045" s="1">
        <v>1</v>
      </c>
      <c r="AD1045" s="1" t="s">
        <v>215</v>
      </c>
      <c r="AE1045" s="1" t="s">
        <v>12341</v>
      </c>
      <c r="AF1045" s="1" t="s">
        <v>12342</v>
      </c>
      <c r="AG1045" s="1" t="s">
        <v>12343</v>
      </c>
      <c r="AH1045" s="1" t="s">
        <v>12344</v>
      </c>
      <c r="AI1045" s="1">
        <v>4.62</v>
      </c>
      <c r="AJ1045" s="1">
        <v>259</v>
      </c>
      <c r="AK1045" s="1">
        <v>604</v>
      </c>
      <c r="AL1045" s="1">
        <v>21</v>
      </c>
    </row>
    <row r="1046" spans="1:38" ht="15.75" customHeight="1">
      <c r="A1046" s="1">
        <v>594</v>
      </c>
      <c r="C1046" s="1">
        <v>4050</v>
      </c>
      <c r="D1046" s="1" t="s">
        <v>38</v>
      </c>
      <c r="E1046" s="1" t="s">
        <v>39</v>
      </c>
      <c r="F1046" s="1" t="s">
        <v>1348</v>
      </c>
      <c r="G1046" s="1">
        <v>0</v>
      </c>
      <c r="H1046" s="1" t="s">
        <v>41</v>
      </c>
      <c r="I1046" s="1" t="s">
        <v>12345</v>
      </c>
      <c r="J1046" s="1" t="s">
        <v>12346</v>
      </c>
      <c r="K1046" s="1" t="s">
        <v>12346</v>
      </c>
      <c r="L1046" s="1">
        <v>0</v>
      </c>
      <c r="M1046" s="1">
        <v>0</v>
      </c>
      <c r="N1046" s="1" t="s">
        <v>12347</v>
      </c>
      <c r="O1046" s="1" t="s">
        <v>12348</v>
      </c>
      <c r="P1046" s="1" t="s">
        <v>12349</v>
      </c>
      <c r="Q1046" s="1">
        <v>0</v>
      </c>
      <c r="R1046" s="1" t="s">
        <v>12350</v>
      </c>
      <c r="S1046" s="1" t="s">
        <v>12351</v>
      </c>
      <c r="U1046" s="2">
        <v>56770</v>
      </c>
      <c r="V1046" s="1">
        <v>4.7</v>
      </c>
      <c r="W1046" s="1">
        <v>1000</v>
      </c>
      <c r="X1046" s="1">
        <v>3108</v>
      </c>
      <c r="Y1046" s="1">
        <v>1370</v>
      </c>
      <c r="Z1046" s="1">
        <v>34</v>
      </c>
      <c r="AA1046" s="1">
        <v>1704</v>
      </c>
      <c r="AB1046" s="1">
        <v>0</v>
      </c>
      <c r="AC1046" s="1">
        <v>2</v>
      </c>
      <c r="AD1046" s="1" t="s">
        <v>76</v>
      </c>
      <c r="AE1046" s="1" t="s">
        <v>12352</v>
      </c>
      <c r="AF1046" s="1" t="s">
        <v>12353</v>
      </c>
      <c r="AG1046" s="1" t="s">
        <v>12354</v>
      </c>
      <c r="AH1046" s="1" t="s">
        <v>12355</v>
      </c>
      <c r="AI1046" s="1">
        <v>4.79</v>
      </c>
      <c r="AJ1046" s="1">
        <v>1007</v>
      </c>
      <c r="AK1046" s="1">
        <v>2899</v>
      </c>
      <c r="AL1046" s="1">
        <v>1301</v>
      </c>
    </row>
    <row r="1047" spans="1:38" ht="15.75" customHeight="1">
      <c r="A1047" s="1">
        <v>1592</v>
      </c>
      <c r="C1047" s="1">
        <v>4001</v>
      </c>
      <c r="D1047" s="1" t="s">
        <v>51</v>
      </c>
      <c r="E1047" s="1" t="s">
        <v>39</v>
      </c>
      <c r="F1047" s="1" t="s">
        <v>341</v>
      </c>
      <c r="G1047" s="1">
        <v>0</v>
      </c>
      <c r="H1047" s="1" t="s">
        <v>41</v>
      </c>
      <c r="I1047" s="1" t="s">
        <v>12356</v>
      </c>
      <c r="J1047" s="1" t="s">
        <v>12357</v>
      </c>
      <c r="K1047" s="1" t="s">
        <v>12358</v>
      </c>
      <c r="L1047" s="1">
        <v>1</v>
      </c>
      <c r="M1047" s="1">
        <v>0</v>
      </c>
      <c r="N1047" s="1" t="s">
        <v>12359</v>
      </c>
      <c r="O1047" s="1" t="s">
        <v>12360</v>
      </c>
      <c r="P1047" s="1" t="s">
        <v>12361</v>
      </c>
      <c r="Q1047" s="1">
        <v>0</v>
      </c>
      <c r="R1047" s="1" t="s">
        <v>12362</v>
      </c>
      <c r="S1047" s="1" t="s">
        <v>12363</v>
      </c>
      <c r="U1047" s="2">
        <v>56778</v>
      </c>
      <c r="V1047" s="1">
        <v>4.4000000000000004</v>
      </c>
      <c r="W1047" s="1">
        <v>1000</v>
      </c>
      <c r="X1047" s="1">
        <v>1827</v>
      </c>
      <c r="Y1047" s="1">
        <v>583</v>
      </c>
      <c r="Z1047" s="1">
        <v>424</v>
      </c>
      <c r="AA1047" s="1">
        <v>820</v>
      </c>
      <c r="AB1047" s="1">
        <v>0</v>
      </c>
      <c r="AC1047" s="1">
        <v>20</v>
      </c>
      <c r="AD1047" s="1" t="s">
        <v>62</v>
      </c>
      <c r="AE1047" s="1" t="s">
        <v>12364</v>
      </c>
      <c r="AF1047" s="1" t="s">
        <v>12365</v>
      </c>
      <c r="AG1047" s="1" t="s">
        <v>12366</v>
      </c>
      <c r="AH1047" s="1" t="s">
        <v>12367</v>
      </c>
      <c r="AI1047" s="1">
        <v>4.54</v>
      </c>
      <c r="AJ1047" s="1">
        <v>2229</v>
      </c>
      <c r="AK1047" s="1">
        <v>6580</v>
      </c>
    </row>
    <row r="1048" spans="1:38" ht="15.75" customHeight="1">
      <c r="A1048" s="1">
        <v>1407</v>
      </c>
      <c r="C1048" s="1">
        <v>4001</v>
      </c>
      <c r="D1048" s="1" t="s">
        <v>51</v>
      </c>
      <c r="E1048" s="1" t="s">
        <v>39</v>
      </c>
      <c r="F1048" s="1" t="s">
        <v>341</v>
      </c>
      <c r="G1048" s="1">
        <v>0</v>
      </c>
      <c r="H1048" s="1" t="s">
        <v>41</v>
      </c>
      <c r="I1048" s="1" t="s">
        <v>12368</v>
      </c>
      <c r="J1048" s="1" t="s">
        <v>12369</v>
      </c>
      <c r="K1048" s="1" t="s">
        <v>12370</v>
      </c>
      <c r="L1048" s="1">
        <v>1</v>
      </c>
      <c r="M1048" s="1">
        <v>0</v>
      </c>
      <c r="N1048" s="1" t="s">
        <v>12371</v>
      </c>
      <c r="O1048" s="1" t="s">
        <v>12372</v>
      </c>
      <c r="P1048" s="1" t="s">
        <v>12373</v>
      </c>
      <c r="Q1048" s="1">
        <v>0</v>
      </c>
      <c r="R1048" s="1" t="s">
        <v>12374</v>
      </c>
      <c r="S1048" s="1" t="s">
        <v>12375</v>
      </c>
      <c r="U1048" s="2">
        <v>56777</v>
      </c>
      <c r="V1048" s="1">
        <v>4.4000000000000004</v>
      </c>
      <c r="W1048" s="1">
        <v>1000</v>
      </c>
      <c r="X1048" s="1">
        <v>1286</v>
      </c>
      <c r="Y1048" s="1">
        <v>551</v>
      </c>
      <c r="Z1048" s="1">
        <v>341</v>
      </c>
      <c r="AA1048" s="1">
        <v>394</v>
      </c>
      <c r="AB1048" s="1">
        <v>0</v>
      </c>
      <c r="AC1048" s="1">
        <v>14</v>
      </c>
      <c r="AD1048" s="1" t="s">
        <v>215</v>
      </c>
      <c r="AE1048" s="1" t="s">
        <v>12376</v>
      </c>
      <c r="AF1048" s="1" t="s">
        <v>12377</v>
      </c>
      <c r="AG1048" s="1" t="s">
        <v>12378</v>
      </c>
      <c r="AH1048" s="1" t="s">
        <v>12379</v>
      </c>
      <c r="AI1048" s="1">
        <v>4.54</v>
      </c>
      <c r="AJ1048" s="1">
        <v>2229</v>
      </c>
      <c r="AK1048" s="1">
        <v>6580</v>
      </c>
    </row>
    <row r="1049" spans="1:38" ht="15.75" customHeight="1">
      <c r="A1049" s="1">
        <v>12</v>
      </c>
      <c r="B1049" s="1">
        <v>5</v>
      </c>
      <c r="C1049" s="1">
        <v>4050</v>
      </c>
      <c r="D1049" s="1" t="s">
        <v>38</v>
      </c>
      <c r="E1049" s="1" t="s">
        <v>39</v>
      </c>
      <c r="F1049" s="1" t="s">
        <v>914</v>
      </c>
      <c r="G1049" s="1">
        <v>0</v>
      </c>
      <c r="H1049" s="1" t="s">
        <v>41</v>
      </c>
      <c r="I1049" s="1" t="s">
        <v>12380</v>
      </c>
      <c r="J1049" s="1" t="s">
        <v>12381</v>
      </c>
      <c r="K1049" s="1" t="s">
        <v>12382</v>
      </c>
      <c r="L1049" s="1">
        <v>1</v>
      </c>
      <c r="M1049" s="1">
        <v>0</v>
      </c>
      <c r="N1049" s="1" t="s">
        <v>12383</v>
      </c>
      <c r="O1049" s="1" t="s">
        <v>12384</v>
      </c>
      <c r="P1049" s="1" t="s">
        <v>12385</v>
      </c>
      <c r="Q1049" s="1">
        <v>0</v>
      </c>
      <c r="R1049" s="1" t="s">
        <v>12386</v>
      </c>
      <c r="S1049" s="1" t="s">
        <v>12387</v>
      </c>
      <c r="U1049" s="2">
        <v>56766</v>
      </c>
      <c r="V1049" s="1">
        <v>4.4000000000000004</v>
      </c>
      <c r="W1049" s="1">
        <v>1000</v>
      </c>
      <c r="X1049" s="1">
        <v>1951</v>
      </c>
      <c r="Y1049" s="1">
        <v>705</v>
      </c>
      <c r="Z1049" s="1">
        <v>460</v>
      </c>
      <c r="AA1049" s="1">
        <v>786</v>
      </c>
      <c r="AB1049" s="1">
        <v>0</v>
      </c>
      <c r="AC1049" s="1">
        <v>1</v>
      </c>
      <c r="AD1049" s="1" t="s">
        <v>215</v>
      </c>
      <c r="AE1049" s="1" t="s">
        <v>12388</v>
      </c>
      <c r="AF1049" s="1" t="s">
        <v>12389</v>
      </c>
      <c r="AG1049" s="1" t="s">
        <v>12390</v>
      </c>
      <c r="AH1049" s="1" t="s">
        <v>12391</v>
      </c>
      <c r="AI1049" s="1">
        <v>4.6900000000000004</v>
      </c>
      <c r="AJ1049" s="1">
        <v>89</v>
      </c>
      <c r="AK1049" s="1">
        <v>258</v>
      </c>
      <c r="AL1049" s="1">
        <v>154</v>
      </c>
    </row>
    <row r="1050" spans="1:38" ht="15.75" customHeight="1">
      <c r="A1050" s="1">
        <v>1545</v>
      </c>
      <c r="C1050" s="1">
        <v>4001</v>
      </c>
      <c r="D1050" s="1" t="s">
        <v>51</v>
      </c>
      <c r="E1050" s="1" t="s">
        <v>39</v>
      </c>
      <c r="F1050" s="1" t="s">
        <v>708</v>
      </c>
      <c r="G1050" s="1">
        <v>0</v>
      </c>
      <c r="H1050" s="1" t="s">
        <v>53</v>
      </c>
      <c r="I1050" s="1" t="s">
        <v>12392</v>
      </c>
      <c r="J1050" s="1" t="s">
        <v>12393</v>
      </c>
      <c r="K1050" s="1" t="s">
        <v>12394</v>
      </c>
      <c r="L1050" s="1">
        <v>1</v>
      </c>
      <c r="M1050" s="1">
        <v>0</v>
      </c>
      <c r="N1050" s="1" t="s">
        <v>12395</v>
      </c>
      <c r="O1050" s="1" t="s">
        <v>12396</v>
      </c>
      <c r="P1050" s="1" t="s">
        <v>12397</v>
      </c>
      <c r="Q1050" s="1">
        <v>0</v>
      </c>
      <c r="R1050" s="1" t="s">
        <v>12398</v>
      </c>
      <c r="S1050" s="1" t="s">
        <v>12399</v>
      </c>
      <c r="U1050" s="2">
        <v>56777</v>
      </c>
      <c r="V1050" s="1">
        <v>4.649691893</v>
      </c>
      <c r="W1050" s="1">
        <v>1000</v>
      </c>
      <c r="X1050" s="1">
        <v>3526</v>
      </c>
      <c r="Y1050" s="1">
        <v>941</v>
      </c>
      <c r="AA1050" s="1">
        <v>2668</v>
      </c>
      <c r="AB1050" s="1">
        <v>1</v>
      </c>
      <c r="AC1050" s="1">
        <v>3</v>
      </c>
      <c r="AE1050" s="1" t="s">
        <v>12400</v>
      </c>
      <c r="AF1050" s="1" t="s">
        <v>12401</v>
      </c>
      <c r="AG1050" s="1" t="s">
        <v>12402</v>
      </c>
      <c r="AH1050" s="1" t="s">
        <v>12403</v>
      </c>
      <c r="AI1050" s="1">
        <v>4.5999999999999996</v>
      </c>
      <c r="AJ1050" s="1">
        <v>292</v>
      </c>
      <c r="AK1050" s="1">
        <v>1027</v>
      </c>
      <c r="AL1050" s="1">
        <v>26</v>
      </c>
    </row>
    <row r="1051" spans="1:38" ht="15.75" customHeight="1">
      <c r="A1051" s="1">
        <v>232</v>
      </c>
      <c r="B1051" s="1">
        <v>5</v>
      </c>
      <c r="C1051" s="1">
        <v>4050</v>
      </c>
      <c r="D1051" s="1" t="s">
        <v>38</v>
      </c>
      <c r="E1051" s="1" t="s">
        <v>39</v>
      </c>
      <c r="F1051" s="1" t="s">
        <v>532</v>
      </c>
      <c r="G1051" s="1">
        <v>0</v>
      </c>
      <c r="H1051" s="1" t="s">
        <v>41</v>
      </c>
      <c r="I1051" s="1" t="s">
        <v>12404</v>
      </c>
      <c r="J1051" s="1" t="s">
        <v>12405</v>
      </c>
      <c r="K1051" s="1" t="s">
        <v>12406</v>
      </c>
      <c r="L1051" s="1">
        <v>1</v>
      </c>
      <c r="M1051" s="1">
        <v>0</v>
      </c>
      <c r="N1051" s="1" t="s">
        <v>12407</v>
      </c>
      <c r="O1051" s="1" t="s">
        <v>12408</v>
      </c>
      <c r="P1051" s="1" t="s">
        <v>12409</v>
      </c>
      <c r="Q1051" s="1">
        <v>0</v>
      </c>
      <c r="R1051" s="1" t="s">
        <v>12410</v>
      </c>
      <c r="S1051" s="1" t="s">
        <v>12411</v>
      </c>
      <c r="U1051" s="2">
        <v>56767</v>
      </c>
      <c r="V1051" s="1">
        <v>4.5</v>
      </c>
      <c r="W1051" s="1">
        <v>1000</v>
      </c>
      <c r="X1051" s="1">
        <v>2063</v>
      </c>
      <c r="Y1051" s="1">
        <v>501</v>
      </c>
      <c r="Z1051" s="1">
        <v>661</v>
      </c>
      <c r="AA1051" s="1">
        <v>901</v>
      </c>
      <c r="AB1051" s="1">
        <v>0</v>
      </c>
      <c r="AC1051" s="1">
        <v>1</v>
      </c>
      <c r="AD1051" s="1" t="s">
        <v>215</v>
      </c>
      <c r="AE1051" s="1" t="s">
        <v>12412</v>
      </c>
      <c r="AF1051" s="1" t="s">
        <v>12413</v>
      </c>
      <c r="AG1051" s="1" t="s">
        <v>12414</v>
      </c>
      <c r="AH1051" s="1" t="s">
        <v>12415</v>
      </c>
      <c r="AI1051" s="1">
        <v>4.63</v>
      </c>
      <c r="AJ1051" s="1">
        <v>241</v>
      </c>
      <c r="AK1051" s="1">
        <v>995</v>
      </c>
      <c r="AL1051" s="1">
        <v>626</v>
      </c>
    </row>
    <row r="1052" spans="1:38" ht="15.75" customHeight="1">
      <c r="A1052" s="1">
        <v>268</v>
      </c>
      <c r="C1052" s="1">
        <v>4050</v>
      </c>
      <c r="D1052" s="1" t="s">
        <v>38</v>
      </c>
      <c r="E1052" s="1" t="s">
        <v>39</v>
      </c>
      <c r="F1052" s="1" t="s">
        <v>280</v>
      </c>
      <c r="G1052" s="1">
        <v>0</v>
      </c>
      <c r="H1052" s="1" t="s">
        <v>41</v>
      </c>
      <c r="I1052" s="1" t="s">
        <v>12416</v>
      </c>
      <c r="J1052" s="1" t="s">
        <v>12417</v>
      </c>
      <c r="K1052" s="1" t="s">
        <v>12418</v>
      </c>
      <c r="L1052" s="1">
        <v>1</v>
      </c>
      <c r="M1052" s="1">
        <v>0</v>
      </c>
      <c r="N1052" s="1" t="s">
        <v>12419</v>
      </c>
      <c r="O1052" s="1" t="s">
        <v>12420</v>
      </c>
      <c r="P1052" s="1" t="s">
        <v>12421</v>
      </c>
      <c r="Q1052" s="1">
        <v>0</v>
      </c>
      <c r="R1052" s="1" t="s">
        <v>12422</v>
      </c>
      <c r="U1052" s="2">
        <v>56768</v>
      </c>
      <c r="V1052" s="1">
        <v>4.3</v>
      </c>
      <c r="W1052" s="1">
        <v>1000</v>
      </c>
      <c r="X1052" s="1">
        <v>1822</v>
      </c>
      <c r="AA1052" s="1">
        <v>614</v>
      </c>
      <c r="AB1052" s="1">
        <v>0</v>
      </c>
      <c r="AC1052" s="1">
        <v>1</v>
      </c>
      <c r="AE1052" s="1" t="s">
        <v>12423</v>
      </c>
      <c r="AF1052" s="1" t="s">
        <v>12424</v>
      </c>
      <c r="AG1052" s="1" t="s">
        <v>12425</v>
      </c>
      <c r="AI1052" s="1">
        <v>4.49</v>
      </c>
      <c r="AJ1052" s="1">
        <v>2315</v>
      </c>
      <c r="AK1052" s="1">
        <v>7039</v>
      </c>
      <c r="AL1052" s="1">
        <v>763</v>
      </c>
    </row>
    <row r="1053" spans="1:38" ht="15.75" customHeight="1">
      <c r="A1053" s="1">
        <v>1315</v>
      </c>
      <c r="C1053" s="1">
        <v>4001</v>
      </c>
      <c r="D1053" s="1" t="s">
        <v>51</v>
      </c>
      <c r="E1053" s="1" t="s">
        <v>39</v>
      </c>
      <c r="F1053" s="1" t="s">
        <v>52</v>
      </c>
      <c r="G1053" s="1">
        <v>0</v>
      </c>
      <c r="H1053" s="1" t="s">
        <v>53</v>
      </c>
      <c r="I1053" s="1" t="s">
        <v>12426</v>
      </c>
      <c r="J1053" s="1" t="s">
        <v>12427</v>
      </c>
      <c r="K1053" s="1" t="s">
        <v>12428</v>
      </c>
      <c r="L1053" s="1">
        <v>1</v>
      </c>
      <c r="M1053" s="1">
        <v>0</v>
      </c>
      <c r="N1053" s="1" t="s">
        <v>12429</v>
      </c>
      <c r="O1053" s="1" t="s">
        <v>12430</v>
      </c>
      <c r="P1053" s="1" t="s">
        <v>12431</v>
      </c>
      <c r="Q1053" s="1">
        <v>0</v>
      </c>
      <c r="R1053" s="1" t="s">
        <v>12432</v>
      </c>
      <c r="U1053" s="2">
        <v>56776</v>
      </c>
      <c r="V1053" s="1">
        <v>3.1372550650000002</v>
      </c>
      <c r="W1053" s="1">
        <v>1000</v>
      </c>
      <c r="X1053" s="1">
        <v>1688</v>
      </c>
      <c r="AA1053" s="1">
        <v>703</v>
      </c>
      <c r="AB1053" s="1">
        <v>0</v>
      </c>
      <c r="AC1053" s="1">
        <v>2</v>
      </c>
      <c r="AE1053" s="1" t="s">
        <v>12433</v>
      </c>
      <c r="AF1053" s="1" t="s">
        <v>12434</v>
      </c>
      <c r="AG1053" s="1" t="s">
        <v>12435</v>
      </c>
      <c r="AI1053" s="1">
        <v>4.17</v>
      </c>
      <c r="AJ1053" s="1">
        <v>457</v>
      </c>
      <c r="AK1053" s="1">
        <v>1599</v>
      </c>
    </row>
    <row r="1054" spans="1:38" ht="15.75" customHeight="1">
      <c r="A1054" s="1">
        <v>1019</v>
      </c>
      <c r="B1054" s="1">
        <v>5</v>
      </c>
      <c r="C1054" s="1">
        <v>4001</v>
      </c>
      <c r="D1054" s="1" t="s">
        <v>51</v>
      </c>
      <c r="E1054" s="1" t="s">
        <v>39</v>
      </c>
      <c r="F1054" s="1" t="s">
        <v>305</v>
      </c>
      <c r="G1054" s="1">
        <v>0</v>
      </c>
      <c r="H1054" s="1" t="s">
        <v>53</v>
      </c>
      <c r="I1054" s="1" t="s">
        <v>12436</v>
      </c>
      <c r="J1054" s="1" t="s">
        <v>12437</v>
      </c>
      <c r="K1054" s="1" t="s">
        <v>12438</v>
      </c>
      <c r="L1054" s="1">
        <v>1</v>
      </c>
      <c r="M1054" s="1">
        <v>0</v>
      </c>
      <c r="N1054" s="1" t="s">
        <v>12439</v>
      </c>
      <c r="O1054" s="1" t="s">
        <v>12440</v>
      </c>
      <c r="P1054" s="1" t="s">
        <v>12441</v>
      </c>
      <c r="Q1054" s="1">
        <v>0</v>
      </c>
      <c r="R1054" s="1" t="s">
        <v>12442</v>
      </c>
      <c r="S1054" s="1" t="s">
        <v>12443</v>
      </c>
      <c r="U1054" s="2">
        <v>56774</v>
      </c>
      <c r="V1054" s="1">
        <v>4.5999999999999996</v>
      </c>
      <c r="W1054" s="1">
        <v>1000</v>
      </c>
      <c r="X1054" s="1">
        <v>1064</v>
      </c>
      <c r="Y1054" s="1">
        <v>295</v>
      </c>
      <c r="Z1054" s="1">
        <v>231</v>
      </c>
      <c r="AA1054" s="1">
        <v>538</v>
      </c>
      <c r="AB1054" s="1">
        <v>0</v>
      </c>
      <c r="AC1054" s="1">
        <v>2</v>
      </c>
      <c r="AD1054" s="1" t="s">
        <v>215</v>
      </c>
      <c r="AE1054" s="1" t="s">
        <v>12444</v>
      </c>
      <c r="AF1054" s="1" t="s">
        <v>12445</v>
      </c>
      <c r="AG1054" s="1" t="s">
        <v>12446</v>
      </c>
      <c r="AH1054" s="1" t="s">
        <v>12447</v>
      </c>
      <c r="AI1054" s="1">
        <v>4.5199999999999996</v>
      </c>
      <c r="AJ1054" s="1">
        <v>183</v>
      </c>
      <c r="AK1054" s="1">
        <v>522</v>
      </c>
    </row>
    <row r="1055" spans="1:38" ht="15.75" customHeight="1">
      <c r="A1055" s="1">
        <v>962</v>
      </c>
      <c r="B1055" s="1">
        <v>5</v>
      </c>
      <c r="C1055" s="1">
        <v>4001</v>
      </c>
      <c r="D1055" s="1" t="s">
        <v>51</v>
      </c>
      <c r="E1055" s="1" t="s">
        <v>39</v>
      </c>
      <c r="F1055" s="1" t="s">
        <v>414</v>
      </c>
      <c r="G1055" s="1">
        <v>0</v>
      </c>
      <c r="H1055" s="1" t="s">
        <v>53</v>
      </c>
      <c r="I1055" s="1" t="s">
        <v>12448</v>
      </c>
      <c r="J1055" s="1" t="s">
        <v>12449</v>
      </c>
      <c r="K1055" s="1" t="s">
        <v>12450</v>
      </c>
      <c r="L1055" s="1">
        <v>1</v>
      </c>
      <c r="M1055" s="1">
        <v>0</v>
      </c>
      <c r="N1055" s="1" t="s">
        <v>12451</v>
      </c>
      <c r="O1055" s="1" t="s">
        <v>12452</v>
      </c>
      <c r="P1055" s="1" t="s">
        <v>12453</v>
      </c>
      <c r="Q1055" s="1">
        <v>0</v>
      </c>
      <c r="R1055" s="1" t="s">
        <v>12454</v>
      </c>
      <c r="S1055" s="1" t="s">
        <v>12455</v>
      </c>
      <c r="U1055" s="2">
        <v>56773</v>
      </c>
      <c r="V1055" s="1">
        <v>3.8969597290000002</v>
      </c>
      <c r="W1055" s="1">
        <v>1000</v>
      </c>
      <c r="X1055" s="1">
        <v>2408</v>
      </c>
      <c r="Y1055" s="1">
        <v>1565</v>
      </c>
      <c r="Z1055" s="1">
        <v>185</v>
      </c>
      <c r="AA1055" s="1">
        <v>658</v>
      </c>
      <c r="AB1055" s="1">
        <v>0</v>
      </c>
      <c r="AC1055" s="1">
        <v>3</v>
      </c>
      <c r="AD1055" s="1" t="s">
        <v>215</v>
      </c>
      <c r="AE1055" s="1" t="s">
        <v>12456</v>
      </c>
      <c r="AF1055" s="1" t="s">
        <v>12457</v>
      </c>
      <c r="AG1055" s="1" t="s">
        <v>12458</v>
      </c>
      <c r="AH1055" s="1" t="s">
        <v>12459</v>
      </c>
      <c r="AI1055" s="1">
        <v>4.58</v>
      </c>
      <c r="AJ1055" s="1">
        <v>254</v>
      </c>
      <c r="AK1055" s="1">
        <v>788</v>
      </c>
      <c r="AL1055" s="1">
        <v>9</v>
      </c>
    </row>
    <row r="1056" spans="1:38" ht="15.75" customHeight="1">
      <c r="A1056" s="1">
        <v>291</v>
      </c>
      <c r="C1056" s="1">
        <v>4001</v>
      </c>
      <c r="D1056" s="1" t="s">
        <v>51</v>
      </c>
      <c r="E1056" s="1" t="s">
        <v>39</v>
      </c>
      <c r="F1056" s="1" t="s">
        <v>648</v>
      </c>
      <c r="G1056" s="1">
        <v>0</v>
      </c>
      <c r="H1056" s="1" t="s">
        <v>53</v>
      </c>
      <c r="I1056" s="1" t="s">
        <v>12460</v>
      </c>
      <c r="J1056" s="1" t="s">
        <v>12461</v>
      </c>
      <c r="K1056" s="1" t="s">
        <v>12462</v>
      </c>
      <c r="L1056" s="1">
        <v>1</v>
      </c>
      <c r="M1056" s="1">
        <v>0</v>
      </c>
      <c r="N1056" s="1" t="s">
        <v>12463</v>
      </c>
      <c r="O1056" s="1" t="s">
        <v>12464</v>
      </c>
      <c r="P1056" s="1" t="s">
        <v>12465</v>
      </c>
      <c r="Q1056" s="1">
        <v>0</v>
      </c>
      <c r="R1056" s="1" t="s">
        <v>12466</v>
      </c>
      <c r="S1056" s="1" t="s">
        <v>12467</v>
      </c>
      <c r="U1056" s="2">
        <v>56768</v>
      </c>
      <c r="V1056" s="1">
        <v>4.3</v>
      </c>
      <c r="W1056" s="1">
        <v>1000</v>
      </c>
      <c r="X1056" s="1">
        <v>2347</v>
      </c>
      <c r="Y1056" s="1">
        <v>775</v>
      </c>
      <c r="Z1056" s="1">
        <v>187</v>
      </c>
      <c r="AA1056" s="1">
        <v>1385</v>
      </c>
      <c r="AB1056" s="1">
        <v>0</v>
      </c>
      <c r="AC1056" s="1">
        <v>1</v>
      </c>
      <c r="AD1056" s="1" t="s">
        <v>215</v>
      </c>
      <c r="AE1056" s="1" t="s">
        <v>12468</v>
      </c>
      <c r="AF1056" s="1" t="s">
        <v>12469</v>
      </c>
      <c r="AG1056" s="1" t="s">
        <v>12470</v>
      </c>
      <c r="AH1056" s="1" t="s">
        <v>12471</v>
      </c>
      <c r="AI1056" s="1">
        <v>4.7</v>
      </c>
      <c r="AJ1056" s="1">
        <v>443</v>
      </c>
      <c r="AK1056" s="1">
        <v>1579</v>
      </c>
    </row>
    <row r="1057" spans="1:38" ht="15.75" customHeight="1">
      <c r="A1057" s="1">
        <v>716</v>
      </c>
      <c r="B1057" s="1">
        <v>5</v>
      </c>
      <c r="C1057" s="1">
        <v>4001</v>
      </c>
      <c r="D1057" s="1" t="s">
        <v>51</v>
      </c>
      <c r="E1057" s="1" t="s">
        <v>39</v>
      </c>
      <c r="F1057" s="1" t="s">
        <v>52</v>
      </c>
      <c r="G1057" s="1">
        <v>0</v>
      </c>
      <c r="H1057" s="1" t="s">
        <v>53</v>
      </c>
      <c r="I1057" s="1" t="s">
        <v>12472</v>
      </c>
      <c r="J1057" s="1" t="s">
        <v>12473</v>
      </c>
      <c r="K1057" s="1" t="s">
        <v>12474</v>
      </c>
      <c r="L1057" s="1">
        <v>1</v>
      </c>
      <c r="M1057" s="1">
        <v>0</v>
      </c>
      <c r="N1057" s="1" t="s">
        <v>12475</v>
      </c>
      <c r="O1057" s="1" t="s">
        <v>12476</v>
      </c>
      <c r="P1057" s="1" t="s">
        <v>12477</v>
      </c>
      <c r="Q1057" s="1">
        <v>0</v>
      </c>
      <c r="R1057" s="1" t="s">
        <v>12478</v>
      </c>
      <c r="S1057" s="1" t="s">
        <v>12479</v>
      </c>
      <c r="U1057" s="2">
        <v>56770</v>
      </c>
      <c r="V1057" s="1">
        <v>4.3</v>
      </c>
      <c r="W1057" s="1">
        <v>1000</v>
      </c>
      <c r="X1057" s="1">
        <v>1928</v>
      </c>
      <c r="Y1057" s="1">
        <v>765</v>
      </c>
      <c r="Z1057" s="1">
        <v>833</v>
      </c>
      <c r="AA1057" s="1">
        <v>330</v>
      </c>
      <c r="AB1057" s="1">
        <v>0</v>
      </c>
      <c r="AC1057" s="1">
        <v>1</v>
      </c>
      <c r="AD1057" s="1" t="s">
        <v>62</v>
      </c>
      <c r="AE1057" s="1" t="s">
        <v>12480</v>
      </c>
      <c r="AF1057" s="1" t="s">
        <v>12481</v>
      </c>
      <c r="AG1057" s="1" t="s">
        <v>12482</v>
      </c>
      <c r="AH1057" s="1" t="s">
        <v>12483</v>
      </c>
      <c r="AI1057" s="1">
        <v>4.17</v>
      </c>
      <c r="AJ1057" s="1">
        <v>457</v>
      </c>
      <c r="AK1057" s="1">
        <v>1599</v>
      </c>
    </row>
    <row r="1058" spans="1:38" ht="15.75" customHeight="1">
      <c r="A1058" s="1">
        <v>1437</v>
      </c>
      <c r="B1058" s="1">
        <v>5</v>
      </c>
      <c r="C1058" s="1">
        <v>4001</v>
      </c>
      <c r="D1058" s="1" t="s">
        <v>51</v>
      </c>
      <c r="E1058" s="1" t="s">
        <v>39</v>
      </c>
      <c r="F1058" s="1" t="s">
        <v>1915</v>
      </c>
      <c r="G1058" s="1">
        <v>0</v>
      </c>
      <c r="H1058" s="1" t="s">
        <v>53</v>
      </c>
      <c r="I1058" s="1" t="s">
        <v>12484</v>
      </c>
      <c r="J1058" s="1" t="s">
        <v>12485</v>
      </c>
      <c r="K1058" s="1" t="s">
        <v>12486</v>
      </c>
      <c r="L1058" s="1">
        <v>1</v>
      </c>
      <c r="M1058" s="1">
        <v>0</v>
      </c>
      <c r="N1058" s="1" t="s">
        <v>12487</v>
      </c>
      <c r="O1058" s="1" t="s">
        <v>12488</v>
      </c>
      <c r="P1058" s="1" t="s">
        <v>12489</v>
      </c>
      <c r="Q1058" s="1">
        <v>0</v>
      </c>
      <c r="R1058" s="1" t="s">
        <v>12490</v>
      </c>
      <c r="S1058" s="1" t="s">
        <v>12491</v>
      </c>
      <c r="U1058" s="2">
        <v>56777</v>
      </c>
      <c r="V1058" s="1">
        <v>3.0400971299999999</v>
      </c>
      <c r="W1058" s="1">
        <v>1000</v>
      </c>
      <c r="X1058" s="1">
        <v>4334</v>
      </c>
      <c r="Y1058" s="1">
        <v>2575</v>
      </c>
      <c r="Z1058" s="1">
        <v>314</v>
      </c>
      <c r="AA1058" s="1">
        <v>1445</v>
      </c>
      <c r="AB1058" s="1">
        <v>0</v>
      </c>
      <c r="AC1058" s="1">
        <v>1</v>
      </c>
      <c r="AE1058" s="1" t="s">
        <v>12492</v>
      </c>
      <c r="AF1058" s="1" t="s">
        <v>12493</v>
      </c>
      <c r="AG1058" s="1" t="s">
        <v>12494</v>
      </c>
      <c r="AH1058" s="1" t="s">
        <v>12495</v>
      </c>
      <c r="AI1058" s="1">
        <v>4.63</v>
      </c>
      <c r="AJ1058" s="1">
        <v>242</v>
      </c>
      <c r="AK1058" s="1">
        <v>736</v>
      </c>
    </row>
    <row r="1059" spans="1:38" ht="15.75" customHeight="1">
      <c r="A1059" s="1">
        <v>47</v>
      </c>
      <c r="B1059" s="1">
        <v>5</v>
      </c>
      <c r="C1059" s="1">
        <v>4050</v>
      </c>
      <c r="D1059" s="1" t="s">
        <v>38</v>
      </c>
      <c r="E1059" s="1" t="s">
        <v>39</v>
      </c>
      <c r="F1059" s="1" t="s">
        <v>1153</v>
      </c>
      <c r="G1059" s="1">
        <v>0</v>
      </c>
      <c r="H1059" s="1" t="s">
        <v>41</v>
      </c>
      <c r="I1059" s="1" t="s">
        <v>12496</v>
      </c>
      <c r="J1059" s="1" t="s">
        <v>12497</v>
      </c>
      <c r="K1059" s="1" t="s">
        <v>12498</v>
      </c>
      <c r="L1059" s="1">
        <v>1</v>
      </c>
      <c r="M1059" s="1">
        <v>0</v>
      </c>
      <c r="N1059" s="1" t="s">
        <v>12499</v>
      </c>
      <c r="O1059" s="1" t="s">
        <v>12500</v>
      </c>
      <c r="P1059" s="1" t="s">
        <v>12501</v>
      </c>
      <c r="Q1059" s="1">
        <v>0</v>
      </c>
      <c r="R1059" s="1" t="s">
        <v>12502</v>
      </c>
      <c r="U1059" s="2">
        <v>56766</v>
      </c>
      <c r="V1059" s="1">
        <v>4.5999999999999996</v>
      </c>
      <c r="W1059" s="1">
        <v>1000</v>
      </c>
      <c r="X1059" s="1">
        <v>2072</v>
      </c>
      <c r="AA1059" s="1">
        <v>477</v>
      </c>
      <c r="AB1059" s="1">
        <v>0</v>
      </c>
      <c r="AC1059" s="1">
        <v>6</v>
      </c>
      <c r="AE1059" s="1" t="s">
        <v>12503</v>
      </c>
      <c r="AF1059" s="1" t="s">
        <v>12504</v>
      </c>
      <c r="AG1059" s="1" t="s">
        <v>12505</v>
      </c>
      <c r="AI1059" s="1">
        <v>4.58</v>
      </c>
      <c r="AJ1059" s="1">
        <v>679</v>
      </c>
      <c r="AK1059" s="1">
        <v>2371</v>
      </c>
      <c r="AL1059" s="1">
        <v>1830</v>
      </c>
    </row>
    <row r="1060" spans="1:38" ht="15.75" customHeight="1">
      <c r="A1060" s="1">
        <v>224</v>
      </c>
      <c r="C1060" s="1">
        <v>4050</v>
      </c>
      <c r="D1060" s="1" t="s">
        <v>38</v>
      </c>
      <c r="E1060" s="1" t="s">
        <v>39</v>
      </c>
      <c r="F1060" s="1" t="s">
        <v>151</v>
      </c>
      <c r="G1060" s="1">
        <v>0</v>
      </c>
      <c r="H1060" s="1" t="s">
        <v>41</v>
      </c>
      <c r="I1060" s="1" t="s">
        <v>12506</v>
      </c>
      <c r="J1060" s="1" t="s">
        <v>12507</v>
      </c>
      <c r="K1060" s="1" t="s">
        <v>12508</v>
      </c>
      <c r="L1060" s="1">
        <v>1</v>
      </c>
      <c r="M1060" s="1">
        <v>0</v>
      </c>
      <c r="N1060" s="1" t="s">
        <v>12509</v>
      </c>
      <c r="O1060" s="1" t="s">
        <v>12510</v>
      </c>
      <c r="P1060" s="1" t="s">
        <v>12511</v>
      </c>
      <c r="Q1060" s="1">
        <v>0</v>
      </c>
      <c r="R1060" s="1" t="s">
        <v>12512</v>
      </c>
      <c r="S1060" s="1" t="s">
        <v>12513</v>
      </c>
      <c r="U1060" s="2">
        <v>56767</v>
      </c>
      <c r="V1060" s="1">
        <v>4.5999999999999996</v>
      </c>
      <c r="W1060" s="1">
        <v>1000</v>
      </c>
      <c r="X1060" s="1">
        <v>2095</v>
      </c>
      <c r="Y1060" s="1">
        <v>1223</v>
      </c>
      <c r="Z1060" s="1">
        <v>59</v>
      </c>
      <c r="AA1060" s="1">
        <v>813</v>
      </c>
      <c r="AB1060" s="1">
        <v>0</v>
      </c>
      <c r="AC1060" s="1">
        <v>1</v>
      </c>
      <c r="AD1060" s="1" t="s">
        <v>76</v>
      </c>
      <c r="AE1060" s="1" t="s">
        <v>12514</v>
      </c>
      <c r="AF1060" s="1" t="s">
        <v>12515</v>
      </c>
      <c r="AG1060" s="1" t="s">
        <v>12516</v>
      </c>
      <c r="AH1060" s="1" t="s">
        <v>12517</v>
      </c>
      <c r="AI1060" s="1">
        <v>4.46</v>
      </c>
      <c r="AJ1060" s="1">
        <v>349</v>
      </c>
      <c r="AK1060" s="1">
        <v>779</v>
      </c>
    </row>
    <row r="1061" spans="1:38" ht="15.75" customHeight="1">
      <c r="A1061" s="1">
        <v>292</v>
      </c>
      <c r="C1061" s="1">
        <v>4050</v>
      </c>
      <c r="D1061" s="1" t="s">
        <v>38</v>
      </c>
      <c r="E1061" s="1" t="s">
        <v>39</v>
      </c>
      <c r="F1061" s="1" t="s">
        <v>510</v>
      </c>
      <c r="G1061" s="1">
        <v>0</v>
      </c>
      <c r="H1061" s="1" t="s">
        <v>41</v>
      </c>
      <c r="I1061" s="1" t="s">
        <v>12518</v>
      </c>
      <c r="J1061" s="1" t="s">
        <v>12519</v>
      </c>
      <c r="K1061" s="1" t="s">
        <v>12520</v>
      </c>
      <c r="L1061" s="1">
        <v>1</v>
      </c>
      <c r="M1061" s="1">
        <v>0</v>
      </c>
      <c r="N1061" s="1" t="s">
        <v>12521</v>
      </c>
      <c r="O1061" s="1" t="s">
        <v>12522</v>
      </c>
      <c r="P1061" s="1" t="s">
        <v>12523</v>
      </c>
      <c r="Q1061" s="1">
        <v>0</v>
      </c>
      <c r="R1061" s="1" t="s">
        <v>12524</v>
      </c>
      <c r="S1061" s="1" t="s">
        <v>12525</v>
      </c>
      <c r="U1061" s="2">
        <v>56768</v>
      </c>
      <c r="V1061" s="1">
        <v>4.7</v>
      </c>
      <c r="W1061" s="1">
        <v>1000</v>
      </c>
      <c r="X1061" s="1">
        <v>1766</v>
      </c>
      <c r="Y1061" s="1">
        <v>720</v>
      </c>
      <c r="Z1061" s="1">
        <v>98</v>
      </c>
      <c r="AA1061" s="1">
        <v>948</v>
      </c>
      <c r="AB1061" s="1">
        <v>0</v>
      </c>
      <c r="AC1061" s="1">
        <v>2</v>
      </c>
      <c r="AD1061" s="1" t="s">
        <v>215</v>
      </c>
      <c r="AE1061" s="1" t="s">
        <v>12526</v>
      </c>
      <c r="AF1061" s="1" t="s">
        <v>12527</v>
      </c>
      <c r="AG1061" s="1" t="s">
        <v>12528</v>
      </c>
      <c r="AH1061" s="1" t="s">
        <v>12529</v>
      </c>
      <c r="AI1061" s="1">
        <v>4.62</v>
      </c>
      <c r="AJ1061" s="1">
        <v>259</v>
      </c>
      <c r="AK1061" s="1">
        <v>604</v>
      </c>
      <c r="AL1061" s="1">
        <v>21</v>
      </c>
    </row>
    <row r="1062" spans="1:38" ht="15.75" customHeight="1">
      <c r="A1062" s="1">
        <v>599</v>
      </c>
      <c r="B1062" s="1">
        <v>5</v>
      </c>
      <c r="C1062" s="1">
        <v>4050</v>
      </c>
      <c r="D1062" s="1" t="s">
        <v>38</v>
      </c>
      <c r="E1062" s="1" t="s">
        <v>39</v>
      </c>
      <c r="F1062" s="1" t="s">
        <v>40</v>
      </c>
      <c r="G1062" s="1">
        <v>0</v>
      </c>
      <c r="H1062" s="1" t="s">
        <v>41</v>
      </c>
      <c r="I1062" s="1" t="s">
        <v>12530</v>
      </c>
      <c r="J1062" s="1" t="s">
        <v>12531</v>
      </c>
      <c r="K1062" s="1" t="s">
        <v>12532</v>
      </c>
      <c r="L1062" s="1">
        <v>1</v>
      </c>
      <c r="M1062" s="1">
        <v>0</v>
      </c>
      <c r="N1062" s="1" t="s">
        <v>12533</v>
      </c>
      <c r="O1062" s="1" t="s">
        <v>12534</v>
      </c>
      <c r="P1062" s="1" t="s">
        <v>12535</v>
      </c>
      <c r="Q1062" s="1">
        <v>0</v>
      </c>
      <c r="R1062" s="1" t="s">
        <v>12536</v>
      </c>
      <c r="S1062" s="1" t="s">
        <v>12537</v>
      </c>
      <c r="U1062" s="2">
        <v>56770</v>
      </c>
      <c r="V1062" s="1">
        <v>3.3191010670000001</v>
      </c>
      <c r="W1062" s="1">
        <v>1000</v>
      </c>
      <c r="X1062" s="1">
        <v>2040</v>
      </c>
      <c r="Y1062" s="1">
        <v>461</v>
      </c>
      <c r="Z1062" s="1">
        <v>401</v>
      </c>
      <c r="AA1062" s="1">
        <v>1178</v>
      </c>
      <c r="AB1062" s="1">
        <v>0</v>
      </c>
      <c r="AC1062" s="1">
        <v>2</v>
      </c>
      <c r="AD1062" s="1" t="s">
        <v>215</v>
      </c>
      <c r="AE1062" s="1" t="s">
        <v>12538</v>
      </c>
      <c r="AF1062" s="1" t="s">
        <v>12539</v>
      </c>
      <c r="AG1062" s="1" t="s">
        <v>12540</v>
      </c>
      <c r="AH1062" s="1" t="s">
        <v>12541</v>
      </c>
      <c r="AI1062" s="1">
        <v>4.7</v>
      </c>
      <c r="AJ1062" s="1">
        <v>1261</v>
      </c>
      <c r="AK1062" s="1">
        <v>3264</v>
      </c>
      <c r="AL1062" s="1">
        <v>232</v>
      </c>
    </row>
    <row r="1063" spans="1:38" ht="15.75" customHeight="1">
      <c r="A1063" s="1">
        <v>1560</v>
      </c>
      <c r="C1063" s="1">
        <v>4001</v>
      </c>
      <c r="D1063" s="1" t="s">
        <v>51</v>
      </c>
      <c r="E1063" s="1" t="s">
        <v>39</v>
      </c>
      <c r="F1063" s="1" t="s">
        <v>341</v>
      </c>
      <c r="G1063" s="1">
        <v>0</v>
      </c>
      <c r="H1063" s="1" t="s">
        <v>41</v>
      </c>
      <c r="I1063" s="1" t="s">
        <v>12542</v>
      </c>
      <c r="J1063" s="1" t="s">
        <v>12543</v>
      </c>
      <c r="K1063" s="1" t="s">
        <v>12543</v>
      </c>
      <c r="L1063" s="1">
        <v>0</v>
      </c>
      <c r="M1063" s="1">
        <v>0</v>
      </c>
      <c r="N1063" s="1" t="s">
        <v>12544</v>
      </c>
      <c r="O1063" s="1" t="s">
        <v>12545</v>
      </c>
      <c r="P1063" s="1" t="s">
        <v>12546</v>
      </c>
      <c r="Q1063" s="1">
        <v>0</v>
      </c>
      <c r="R1063" s="1" t="s">
        <v>12547</v>
      </c>
      <c r="S1063" s="1" t="s">
        <v>12548</v>
      </c>
      <c r="U1063" s="2">
        <v>56778</v>
      </c>
      <c r="V1063" s="1">
        <v>4.5</v>
      </c>
      <c r="W1063" s="1">
        <v>1000</v>
      </c>
      <c r="X1063" s="1">
        <v>781</v>
      </c>
      <c r="Y1063" s="1">
        <v>272</v>
      </c>
      <c r="Z1063" s="1">
        <v>239</v>
      </c>
      <c r="AA1063" s="1">
        <v>270</v>
      </c>
      <c r="AB1063" s="1">
        <v>0</v>
      </c>
      <c r="AC1063" s="1">
        <v>2</v>
      </c>
      <c r="AD1063" s="1" t="s">
        <v>215</v>
      </c>
      <c r="AE1063" s="1" t="s">
        <v>12549</v>
      </c>
      <c r="AF1063" s="1" t="s">
        <v>12550</v>
      </c>
      <c r="AG1063" s="1" t="s">
        <v>12551</v>
      </c>
      <c r="AH1063" s="1" t="s">
        <v>12552</v>
      </c>
      <c r="AI1063" s="1">
        <v>4.54</v>
      </c>
      <c r="AJ1063" s="1">
        <v>2229</v>
      </c>
      <c r="AK1063" s="1">
        <v>6580</v>
      </c>
    </row>
    <row r="1064" spans="1:38" ht="15.75" customHeight="1">
      <c r="A1064" s="1">
        <v>688</v>
      </c>
      <c r="B1064" s="1">
        <v>5</v>
      </c>
      <c r="C1064" s="1">
        <v>4050</v>
      </c>
      <c r="D1064" s="1" t="s">
        <v>38</v>
      </c>
      <c r="E1064" s="1" t="s">
        <v>39</v>
      </c>
      <c r="F1064" s="1" t="s">
        <v>390</v>
      </c>
      <c r="G1064" s="1">
        <v>0</v>
      </c>
      <c r="H1064" s="1" t="s">
        <v>41</v>
      </c>
      <c r="I1064" s="1" t="s">
        <v>12553</v>
      </c>
      <c r="J1064" s="1" t="s">
        <v>12554</v>
      </c>
      <c r="K1064" s="1" t="s">
        <v>12555</v>
      </c>
      <c r="L1064" s="1">
        <v>1</v>
      </c>
      <c r="M1064" s="1">
        <v>0</v>
      </c>
      <c r="N1064" s="1" t="s">
        <v>12556</v>
      </c>
      <c r="O1064" s="1" t="s">
        <v>12557</v>
      </c>
      <c r="P1064" s="1" t="s">
        <v>12558</v>
      </c>
      <c r="Q1064" s="1">
        <v>0</v>
      </c>
      <c r="R1064" s="1" t="s">
        <v>12559</v>
      </c>
      <c r="S1064" s="1" t="s">
        <v>12560</v>
      </c>
      <c r="U1064" s="2">
        <v>56770</v>
      </c>
      <c r="V1064" s="1">
        <v>4.5999999999999996</v>
      </c>
      <c r="W1064" s="1">
        <v>1000</v>
      </c>
      <c r="X1064" s="1">
        <v>1887</v>
      </c>
      <c r="Y1064" s="1">
        <v>903</v>
      </c>
      <c r="Z1064" s="1">
        <v>201</v>
      </c>
      <c r="AA1064" s="1">
        <v>783</v>
      </c>
      <c r="AB1064" s="1">
        <v>0</v>
      </c>
      <c r="AC1064" s="1">
        <v>1</v>
      </c>
      <c r="AD1064" s="1" t="s">
        <v>76</v>
      </c>
      <c r="AE1064" s="1" t="s">
        <v>12561</v>
      </c>
      <c r="AF1064" s="1" t="s">
        <v>12562</v>
      </c>
      <c r="AG1064" s="1" t="s">
        <v>12563</v>
      </c>
      <c r="AH1064" s="1" t="s">
        <v>12564</v>
      </c>
      <c r="AI1064" s="1">
        <v>4.5599999999999996</v>
      </c>
      <c r="AJ1064" s="1">
        <v>344</v>
      </c>
      <c r="AK1064" s="1">
        <v>947</v>
      </c>
      <c r="AL1064" s="1">
        <v>22</v>
      </c>
    </row>
    <row r="1065" spans="1:38" ht="15.75" customHeight="1">
      <c r="A1065" s="1">
        <v>840</v>
      </c>
      <c r="C1065" s="1">
        <v>4050</v>
      </c>
      <c r="D1065" s="1" t="s">
        <v>38</v>
      </c>
      <c r="E1065" s="1" t="s">
        <v>39</v>
      </c>
      <c r="F1065" s="1" t="s">
        <v>2811</v>
      </c>
      <c r="G1065" s="1">
        <v>0</v>
      </c>
      <c r="H1065" s="1" t="s">
        <v>41</v>
      </c>
      <c r="I1065" s="1" t="s">
        <v>12565</v>
      </c>
      <c r="J1065" s="1" t="s">
        <v>12566</v>
      </c>
      <c r="K1065" s="1" t="s">
        <v>12567</v>
      </c>
      <c r="L1065" s="1">
        <v>1</v>
      </c>
      <c r="M1065" s="1">
        <v>0</v>
      </c>
      <c r="N1065" s="1" t="s">
        <v>12568</v>
      </c>
      <c r="O1065" s="1" t="s">
        <v>12569</v>
      </c>
      <c r="P1065" s="1" t="s">
        <v>12570</v>
      </c>
      <c r="Q1065" s="1">
        <v>0</v>
      </c>
      <c r="R1065" s="1" t="s">
        <v>12571</v>
      </c>
      <c r="S1065" s="1" t="s">
        <v>12572</v>
      </c>
      <c r="U1065" s="2">
        <v>56772</v>
      </c>
      <c r="V1065" s="1">
        <v>4.5999999999999996</v>
      </c>
      <c r="W1065" s="1">
        <v>1000</v>
      </c>
      <c r="X1065" s="1">
        <v>2457</v>
      </c>
      <c r="Y1065" s="1">
        <v>585</v>
      </c>
      <c r="Z1065" s="1">
        <v>470</v>
      </c>
      <c r="AA1065" s="1">
        <v>1402</v>
      </c>
      <c r="AB1065" s="1">
        <v>0</v>
      </c>
      <c r="AC1065" s="1">
        <v>1</v>
      </c>
      <c r="AD1065" s="1" t="s">
        <v>76</v>
      </c>
      <c r="AE1065" s="1" t="s">
        <v>12573</v>
      </c>
      <c r="AF1065" s="1" t="s">
        <v>12574</v>
      </c>
      <c r="AG1065" s="1" t="s">
        <v>12575</v>
      </c>
      <c r="AH1065" s="1" t="s">
        <v>12576</v>
      </c>
      <c r="AI1065" s="1">
        <v>5</v>
      </c>
      <c r="AJ1065" s="1">
        <v>6</v>
      </c>
      <c r="AK1065" s="1">
        <v>20</v>
      </c>
      <c r="AL1065" s="1">
        <v>5</v>
      </c>
    </row>
    <row r="1066" spans="1:38" ht="15.75" customHeight="1">
      <c r="A1066" s="1">
        <v>730</v>
      </c>
      <c r="B1066" s="1">
        <v>5</v>
      </c>
      <c r="C1066" s="1">
        <v>4050</v>
      </c>
      <c r="D1066" s="1" t="s">
        <v>38</v>
      </c>
      <c r="E1066" s="1" t="s">
        <v>39</v>
      </c>
      <c r="F1066" s="1" t="s">
        <v>40</v>
      </c>
      <c r="G1066" s="1">
        <v>0</v>
      </c>
      <c r="H1066" s="1" t="s">
        <v>41</v>
      </c>
      <c r="I1066" s="1" t="s">
        <v>12577</v>
      </c>
      <c r="J1066" s="1" t="s">
        <v>12578</v>
      </c>
      <c r="K1066" s="1" t="s">
        <v>12579</v>
      </c>
      <c r="L1066" s="1">
        <v>1</v>
      </c>
      <c r="M1066" s="1">
        <v>0</v>
      </c>
      <c r="N1066" s="1" t="s">
        <v>12580</v>
      </c>
      <c r="O1066" s="1" t="s">
        <v>12581</v>
      </c>
      <c r="P1066" s="1" t="s">
        <v>12582</v>
      </c>
      <c r="Q1066" s="1">
        <v>0</v>
      </c>
      <c r="R1066" s="1" t="s">
        <v>12583</v>
      </c>
      <c r="U1066" s="2">
        <v>56771</v>
      </c>
      <c r="V1066" s="1">
        <v>4.5999999999999996</v>
      </c>
      <c r="W1066" s="1">
        <v>1000</v>
      </c>
      <c r="X1066" s="1">
        <v>1126</v>
      </c>
      <c r="AA1066" s="1">
        <v>504</v>
      </c>
      <c r="AB1066" s="1">
        <v>0</v>
      </c>
      <c r="AC1066" s="1">
        <v>1</v>
      </c>
      <c r="AE1066" s="1" t="s">
        <v>12584</v>
      </c>
      <c r="AF1066" s="1" t="s">
        <v>12585</v>
      </c>
      <c r="AG1066" s="1" t="s">
        <v>12586</v>
      </c>
      <c r="AI1066" s="1">
        <v>4.7</v>
      </c>
      <c r="AJ1066" s="1">
        <v>1261</v>
      </c>
      <c r="AK1066" s="1">
        <v>3264</v>
      </c>
      <c r="AL1066" s="1">
        <v>232</v>
      </c>
    </row>
    <row r="1067" spans="1:38" ht="15.75" customHeight="1">
      <c r="A1067" s="1">
        <v>272</v>
      </c>
      <c r="B1067" s="1">
        <v>1</v>
      </c>
      <c r="C1067" s="1">
        <v>4001</v>
      </c>
      <c r="D1067" s="1" t="s">
        <v>51</v>
      </c>
      <c r="E1067" s="1" t="s">
        <v>39</v>
      </c>
      <c r="F1067" s="1" t="s">
        <v>305</v>
      </c>
      <c r="G1067" s="1">
        <v>0</v>
      </c>
      <c r="H1067" s="1" t="s">
        <v>53</v>
      </c>
      <c r="I1067" s="1" t="s">
        <v>12587</v>
      </c>
      <c r="J1067" s="1" t="s">
        <v>12588</v>
      </c>
      <c r="K1067" s="1" t="s">
        <v>12589</v>
      </c>
      <c r="L1067" s="1">
        <v>1</v>
      </c>
      <c r="M1067" s="1">
        <v>0</v>
      </c>
      <c r="N1067" s="1" t="s">
        <v>12590</v>
      </c>
      <c r="O1067" s="1" t="s">
        <v>12591</v>
      </c>
      <c r="P1067" s="1" t="s">
        <v>12592</v>
      </c>
      <c r="Q1067" s="1">
        <v>1</v>
      </c>
      <c r="R1067" s="1" t="s">
        <v>12593</v>
      </c>
      <c r="S1067" s="1" t="s">
        <v>12594</v>
      </c>
      <c r="U1067" s="2">
        <v>56768</v>
      </c>
      <c r="V1067" s="1">
        <v>3.4933989300000001</v>
      </c>
      <c r="W1067" s="1">
        <v>1000</v>
      </c>
      <c r="X1067" s="1">
        <v>1704</v>
      </c>
      <c r="Y1067" s="1">
        <v>4</v>
      </c>
      <c r="Z1067" s="1">
        <v>396</v>
      </c>
      <c r="AA1067" s="1">
        <v>1304</v>
      </c>
      <c r="AB1067" s="1">
        <v>1</v>
      </c>
      <c r="AC1067" s="1">
        <v>1</v>
      </c>
      <c r="AE1067" s="1" t="s">
        <v>12595</v>
      </c>
      <c r="AF1067" s="1" t="s">
        <v>12596</v>
      </c>
      <c r="AG1067" s="1" t="s">
        <v>12597</v>
      </c>
      <c r="AH1067" s="1" t="s">
        <v>12598</v>
      </c>
      <c r="AI1067" s="1">
        <v>4.5199999999999996</v>
      </c>
      <c r="AJ1067" s="1">
        <v>183</v>
      </c>
      <c r="AK1067" s="1">
        <v>522</v>
      </c>
    </row>
    <row r="1068" spans="1:38" ht="15.75" customHeight="1">
      <c r="A1068" s="1">
        <v>295</v>
      </c>
      <c r="C1068" s="1">
        <v>4050</v>
      </c>
      <c r="D1068" s="1" t="s">
        <v>38</v>
      </c>
      <c r="E1068" s="1" t="s">
        <v>39</v>
      </c>
      <c r="F1068" s="1" t="s">
        <v>116</v>
      </c>
      <c r="G1068" s="1">
        <v>0</v>
      </c>
      <c r="H1068" s="1" t="s">
        <v>41</v>
      </c>
      <c r="I1068" s="1" t="s">
        <v>12599</v>
      </c>
      <c r="J1068" s="1" t="s">
        <v>12600</v>
      </c>
      <c r="K1068" s="1" t="s">
        <v>12601</v>
      </c>
      <c r="L1068" s="1">
        <v>1</v>
      </c>
      <c r="M1068" s="1">
        <v>0</v>
      </c>
      <c r="N1068" s="1" t="s">
        <v>12602</v>
      </c>
      <c r="O1068" s="1" t="s">
        <v>12603</v>
      </c>
      <c r="P1068" s="1" t="s">
        <v>12604</v>
      </c>
      <c r="Q1068" s="1">
        <v>0</v>
      </c>
      <c r="R1068" s="1" t="s">
        <v>12605</v>
      </c>
      <c r="S1068" s="1" t="s">
        <v>12606</v>
      </c>
      <c r="U1068" s="2">
        <v>56768</v>
      </c>
      <c r="V1068" s="1">
        <v>4.5999999999999996</v>
      </c>
      <c r="W1068" s="1">
        <v>1000</v>
      </c>
      <c r="X1068" s="1">
        <v>2140</v>
      </c>
      <c r="Y1068" s="1">
        <v>1270</v>
      </c>
      <c r="Z1068" s="1">
        <v>135</v>
      </c>
      <c r="AA1068" s="1">
        <v>735</v>
      </c>
      <c r="AB1068" s="1">
        <v>0</v>
      </c>
      <c r="AC1068" s="1">
        <v>2</v>
      </c>
      <c r="AD1068" s="1" t="s">
        <v>76</v>
      </c>
      <c r="AE1068" s="1" t="s">
        <v>12607</v>
      </c>
      <c r="AF1068" s="1" t="s">
        <v>12608</v>
      </c>
      <c r="AG1068" s="1" t="s">
        <v>12609</v>
      </c>
      <c r="AH1068" s="1" t="s">
        <v>12610</v>
      </c>
      <c r="AI1068" s="1">
        <v>4.8899999999999997</v>
      </c>
      <c r="AJ1068" s="1">
        <v>1778</v>
      </c>
      <c r="AK1068" s="1">
        <v>5138</v>
      </c>
      <c r="AL1068" s="1">
        <v>314</v>
      </c>
    </row>
    <row r="1069" spans="1:38" ht="15.75" customHeight="1">
      <c r="A1069" s="1">
        <v>428</v>
      </c>
      <c r="B1069" s="1">
        <v>3</v>
      </c>
      <c r="C1069" s="1">
        <v>4050</v>
      </c>
      <c r="D1069" s="1" t="s">
        <v>38</v>
      </c>
      <c r="E1069" s="1" t="s">
        <v>39</v>
      </c>
      <c r="F1069" s="1" t="s">
        <v>510</v>
      </c>
      <c r="G1069" s="1">
        <v>0</v>
      </c>
      <c r="H1069" s="1" t="s">
        <v>41</v>
      </c>
      <c r="I1069" s="1" t="s">
        <v>12611</v>
      </c>
      <c r="J1069" s="1" t="s">
        <v>12612</v>
      </c>
      <c r="K1069" s="1" t="s">
        <v>12613</v>
      </c>
      <c r="L1069" s="1">
        <v>1</v>
      </c>
      <c r="M1069" s="1">
        <v>0</v>
      </c>
      <c r="N1069" s="1" t="s">
        <v>12614</v>
      </c>
      <c r="O1069" s="1" t="s">
        <v>12615</v>
      </c>
      <c r="P1069" s="1" t="s">
        <v>12616</v>
      </c>
      <c r="Q1069" s="1">
        <v>0</v>
      </c>
      <c r="R1069" s="1" t="s">
        <v>12617</v>
      </c>
      <c r="U1069" s="2">
        <v>56769</v>
      </c>
      <c r="V1069" s="1">
        <v>4.5999999999999996</v>
      </c>
      <c r="W1069" s="1">
        <v>1000</v>
      </c>
      <c r="X1069" s="1">
        <v>2250</v>
      </c>
      <c r="AA1069" s="1">
        <v>1358</v>
      </c>
      <c r="AB1069" s="1">
        <v>1</v>
      </c>
      <c r="AC1069" s="1">
        <v>6</v>
      </c>
      <c r="AE1069" s="1" t="s">
        <v>12618</v>
      </c>
      <c r="AF1069" s="1" t="s">
        <v>12619</v>
      </c>
      <c r="AG1069" s="1" t="s">
        <v>12620</v>
      </c>
      <c r="AI1069" s="1">
        <v>4.62</v>
      </c>
      <c r="AJ1069" s="1">
        <v>259</v>
      </c>
      <c r="AK1069" s="1">
        <v>604</v>
      </c>
      <c r="AL1069" s="1">
        <v>21</v>
      </c>
    </row>
    <row r="1070" spans="1:38" ht="15.75" customHeight="1">
      <c r="A1070" s="1">
        <v>582</v>
      </c>
      <c r="B1070" s="1">
        <v>5</v>
      </c>
      <c r="C1070" s="1">
        <v>4050</v>
      </c>
      <c r="D1070" s="1" t="s">
        <v>38</v>
      </c>
      <c r="E1070" s="1" t="s">
        <v>39</v>
      </c>
      <c r="F1070" s="1" t="s">
        <v>510</v>
      </c>
      <c r="G1070" s="1">
        <v>0</v>
      </c>
      <c r="H1070" s="1" t="s">
        <v>41</v>
      </c>
      <c r="I1070" s="1" t="s">
        <v>12621</v>
      </c>
      <c r="J1070" s="1" t="s">
        <v>12622</v>
      </c>
      <c r="K1070" s="1" t="s">
        <v>12623</v>
      </c>
      <c r="L1070" s="1">
        <v>1</v>
      </c>
      <c r="M1070" s="1">
        <v>0</v>
      </c>
      <c r="N1070" s="1" t="s">
        <v>12624</v>
      </c>
      <c r="O1070" s="1" t="s">
        <v>12625</v>
      </c>
      <c r="P1070" s="1" t="s">
        <v>12626</v>
      </c>
      <c r="Q1070" s="1">
        <v>0</v>
      </c>
      <c r="R1070" s="1" t="s">
        <v>12627</v>
      </c>
      <c r="S1070" s="1" t="s">
        <v>12628</v>
      </c>
      <c r="U1070" s="2">
        <v>56770</v>
      </c>
      <c r="V1070" s="1">
        <v>4.5</v>
      </c>
      <c r="W1070" s="1">
        <v>1000</v>
      </c>
      <c r="X1070" s="1">
        <v>1114</v>
      </c>
      <c r="Y1070" s="1">
        <v>741</v>
      </c>
      <c r="Z1070" s="1">
        <v>94</v>
      </c>
      <c r="AA1070" s="1">
        <v>279</v>
      </c>
      <c r="AB1070" s="1">
        <v>1</v>
      </c>
      <c r="AC1070" s="1">
        <v>1</v>
      </c>
      <c r="AE1070" s="1" t="s">
        <v>12629</v>
      </c>
      <c r="AF1070" s="1" t="s">
        <v>12630</v>
      </c>
      <c r="AG1070" s="1" t="s">
        <v>12631</v>
      </c>
      <c r="AH1070" s="1" t="s">
        <v>12632</v>
      </c>
      <c r="AI1070" s="1">
        <v>4.62</v>
      </c>
      <c r="AJ1070" s="1">
        <v>259</v>
      </c>
      <c r="AK1070" s="1">
        <v>604</v>
      </c>
      <c r="AL1070" s="1">
        <v>21</v>
      </c>
    </row>
    <row r="1071" spans="1:38" ht="15.75" customHeight="1">
      <c r="A1071" s="1">
        <v>1250</v>
      </c>
      <c r="C1071" s="1">
        <v>4001</v>
      </c>
      <c r="D1071" s="1" t="s">
        <v>51</v>
      </c>
      <c r="E1071" s="1" t="s">
        <v>39</v>
      </c>
      <c r="F1071" s="1" t="s">
        <v>341</v>
      </c>
      <c r="G1071" s="1">
        <v>0</v>
      </c>
      <c r="H1071" s="1" t="s">
        <v>41</v>
      </c>
      <c r="I1071" s="1" t="s">
        <v>12633</v>
      </c>
      <c r="J1071" s="1" t="s">
        <v>12634</v>
      </c>
      <c r="K1071" s="1" t="s">
        <v>12635</v>
      </c>
      <c r="L1071" s="1">
        <v>1</v>
      </c>
      <c r="M1071" s="1">
        <v>0</v>
      </c>
      <c r="N1071" s="1" t="s">
        <v>12636</v>
      </c>
      <c r="O1071" s="1" t="s">
        <v>12637</v>
      </c>
      <c r="P1071" s="1" t="s">
        <v>12638</v>
      </c>
      <c r="Q1071" s="1">
        <v>0</v>
      </c>
      <c r="R1071" s="1" t="s">
        <v>12639</v>
      </c>
      <c r="U1071" s="2">
        <v>56776</v>
      </c>
      <c r="V1071" s="1">
        <v>4.3</v>
      </c>
      <c r="W1071" s="1">
        <v>1000</v>
      </c>
      <c r="X1071" s="1">
        <v>1754</v>
      </c>
      <c r="AA1071" s="1">
        <v>1056</v>
      </c>
      <c r="AB1071" s="1">
        <v>0</v>
      </c>
      <c r="AC1071" s="1">
        <v>2</v>
      </c>
      <c r="AD1071" s="1" t="s">
        <v>62</v>
      </c>
      <c r="AE1071" s="1" t="s">
        <v>12640</v>
      </c>
      <c r="AF1071" s="1" t="s">
        <v>12641</v>
      </c>
      <c r="AG1071" s="1" t="s">
        <v>12642</v>
      </c>
      <c r="AI1071" s="1">
        <v>4.54</v>
      </c>
      <c r="AJ1071" s="1">
        <v>2229</v>
      </c>
      <c r="AK1071" s="1">
        <v>6580</v>
      </c>
    </row>
    <row r="1072" spans="1:38" ht="15.75" customHeight="1">
      <c r="A1072" s="1">
        <v>1434</v>
      </c>
      <c r="B1072" s="1">
        <v>5</v>
      </c>
      <c r="C1072" s="1">
        <v>4001</v>
      </c>
      <c r="D1072" s="1" t="s">
        <v>51</v>
      </c>
      <c r="E1072" s="1" t="s">
        <v>39</v>
      </c>
      <c r="F1072" s="1" t="s">
        <v>341</v>
      </c>
      <c r="G1072" s="1">
        <v>0</v>
      </c>
      <c r="H1072" s="1" t="s">
        <v>41</v>
      </c>
      <c r="I1072" s="1" t="s">
        <v>12643</v>
      </c>
      <c r="J1072" s="1" t="s">
        <v>12644</v>
      </c>
      <c r="K1072" s="1" t="s">
        <v>12645</v>
      </c>
      <c r="L1072" s="1">
        <v>1</v>
      </c>
      <c r="M1072" s="1">
        <v>0</v>
      </c>
      <c r="N1072" s="1" t="s">
        <v>12646</v>
      </c>
      <c r="O1072" s="1" t="s">
        <v>12647</v>
      </c>
      <c r="P1072" s="1" t="s">
        <v>12648</v>
      </c>
      <c r="Q1072" s="1">
        <v>0</v>
      </c>
      <c r="R1072" s="1" t="s">
        <v>12649</v>
      </c>
      <c r="S1072" s="1" t="s">
        <v>12650</v>
      </c>
      <c r="U1072" s="2">
        <v>56777</v>
      </c>
      <c r="V1072" s="1">
        <v>4.2</v>
      </c>
      <c r="W1072" s="1">
        <v>1000</v>
      </c>
      <c r="X1072" s="1">
        <v>2826</v>
      </c>
      <c r="Y1072" s="1">
        <v>1198</v>
      </c>
      <c r="Z1072" s="1">
        <v>296</v>
      </c>
      <c r="AA1072" s="1">
        <v>1332</v>
      </c>
      <c r="AB1072" s="1">
        <v>1</v>
      </c>
      <c r="AC1072" s="1">
        <v>2</v>
      </c>
      <c r="AE1072" s="1" t="s">
        <v>12651</v>
      </c>
      <c r="AF1072" s="1" t="s">
        <v>12652</v>
      </c>
      <c r="AG1072" s="1" t="s">
        <v>12653</v>
      </c>
      <c r="AH1072" s="1" t="s">
        <v>12654</v>
      </c>
      <c r="AI1072" s="1">
        <v>4.54</v>
      </c>
      <c r="AJ1072" s="1">
        <v>2229</v>
      </c>
      <c r="AK1072" s="1">
        <v>6580</v>
      </c>
    </row>
    <row r="1073" spans="1:38" ht="15.75" customHeight="1">
      <c r="A1073" s="1">
        <v>65</v>
      </c>
      <c r="B1073" s="1">
        <v>5</v>
      </c>
      <c r="C1073" s="1">
        <v>4050</v>
      </c>
      <c r="D1073" s="1" t="s">
        <v>38</v>
      </c>
      <c r="E1073" s="1" t="s">
        <v>39</v>
      </c>
      <c r="F1073" s="1" t="s">
        <v>280</v>
      </c>
      <c r="G1073" s="1">
        <v>0</v>
      </c>
      <c r="H1073" s="1" t="s">
        <v>41</v>
      </c>
      <c r="I1073" s="1" t="s">
        <v>12655</v>
      </c>
      <c r="J1073" s="1" t="s">
        <v>12656</v>
      </c>
      <c r="K1073" s="1" t="s">
        <v>12657</v>
      </c>
      <c r="L1073" s="1">
        <v>1</v>
      </c>
      <c r="M1073" s="1">
        <v>0</v>
      </c>
      <c r="N1073" s="1" t="s">
        <v>12658</v>
      </c>
      <c r="O1073" s="1" t="s">
        <v>12659</v>
      </c>
      <c r="P1073" s="1" t="s">
        <v>12660</v>
      </c>
      <c r="Q1073" s="1">
        <v>0</v>
      </c>
      <c r="R1073" s="1" t="s">
        <v>12661</v>
      </c>
      <c r="U1073" s="2">
        <v>56766</v>
      </c>
      <c r="V1073" s="1">
        <v>4.8</v>
      </c>
      <c r="W1073" s="1">
        <v>1000</v>
      </c>
      <c r="X1073" s="1">
        <v>1277</v>
      </c>
      <c r="AA1073" s="1">
        <v>733</v>
      </c>
      <c r="AB1073" s="1">
        <v>0</v>
      </c>
      <c r="AC1073" s="1">
        <v>3</v>
      </c>
      <c r="AE1073" s="1" t="s">
        <v>12662</v>
      </c>
      <c r="AF1073" s="1" t="s">
        <v>12663</v>
      </c>
      <c r="AG1073" s="1" t="s">
        <v>12664</v>
      </c>
      <c r="AI1073" s="1">
        <v>4.49</v>
      </c>
      <c r="AJ1073" s="1">
        <v>2315</v>
      </c>
      <c r="AK1073" s="1">
        <v>7039</v>
      </c>
      <c r="AL1073" s="1">
        <v>763</v>
      </c>
    </row>
    <row r="1074" spans="1:38" ht="15.75" customHeight="1">
      <c r="A1074" s="1">
        <v>394</v>
      </c>
      <c r="B1074" s="1">
        <v>4</v>
      </c>
      <c r="C1074" s="1">
        <v>4050</v>
      </c>
      <c r="D1074" s="1" t="s">
        <v>38</v>
      </c>
      <c r="E1074" s="1" t="s">
        <v>39</v>
      </c>
      <c r="F1074" s="1" t="s">
        <v>510</v>
      </c>
      <c r="G1074" s="1">
        <v>0</v>
      </c>
      <c r="H1074" s="1" t="s">
        <v>41</v>
      </c>
      <c r="I1074" s="1" t="s">
        <v>12665</v>
      </c>
      <c r="J1074" s="1" t="s">
        <v>12666</v>
      </c>
      <c r="K1074" s="1" t="s">
        <v>12667</v>
      </c>
      <c r="L1074" s="1">
        <v>1</v>
      </c>
      <c r="M1074" s="1">
        <v>0</v>
      </c>
      <c r="N1074" s="1" t="s">
        <v>12668</v>
      </c>
      <c r="O1074" s="1" t="s">
        <v>12669</v>
      </c>
      <c r="P1074" s="1" t="s">
        <v>12670</v>
      </c>
      <c r="Q1074" s="1">
        <v>0</v>
      </c>
      <c r="R1074" s="1" t="s">
        <v>12671</v>
      </c>
      <c r="S1074" s="1" t="s">
        <v>12672</v>
      </c>
      <c r="U1074" s="2">
        <v>56768</v>
      </c>
      <c r="V1074" s="1">
        <v>4.0999999999999996</v>
      </c>
      <c r="W1074" s="1">
        <v>1000</v>
      </c>
      <c r="X1074" s="1">
        <v>2439</v>
      </c>
      <c r="Y1074" s="1">
        <v>1146</v>
      </c>
      <c r="Z1074" s="1">
        <v>541</v>
      </c>
      <c r="AA1074" s="1">
        <v>752</v>
      </c>
      <c r="AB1074" s="1">
        <v>0</v>
      </c>
      <c r="AC1074" s="1">
        <v>1</v>
      </c>
      <c r="AD1074" s="1" t="s">
        <v>76</v>
      </c>
      <c r="AE1074" s="1" t="s">
        <v>12673</v>
      </c>
      <c r="AF1074" s="1" t="s">
        <v>12674</v>
      </c>
      <c r="AG1074" s="1" t="s">
        <v>12675</v>
      </c>
      <c r="AH1074" s="1" t="s">
        <v>12676</v>
      </c>
      <c r="AI1074" s="1">
        <v>4.62</v>
      </c>
      <c r="AJ1074" s="1">
        <v>259</v>
      </c>
      <c r="AK1074" s="1">
        <v>604</v>
      </c>
      <c r="AL1074" s="1">
        <v>21</v>
      </c>
    </row>
    <row r="1075" spans="1:38" ht="15.75" customHeight="1">
      <c r="A1075" s="1">
        <v>519</v>
      </c>
      <c r="C1075" s="1">
        <v>4050</v>
      </c>
      <c r="D1075" s="1" t="s">
        <v>38</v>
      </c>
      <c r="E1075" s="1" t="s">
        <v>39</v>
      </c>
      <c r="F1075" s="1" t="s">
        <v>510</v>
      </c>
      <c r="G1075" s="1">
        <v>0</v>
      </c>
      <c r="H1075" s="1" t="s">
        <v>41</v>
      </c>
      <c r="I1075" s="1" t="s">
        <v>12677</v>
      </c>
      <c r="J1075" s="1" t="s">
        <v>12678</v>
      </c>
      <c r="K1075" s="1" t="s">
        <v>12679</v>
      </c>
      <c r="L1075" s="1">
        <v>1</v>
      </c>
      <c r="M1075" s="1">
        <v>0</v>
      </c>
      <c r="N1075" s="1" t="s">
        <v>12680</v>
      </c>
      <c r="O1075" s="1" t="s">
        <v>12681</v>
      </c>
      <c r="P1075" s="1" t="s">
        <v>12682</v>
      </c>
      <c r="Q1075" s="1">
        <v>0</v>
      </c>
      <c r="R1075" s="1" t="s">
        <v>12683</v>
      </c>
      <c r="S1075" s="1" t="s">
        <v>12684</v>
      </c>
      <c r="U1075" s="2">
        <v>56769</v>
      </c>
      <c r="V1075" s="1">
        <v>4.3</v>
      </c>
      <c r="W1075" s="1">
        <v>1000</v>
      </c>
      <c r="X1075" s="1">
        <v>1588</v>
      </c>
      <c r="Y1075" s="1">
        <v>633</v>
      </c>
      <c r="Z1075" s="1">
        <v>294</v>
      </c>
      <c r="AA1075" s="1">
        <v>661</v>
      </c>
      <c r="AB1075" s="1">
        <v>1</v>
      </c>
      <c r="AC1075" s="1">
        <v>1</v>
      </c>
      <c r="AE1075" s="1" t="s">
        <v>12685</v>
      </c>
      <c r="AF1075" s="1" t="s">
        <v>12686</v>
      </c>
      <c r="AG1075" s="1" t="s">
        <v>12687</v>
      </c>
      <c r="AH1075" s="1" t="s">
        <v>12688</v>
      </c>
      <c r="AI1075" s="1">
        <v>4.62</v>
      </c>
      <c r="AJ1075" s="1">
        <v>259</v>
      </c>
      <c r="AK1075" s="1">
        <v>604</v>
      </c>
      <c r="AL1075" s="1">
        <v>21</v>
      </c>
    </row>
    <row r="1076" spans="1:38" ht="15.75" customHeight="1">
      <c r="A1076" s="1">
        <v>473</v>
      </c>
      <c r="C1076" s="1">
        <v>4050</v>
      </c>
      <c r="D1076" s="1" t="s">
        <v>38</v>
      </c>
      <c r="E1076" s="1" t="s">
        <v>39</v>
      </c>
      <c r="F1076" s="1" t="s">
        <v>1153</v>
      </c>
      <c r="G1076" s="1">
        <v>0</v>
      </c>
      <c r="H1076" s="1" t="s">
        <v>41</v>
      </c>
      <c r="I1076" s="1" t="s">
        <v>12689</v>
      </c>
      <c r="J1076" s="1" t="s">
        <v>12690</v>
      </c>
      <c r="K1076" s="1" t="s">
        <v>12691</v>
      </c>
      <c r="L1076" s="1">
        <v>1</v>
      </c>
      <c r="M1076" s="1">
        <v>0</v>
      </c>
      <c r="N1076" s="1" t="s">
        <v>12692</v>
      </c>
      <c r="O1076" s="1" t="s">
        <v>12693</v>
      </c>
      <c r="P1076" s="1" t="s">
        <v>12694</v>
      </c>
      <c r="Q1076" s="1">
        <v>0</v>
      </c>
      <c r="R1076" s="1" t="s">
        <v>12695</v>
      </c>
      <c r="S1076" s="1" t="s">
        <v>12696</v>
      </c>
      <c r="U1076" s="2">
        <v>56769</v>
      </c>
      <c r="V1076" s="1">
        <v>3.753117198</v>
      </c>
      <c r="W1076" s="1">
        <v>1000</v>
      </c>
      <c r="X1076" s="1">
        <v>1553</v>
      </c>
      <c r="Y1076" s="1">
        <v>589</v>
      </c>
      <c r="Z1076" s="1">
        <v>77</v>
      </c>
      <c r="AA1076" s="1">
        <v>887</v>
      </c>
      <c r="AB1076" s="1">
        <v>0</v>
      </c>
      <c r="AC1076" s="1">
        <v>1</v>
      </c>
      <c r="AD1076" s="1" t="s">
        <v>76</v>
      </c>
      <c r="AE1076" s="1" t="s">
        <v>12697</v>
      </c>
      <c r="AF1076" s="1" t="s">
        <v>12698</v>
      </c>
      <c r="AG1076" s="1" t="s">
        <v>12699</v>
      </c>
      <c r="AH1076" s="1" t="s">
        <v>12700</v>
      </c>
      <c r="AI1076" s="1">
        <v>4.58</v>
      </c>
      <c r="AJ1076" s="1">
        <v>679</v>
      </c>
      <c r="AK1076" s="1">
        <v>2371</v>
      </c>
      <c r="AL1076" s="1">
        <v>1830</v>
      </c>
    </row>
    <row r="1077" spans="1:38" ht="15.75" customHeight="1">
      <c r="A1077" s="1">
        <v>741</v>
      </c>
      <c r="B1077" s="1">
        <v>5</v>
      </c>
      <c r="C1077" s="1">
        <v>4001</v>
      </c>
      <c r="D1077" s="1" t="s">
        <v>51</v>
      </c>
      <c r="E1077" s="1" t="s">
        <v>39</v>
      </c>
      <c r="F1077" s="1" t="s">
        <v>305</v>
      </c>
      <c r="G1077" s="1">
        <v>0</v>
      </c>
      <c r="H1077" s="1" t="s">
        <v>53</v>
      </c>
      <c r="I1077" s="1" t="s">
        <v>12701</v>
      </c>
      <c r="J1077" s="1" t="s">
        <v>12702</v>
      </c>
      <c r="K1077" s="1" t="s">
        <v>12703</v>
      </c>
      <c r="L1077" s="1">
        <v>1</v>
      </c>
      <c r="M1077" s="1">
        <v>0</v>
      </c>
      <c r="N1077" s="1" t="s">
        <v>12704</v>
      </c>
      <c r="O1077" s="1" t="s">
        <v>12705</v>
      </c>
      <c r="P1077" s="1" t="s">
        <v>12706</v>
      </c>
      <c r="Q1077" s="1">
        <v>0</v>
      </c>
      <c r="R1077" s="1" t="s">
        <v>12707</v>
      </c>
      <c r="S1077" s="1" t="s">
        <v>12708</v>
      </c>
      <c r="U1077" s="2">
        <v>56771</v>
      </c>
      <c r="V1077" s="1">
        <v>4.3</v>
      </c>
      <c r="W1077" s="1">
        <v>1000</v>
      </c>
      <c r="X1077" s="1">
        <v>1991</v>
      </c>
      <c r="Y1077" s="1">
        <v>541</v>
      </c>
      <c r="Z1077" s="1">
        <v>840</v>
      </c>
      <c r="AA1077" s="1">
        <v>610</v>
      </c>
      <c r="AB1077" s="1">
        <v>0</v>
      </c>
      <c r="AC1077" s="1">
        <v>1</v>
      </c>
      <c r="AD1077" s="1" t="s">
        <v>215</v>
      </c>
      <c r="AE1077" s="1" t="s">
        <v>12709</v>
      </c>
      <c r="AF1077" s="1" t="s">
        <v>12710</v>
      </c>
      <c r="AG1077" s="1" t="s">
        <v>12711</v>
      </c>
      <c r="AH1077" s="1" t="s">
        <v>12712</v>
      </c>
      <c r="AI1077" s="1">
        <v>4.5199999999999996</v>
      </c>
      <c r="AJ1077" s="1">
        <v>183</v>
      </c>
      <c r="AK1077" s="1">
        <v>522</v>
      </c>
    </row>
    <row r="1078" spans="1:38" ht="15.75" customHeight="1">
      <c r="A1078" s="1">
        <v>1507</v>
      </c>
      <c r="C1078" s="1">
        <v>4001</v>
      </c>
      <c r="D1078" s="1" t="s">
        <v>51</v>
      </c>
      <c r="E1078" s="1" t="s">
        <v>39</v>
      </c>
      <c r="F1078" s="1" t="s">
        <v>232</v>
      </c>
      <c r="G1078" s="1">
        <v>0</v>
      </c>
      <c r="H1078" s="1" t="s">
        <v>53</v>
      </c>
      <c r="I1078" s="1" t="s">
        <v>12713</v>
      </c>
      <c r="J1078" s="1" t="s">
        <v>12714</v>
      </c>
      <c r="K1078" s="1" t="s">
        <v>12715</v>
      </c>
      <c r="L1078" s="1">
        <v>1</v>
      </c>
      <c r="M1078" s="1">
        <v>0</v>
      </c>
      <c r="N1078" s="1" t="s">
        <v>12716</v>
      </c>
      <c r="O1078" s="1" t="s">
        <v>12717</v>
      </c>
      <c r="P1078" s="1" t="s">
        <v>12718</v>
      </c>
      <c r="Q1078" s="1">
        <v>0</v>
      </c>
      <c r="R1078" s="1" t="s">
        <v>12719</v>
      </c>
      <c r="S1078" s="1" t="s">
        <v>12720</v>
      </c>
      <c r="U1078" s="2">
        <v>56777</v>
      </c>
      <c r="V1078" s="1">
        <v>4.8</v>
      </c>
      <c r="W1078" s="1">
        <v>1000</v>
      </c>
      <c r="X1078" s="1">
        <v>1335</v>
      </c>
      <c r="Y1078" s="1">
        <v>1109</v>
      </c>
      <c r="AA1078" s="1">
        <v>456</v>
      </c>
      <c r="AB1078" s="1">
        <v>0</v>
      </c>
      <c r="AC1078" s="1">
        <v>2</v>
      </c>
      <c r="AD1078" s="1" t="s">
        <v>76</v>
      </c>
      <c r="AE1078" s="1" t="s">
        <v>12721</v>
      </c>
      <c r="AF1078" s="1" t="s">
        <v>12722</v>
      </c>
      <c r="AG1078" s="1" t="s">
        <v>12723</v>
      </c>
      <c r="AH1078" s="1" t="s">
        <v>12724</v>
      </c>
      <c r="AI1078" s="1">
        <v>4.5599999999999996</v>
      </c>
      <c r="AJ1078" s="1">
        <v>765</v>
      </c>
      <c r="AK1078" s="1">
        <v>2618</v>
      </c>
    </row>
    <row r="1079" spans="1:38" ht="15.75" customHeight="1">
      <c r="A1079" s="1">
        <v>251</v>
      </c>
      <c r="B1079" s="1">
        <v>5</v>
      </c>
      <c r="C1079" s="1">
        <v>4050</v>
      </c>
      <c r="D1079" s="1" t="s">
        <v>38</v>
      </c>
      <c r="E1079" s="1" t="s">
        <v>39</v>
      </c>
      <c r="F1079" s="1" t="s">
        <v>195</v>
      </c>
      <c r="G1079" s="1">
        <v>0</v>
      </c>
      <c r="H1079" s="1" t="s">
        <v>41</v>
      </c>
      <c r="I1079" s="1" t="s">
        <v>12725</v>
      </c>
      <c r="J1079" s="1" t="s">
        <v>12726</v>
      </c>
      <c r="K1079" s="1" t="s">
        <v>12726</v>
      </c>
      <c r="L1079" s="1">
        <v>0</v>
      </c>
      <c r="M1079" s="1">
        <v>0</v>
      </c>
      <c r="N1079" s="1" t="s">
        <v>12727</v>
      </c>
      <c r="O1079" s="1" t="s">
        <v>12728</v>
      </c>
      <c r="P1079" s="1" t="s">
        <v>12729</v>
      </c>
      <c r="Q1079" s="1">
        <v>0</v>
      </c>
      <c r="R1079" s="1" t="s">
        <v>12730</v>
      </c>
      <c r="S1079" s="1" t="s">
        <v>12731</v>
      </c>
      <c r="U1079" s="2">
        <v>56768</v>
      </c>
      <c r="V1079" s="1">
        <v>4.5999999999999996</v>
      </c>
      <c r="W1079" s="1">
        <v>1000</v>
      </c>
      <c r="X1079" s="1">
        <v>1917</v>
      </c>
      <c r="Y1079" s="1">
        <v>1091</v>
      </c>
      <c r="Z1079" s="1">
        <v>234</v>
      </c>
      <c r="AA1079" s="1">
        <v>592</v>
      </c>
      <c r="AB1079" s="1">
        <v>0</v>
      </c>
      <c r="AC1079" s="1">
        <v>1</v>
      </c>
      <c r="AD1079" s="1" t="s">
        <v>76</v>
      </c>
      <c r="AE1079" s="1" t="s">
        <v>12732</v>
      </c>
      <c r="AF1079" s="1" t="s">
        <v>12733</v>
      </c>
      <c r="AG1079" s="1" t="s">
        <v>12734</v>
      </c>
      <c r="AH1079" s="1" t="s">
        <v>12735</v>
      </c>
      <c r="AI1079" s="1">
        <v>4.66</v>
      </c>
      <c r="AJ1079" s="1">
        <v>161</v>
      </c>
      <c r="AK1079" s="1">
        <v>398</v>
      </c>
    </row>
    <row r="1080" spans="1:38" ht="15.75" customHeight="1">
      <c r="A1080" s="1">
        <v>520</v>
      </c>
      <c r="B1080" s="1">
        <v>5</v>
      </c>
      <c r="C1080" s="1">
        <v>4050</v>
      </c>
      <c r="D1080" s="1" t="s">
        <v>38</v>
      </c>
      <c r="E1080" s="1" t="s">
        <v>39</v>
      </c>
      <c r="F1080" s="1" t="s">
        <v>390</v>
      </c>
      <c r="G1080" s="1">
        <v>0</v>
      </c>
      <c r="H1080" s="1" t="s">
        <v>41</v>
      </c>
      <c r="I1080" s="1" t="s">
        <v>12736</v>
      </c>
      <c r="J1080" s="1" t="s">
        <v>12737</v>
      </c>
      <c r="K1080" s="1" t="s">
        <v>12738</v>
      </c>
      <c r="L1080" s="1">
        <v>1</v>
      </c>
      <c r="M1080" s="1">
        <v>0</v>
      </c>
      <c r="N1080" s="1" t="s">
        <v>12739</v>
      </c>
      <c r="O1080" s="1" t="s">
        <v>12740</v>
      </c>
      <c r="P1080" s="1" t="s">
        <v>12741</v>
      </c>
      <c r="Q1080" s="1">
        <v>0</v>
      </c>
      <c r="R1080" s="1" t="s">
        <v>12742</v>
      </c>
      <c r="S1080" s="1" t="s">
        <v>12743</v>
      </c>
      <c r="U1080" s="2">
        <v>56769</v>
      </c>
      <c r="V1080" s="1">
        <v>3.2123488949999999</v>
      </c>
      <c r="W1080" s="1">
        <v>1000</v>
      </c>
      <c r="X1080" s="1">
        <v>1473</v>
      </c>
      <c r="Y1080" s="1">
        <v>334</v>
      </c>
      <c r="Z1080" s="1">
        <v>128</v>
      </c>
      <c r="AA1080" s="1">
        <v>1011</v>
      </c>
      <c r="AB1080" s="1">
        <v>0</v>
      </c>
      <c r="AC1080" s="1">
        <v>2</v>
      </c>
      <c r="AD1080" s="1" t="s">
        <v>215</v>
      </c>
      <c r="AE1080" s="1" t="s">
        <v>12744</v>
      </c>
      <c r="AF1080" s="1" t="s">
        <v>12745</v>
      </c>
      <c r="AG1080" s="1" t="s">
        <v>12746</v>
      </c>
      <c r="AH1080" s="1" t="s">
        <v>12747</v>
      </c>
      <c r="AI1080" s="1">
        <v>4.5599999999999996</v>
      </c>
      <c r="AJ1080" s="1">
        <v>344</v>
      </c>
      <c r="AK1080" s="1">
        <v>947</v>
      </c>
      <c r="AL1080" s="1">
        <v>22</v>
      </c>
    </row>
    <row r="1081" spans="1:38" ht="15.75" customHeight="1">
      <c r="A1081" s="1">
        <v>1284</v>
      </c>
      <c r="B1081" s="1">
        <v>5</v>
      </c>
      <c r="C1081" s="1">
        <v>4001</v>
      </c>
      <c r="D1081" s="1" t="s">
        <v>51</v>
      </c>
      <c r="E1081" s="1" t="s">
        <v>39</v>
      </c>
      <c r="F1081" s="1" t="s">
        <v>52</v>
      </c>
      <c r="G1081" s="1">
        <v>0</v>
      </c>
      <c r="H1081" s="1" t="s">
        <v>53</v>
      </c>
      <c r="I1081" s="1" t="s">
        <v>12748</v>
      </c>
      <c r="J1081" s="1" t="s">
        <v>12749</v>
      </c>
      <c r="K1081" s="1" t="s">
        <v>12750</v>
      </c>
      <c r="L1081" s="1">
        <v>1</v>
      </c>
      <c r="M1081" s="1">
        <v>0</v>
      </c>
      <c r="N1081" s="1" t="s">
        <v>12751</v>
      </c>
      <c r="O1081" s="1" t="s">
        <v>12752</v>
      </c>
      <c r="P1081" s="1" t="s">
        <v>12753</v>
      </c>
      <c r="Q1081" s="1">
        <v>0</v>
      </c>
      <c r="R1081" s="1" t="s">
        <v>12754</v>
      </c>
      <c r="S1081" s="1" t="s">
        <v>12755</v>
      </c>
      <c r="U1081" s="2">
        <v>56776</v>
      </c>
      <c r="V1081" s="1">
        <v>3.371501608</v>
      </c>
      <c r="W1081" s="1">
        <v>1000</v>
      </c>
      <c r="X1081" s="1">
        <v>2095</v>
      </c>
      <c r="Y1081" s="1">
        <v>1335</v>
      </c>
      <c r="Z1081" s="1">
        <v>113</v>
      </c>
      <c r="AA1081" s="1">
        <v>647</v>
      </c>
      <c r="AB1081" s="1">
        <v>0</v>
      </c>
      <c r="AC1081" s="1">
        <v>8</v>
      </c>
      <c r="AE1081" s="1" t="s">
        <v>12756</v>
      </c>
      <c r="AF1081" s="1" t="s">
        <v>12757</v>
      </c>
      <c r="AG1081" s="1" t="s">
        <v>12758</v>
      </c>
      <c r="AH1081" s="1" t="s">
        <v>12759</v>
      </c>
      <c r="AI1081" s="1">
        <v>4.17</v>
      </c>
      <c r="AJ1081" s="1">
        <v>457</v>
      </c>
      <c r="AK1081" s="1">
        <v>1599</v>
      </c>
    </row>
    <row r="1082" spans="1:38" ht="15.75" customHeight="1">
      <c r="A1082" s="1">
        <v>671</v>
      </c>
      <c r="B1082" s="1">
        <v>5</v>
      </c>
      <c r="C1082" s="1">
        <v>4050</v>
      </c>
      <c r="D1082" s="1" t="s">
        <v>38</v>
      </c>
      <c r="E1082" s="1" t="s">
        <v>39</v>
      </c>
      <c r="F1082" s="1" t="s">
        <v>1323</v>
      </c>
      <c r="G1082" s="1">
        <v>0</v>
      </c>
      <c r="H1082" s="1" t="s">
        <v>41</v>
      </c>
      <c r="I1082" s="1" t="s">
        <v>12760</v>
      </c>
      <c r="J1082" s="1" t="s">
        <v>12761</v>
      </c>
      <c r="K1082" s="1" t="s">
        <v>12762</v>
      </c>
      <c r="L1082" s="1">
        <v>1</v>
      </c>
      <c r="M1082" s="1">
        <v>0</v>
      </c>
      <c r="N1082" s="1" t="s">
        <v>12763</v>
      </c>
      <c r="O1082" s="1" t="s">
        <v>12764</v>
      </c>
      <c r="P1082" s="1" t="s">
        <v>12765</v>
      </c>
      <c r="Q1082" s="1">
        <v>0</v>
      </c>
      <c r="R1082" s="1" t="s">
        <v>12766</v>
      </c>
      <c r="S1082" s="1" t="s">
        <v>12767</v>
      </c>
      <c r="U1082" s="2">
        <v>56770</v>
      </c>
      <c r="V1082" s="1">
        <v>4.8</v>
      </c>
      <c r="W1082" s="1">
        <v>1000</v>
      </c>
      <c r="X1082" s="1">
        <v>902</v>
      </c>
      <c r="Y1082" s="1">
        <v>464</v>
      </c>
      <c r="Z1082" s="1">
        <v>111</v>
      </c>
      <c r="AA1082" s="1">
        <v>327</v>
      </c>
      <c r="AB1082" s="1">
        <v>0</v>
      </c>
      <c r="AC1082" s="1">
        <v>1</v>
      </c>
      <c r="AD1082" s="1" t="s">
        <v>76</v>
      </c>
      <c r="AE1082" s="1" t="s">
        <v>12768</v>
      </c>
      <c r="AF1082" s="1" t="s">
        <v>12769</v>
      </c>
      <c r="AG1082" s="1" t="s">
        <v>12770</v>
      </c>
      <c r="AH1082" s="1" t="s">
        <v>12771</v>
      </c>
      <c r="AI1082" s="1">
        <v>4.57</v>
      </c>
      <c r="AJ1082" s="1">
        <v>234</v>
      </c>
      <c r="AK1082" s="1">
        <v>726</v>
      </c>
      <c r="AL1082" s="1">
        <v>99</v>
      </c>
    </row>
    <row r="1083" spans="1:38" ht="15.75" customHeight="1">
      <c r="A1083" s="1">
        <v>422</v>
      </c>
      <c r="C1083" s="1">
        <v>4050</v>
      </c>
      <c r="D1083" s="1" t="s">
        <v>38</v>
      </c>
      <c r="E1083" s="1" t="s">
        <v>39</v>
      </c>
      <c r="F1083" s="1" t="s">
        <v>280</v>
      </c>
      <c r="G1083" s="1">
        <v>0</v>
      </c>
      <c r="H1083" s="1" t="s">
        <v>41</v>
      </c>
      <c r="I1083" s="1" t="s">
        <v>12772</v>
      </c>
      <c r="J1083" s="1" t="s">
        <v>12773</v>
      </c>
      <c r="K1083" s="1" t="s">
        <v>12774</v>
      </c>
      <c r="L1083" s="1">
        <v>1</v>
      </c>
      <c r="M1083" s="1">
        <v>0</v>
      </c>
      <c r="N1083" s="1" t="s">
        <v>12775</v>
      </c>
      <c r="O1083" s="1" t="s">
        <v>12776</v>
      </c>
      <c r="P1083" s="1" t="s">
        <v>12777</v>
      </c>
      <c r="Q1083" s="1">
        <v>0</v>
      </c>
      <c r="R1083" s="1" t="s">
        <v>12778</v>
      </c>
      <c r="S1083" s="1" t="s">
        <v>12779</v>
      </c>
      <c r="U1083" s="2">
        <v>56769</v>
      </c>
      <c r="V1083" s="1">
        <v>4.5999999999999996</v>
      </c>
      <c r="W1083" s="1">
        <v>1000</v>
      </c>
      <c r="X1083" s="1">
        <v>1690</v>
      </c>
      <c r="Y1083" s="1">
        <v>661</v>
      </c>
      <c r="Z1083" s="1">
        <v>173</v>
      </c>
      <c r="AA1083" s="1">
        <v>856</v>
      </c>
      <c r="AB1083" s="1">
        <v>0</v>
      </c>
      <c r="AC1083" s="1">
        <v>1</v>
      </c>
      <c r="AD1083" s="1" t="s">
        <v>215</v>
      </c>
      <c r="AE1083" s="1" t="s">
        <v>12780</v>
      </c>
      <c r="AF1083" s="1" t="s">
        <v>12781</v>
      </c>
      <c r="AG1083" s="1" t="s">
        <v>12782</v>
      </c>
      <c r="AH1083" s="1" t="s">
        <v>12783</v>
      </c>
      <c r="AI1083" s="1">
        <v>4.49</v>
      </c>
      <c r="AJ1083" s="1">
        <v>2315</v>
      </c>
      <c r="AK1083" s="1">
        <v>7039</v>
      </c>
      <c r="AL1083" s="1">
        <v>763</v>
      </c>
    </row>
    <row r="1084" spans="1:38" ht="15.75" customHeight="1">
      <c r="A1084" s="1">
        <v>691</v>
      </c>
      <c r="C1084" s="1">
        <v>4001</v>
      </c>
      <c r="D1084" s="1" t="s">
        <v>51</v>
      </c>
      <c r="E1084" s="1" t="s">
        <v>39</v>
      </c>
      <c r="F1084" s="1" t="s">
        <v>341</v>
      </c>
      <c r="G1084" s="1">
        <v>0</v>
      </c>
      <c r="H1084" s="1" t="s">
        <v>41</v>
      </c>
      <c r="I1084" s="1" t="s">
        <v>12784</v>
      </c>
      <c r="J1084" s="1" t="s">
        <v>12785</v>
      </c>
      <c r="K1084" s="1" t="s">
        <v>12786</v>
      </c>
      <c r="L1084" s="1">
        <v>1</v>
      </c>
      <c r="M1084" s="1">
        <v>0</v>
      </c>
      <c r="N1084" s="1" t="s">
        <v>12787</v>
      </c>
      <c r="O1084" s="1" t="s">
        <v>12788</v>
      </c>
      <c r="P1084" s="1" t="s">
        <v>12789</v>
      </c>
      <c r="Q1084" s="1">
        <v>0</v>
      </c>
      <c r="R1084" s="1" t="s">
        <v>12790</v>
      </c>
      <c r="S1084" s="1" t="s">
        <v>12791</v>
      </c>
      <c r="U1084" s="2">
        <v>56770</v>
      </c>
      <c r="V1084" s="1">
        <v>2.9691438730000002</v>
      </c>
      <c r="W1084" s="1">
        <v>1000</v>
      </c>
      <c r="X1084" s="1">
        <v>2204</v>
      </c>
      <c r="Y1084" s="1">
        <v>432</v>
      </c>
      <c r="Z1084" s="1">
        <v>740</v>
      </c>
      <c r="AA1084" s="1">
        <v>1032</v>
      </c>
      <c r="AB1084" s="1">
        <v>0</v>
      </c>
      <c r="AC1084" s="1">
        <v>4</v>
      </c>
      <c r="AD1084" s="1" t="s">
        <v>215</v>
      </c>
      <c r="AE1084" s="1" t="s">
        <v>12792</v>
      </c>
      <c r="AF1084" s="1" t="s">
        <v>12793</v>
      </c>
      <c r="AG1084" s="1" t="s">
        <v>12794</v>
      </c>
      <c r="AH1084" s="1" t="s">
        <v>12795</v>
      </c>
      <c r="AI1084" s="1">
        <v>4.54</v>
      </c>
      <c r="AJ1084" s="1">
        <v>2229</v>
      </c>
      <c r="AK1084" s="1">
        <v>6580</v>
      </c>
    </row>
    <row r="1085" spans="1:38" ht="15.75" customHeight="1">
      <c r="A1085" s="1">
        <v>1060</v>
      </c>
      <c r="C1085" s="1">
        <v>4001</v>
      </c>
      <c r="D1085" s="1" t="s">
        <v>51</v>
      </c>
      <c r="E1085" s="1" t="s">
        <v>39</v>
      </c>
      <c r="F1085" s="1" t="s">
        <v>92</v>
      </c>
      <c r="G1085" s="1">
        <v>0</v>
      </c>
      <c r="H1085" s="1" t="s">
        <v>41</v>
      </c>
      <c r="I1085" s="1" t="s">
        <v>12796</v>
      </c>
      <c r="J1085" s="1" t="s">
        <v>12797</v>
      </c>
      <c r="K1085" s="1" t="s">
        <v>12798</v>
      </c>
      <c r="L1085" s="1">
        <v>1</v>
      </c>
      <c r="M1085" s="1">
        <v>0</v>
      </c>
      <c r="N1085" s="1" t="s">
        <v>12799</v>
      </c>
      <c r="O1085" s="1" t="s">
        <v>12800</v>
      </c>
      <c r="P1085" s="1" t="s">
        <v>12801</v>
      </c>
      <c r="Q1085" s="1">
        <v>0</v>
      </c>
      <c r="R1085" s="1" t="s">
        <v>12802</v>
      </c>
      <c r="S1085" s="1" t="s">
        <v>12803</v>
      </c>
      <c r="U1085" s="2">
        <v>56774</v>
      </c>
      <c r="V1085" s="1">
        <v>3.2759458279999998</v>
      </c>
      <c r="W1085" s="1">
        <v>1000</v>
      </c>
      <c r="X1085" s="1">
        <v>3160</v>
      </c>
      <c r="Y1085" s="1">
        <v>523</v>
      </c>
      <c r="Z1085" s="1">
        <v>600</v>
      </c>
      <c r="AA1085" s="1">
        <v>2037</v>
      </c>
      <c r="AB1085" s="1">
        <v>0</v>
      </c>
      <c r="AC1085" s="1">
        <v>4</v>
      </c>
      <c r="AD1085" s="1" t="s">
        <v>62</v>
      </c>
      <c r="AE1085" s="1" t="s">
        <v>12804</v>
      </c>
      <c r="AF1085" s="1" t="s">
        <v>12805</v>
      </c>
      <c r="AG1085" s="1" t="s">
        <v>12806</v>
      </c>
      <c r="AH1085" s="1" t="s">
        <v>12807</v>
      </c>
      <c r="AI1085" s="1">
        <v>4.03</v>
      </c>
      <c r="AJ1085" s="1">
        <v>505</v>
      </c>
      <c r="AK1085" s="1">
        <v>1721</v>
      </c>
      <c r="AL1085" s="1">
        <v>457</v>
      </c>
    </row>
    <row r="1086" spans="1:38" ht="15.75" customHeight="1">
      <c r="A1086" s="1">
        <v>186</v>
      </c>
      <c r="B1086" s="1">
        <v>5</v>
      </c>
      <c r="C1086" s="1">
        <v>4050</v>
      </c>
      <c r="D1086" s="1" t="s">
        <v>38</v>
      </c>
      <c r="E1086" s="1" t="s">
        <v>39</v>
      </c>
      <c r="F1086" s="1" t="s">
        <v>1348</v>
      </c>
      <c r="G1086" s="1">
        <v>0</v>
      </c>
      <c r="H1086" s="1" t="s">
        <v>41</v>
      </c>
      <c r="I1086" s="1" t="s">
        <v>12808</v>
      </c>
      <c r="J1086" s="1" t="s">
        <v>12809</v>
      </c>
      <c r="K1086" s="1" t="s">
        <v>12810</v>
      </c>
      <c r="L1086" s="1">
        <v>1</v>
      </c>
      <c r="M1086" s="1">
        <v>0</v>
      </c>
      <c r="N1086" s="1" t="s">
        <v>12811</v>
      </c>
      <c r="O1086" s="1" t="s">
        <v>12812</v>
      </c>
      <c r="P1086" s="1" t="s">
        <v>12813</v>
      </c>
      <c r="Q1086" s="1">
        <v>0</v>
      </c>
      <c r="R1086" s="1" t="s">
        <v>12814</v>
      </c>
      <c r="S1086" s="1" t="s">
        <v>12815</v>
      </c>
      <c r="U1086" s="2">
        <v>56767</v>
      </c>
      <c r="V1086" s="1">
        <v>3.2837412110000002</v>
      </c>
      <c r="W1086" s="1">
        <v>1000</v>
      </c>
      <c r="X1086" s="1">
        <v>1960</v>
      </c>
      <c r="Y1086" s="1">
        <v>845</v>
      </c>
      <c r="Z1086" s="1">
        <v>316</v>
      </c>
      <c r="AA1086" s="1">
        <v>799</v>
      </c>
      <c r="AB1086" s="1">
        <v>0</v>
      </c>
      <c r="AC1086" s="1">
        <v>1</v>
      </c>
      <c r="AD1086" s="1" t="s">
        <v>76</v>
      </c>
      <c r="AE1086" s="1" t="s">
        <v>12816</v>
      </c>
      <c r="AF1086" s="1" t="s">
        <v>12817</v>
      </c>
      <c r="AG1086" s="1" t="s">
        <v>12818</v>
      </c>
      <c r="AH1086" s="1" t="s">
        <v>12819</v>
      </c>
      <c r="AI1086" s="1">
        <v>4.79</v>
      </c>
      <c r="AJ1086" s="1">
        <v>1007</v>
      </c>
      <c r="AK1086" s="1">
        <v>2899</v>
      </c>
      <c r="AL1086" s="1">
        <v>1301</v>
      </c>
    </row>
    <row r="1087" spans="1:38" ht="15.75" customHeight="1">
      <c r="A1087" s="1">
        <v>241</v>
      </c>
      <c r="C1087" s="1">
        <v>4050</v>
      </c>
      <c r="D1087" s="1" t="s">
        <v>38</v>
      </c>
      <c r="E1087" s="1" t="s">
        <v>39</v>
      </c>
      <c r="F1087" s="1" t="s">
        <v>40</v>
      </c>
      <c r="G1087" s="1">
        <v>0</v>
      </c>
      <c r="H1087" s="1" t="s">
        <v>41</v>
      </c>
      <c r="I1087" s="1" t="s">
        <v>12820</v>
      </c>
      <c r="J1087" s="1" t="s">
        <v>12821</v>
      </c>
      <c r="K1087" s="1" t="s">
        <v>12822</v>
      </c>
      <c r="L1087" s="1">
        <v>1</v>
      </c>
      <c r="M1087" s="1">
        <v>0</v>
      </c>
      <c r="N1087" s="1" t="s">
        <v>12823</v>
      </c>
      <c r="O1087" s="1" t="s">
        <v>12824</v>
      </c>
      <c r="P1087" s="1" t="s">
        <v>12825</v>
      </c>
      <c r="Q1087" s="1">
        <v>0</v>
      </c>
      <c r="R1087" s="1" t="s">
        <v>12826</v>
      </c>
      <c r="S1087" s="1" t="s">
        <v>12827</v>
      </c>
      <c r="U1087" s="2">
        <v>56767</v>
      </c>
      <c r="V1087" s="1">
        <v>4.1029973750000002</v>
      </c>
      <c r="W1087" s="1">
        <v>1000</v>
      </c>
      <c r="X1087" s="1">
        <v>1901</v>
      </c>
      <c r="Y1087" s="1">
        <v>757</v>
      </c>
      <c r="Z1087" s="1">
        <v>193</v>
      </c>
      <c r="AA1087" s="1">
        <v>951</v>
      </c>
      <c r="AB1087" s="1">
        <v>0</v>
      </c>
      <c r="AC1087" s="1">
        <v>2</v>
      </c>
      <c r="AD1087" s="1" t="s">
        <v>215</v>
      </c>
      <c r="AE1087" s="1" t="s">
        <v>12828</v>
      </c>
      <c r="AF1087" s="1" t="s">
        <v>12829</v>
      </c>
      <c r="AG1087" s="1" t="s">
        <v>12830</v>
      </c>
      <c r="AH1087" s="1" t="s">
        <v>12831</v>
      </c>
      <c r="AI1087" s="1">
        <v>4.7</v>
      </c>
      <c r="AJ1087" s="1">
        <v>1261</v>
      </c>
      <c r="AK1087" s="1">
        <v>3264</v>
      </c>
      <c r="AL1087" s="1">
        <v>232</v>
      </c>
    </row>
    <row r="1088" spans="1:38" ht="15.75" customHeight="1">
      <c r="A1088" s="1">
        <v>247</v>
      </c>
      <c r="C1088" s="1">
        <v>4001</v>
      </c>
      <c r="D1088" s="1" t="s">
        <v>51</v>
      </c>
      <c r="E1088" s="1" t="s">
        <v>39</v>
      </c>
      <c r="F1088" s="1" t="s">
        <v>341</v>
      </c>
      <c r="G1088" s="1">
        <v>0</v>
      </c>
      <c r="H1088" s="1" t="s">
        <v>41</v>
      </c>
      <c r="I1088" s="1" t="s">
        <v>12832</v>
      </c>
      <c r="J1088" s="1" t="s">
        <v>12833</v>
      </c>
      <c r="K1088" s="1" t="s">
        <v>12834</v>
      </c>
      <c r="L1088" s="1">
        <v>1</v>
      </c>
      <c r="M1088" s="1">
        <v>0</v>
      </c>
      <c r="N1088" s="1" t="s">
        <v>12835</v>
      </c>
      <c r="O1088" s="1" t="s">
        <v>12836</v>
      </c>
      <c r="P1088" s="1" t="s">
        <v>12837</v>
      </c>
      <c r="Q1088" s="1">
        <v>0</v>
      </c>
      <c r="R1088" s="1" t="s">
        <v>12838</v>
      </c>
      <c r="S1088" s="1" t="s">
        <v>12839</v>
      </c>
      <c r="U1088" s="2">
        <v>56767</v>
      </c>
      <c r="V1088" s="1">
        <v>4.8</v>
      </c>
      <c r="W1088" s="1">
        <v>1000</v>
      </c>
      <c r="X1088" s="1">
        <v>491</v>
      </c>
      <c r="Y1088" s="1">
        <v>102</v>
      </c>
      <c r="Z1088" s="1">
        <v>203</v>
      </c>
      <c r="AA1088" s="1">
        <v>186</v>
      </c>
      <c r="AB1088" s="1">
        <v>0</v>
      </c>
      <c r="AC1088" s="1">
        <v>1</v>
      </c>
      <c r="AD1088" s="1" t="s">
        <v>62</v>
      </c>
      <c r="AE1088" s="1" t="s">
        <v>12840</v>
      </c>
      <c r="AF1088" s="1" t="s">
        <v>12841</v>
      </c>
      <c r="AG1088" s="1" t="s">
        <v>12842</v>
      </c>
      <c r="AH1088" s="1" t="s">
        <v>12843</v>
      </c>
      <c r="AI1088" s="1">
        <v>4.54</v>
      </c>
      <c r="AJ1088" s="1">
        <v>2229</v>
      </c>
      <c r="AK1088" s="1">
        <v>6580</v>
      </c>
    </row>
    <row r="1089" spans="1:38" ht="15.75" customHeight="1">
      <c r="A1089" s="1">
        <v>297</v>
      </c>
      <c r="B1089" s="1">
        <v>4</v>
      </c>
      <c r="C1089" s="1">
        <v>4001</v>
      </c>
      <c r="D1089" s="1" t="s">
        <v>51</v>
      </c>
      <c r="E1089" s="1" t="s">
        <v>39</v>
      </c>
      <c r="F1089" s="1" t="s">
        <v>52</v>
      </c>
      <c r="G1089" s="1">
        <v>0</v>
      </c>
      <c r="H1089" s="1" t="s">
        <v>53</v>
      </c>
      <c r="I1089" s="1" t="s">
        <v>12844</v>
      </c>
      <c r="J1089" s="1" t="s">
        <v>12845</v>
      </c>
      <c r="K1089" s="1" t="s">
        <v>12846</v>
      </c>
      <c r="L1089" s="1">
        <v>1</v>
      </c>
      <c r="M1089" s="1">
        <v>0</v>
      </c>
      <c r="N1089" s="1" t="s">
        <v>12847</v>
      </c>
      <c r="O1089" s="1" t="s">
        <v>12848</v>
      </c>
      <c r="P1089" s="1" t="s">
        <v>12849</v>
      </c>
      <c r="Q1089" s="1">
        <v>0</v>
      </c>
      <c r="R1089" s="1" t="s">
        <v>12850</v>
      </c>
      <c r="S1089" s="1" t="s">
        <v>12851</v>
      </c>
      <c r="U1089" s="2">
        <v>56768</v>
      </c>
      <c r="V1089" s="1">
        <v>3.4920495150000002</v>
      </c>
      <c r="W1089" s="1">
        <v>1000</v>
      </c>
      <c r="X1089" s="1">
        <v>2635</v>
      </c>
      <c r="Y1089" s="1">
        <v>1985</v>
      </c>
      <c r="AA1089" s="1">
        <v>698</v>
      </c>
      <c r="AB1089" s="1">
        <v>0</v>
      </c>
      <c r="AC1089" s="1">
        <v>1</v>
      </c>
      <c r="AD1089" s="1" t="s">
        <v>76</v>
      </c>
      <c r="AE1089" s="1" t="s">
        <v>12852</v>
      </c>
      <c r="AF1089" s="1" t="s">
        <v>12853</v>
      </c>
      <c r="AG1089" s="1" t="s">
        <v>12854</v>
      </c>
      <c r="AH1089" s="1" t="s">
        <v>12855</v>
      </c>
      <c r="AI1089" s="1">
        <v>4.17</v>
      </c>
      <c r="AJ1089" s="1">
        <v>457</v>
      </c>
      <c r="AK1089" s="1">
        <v>1599</v>
      </c>
    </row>
    <row r="1090" spans="1:38" ht="15.75" customHeight="1">
      <c r="A1090" s="1">
        <v>507</v>
      </c>
      <c r="B1090" s="1">
        <v>5</v>
      </c>
      <c r="C1090" s="1">
        <v>4050</v>
      </c>
      <c r="D1090" s="1" t="s">
        <v>38</v>
      </c>
      <c r="E1090" s="1" t="s">
        <v>39</v>
      </c>
      <c r="F1090" s="1" t="s">
        <v>1153</v>
      </c>
      <c r="G1090" s="1">
        <v>0</v>
      </c>
      <c r="H1090" s="1" t="s">
        <v>41</v>
      </c>
      <c r="I1090" s="1" t="s">
        <v>12856</v>
      </c>
      <c r="J1090" s="1" t="s">
        <v>12857</v>
      </c>
      <c r="K1090" s="1" t="s">
        <v>12858</v>
      </c>
      <c r="L1090" s="1">
        <v>1</v>
      </c>
      <c r="M1090" s="1">
        <v>0</v>
      </c>
      <c r="N1090" s="1" t="s">
        <v>12859</v>
      </c>
      <c r="O1090" s="1" t="s">
        <v>12860</v>
      </c>
      <c r="P1090" s="1" t="s">
        <v>12861</v>
      </c>
      <c r="Q1090" s="1">
        <v>0</v>
      </c>
      <c r="R1090" s="1" t="s">
        <v>12862</v>
      </c>
      <c r="S1090" s="1" t="s">
        <v>12863</v>
      </c>
      <c r="U1090" s="2">
        <v>56769</v>
      </c>
      <c r="V1090" s="1">
        <v>4.5999999999999996</v>
      </c>
      <c r="W1090" s="1">
        <v>1000</v>
      </c>
      <c r="X1090" s="1">
        <v>2063</v>
      </c>
      <c r="Y1090" s="1">
        <v>865</v>
      </c>
      <c r="Z1090" s="1">
        <v>18</v>
      </c>
      <c r="AA1090" s="1">
        <v>1180</v>
      </c>
      <c r="AB1090" s="1">
        <v>0</v>
      </c>
      <c r="AC1090" s="1">
        <v>2</v>
      </c>
      <c r="AD1090" s="1" t="s">
        <v>76</v>
      </c>
      <c r="AE1090" s="1" t="s">
        <v>12864</v>
      </c>
      <c r="AF1090" s="1" t="s">
        <v>12865</v>
      </c>
      <c r="AG1090" s="1" t="s">
        <v>12866</v>
      </c>
      <c r="AH1090" s="1" t="s">
        <v>12867</v>
      </c>
      <c r="AI1090" s="1">
        <v>4.58</v>
      </c>
      <c r="AJ1090" s="1">
        <v>679</v>
      </c>
      <c r="AK1090" s="1">
        <v>2371</v>
      </c>
      <c r="AL1090" s="1">
        <v>1830</v>
      </c>
    </row>
    <row r="1091" spans="1:38" ht="15.75" customHeight="1">
      <c r="A1091" s="1">
        <v>529</v>
      </c>
      <c r="C1091" s="1">
        <v>4001</v>
      </c>
      <c r="D1091" s="1" t="s">
        <v>51</v>
      </c>
      <c r="E1091" s="1" t="s">
        <v>39</v>
      </c>
      <c r="F1091" s="1" t="s">
        <v>52</v>
      </c>
      <c r="G1091" s="1">
        <v>0</v>
      </c>
      <c r="H1091" s="1" t="s">
        <v>53</v>
      </c>
      <c r="I1091" s="1" t="s">
        <v>12868</v>
      </c>
      <c r="J1091" s="1" t="s">
        <v>12869</v>
      </c>
      <c r="K1091" s="1" t="s">
        <v>12870</v>
      </c>
      <c r="L1091" s="1">
        <v>1</v>
      </c>
      <c r="M1091" s="1">
        <v>0</v>
      </c>
      <c r="N1091" s="1" t="s">
        <v>12871</v>
      </c>
      <c r="O1091" s="1" t="s">
        <v>12872</v>
      </c>
      <c r="P1091" s="1" t="s">
        <v>12873</v>
      </c>
      <c r="Q1091" s="1">
        <v>0</v>
      </c>
      <c r="R1091" s="1" t="s">
        <v>12874</v>
      </c>
      <c r="S1091" s="1" t="s">
        <v>12875</v>
      </c>
      <c r="U1091" s="2">
        <v>56769</v>
      </c>
      <c r="V1091" s="1">
        <v>4.5</v>
      </c>
      <c r="W1091" s="1">
        <v>1000</v>
      </c>
      <c r="X1091" s="1">
        <v>1539</v>
      </c>
      <c r="Y1091" s="1">
        <v>548</v>
      </c>
      <c r="Z1091" s="1">
        <v>363</v>
      </c>
      <c r="AA1091" s="1">
        <v>628</v>
      </c>
      <c r="AB1091" s="1">
        <v>1</v>
      </c>
      <c r="AC1091" s="1">
        <v>1</v>
      </c>
      <c r="AE1091" s="1" t="s">
        <v>12876</v>
      </c>
      <c r="AF1091" s="1" t="s">
        <v>12877</v>
      </c>
      <c r="AG1091" s="1" t="s">
        <v>12878</v>
      </c>
      <c r="AH1091" s="1" t="s">
        <v>12879</v>
      </c>
      <c r="AI1091" s="1">
        <v>4.17</v>
      </c>
      <c r="AJ1091" s="1">
        <v>457</v>
      </c>
      <c r="AK1091" s="1">
        <v>1599</v>
      </c>
    </row>
    <row r="1092" spans="1:38" ht="15.75" customHeight="1">
      <c r="A1092" s="1">
        <v>606</v>
      </c>
      <c r="B1092" s="1">
        <v>5</v>
      </c>
      <c r="C1092" s="1">
        <v>4050</v>
      </c>
      <c r="D1092" s="1" t="s">
        <v>38</v>
      </c>
      <c r="E1092" s="1" t="s">
        <v>39</v>
      </c>
      <c r="F1092" s="1" t="s">
        <v>510</v>
      </c>
      <c r="G1092" s="1">
        <v>0</v>
      </c>
      <c r="H1092" s="1" t="s">
        <v>41</v>
      </c>
      <c r="I1092" s="1" t="s">
        <v>12880</v>
      </c>
      <c r="J1092" s="1" t="s">
        <v>12881</v>
      </c>
      <c r="K1092" s="1" t="s">
        <v>12882</v>
      </c>
      <c r="L1092" s="1">
        <v>1</v>
      </c>
      <c r="M1092" s="1">
        <v>0</v>
      </c>
      <c r="N1092" s="1" t="s">
        <v>12883</v>
      </c>
      <c r="O1092" s="1" t="s">
        <v>12884</v>
      </c>
      <c r="P1092" s="1" t="s">
        <v>12885</v>
      </c>
      <c r="Q1092" s="1">
        <v>0</v>
      </c>
      <c r="R1092" s="1" t="s">
        <v>12886</v>
      </c>
      <c r="S1092" s="1" t="s">
        <v>12887</v>
      </c>
      <c r="U1092" s="2">
        <v>56770</v>
      </c>
      <c r="V1092" s="1">
        <v>4.5</v>
      </c>
      <c r="W1092" s="1">
        <v>1000</v>
      </c>
      <c r="X1092" s="1">
        <v>477</v>
      </c>
      <c r="Y1092" s="1">
        <v>271</v>
      </c>
      <c r="Z1092" s="1">
        <v>149</v>
      </c>
      <c r="AA1092" s="1">
        <v>57</v>
      </c>
      <c r="AB1092" s="1">
        <v>0</v>
      </c>
      <c r="AC1092" s="1">
        <v>4</v>
      </c>
      <c r="AD1092" s="1" t="s">
        <v>215</v>
      </c>
      <c r="AE1092" s="1" t="s">
        <v>12888</v>
      </c>
      <c r="AF1092" s="1" t="s">
        <v>12889</v>
      </c>
      <c r="AG1092" s="1" t="s">
        <v>12890</v>
      </c>
      <c r="AH1092" s="1" t="s">
        <v>12891</v>
      </c>
      <c r="AI1092" s="1">
        <v>4.62</v>
      </c>
      <c r="AJ1092" s="1">
        <v>259</v>
      </c>
      <c r="AK1092" s="1">
        <v>604</v>
      </c>
      <c r="AL1092" s="1">
        <v>21</v>
      </c>
    </row>
    <row r="1093" spans="1:38" ht="15.75" customHeight="1">
      <c r="A1093" s="1">
        <v>922</v>
      </c>
      <c r="C1093" s="1">
        <v>4001</v>
      </c>
      <c r="D1093" s="1" t="s">
        <v>51</v>
      </c>
      <c r="E1093" s="1" t="s">
        <v>39</v>
      </c>
      <c r="F1093" s="1" t="s">
        <v>414</v>
      </c>
      <c r="G1093" s="1">
        <v>0</v>
      </c>
      <c r="H1093" s="1" t="s">
        <v>53</v>
      </c>
      <c r="I1093" s="1" t="s">
        <v>12892</v>
      </c>
      <c r="J1093" s="1" t="s">
        <v>12893</v>
      </c>
      <c r="K1093" s="1" t="s">
        <v>12894</v>
      </c>
      <c r="L1093" s="1">
        <v>1</v>
      </c>
      <c r="M1093" s="1">
        <v>0</v>
      </c>
      <c r="N1093" s="1" t="s">
        <v>12895</v>
      </c>
      <c r="O1093" s="1" t="s">
        <v>12896</v>
      </c>
      <c r="P1093" s="1" t="s">
        <v>12897</v>
      </c>
      <c r="Q1093" s="1">
        <v>1</v>
      </c>
      <c r="R1093" s="1" t="s">
        <v>12898</v>
      </c>
      <c r="U1093" s="2">
        <v>56773</v>
      </c>
      <c r="V1093" s="1">
        <v>3.8851878630000001</v>
      </c>
      <c r="W1093" s="1">
        <v>1000</v>
      </c>
      <c r="X1093" s="1">
        <v>1706</v>
      </c>
      <c r="AA1093" s="1">
        <v>783</v>
      </c>
      <c r="AB1093" s="1">
        <v>1</v>
      </c>
      <c r="AC1093" s="1">
        <v>2</v>
      </c>
      <c r="AE1093" s="1" t="s">
        <v>12899</v>
      </c>
      <c r="AF1093" s="1" t="s">
        <v>12900</v>
      </c>
      <c r="AG1093" s="1" t="s">
        <v>12901</v>
      </c>
      <c r="AI1093" s="1">
        <v>4.58</v>
      </c>
      <c r="AJ1093" s="1">
        <v>254</v>
      </c>
      <c r="AK1093" s="1">
        <v>788</v>
      </c>
      <c r="AL1093" s="1">
        <v>9</v>
      </c>
    </row>
    <row r="1094" spans="1:38" ht="15.75" customHeight="1">
      <c r="A1094" s="1">
        <v>950</v>
      </c>
      <c r="C1094" s="1">
        <v>4001</v>
      </c>
      <c r="D1094" s="1" t="s">
        <v>51</v>
      </c>
      <c r="E1094" s="1" t="s">
        <v>39</v>
      </c>
      <c r="F1094" s="1" t="s">
        <v>305</v>
      </c>
      <c r="G1094" s="1">
        <v>0</v>
      </c>
      <c r="H1094" s="1" t="s">
        <v>53</v>
      </c>
      <c r="I1094" s="1" t="s">
        <v>12902</v>
      </c>
      <c r="J1094" s="1" t="s">
        <v>12903</v>
      </c>
      <c r="K1094" s="1" t="s">
        <v>12904</v>
      </c>
      <c r="L1094" s="1">
        <v>1</v>
      </c>
      <c r="M1094" s="1">
        <v>0</v>
      </c>
      <c r="N1094" s="1" t="s">
        <v>12905</v>
      </c>
      <c r="O1094" s="1" t="s">
        <v>12906</v>
      </c>
      <c r="P1094" s="1" t="s">
        <v>12907</v>
      </c>
      <c r="Q1094" s="1">
        <v>0</v>
      </c>
      <c r="R1094" s="1" t="s">
        <v>12908</v>
      </c>
      <c r="S1094" s="1" t="s">
        <v>12909</v>
      </c>
      <c r="U1094" s="2">
        <v>56773</v>
      </c>
      <c r="V1094" s="1">
        <v>3.1496020910000002</v>
      </c>
      <c r="W1094" s="1">
        <v>1000</v>
      </c>
      <c r="X1094" s="1">
        <v>2638</v>
      </c>
      <c r="Y1094" s="1">
        <v>1354</v>
      </c>
      <c r="Z1094" s="1">
        <v>258</v>
      </c>
      <c r="AA1094" s="1">
        <v>1026</v>
      </c>
      <c r="AB1094" s="1">
        <v>0</v>
      </c>
      <c r="AC1094" s="1">
        <v>4</v>
      </c>
      <c r="AD1094" s="1" t="s">
        <v>76</v>
      </c>
      <c r="AE1094" s="1" t="s">
        <v>12910</v>
      </c>
      <c r="AF1094" s="1" t="s">
        <v>12911</v>
      </c>
      <c r="AG1094" s="1" t="s">
        <v>12912</v>
      </c>
      <c r="AH1094" s="1" t="s">
        <v>12913</v>
      </c>
      <c r="AI1094" s="1">
        <v>4.5199999999999996</v>
      </c>
      <c r="AJ1094" s="1">
        <v>183</v>
      </c>
      <c r="AK1094" s="1">
        <v>522</v>
      </c>
    </row>
    <row r="1095" spans="1:38" ht="15.75" customHeight="1">
      <c r="A1095" s="1">
        <v>237</v>
      </c>
      <c r="C1095" s="1">
        <v>4001</v>
      </c>
      <c r="D1095" s="1" t="s">
        <v>51</v>
      </c>
      <c r="E1095" s="1" t="s">
        <v>39</v>
      </c>
      <c r="F1095" s="1" t="s">
        <v>341</v>
      </c>
      <c r="G1095" s="1">
        <v>0</v>
      </c>
      <c r="H1095" s="1" t="s">
        <v>41</v>
      </c>
      <c r="I1095" s="1" t="s">
        <v>12914</v>
      </c>
      <c r="J1095" s="1" t="s">
        <v>12915</v>
      </c>
      <c r="K1095" s="1" t="s">
        <v>12916</v>
      </c>
      <c r="L1095" s="1">
        <v>1</v>
      </c>
      <c r="M1095" s="1">
        <v>0</v>
      </c>
      <c r="N1095" s="1" t="s">
        <v>12917</v>
      </c>
      <c r="O1095" s="1" t="s">
        <v>12918</v>
      </c>
      <c r="P1095" s="1" t="s">
        <v>12919</v>
      </c>
      <c r="Q1095" s="1">
        <v>1</v>
      </c>
      <c r="R1095" s="1" t="s">
        <v>12920</v>
      </c>
      <c r="S1095" s="1" t="s">
        <v>12921</v>
      </c>
      <c r="U1095" s="2">
        <v>56767</v>
      </c>
      <c r="V1095" s="1">
        <v>2.6872937879999999</v>
      </c>
      <c r="W1095" s="1">
        <v>1000</v>
      </c>
      <c r="X1095" s="1">
        <v>1508</v>
      </c>
      <c r="Y1095" s="1">
        <v>247</v>
      </c>
      <c r="Z1095" s="1">
        <v>414</v>
      </c>
      <c r="AA1095" s="1">
        <v>847</v>
      </c>
      <c r="AB1095" s="1">
        <v>1</v>
      </c>
      <c r="AC1095" s="1">
        <v>1</v>
      </c>
      <c r="AE1095" s="1" t="s">
        <v>12922</v>
      </c>
      <c r="AF1095" s="1" t="s">
        <v>12923</v>
      </c>
      <c r="AG1095" s="1" t="s">
        <v>12924</v>
      </c>
      <c r="AH1095" s="1" t="s">
        <v>12925</v>
      </c>
      <c r="AI1095" s="1">
        <v>4.54</v>
      </c>
      <c r="AJ1095" s="1">
        <v>2229</v>
      </c>
      <c r="AK1095" s="1">
        <v>6580</v>
      </c>
    </row>
    <row r="1096" spans="1:38" ht="15.75" customHeight="1">
      <c r="A1096" s="1">
        <v>357</v>
      </c>
      <c r="C1096" s="1">
        <v>4050</v>
      </c>
      <c r="D1096" s="1" t="s">
        <v>38</v>
      </c>
      <c r="E1096" s="1" t="s">
        <v>39</v>
      </c>
      <c r="F1096" s="1" t="s">
        <v>486</v>
      </c>
      <c r="G1096" s="1">
        <v>0</v>
      </c>
      <c r="H1096" s="1" t="s">
        <v>41</v>
      </c>
      <c r="I1096" s="1" t="s">
        <v>12926</v>
      </c>
      <c r="J1096" s="1" t="s">
        <v>12927</v>
      </c>
      <c r="K1096" s="1" t="s">
        <v>12928</v>
      </c>
      <c r="L1096" s="1">
        <v>1</v>
      </c>
      <c r="M1096" s="1">
        <v>0</v>
      </c>
      <c r="N1096" s="1" t="s">
        <v>12929</v>
      </c>
      <c r="O1096" s="1" t="s">
        <v>12930</v>
      </c>
      <c r="P1096" s="1" t="s">
        <v>12931</v>
      </c>
      <c r="Q1096" s="1">
        <v>0</v>
      </c>
      <c r="R1096" s="1" t="s">
        <v>12932</v>
      </c>
      <c r="S1096" s="1" t="s">
        <v>12933</v>
      </c>
      <c r="U1096" s="2">
        <v>56768</v>
      </c>
      <c r="V1096" s="1">
        <v>4.3</v>
      </c>
      <c r="W1096" s="1">
        <v>1000</v>
      </c>
      <c r="X1096" s="1">
        <v>1534</v>
      </c>
      <c r="Y1096" s="1">
        <v>699</v>
      </c>
      <c r="Z1096" s="1">
        <v>189</v>
      </c>
      <c r="AA1096" s="1">
        <v>646</v>
      </c>
      <c r="AB1096" s="1">
        <v>0</v>
      </c>
      <c r="AC1096" s="1">
        <v>1</v>
      </c>
      <c r="AD1096" s="1" t="s">
        <v>76</v>
      </c>
      <c r="AE1096" s="1" t="s">
        <v>12934</v>
      </c>
      <c r="AF1096" s="1" t="s">
        <v>12935</v>
      </c>
      <c r="AG1096" s="1" t="s">
        <v>12936</v>
      </c>
      <c r="AH1096" s="1" t="s">
        <v>12937</v>
      </c>
      <c r="AI1096" s="1">
        <v>4.7</v>
      </c>
      <c r="AJ1096" s="1">
        <v>212</v>
      </c>
      <c r="AK1096" s="1">
        <v>624</v>
      </c>
      <c r="AL1096" s="1">
        <v>347</v>
      </c>
    </row>
    <row r="1097" spans="1:38" ht="15.75" customHeight="1">
      <c r="A1097" s="1">
        <v>815</v>
      </c>
      <c r="B1097" s="1">
        <v>5</v>
      </c>
      <c r="C1097" s="1">
        <v>4001</v>
      </c>
      <c r="D1097" s="1" t="s">
        <v>51</v>
      </c>
      <c r="E1097" s="1" t="s">
        <v>39</v>
      </c>
      <c r="F1097" s="1" t="s">
        <v>708</v>
      </c>
      <c r="G1097" s="1">
        <v>0</v>
      </c>
      <c r="H1097" s="1" t="s">
        <v>53</v>
      </c>
      <c r="I1097" s="1" t="s">
        <v>12938</v>
      </c>
      <c r="J1097" s="1" t="s">
        <v>12939</v>
      </c>
      <c r="K1097" s="1" t="s">
        <v>12940</v>
      </c>
      <c r="L1097" s="1">
        <v>1</v>
      </c>
      <c r="M1097" s="1">
        <v>0</v>
      </c>
      <c r="N1097" s="1" t="s">
        <v>12941</v>
      </c>
      <c r="O1097" s="1" t="s">
        <v>12942</v>
      </c>
      <c r="P1097" s="1" t="s">
        <v>12943</v>
      </c>
      <c r="Q1097" s="1">
        <v>0</v>
      </c>
      <c r="R1097" s="1" t="s">
        <v>12944</v>
      </c>
      <c r="S1097" s="1" t="s">
        <v>12945</v>
      </c>
      <c r="U1097" s="2">
        <v>56771</v>
      </c>
      <c r="V1097" s="1">
        <v>4.5999999999999996</v>
      </c>
      <c r="W1097" s="1">
        <v>1000</v>
      </c>
      <c r="X1097" s="1">
        <v>1228</v>
      </c>
      <c r="Y1097" s="1">
        <v>744</v>
      </c>
      <c r="AA1097" s="1">
        <v>512</v>
      </c>
      <c r="AB1097" s="1">
        <v>0</v>
      </c>
      <c r="AC1097" s="1">
        <v>1</v>
      </c>
      <c r="AD1097" s="1" t="s">
        <v>76</v>
      </c>
      <c r="AE1097" s="1" t="s">
        <v>12946</v>
      </c>
      <c r="AF1097" s="1" t="s">
        <v>12947</v>
      </c>
      <c r="AG1097" s="1" t="s">
        <v>12948</v>
      </c>
      <c r="AH1097" s="1" t="s">
        <v>12949</v>
      </c>
      <c r="AI1097" s="1">
        <v>4.5999999999999996</v>
      </c>
      <c r="AJ1097" s="1">
        <v>292</v>
      </c>
      <c r="AK1097" s="1">
        <v>1027</v>
      </c>
      <c r="AL1097" s="1">
        <v>26</v>
      </c>
    </row>
    <row r="1098" spans="1:38" ht="15.75" customHeight="1">
      <c r="A1098" s="1">
        <v>898</v>
      </c>
      <c r="C1098" s="1">
        <v>4001</v>
      </c>
      <c r="D1098" s="1" t="s">
        <v>51</v>
      </c>
      <c r="E1098" s="1" t="s">
        <v>39</v>
      </c>
      <c r="F1098" s="1" t="s">
        <v>414</v>
      </c>
      <c r="G1098" s="1">
        <v>0</v>
      </c>
      <c r="H1098" s="1" t="s">
        <v>53</v>
      </c>
      <c r="I1098" s="1" t="s">
        <v>12950</v>
      </c>
      <c r="J1098" s="1" t="s">
        <v>12951</v>
      </c>
      <c r="K1098" s="1" t="s">
        <v>12952</v>
      </c>
      <c r="L1098" s="1">
        <v>1</v>
      </c>
      <c r="M1098" s="1">
        <v>0</v>
      </c>
      <c r="N1098" s="1" t="s">
        <v>12953</v>
      </c>
      <c r="O1098" s="1" t="s">
        <v>12954</v>
      </c>
      <c r="P1098" s="1" t="s">
        <v>12955</v>
      </c>
      <c r="Q1098" s="1">
        <v>0</v>
      </c>
      <c r="R1098" s="1" t="s">
        <v>12956</v>
      </c>
      <c r="S1098" s="1" t="s">
        <v>12957</v>
      </c>
      <c r="U1098" s="2">
        <v>56772</v>
      </c>
      <c r="V1098" s="1">
        <v>4.4000000000000004</v>
      </c>
      <c r="W1098" s="1">
        <v>1000</v>
      </c>
      <c r="X1098" s="1">
        <v>1846</v>
      </c>
      <c r="Y1098" s="1">
        <v>1047</v>
      </c>
      <c r="Z1098" s="1">
        <v>191</v>
      </c>
      <c r="AA1098" s="1">
        <v>608</v>
      </c>
      <c r="AB1098" s="1">
        <v>0</v>
      </c>
      <c r="AC1098" s="1">
        <v>3</v>
      </c>
      <c r="AD1098" s="1" t="s">
        <v>62</v>
      </c>
      <c r="AE1098" s="1" t="s">
        <v>12958</v>
      </c>
      <c r="AF1098" s="1" t="s">
        <v>12959</v>
      </c>
      <c r="AG1098" s="1" t="s">
        <v>12960</v>
      </c>
      <c r="AH1098" s="1" t="s">
        <v>12961</v>
      </c>
      <c r="AI1098" s="1">
        <v>4.58</v>
      </c>
      <c r="AJ1098" s="1">
        <v>254</v>
      </c>
      <c r="AK1098" s="1">
        <v>788</v>
      </c>
      <c r="AL1098" s="1">
        <v>9</v>
      </c>
    </row>
    <row r="1099" spans="1:38" ht="15.75" customHeight="1">
      <c r="A1099" s="1">
        <v>425</v>
      </c>
      <c r="B1099" s="1">
        <v>5</v>
      </c>
      <c r="C1099" s="1">
        <v>4050</v>
      </c>
      <c r="D1099" s="1" t="s">
        <v>38</v>
      </c>
      <c r="E1099" s="1" t="s">
        <v>39</v>
      </c>
      <c r="F1099" s="1" t="s">
        <v>510</v>
      </c>
      <c r="G1099" s="1">
        <v>0</v>
      </c>
      <c r="H1099" s="1" t="s">
        <v>41</v>
      </c>
      <c r="I1099" s="1" t="s">
        <v>12962</v>
      </c>
      <c r="J1099" s="1" t="s">
        <v>12963</v>
      </c>
      <c r="K1099" s="1" t="s">
        <v>12964</v>
      </c>
      <c r="L1099" s="1">
        <v>1</v>
      </c>
      <c r="M1099" s="1">
        <v>0</v>
      </c>
      <c r="N1099" s="1" t="s">
        <v>12965</v>
      </c>
      <c r="O1099" s="1" t="s">
        <v>12966</v>
      </c>
      <c r="P1099" s="1" t="s">
        <v>12967</v>
      </c>
      <c r="Q1099" s="1">
        <v>0</v>
      </c>
      <c r="R1099" s="1" t="s">
        <v>12968</v>
      </c>
      <c r="S1099" s="1" t="s">
        <v>12969</v>
      </c>
      <c r="U1099" s="2">
        <v>56769</v>
      </c>
      <c r="V1099" s="1">
        <v>4.5</v>
      </c>
      <c r="W1099" s="1">
        <v>1000</v>
      </c>
      <c r="X1099" s="1">
        <v>2595</v>
      </c>
      <c r="Y1099" s="1">
        <v>834</v>
      </c>
      <c r="Z1099" s="1">
        <v>315</v>
      </c>
      <c r="AA1099" s="1">
        <v>1446</v>
      </c>
      <c r="AB1099" s="1">
        <v>0</v>
      </c>
      <c r="AC1099" s="1">
        <v>2</v>
      </c>
      <c r="AD1099" s="1" t="s">
        <v>76</v>
      </c>
      <c r="AE1099" s="1" t="s">
        <v>12970</v>
      </c>
      <c r="AF1099" s="1" t="s">
        <v>12971</v>
      </c>
      <c r="AG1099" s="1" t="s">
        <v>12972</v>
      </c>
      <c r="AH1099" s="1" t="s">
        <v>12973</v>
      </c>
      <c r="AI1099" s="1">
        <v>4.62</v>
      </c>
      <c r="AJ1099" s="1">
        <v>259</v>
      </c>
      <c r="AK1099" s="1">
        <v>604</v>
      </c>
      <c r="AL1099" s="1">
        <v>21</v>
      </c>
    </row>
    <row r="1100" spans="1:38" ht="15.75" customHeight="1">
      <c r="A1100" s="1">
        <v>566</v>
      </c>
      <c r="B1100" s="1">
        <v>5</v>
      </c>
      <c r="C1100" s="1">
        <v>4001</v>
      </c>
      <c r="D1100" s="1" t="s">
        <v>51</v>
      </c>
      <c r="E1100" s="1" t="s">
        <v>39</v>
      </c>
      <c r="F1100" s="1" t="s">
        <v>92</v>
      </c>
      <c r="G1100" s="1">
        <v>0</v>
      </c>
      <c r="H1100" s="1" t="s">
        <v>41</v>
      </c>
      <c r="I1100" s="1" t="s">
        <v>12974</v>
      </c>
      <c r="J1100" s="1" t="s">
        <v>12975</v>
      </c>
      <c r="K1100" s="1" t="s">
        <v>12976</v>
      </c>
      <c r="L1100" s="1">
        <v>1</v>
      </c>
      <c r="M1100" s="1">
        <v>0</v>
      </c>
      <c r="N1100" s="1" t="s">
        <v>12977</v>
      </c>
      <c r="O1100" s="1" t="s">
        <v>12978</v>
      </c>
      <c r="P1100" s="1" t="s">
        <v>12979</v>
      </c>
      <c r="Q1100" s="1">
        <v>0</v>
      </c>
      <c r="R1100" s="1" t="s">
        <v>12980</v>
      </c>
      <c r="S1100" s="1" t="s">
        <v>12981</v>
      </c>
      <c r="U1100" s="2">
        <v>56770</v>
      </c>
      <c r="V1100" s="1">
        <v>4.5</v>
      </c>
      <c r="W1100" s="1">
        <v>1000</v>
      </c>
      <c r="X1100" s="1">
        <v>1679</v>
      </c>
      <c r="Y1100" s="1">
        <v>1026</v>
      </c>
      <c r="Z1100" s="1">
        <v>217</v>
      </c>
      <c r="AA1100" s="1">
        <v>436</v>
      </c>
      <c r="AB1100" s="1">
        <v>0</v>
      </c>
      <c r="AC1100" s="1">
        <v>1</v>
      </c>
      <c r="AD1100" s="1" t="s">
        <v>215</v>
      </c>
      <c r="AE1100" s="1" t="s">
        <v>12982</v>
      </c>
      <c r="AF1100" s="1" t="s">
        <v>12983</v>
      </c>
      <c r="AG1100" s="1" t="s">
        <v>12984</v>
      </c>
      <c r="AH1100" s="1" t="s">
        <v>12985</v>
      </c>
      <c r="AI1100" s="1">
        <v>4.03</v>
      </c>
      <c r="AJ1100" s="1">
        <v>505</v>
      </c>
      <c r="AK1100" s="1">
        <v>1721</v>
      </c>
      <c r="AL1100" s="1">
        <v>457</v>
      </c>
    </row>
    <row r="1101" spans="1:38" ht="15.75" customHeight="1">
      <c r="A1101" s="1">
        <v>808</v>
      </c>
      <c r="C1101" s="1">
        <v>4001</v>
      </c>
      <c r="D1101" s="1" t="s">
        <v>51</v>
      </c>
      <c r="E1101" s="1" t="s">
        <v>39</v>
      </c>
      <c r="F1101" s="1" t="s">
        <v>708</v>
      </c>
      <c r="G1101" s="1">
        <v>0</v>
      </c>
      <c r="H1101" s="1" t="s">
        <v>53</v>
      </c>
      <c r="I1101" s="1" t="s">
        <v>12986</v>
      </c>
      <c r="J1101" s="1" t="s">
        <v>12987</v>
      </c>
      <c r="K1101" s="1" t="s">
        <v>12988</v>
      </c>
      <c r="L1101" s="1">
        <v>1</v>
      </c>
      <c r="M1101" s="1">
        <v>0</v>
      </c>
      <c r="N1101" s="1" t="s">
        <v>12989</v>
      </c>
      <c r="O1101" s="1" t="s">
        <v>12990</v>
      </c>
      <c r="P1101" s="1" t="s">
        <v>12991</v>
      </c>
      <c r="Q1101" s="1">
        <v>0</v>
      </c>
      <c r="R1101" s="1" t="s">
        <v>12992</v>
      </c>
      <c r="S1101" s="1" t="s">
        <v>12993</v>
      </c>
      <c r="U1101" s="2">
        <v>56771</v>
      </c>
      <c r="V1101" s="1">
        <v>4.4000000000000004</v>
      </c>
      <c r="W1101" s="1">
        <v>1000</v>
      </c>
      <c r="X1101" s="1">
        <v>1060</v>
      </c>
      <c r="Y1101" s="1">
        <v>356</v>
      </c>
      <c r="Z1101" s="1">
        <v>10</v>
      </c>
      <c r="AA1101" s="1">
        <v>694</v>
      </c>
      <c r="AB1101" s="1">
        <v>0</v>
      </c>
      <c r="AC1101" s="1">
        <v>1</v>
      </c>
      <c r="AD1101" s="1" t="s">
        <v>215</v>
      </c>
      <c r="AE1101" s="1" t="s">
        <v>12994</v>
      </c>
      <c r="AF1101" s="1" t="s">
        <v>12995</v>
      </c>
      <c r="AG1101" s="1" t="s">
        <v>12996</v>
      </c>
      <c r="AH1101" s="1" t="s">
        <v>12997</v>
      </c>
      <c r="AI1101" s="1">
        <v>4.5999999999999996</v>
      </c>
      <c r="AJ1101" s="1">
        <v>292</v>
      </c>
      <c r="AK1101" s="1">
        <v>1027</v>
      </c>
      <c r="AL1101" s="1">
        <v>26</v>
      </c>
    </row>
    <row r="1102" spans="1:38" ht="15.75" customHeight="1">
      <c r="A1102" s="1">
        <v>1508</v>
      </c>
      <c r="B1102" s="1">
        <v>5</v>
      </c>
      <c r="C1102" s="1">
        <v>4001</v>
      </c>
      <c r="D1102" s="1" t="s">
        <v>51</v>
      </c>
      <c r="E1102" s="1" t="s">
        <v>39</v>
      </c>
      <c r="F1102" s="1" t="s">
        <v>414</v>
      </c>
      <c r="G1102" s="1">
        <v>0</v>
      </c>
      <c r="H1102" s="1" t="s">
        <v>53</v>
      </c>
      <c r="I1102" s="1" t="s">
        <v>12998</v>
      </c>
      <c r="J1102" s="1" t="s">
        <v>12999</v>
      </c>
      <c r="K1102" s="1" t="s">
        <v>13000</v>
      </c>
      <c r="L1102" s="1">
        <v>1</v>
      </c>
      <c r="M1102" s="1">
        <v>0</v>
      </c>
      <c r="N1102" s="1" t="s">
        <v>13001</v>
      </c>
      <c r="O1102" s="1" t="s">
        <v>13002</v>
      </c>
      <c r="P1102" s="1" t="s">
        <v>13003</v>
      </c>
      <c r="Q1102" s="1">
        <v>0</v>
      </c>
      <c r="R1102" s="1" t="s">
        <v>13004</v>
      </c>
      <c r="S1102" s="1" t="s">
        <v>13005</v>
      </c>
      <c r="U1102" s="2">
        <v>56777</v>
      </c>
      <c r="V1102" s="1">
        <v>4.4000000000000004</v>
      </c>
      <c r="W1102" s="1">
        <v>1000</v>
      </c>
      <c r="X1102" s="1">
        <v>896</v>
      </c>
      <c r="Z1102" s="1">
        <v>623</v>
      </c>
      <c r="AA1102" s="1">
        <v>274</v>
      </c>
      <c r="AB1102" s="1">
        <v>0</v>
      </c>
      <c r="AC1102" s="1">
        <v>1</v>
      </c>
      <c r="AD1102" s="1" t="s">
        <v>62</v>
      </c>
      <c r="AE1102" s="1" t="s">
        <v>13006</v>
      </c>
      <c r="AF1102" s="1" t="s">
        <v>13007</v>
      </c>
      <c r="AG1102" s="1" t="s">
        <v>13008</v>
      </c>
      <c r="AH1102" s="1" t="s">
        <v>13009</v>
      </c>
      <c r="AI1102" s="1">
        <v>4.58</v>
      </c>
      <c r="AJ1102" s="1">
        <v>254</v>
      </c>
      <c r="AK1102" s="1">
        <v>788</v>
      </c>
      <c r="AL1102" s="1">
        <v>9</v>
      </c>
    </row>
    <row r="1103" spans="1:38" ht="15.75" customHeight="1">
      <c r="A1103" s="1">
        <v>1564</v>
      </c>
      <c r="B1103" s="1">
        <v>3</v>
      </c>
      <c r="C1103" s="1">
        <v>4001</v>
      </c>
      <c r="D1103" s="1" t="s">
        <v>51</v>
      </c>
      <c r="E1103" s="1" t="s">
        <v>39</v>
      </c>
      <c r="F1103" s="1" t="s">
        <v>305</v>
      </c>
      <c r="G1103" s="1">
        <v>0</v>
      </c>
      <c r="H1103" s="1" t="s">
        <v>53</v>
      </c>
      <c r="I1103" s="1" t="s">
        <v>13010</v>
      </c>
      <c r="J1103" s="1" t="s">
        <v>13011</v>
      </c>
      <c r="K1103" s="1" t="s">
        <v>13012</v>
      </c>
      <c r="L1103" s="1">
        <v>1</v>
      </c>
      <c r="M1103" s="1">
        <v>0</v>
      </c>
      <c r="N1103" s="1" t="s">
        <v>13013</v>
      </c>
      <c r="O1103" s="1" t="s">
        <v>13014</v>
      </c>
      <c r="P1103" s="1" t="s">
        <v>13015</v>
      </c>
      <c r="Q1103" s="1">
        <v>0</v>
      </c>
      <c r="R1103" s="1" t="s">
        <v>13016</v>
      </c>
      <c r="S1103" s="1" t="s">
        <v>13017</v>
      </c>
      <c r="U1103" s="2">
        <v>56778</v>
      </c>
      <c r="V1103" s="1">
        <v>4.5890023920000003</v>
      </c>
      <c r="W1103" s="1">
        <v>1000</v>
      </c>
      <c r="X1103" s="1">
        <v>1212</v>
      </c>
      <c r="Y1103" s="1">
        <v>349</v>
      </c>
      <c r="Z1103" s="1">
        <v>240</v>
      </c>
      <c r="AA1103" s="1">
        <v>623</v>
      </c>
      <c r="AB1103" s="1">
        <v>0</v>
      </c>
      <c r="AC1103" s="1">
        <v>1</v>
      </c>
      <c r="AD1103" s="1" t="s">
        <v>215</v>
      </c>
      <c r="AE1103" s="1" t="s">
        <v>13018</v>
      </c>
      <c r="AF1103" s="1" t="s">
        <v>13019</v>
      </c>
      <c r="AG1103" s="1" t="s">
        <v>13020</v>
      </c>
      <c r="AH1103" s="1" t="s">
        <v>13021</v>
      </c>
      <c r="AI1103" s="1">
        <v>4.5199999999999996</v>
      </c>
      <c r="AJ1103" s="1">
        <v>183</v>
      </c>
      <c r="AK1103" s="1">
        <v>522</v>
      </c>
    </row>
    <row r="1104" spans="1:38" ht="15.75" customHeight="1">
      <c r="A1104" s="1">
        <v>154</v>
      </c>
      <c r="C1104" s="1">
        <v>4050</v>
      </c>
      <c r="D1104" s="1" t="s">
        <v>38</v>
      </c>
      <c r="E1104" s="1" t="s">
        <v>39</v>
      </c>
      <c r="F1104" s="1" t="s">
        <v>695</v>
      </c>
      <c r="G1104" s="1">
        <v>0</v>
      </c>
      <c r="H1104" s="1" t="s">
        <v>41</v>
      </c>
      <c r="I1104" s="1" t="s">
        <v>13022</v>
      </c>
      <c r="J1104" s="1" t="s">
        <v>13023</v>
      </c>
      <c r="K1104" s="1" t="s">
        <v>13024</v>
      </c>
      <c r="L1104" s="1">
        <v>1</v>
      </c>
      <c r="M1104" s="1">
        <v>0</v>
      </c>
      <c r="N1104" s="1" t="s">
        <v>13025</v>
      </c>
      <c r="O1104" s="1" t="s">
        <v>13026</v>
      </c>
      <c r="P1104" s="1" t="s">
        <v>13027</v>
      </c>
      <c r="Q1104" s="1">
        <v>0</v>
      </c>
      <c r="R1104" s="1" t="s">
        <v>13028</v>
      </c>
      <c r="S1104" s="1" t="s">
        <v>13029</v>
      </c>
      <c r="U1104" s="2">
        <v>56767</v>
      </c>
      <c r="V1104" s="1">
        <v>4.5999999999999996</v>
      </c>
      <c r="W1104" s="1">
        <v>1000</v>
      </c>
      <c r="X1104" s="1">
        <v>2656</v>
      </c>
      <c r="Y1104" s="1">
        <v>2011</v>
      </c>
      <c r="Z1104" s="1">
        <v>196</v>
      </c>
      <c r="AA1104" s="1">
        <v>449</v>
      </c>
      <c r="AB1104" s="1">
        <v>0</v>
      </c>
      <c r="AC1104" s="1">
        <v>1</v>
      </c>
      <c r="AD1104" s="1" t="s">
        <v>76</v>
      </c>
      <c r="AE1104" s="1" t="s">
        <v>13030</v>
      </c>
      <c r="AF1104" s="1" t="s">
        <v>13031</v>
      </c>
      <c r="AG1104" s="1" t="s">
        <v>13032</v>
      </c>
      <c r="AH1104" s="1" t="s">
        <v>13033</v>
      </c>
      <c r="AI1104" s="1">
        <v>4.38</v>
      </c>
      <c r="AJ1104" s="1">
        <v>196</v>
      </c>
      <c r="AK1104" s="1">
        <v>626</v>
      </c>
    </row>
    <row r="1105" spans="1:38" ht="15.75" customHeight="1">
      <c r="A1105" s="1">
        <v>515</v>
      </c>
      <c r="C1105" s="1">
        <v>4001</v>
      </c>
      <c r="D1105" s="1" t="s">
        <v>51</v>
      </c>
      <c r="E1105" s="1" t="s">
        <v>39</v>
      </c>
      <c r="F1105" s="1" t="s">
        <v>232</v>
      </c>
      <c r="G1105" s="1">
        <v>0</v>
      </c>
      <c r="H1105" s="1" t="s">
        <v>53</v>
      </c>
      <c r="I1105" s="1" t="s">
        <v>13034</v>
      </c>
      <c r="J1105" s="1" t="s">
        <v>13035</v>
      </c>
      <c r="K1105" s="1" t="s">
        <v>13036</v>
      </c>
      <c r="L1105" s="1">
        <v>1</v>
      </c>
      <c r="M1105" s="1">
        <v>0</v>
      </c>
      <c r="N1105" s="1" t="s">
        <v>13037</v>
      </c>
      <c r="O1105" s="1" t="s">
        <v>13038</v>
      </c>
      <c r="P1105" s="1" t="s">
        <v>13039</v>
      </c>
      <c r="Q1105" s="1">
        <v>0</v>
      </c>
      <c r="R1105" s="1" t="s">
        <v>13040</v>
      </c>
      <c r="S1105" s="1" t="s">
        <v>13041</v>
      </c>
      <c r="U1105" s="2">
        <v>56769</v>
      </c>
      <c r="V1105" s="1">
        <v>4.4000000000000004</v>
      </c>
      <c r="W1105" s="1">
        <v>1000</v>
      </c>
      <c r="X1105" s="1">
        <v>1328</v>
      </c>
      <c r="Y1105" s="1">
        <v>557</v>
      </c>
      <c r="AA1105" s="1">
        <v>968</v>
      </c>
      <c r="AB1105" s="1">
        <v>0</v>
      </c>
      <c r="AC1105" s="1">
        <v>1</v>
      </c>
      <c r="AD1105" s="1" t="s">
        <v>215</v>
      </c>
      <c r="AE1105" s="1" t="s">
        <v>13042</v>
      </c>
      <c r="AF1105" s="1" t="s">
        <v>13043</v>
      </c>
      <c r="AG1105" s="1" t="s">
        <v>13044</v>
      </c>
      <c r="AH1105" s="1" t="s">
        <v>13045</v>
      </c>
      <c r="AI1105" s="1">
        <v>4.5599999999999996</v>
      </c>
      <c r="AJ1105" s="1">
        <v>765</v>
      </c>
      <c r="AK1105" s="1">
        <v>2618</v>
      </c>
    </row>
    <row r="1106" spans="1:38" ht="15.75" customHeight="1">
      <c r="A1106" s="1">
        <v>1563</v>
      </c>
      <c r="C1106" s="1">
        <v>4001</v>
      </c>
      <c r="D1106" s="1" t="s">
        <v>51</v>
      </c>
      <c r="E1106" s="1" t="s">
        <v>39</v>
      </c>
      <c r="F1106" s="1" t="s">
        <v>4721</v>
      </c>
      <c r="G1106" s="1">
        <v>0</v>
      </c>
      <c r="H1106" s="1" t="s">
        <v>53</v>
      </c>
      <c r="I1106" s="1" t="s">
        <v>13046</v>
      </c>
      <c r="J1106" s="1" t="s">
        <v>13047</v>
      </c>
      <c r="K1106" s="1" t="s">
        <v>13048</v>
      </c>
      <c r="L1106" s="1">
        <v>1</v>
      </c>
      <c r="M1106" s="1">
        <v>0</v>
      </c>
      <c r="N1106" s="1" t="s">
        <v>13049</v>
      </c>
      <c r="O1106" s="1" t="s">
        <v>13050</v>
      </c>
      <c r="P1106" s="1" t="s">
        <v>13051</v>
      </c>
      <c r="Q1106" s="1">
        <v>0</v>
      </c>
      <c r="R1106" s="1" t="s">
        <v>13052</v>
      </c>
      <c r="S1106" s="1" t="s">
        <v>13053</v>
      </c>
      <c r="U1106" s="2">
        <v>56778</v>
      </c>
      <c r="V1106" s="1">
        <v>4.3</v>
      </c>
      <c r="W1106" s="1">
        <v>1000</v>
      </c>
      <c r="X1106" s="1">
        <v>2983</v>
      </c>
      <c r="Y1106" s="1">
        <v>580</v>
      </c>
      <c r="Z1106" s="1">
        <v>1806</v>
      </c>
      <c r="AA1106" s="1">
        <v>597</v>
      </c>
      <c r="AB1106" s="1">
        <v>0</v>
      </c>
      <c r="AC1106" s="1">
        <v>1</v>
      </c>
      <c r="AD1106" s="1" t="s">
        <v>215</v>
      </c>
      <c r="AE1106" s="1" t="s">
        <v>13054</v>
      </c>
      <c r="AF1106" s="1" t="s">
        <v>13055</v>
      </c>
      <c r="AG1106" s="1" t="s">
        <v>13056</v>
      </c>
      <c r="AH1106" s="1" t="s">
        <v>13057</v>
      </c>
      <c r="AI1106" s="1">
        <v>4.4375</v>
      </c>
      <c r="AJ1106" s="1">
        <v>24</v>
      </c>
      <c r="AK1106" s="1">
        <v>65</v>
      </c>
    </row>
    <row r="1107" spans="1:38" ht="15.75" customHeight="1">
      <c r="A1107" s="1">
        <v>316</v>
      </c>
      <c r="B1107" s="1">
        <v>5</v>
      </c>
      <c r="C1107" s="1">
        <v>4050</v>
      </c>
      <c r="D1107" s="1" t="s">
        <v>38</v>
      </c>
      <c r="E1107" s="1" t="s">
        <v>39</v>
      </c>
      <c r="F1107" s="1" t="s">
        <v>486</v>
      </c>
      <c r="G1107" s="1">
        <v>0</v>
      </c>
      <c r="H1107" s="1" t="s">
        <v>41</v>
      </c>
      <c r="I1107" s="1" t="s">
        <v>13058</v>
      </c>
      <c r="J1107" s="1" t="s">
        <v>13059</v>
      </c>
      <c r="K1107" s="1" t="s">
        <v>13060</v>
      </c>
      <c r="L1107" s="1">
        <v>1</v>
      </c>
      <c r="M1107" s="1">
        <v>0</v>
      </c>
      <c r="N1107" s="1" t="s">
        <v>13061</v>
      </c>
      <c r="O1107" s="1" t="s">
        <v>13062</v>
      </c>
      <c r="P1107" s="1" t="s">
        <v>13063</v>
      </c>
      <c r="Q1107" s="1">
        <v>0</v>
      </c>
      <c r="R1107" s="1" t="s">
        <v>13064</v>
      </c>
      <c r="S1107" s="1" t="s">
        <v>13065</v>
      </c>
      <c r="U1107" s="2">
        <v>56768</v>
      </c>
      <c r="V1107" s="1">
        <v>3.3671554330000002</v>
      </c>
      <c r="W1107" s="1">
        <v>1000</v>
      </c>
      <c r="X1107" s="1">
        <v>1376</v>
      </c>
      <c r="Y1107" s="1">
        <v>221</v>
      </c>
      <c r="Z1107" s="1">
        <v>296</v>
      </c>
      <c r="AA1107" s="1">
        <v>859</v>
      </c>
      <c r="AB1107" s="1">
        <v>0</v>
      </c>
      <c r="AC1107" s="1">
        <v>1</v>
      </c>
      <c r="AD1107" s="1" t="s">
        <v>62</v>
      </c>
      <c r="AE1107" s="1" t="s">
        <v>13066</v>
      </c>
      <c r="AF1107" s="1" t="s">
        <v>13067</v>
      </c>
      <c r="AG1107" s="1" t="s">
        <v>13068</v>
      </c>
      <c r="AH1107" s="1" t="s">
        <v>13069</v>
      </c>
      <c r="AI1107" s="1">
        <v>4.7</v>
      </c>
      <c r="AJ1107" s="1">
        <v>212</v>
      </c>
      <c r="AK1107" s="1">
        <v>624</v>
      </c>
      <c r="AL1107" s="1">
        <v>347</v>
      </c>
    </row>
    <row r="1108" spans="1:38" ht="15.75" customHeight="1">
      <c r="A1108" s="1">
        <v>1195</v>
      </c>
      <c r="C1108" s="1">
        <v>4001</v>
      </c>
      <c r="D1108" s="1" t="s">
        <v>51</v>
      </c>
      <c r="E1108" s="1" t="s">
        <v>39</v>
      </c>
      <c r="F1108" s="1" t="s">
        <v>52</v>
      </c>
      <c r="G1108" s="1">
        <v>0</v>
      </c>
      <c r="H1108" s="1" t="s">
        <v>53</v>
      </c>
      <c r="I1108" s="1" t="s">
        <v>13070</v>
      </c>
      <c r="J1108" s="1" t="s">
        <v>13071</v>
      </c>
      <c r="K1108" s="1" t="s">
        <v>13072</v>
      </c>
      <c r="L1108" s="1">
        <v>1</v>
      </c>
      <c r="M1108" s="1">
        <v>0</v>
      </c>
      <c r="N1108" s="1" t="s">
        <v>13073</v>
      </c>
      <c r="O1108" s="1" t="s">
        <v>13074</v>
      </c>
      <c r="P1108" s="1" t="s">
        <v>13075</v>
      </c>
      <c r="Q1108" s="1">
        <v>0</v>
      </c>
      <c r="R1108" s="1" t="s">
        <v>13076</v>
      </c>
      <c r="S1108" s="1" t="s">
        <v>13077</v>
      </c>
      <c r="U1108" s="2">
        <v>56775</v>
      </c>
      <c r="V1108" s="1">
        <v>4.3</v>
      </c>
      <c r="W1108" s="1">
        <v>1000</v>
      </c>
      <c r="X1108" s="1">
        <v>5155</v>
      </c>
      <c r="Y1108" s="1">
        <v>1455</v>
      </c>
      <c r="Z1108" s="1">
        <v>1841</v>
      </c>
      <c r="AA1108" s="1">
        <v>1859</v>
      </c>
      <c r="AB1108" s="1">
        <v>0</v>
      </c>
      <c r="AC1108" s="1">
        <v>1</v>
      </c>
      <c r="AD1108" s="1" t="s">
        <v>76</v>
      </c>
      <c r="AE1108" s="1" t="s">
        <v>13078</v>
      </c>
      <c r="AF1108" s="1" t="s">
        <v>13079</v>
      </c>
      <c r="AG1108" s="1" t="s">
        <v>13080</v>
      </c>
      <c r="AH1108" s="1" t="s">
        <v>13081</v>
      </c>
      <c r="AI1108" s="1">
        <v>4.17</v>
      </c>
      <c r="AJ1108" s="1">
        <v>457</v>
      </c>
      <c r="AK1108" s="1">
        <v>1599</v>
      </c>
    </row>
    <row r="1109" spans="1:38" ht="15.75" customHeight="1">
      <c r="A1109" s="1">
        <v>689</v>
      </c>
      <c r="B1109" s="1">
        <v>5</v>
      </c>
      <c r="C1109" s="1">
        <v>4001</v>
      </c>
      <c r="D1109" s="1" t="s">
        <v>51</v>
      </c>
      <c r="E1109" s="1" t="s">
        <v>39</v>
      </c>
      <c r="F1109" s="1" t="s">
        <v>52</v>
      </c>
      <c r="G1109" s="1">
        <v>0</v>
      </c>
      <c r="H1109" s="1" t="s">
        <v>53</v>
      </c>
      <c r="I1109" s="1" t="s">
        <v>13082</v>
      </c>
      <c r="J1109" s="1" t="s">
        <v>13083</v>
      </c>
      <c r="K1109" s="1" t="s">
        <v>13084</v>
      </c>
      <c r="L1109" s="1">
        <v>1</v>
      </c>
      <c r="M1109" s="1">
        <v>0</v>
      </c>
      <c r="N1109" s="1" t="s">
        <v>13085</v>
      </c>
      <c r="O1109" s="1" t="s">
        <v>13086</v>
      </c>
      <c r="P1109" s="1" t="s">
        <v>13087</v>
      </c>
      <c r="Q1109" s="1">
        <v>0</v>
      </c>
      <c r="R1109" s="1" t="s">
        <v>13088</v>
      </c>
      <c r="S1109" s="1" t="s">
        <v>13089</v>
      </c>
      <c r="U1109" s="2">
        <v>56770</v>
      </c>
      <c r="V1109" s="1">
        <v>3.1049397139999999</v>
      </c>
      <c r="W1109" s="1">
        <v>1000</v>
      </c>
      <c r="X1109" s="1">
        <v>781</v>
      </c>
      <c r="Y1109" s="1">
        <v>485</v>
      </c>
      <c r="Z1109" s="1">
        <v>14</v>
      </c>
      <c r="AA1109" s="1">
        <v>282</v>
      </c>
      <c r="AB1109" s="1">
        <v>0</v>
      </c>
      <c r="AC1109" s="1">
        <v>1</v>
      </c>
      <c r="AD1109" s="1" t="s">
        <v>76</v>
      </c>
      <c r="AE1109" s="1" t="s">
        <v>13090</v>
      </c>
      <c r="AF1109" s="1" t="s">
        <v>13091</v>
      </c>
      <c r="AG1109" s="1" t="s">
        <v>13092</v>
      </c>
      <c r="AH1109" s="1" t="s">
        <v>13093</v>
      </c>
      <c r="AI1109" s="1">
        <v>4.17</v>
      </c>
      <c r="AJ1109" s="1">
        <v>457</v>
      </c>
      <c r="AK1109" s="1">
        <v>1599</v>
      </c>
    </row>
    <row r="1110" spans="1:38" ht="15.75" customHeight="1">
      <c r="A1110" s="1">
        <v>24</v>
      </c>
      <c r="B1110" s="1">
        <v>4</v>
      </c>
      <c r="C1110" s="1">
        <v>4050</v>
      </c>
      <c r="D1110" s="1" t="s">
        <v>38</v>
      </c>
      <c r="E1110" s="1" t="s">
        <v>39</v>
      </c>
      <c r="F1110" s="1" t="s">
        <v>173</v>
      </c>
      <c r="G1110" s="1">
        <v>0</v>
      </c>
      <c r="H1110" s="1" t="s">
        <v>41</v>
      </c>
      <c r="I1110" s="1" t="s">
        <v>13094</v>
      </c>
      <c r="J1110" s="1" t="s">
        <v>13095</v>
      </c>
      <c r="K1110" s="1" t="s">
        <v>13096</v>
      </c>
      <c r="L1110" s="1">
        <v>1</v>
      </c>
      <c r="M1110" s="1">
        <v>0</v>
      </c>
      <c r="N1110" s="1" t="s">
        <v>13097</v>
      </c>
      <c r="O1110" s="1" t="s">
        <v>13098</v>
      </c>
      <c r="P1110" s="1" t="s">
        <v>13099</v>
      </c>
      <c r="Q1110" s="1">
        <v>0</v>
      </c>
      <c r="R1110" s="1" t="s">
        <v>13100</v>
      </c>
      <c r="S1110" s="1" t="s">
        <v>13101</v>
      </c>
      <c r="U1110" s="2">
        <v>56766</v>
      </c>
      <c r="V1110" s="1">
        <v>4.4000000000000004</v>
      </c>
      <c r="W1110" s="1">
        <v>1000</v>
      </c>
      <c r="X1110" s="1">
        <v>2835</v>
      </c>
      <c r="Y1110" s="1">
        <v>1754</v>
      </c>
      <c r="Z1110" s="1">
        <v>264</v>
      </c>
      <c r="AA1110" s="1">
        <v>817</v>
      </c>
      <c r="AB1110" s="1">
        <v>0</v>
      </c>
      <c r="AC1110" s="1">
        <v>1</v>
      </c>
      <c r="AD1110" s="1" t="s">
        <v>76</v>
      </c>
      <c r="AE1110" s="1" t="s">
        <v>13102</v>
      </c>
      <c r="AF1110" s="1" t="s">
        <v>13103</v>
      </c>
      <c r="AG1110" s="1" t="s">
        <v>13104</v>
      </c>
      <c r="AH1110" s="1" t="s">
        <v>13105</v>
      </c>
      <c r="AI1110" s="1">
        <v>4.22</v>
      </c>
      <c r="AJ1110" s="1">
        <v>1551</v>
      </c>
      <c r="AK1110" s="1">
        <v>4625</v>
      </c>
    </row>
    <row r="1111" spans="1:38" ht="15.75" customHeight="1">
      <c r="A1111" s="1">
        <v>589</v>
      </c>
      <c r="C1111" s="1">
        <v>4001</v>
      </c>
      <c r="D1111" s="1" t="s">
        <v>51</v>
      </c>
      <c r="E1111" s="1" t="s">
        <v>39</v>
      </c>
      <c r="F1111" s="1" t="s">
        <v>341</v>
      </c>
      <c r="G1111" s="1">
        <v>0</v>
      </c>
      <c r="H1111" s="1" t="s">
        <v>41</v>
      </c>
      <c r="I1111" s="1" t="s">
        <v>13106</v>
      </c>
      <c r="J1111" s="1" t="s">
        <v>13107</v>
      </c>
      <c r="K1111" s="1" t="s">
        <v>13108</v>
      </c>
      <c r="L1111" s="1">
        <v>1</v>
      </c>
      <c r="M1111" s="1">
        <v>0</v>
      </c>
      <c r="N1111" s="1" t="s">
        <v>13109</v>
      </c>
      <c r="O1111" s="1" t="s">
        <v>13110</v>
      </c>
      <c r="P1111" s="1" t="s">
        <v>13111</v>
      </c>
      <c r="Q1111" s="1">
        <v>0</v>
      </c>
      <c r="R1111" s="1" t="s">
        <v>13112</v>
      </c>
      <c r="S1111" s="1" t="s">
        <v>13113</v>
      </c>
      <c r="U1111" s="2">
        <v>56770</v>
      </c>
      <c r="V1111" s="1">
        <v>3.0240369450000002</v>
      </c>
      <c r="W1111" s="1">
        <v>1000</v>
      </c>
      <c r="X1111" s="1">
        <v>965</v>
      </c>
      <c r="Y1111" s="1">
        <v>313</v>
      </c>
      <c r="Z1111" s="1">
        <v>219</v>
      </c>
      <c r="AA1111" s="1">
        <v>433</v>
      </c>
      <c r="AB1111" s="1">
        <v>0</v>
      </c>
      <c r="AC1111" s="1">
        <v>1</v>
      </c>
      <c r="AD1111" s="1" t="s">
        <v>215</v>
      </c>
      <c r="AE1111" s="1" t="s">
        <v>13114</v>
      </c>
      <c r="AF1111" s="1" t="s">
        <v>13115</v>
      </c>
      <c r="AG1111" s="1" t="s">
        <v>13116</v>
      </c>
      <c r="AH1111" s="1" t="s">
        <v>13117</v>
      </c>
      <c r="AI1111" s="1">
        <v>4.54</v>
      </c>
      <c r="AJ1111" s="1">
        <v>2229</v>
      </c>
      <c r="AK1111" s="1">
        <v>6580</v>
      </c>
    </row>
    <row r="1112" spans="1:38" ht="15.75" customHeight="1">
      <c r="A1112" s="1">
        <v>1342</v>
      </c>
      <c r="B1112" s="1">
        <v>5</v>
      </c>
      <c r="C1112" s="1">
        <v>4001</v>
      </c>
      <c r="D1112" s="1" t="s">
        <v>51</v>
      </c>
      <c r="E1112" s="1" t="s">
        <v>39</v>
      </c>
      <c r="F1112" s="1" t="s">
        <v>648</v>
      </c>
      <c r="G1112" s="1">
        <v>0</v>
      </c>
      <c r="H1112" s="1" t="s">
        <v>53</v>
      </c>
      <c r="I1112" s="1" t="s">
        <v>13118</v>
      </c>
      <c r="J1112" s="1" t="s">
        <v>13119</v>
      </c>
      <c r="K1112" s="1" t="s">
        <v>13120</v>
      </c>
      <c r="L1112" s="1">
        <v>1</v>
      </c>
      <c r="M1112" s="1">
        <v>0</v>
      </c>
      <c r="N1112" s="1" t="s">
        <v>13121</v>
      </c>
      <c r="O1112" s="1" t="s">
        <v>13122</v>
      </c>
      <c r="P1112" s="1" t="s">
        <v>13123</v>
      </c>
      <c r="Q1112" s="1">
        <v>0</v>
      </c>
      <c r="R1112" s="1" t="s">
        <v>13124</v>
      </c>
      <c r="S1112" s="1" t="s">
        <v>13125</v>
      </c>
      <c r="U1112" s="2">
        <v>56776</v>
      </c>
      <c r="V1112" s="1">
        <v>2.856812235</v>
      </c>
      <c r="W1112" s="1">
        <v>1000</v>
      </c>
      <c r="X1112" s="1">
        <v>2282</v>
      </c>
      <c r="Y1112" s="1">
        <v>390</v>
      </c>
      <c r="Z1112" s="1">
        <v>1405</v>
      </c>
      <c r="AA1112" s="1">
        <v>487</v>
      </c>
      <c r="AB1112" s="1">
        <v>1</v>
      </c>
      <c r="AC1112" s="1">
        <v>2</v>
      </c>
      <c r="AE1112" s="1" t="s">
        <v>13126</v>
      </c>
      <c r="AF1112" s="1" t="s">
        <v>13127</v>
      </c>
      <c r="AG1112" s="1" t="s">
        <v>13128</v>
      </c>
      <c r="AH1112" s="1" t="s">
        <v>13129</v>
      </c>
      <c r="AI1112" s="1">
        <v>4.7</v>
      </c>
      <c r="AJ1112" s="1">
        <v>443</v>
      </c>
      <c r="AK1112" s="1">
        <v>1579</v>
      </c>
    </row>
    <row r="1113" spans="1:38" ht="15.75" customHeight="1">
      <c r="A1113" s="1">
        <v>262</v>
      </c>
      <c r="B1113" s="1">
        <v>5</v>
      </c>
      <c r="C1113" s="1">
        <v>4050</v>
      </c>
      <c r="D1113" s="1" t="s">
        <v>38</v>
      </c>
      <c r="E1113" s="1" t="s">
        <v>39</v>
      </c>
      <c r="F1113" s="1" t="s">
        <v>280</v>
      </c>
      <c r="G1113" s="1">
        <v>0</v>
      </c>
      <c r="H1113" s="1" t="s">
        <v>41</v>
      </c>
      <c r="I1113" s="1" t="s">
        <v>13130</v>
      </c>
      <c r="J1113" s="1" t="s">
        <v>13131</v>
      </c>
      <c r="K1113" s="1" t="s">
        <v>13132</v>
      </c>
      <c r="L1113" s="1">
        <v>1</v>
      </c>
      <c r="M1113" s="1">
        <v>0</v>
      </c>
      <c r="N1113" s="1" t="s">
        <v>13133</v>
      </c>
      <c r="O1113" s="1" t="s">
        <v>13134</v>
      </c>
      <c r="P1113" s="1" t="s">
        <v>13135</v>
      </c>
      <c r="Q1113" s="1">
        <v>0</v>
      </c>
      <c r="R1113" s="1" t="s">
        <v>13136</v>
      </c>
      <c r="U1113" s="2">
        <v>56768</v>
      </c>
      <c r="V1113" s="1">
        <v>4.4000000000000004</v>
      </c>
      <c r="W1113" s="1">
        <v>1000</v>
      </c>
      <c r="X1113" s="1">
        <v>2217</v>
      </c>
      <c r="AA1113" s="1">
        <v>789</v>
      </c>
      <c r="AB1113" s="1">
        <v>0</v>
      </c>
      <c r="AC1113" s="1">
        <v>1</v>
      </c>
      <c r="AE1113" s="1" t="s">
        <v>13137</v>
      </c>
      <c r="AF1113" s="1" t="s">
        <v>13138</v>
      </c>
      <c r="AG1113" s="1" t="s">
        <v>13139</v>
      </c>
      <c r="AI1113" s="1">
        <v>4.49</v>
      </c>
      <c r="AJ1113" s="1">
        <v>2315</v>
      </c>
      <c r="AK1113" s="1">
        <v>7039</v>
      </c>
      <c r="AL1113" s="1">
        <v>763</v>
      </c>
    </row>
    <row r="1114" spans="1:38" ht="15.75" customHeight="1">
      <c r="A1114" s="1">
        <v>542</v>
      </c>
      <c r="B1114" s="1">
        <v>5</v>
      </c>
      <c r="C1114" s="1">
        <v>4001</v>
      </c>
      <c r="D1114" s="1" t="s">
        <v>51</v>
      </c>
      <c r="E1114" s="1" t="s">
        <v>39</v>
      </c>
      <c r="F1114" s="1" t="s">
        <v>67</v>
      </c>
      <c r="G1114" s="1">
        <v>0</v>
      </c>
      <c r="H1114" s="1" t="s">
        <v>41</v>
      </c>
      <c r="I1114" s="1" t="s">
        <v>13140</v>
      </c>
      <c r="J1114" s="1" t="s">
        <v>13141</v>
      </c>
      <c r="K1114" s="1" t="s">
        <v>13142</v>
      </c>
      <c r="L1114" s="1">
        <v>1</v>
      </c>
      <c r="M1114" s="1">
        <v>0</v>
      </c>
      <c r="N1114" s="1" t="s">
        <v>13143</v>
      </c>
      <c r="O1114" s="1" t="s">
        <v>13144</v>
      </c>
      <c r="P1114" s="1" t="s">
        <v>13145</v>
      </c>
      <c r="Q1114" s="1">
        <v>0</v>
      </c>
      <c r="R1114" s="1" t="s">
        <v>13146</v>
      </c>
      <c r="S1114" s="1" t="s">
        <v>13147</v>
      </c>
      <c r="U1114" s="2">
        <v>56770</v>
      </c>
      <c r="V1114" s="1">
        <v>2.9691438730000002</v>
      </c>
      <c r="W1114" s="1">
        <v>1000</v>
      </c>
      <c r="X1114" s="1">
        <v>2336</v>
      </c>
      <c r="Y1114" s="1">
        <v>992</v>
      </c>
      <c r="Z1114" s="1">
        <v>510</v>
      </c>
      <c r="AA1114" s="1">
        <v>834</v>
      </c>
      <c r="AB1114" s="1">
        <v>0</v>
      </c>
      <c r="AC1114" s="1">
        <v>2</v>
      </c>
      <c r="AD1114" s="1" t="s">
        <v>215</v>
      </c>
      <c r="AE1114" s="1" t="s">
        <v>13148</v>
      </c>
      <c r="AF1114" s="1" t="s">
        <v>13149</v>
      </c>
      <c r="AG1114" s="1" t="s">
        <v>13150</v>
      </c>
      <c r="AH1114" s="1" t="s">
        <v>13151</v>
      </c>
      <c r="AI1114" s="1">
        <v>3.82</v>
      </c>
      <c r="AJ1114" s="1">
        <v>174</v>
      </c>
      <c r="AK1114" s="1">
        <v>773</v>
      </c>
    </row>
    <row r="1115" spans="1:38" ht="15.75" customHeight="1">
      <c r="A1115" s="1">
        <v>1352</v>
      </c>
      <c r="B1115" s="1">
        <v>5</v>
      </c>
      <c r="C1115" s="1">
        <v>4001</v>
      </c>
      <c r="D1115" s="1" t="s">
        <v>51</v>
      </c>
      <c r="E1115" s="1" t="s">
        <v>39</v>
      </c>
      <c r="F1115" s="1" t="s">
        <v>1915</v>
      </c>
      <c r="G1115" s="1">
        <v>0</v>
      </c>
      <c r="H1115" s="1" t="s">
        <v>53</v>
      </c>
      <c r="I1115" s="1" t="s">
        <v>13152</v>
      </c>
      <c r="J1115" s="1" t="s">
        <v>13153</v>
      </c>
      <c r="K1115" s="1" t="s">
        <v>13154</v>
      </c>
      <c r="L1115" s="1">
        <v>1</v>
      </c>
      <c r="M1115" s="1">
        <v>0</v>
      </c>
      <c r="N1115" s="1" t="s">
        <v>13155</v>
      </c>
      <c r="O1115" s="1" t="s">
        <v>13156</v>
      </c>
      <c r="P1115" s="1" t="s">
        <v>13157</v>
      </c>
      <c r="Q1115" s="1">
        <v>0</v>
      </c>
      <c r="R1115" s="1" t="s">
        <v>13158</v>
      </c>
      <c r="S1115" s="1" t="s">
        <v>13159</v>
      </c>
      <c r="U1115" s="2">
        <v>56776</v>
      </c>
      <c r="V1115" s="1">
        <v>3.7333313459999999</v>
      </c>
      <c r="W1115" s="1">
        <v>1000</v>
      </c>
      <c r="X1115" s="1">
        <v>2312</v>
      </c>
      <c r="Y1115" s="1">
        <v>490</v>
      </c>
      <c r="Z1115" s="1">
        <v>354</v>
      </c>
      <c r="AA1115" s="1">
        <v>1468</v>
      </c>
      <c r="AB1115" s="1">
        <v>0</v>
      </c>
      <c r="AC1115" s="1">
        <v>2</v>
      </c>
      <c r="AE1115" s="1" t="s">
        <v>13160</v>
      </c>
      <c r="AF1115" s="1" t="s">
        <v>13161</v>
      </c>
      <c r="AG1115" s="1" t="s">
        <v>13162</v>
      </c>
      <c r="AH1115" s="1" t="s">
        <v>13163</v>
      </c>
      <c r="AI1115" s="1">
        <v>4.63</v>
      </c>
      <c r="AJ1115" s="1">
        <v>242</v>
      </c>
      <c r="AK1115" s="1">
        <v>736</v>
      </c>
    </row>
    <row r="1116" spans="1:38" ht="15.75" customHeight="1">
      <c r="A1116" s="1">
        <v>1362</v>
      </c>
      <c r="B1116" s="1">
        <v>5</v>
      </c>
      <c r="C1116" s="1">
        <v>4001</v>
      </c>
      <c r="D1116" s="1" t="s">
        <v>51</v>
      </c>
      <c r="E1116" s="1" t="s">
        <v>39</v>
      </c>
      <c r="F1116" s="1" t="s">
        <v>1915</v>
      </c>
      <c r="G1116" s="1">
        <v>0</v>
      </c>
      <c r="H1116" s="1" t="s">
        <v>53</v>
      </c>
      <c r="I1116" s="1" t="s">
        <v>13164</v>
      </c>
      <c r="J1116" s="1" t="s">
        <v>13165</v>
      </c>
      <c r="K1116" s="1" t="s">
        <v>13166</v>
      </c>
      <c r="L1116" s="1">
        <v>1</v>
      </c>
      <c r="M1116" s="1">
        <v>0</v>
      </c>
      <c r="N1116" s="1" t="s">
        <v>13167</v>
      </c>
      <c r="O1116" s="1" t="s">
        <v>13168</v>
      </c>
      <c r="P1116" s="1" t="s">
        <v>13169</v>
      </c>
      <c r="Q1116" s="1">
        <v>0</v>
      </c>
      <c r="R1116" s="1" t="s">
        <v>13170</v>
      </c>
      <c r="S1116" s="1" t="s">
        <v>13171</v>
      </c>
      <c r="U1116" s="2">
        <v>56776</v>
      </c>
      <c r="V1116" s="1">
        <v>2.4954501520000001</v>
      </c>
      <c r="W1116" s="1">
        <v>1000</v>
      </c>
      <c r="X1116" s="1">
        <v>3555</v>
      </c>
      <c r="Y1116" s="1">
        <v>1850</v>
      </c>
      <c r="Z1116" s="1">
        <v>260</v>
      </c>
      <c r="AA1116" s="1">
        <v>1445</v>
      </c>
      <c r="AB1116" s="1">
        <v>0</v>
      </c>
      <c r="AC1116" s="1">
        <v>2</v>
      </c>
      <c r="AE1116" s="1" t="s">
        <v>13172</v>
      </c>
      <c r="AF1116" s="1" t="s">
        <v>13173</v>
      </c>
      <c r="AG1116" s="1" t="s">
        <v>13174</v>
      </c>
      <c r="AH1116" s="1" t="s">
        <v>13175</v>
      </c>
      <c r="AI1116" s="1">
        <v>4.63</v>
      </c>
      <c r="AJ1116" s="1">
        <v>242</v>
      </c>
      <c r="AK1116" s="1">
        <v>736</v>
      </c>
    </row>
    <row r="1117" spans="1:38" ht="15.75" customHeight="1">
      <c r="A1117" s="1">
        <v>1196</v>
      </c>
      <c r="C1117" s="1">
        <v>4001</v>
      </c>
      <c r="D1117" s="1" t="s">
        <v>51</v>
      </c>
      <c r="E1117" s="1" t="s">
        <v>39</v>
      </c>
      <c r="F1117" s="1" t="s">
        <v>341</v>
      </c>
      <c r="G1117" s="1">
        <v>0</v>
      </c>
      <c r="H1117" s="1" t="s">
        <v>41</v>
      </c>
      <c r="I1117" s="1" t="s">
        <v>13176</v>
      </c>
      <c r="J1117" s="1" t="s">
        <v>13177</v>
      </c>
      <c r="K1117" s="1" t="s">
        <v>13178</v>
      </c>
      <c r="L1117" s="1">
        <v>1</v>
      </c>
      <c r="M1117" s="1">
        <v>0</v>
      </c>
      <c r="N1117" s="1" t="s">
        <v>13179</v>
      </c>
      <c r="O1117" s="1" t="s">
        <v>13180</v>
      </c>
      <c r="P1117" s="1" t="s">
        <v>13181</v>
      </c>
      <c r="Q1117" s="1">
        <v>0</v>
      </c>
      <c r="R1117" s="1" t="s">
        <v>13182</v>
      </c>
      <c r="S1117" s="1" t="s">
        <v>13183</v>
      </c>
      <c r="U1117" s="2">
        <v>56775</v>
      </c>
      <c r="V1117" s="1">
        <v>4.2</v>
      </c>
      <c r="W1117" s="1">
        <v>1000</v>
      </c>
      <c r="X1117" s="1">
        <v>1342</v>
      </c>
      <c r="Y1117" s="1">
        <v>94</v>
      </c>
      <c r="Z1117" s="1">
        <v>483</v>
      </c>
      <c r="AA1117" s="1">
        <v>765</v>
      </c>
      <c r="AB1117" s="1">
        <v>0</v>
      </c>
      <c r="AC1117" s="1">
        <v>4</v>
      </c>
      <c r="AD1117" s="1" t="s">
        <v>62</v>
      </c>
      <c r="AE1117" s="1" t="s">
        <v>13184</v>
      </c>
      <c r="AF1117" s="1" t="s">
        <v>13185</v>
      </c>
      <c r="AG1117" s="1" t="s">
        <v>13186</v>
      </c>
      <c r="AH1117" s="1" t="s">
        <v>13187</v>
      </c>
      <c r="AI1117" s="1">
        <v>4.54</v>
      </c>
      <c r="AJ1117" s="1">
        <v>2229</v>
      </c>
      <c r="AK1117" s="1">
        <v>6580</v>
      </c>
    </row>
    <row r="1118" spans="1:38" ht="15.75" customHeight="1">
      <c r="A1118" s="1">
        <v>865</v>
      </c>
      <c r="B1118" s="1">
        <v>1</v>
      </c>
      <c r="C1118" s="1">
        <v>4001</v>
      </c>
      <c r="D1118" s="1" t="s">
        <v>51</v>
      </c>
      <c r="E1118" s="1" t="s">
        <v>39</v>
      </c>
      <c r="F1118" s="1" t="s">
        <v>67</v>
      </c>
      <c r="G1118" s="1">
        <v>0</v>
      </c>
      <c r="H1118" s="1" t="s">
        <v>41</v>
      </c>
      <c r="I1118" s="1" t="s">
        <v>13188</v>
      </c>
      <c r="J1118" s="1" t="s">
        <v>13189</v>
      </c>
      <c r="K1118" s="1" t="s">
        <v>13190</v>
      </c>
      <c r="L1118" s="1">
        <v>1</v>
      </c>
      <c r="M1118" s="1">
        <v>0</v>
      </c>
      <c r="N1118" s="1" t="s">
        <v>13191</v>
      </c>
      <c r="O1118" s="1" t="s">
        <v>13192</v>
      </c>
      <c r="P1118" s="1" t="s">
        <v>13193</v>
      </c>
      <c r="Q1118" s="1">
        <v>0</v>
      </c>
      <c r="R1118" s="1" t="s">
        <v>13194</v>
      </c>
      <c r="S1118" s="1" t="s">
        <v>13195</v>
      </c>
      <c r="U1118" s="2">
        <v>56772</v>
      </c>
      <c r="V1118" s="1">
        <v>3.6290344889999999</v>
      </c>
      <c r="W1118" s="1">
        <v>1000</v>
      </c>
      <c r="X1118" s="1">
        <v>4818</v>
      </c>
      <c r="Y1118" s="1">
        <v>3541</v>
      </c>
      <c r="Z1118" s="1">
        <v>332</v>
      </c>
      <c r="AA1118" s="1">
        <v>945</v>
      </c>
      <c r="AB1118" s="1">
        <v>0</v>
      </c>
      <c r="AC1118" s="1">
        <v>1</v>
      </c>
      <c r="AD1118" s="1" t="s">
        <v>76</v>
      </c>
      <c r="AE1118" s="1" t="s">
        <v>13196</v>
      </c>
      <c r="AF1118" s="1" t="s">
        <v>13197</v>
      </c>
      <c r="AG1118" s="1" t="s">
        <v>13198</v>
      </c>
      <c r="AH1118" s="1" t="s">
        <v>13199</v>
      </c>
      <c r="AI1118" s="1">
        <v>3.82</v>
      </c>
      <c r="AJ1118" s="1">
        <v>174</v>
      </c>
      <c r="AK1118" s="1">
        <v>773</v>
      </c>
    </row>
    <row r="1119" spans="1:38" ht="15.75" customHeight="1">
      <c r="A1119" s="1">
        <v>829</v>
      </c>
      <c r="B1119" s="1">
        <v>5</v>
      </c>
      <c r="C1119" s="1">
        <v>4050</v>
      </c>
      <c r="D1119" s="1" t="s">
        <v>38</v>
      </c>
      <c r="E1119" s="1" t="s">
        <v>39</v>
      </c>
      <c r="F1119" s="1" t="s">
        <v>1372</v>
      </c>
      <c r="G1119" s="1">
        <v>0</v>
      </c>
      <c r="H1119" s="1" t="s">
        <v>41</v>
      </c>
      <c r="I1119" s="1" t="s">
        <v>13200</v>
      </c>
      <c r="J1119" s="1" t="s">
        <v>13201</v>
      </c>
      <c r="K1119" s="1" t="s">
        <v>13202</v>
      </c>
      <c r="L1119" s="1">
        <v>1</v>
      </c>
      <c r="M1119" s="1">
        <v>0</v>
      </c>
      <c r="N1119" s="1" t="s">
        <v>13203</v>
      </c>
      <c r="O1119" s="1" t="s">
        <v>13204</v>
      </c>
      <c r="P1119" s="1" t="s">
        <v>13205</v>
      </c>
      <c r="Q1119" s="1">
        <v>0</v>
      </c>
      <c r="R1119" s="1" t="s">
        <v>13206</v>
      </c>
      <c r="U1119" s="2">
        <v>56772</v>
      </c>
      <c r="V1119" s="1">
        <v>3.3899669370000001</v>
      </c>
      <c r="W1119" s="1">
        <v>1000</v>
      </c>
      <c r="X1119" s="1">
        <v>2097</v>
      </c>
      <c r="AA1119" s="1">
        <v>1711</v>
      </c>
      <c r="AB1119" s="1">
        <v>0</v>
      </c>
      <c r="AC1119" s="1">
        <v>2</v>
      </c>
      <c r="AE1119" s="1" t="s">
        <v>13207</v>
      </c>
      <c r="AF1119" s="1" t="s">
        <v>13208</v>
      </c>
      <c r="AG1119" s="1" t="s">
        <v>13209</v>
      </c>
      <c r="AI1119" s="1">
        <v>4.4111111110000003</v>
      </c>
      <c r="AJ1119" s="1">
        <v>68</v>
      </c>
      <c r="AK1119" s="1">
        <v>223</v>
      </c>
      <c r="AL1119" s="1">
        <v>118</v>
      </c>
    </row>
    <row r="1120" spans="1:38" ht="15.75" customHeight="1">
      <c r="A1120" s="1">
        <v>557</v>
      </c>
      <c r="C1120" s="1">
        <v>4050</v>
      </c>
      <c r="D1120" s="1" t="s">
        <v>38</v>
      </c>
      <c r="E1120" s="1" t="s">
        <v>39</v>
      </c>
      <c r="F1120" s="1" t="s">
        <v>510</v>
      </c>
      <c r="G1120" s="1">
        <v>0</v>
      </c>
      <c r="H1120" s="1" t="s">
        <v>41</v>
      </c>
      <c r="I1120" s="1" t="s">
        <v>13210</v>
      </c>
      <c r="J1120" s="1" t="s">
        <v>13211</v>
      </c>
      <c r="K1120" s="1" t="s">
        <v>13212</v>
      </c>
      <c r="L1120" s="1">
        <v>1</v>
      </c>
      <c r="M1120" s="1">
        <v>0</v>
      </c>
      <c r="N1120" s="1" t="s">
        <v>13213</v>
      </c>
      <c r="O1120" s="1" t="s">
        <v>13214</v>
      </c>
      <c r="P1120" s="1" t="s">
        <v>13215</v>
      </c>
      <c r="Q1120" s="1">
        <v>0</v>
      </c>
      <c r="R1120" s="1" t="s">
        <v>13216</v>
      </c>
      <c r="S1120" s="1" t="s">
        <v>13217</v>
      </c>
      <c r="U1120" s="2">
        <v>56770</v>
      </c>
      <c r="V1120" s="1">
        <v>4.4000000000000004</v>
      </c>
      <c r="W1120" s="1">
        <v>1000</v>
      </c>
      <c r="X1120" s="1">
        <v>1675</v>
      </c>
      <c r="Y1120" s="1">
        <v>333</v>
      </c>
      <c r="Z1120" s="1">
        <v>365</v>
      </c>
      <c r="AA1120" s="1">
        <v>977</v>
      </c>
      <c r="AB1120" s="1">
        <v>0</v>
      </c>
      <c r="AC1120" s="1">
        <v>1</v>
      </c>
      <c r="AD1120" s="1" t="s">
        <v>215</v>
      </c>
      <c r="AE1120" s="1" t="s">
        <v>13218</v>
      </c>
      <c r="AF1120" s="1" t="s">
        <v>13219</v>
      </c>
      <c r="AG1120" s="1" t="s">
        <v>13220</v>
      </c>
      <c r="AH1120" s="1" t="s">
        <v>13221</v>
      </c>
      <c r="AI1120" s="1">
        <v>4.62</v>
      </c>
      <c r="AJ1120" s="1">
        <v>259</v>
      </c>
      <c r="AK1120" s="1">
        <v>604</v>
      </c>
      <c r="AL1120" s="1">
        <v>21</v>
      </c>
    </row>
    <row r="1121" spans="1:38" ht="15.75" customHeight="1">
      <c r="A1121" s="1">
        <v>1300</v>
      </c>
      <c r="C1121" s="1">
        <v>4001</v>
      </c>
      <c r="D1121" s="1" t="s">
        <v>51</v>
      </c>
      <c r="E1121" s="1" t="s">
        <v>39</v>
      </c>
      <c r="F1121" s="1" t="s">
        <v>341</v>
      </c>
      <c r="G1121" s="1">
        <v>0</v>
      </c>
      <c r="H1121" s="1" t="s">
        <v>41</v>
      </c>
      <c r="I1121" s="1" t="s">
        <v>13222</v>
      </c>
      <c r="J1121" s="1" t="s">
        <v>13223</v>
      </c>
      <c r="K1121" s="1" t="s">
        <v>13224</v>
      </c>
      <c r="L1121" s="1">
        <v>1</v>
      </c>
      <c r="M1121" s="1">
        <v>0</v>
      </c>
      <c r="N1121" s="1" t="s">
        <v>13225</v>
      </c>
      <c r="O1121" s="1" t="s">
        <v>13226</v>
      </c>
      <c r="P1121" s="1" t="s">
        <v>13227</v>
      </c>
      <c r="Q1121" s="1">
        <v>0</v>
      </c>
      <c r="R1121" s="1" t="s">
        <v>13228</v>
      </c>
      <c r="S1121" s="1" t="s">
        <v>13229</v>
      </c>
      <c r="U1121" s="2">
        <v>56776</v>
      </c>
      <c r="V1121" s="1">
        <v>4.4000000000000004</v>
      </c>
      <c r="W1121" s="1">
        <v>1000</v>
      </c>
      <c r="X1121" s="1">
        <v>1701</v>
      </c>
      <c r="Y1121" s="1">
        <v>318</v>
      </c>
      <c r="Z1121" s="1">
        <v>244</v>
      </c>
      <c r="AA1121" s="1">
        <v>1139</v>
      </c>
      <c r="AB1121" s="1">
        <v>0</v>
      </c>
      <c r="AC1121" s="1">
        <v>1</v>
      </c>
      <c r="AE1121" s="1" t="s">
        <v>13230</v>
      </c>
      <c r="AF1121" s="1" t="s">
        <v>13231</v>
      </c>
      <c r="AG1121" s="1" t="s">
        <v>13232</v>
      </c>
      <c r="AH1121" s="1" t="s">
        <v>13233</v>
      </c>
      <c r="AI1121" s="1">
        <v>4.54</v>
      </c>
      <c r="AJ1121" s="1">
        <v>2229</v>
      </c>
      <c r="AK1121" s="1">
        <v>6580</v>
      </c>
    </row>
    <row r="1122" spans="1:38" ht="15.75" customHeight="1">
      <c r="A1122" s="1">
        <v>1571</v>
      </c>
      <c r="B1122" s="1">
        <v>5</v>
      </c>
      <c r="C1122" s="1">
        <v>4001</v>
      </c>
      <c r="D1122" s="1" t="s">
        <v>51</v>
      </c>
      <c r="E1122" s="1" t="s">
        <v>39</v>
      </c>
      <c r="F1122" s="1" t="s">
        <v>3239</v>
      </c>
      <c r="G1122" s="1">
        <v>0</v>
      </c>
      <c r="H1122" s="1" t="s">
        <v>53</v>
      </c>
      <c r="I1122" s="1" t="s">
        <v>13234</v>
      </c>
      <c r="J1122" s="1" t="s">
        <v>13235</v>
      </c>
      <c r="K1122" s="1" t="s">
        <v>13236</v>
      </c>
      <c r="L1122" s="1">
        <v>1</v>
      </c>
      <c r="M1122" s="1">
        <v>0</v>
      </c>
      <c r="N1122" s="1" t="s">
        <v>13237</v>
      </c>
      <c r="O1122" s="1" t="s">
        <v>13238</v>
      </c>
      <c r="P1122" s="1" t="s">
        <v>13239</v>
      </c>
      <c r="Q1122" s="1">
        <v>0</v>
      </c>
      <c r="R1122" s="1" t="s">
        <v>13240</v>
      </c>
      <c r="S1122" s="1" t="s">
        <v>13241</v>
      </c>
      <c r="U1122" s="2">
        <v>56778</v>
      </c>
      <c r="V1122" s="1">
        <v>4.7</v>
      </c>
      <c r="W1122" s="1">
        <v>850</v>
      </c>
      <c r="X1122" s="1">
        <v>2406</v>
      </c>
      <c r="Y1122" s="1">
        <v>1514</v>
      </c>
      <c r="Z1122" s="1">
        <v>50</v>
      </c>
      <c r="AA1122" s="1">
        <v>842</v>
      </c>
      <c r="AB1122" s="1">
        <v>0</v>
      </c>
      <c r="AC1122" s="1">
        <v>1</v>
      </c>
      <c r="AD1122" s="1" t="s">
        <v>76</v>
      </c>
      <c r="AE1122" s="1" t="s">
        <v>13242</v>
      </c>
      <c r="AF1122" s="1" t="s">
        <v>13243</v>
      </c>
      <c r="AG1122" s="1" t="s">
        <v>13244</v>
      </c>
      <c r="AH1122" s="1" t="s">
        <v>13245</v>
      </c>
      <c r="AI1122" s="1">
        <v>4.505263158</v>
      </c>
      <c r="AJ1122" s="1">
        <v>79</v>
      </c>
      <c r="AK1122" s="1">
        <v>248</v>
      </c>
      <c r="AL1122" s="1">
        <v>2</v>
      </c>
    </row>
    <row r="1123" spans="1:38" ht="15.75" customHeight="1">
      <c r="A1123" s="1">
        <v>1388</v>
      </c>
      <c r="C1123" s="1">
        <v>4001</v>
      </c>
      <c r="D1123" s="1" t="s">
        <v>51</v>
      </c>
      <c r="E1123" s="1" t="s">
        <v>39</v>
      </c>
      <c r="F1123" s="1" t="s">
        <v>414</v>
      </c>
      <c r="G1123" s="1">
        <v>0</v>
      </c>
      <c r="H1123" s="1" t="s">
        <v>53</v>
      </c>
      <c r="I1123" s="1" t="s">
        <v>13246</v>
      </c>
      <c r="J1123" s="1" t="s">
        <v>13247</v>
      </c>
      <c r="K1123" s="1" t="s">
        <v>13248</v>
      </c>
      <c r="L1123" s="1">
        <v>1</v>
      </c>
      <c r="M1123" s="1">
        <v>0</v>
      </c>
      <c r="N1123" s="1" t="s">
        <v>13249</v>
      </c>
      <c r="O1123" s="1" t="s">
        <v>13250</v>
      </c>
      <c r="P1123" s="1" t="s">
        <v>13251</v>
      </c>
      <c r="Q1123" s="1">
        <v>0</v>
      </c>
      <c r="R1123" s="1" t="s">
        <v>13252</v>
      </c>
      <c r="S1123" s="1" t="s">
        <v>13253</v>
      </c>
      <c r="U1123" s="2">
        <v>56777</v>
      </c>
      <c r="V1123" s="1">
        <v>4.5</v>
      </c>
      <c r="W1123" s="1">
        <v>850</v>
      </c>
      <c r="X1123" s="1">
        <v>2946</v>
      </c>
      <c r="Y1123" s="1">
        <v>804</v>
      </c>
      <c r="Z1123" s="1">
        <v>1031</v>
      </c>
      <c r="AA1123" s="1">
        <v>1111</v>
      </c>
      <c r="AB1123" s="1">
        <v>0</v>
      </c>
      <c r="AC1123" s="1">
        <v>1</v>
      </c>
      <c r="AD1123" s="1" t="s">
        <v>215</v>
      </c>
      <c r="AE1123" s="1" t="s">
        <v>13254</v>
      </c>
      <c r="AF1123" s="1" t="s">
        <v>13255</v>
      </c>
      <c r="AG1123" s="1" t="s">
        <v>13256</v>
      </c>
      <c r="AH1123" s="1" t="s">
        <v>13257</v>
      </c>
      <c r="AI1123" s="1">
        <v>4.58</v>
      </c>
      <c r="AJ1123" s="1">
        <v>254</v>
      </c>
      <c r="AK1123" s="1">
        <v>788</v>
      </c>
      <c r="AL1123" s="1">
        <v>9</v>
      </c>
    </row>
    <row r="1124" spans="1:38" ht="15.75" customHeight="1">
      <c r="A1124" s="1">
        <v>1562</v>
      </c>
      <c r="C1124" s="1">
        <v>4001</v>
      </c>
      <c r="D1124" s="1" t="s">
        <v>51</v>
      </c>
      <c r="E1124" s="1" t="s">
        <v>39</v>
      </c>
      <c r="F1124" s="1" t="s">
        <v>341</v>
      </c>
      <c r="G1124" s="1">
        <v>0</v>
      </c>
      <c r="H1124" s="1" t="s">
        <v>41</v>
      </c>
      <c r="I1124" s="1" t="s">
        <v>13258</v>
      </c>
      <c r="J1124" s="1" t="s">
        <v>13259</v>
      </c>
      <c r="K1124" s="1" t="s">
        <v>13260</v>
      </c>
      <c r="L1124" s="1">
        <v>1</v>
      </c>
      <c r="M1124" s="1">
        <v>0</v>
      </c>
      <c r="N1124" s="1" t="s">
        <v>13261</v>
      </c>
      <c r="O1124" s="1" t="s">
        <v>13262</v>
      </c>
      <c r="P1124" s="1" t="s">
        <v>13263</v>
      </c>
      <c r="Q1124" s="1">
        <v>0</v>
      </c>
      <c r="R1124" s="1" t="s">
        <v>13264</v>
      </c>
      <c r="S1124" s="1" t="s">
        <v>13265</v>
      </c>
      <c r="U1124" s="2">
        <v>56778</v>
      </c>
      <c r="V1124" s="1">
        <v>3.4150637110000002</v>
      </c>
      <c r="W1124" s="1">
        <v>850</v>
      </c>
      <c r="X1124" s="1">
        <v>1210</v>
      </c>
      <c r="Y1124" s="1">
        <v>250</v>
      </c>
      <c r="Z1124" s="1">
        <v>151</v>
      </c>
      <c r="AA1124" s="1">
        <v>809</v>
      </c>
      <c r="AB1124" s="1">
        <v>0</v>
      </c>
      <c r="AC1124" s="1">
        <v>1</v>
      </c>
      <c r="AD1124" s="1" t="s">
        <v>215</v>
      </c>
      <c r="AE1124" s="1" t="s">
        <v>13266</v>
      </c>
      <c r="AF1124" s="1" t="s">
        <v>13267</v>
      </c>
      <c r="AG1124" s="1" t="s">
        <v>13268</v>
      </c>
      <c r="AH1124" s="1" t="s">
        <v>13269</v>
      </c>
      <c r="AI1124" s="1">
        <v>4.54</v>
      </c>
      <c r="AJ1124" s="1">
        <v>2229</v>
      </c>
      <c r="AK1124" s="1">
        <v>6580</v>
      </c>
    </row>
    <row r="1125" spans="1:38" ht="15.75" customHeight="1">
      <c r="A1125" s="1">
        <v>941</v>
      </c>
      <c r="C1125" s="1">
        <v>4001</v>
      </c>
      <c r="D1125" s="1" t="s">
        <v>51</v>
      </c>
      <c r="E1125" s="1" t="s">
        <v>39</v>
      </c>
      <c r="F1125" s="1" t="s">
        <v>305</v>
      </c>
      <c r="G1125" s="1">
        <v>0</v>
      </c>
      <c r="H1125" s="1" t="s">
        <v>53</v>
      </c>
      <c r="I1125" s="1" t="s">
        <v>13270</v>
      </c>
      <c r="J1125" s="1" t="s">
        <v>13271</v>
      </c>
      <c r="K1125" s="1" t="s">
        <v>13272</v>
      </c>
      <c r="L1125" s="1">
        <v>1</v>
      </c>
      <c r="M1125" s="1">
        <v>0</v>
      </c>
      <c r="N1125" s="1" t="s">
        <v>13273</v>
      </c>
      <c r="O1125" s="1" t="s">
        <v>13274</v>
      </c>
      <c r="P1125" s="1" t="s">
        <v>13275</v>
      </c>
      <c r="Q1125" s="1">
        <v>0</v>
      </c>
      <c r="R1125" s="1" t="s">
        <v>13276</v>
      </c>
      <c r="S1125" s="1" t="s">
        <v>13277</v>
      </c>
      <c r="U1125" s="2">
        <v>56773</v>
      </c>
      <c r="V1125" s="1">
        <v>4.5</v>
      </c>
      <c r="W1125" s="1">
        <v>850</v>
      </c>
      <c r="X1125" s="1">
        <v>1074</v>
      </c>
      <c r="Y1125" s="1">
        <v>168</v>
      </c>
      <c r="Z1125" s="1">
        <v>229</v>
      </c>
      <c r="AA1125" s="1">
        <v>677</v>
      </c>
      <c r="AB1125" s="1">
        <v>0</v>
      </c>
      <c r="AC1125" s="1">
        <v>2</v>
      </c>
      <c r="AD1125" s="1" t="s">
        <v>62</v>
      </c>
      <c r="AE1125" s="1" t="s">
        <v>13278</v>
      </c>
      <c r="AF1125" s="1" t="s">
        <v>13279</v>
      </c>
      <c r="AG1125" s="1" t="s">
        <v>13280</v>
      </c>
      <c r="AH1125" s="1" t="s">
        <v>13281</v>
      </c>
      <c r="AI1125" s="1">
        <v>4.5199999999999996</v>
      </c>
      <c r="AJ1125" s="1">
        <v>183</v>
      </c>
      <c r="AK1125" s="1">
        <v>522</v>
      </c>
    </row>
    <row r="1126" spans="1:38" ht="15.75" customHeight="1">
      <c r="A1126" s="1">
        <v>257</v>
      </c>
      <c r="B1126" s="1">
        <v>5</v>
      </c>
      <c r="C1126" s="1">
        <v>4050</v>
      </c>
      <c r="D1126" s="1" t="s">
        <v>38</v>
      </c>
      <c r="E1126" s="1" t="s">
        <v>39</v>
      </c>
      <c r="F1126" s="1" t="s">
        <v>173</v>
      </c>
      <c r="G1126" s="1">
        <v>0</v>
      </c>
      <c r="H1126" s="1" t="s">
        <v>41</v>
      </c>
      <c r="I1126" s="1" t="s">
        <v>13282</v>
      </c>
      <c r="J1126" s="1" t="s">
        <v>404</v>
      </c>
      <c r="K1126" s="1" t="s">
        <v>404</v>
      </c>
      <c r="L1126" s="1">
        <v>0</v>
      </c>
      <c r="M1126" s="1">
        <v>0</v>
      </c>
      <c r="N1126" s="1" t="s">
        <v>13283</v>
      </c>
      <c r="O1126" s="1" t="s">
        <v>13284</v>
      </c>
      <c r="P1126" s="1" t="s">
        <v>13285</v>
      </c>
      <c r="Q1126" s="1">
        <v>0</v>
      </c>
      <c r="R1126" s="1" t="s">
        <v>13286</v>
      </c>
      <c r="S1126" s="1" t="s">
        <v>13287</v>
      </c>
      <c r="U1126" s="2">
        <v>56768</v>
      </c>
      <c r="V1126" s="1">
        <v>4.5</v>
      </c>
      <c r="W1126" s="1">
        <v>850</v>
      </c>
      <c r="X1126" s="1">
        <v>3344</v>
      </c>
      <c r="Y1126" s="1">
        <v>1041</v>
      </c>
      <c r="Z1126" s="1">
        <v>1418</v>
      </c>
      <c r="AA1126" s="1">
        <v>885</v>
      </c>
      <c r="AB1126" s="1">
        <v>0</v>
      </c>
      <c r="AC1126" s="1">
        <v>1</v>
      </c>
      <c r="AD1126" s="1" t="s">
        <v>62</v>
      </c>
      <c r="AE1126" s="1" t="s">
        <v>13288</v>
      </c>
      <c r="AF1126" s="1" t="s">
        <v>13289</v>
      </c>
      <c r="AG1126" s="1" t="s">
        <v>13290</v>
      </c>
      <c r="AH1126" s="1" t="s">
        <v>13291</v>
      </c>
      <c r="AI1126" s="1">
        <v>4.22</v>
      </c>
      <c r="AJ1126" s="1">
        <v>1551</v>
      </c>
      <c r="AK1126" s="1">
        <v>4625</v>
      </c>
    </row>
    <row r="1127" spans="1:38" ht="15.75" customHeight="1">
      <c r="A1127" s="1">
        <v>850</v>
      </c>
      <c r="B1127" s="1">
        <v>4</v>
      </c>
      <c r="C1127" s="1">
        <v>4050</v>
      </c>
      <c r="D1127" s="1" t="s">
        <v>38</v>
      </c>
      <c r="E1127" s="1" t="s">
        <v>39</v>
      </c>
      <c r="F1127" s="1" t="s">
        <v>6034</v>
      </c>
      <c r="G1127" s="1">
        <v>0</v>
      </c>
      <c r="H1127" s="1" t="s">
        <v>41</v>
      </c>
      <c r="I1127" s="1" t="s">
        <v>13292</v>
      </c>
      <c r="J1127" s="1" t="s">
        <v>13293</v>
      </c>
      <c r="K1127" s="1" t="s">
        <v>13294</v>
      </c>
      <c r="L1127" s="1">
        <v>1</v>
      </c>
      <c r="M1127" s="1">
        <v>0</v>
      </c>
      <c r="N1127" s="1" t="s">
        <v>13295</v>
      </c>
      <c r="O1127" s="1" t="s">
        <v>13296</v>
      </c>
      <c r="P1127" s="1" t="s">
        <v>13297</v>
      </c>
      <c r="Q1127" s="1">
        <v>0</v>
      </c>
      <c r="R1127" s="1" t="s">
        <v>13298</v>
      </c>
      <c r="S1127" s="1" t="s">
        <v>13299</v>
      </c>
      <c r="U1127" s="2">
        <v>56772</v>
      </c>
      <c r="V1127" s="1">
        <v>4.7</v>
      </c>
      <c r="W1127" s="1">
        <v>850</v>
      </c>
      <c r="X1127" s="1">
        <v>2227</v>
      </c>
      <c r="Y1127" s="1">
        <v>1085</v>
      </c>
      <c r="Z1127" s="1">
        <v>384</v>
      </c>
      <c r="AA1127" s="1">
        <v>758</v>
      </c>
      <c r="AB1127" s="1">
        <v>0</v>
      </c>
      <c r="AC1127" s="1">
        <v>1</v>
      </c>
      <c r="AD1127" s="1" t="s">
        <v>76</v>
      </c>
      <c r="AE1127" s="1" t="s">
        <v>13300</v>
      </c>
      <c r="AF1127" s="1" t="s">
        <v>13301</v>
      </c>
      <c r="AG1127" s="1" t="s">
        <v>13302</v>
      </c>
      <c r="AH1127" s="1" t="s">
        <v>13303</v>
      </c>
      <c r="AI1127" s="1">
        <v>4.7205882350000001</v>
      </c>
      <c r="AJ1127" s="1">
        <v>59</v>
      </c>
      <c r="AK1127" s="1">
        <v>198</v>
      </c>
      <c r="AL1127" s="1">
        <v>82</v>
      </c>
    </row>
    <row r="1128" spans="1:38" ht="15.75" customHeight="1">
      <c r="A1128" s="1">
        <v>89</v>
      </c>
      <c r="B1128" s="1">
        <v>5</v>
      </c>
      <c r="C1128" s="1">
        <v>4001</v>
      </c>
      <c r="D1128" s="1" t="s">
        <v>51</v>
      </c>
      <c r="E1128" s="1" t="s">
        <v>39</v>
      </c>
      <c r="F1128" s="1" t="s">
        <v>341</v>
      </c>
      <c r="G1128" s="1">
        <v>0</v>
      </c>
      <c r="H1128" s="1" t="s">
        <v>41</v>
      </c>
      <c r="I1128" s="1" t="s">
        <v>13304</v>
      </c>
      <c r="J1128" s="1" t="s">
        <v>13305</v>
      </c>
      <c r="K1128" s="1" t="s">
        <v>13306</v>
      </c>
      <c r="L1128" s="1">
        <v>1</v>
      </c>
      <c r="M1128" s="1">
        <v>0</v>
      </c>
      <c r="N1128" s="1" t="s">
        <v>13307</v>
      </c>
      <c r="O1128" s="1" t="s">
        <v>13308</v>
      </c>
      <c r="P1128" s="1" t="s">
        <v>13309</v>
      </c>
      <c r="Q1128" s="1">
        <v>0</v>
      </c>
      <c r="R1128" s="1" t="s">
        <v>13310</v>
      </c>
      <c r="S1128" s="1" t="s">
        <v>13311</v>
      </c>
      <c r="U1128" s="2">
        <v>56766</v>
      </c>
      <c r="V1128" s="1">
        <v>4.5</v>
      </c>
      <c r="W1128" s="1">
        <v>850</v>
      </c>
      <c r="X1128" s="1">
        <v>1191</v>
      </c>
      <c r="Y1128" s="1">
        <v>402</v>
      </c>
      <c r="Z1128" s="1">
        <v>372</v>
      </c>
      <c r="AA1128" s="1">
        <v>417</v>
      </c>
      <c r="AB1128" s="1">
        <v>0</v>
      </c>
      <c r="AC1128" s="1">
        <v>2</v>
      </c>
      <c r="AD1128" s="1" t="s">
        <v>215</v>
      </c>
      <c r="AE1128" s="1" t="s">
        <v>13312</v>
      </c>
      <c r="AF1128" s="1" t="s">
        <v>13313</v>
      </c>
      <c r="AG1128" s="1" t="s">
        <v>13314</v>
      </c>
      <c r="AH1128" s="1" t="s">
        <v>13315</v>
      </c>
      <c r="AI1128" s="1">
        <v>4.54</v>
      </c>
      <c r="AJ1128" s="1">
        <v>2229</v>
      </c>
      <c r="AK1128" s="1">
        <v>6580</v>
      </c>
    </row>
    <row r="1129" spans="1:38" ht="15.75" customHeight="1">
      <c r="A1129" s="1">
        <v>115</v>
      </c>
      <c r="B1129" s="1">
        <v>4</v>
      </c>
      <c r="C1129" s="1">
        <v>4050</v>
      </c>
      <c r="D1129" s="1" t="s">
        <v>38</v>
      </c>
      <c r="E1129" s="1" t="s">
        <v>39</v>
      </c>
      <c r="F1129" s="1" t="s">
        <v>510</v>
      </c>
      <c r="G1129" s="1">
        <v>0</v>
      </c>
      <c r="H1129" s="1" t="s">
        <v>41</v>
      </c>
      <c r="I1129" s="1" t="s">
        <v>13316</v>
      </c>
      <c r="J1129" s="1" t="s">
        <v>13317</v>
      </c>
      <c r="K1129" s="1" t="s">
        <v>13318</v>
      </c>
      <c r="L1129" s="1">
        <v>1</v>
      </c>
      <c r="M1129" s="1">
        <v>0</v>
      </c>
      <c r="N1129" s="1" t="s">
        <v>13319</v>
      </c>
      <c r="O1129" s="1" t="s">
        <v>13320</v>
      </c>
      <c r="P1129" s="1" t="s">
        <v>13321</v>
      </c>
      <c r="Q1129" s="1">
        <v>0</v>
      </c>
      <c r="R1129" s="1" t="s">
        <v>13322</v>
      </c>
      <c r="S1129" s="1" t="s">
        <v>13323</v>
      </c>
      <c r="U1129" s="2">
        <v>56767</v>
      </c>
      <c r="V1129" s="1">
        <v>4.5</v>
      </c>
      <c r="W1129" s="1">
        <v>850</v>
      </c>
      <c r="X1129" s="1">
        <v>1191</v>
      </c>
      <c r="Z1129" s="1">
        <v>908</v>
      </c>
      <c r="AA1129" s="1">
        <v>311</v>
      </c>
      <c r="AB1129" s="1">
        <v>0</v>
      </c>
      <c r="AC1129" s="1">
        <v>1</v>
      </c>
      <c r="AD1129" s="1" t="s">
        <v>215</v>
      </c>
      <c r="AE1129" s="1" t="s">
        <v>13324</v>
      </c>
      <c r="AF1129" s="1" t="s">
        <v>13325</v>
      </c>
      <c r="AG1129" s="1" t="s">
        <v>13326</v>
      </c>
      <c r="AH1129" s="1" t="s">
        <v>13327</v>
      </c>
      <c r="AI1129" s="1">
        <v>4.62</v>
      </c>
      <c r="AJ1129" s="1">
        <v>259</v>
      </c>
      <c r="AK1129" s="1">
        <v>604</v>
      </c>
      <c r="AL1129" s="1">
        <v>21</v>
      </c>
    </row>
    <row r="1130" spans="1:38" ht="15.75" customHeight="1">
      <c r="A1130" s="1">
        <v>845</v>
      </c>
      <c r="B1130" s="1">
        <v>5</v>
      </c>
      <c r="C1130" s="1">
        <v>4050</v>
      </c>
      <c r="D1130" s="1" t="s">
        <v>38</v>
      </c>
      <c r="E1130" s="1" t="s">
        <v>39</v>
      </c>
      <c r="F1130" s="1" t="s">
        <v>510</v>
      </c>
      <c r="G1130" s="1">
        <v>0</v>
      </c>
      <c r="H1130" s="1" t="s">
        <v>41</v>
      </c>
      <c r="I1130" s="1" t="s">
        <v>13328</v>
      </c>
      <c r="J1130" s="1" t="s">
        <v>13329</v>
      </c>
      <c r="K1130" s="1" t="s">
        <v>13330</v>
      </c>
      <c r="L1130" s="1">
        <v>1</v>
      </c>
      <c r="M1130" s="1">
        <v>0</v>
      </c>
      <c r="N1130" s="1" t="s">
        <v>13331</v>
      </c>
      <c r="O1130" s="1" t="s">
        <v>13332</v>
      </c>
      <c r="P1130" s="1" t="s">
        <v>13333</v>
      </c>
      <c r="Q1130" s="1">
        <v>0</v>
      </c>
      <c r="R1130" s="1" t="s">
        <v>13334</v>
      </c>
      <c r="U1130" s="2">
        <v>56772</v>
      </c>
      <c r="V1130" s="1">
        <v>4.3</v>
      </c>
      <c r="W1130" s="1">
        <v>850</v>
      </c>
      <c r="X1130" s="1">
        <v>1825</v>
      </c>
      <c r="AA1130" s="1">
        <v>563</v>
      </c>
      <c r="AB1130" s="1">
        <v>0</v>
      </c>
      <c r="AC1130" s="1">
        <v>1</v>
      </c>
      <c r="AE1130" s="1" t="s">
        <v>13335</v>
      </c>
      <c r="AF1130" s="1" t="s">
        <v>13336</v>
      </c>
      <c r="AG1130" s="1" t="s">
        <v>13337</v>
      </c>
      <c r="AI1130" s="1">
        <v>4.62</v>
      </c>
      <c r="AJ1130" s="1">
        <v>259</v>
      </c>
      <c r="AK1130" s="1">
        <v>604</v>
      </c>
      <c r="AL1130" s="1">
        <v>21</v>
      </c>
    </row>
    <row r="1131" spans="1:38" ht="15.75" customHeight="1">
      <c r="A1131" s="1">
        <v>179</v>
      </c>
      <c r="B1131" s="1">
        <v>5</v>
      </c>
      <c r="C1131" s="1">
        <v>4001</v>
      </c>
      <c r="D1131" s="1" t="s">
        <v>51</v>
      </c>
      <c r="E1131" s="1" t="s">
        <v>39</v>
      </c>
      <c r="F1131" s="1" t="s">
        <v>341</v>
      </c>
      <c r="G1131" s="1">
        <v>0</v>
      </c>
      <c r="H1131" s="1" t="s">
        <v>41</v>
      </c>
      <c r="I1131" s="1" t="s">
        <v>13338</v>
      </c>
      <c r="J1131" s="1" t="s">
        <v>13339</v>
      </c>
      <c r="K1131" s="1" t="s">
        <v>13340</v>
      </c>
      <c r="L1131" s="1">
        <v>1</v>
      </c>
      <c r="M1131" s="1">
        <v>0</v>
      </c>
      <c r="N1131" s="1" t="s">
        <v>13341</v>
      </c>
      <c r="O1131" s="1" t="s">
        <v>13342</v>
      </c>
      <c r="P1131" s="1" t="s">
        <v>13343</v>
      </c>
      <c r="Q1131" s="1">
        <v>0</v>
      </c>
      <c r="R1131" s="1" t="s">
        <v>13344</v>
      </c>
      <c r="S1131" s="1" t="s">
        <v>13345</v>
      </c>
      <c r="U1131" s="2">
        <v>56767</v>
      </c>
      <c r="V1131" s="1">
        <v>4.3</v>
      </c>
      <c r="W1131" s="1">
        <v>850</v>
      </c>
      <c r="X1131" s="1">
        <v>3493</v>
      </c>
      <c r="Y1131" s="1">
        <v>211</v>
      </c>
      <c r="Z1131" s="1">
        <v>2189</v>
      </c>
      <c r="AA1131" s="1">
        <v>1093</v>
      </c>
      <c r="AB1131" s="1">
        <v>1</v>
      </c>
      <c r="AC1131" s="1">
        <v>2</v>
      </c>
      <c r="AE1131" s="1" t="s">
        <v>13346</v>
      </c>
      <c r="AF1131" s="1" t="s">
        <v>13347</v>
      </c>
      <c r="AG1131" s="1" t="s">
        <v>13348</v>
      </c>
      <c r="AH1131" s="1" t="s">
        <v>13349</v>
      </c>
      <c r="AI1131" s="1">
        <v>4.54</v>
      </c>
      <c r="AJ1131" s="1">
        <v>2229</v>
      </c>
      <c r="AK1131" s="1">
        <v>6580</v>
      </c>
    </row>
    <row r="1132" spans="1:38" ht="15.75" customHeight="1">
      <c r="A1132" s="1">
        <v>503</v>
      </c>
      <c r="C1132" s="1">
        <v>4001</v>
      </c>
      <c r="D1132" s="1" t="s">
        <v>51</v>
      </c>
      <c r="E1132" s="1" t="s">
        <v>39</v>
      </c>
      <c r="F1132" s="1" t="s">
        <v>648</v>
      </c>
      <c r="G1132" s="1">
        <v>0</v>
      </c>
      <c r="H1132" s="1" t="s">
        <v>53</v>
      </c>
      <c r="I1132" s="1" t="s">
        <v>13350</v>
      </c>
      <c r="J1132" s="1" t="s">
        <v>13351</v>
      </c>
      <c r="K1132" s="1" t="s">
        <v>13352</v>
      </c>
      <c r="L1132" s="1">
        <v>1</v>
      </c>
      <c r="M1132" s="1">
        <v>0</v>
      </c>
      <c r="N1132" s="1" t="s">
        <v>13353</v>
      </c>
      <c r="O1132" s="1" t="s">
        <v>13354</v>
      </c>
      <c r="P1132" s="1" t="s">
        <v>13355</v>
      </c>
      <c r="Q1132" s="1">
        <v>0</v>
      </c>
      <c r="R1132" s="1" t="s">
        <v>13356</v>
      </c>
      <c r="S1132" s="1" t="s">
        <v>13357</v>
      </c>
      <c r="U1132" s="2">
        <v>56769</v>
      </c>
      <c r="V1132" s="1">
        <v>4.3</v>
      </c>
      <c r="W1132" s="1">
        <v>850</v>
      </c>
      <c r="X1132" s="1">
        <v>2346</v>
      </c>
      <c r="Y1132" s="1">
        <v>831</v>
      </c>
      <c r="Z1132" s="1">
        <v>429</v>
      </c>
      <c r="AA1132" s="1">
        <v>1086</v>
      </c>
      <c r="AB1132" s="1">
        <v>0</v>
      </c>
      <c r="AC1132" s="1">
        <v>2</v>
      </c>
      <c r="AD1132" s="1" t="s">
        <v>215</v>
      </c>
      <c r="AE1132" s="1" t="s">
        <v>13358</v>
      </c>
      <c r="AF1132" s="1" t="s">
        <v>13359</v>
      </c>
      <c r="AG1132" s="1" t="s">
        <v>13360</v>
      </c>
      <c r="AH1132" s="1" t="s">
        <v>13361</v>
      </c>
      <c r="AI1132" s="1">
        <v>4.7</v>
      </c>
      <c r="AJ1132" s="1">
        <v>443</v>
      </c>
      <c r="AK1132" s="1">
        <v>1579</v>
      </c>
    </row>
    <row r="1133" spans="1:38" ht="15.75" customHeight="1">
      <c r="A1133" s="1">
        <v>1043</v>
      </c>
      <c r="B1133" s="1">
        <v>5</v>
      </c>
      <c r="C1133" s="1">
        <v>4001</v>
      </c>
      <c r="D1133" s="1" t="s">
        <v>51</v>
      </c>
      <c r="E1133" s="1" t="s">
        <v>39</v>
      </c>
      <c r="F1133" s="1" t="s">
        <v>305</v>
      </c>
      <c r="G1133" s="1">
        <v>0</v>
      </c>
      <c r="H1133" s="1" t="s">
        <v>53</v>
      </c>
      <c r="I1133" s="1" t="s">
        <v>13362</v>
      </c>
      <c r="J1133" s="1" t="s">
        <v>13363</v>
      </c>
      <c r="K1133" s="1" t="s">
        <v>13364</v>
      </c>
      <c r="L1133" s="1">
        <v>1</v>
      </c>
      <c r="M1133" s="1">
        <v>0</v>
      </c>
      <c r="N1133" s="1" t="s">
        <v>13365</v>
      </c>
      <c r="O1133" s="1" t="s">
        <v>13366</v>
      </c>
      <c r="P1133" s="1" t="s">
        <v>13367</v>
      </c>
      <c r="Q1133" s="1">
        <v>0</v>
      </c>
      <c r="R1133" s="1" t="s">
        <v>13368</v>
      </c>
      <c r="S1133" s="1" t="s">
        <v>13369</v>
      </c>
      <c r="U1133" s="2">
        <v>56774</v>
      </c>
      <c r="V1133" s="1">
        <v>4.3</v>
      </c>
      <c r="W1133" s="1">
        <v>850</v>
      </c>
      <c r="X1133" s="1">
        <v>1665</v>
      </c>
      <c r="Y1133" s="1">
        <v>484</v>
      </c>
      <c r="Z1133" s="1">
        <v>715</v>
      </c>
      <c r="AA1133" s="1">
        <v>466</v>
      </c>
      <c r="AB1133" s="1">
        <v>0</v>
      </c>
      <c r="AC1133" s="1">
        <v>2</v>
      </c>
      <c r="AE1133" s="1" t="s">
        <v>13370</v>
      </c>
      <c r="AF1133" s="1" t="s">
        <v>13371</v>
      </c>
      <c r="AG1133" s="1" t="s">
        <v>13372</v>
      </c>
      <c r="AH1133" s="1" t="s">
        <v>13373</v>
      </c>
      <c r="AI1133" s="1">
        <v>4.5199999999999996</v>
      </c>
      <c r="AJ1133" s="1">
        <v>183</v>
      </c>
      <c r="AK1133" s="1">
        <v>522</v>
      </c>
    </row>
    <row r="1134" spans="1:38" ht="15.75" customHeight="1">
      <c r="A1134" s="1">
        <v>1293</v>
      </c>
      <c r="C1134" s="1">
        <v>4001</v>
      </c>
      <c r="D1134" s="1" t="s">
        <v>51</v>
      </c>
      <c r="E1134" s="1" t="s">
        <v>39</v>
      </c>
      <c r="F1134" s="1" t="s">
        <v>52</v>
      </c>
      <c r="G1134" s="1">
        <v>0</v>
      </c>
      <c r="H1134" s="1" t="s">
        <v>53</v>
      </c>
      <c r="I1134" s="1" t="s">
        <v>13374</v>
      </c>
      <c r="J1134" s="1" t="s">
        <v>13375</v>
      </c>
      <c r="K1134" s="1" t="s">
        <v>13376</v>
      </c>
      <c r="L1134" s="1">
        <v>1</v>
      </c>
      <c r="M1134" s="1">
        <v>0</v>
      </c>
      <c r="N1134" s="1" t="s">
        <v>13377</v>
      </c>
      <c r="O1134" s="1" t="s">
        <v>13378</v>
      </c>
      <c r="P1134" s="1" t="s">
        <v>13379</v>
      </c>
      <c r="Q1134" s="1">
        <v>0</v>
      </c>
      <c r="R1134" s="1" t="s">
        <v>13380</v>
      </c>
      <c r="U1134" s="2">
        <v>56776</v>
      </c>
      <c r="V1134" s="1">
        <v>4.3</v>
      </c>
      <c r="W1134" s="1">
        <v>850</v>
      </c>
      <c r="X1134" s="1">
        <v>3035</v>
      </c>
      <c r="AA1134" s="1">
        <v>838</v>
      </c>
      <c r="AB1134" s="1">
        <v>0</v>
      </c>
      <c r="AC1134" s="1">
        <v>2</v>
      </c>
      <c r="AE1134" s="1" t="s">
        <v>13381</v>
      </c>
      <c r="AF1134" s="1" t="s">
        <v>13382</v>
      </c>
      <c r="AG1134" s="1" t="s">
        <v>13383</v>
      </c>
      <c r="AI1134" s="1">
        <v>4.17</v>
      </c>
      <c r="AJ1134" s="1">
        <v>457</v>
      </c>
      <c r="AK1134" s="1">
        <v>1599</v>
      </c>
    </row>
    <row r="1135" spans="1:38" ht="15.75" customHeight="1">
      <c r="A1135" s="1">
        <v>2</v>
      </c>
      <c r="C1135" s="1">
        <v>4050</v>
      </c>
      <c r="D1135" s="1" t="s">
        <v>38</v>
      </c>
      <c r="E1135" s="1" t="s">
        <v>39</v>
      </c>
      <c r="F1135" s="1" t="s">
        <v>486</v>
      </c>
      <c r="G1135" s="1">
        <v>0</v>
      </c>
      <c r="H1135" s="1" t="s">
        <v>41</v>
      </c>
      <c r="I1135" s="1" t="s">
        <v>13384</v>
      </c>
      <c r="J1135" s="1" t="s">
        <v>13385</v>
      </c>
      <c r="K1135" s="1" t="s">
        <v>13386</v>
      </c>
      <c r="L1135" s="1">
        <v>1</v>
      </c>
      <c r="M1135" s="1">
        <v>0</v>
      </c>
      <c r="N1135" s="1" t="s">
        <v>13387</v>
      </c>
      <c r="O1135" s="1" t="s">
        <v>13388</v>
      </c>
      <c r="P1135" s="1" t="s">
        <v>13389</v>
      </c>
      <c r="Q1135" s="1">
        <v>0</v>
      </c>
      <c r="R1135" s="1" t="s">
        <v>13390</v>
      </c>
      <c r="S1135" s="1" t="s">
        <v>13391</v>
      </c>
      <c r="U1135" s="2">
        <v>56766</v>
      </c>
      <c r="V1135" s="1">
        <v>3.9</v>
      </c>
      <c r="W1135" s="1">
        <v>850</v>
      </c>
      <c r="X1135" s="1">
        <v>2785</v>
      </c>
      <c r="Y1135" s="1">
        <v>390</v>
      </c>
      <c r="Z1135" s="1">
        <v>1145</v>
      </c>
      <c r="AA1135" s="1">
        <v>1250</v>
      </c>
      <c r="AB1135" s="1">
        <v>0</v>
      </c>
      <c r="AC1135" s="1">
        <v>1</v>
      </c>
      <c r="AD1135" s="1" t="s">
        <v>62</v>
      </c>
      <c r="AE1135" s="1" t="s">
        <v>13392</v>
      </c>
      <c r="AF1135" s="1" t="s">
        <v>13393</v>
      </c>
      <c r="AG1135" s="1" t="s">
        <v>13394</v>
      </c>
      <c r="AH1135" s="1" t="s">
        <v>13395</v>
      </c>
      <c r="AI1135" s="1">
        <v>4.7</v>
      </c>
      <c r="AJ1135" s="1">
        <v>212</v>
      </c>
      <c r="AK1135" s="1">
        <v>624</v>
      </c>
      <c r="AL1135" s="1">
        <v>347</v>
      </c>
    </row>
    <row r="1136" spans="1:38" ht="15.75" customHeight="1">
      <c r="A1136" s="1">
        <v>1232</v>
      </c>
      <c r="B1136" s="1">
        <v>5</v>
      </c>
      <c r="C1136" s="1">
        <v>4001</v>
      </c>
      <c r="D1136" s="1" t="s">
        <v>51</v>
      </c>
      <c r="E1136" s="1" t="s">
        <v>39</v>
      </c>
      <c r="F1136" s="1" t="s">
        <v>414</v>
      </c>
      <c r="G1136" s="1">
        <v>0</v>
      </c>
      <c r="H1136" s="1" t="s">
        <v>53</v>
      </c>
      <c r="I1136" s="1" t="s">
        <v>13396</v>
      </c>
      <c r="J1136" s="1" t="s">
        <v>13397</v>
      </c>
      <c r="K1136" s="1" t="s">
        <v>13398</v>
      </c>
      <c r="L1136" s="1">
        <v>1</v>
      </c>
      <c r="M1136" s="1">
        <v>0</v>
      </c>
      <c r="N1136" s="1" t="s">
        <v>13399</v>
      </c>
      <c r="O1136" s="1" t="s">
        <v>13400</v>
      </c>
      <c r="P1136" s="1" t="s">
        <v>13401</v>
      </c>
      <c r="Q1136" s="1">
        <v>0</v>
      </c>
      <c r="R1136" s="1" t="s">
        <v>13402</v>
      </c>
      <c r="S1136" s="1" t="s">
        <v>13403</v>
      </c>
      <c r="U1136" s="2">
        <v>56776</v>
      </c>
      <c r="V1136" s="1">
        <v>4.4000000000000004</v>
      </c>
      <c r="W1136" s="1">
        <v>850</v>
      </c>
      <c r="X1136" s="1">
        <v>1372</v>
      </c>
      <c r="Y1136" s="1">
        <v>364</v>
      </c>
      <c r="Z1136" s="1">
        <v>385</v>
      </c>
      <c r="AA1136" s="1">
        <v>623</v>
      </c>
      <c r="AB1136" s="1">
        <v>0</v>
      </c>
      <c r="AC1136" s="1">
        <v>2</v>
      </c>
      <c r="AD1136" s="1" t="s">
        <v>62</v>
      </c>
      <c r="AE1136" s="1" t="s">
        <v>13404</v>
      </c>
      <c r="AF1136" s="1" t="s">
        <v>13405</v>
      </c>
      <c r="AG1136" s="1" t="s">
        <v>13406</v>
      </c>
      <c r="AH1136" s="1" t="s">
        <v>13407</v>
      </c>
      <c r="AI1136" s="1">
        <v>4.58</v>
      </c>
      <c r="AJ1136" s="1">
        <v>254</v>
      </c>
      <c r="AK1136" s="1">
        <v>788</v>
      </c>
      <c r="AL1136" s="1">
        <v>9</v>
      </c>
    </row>
    <row r="1137" spans="1:38" ht="15.75" customHeight="1">
      <c r="A1137" s="1">
        <v>486</v>
      </c>
      <c r="B1137" s="1">
        <v>1</v>
      </c>
      <c r="C1137" s="1">
        <v>4001</v>
      </c>
      <c r="D1137" s="1" t="s">
        <v>51</v>
      </c>
      <c r="E1137" s="1" t="s">
        <v>39</v>
      </c>
      <c r="F1137" s="1" t="s">
        <v>648</v>
      </c>
      <c r="G1137" s="1">
        <v>0</v>
      </c>
      <c r="H1137" s="1" t="s">
        <v>53</v>
      </c>
      <c r="I1137" s="1" t="s">
        <v>13408</v>
      </c>
      <c r="J1137" s="1" t="s">
        <v>13409</v>
      </c>
      <c r="K1137" s="1" t="s">
        <v>13409</v>
      </c>
      <c r="L1137" s="1">
        <v>0</v>
      </c>
      <c r="M1137" s="1">
        <v>0</v>
      </c>
      <c r="N1137" s="1" t="s">
        <v>13410</v>
      </c>
      <c r="O1137" s="1" t="s">
        <v>13411</v>
      </c>
      <c r="P1137" s="1" t="s">
        <v>13412</v>
      </c>
      <c r="Q1137" s="1">
        <v>0</v>
      </c>
      <c r="R1137" s="1" t="s">
        <v>13413</v>
      </c>
      <c r="S1137" s="1" t="s">
        <v>13414</v>
      </c>
      <c r="U1137" s="2">
        <v>56769</v>
      </c>
      <c r="V1137" s="1">
        <v>4.3</v>
      </c>
      <c r="W1137" s="1">
        <v>850</v>
      </c>
      <c r="X1137" s="1">
        <v>1585</v>
      </c>
      <c r="Y1137" s="1">
        <v>578</v>
      </c>
      <c r="Z1137" s="1">
        <v>540</v>
      </c>
      <c r="AA1137" s="1">
        <v>467</v>
      </c>
      <c r="AB1137" s="1">
        <v>0</v>
      </c>
      <c r="AC1137" s="1">
        <v>2</v>
      </c>
      <c r="AD1137" s="1" t="s">
        <v>215</v>
      </c>
      <c r="AE1137" s="1" t="s">
        <v>13415</v>
      </c>
      <c r="AF1137" s="1" t="s">
        <v>13416</v>
      </c>
      <c r="AG1137" s="1" t="s">
        <v>13417</v>
      </c>
      <c r="AH1137" s="1" t="s">
        <v>13418</v>
      </c>
      <c r="AI1137" s="1">
        <v>4.7</v>
      </c>
      <c r="AJ1137" s="1">
        <v>443</v>
      </c>
      <c r="AK1137" s="1">
        <v>1579</v>
      </c>
    </row>
    <row r="1138" spans="1:38" ht="15.75" customHeight="1">
      <c r="A1138" s="1">
        <v>846</v>
      </c>
      <c r="B1138" s="1">
        <v>5</v>
      </c>
      <c r="C1138" s="1">
        <v>4050</v>
      </c>
      <c r="D1138" s="1" t="s">
        <v>38</v>
      </c>
      <c r="E1138" s="1" t="s">
        <v>39</v>
      </c>
      <c r="F1138" s="1" t="s">
        <v>365</v>
      </c>
      <c r="G1138" s="1">
        <v>0</v>
      </c>
      <c r="H1138" s="1" t="s">
        <v>41</v>
      </c>
      <c r="I1138" s="1" t="s">
        <v>13419</v>
      </c>
      <c r="J1138" s="1" t="s">
        <v>13420</v>
      </c>
      <c r="K1138" s="1" t="s">
        <v>13421</v>
      </c>
      <c r="L1138" s="1">
        <v>1</v>
      </c>
      <c r="M1138" s="1">
        <v>0</v>
      </c>
      <c r="N1138" s="1" t="s">
        <v>13422</v>
      </c>
      <c r="O1138" s="1" t="s">
        <v>13423</v>
      </c>
      <c r="P1138" s="1" t="s">
        <v>13424</v>
      </c>
      <c r="Q1138" s="1">
        <v>0</v>
      </c>
      <c r="R1138" s="1" t="s">
        <v>13425</v>
      </c>
      <c r="S1138" s="1" t="s">
        <v>13426</v>
      </c>
      <c r="U1138" s="2">
        <v>56772</v>
      </c>
      <c r="V1138" s="1">
        <v>4.5999999999999996</v>
      </c>
      <c r="W1138" s="1">
        <v>850</v>
      </c>
      <c r="X1138" s="1">
        <v>3279</v>
      </c>
      <c r="Y1138" s="1">
        <v>145</v>
      </c>
      <c r="Z1138" s="1">
        <v>2407</v>
      </c>
      <c r="AA1138" s="1">
        <v>727</v>
      </c>
      <c r="AB1138" s="1">
        <v>0</v>
      </c>
      <c r="AC1138" s="1">
        <v>2</v>
      </c>
      <c r="AD1138" s="1" t="s">
        <v>62</v>
      </c>
      <c r="AE1138" s="1" t="s">
        <v>13427</v>
      </c>
      <c r="AF1138" s="1" t="s">
        <v>13428</v>
      </c>
      <c r="AG1138" s="1" t="s">
        <v>13429</v>
      </c>
      <c r="AH1138" s="1" t="s">
        <v>13430</v>
      </c>
      <c r="AI1138" s="1">
        <v>4.7699999999999996</v>
      </c>
      <c r="AJ1138" s="1">
        <v>426</v>
      </c>
      <c r="AK1138" s="1">
        <v>1226</v>
      </c>
      <c r="AL1138" s="1">
        <v>85</v>
      </c>
    </row>
    <row r="1139" spans="1:38" ht="15.75" customHeight="1">
      <c r="A1139" s="1">
        <v>755</v>
      </c>
      <c r="C1139" s="1">
        <v>4050</v>
      </c>
      <c r="D1139" s="1" t="s">
        <v>38</v>
      </c>
      <c r="E1139" s="1" t="s">
        <v>39</v>
      </c>
      <c r="F1139" s="1" t="s">
        <v>1153</v>
      </c>
      <c r="G1139" s="1">
        <v>0</v>
      </c>
      <c r="H1139" s="1" t="s">
        <v>41</v>
      </c>
      <c r="I1139" s="1" t="s">
        <v>13431</v>
      </c>
      <c r="J1139" s="1" t="s">
        <v>13432</v>
      </c>
      <c r="K1139" s="1" t="s">
        <v>13433</v>
      </c>
      <c r="L1139" s="1">
        <v>1</v>
      </c>
      <c r="M1139" s="1">
        <v>0</v>
      </c>
      <c r="N1139" s="1" t="s">
        <v>13434</v>
      </c>
      <c r="O1139" s="1" t="s">
        <v>13435</v>
      </c>
      <c r="P1139" s="1" t="s">
        <v>13436</v>
      </c>
      <c r="Q1139" s="1">
        <v>0</v>
      </c>
      <c r="R1139" s="1" t="s">
        <v>13437</v>
      </c>
      <c r="S1139" s="1" t="s">
        <v>13438</v>
      </c>
      <c r="U1139" s="2">
        <v>56771</v>
      </c>
      <c r="V1139" s="1">
        <v>4.5</v>
      </c>
      <c r="W1139" s="1">
        <v>850</v>
      </c>
      <c r="X1139" s="1">
        <v>1370</v>
      </c>
      <c r="Y1139" s="1">
        <v>784</v>
      </c>
      <c r="Z1139" s="1">
        <v>177</v>
      </c>
      <c r="AA1139" s="1">
        <v>409</v>
      </c>
      <c r="AB1139" s="1">
        <v>0</v>
      </c>
      <c r="AC1139" s="1">
        <v>2</v>
      </c>
      <c r="AD1139" s="1" t="s">
        <v>76</v>
      </c>
      <c r="AE1139" s="1" t="s">
        <v>13439</v>
      </c>
      <c r="AF1139" s="1" t="s">
        <v>13440</v>
      </c>
      <c r="AG1139" s="1" t="s">
        <v>13441</v>
      </c>
      <c r="AH1139" s="1" t="s">
        <v>13442</v>
      </c>
      <c r="AI1139" s="1">
        <v>4.58</v>
      </c>
      <c r="AJ1139" s="1">
        <v>679</v>
      </c>
      <c r="AK1139" s="1">
        <v>2371</v>
      </c>
      <c r="AL1139" s="1">
        <v>1830</v>
      </c>
    </row>
    <row r="1140" spans="1:38" ht="15.75" customHeight="1">
      <c r="A1140" s="1">
        <v>772</v>
      </c>
      <c r="C1140" s="1">
        <v>4050</v>
      </c>
      <c r="D1140" s="1" t="s">
        <v>38</v>
      </c>
      <c r="E1140" s="1" t="s">
        <v>39</v>
      </c>
      <c r="F1140" s="1" t="s">
        <v>116</v>
      </c>
      <c r="G1140" s="1">
        <v>0</v>
      </c>
      <c r="H1140" s="1" t="s">
        <v>41</v>
      </c>
      <c r="I1140" s="1" t="s">
        <v>13443</v>
      </c>
      <c r="J1140" s="1" t="s">
        <v>13444</v>
      </c>
      <c r="K1140" s="1" t="s">
        <v>13445</v>
      </c>
      <c r="L1140" s="1">
        <v>1</v>
      </c>
      <c r="M1140" s="1">
        <v>0</v>
      </c>
      <c r="N1140" s="1" t="s">
        <v>13446</v>
      </c>
      <c r="O1140" s="1" t="s">
        <v>13447</v>
      </c>
      <c r="P1140" s="1" t="s">
        <v>13448</v>
      </c>
      <c r="Q1140" s="1">
        <v>0</v>
      </c>
      <c r="R1140" s="1" t="s">
        <v>13449</v>
      </c>
      <c r="S1140" s="1" t="s">
        <v>13450</v>
      </c>
      <c r="U1140" s="2">
        <v>56771</v>
      </c>
      <c r="V1140" s="1">
        <v>4.5</v>
      </c>
      <c r="W1140" s="1">
        <v>850</v>
      </c>
      <c r="X1140" s="1">
        <v>1022</v>
      </c>
      <c r="Y1140" s="1">
        <v>336</v>
      </c>
      <c r="Z1140" s="1">
        <v>321</v>
      </c>
      <c r="AA1140" s="1">
        <v>365</v>
      </c>
      <c r="AB1140" s="1">
        <v>0</v>
      </c>
      <c r="AC1140" s="1">
        <v>2</v>
      </c>
      <c r="AD1140" s="1" t="s">
        <v>215</v>
      </c>
      <c r="AE1140" s="1" t="s">
        <v>13451</v>
      </c>
      <c r="AF1140" s="1" t="s">
        <v>13452</v>
      </c>
      <c r="AG1140" s="1" t="s">
        <v>13453</v>
      </c>
      <c r="AH1140" s="1" t="s">
        <v>13454</v>
      </c>
      <c r="AI1140" s="1">
        <v>4.8899999999999997</v>
      </c>
      <c r="AJ1140" s="1">
        <v>1778</v>
      </c>
      <c r="AK1140" s="1">
        <v>5138</v>
      </c>
      <c r="AL1140" s="1">
        <v>314</v>
      </c>
    </row>
    <row r="1141" spans="1:38" ht="15.75" customHeight="1">
      <c r="A1141" s="1">
        <v>541</v>
      </c>
      <c r="C1141" s="1">
        <v>4050</v>
      </c>
      <c r="D1141" s="1" t="s">
        <v>38</v>
      </c>
      <c r="E1141" s="1" t="s">
        <v>39</v>
      </c>
      <c r="F1141" s="1" t="s">
        <v>1348</v>
      </c>
      <c r="G1141" s="1">
        <v>0</v>
      </c>
      <c r="H1141" s="1" t="s">
        <v>41</v>
      </c>
      <c r="I1141" s="1" t="s">
        <v>13455</v>
      </c>
      <c r="J1141" s="1" t="s">
        <v>13456</v>
      </c>
      <c r="K1141" s="1" t="s">
        <v>13456</v>
      </c>
      <c r="L1141" s="1">
        <v>0</v>
      </c>
      <c r="M1141" s="1">
        <v>0</v>
      </c>
      <c r="N1141" s="1" t="s">
        <v>13457</v>
      </c>
      <c r="O1141" s="1" t="s">
        <v>13458</v>
      </c>
      <c r="P1141" s="1" t="s">
        <v>13459</v>
      </c>
      <c r="Q1141" s="1">
        <v>0</v>
      </c>
      <c r="R1141" s="1" t="s">
        <v>13460</v>
      </c>
      <c r="S1141" s="1" t="s">
        <v>13461</v>
      </c>
      <c r="U1141" s="2">
        <v>56770</v>
      </c>
      <c r="V1141" s="1">
        <v>4.2</v>
      </c>
      <c r="W1141" s="1">
        <v>850</v>
      </c>
      <c r="X1141" s="1">
        <v>2457</v>
      </c>
      <c r="Y1141" s="1">
        <v>1200</v>
      </c>
      <c r="Z1141" s="1">
        <v>479</v>
      </c>
      <c r="AA1141" s="1">
        <v>778</v>
      </c>
      <c r="AB1141" s="1">
        <v>1</v>
      </c>
      <c r="AC1141" s="1">
        <v>2</v>
      </c>
      <c r="AE1141" s="1" t="s">
        <v>13462</v>
      </c>
      <c r="AF1141" s="1" t="s">
        <v>13463</v>
      </c>
      <c r="AG1141" s="1" t="s">
        <v>13464</v>
      </c>
      <c r="AH1141" s="1" t="s">
        <v>13465</v>
      </c>
      <c r="AI1141" s="1">
        <v>4.79</v>
      </c>
      <c r="AJ1141" s="1">
        <v>1007</v>
      </c>
      <c r="AK1141" s="1">
        <v>2899</v>
      </c>
      <c r="AL1141" s="1">
        <v>1301</v>
      </c>
    </row>
    <row r="1142" spans="1:38" ht="15.75" customHeight="1">
      <c r="A1142" s="1">
        <v>40</v>
      </c>
      <c r="B1142" s="1">
        <v>5</v>
      </c>
      <c r="C1142" s="1">
        <v>4050</v>
      </c>
      <c r="D1142" s="1" t="s">
        <v>38</v>
      </c>
      <c r="E1142" s="1" t="s">
        <v>39</v>
      </c>
      <c r="F1142" s="1" t="s">
        <v>116</v>
      </c>
      <c r="G1142" s="1">
        <v>0</v>
      </c>
      <c r="H1142" s="1" t="s">
        <v>41</v>
      </c>
      <c r="I1142" s="1" t="s">
        <v>13466</v>
      </c>
      <c r="J1142" s="1" t="s">
        <v>13467</v>
      </c>
      <c r="K1142" s="1" t="s">
        <v>13468</v>
      </c>
      <c r="L1142" s="1">
        <v>1</v>
      </c>
      <c r="M1142" s="1">
        <v>0</v>
      </c>
      <c r="N1142" s="1" t="s">
        <v>13469</v>
      </c>
      <c r="O1142" s="1" t="s">
        <v>13470</v>
      </c>
      <c r="P1142" s="1" t="s">
        <v>13471</v>
      </c>
      <c r="Q1142" s="1">
        <v>0</v>
      </c>
      <c r="R1142" s="1" t="s">
        <v>13472</v>
      </c>
      <c r="S1142" s="1" t="s">
        <v>13473</v>
      </c>
      <c r="U1142" s="2">
        <v>56766</v>
      </c>
      <c r="V1142" s="1">
        <v>4.7</v>
      </c>
      <c r="W1142" s="1">
        <v>850</v>
      </c>
      <c r="X1142" s="1">
        <v>1975</v>
      </c>
      <c r="Y1142" s="1">
        <v>1095</v>
      </c>
      <c r="Z1142" s="1">
        <v>470</v>
      </c>
      <c r="AA1142" s="1">
        <v>410</v>
      </c>
      <c r="AB1142" s="1">
        <v>1</v>
      </c>
      <c r="AC1142" s="1">
        <v>2</v>
      </c>
      <c r="AE1142" s="1" t="s">
        <v>13474</v>
      </c>
      <c r="AF1142" s="1" t="s">
        <v>13475</v>
      </c>
      <c r="AG1142" s="1" t="s">
        <v>13476</v>
      </c>
      <c r="AH1142" s="1" t="s">
        <v>13477</v>
      </c>
      <c r="AI1142" s="1">
        <v>4.8899999999999997</v>
      </c>
      <c r="AJ1142" s="1">
        <v>1778</v>
      </c>
      <c r="AK1142" s="1">
        <v>5138</v>
      </c>
      <c r="AL1142" s="1">
        <v>314</v>
      </c>
    </row>
    <row r="1143" spans="1:38" ht="15.75" customHeight="1">
      <c r="A1143" s="1">
        <v>17</v>
      </c>
      <c r="B1143" s="1">
        <v>5</v>
      </c>
      <c r="C1143" s="1">
        <v>4050</v>
      </c>
      <c r="D1143" s="1" t="s">
        <v>38</v>
      </c>
      <c r="E1143" s="1" t="s">
        <v>39</v>
      </c>
      <c r="F1143" s="1" t="s">
        <v>173</v>
      </c>
      <c r="G1143" s="1">
        <v>0</v>
      </c>
      <c r="H1143" s="1" t="s">
        <v>41</v>
      </c>
      <c r="I1143" s="1" t="s">
        <v>13478</v>
      </c>
      <c r="J1143" s="1" t="s">
        <v>13479</v>
      </c>
      <c r="K1143" s="1" t="s">
        <v>13480</v>
      </c>
      <c r="L1143" s="1">
        <v>1</v>
      </c>
      <c r="M1143" s="1">
        <v>0</v>
      </c>
      <c r="N1143" s="1" t="s">
        <v>13481</v>
      </c>
      <c r="O1143" s="1" t="s">
        <v>13482</v>
      </c>
      <c r="P1143" s="1" t="s">
        <v>13483</v>
      </c>
      <c r="Q1143" s="1">
        <v>1</v>
      </c>
      <c r="R1143" s="1" t="s">
        <v>13484</v>
      </c>
      <c r="S1143" s="1" t="s">
        <v>13485</v>
      </c>
      <c r="U1143" s="2">
        <v>56766</v>
      </c>
      <c r="V1143" s="1">
        <v>4.4000000000000004</v>
      </c>
      <c r="W1143" s="1">
        <v>850</v>
      </c>
      <c r="X1143" s="1">
        <v>2477</v>
      </c>
      <c r="Y1143" s="1">
        <v>1907</v>
      </c>
      <c r="AA1143" s="1">
        <v>694</v>
      </c>
      <c r="AB1143" s="1">
        <v>0</v>
      </c>
      <c r="AC1143" s="1">
        <v>1</v>
      </c>
      <c r="AD1143" s="1" t="s">
        <v>76</v>
      </c>
      <c r="AE1143" s="1" t="s">
        <v>13486</v>
      </c>
      <c r="AF1143" s="1" t="s">
        <v>13487</v>
      </c>
      <c r="AG1143" s="1" t="s">
        <v>13488</v>
      </c>
      <c r="AH1143" s="1" t="s">
        <v>13489</v>
      </c>
      <c r="AI1143" s="1">
        <v>4.22</v>
      </c>
      <c r="AJ1143" s="1">
        <v>1551</v>
      </c>
      <c r="AK1143" s="1">
        <v>4625</v>
      </c>
    </row>
    <row r="1144" spans="1:38" ht="15.75" customHeight="1">
      <c r="A1144" s="1">
        <v>22</v>
      </c>
      <c r="C1144" s="1">
        <v>4001</v>
      </c>
      <c r="D1144" s="1" t="s">
        <v>51</v>
      </c>
      <c r="E1144" s="1" t="s">
        <v>39</v>
      </c>
      <c r="F1144" s="1" t="s">
        <v>708</v>
      </c>
      <c r="G1144" s="1">
        <v>0</v>
      </c>
      <c r="H1144" s="1" t="s">
        <v>53</v>
      </c>
      <c r="I1144" s="1" t="s">
        <v>13490</v>
      </c>
      <c r="J1144" s="1" t="s">
        <v>13491</v>
      </c>
      <c r="K1144" s="1" t="s">
        <v>13492</v>
      </c>
      <c r="L1144" s="1">
        <v>1</v>
      </c>
      <c r="M1144" s="1">
        <v>0</v>
      </c>
      <c r="N1144" s="1" t="s">
        <v>13493</v>
      </c>
      <c r="O1144" s="1" t="s">
        <v>13494</v>
      </c>
      <c r="P1144" s="1" t="s">
        <v>13495</v>
      </c>
      <c r="Q1144" s="1">
        <v>0</v>
      </c>
      <c r="R1144" s="1" t="s">
        <v>13496</v>
      </c>
      <c r="S1144" s="1" t="s">
        <v>13497</v>
      </c>
      <c r="U1144" s="2">
        <v>56766</v>
      </c>
      <c r="V1144" s="1">
        <v>4.2</v>
      </c>
      <c r="W1144" s="1">
        <v>850</v>
      </c>
      <c r="X1144" s="1">
        <v>2932</v>
      </c>
      <c r="Y1144" s="1">
        <v>1115</v>
      </c>
      <c r="Z1144" s="1">
        <v>1116</v>
      </c>
      <c r="AA1144" s="1">
        <v>701</v>
      </c>
      <c r="AB1144" s="1">
        <v>0</v>
      </c>
      <c r="AC1144" s="1">
        <v>1</v>
      </c>
      <c r="AD1144" s="1" t="s">
        <v>62</v>
      </c>
      <c r="AE1144" s="1" t="s">
        <v>13498</v>
      </c>
      <c r="AF1144" s="1" t="s">
        <v>13499</v>
      </c>
      <c r="AG1144" s="1" t="s">
        <v>13500</v>
      </c>
      <c r="AH1144" s="1" t="s">
        <v>13501</v>
      </c>
      <c r="AI1144" s="1">
        <v>4.5999999999999996</v>
      </c>
      <c r="AJ1144" s="1">
        <v>292</v>
      </c>
      <c r="AK1144" s="1">
        <v>1027</v>
      </c>
      <c r="AL1144" s="1">
        <v>26</v>
      </c>
    </row>
    <row r="1145" spans="1:38" ht="15.75" customHeight="1">
      <c r="A1145" s="1">
        <v>131</v>
      </c>
      <c r="C1145" s="1">
        <v>4001</v>
      </c>
      <c r="D1145" s="1" t="s">
        <v>51</v>
      </c>
      <c r="E1145" s="1" t="s">
        <v>39</v>
      </c>
      <c r="F1145" s="1" t="s">
        <v>648</v>
      </c>
      <c r="G1145" s="1">
        <v>0</v>
      </c>
      <c r="H1145" s="1" t="s">
        <v>53</v>
      </c>
      <c r="I1145" s="1" t="s">
        <v>13502</v>
      </c>
      <c r="J1145" s="1" t="s">
        <v>13503</v>
      </c>
      <c r="K1145" s="1" t="s">
        <v>13504</v>
      </c>
      <c r="L1145" s="1">
        <v>1</v>
      </c>
      <c r="M1145" s="1">
        <v>0</v>
      </c>
      <c r="N1145" s="1" t="s">
        <v>13505</v>
      </c>
      <c r="O1145" s="1" t="s">
        <v>13506</v>
      </c>
      <c r="P1145" s="1" t="s">
        <v>13507</v>
      </c>
      <c r="Q1145" s="1">
        <v>0</v>
      </c>
      <c r="R1145" s="1" t="s">
        <v>13508</v>
      </c>
      <c r="S1145" s="1" t="s">
        <v>13509</v>
      </c>
      <c r="U1145" s="2">
        <v>56767</v>
      </c>
      <c r="V1145" s="1">
        <v>4.2</v>
      </c>
      <c r="W1145" s="1">
        <v>850</v>
      </c>
      <c r="X1145" s="1">
        <v>3826</v>
      </c>
      <c r="Y1145" s="1">
        <v>1465</v>
      </c>
      <c r="Z1145" s="1">
        <v>1497</v>
      </c>
      <c r="AA1145" s="1">
        <v>864</v>
      </c>
      <c r="AB1145" s="1">
        <v>0</v>
      </c>
      <c r="AC1145" s="1">
        <v>1</v>
      </c>
      <c r="AD1145" s="1" t="s">
        <v>62</v>
      </c>
      <c r="AE1145" s="1" t="s">
        <v>13510</v>
      </c>
      <c r="AF1145" s="1" t="s">
        <v>13511</v>
      </c>
      <c r="AG1145" s="1" t="s">
        <v>13512</v>
      </c>
      <c r="AH1145" s="1" t="s">
        <v>13513</v>
      </c>
      <c r="AI1145" s="1">
        <v>4.7</v>
      </c>
      <c r="AJ1145" s="1">
        <v>443</v>
      </c>
      <c r="AK1145" s="1">
        <v>1579</v>
      </c>
    </row>
    <row r="1146" spans="1:38" ht="15.75" customHeight="1">
      <c r="A1146" s="1">
        <v>410</v>
      </c>
      <c r="B1146" s="1">
        <v>5</v>
      </c>
      <c r="C1146" s="1">
        <v>4050</v>
      </c>
      <c r="D1146" s="1" t="s">
        <v>38</v>
      </c>
      <c r="E1146" s="1" t="s">
        <v>39</v>
      </c>
      <c r="F1146" s="1" t="s">
        <v>173</v>
      </c>
      <c r="G1146" s="1">
        <v>0</v>
      </c>
      <c r="H1146" s="1" t="s">
        <v>41</v>
      </c>
      <c r="I1146" s="1" t="s">
        <v>13514</v>
      </c>
      <c r="J1146" s="1" t="s">
        <v>13515</v>
      </c>
      <c r="K1146" s="1" t="s">
        <v>13516</v>
      </c>
      <c r="L1146" s="1">
        <v>1</v>
      </c>
      <c r="M1146" s="1">
        <v>0</v>
      </c>
      <c r="N1146" s="1" t="s">
        <v>13517</v>
      </c>
      <c r="O1146" s="1" t="s">
        <v>13518</v>
      </c>
      <c r="P1146" s="1" t="s">
        <v>13519</v>
      </c>
      <c r="Q1146" s="1">
        <v>0</v>
      </c>
      <c r="R1146" s="1" t="s">
        <v>13520</v>
      </c>
      <c r="S1146" s="1" t="s">
        <v>13521</v>
      </c>
      <c r="U1146" s="2">
        <v>56769</v>
      </c>
      <c r="V1146" s="1">
        <v>4.3</v>
      </c>
      <c r="W1146" s="1">
        <v>850</v>
      </c>
      <c r="X1146" s="1">
        <v>4165</v>
      </c>
      <c r="Y1146" s="1">
        <v>3096</v>
      </c>
      <c r="Z1146" s="1">
        <v>440</v>
      </c>
      <c r="AA1146" s="1">
        <v>629</v>
      </c>
      <c r="AB1146" s="1">
        <v>0</v>
      </c>
      <c r="AC1146" s="1">
        <v>2</v>
      </c>
      <c r="AD1146" s="1" t="s">
        <v>76</v>
      </c>
      <c r="AE1146" s="1" t="s">
        <v>13522</v>
      </c>
      <c r="AF1146" s="1" t="s">
        <v>13523</v>
      </c>
      <c r="AG1146" s="1" t="s">
        <v>13524</v>
      </c>
      <c r="AH1146" s="1" t="s">
        <v>13525</v>
      </c>
      <c r="AI1146" s="1">
        <v>4.22</v>
      </c>
      <c r="AJ1146" s="1">
        <v>1551</v>
      </c>
      <c r="AK1146" s="1">
        <v>4625</v>
      </c>
    </row>
    <row r="1147" spans="1:38" ht="15.75" customHeight="1">
      <c r="A1147" s="1">
        <v>775</v>
      </c>
      <c r="C1147" s="1">
        <v>4001</v>
      </c>
      <c r="D1147" s="1" t="s">
        <v>51</v>
      </c>
      <c r="E1147" s="1" t="s">
        <v>39</v>
      </c>
      <c r="F1147" s="1" t="s">
        <v>305</v>
      </c>
      <c r="G1147" s="1">
        <v>0</v>
      </c>
      <c r="H1147" s="1" t="s">
        <v>53</v>
      </c>
      <c r="I1147" s="1" t="s">
        <v>13526</v>
      </c>
      <c r="J1147" s="1" t="s">
        <v>13527</v>
      </c>
      <c r="K1147" s="1" t="s">
        <v>13528</v>
      </c>
      <c r="L1147" s="1">
        <v>1</v>
      </c>
      <c r="M1147" s="1">
        <v>0</v>
      </c>
      <c r="N1147" s="1" t="s">
        <v>13529</v>
      </c>
      <c r="O1147" s="1" t="s">
        <v>13530</v>
      </c>
      <c r="P1147" s="1" t="s">
        <v>13531</v>
      </c>
      <c r="Q1147" s="1">
        <v>0</v>
      </c>
      <c r="R1147" s="1" t="s">
        <v>13532</v>
      </c>
      <c r="S1147" s="1" t="s">
        <v>13533</v>
      </c>
      <c r="U1147" s="2">
        <v>56771</v>
      </c>
      <c r="V1147" s="1">
        <v>3.3161997799999998</v>
      </c>
      <c r="W1147" s="1">
        <v>850</v>
      </c>
      <c r="X1147" s="1">
        <v>2001</v>
      </c>
      <c r="Y1147" s="1">
        <v>667</v>
      </c>
      <c r="Z1147" s="1">
        <v>839</v>
      </c>
      <c r="AA1147" s="1">
        <v>495</v>
      </c>
      <c r="AB1147" s="1">
        <v>0</v>
      </c>
      <c r="AC1147" s="1">
        <v>2</v>
      </c>
      <c r="AD1147" s="1" t="s">
        <v>215</v>
      </c>
      <c r="AE1147" s="1" t="s">
        <v>13534</v>
      </c>
      <c r="AF1147" s="1" t="s">
        <v>13535</v>
      </c>
      <c r="AG1147" s="1" t="s">
        <v>13536</v>
      </c>
      <c r="AH1147" s="1" t="s">
        <v>13537</v>
      </c>
      <c r="AI1147" s="1">
        <v>4.5199999999999996</v>
      </c>
      <c r="AJ1147" s="1">
        <v>183</v>
      </c>
      <c r="AK1147" s="1">
        <v>522</v>
      </c>
    </row>
    <row r="1148" spans="1:38" ht="15.75" customHeight="1">
      <c r="A1148" s="1">
        <v>1475</v>
      </c>
      <c r="C1148" s="1">
        <v>4001</v>
      </c>
      <c r="D1148" s="1" t="s">
        <v>51</v>
      </c>
      <c r="E1148" s="1" t="s">
        <v>39</v>
      </c>
      <c r="F1148" s="1" t="s">
        <v>1915</v>
      </c>
      <c r="G1148" s="1">
        <v>0</v>
      </c>
      <c r="H1148" s="1" t="s">
        <v>53</v>
      </c>
      <c r="I1148" s="1" t="s">
        <v>13538</v>
      </c>
      <c r="J1148" s="1" t="s">
        <v>13539</v>
      </c>
      <c r="K1148" s="1" t="s">
        <v>13540</v>
      </c>
      <c r="L1148" s="1">
        <v>1</v>
      </c>
      <c r="M1148" s="1">
        <v>0</v>
      </c>
      <c r="N1148" s="1" t="s">
        <v>13541</v>
      </c>
      <c r="O1148" s="1" t="s">
        <v>13542</v>
      </c>
      <c r="P1148" s="1" t="s">
        <v>13543</v>
      </c>
      <c r="Q1148" s="1">
        <v>0</v>
      </c>
      <c r="R1148" s="1" t="s">
        <v>13544</v>
      </c>
      <c r="U1148" s="2">
        <v>56777</v>
      </c>
      <c r="V1148" s="1">
        <v>3.8969597290000002</v>
      </c>
      <c r="W1148" s="1">
        <v>850</v>
      </c>
      <c r="X1148" s="1">
        <v>2482</v>
      </c>
      <c r="AA1148" s="1">
        <v>14</v>
      </c>
      <c r="AB1148" s="1">
        <v>0</v>
      </c>
      <c r="AC1148" s="1">
        <v>2</v>
      </c>
      <c r="AE1148" s="1" t="s">
        <v>13545</v>
      </c>
      <c r="AF1148" s="1" t="s">
        <v>13546</v>
      </c>
      <c r="AG1148" s="1" t="s">
        <v>13547</v>
      </c>
      <c r="AI1148" s="1">
        <v>4.63</v>
      </c>
      <c r="AJ1148" s="1">
        <v>242</v>
      </c>
      <c r="AK1148" s="1">
        <v>736</v>
      </c>
    </row>
    <row r="1149" spans="1:38" ht="15.75" customHeight="1">
      <c r="A1149" s="1">
        <v>149</v>
      </c>
      <c r="B1149" s="1">
        <v>5</v>
      </c>
      <c r="C1149" s="1">
        <v>4050</v>
      </c>
      <c r="D1149" s="1" t="s">
        <v>38</v>
      </c>
      <c r="E1149" s="1" t="s">
        <v>39</v>
      </c>
      <c r="F1149" s="1" t="s">
        <v>195</v>
      </c>
      <c r="G1149" s="1">
        <v>0</v>
      </c>
      <c r="H1149" s="1" t="s">
        <v>41</v>
      </c>
      <c r="I1149" s="1" t="s">
        <v>13548</v>
      </c>
      <c r="J1149" s="1" t="s">
        <v>13549</v>
      </c>
      <c r="K1149" s="1" t="s">
        <v>13550</v>
      </c>
      <c r="L1149" s="1">
        <v>1</v>
      </c>
      <c r="M1149" s="1">
        <v>0</v>
      </c>
      <c r="N1149" s="1" t="s">
        <v>13551</v>
      </c>
      <c r="O1149" s="1" t="s">
        <v>13552</v>
      </c>
      <c r="P1149" s="1" t="s">
        <v>13553</v>
      </c>
      <c r="Q1149" s="1">
        <v>0</v>
      </c>
      <c r="R1149" s="1" t="s">
        <v>13554</v>
      </c>
      <c r="U1149" s="2">
        <v>56767</v>
      </c>
      <c r="V1149" s="1">
        <v>4.5999999999999996</v>
      </c>
      <c r="W1149" s="1">
        <v>850</v>
      </c>
      <c r="X1149" s="1">
        <v>1578</v>
      </c>
      <c r="AA1149" s="1">
        <v>8</v>
      </c>
      <c r="AB1149" s="1">
        <v>0</v>
      </c>
      <c r="AC1149" s="1">
        <v>1</v>
      </c>
      <c r="AE1149" s="1" t="s">
        <v>13555</v>
      </c>
      <c r="AF1149" s="1" t="s">
        <v>13556</v>
      </c>
      <c r="AG1149" s="1" t="s">
        <v>13557</v>
      </c>
      <c r="AI1149" s="1">
        <v>4.66</v>
      </c>
      <c r="AJ1149" s="1">
        <v>161</v>
      </c>
      <c r="AK1149" s="1">
        <v>398</v>
      </c>
    </row>
    <row r="1150" spans="1:38" ht="15.75" customHeight="1">
      <c r="A1150" s="1">
        <v>303</v>
      </c>
      <c r="B1150" s="1">
        <v>5</v>
      </c>
      <c r="C1150" s="1">
        <v>4050</v>
      </c>
      <c r="D1150" s="1" t="s">
        <v>38</v>
      </c>
      <c r="E1150" s="1" t="s">
        <v>39</v>
      </c>
      <c r="F1150" s="1" t="s">
        <v>510</v>
      </c>
      <c r="G1150" s="1">
        <v>0</v>
      </c>
      <c r="H1150" s="1" t="s">
        <v>41</v>
      </c>
      <c r="I1150" s="1" t="s">
        <v>13558</v>
      </c>
      <c r="J1150" s="1" t="s">
        <v>13559</v>
      </c>
      <c r="K1150" s="1" t="s">
        <v>13560</v>
      </c>
      <c r="L1150" s="1">
        <v>1</v>
      </c>
      <c r="M1150" s="1">
        <v>0</v>
      </c>
      <c r="N1150" s="1" t="s">
        <v>13561</v>
      </c>
      <c r="O1150" s="1" t="s">
        <v>13562</v>
      </c>
      <c r="P1150" s="1" t="s">
        <v>13563</v>
      </c>
      <c r="Q1150" s="1">
        <v>0</v>
      </c>
      <c r="R1150" s="1" t="s">
        <v>13564</v>
      </c>
      <c r="U1150" s="2">
        <v>56768</v>
      </c>
      <c r="V1150" s="1">
        <v>4.5999999999999996</v>
      </c>
      <c r="W1150" s="1">
        <v>850</v>
      </c>
      <c r="X1150" s="1">
        <v>811</v>
      </c>
      <c r="AA1150" s="1">
        <v>506</v>
      </c>
      <c r="AB1150" s="1">
        <v>0</v>
      </c>
      <c r="AC1150" s="1">
        <v>1</v>
      </c>
      <c r="AE1150" s="1" t="s">
        <v>13565</v>
      </c>
      <c r="AF1150" s="1" t="s">
        <v>13566</v>
      </c>
      <c r="AG1150" s="1" t="s">
        <v>13567</v>
      </c>
      <c r="AI1150" s="1">
        <v>4.62</v>
      </c>
      <c r="AJ1150" s="1">
        <v>259</v>
      </c>
      <c r="AK1150" s="1">
        <v>604</v>
      </c>
      <c r="AL1150" s="1">
        <v>21</v>
      </c>
    </row>
    <row r="1151" spans="1:38" ht="15.75" customHeight="1">
      <c r="A1151" s="1">
        <v>91</v>
      </c>
      <c r="B1151" s="1">
        <v>3</v>
      </c>
      <c r="C1151" s="1">
        <v>4050</v>
      </c>
      <c r="D1151" s="1" t="s">
        <v>38</v>
      </c>
      <c r="E1151" s="1" t="s">
        <v>39</v>
      </c>
      <c r="F1151" s="1" t="s">
        <v>365</v>
      </c>
      <c r="G1151" s="1">
        <v>0</v>
      </c>
      <c r="H1151" s="1" t="s">
        <v>41</v>
      </c>
      <c r="I1151" s="1" t="s">
        <v>13568</v>
      </c>
      <c r="J1151" s="1" t="s">
        <v>13569</v>
      </c>
      <c r="K1151" s="1" t="s">
        <v>13570</v>
      </c>
      <c r="L1151" s="1">
        <v>1</v>
      </c>
      <c r="M1151" s="1">
        <v>0</v>
      </c>
      <c r="N1151" s="1" t="s">
        <v>13571</v>
      </c>
      <c r="O1151" s="1" t="s">
        <v>13572</v>
      </c>
      <c r="P1151" s="1" t="s">
        <v>13573</v>
      </c>
      <c r="Q1151" s="1">
        <v>0</v>
      </c>
      <c r="R1151" s="1" t="s">
        <v>13574</v>
      </c>
      <c r="S1151" s="1" t="s">
        <v>13575</v>
      </c>
      <c r="U1151" s="2">
        <v>56766</v>
      </c>
      <c r="V1151" s="1">
        <v>4.8</v>
      </c>
      <c r="W1151" s="1">
        <v>800</v>
      </c>
      <c r="X1151" s="1">
        <v>2147</v>
      </c>
      <c r="Y1151" s="1">
        <v>1028</v>
      </c>
      <c r="Z1151" s="1">
        <v>47</v>
      </c>
      <c r="AA1151" s="1">
        <v>1072</v>
      </c>
      <c r="AB1151" s="1">
        <v>0</v>
      </c>
      <c r="AC1151" s="1">
        <v>1</v>
      </c>
      <c r="AD1151" s="1" t="s">
        <v>76</v>
      </c>
      <c r="AE1151" s="1" t="s">
        <v>13576</v>
      </c>
      <c r="AF1151" s="1" t="s">
        <v>13577</v>
      </c>
      <c r="AG1151" s="1" t="s">
        <v>13578</v>
      </c>
      <c r="AH1151" s="1" t="s">
        <v>13579</v>
      </c>
      <c r="AI1151" s="1">
        <v>4.7699999999999996</v>
      </c>
      <c r="AJ1151" s="1">
        <v>426</v>
      </c>
      <c r="AK1151" s="1">
        <v>1226</v>
      </c>
      <c r="AL1151" s="1">
        <v>85</v>
      </c>
    </row>
    <row r="1152" spans="1:38" ht="15.75" customHeight="1">
      <c r="A1152" s="1">
        <v>173</v>
      </c>
      <c r="B1152" s="1">
        <v>5</v>
      </c>
      <c r="C1152" s="1">
        <v>4050</v>
      </c>
      <c r="D1152" s="1" t="s">
        <v>38</v>
      </c>
      <c r="E1152" s="1" t="s">
        <v>39</v>
      </c>
      <c r="F1152" s="1" t="s">
        <v>280</v>
      </c>
      <c r="G1152" s="1">
        <v>0</v>
      </c>
      <c r="H1152" s="1" t="s">
        <v>41</v>
      </c>
      <c r="I1152" s="1" t="s">
        <v>13580</v>
      </c>
      <c r="J1152" s="1" t="s">
        <v>13581</v>
      </c>
      <c r="K1152" s="1" t="s">
        <v>13582</v>
      </c>
      <c r="L1152" s="1">
        <v>1</v>
      </c>
      <c r="M1152" s="1">
        <v>0</v>
      </c>
      <c r="N1152" s="1" t="s">
        <v>13583</v>
      </c>
      <c r="O1152" s="1" t="s">
        <v>13584</v>
      </c>
      <c r="P1152" s="1" t="s">
        <v>13585</v>
      </c>
      <c r="Q1152" s="1">
        <v>0</v>
      </c>
      <c r="R1152" s="1" t="s">
        <v>13586</v>
      </c>
      <c r="S1152" s="1" t="s">
        <v>13587</v>
      </c>
      <c r="U1152" s="2">
        <v>56767</v>
      </c>
      <c r="V1152" s="1">
        <v>4.8</v>
      </c>
      <c r="W1152" s="1">
        <v>800</v>
      </c>
      <c r="X1152" s="1">
        <v>952</v>
      </c>
      <c r="Y1152" s="1">
        <v>578</v>
      </c>
      <c r="Z1152" s="1">
        <v>170</v>
      </c>
      <c r="AA1152" s="1">
        <v>204</v>
      </c>
      <c r="AB1152" s="1">
        <v>0</v>
      </c>
      <c r="AC1152" s="1">
        <v>2</v>
      </c>
      <c r="AD1152" s="1" t="s">
        <v>215</v>
      </c>
      <c r="AE1152" s="1" t="s">
        <v>13588</v>
      </c>
      <c r="AF1152" s="1" t="s">
        <v>13589</v>
      </c>
      <c r="AG1152" s="1" t="s">
        <v>13590</v>
      </c>
      <c r="AH1152" s="1" t="s">
        <v>13591</v>
      </c>
      <c r="AI1152" s="1">
        <v>4.49</v>
      </c>
      <c r="AJ1152" s="1">
        <v>2315</v>
      </c>
      <c r="AK1152" s="1">
        <v>7039</v>
      </c>
      <c r="AL1152" s="1">
        <v>763</v>
      </c>
    </row>
    <row r="1153" spans="1:38" ht="15.75" customHeight="1">
      <c r="A1153" s="1">
        <v>712</v>
      </c>
      <c r="C1153" s="1">
        <v>4001</v>
      </c>
      <c r="D1153" s="1" t="s">
        <v>51</v>
      </c>
      <c r="E1153" s="1" t="s">
        <v>39</v>
      </c>
      <c r="F1153" s="1" t="s">
        <v>1104</v>
      </c>
      <c r="G1153" s="1">
        <v>0</v>
      </c>
      <c r="H1153" s="1" t="s">
        <v>41</v>
      </c>
      <c r="I1153" s="1" t="s">
        <v>13592</v>
      </c>
      <c r="J1153" s="1" t="s">
        <v>13593</v>
      </c>
      <c r="K1153" s="1" t="s">
        <v>13594</v>
      </c>
      <c r="L1153" s="1">
        <v>1</v>
      </c>
      <c r="M1153" s="1">
        <v>0</v>
      </c>
      <c r="N1153" s="1" t="s">
        <v>13595</v>
      </c>
      <c r="O1153" s="1" t="s">
        <v>13596</v>
      </c>
      <c r="P1153" s="1" t="s">
        <v>13597</v>
      </c>
      <c r="Q1153" s="1">
        <v>0</v>
      </c>
      <c r="R1153" s="1" t="s">
        <v>13598</v>
      </c>
      <c r="S1153" s="1" t="s">
        <v>13599</v>
      </c>
      <c r="U1153" s="2">
        <v>56770</v>
      </c>
      <c r="V1153" s="1">
        <v>4.5</v>
      </c>
      <c r="W1153" s="1">
        <v>800</v>
      </c>
      <c r="X1153" s="1">
        <v>3175</v>
      </c>
      <c r="Y1153" s="1">
        <v>1601</v>
      </c>
      <c r="Z1153" s="1">
        <v>132</v>
      </c>
      <c r="AA1153" s="1">
        <v>1442</v>
      </c>
      <c r="AB1153" s="1">
        <v>0</v>
      </c>
      <c r="AC1153" s="1">
        <v>1</v>
      </c>
      <c r="AD1153" s="1" t="s">
        <v>76</v>
      </c>
      <c r="AE1153" s="1" t="s">
        <v>13600</v>
      </c>
      <c r="AF1153" s="1" t="s">
        <v>13601</v>
      </c>
      <c r="AG1153" s="1" t="s">
        <v>13602</v>
      </c>
      <c r="AH1153" s="1" t="s">
        <v>13603</v>
      </c>
      <c r="AI1153" s="1">
        <v>4.46</v>
      </c>
      <c r="AJ1153" s="1">
        <v>148</v>
      </c>
      <c r="AK1153" s="1">
        <v>435</v>
      </c>
    </row>
    <row r="1154" spans="1:38" ht="15.75" customHeight="1">
      <c r="A1154" s="1">
        <v>868</v>
      </c>
      <c r="B1154" s="1">
        <v>5</v>
      </c>
      <c r="C1154" s="1">
        <v>4050</v>
      </c>
      <c r="D1154" s="1" t="s">
        <v>38</v>
      </c>
      <c r="E1154" s="1" t="s">
        <v>39</v>
      </c>
      <c r="F1154" s="1" t="s">
        <v>390</v>
      </c>
      <c r="G1154" s="1">
        <v>0</v>
      </c>
      <c r="H1154" s="1" t="s">
        <v>41</v>
      </c>
      <c r="I1154" s="1" t="s">
        <v>13604</v>
      </c>
      <c r="J1154" s="1" t="s">
        <v>13605</v>
      </c>
      <c r="K1154" s="1" t="s">
        <v>13606</v>
      </c>
      <c r="L1154" s="1">
        <v>1</v>
      </c>
      <c r="M1154" s="1">
        <v>0</v>
      </c>
      <c r="N1154" s="1" t="s">
        <v>13607</v>
      </c>
      <c r="O1154" s="1" t="s">
        <v>13608</v>
      </c>
      <c r="P1154" s="1" t="s">
        <v>13609</v>
      </c>
      <c r="Q1154" s="1">
        <v>0</v>
      </c>
      <c r="R1154" s="1" t="s">
        <v>13610</v>
      </c>
      <c r="S1154" s="1" t="s">
        <v>13611</v>
      </c>
      <c r="U1154" s="2">
        <v>56772</v>
      </c>
      <c r="V1154" s="1">
        <v>4.5999999999999996</v>
      </c>
      <c r="W1154" s="1">
        <v>800</v>
      </c>
      <c r="X1154" s="1">
        <v>1856</v>
      </c>
      <c r="Y1154" s="1">
        <v>286</v>
      </c>
      <c r="AA1154" s="1">
        <v>1633</v>
      </c>
      <c r="AB1154" s="1">
        <v>0</v>
      </c>
      <c r="AC1154" s="1">
        <v>1</v>
      </c>
      <c r="AD1154" s="1" t="s">
        <v>76</v>
      </c>
      <c r="AE1154" s="1" t="s">
        <v>13612</v>
      </c>
      <c r="AF1154" s="1" t="s">
        <v>13613</v>
      </c>
      <c r="AG1154" s="1" t="s">
        <v>13614</v>
      </c>
      <c r="AH1154" s="1" t="s">
        <v>13615</v>
      </c>
      <c r="AI1154" s="1">
        <v>4.5599999999999996</v>
      </c>
      <c r="AJ1154" s="1">
        <v>344</v>
      </c>
      <c r="AK1154" s="1">
        <v>947</v>
      </c>
      <c r="AL1154" s="1">
        <v>22</v>
      </c>
    </row>
    <row r="1155" spans="1:38" ht="15.75" customHeight="1">
      <c r="A1155" s="1">
        <v>915</v>
      </c>
      <c r="B1155" s="1">
        <v>3</v>
      </c>
      <c r="C1155" s="1">
        <v>4050</v>
      </c>
      <c r="D1155" s="1" t="s">
        <v>38</v>
      </c>
      <c r="E1155" s="1" t="s">
        <v>39</v>
      </c>
      <c r="F1155" s="1" t="s">
        <v>13616</v>
      </c>
      <c r="G1155" s="1">
        <v>0</v>
      </c>
      <c r="H1155" s="1" t="s">
        <v>41</v>
      </c>
      <c r="I1155" s="1" t="s">
        <v>13617</v>
      </c>
      <c r="J1155" s="1" t="s">
        <v>13618</v>
      </c>
      <c r="K1155" s="1" t="s">
        <v>13619</v>
      </c>
      <c r="L1155" s="1">
        <v>1</v>
      </c>
      <c r="M1155" s="1">
        <v>0</v>
      </c>
      <c r="N1155" s="1" t="s">
        <v>13620</v>
      </c>
      <c r="O1155" s="1" t="s">
        <v>13621</v>
      </c>
      <c r="P1155" s="1" t="s">
        <v>13622</v>
      </c>
      <c r="Q1155" s="1">
        <v>0</v>
      </c>
      <c r="R1155" s="1" t="s">
        <v>13623</v>
      </c>
      <c r="S1155" s="1" t="s">
        <v>13624</v>
      </c>
      <c r="U1155" s="2">
        <v>56772</v>
      </c>
      <c r="V1155" s="1">
        <v>3.1632235249999998</v>
      </c>
      <c r="W1155" s="1">
        <v>800</v>
      </c>
      <c r="X1155" s="1">
        <v>2142</v>
      </c>
      <c r="Y1155" s="1">
        <v>906</v>
      </c>
      <c r="Z1155" s="1">
        <v>622</v>
      </c>
      <c r="AA1155" s="1">
        <v>614</v>
      </c>
      <c r="AB1155" s="1">
        <v>0</v>
      </c>
      <c r="AC1155" s="1">
        <v>1</v>
      </c>
      <c r="AD1155" s="1" t="s">
        <v>76</v>
      </c>
      <c r="AE1155" s="1" t="s">
        <v>13625</v>
      </c>
      <c r="AF1155" s="1" t="s">
        <v>13626</v>
      </c>
      <c r="AG1155" s="1" t="s">
        <v>13627</v>
      </c>
      <c r="AH1155" s="1" t="s">
        <v>13628</v>
      </c>
      <c r="AI1155" s="1">
        <v>4.3888888890000004</v>
      </c>
      <c r="AJ1155" s="1">
        <v>14</v>
      </c>
      <c r="AK1155" s="1">
        <v>32</v>
      </c>
    </row>
    <row r="1156" spans="1:38" ht="15.75" customHeight="1">
      <c r="A1156" s="1">
        <v>1141</v>
      </c>
      <c r="B1156" s="1">
        <v>5</v>
      </c>
      <c r="C1156" s="1">
        <v>4001</v>
      </c>
      <c r="D1156" s="1" t="s">
        <v>51</v>
      </c>
      <c r="E1156" s="1" t="s">
        <v>39</v>
      </c>
      <c r="F1156" s="1" t="s">
        <v>745</v>
      </c>
      <c r="G1156" s="1">
        <v>1</v>
      </c>
      <c r="H1156" s="1" t="s">
        <v>53</v>
      </c>
      <c r="I1156" s="1" t="s">
        <v>13629</v>
      </c>
      <c r="J1156" s="1" t="s">
        <v>13630</v>
      </c>
      <c r="K1156" s="1" t="s">
        <v>13631</v>
      </c>
      <c r="L1156" s="1">
        <v>1</v>
      </c>
      <c r="M1156" s="1">
        <v>0</v>
      </c>
      <c r="N1156" s="1" t="s">
        <v>13632</v>
      </c>
      <c r="O1156" s="1" t="s">
        <v>13633</v>
      </c>
      <c r="P1156" s="1" t="s">
        <v>13634</v>
      </c>
      <c r="Q1156" s="1">
        <v>0</v>
      </c>
      <c r="R1156" s="1" t="s">
        <v>13635</v>
      </c>
      <c r="S1156" s="1" t="s">
        <v>13636</v>
      </c>
      <c r="U1156" s="2">
        <v>56775</v>
      </c>
      <c r="V1156" s="1">
        <v>3.2164636280000001</v>
      </c>
      <c r="W1156" s="1">
        <v>800</v>
      </c>
      <c r="X1156" s="1">
        <v>2014</v>
      </c>
      <c r="Y1156" s="1">
        <v>1000</v>
      </c>
      <c r="Z1156" s="1">
        <v>1004</v>
      </c>
      <c r="AA1156" s="1">
        <v>10</v>
      </c>
      <c r="AB1156" s="1">
        <v>0</v>
      </c>
      <c r="AC1156" s="1">
        <v>1</v>
      </c>
      <c r="AD1156" s="1" t="s">
        <v>62</v>
      </c>
      <c r="AE1156" s="1" t="s">
        <v>13637</v>
      </c>
      <c r="AF1156" s="1" t="s">
        <v>13638</v>
      </c>
      <c r="AG1156" s="1" t="s">
        <v>13639</v>
      </c>
      <c r="AH1156" s="1" t="s">
        <v>13640</v>
      </c>
      <c r="AI1156" s="1">
        <v>4.72</v>
      </c>
      <c r="AJ1156" s="1">
        <v>141</v>
      </c>
      <c r="AK1156" s="1">
        <v>418</v>
      </c>
      <c r="AL1156" s="1">
        <v>90</v>
      </c>
    </row>
    <row r="1157" spans="1:38" ht="15.75" customHeight="1">
      <c r="A1157" s="1">
        <v>848</v>
      </c>
      <c r="B1157" s="1">
        <v>5</v>
      </c>
      <c r="C1157" s="1">
        <v>4001</v>
      </c>
      <c r="D1157" s="1" t="s">
        <v>51</v>
      </c>
      <c r="E1157" s="1" t="s">
        <v>39</v>
      </c>
      <c r="F1157" s="1" t="s">
        <v>341</v>
      </c>
      <c r="G1157" s="1">
        <v>0</v>
      </c>
      <c r="H1157" s="1" t="s">
        <v>41</v>
      </c>
      <c r="I1157" s="1" t="s">
        <v>13641</v>
      </c>
      <c r="J1157" s="1" t="s">
        <v>13642</v>
      </c>
      <c r="K1157" s="1" t="s">
        <v>13643</v>
      </c>
      <c r="L1157" s="1">
        <v>1</v>
      </c>
      <c r="M1157" s="1">
        <v>0</v>
      </c>
      <c r="N1157" s="1" t="s">
        <v>13644</v>
      </c>
      <c r="O1157" s="1" t="s">
        <v>13645</v>
      </c>
      <c r="P1157" s="1" t="s">
        <v>13646</v>
      </c>
      <c r="Q1157" s="1">
        <v>0</v>
      </c>
      <c r="R1157" s="1" t="s">
        <v>13647</v>
      </c>
      <c r="S1157" s="1" t="s">
        <v>13648</v>
      </c>
      <c r="U1157" s="2">
        <v>56772</v>
      </c>
      <c r="V1157" s="1">
        <v>4.5</v>
      </c>
      <c r="W1157" s="1">
        <v>800</v>
      </c>
      <c r="X1157" s="1">
        <v>1425</v>
      </c>
      <c r="Y1157" s="1">
        <v>486</v>
      </c>
      <c r="Z1157" s="1">
        <v>346</v>
      </c>
      <c r="AA1157" s="1">
        <v>593</v>
      </c>
      <c r="AB1157" s="1">
        <v>0</v>
      </c>
      <c r="AC1157" s="1">
        <v>1</v>
      </c>
      <c r="AD1157" s="1" t="s">
        <v>215</v>
      </c>
      <c r="AE1157" s="1" t="s">
        <v>13649</v>
      </c>
      <c r="AF1157" s="1" t="s">
        <v>13650</v>
      </c>
      <c r="AG1157" s="1" t="s">
        <v>13651</v>
      </c>
      <c r="AH1157" s="1" t="s">
        <v>13652</v>
      </c>
      <c r="AI1157" s="1">
        <v>4.54</v>
      </c>
      <c r="AJ1157" s="1">
        <v>2229</v>
      </c>
      <c r="AK1157" s="1">
        <v>6580</v>
      </c>
    </row>
    <row r="1158" spans="1:38" ht="15.75" customHeight="1">
      <c r="A1158" s="1">
        <v>213</v>
      </c>
      <c r="C1158" s="1">
        <v>4050</v>
      </c>
      <c r="D1158" s="1" t="s">
        <v>38</v>
      </c>
      <c r="E1158" s="1" t="s">
        <v>39</v>
      </c>
      <c r="F1158" s="1" t="s">
        <v>390</v>
      </c>
      <c r="G1158" s="1">
        <v>0</v>
      </c>
      <c r="H1158" s="1" t="s">
        <v>41</v>
      </c>
      <c r="I1158" s="1" t="s">
        <v>13653</v>
      </c>
      <c r="J1158" s="1" t="s">
        <v>13654</v>
      </c>
      <c r="K1158" s="1" t="s">
        <v>13655</v>
      </c>
      <c r="L1158" s="1">
        <v>1</v>
      </c>
      <c r="M1158" s="1">
        <v>0</v>
      </c>
      <c r="N1158" s="1" t="s">
        <v>13656</v>
      </c>
      <c r="O1158" s="1" t="s">
        <v>13657</v>
      </c>
      <c r="P1158" s="1" t="s">
        <v>13658</v>
      </c>
      <c r="Q1158" s="1">
        <v>0</v>
      </c>
      <c r="R1158" s="1" t="s">
        <v>13659</v>
      </c>
      <c r="U1158" s="2">
        <v>56767</v>
      </c>
      <c r="V1158" s="1">
        <v>4.4000000000000004</v>
      </c>
      <c r="W1158" s="1">
        <v>800</v>
      </c>
      <c r="X1158" s="1">
        <v>1962</v>
      </c>
      <c r="AA1158" s="1">
        <v>1154</v>
      </c>
      <c r="AB1158" s="1">
        <v>0</v>
      </c>
      <c r="AC1158" s="1">
        <v>1</v>
      </c>
      <c r="AE1158" s="1" t="s">
        <v>13660</v>
      </c>
      <c r="AF1158" s="1" t="s">
        <v>13661</v>
      </c>
      <c r="AG1158" s="1" t="s">
        <v>13662</v>
      </c>
      <c r="AI1158" s="1">
        <v>4.5599999999999996</v>
      </c>
      <c r="AJ1158" s="1">
        <v>344</v>
      </c>
      <c r="AK1158" s="1">
        <v>947</v>
      </c>
      <c r="AL1158" s="1">
        <v>22</v>
      </c>
    </row>
    <row r="1159" spans="1:38" ht="15.75" customHeight="1">
      <c r="A1159" s="1">
        <v>431</v>
      </c>
      <c r="C1159" s="1">
        <v>4050</v>
      </c>
      <c r="D1159" s="1" t="s">
        <v>38</v>
      </c>
      <c r="E1159" s="1" t="s">
        <v>39</v>
      </c>
      <c r="F1159" s="1" t="s">
        <v>510</v>
      </c>
      <c r="G1159" s="1">
        <v>0</v>
      </c>
      <c r="H1159" s="1" t="s">
        <v>41</v>
      </c>
      <c r="I1159" s="1" t="s">
        <v>13663</v>
      </c>
      <c r="J1159" s="1" t="s">
        <v>13664</v>
      </c>
      <c r="K1159" s="1" t="s">
        <v>13665</v>
      </c>
      <c r="L1159" s="1">
        <v>1</v>
      </c>
      <c r="M1159" s="1">
        <v>0</v>
      </c>
      <c r="N1159" s="1" t="s">
        <v>13666</v>
      </c>
      <c r="O1159" s="1" t="s">
        <v>13667</v>
      </c>
      <c r="P1159" s="1" t="s">
        <v>13668</v>
      </c>
      <c r="Q1159" s="1">
        <v>0</v>
      </c>
      <c r="R1159" s="1" t="s">
        <v>13669</v>
      </c>
      <c r="S1159" s="1" t="s">
        <v>13670</v>
      </c>
      <c r="U1159" s="2">
        <v>56769</v>
      </c>
      <c r="V1159" s="1">
        <v>4.7</v>
      </c>
      <c r="W1159" s="1">
        <v>800</v>
      </c>
      <c r="X1159" s="1">
        <v>3129</v>
      </c>
      <c r="Y1159" s="1">
        <v>1715</v>
      </c>
      <c r="Z1159" s="1">
        <v>487</v>
      </c>
      <c r="AA1159" s="1">
        <v>927</v>
      </c>
      <c r="AB1159" s="1">
        <v>0</v>
      </c>
      <c r="AC1159" s="1">
        <v>1</v>
      </c>
      <c r="AD1159" s="1" t="s">
        <v>76</v>
      </c>
      <c r="AE1159" s="1" t="s">
        <v>13671</v>
      </c>
      <c r="AF1159" s="1" t="s">
        <v>13672</v>
      </c>
      <c r="AG1159" s="1" t="s">
        <v>13673</v>
      </c>
      <c r="AH1159" s="1" t="s">
        <v>13674</v>
      </c>
      <c r="AI1159" s="1">
        <v>4.62</v>
      </c>
      <c r="AJ1159" s="1">
        <v>259</v>
      </c>
      <c r="AK1159" s="1">
        <v>604</v>
      </c>
      <c r="AL1159" s="1">
        <v>21</v>
      </c>
    </row>
    <row r="1160" spans="1:38" ht="15.75" customHeight="1">
      <c r="A1160" s="1">
        <v>1476</v>
      </c>
      <c r="B1160" s="1">
        <v>5</v>
      </c>
      <c r="C1160" s="1">
        <v>4001</v>
      </c>
      <c r="D1160" s="1" t="s">
        <v>51</v>
      </c>
      <c r="E1160" s="1" t="s">
        <v>39</v>
      </c>
      <c r="F1160" s="1" t="s">
        <v>2338</v>
      </c>
      <c r="G1160" s="1">
        <v>0</v>
      </c>
      <c r="H1160" s="1" t="s">
        <v>53</v>
      </c>
      <c r="I1160" s="1" t="s">
        <v>13675</v>
      </c>
      <c r="J1160" s="1" t="s">
        <v>13676</v>
      </c>
      <c r="K1160" s="1" t="s">
        <v>13677</v>
      </c>
      <c r="L1160" s="1">
        <v>1</v>
      </c>
      <c r="M1160" s="1">
        <v>0</v>
      </c>
      <c r="N1160" s="1" t="s">
        <v>13678</v>
      </c>
      <c r="O1160" s="1" t="s">
        <v>13679</v>
      </c>
      <c r="P1160" s="1" t="s">
        <v>13680</v>
      </c>
      <c r="Q1160" s="1">
        <v>0</v>
      </c>
      <c r="R1160" s="1" t="s">
        <v>13681</v>
      </c>
      <c r="S1160" s="1" t="s">
        <v>13682</v>
      </c>
      <c r="U1160" s="2">
        <v>56777</v>
      </c>
      <c r="V1160" s="1">
        <v>2.9691438730000002</v>
      </c>
      <c r="W1160" s="1">
        <v>800</v>
      </c>
      <c r="X1160" s="1">
        <v>3005</v>
      </c>
      <c r="Y1160" s="1">
        <v>425</v>
      </c>
      <c r="Z1160" s="1">
        <v>326</v>
      </c>
      <c r="AA1160" s="1">
        <v>2254</v>
      </c>
      <c r="AB1160" s="1">
        <v>0</v>
      </c>
      <c r="AC1160" s="1">
        <v>1</v>
      </c>
      <c r="AD1160" s="1" t="s">
        <v>62</v>
      </c>
      <c r="AE1160" s="1" t="s">
        <v>13683</v>
      </c>
      <c r="AF1160" s="1" t="s">
        <v>13684</v>
      </c>
      <c r="AG1160" s="1" t="s">
        <v>13685</v>
      </c>
      <c r="AH1160" s="1" t="s">
        <v>13686</v>
      </c>
      <c r="AI1160" s="1">
        <v>4.3510638300000002</v>
      </c>
      <c r="AJ1160" s="1">
        <v>62</v>
      </c>
      <c r="AK1160" s="1">
        <v>228</v>
      </c>
    </row>
    <row r="1161" spans="1:38" ht="15.75" customHeight="1">
      <c r="A1161" s="1">
        <v>516</v>
      </c>
      <c r="B1161" s="1">
        <v>5</v>
      </c>
      <c r="C1161" s="1">
        <v>4050</v>
      </c>
      <c r="D1161" s="1" t="s">
        <v>38</v>
      </c>
      <c r="E1161" s="1" t="s">
        <v>39</v>
      </c>
      <c r="F1161" s="1" t="s">
        <v>40</v>
      </c>
      <c r="G1161" s="1">
        <v>0</v>
      </c>
      <c r="H1161" s="1" t="s">
        <v>41</v>
      </c>
      <c r="I1161" s="1" t="s">
        <v>13687</v>
      </c>
      <c r="J1161" s="1" t="s">
        <v>13688</v>
      </c>
      <c r="K1161" s="1" t="s">
        <v>13689</v>
      </c>
      <c r="L1161" s="1">
        <v>1</v>
      </c>
      <c r="M1161" s="1">
        <v>0</v>
      </c>
      <c r="N1161" s="1" t="s">
        <v>13690</v>
      </c>
      <c r="O1161" s="1" t="s">
        <v>13691</v>
      </c>
      <c r="P1161" s="1" t="s">
        <v>13692</v>
      </c>
      <c r="Q1161" s="1">
        <v>0</v>
      </c>
      <c r="R1161" s="1" t="s">
        <v>13693</v>
      </c>
      <c r="S1161" s="1" t="s">
        <v>13694</v>
      </c>
      <c r="U1161" s="2">
        <v>56769</v>
      </c>
      <c r="V1161" s="1">
        <v>4.4000000000000004</v>
      </c>
      <c r="W1161" s="1">
        <v>800</v>
      </c>
      <c r="X1161" s="1">
        <v>2232</v>
      </c>
      <c r="Y1161" s="1">
        <v>449</v>
      </c>
      <c r="Z1161" s="1">
        <v>1038</v>
      </c>
      <c r="AA1161" s="1">
        <v>745</v>
      </c>
      <c r="AB1161" s="1">
        <v>0</v>
      </c>
      <c r="AC1161" s="1">
        <v>1</v>
      </c>
      <c r="AD1161" s="1" t="s">
        <v>62</v>
      </c>
      <c r="AE1161" s="1" t="s">
        <v>13695</v>
      </c>
      <c r="AF1161" s="1" t="s">
        <v>13696</v>
      </c>
      <c r="AG1161" s="1" t="s">
        <v>13697</v>
      </c>
      <c r="AH1161" s="1" t="s">
        <v>13698</v>
      </c>
      <c r="AI1161" s="1">
        <v>4.7</v>
      </c>
      <c r="AJ1161" s="1">
        <v>1261</v>
      </c>
      <c r="AK1161" s="1">
        <v>3264</v>
      </c>
      <c r="AL1161" s="1">
        <v>232</v>
      </c>
    </row>
    <row r="1162" spans="1:38" ht="15.75" customHeight="1">
      <c r="A1162" s="1">
        <v>214</v>
      </c>
      <c r="B1162" s="1">
        <v>5</v>
      </c>
      <c r="C1162" s="1">
        <v>4050</v>
      </c>
      <c r="D1162" s="1" t="s">
        <v>38</v>
      </c>
      <c r="E1162" s="1" t="s">
        <v>39</v>
      </c>
      <c r="F1162" s="1" t="s">
        <v>173</v>
      </c>
      <c r="G1162" s="1">
        <v>0</v>
      </c>
      <c r="H1162" s="1" t="s">
        <v>41</v>
      </c>
      <c r="I1162" s="1" t="s">
        <v>13699</v>
      </c>
      <c r="J1162" s="1" t="s">
        <v>13700</v>
      </c>
      <c r="K1162" s="1" t="s">
        <v>13701</v>
      </c>
      <c r="L1162" s="1">
        <v>1</v>
      </c>
      <c r="M1162" s="1">
        <v>0</v>
      </c>
      <c r="N1162" s="1" t="s">
        <v>13702</v>
      </c>
      <c r="O1162" s="1" t="s">
        <v>13703</v>
      </c>
      <c r="P1162" s="1" t="s">
        <v>13704</v>
      </c>
      <c r="Q1162" s="1">
        <v>0</v>
      </c>
      <c r="R1162" s="1" t="s">
        <v>13705</v>
      </c>
      <c r="U1162" s="2">
        <v>56767</v>
      </c>
      <c r="V1162" s="1">
        <v>4.5999999999999996</v>
      </c>
      <c r="W1162" s="1">
        <v>800</v>
      </c>
      <c r="X1162" s="1">
        <v>2040</v>
      </c>
      <c r="AA1162" s="1">
        <v>1315</v>
      </c>
      <c r="AB1162" s="1">
        <v>0</v>
      </c>
      <c r="AC1162" s="1">
        <v>2</v>
      </c>
      <c r="AE1162" s="1" t="s">
        <v>13706</v>
      </c>
      <c r="AF1162" s="1" t="s">
        <v>13707</v>
      </c>
      <c r="AG1162" s="1" t="s">
        <v>13708</v>
      </c>
      <c r="AI1162" s="1">
        <v>4.22</v>
      </c>
      <c r="AJ1162" s="1">
        <v>1551</v>
      </c>
      <c r="AK1162" s="1">
        <v>4625</v>
      </c>
    </row>
    <row r="1163" spans="1:38" ht="15.75" customHeight="1">
      <c r="A1163" s="1">
        <v>414</v>
      </c>
      <c r="C1163" s="1">
        <v>4001</v>
      </c>
      <c r="D1163" s="1" t="s">
        <v>51</v>
      </c>
      <c r="E1163" s="1" t="s">
        <v>39</v>
      </c>
      <c r="F1163" s="1" t="s">
        <v>92</v>
      </c>
      <c r="G1163" s="1">
        <v>0</v>
      </c>
      <c r="H1163" s="1" t="s">
        <v>41</v>
      </c>
      <c r="I1163" s="1" t="s">
        <v>13709</v>
      </c>
      <c r="J1163" s="1" t="s">
        <v>13710</v>
      </c>
      <c r="K1163" s="1" t="s">
        <v>13711</v>
      </c>
      <c r="L1163" s="1">
        <v>1</v>
      </c>
      <c r="M1163" s="1">
        <v>0</v>
      </c>
      <c r="N1163" s="1" t="s">
        <v>13712</v>
      </c>
      <c r="O1163" s="1" t="s">
        <v>13713</v>
      </c>
      <c r="P1163" s="1" t="s">
        <v>13714</v>
      </c>
      <c r="Q1163" s="1">
        <v>0</v>
      </c>
      <c r="R1163" s="1" t="s">
        <v>13715</v>
      </c>
      <c r="S1163" s="1" t="s">
        <v>13716</v>
      </c>
      <c r="U1163" s="2">
        <v>56769</v>
      </c>
      <c r="V1163" s="1">
        <v>4.5</v>
      </c>
      <c r="W1163" s="1">
        <v>800</v>
      </c>
      <c r="X1163" s="1">
        <v>2226</v>
      </c>
      <c r="Y1163" s="1">
        <v>993</v>
      </c>
      <c r="Z1163" s="1">
        <v>880</v>
      </c>
      <c r="AA1163" s="1">
        <v>353</v>
      </c>
      <c r="AB1163" s="1">
        <v>0</v>
      </c>
      <c r="AC1163" s="1">
        <v>2</v>
      </c>
      <c r="AD1163" s="1" t="s">
        <v>62</v>
      </c>
      <c r="AE1163" s="1" t="s">
        <v>13717</v>
      </c>
      <c r="AF1163" s="1" t="s">
        <v>13718</v>
      </c>
      <c r="AG1163" s="1" t="s">
        <v>13719</v>
      </c>
      <c r="AH1163" s="1" t="s">
        <v>13720</v>
      </c>
      <c r="AI1163" s="1">
        <v>4.03</v>
      </c>
      <c r="AJ1163" s="1">
        <v>505</v>
      </c>
      <c r="AK1163" s="1">
        <v>1721</v>
      </c>
      <c r="AL1163" s="1">
        <v>457</v>
      </c>
    </row>
    <row r="1164" spans="1:38" ht="15.75" customHeight="1">
      <c r="A1164" s="1">
        <v>490</v>
      </c>
      <c r="C1164" s="1">
        <v>4001</v>
      </c>
      <c r="D1164" s="1" t="s">
        <v>51</v>
      </c>
      <c r="E1164" s="1" t="s">
        <v>39</v>
      </c>
      <c r="F1164" s="1" t="s">
        <v>52</v>
      </c>
      <c r="G1164" s="1">
        <v>0</v>
      </c>
      <c r="H1164" s="1" t="s">
        <v>53</v>
      </c>
      <c r="I1164" s="1" t="s">
        <v>13721</v>
      </c>
      <c r="J1164" s="1" t="s">
        <v>13722</v>
      </c>
      <c r="K1164" s="1" t="s">
        <v>13723</v>
      </c>
      <c r="L1164" s="1">
        <v>1</v>
      </c>
      <c r="M1164" s="1">
        <v>0</v>
      </c>
      <c r="N1164" s="1" t="s">
        <v>13724</v>
      </c>
      <c r="O1164" s="1" t="s">
        <v>13725</v>
      </c>
      <c r="P1164" s="1" t="s">
        <v>13726</v>
      </c>
      <c r="Q1164" s="1">
        <v>0</v>
      </c>
      <c r="R1164" s="1" t="s">
        <v>13727</v>
      </c>
      <c r="S1164" s="1" t="s">
        <v>13728</v>
      </c>
      <c r="U1164" s="2">
        <v>56769</v>
      </c>
      <c r="V1164" s="1">
        <v>4.5203850619999999</v>
      </c>
      <c r="W1164" s="1">
        <v>800</v>
      </c>
      <c r="X1164" s="1">
        <v>2195</v>
      </c>
      <c r="Y1164" s="1">
        <v>1344</v>
      </c>
      <c r="Z1164" s="1">
        <v>7</v>
      </c>
      <c r="AA1164" s="1">
        <v>844</v>
      </c>
      <c r="AB1164" s="1">
        <v>0</v>
      </c>
      <c r="AC1164" s="1">
        <v>1</v>
      </c>
      <c r="AE1164" s="1" t="s">
        <v>13729</v>
      </c>
      <c r="AF1164" s="1" t="s">
        <v>13730</v>
      </c>
      <c r="AG1164" s="1" t="s">
        <v>13731</v>
      </c>
      <c r="AH1164" s="1" t="s">
        <v>13732</v>
      </c>
      <c r="AI1164" s="1">
        <v>4.17</v>
      </c>
      <c r="AJ1164" s="1">
        <v>457</v>
      </c>
      <c r="AK1164" s="1">
        <v>1599</v>
      </c>
    </row>
    <row r="1165" spans="1:38" ht="15.75" customHeight="1">
      <c r="A1165" s="1">
        <v>1553</v>
      </c>
      <c r="C1165" s="1">
        <v>4001</v>
      </c>
      <c r="D1165" s="1" t="s">
        <v>51</v>
      </c>
      <c r="E1165" s="1" t="s">
        <v>39</v>
      </c>
      <c r="F1165" s="1" t="s">
        <v>1915</v>
      </c>
      <c r="G1165" s="1">
        <v>0</v>
      </c>
      <c r="H1165" s="1" t="s">
        <v>53</v>
      </c>
      <c r="I1165" s="1" t="s">
        <v>13733</v>
      </c>
      <c r="J1165" s="1" t="s">
        <v>13734</v>
      </c>
      <c r="K1165" s="1" t="s">
        <v>13735</v>
      </c>
      <c r="L1165" s="1">
        <v>1</v>
      </c>
      <c r="M1165" s="1">
        <v>0</v>
      </c>
      <c r="N1165" s="1" t="s">
        <v>13736</v>
      </c>
      <c r="O1165" s="1" t="s">
        <v>13737</v>
      </c>
      <c r="P1165" s="1" t="s">
        <v>13738</v>
      </c>
      <c r="Q1165" s="1">
        <v>0</v>
      </c>
      <c r="R1165" s="1" t="s">
        <v>13739</v>
      </c>
      <c r="S1165" s="1" t="s">
        <v>13740</v>
      </c>
      <c r="U1165" s="2">
        <v>56778</v>
      </c>
      <c r="V1165" s="1">
        <v>4.3</v>
      </c>
      <c r="W1165" s="1">
        <v>800</v>
      </c>
      <c r="X1165" s="1">
        <v>906</v>
      </c>
      <c r="Y1165" s="1">
        <v>96</v>
      </c>
      <c r="Z1165" s="1">
        <v>337</v>
      </c>
      <c r="AA1165" s="1">
        <v>473</v>
      </c>
      <c r="AB1165" s="1">
        <v>0</v>
      </c>
      <c r="AC1165" s="1">
        <v>2</v>
      </c>
      <c r="AD1165" s="1" t="s">
        <v>215</v>
      </c>
      <c r="AE1165" s="1" t="s">
        <v>13741</v>
      </c>
      <c r="AF1165" s="1" t="s">
        <v>13742</v>
      </c>
      <c r="AG1165" s="1" t="s">
        <v>13743</v>
      </c>
      <c r="AH1165" s="1" t="s">
        <v>13744</v>
      </c>
      <c r="AI1165" s="1">
        <v>4.63</v>
      </c>
      <c r="AJ1165" s="1">
        <v>242</v>
      </c>
      <c r="AK1165" s="1">
        <v>736</v>
      </c>
    </row>
    <row r="1166" spans="1:38" ht="15.75" customHeight="1">
      <c r="A1166" s="1">
        <v>1302</v>
      </c>
      <c r="B1166" s="1">
        <v>5</v>
      </c>
      <c r="C1166" s="1">
        <v>4001</v>
      </c>
      <c r="D1166" s="1" t="s">
        <v>51</v>
      </c>
      <c r="E1166" s="1" t="s">
        <v>39</v>
      </c>
      <c r="F1166" s="1" t="s">
        <v>52</v>
      </c>
      <c r="G1166" s="1">
        <v>0</v>
      </c>
      <c r="H1166" s="1" t="s">
        <v>53</v>
      </c>
      <c r="I1166" s="1" t="s">
        <v>13745</v>
      </c>
      <c r="J1166" s="1" t="s">
        <v>13746</v>
      </c>
      <c r="K1166" s="1" t="s">
        <v>13747</v>
      </c>
      <c r="L1166" s="1">
        <v>1</v>
      </c>
      <c r="M1166" s="1">
        <v>0</v>
      </c>
      <c r="N1166" s="1" t="s">
        <v>13748</v>
      </c>
      <c r="O1166" s="1" t="s">
        <v>13749</v>
      </c>
      <c r="P1166" s="1" t="s">
        <v>13750</v>
      </c>
      <c r="Q1166" s="1">
        <v>0</v>
      </c>
      <c r="R1166" s="1" t="s">
        <v>13751</v>
      </c>
      <c r="U1166" s="2">
        <v>56776</v>
      </c>
      <c r="V1166" s="1">
        <v>2.856812235</v>
      </c>
      <c r="W1166" s="1">
        <v>800</v>
      </c>
      <c r="X1166" s="1">
        <v>2813</v>
      </c>
      <c r="AA1166" s="1">
        <v>574</v>
      </c>
      <c r="AB1166" s="1">
        <v>0</v>
      </c>
      <c r="AC1166" s="1">
        <v>2</v>
      </c>
      <c r="AE1166" s="1" t="s">
        <v>13752</v>
      </c>
      <c r="AF1166" s="1" t="s">
        <v>13753</v>
      </c>
      <c r="AG1166" s="1" t="s">
        <v>13754</v>
      </c>
      <c r="AI1166" s="1">
        <v>4.17</v>
      </c>
      <c r="AJ1166" s="1">
        <v>457</v>
      </c>
      <c r="AK1166" s="1">
        <v>1599</v>
      </c>
    </row>
    <row r="1167" spans="1:38" ht="15.75" customHeight="1">
      <c r="A1167" s="1">
        <v>762</v>
      </c>
      <c r="B1167" s="1">
        <v>4</v>
      </c>
      <c r="C1167" s="1">
        <v>4050</v>
      </c>
      <c r="D1167" s="1" t="s">
        <v>38</v>
      </c>
      <c r="E1167" s="1" t="s">
        <v>39</v>
      </c>
      <c r="F1167" s="1" t="s">
        <v>1372</v>
      </c>
      <c r="G1167" s="1">
        <v>0</v>
      </c>
      <c r="H1167" s="1" t="s">
        <v>41</v>
      </c>
      <c r="I1167" s="1" t="s">
        <v>13755</v>
      </c>
      <c r="J1167" s="1" t="s">
        <v>13756</v>
      </c>
      <c r="K1167" s="1" t="s">
        <v>13757</v>
      </c>
      <c r="L1167" s="1">
        <v>1</v>
      </c>
      <c r="M1167" s="1">
        <v>0</v>
      </c>
      <c r="N1167" s="1" t="s">
        <v>13758</v>
      </c>
      <c r="O1167" s="1" t="s">
        <v>13759</v>
      </c>
      <c r="P1167" s="1" t="s">
        <v>13760</v>
      </c>
      <c r="Q1167" s="1">
        <v>0</v>
      </c>
      <c r="R1167" s="1" t="s">
        <v>13761</v>
      </c>
      <c r="S1167" s="1" t="s">
        <v>13762</v>
      </c>
      <c r="U1167" s="2">
        <v>56771</v>
      </c>
      <c r="V1167" s="1">
        <v>3.2470897939999999</v>
      </c>
      <c r="W1167" s="1">
        <v>800</v>
      </c>
      <c r="X1167" s="1">
        <v>4510</v>
      </c>
      <c r="Y1167" s="1">
        <v>1208</v>
      </c>
      <c r="Z1167" s="1">
        <v>834</v>
      </c>
      <c r="AA1167" s="1">
        <v>2468</v>
      </c>
      <c r="AB1167" s="1">
        <v>0</v>
      </c>
      <c r="AC1167" s="1">
        <v>2</v>
      </c>
      <c r="AD1167" s="1" t="s">
        <v>76</v>
      </c>
      <c r="AE1167" s="1" t="s">
        <v>13763</v>
      </c>
      <c r="AF1167" s="1" t="s">
        <v>13764</v>
      </c>
      <c r="AG1167" s="1" t="s">
        <v>13765</v>
      </c>
      <c r="AH1167" s="1" t="s">
        <v>13766</v>
      </c>
      <c r="AI1167" s="1">
        <v>4.4111111110000003</v>
      </c>
      <c r="AJ1167" s="1">
        <v>68</v>
      </c>
      <c r="AK1167" s="1">
        <v>223</v>
      </c>
      <c r="AL1167" s="1">
        <v>118</v>
      </c>
    </row>
    <row r="1168" spans="1:38" ht="15.75" customHeight="1">
      <c r="A1168" s="1">
        <v>814</v>
      </c>
      <c r="C1168" s="1">
        <v>4050</v>
      </c>
      <c r="D1168" s="1" t="s">
        <v>38</v>
      </c>
      <c r="E1168" s="1" t="s">
        <v>39</v>
      </c>
      <c r="F1168" s="1" t="s">
        <v>1348</v>
      </c>
      <c r="G1168" s="1">
        <v>0</v>
      </c>
      <c r="H1168" s="1" t="s">
        <v>41</v>
      </c>
      <c r="I1168" s="1" t="s">
        <v>13767</v>
      </c>
      <c r="J1168" s="1" t="s">
        <v>13768</v>
      </c>
      <c r="K1168" s="1" t="s">
        <v>13769</v>
      </c>
      <c r="L1168" s="1">
        <v>1</v>
      </c>
      <c r="M1168" s="1">
        <v>0</v>
      </c>
      <c r="N1168" s="1" t="s">
        <v>13770</v>
      </c>
      <c r="O1168" s="1" t="s">
        <v>13771</v>
      </c>
      <c r="P1168" s="1" t="s">
        <v>13772</v>
      </c>
      <c r="Q1168" s="1">
        <v>0</v>
      </c>
      <c r="R1168" s="1" t="s">
        <v>13773</v>
      </c>
      <c r="U1168" s="2">
        <v>56771</v>
      </c>
      <c r="V1168" s="1">
        <v>4.5999999999999996</v>
      </c>
      <c r="W1168" s="1">
        <v>800</v>
      </c>
      <c r="X1168" s="1">
        <v>1655</v>
      </c>
      <c r="AA1168" s="1">
        <v>649</v>
      </c>
      <c r="AB1168" s="1">
        <v>0</v>
      </c>
      <c r="AC1168" s="1">
        <v>6</v>
      </c>
      <c r="AE1168" s="1" t="s">
        <v>13774</v>
      </c>
      <c r="AF1168" s="1" t="s">
        <v>13775</v>
      </c>
      <c r="AG1168" s="1" t="s">
        <v>13776</v>
      </c>
      <c r="AI1168" s="1">
        <v>4.79</v>
      </c>
      <c r="AJ1168" s="1">
        <v>1007</v>
      </c>
      <c r="AK1168" s="1">
        <v>2899</v>
      </c>
      <c r="AL1168" s="1">
        <v>1301</v>
      </c>
    </row>
    <row r="1169" spans="1:38" ht="15.75" customHeight="1">
      <c r="A1169" s="1">
        <v>424</v>
      </c>
      <c r="B1169" s="1">
        <v>5</v>
      </c>
      <c r="C1169" s="1">
        <v>4050</v>
      </c>
      <c r="D1169" s="1" t="s">
        <v>38</v>
      </c>
      <c r="E1169" s="1" t="s">
        <v>39</v>
      </c>
      <c r="F1169" s="1" t="s">
        <v>365</v>
      </c>
      <c r="G1169" s="1">
        <v>0</v>
      </c>
      <c r="H1169" s="1" t="s">
        <v>41</v>
      </c>
      <c r="I1169" s="1" t="s">
        <v>13777</v>
      </c>
      <c r="J1169" s="1" t="s">
        <v>13778</v>
      </c>
      <c r="K1169" s="1" t="s">
        <v>13779</v>
      </c>
      <c r="L1169" s="1">
        <v>1</v>
      </c>
      <c r="M1169" s="1">
        <v>0</v>
      </c>
      <c r="N1169" s="1" t="s">
        <v>13780</v>
      </c>
      <c r="O1169" s="1" t="s">
        <v>13781</v>
      </c>
      <c r="P1169" s="1" t="s">
        <v>13782</v>
      </c>
      <c r="Q1169" s="1">
        <v>0</v>
      </c>
      <c r="R1169" s="1" t="s">
        <v>13783</v>
      </c>
      <c r="S1169" s="1" t="s">
        <v>13784</v>
      </c>
      <c r="U1169" s="2">
        <v>56769</v>
      </c>
      <c r="V1169" s="1">
        <v>4.5</v>
      </c>
      <c r="W1169" s="1">
        <v>800</v>
      </c>
      <c r="X1169" s="1">
        <v>3227</v>
      </c>
      <c r="Y1169" s="1">
        <v>1900</v>
      </c>
      <c r="Z1169" s="1">
        <v>143</v>
      </c>
      <c r="AA1169" s="1">
        <v>1184</v>
      </c>
      <c r="AB1169" s="1">
        <v>0</v>
      </c>
      <c r="AC1169" s="1">
        <v>2</v>
      </c>
      <c r="AD1169" s="1" t="s">
        <v>62</v>
      </c>
      <c r="AE1169" s="1" t="s">
        <v>13785</v>
      </c>
      <c r="AF1169" s="1" t="s">
        <v>13786</v>
      </c>
      <c r="AG1169" s="1" t="s">
        <v>13787</v>
      </c>
      <c r="AH1169" s="1" t="s">
        <v>13788</v>
      </c>
      <c r="AI1169" s="1">
        <v>4.7699999999999996</v>
      </c>
      <c r="AJ1169" s="1">
        <v>426</v>
      </c>
      <c r="AK1169" s="1">
        <v>1226</v>
      </c>
      <c r="AL1169" s="1">
        <v>85</v>
      </c>
    </row>
    <row r="1170" spans="1:38" ht="15.75" customHeight="1">
      <c r="A1170" s="1">
        <v>533</v>
      </c>
      <c r="B1170" s="1">
        <v>5</v>
      </c>
      <c r="C1170" s="1">
        <v>4001</v>
      </c>
      <c r="D1170" s="1" t="s">
        <v>51</v>
      </c>
      <c r="E1170" s="1" t="s">
        <v>39</v>
      </c>
      <c r="F1170" s="1" t="s">
        <v>52</v>
      </c>
      <c r="G1170" s="1">
        <v>0</v>
      </c>
      <c r="H1170" s="1" t="s">
        <v>53</v>
      </c>
      <c r="I1170" s="1" t="s">
        <v>13789</v>
      </c>
      <c r="J1170" s="1" t="s">
        <v>13790</v>
      </c>
      <c r="K1170" s="1" t="s">
        <v>13791</v>
      </c>
      <c r="L1170" s="1">
        <v>1</v>
      </c>
      <c r="M1170" s="1">
        <v>0</v>
      </c>
      <c r="N1170" s="1" t="s">
        <v>13792</v>
      </c>
      <c r="O1170" s="1" t="s">
        <v>13793</v>
      </c>
      <c r="P1170" s="1" t="s">
        <v>13794</v>
      </c>
      <c r="Q1170" s="1">
        <v>0</v>
      </c>
      <c r="R1170" s="1" t="s">
        <v>13795</v>
      </c>
      <c r="S1170" s="1" t="s">
        <v>13796</v>
      </c>
      <c r="U1170" s="2">
        <v>56769</v>
      </c>
      <c r="V1170" s="1">
        <v>4.5999999999999996</v>
      </c>
      <c r="W1170" s="1">
        <v>800</v>
      </c>
      <c r="X1170" s="1">
        <v>953</v>
      </c>
      <c r="Y1170" s="1">
        <v>653</v>
      </c>
      <c r="Z1170" s="1">
        <v>23</v>
      </c>
      <c r="AA1170" s="1">
        <v>277</v>
      </c>
      <c r="AB1170" s="1">
        <v>0</v>
      </c>
      <c r="AC1170" s="1">
        <v>1</v>
      </c>
      <c r="AD1170" s="1" t="s">
        <v>76</v>
      </c>
      <c r="AE1170" s="1" t="s">
        <v>13797</v>
      </c>
      <c r="AF1170" s="1" t="s">
        <v>13798</v>
      </c>
      <c r="AG1170" s="1" t="s">
        <v>13799</v>
      </c>
      <c r="AH1170" s="1" t="s">
        <v>13800</v>
      </c>
      <c r="AI1170" s="1">
        <v>4.17</v>
      </c>
      <c r="AJ1170" s="1">
        <v>457</v>
      </c>
      <c r="AK1170" s="1">
        <v>1599</v>
      </c>
    </row>
    <row r="1171" spans="1:38" ht="15.75" customHeight="1">
      <c r="A1171" s="1">
        <v>218</v>
      </c>
      <c r="C1171" s="1">
        <v>4001</v>
      </c>
      <c r="D1171" s="1" t="s">
        <v>51</v>
      </c>
      <c r="E1171" s="1" t="s">
        <v>39</v>
      </c>
      <c r="F1171" s="1" t="s">
        <v>648</v>
      </c>
      <c r="G1171" s="1">
        <v>0</v>
      </c>
      <c r="H1171" s="1" t="s">
        <v>53</v>
      </c>
      <c r="I1171" s="1" t="s">
        <v>13801</v>
      </c>
      <c r="J1171" s="1" t="s">
        <v>13802</v>
      </c>
      <c r="K1171" s="1" t="s">
        <v>13803</v>
      </c>
      <c r="L1171" s="1">
        <v>1</v>
      </c>
      <c r="M1171" s="1">
        <v>0</v>
      </c>
      <c r="N1171" s="1" t="s">
        <v>13804</v>
      </c>
      <c r="O1171" s="1" t="s">
        <v>13805</v>
      </c>
      <c r="P1171" s="1" t="s">
        <v>13806</v>
      </c>
      <c r="Q1171" s="1">
        <v>0</v>
      </c>
      <c r="R1171" s="1" t="s">
        <v>13807</v>
      </c>
      <c r="S1171" s="1" t="s">
        <v>13808</v>
      </c>
      <c r="U1171" s="2">
        <v>56767</v>
      </c>
      <c r="V1171" s="1">
        <v>3.4933989300000001</v>
      </c>
      <c r="W1171" s="1">
        <v>800</v>
      </c>
      <c r="X1171" s="1">
        <v>802</v>
      </c>
      <c r="Y1171" s="1">
        <v>174</v>
      </c>
      <c r="Z1171" s="1">
        <v>120</v>
      </c>
      <c r="AA1171" s="1">
        <v>508</v>
      </c>
      <c r="AB1171" s="1">
        <v>0</v>
      </c>
      <c r="AC1171" s="1">
        <v>1</v>
      </c>
      <c r="AD1171" s="1" t="s">
        <v>215</v>
      </c>
      <c r="AE1171" s="1" t="s">
        <v>13809</v>
      </c>
      <c r="AF1171" s="1" t="s">
        <v>13810</v>
      </c>
      <c r="AG1171" s="1" t="s">
        <v>13811</v>
      </c>
      <c r="AH1171" s="1" t="s">
        <v>13812</v>
      </c>
      <c r="AI1171" s="1">
        <v>4.7</v>
      </c>
      <c r="AJ1171" s="1">
        <v>443</v>
      </c>
      <c r="AK1171" s="1">
        <v>1579</v>
      </c>
    </row>
    <row r="1172" spans="1:38" ht="15.75" customHeight="1">
      <c r="A1172" s="1">
        <v>745</v>
      </c>
      <c r="B1172" s="1">
        <v>5</v>
      </c>
      <c r="C1172" s="1">
        <v>4050</v>
      </c>
      <c r="D1172" s="1" t="s">
        <v>38</v>
      </c>
      <c r="E1172" s="1" t="s">
        <v>39</v>
      </c>
      <c r="F1172" s="1" t="s">
        <v>206</v>
      </c>
      <c r="G1172" s="1">
        <v>0</v>
      </c>
      <c r="H1172" s="1" t="s">
        <v>41</v>
      </c>
      <c r="I1172" s="1" t="s">
        <v>13813</v>
      </c>
      <c r="J1172" s="1" t="s">
        <v>13814</v>
      </c>
      <c r="K1172" s="1" t="s">
        <v>13815</v>
      </c>
      <c r="L1172" s="1">
        <v>1</v>
      </c>
      <c r="M1172" s="1">
        <v>0</v>
      </c>
      <c r="N1172" s="1" t="s">
        <v>13816</v>
      </c>
      <c r="O1172" s="1" t="s">
        <v>13817</v>
      </c>
      <c r="P1172" s="1" t="s">
        <v>13818</v>
      </c>
      <c r="Q1172" s="1">
        <v>0</v>
      </c>
      <c r="R1172" s="1" t="s">
        <v>13819</v>
      </c>
      <c r="S1172" s="1" t="s">
        <v>13820</v>
      </c>
      <c r="U1172" s="2">
        <v>56771</v>
      </c>
      <c r="V1172" s="1">
        <v>4.5999999999999996</v>
      </c>
      <c r="W1172" s="1">
        <v>800</v>
      </c>
      <c r="X1172" s="1">
        <v>2152</v>
      </c>
      <c r="Y1172" s="1">
        <v>630</v>
      </c>
      <c r="Z1172" s="1">
        <v>631</v>
      </c>
      <c r="AA1172" s="1">
        <v>891</v>
      </c>
      <c r="AB1172" s="1">
        <v>0</v>
      </c>
      <c r="AC1172" s="1">
        <v>2</v>
      </c>
      <c r="AD1172" s="1" t="s">
        <v>215</v>
      </c>
      <c r="AE1172" s="1" t="s">
        <v>13821</v>
      </c>
      <c r="AF1172" s="1" t="s">
        <v>13822</v>
      </c>
      <c r="AG1172" s="1" t="s">
        <v>13823</v>
      </c>
      <c r="AH1172" s="1" t="s">
        <v>13824</v>
      </c>
      <c r="AI1172" s="1">
        <v>4.3670886080000004</v>
      </c>
      <c r="AJ1172" s="1">
        <v>59</v>
      </c>
      <c r="AK1172" s="1">
        <v>198</v>
      </c>
      <c r="AL1172" s="1">
        <v>42</v>
      </c>
    </row>
    <row r="1173" spans="1:38" ht="15.75" customHeight="1">
      <c r="A1173" s="1">
        <v>1251</v>
      </c>
      <c r="B1173" s="1">
        <v>5</v>
      </c>
      <c r="C1173" s="1">
        <v>4001</v>
      </c>
      <c r="D1173" s="1" t="s">
        <v>51</v>
      </c>
      <c r="E1173" s="1" t="s">
        <v>39</v>
      </c>
      <c r="F1173" s="1" t="s">
        <v>414</v>
      </c>
      <c r="G1173" s="1">
        <v>0</v>
      </c>
      <c r="H1173" s="1" t="s">
        <v>53</v>
      </c>
      <c r="I1173" s="1" t="s">
        <v>13825</v>
      </c>
      <c r="J1173" s="1" t="s">
        <v>13826</v>
      </c>
      <c r="K1173" s="1" t="s">
        <v>13827</v>
      </c>
      <c r="L1173" s="1">
        <v>1</v>
      </c>
      <c r="M1173" s="1">
        <v>0</v>
      </c>
      <c r="N1173" s="1" t="s">
        <v>13828</v>
      </c>
      <c r="O1173" s="1" t="s">
        <v>13829</v>
      </c>
      <c r="P1173" s="1" t="s">
        <v>13830</v>
      </c>
      <c r="Q1173" s="1">
        <v>0</v>
      </c>
      <c r="R1173" s="1" t="s">
        <v>13831</v>
      </c>
      <c r="U1173" s="2">
        <v>56776</v>
      </c>
      <c r="V1173" s="1">
        <v>3.4150637110000002</v>
      </c>
      <c r="W1173" s="1">
        <v>800</v>
      </c>
      <c r="X1173" s="1">
        <v>819</v>
      </c>
      <c r="AA1173" s="1">
        <v>334</v>
      </c>
      <c r="AB1173" s="1">
        <v>0</v>
      </c>
      <c r="AC1173" s="1">
        <v>1</v>
      </c>
      <c r="AE1173" s="1" t="s">
        <v>13832</v>
      </c>
      <c r="AF1173" s="1" t="s">
        <v>13833</v>
      </c>
      <c r="AG1173" s="1" t="s">
        <v>13834</v>
      </c>
      <c r="AI1173" s="1">
        <v>4.58</v>
      </c>
      <c r="AJ1173" s="1">
        <v>254</v>
      </c>
      <c r="AK1173" s="1">
        <v>788</v>
      </c>
      <c r="AL1173" s="1">
        <v>9</v>
      </c>
    </row>
    <row r="1174" spans="1:38" ht="15.75" customHeight="1">
      <c r="A1174" s="1">
        <v>872</v>
      </c>
      <c r="C1174" s="1">
        <v>4001</v>
      </c>
      <c r="D1174" s="1" t="s">
        <v>51</v>
      </c>
      <c r="E1174" s="1" t="s">
        <v>39</v>
      </c>
      <c r="F1174" s="1" t="s">
        <v>92</v>
      </c>
      <c r="G1174" s="1">
        <v>0</v>
      </c>
      <c r="H1174" s="1" t="s">
        <v>41</v>
      </c>
      <c r="I1174" s="1" t="s">
        <v>13835</v>
      </c>
      <c r="J1174" s="1" t="s">
        <v>13836</v>
      </c>
      <c r="K1174" s="1" t="s">
        <v>13837</v>
      </c>
      <c r="L1174" s="1">
        <v>1</v>
      </c>
      <c r="M1174" s="1">
        <v>0</v>
      </c>
      <c r="N1174" s="1" t="s">
        <v>13838</v>
      </c>
      <c r="O1174" s="1" t="s">
        <v>13839</v>
      </c>
      <c r="P1174" s="1" t="s">
        <v>13840</v>
      </c>
      <c r="Q1174" s="1">
        <v>0</v>
      </c>
      <c r="R1174" s="1" t="s">
        <v>13841</v>
      </c>
      <c r="S1174" s="1" t="s">
        <v>13842</v>
      </c>
      <c r="U1174" s="2">
        <v>56772</v>
      </c>
      <c r="V1174" s="1">
        <v>4.4000000000000004</v>
      </c>
      <c r="W1174" s="1">
        <v>800</v>
      </c>
      <c r="X1174" s="1">
        <v>1723</v>
      </c>
      <c r="Y1174" s="1">
        <v>642</v>
      </c>
      <c r="Z1174" s="1">
        <v>597</v>
      </c>
      <c r="AA1174" s="1">
        <v>484</v>
      </c>
      <c r="AB1174" s="1">
        <v>0</v>
      </c>
      <c r="AC1174" s="1">
        <v>5</v>
      </c>
      <c r="AD1174" s="1" t="s">
        <v>215</v>
      </c>
      <c r="AE1174" s="1" t="s">
        <v>13843</v>
      </c>
      <c r="AF1174" s="1" t="s">
        <v>13844</v>
      </c>
      <c r="AG1174" s="1" t="s">
        <v>13845</v>
      </c>
      <c r="AH1174" s="1" t="s">
        <v>13846</v>
      </c>
      <c r="AI1174" s="1">
        <v>4.03</v>
      </c>
      <c r="AJ1174" s="1">
        <v>505</v>
      </c>
      <c r="AK1174" s="1">
        <v>1721</v>
      </c>
      <c r="AL1174" s="1">
        <v>457</v>
      </c>
    </row>
    <row r="1175" spans="1:38" ht="15.75" customHeight="1">
      <c r="A1175" s="1">
        <v>747</v>
      </c>
      <c r="B1175" s="1">
        <v>2</v>
      </c>
      <c r="C1175" s="1">
        <v>4050</v>
      </c>
      <c r="D1175" s="1" t="s">
        <v>38</v>
      </c>
      <c r="E1175" s="1" t="s">
        <v>39</v>
      </c>
      <c r="F1175" s="1" t="s">
        <v>1153</v>
      </c>
      <c r="G1175" s="1">
        <v>0</v>
      </c>
      <c r="H1175" s="1" t="s">
        <v>41</v>
      </c>
      <c r="I1175" s="1" t="s">
        <v>13847</v>
      </c>
      <c r="J1175" s="1" t="s">
        <v>13848</v>
      </c>
      <c r="K1175" s="1" t="s">
        <v>13849</v>
      </c>
      <c r="L1175" s="1">
        <v>1</v>
      </c>
      <c r="M1175" s="1">
        <v>0</v>
      </c>
      <c r="N1175" s="1" t="s">
        <v>13850</v>
      </c>
      <c r="O1175" s="1" t="s">
        <v>13851</v>
      </c>
      <c r="P1175" s="1" t="s">
        <v>13852</v>
      </c>
      <c r="Q1175" s="1">
        <v>0</v>
      </c>
      <c r="R1175" s="1" t="s">
        <v>13853</v>
      </c>
      <c r="S1175" s="1" t="s">
        <v>13854</v>
      </c>
      <c r="U1175" s="2">
        <v>56771</v>
      </c>
      <c r="V1175" s="1">
        <v>4.4000000000000004</v>
      </c>
      <c r="W1175" s="1">
        <v>800</v>
      </c>
      <c r="X1175" s="1">
        <v>3473</v>
      </c>
      <c r="Y1175" s="1">
        <v>253</v>
      </c>
      <c r="Z1175" s="1">
        <v>1500</v>
      </c>
      <c r="AA1175" s="1">
        <v>1720</v>
      </c>
      <c r="AB1175" s="1">
        <v>0</v>
      </c>
      <c r="AC1175" s="1">
        <v>1</v>
      </c>
      <c r="AD1175" s="1" t="s">
        <v>62</v>
      </c>
      <c r="AE1175" s="1" t="s">
        <v>13855</v>
      </c>
      <c r="AF1175" s="1" t="s">
        <v>13856</v>
      </c>
      <c r="AG1175" s="1" t="s">
        <v>13857</v>
      </c>
      <c r="AH1175" s="1" t="s">
        <v>13858</v>
      </c>
      <c r="AI1175" s="1">
        <v>4.58</v>
      </c>
      <c r="AJ1175" s="1">
        <v>679</v>
      </c>
      <c r="AK1175" s="1">
        <v>2371</v>
      </c>
      <c r="AL1175" s="1">
        <v>1830</v>
      </c>
    </row>
    <row r="1176" spans="1:38" ht="15.75" customHeight="1">
      <c r="A1176" s="1">
        <v>988</v>
      </c>
      <c r="C1176" s="1">
        <v>4001</v>
      </c>
      <c r="D1176" s="1" t="s">
        <v>51</v>
      </c>
      <c r="E1176" s="1" t="s">
        <v>39</v>
      </c>
      <c r="F1176" s="1" t="s">
        <v>52</v>
      </c>
      <c r="G1176" s="1">
        <v>0</v>
      </c>
      <c r="H1176" s="1" t="s">
        <v>53</v>
      </c>
      <c r="I1176" s="1" t="s">
        <v>13859</v>
      </c>
      <c r="J1176" s="1" t="s">
        <v>13860</v>
      </c>
      <c r="K1176" s="1" t="s">
        <v>13861</v>
      </c>
      <c r="L1176" s="1">
        <v>1</v>
      </c>
      <c r="M1176" s="1">
        <v>0</v>
      </c>
      <c r="N1176" s="1" t="s">
        <v>13862</v>
      </c>
      <c r="O1176" s="1" t="s">
        <v>13863</v>
      </c>
      <c r="P1176" s="1" t="s">
        <v>13864</v>
      </c>
      <c r="Q1176" s="1">
        <v>0</v>
      </c>
      <c r="R1176" s="1" t="s">
        <v>13865</v>
      </c>
      <c r="S1176" s="1" t="s">
        <v>13866</v>
      </c>
      <c r="U1176" s="2">
        <v>56773</v>
      </c>
      <c r="V1176" s="1">
        <v>4.4000000000000004</v>
      </c>
      <c r="W1176" s="1">
        <v>800</v>
      </c>
      <c r="X1176" s="1">
        <v>1130</v>
      </c>
      <c r="Y1176" s="1">
        <v>693</v>
      </c>
      <c r="Z1176" s="1">
        <v>77</v>
      </c>
      <c r="AA1176" s="1">
        <v>360</v>
      </c>
      <c r="AB1176" s="1">
        <v>0</v>
      </c>
      <c r="AC1176" s="1">
        <v>1</v>
      </c>
      <c r="AD1176" s="1" t="s">
        <v>76</v>
      </c>
      <c r="AE1176" s="1" t="s">
        <v>13867</v>
      </c>
      <c r="AF1176" s="1" t="s">
        <v>13868</v>
      </c>
      <c r="AG1176" s="1" t="s">
        <v>13869</v>
      </c>
      <c r="AH1176" s="1" t="s">
        <v>13870</v>
      </c>
      <c r="AI1176" s="1">
        <v>4.17</v>
      </c>
      <c r="AJ1176" s="1">
        <v>457</v>
      </c>
      <c r="AK1176" s="1">
        <v>1599</v>
      </c>
    </row>
    <row r="1177" spans="1:38" ht="15.75" customHeight="1">
      <c r="A1177" s="1">
        <v>345</v>
      </c>
      <c r="B1177" s="1">
        <v>5</v>
      </c>
      <c r="C1177" s="1">
        <v>4050</v>
      </c>
      <c r="D1177" s="1" t="s">
        <v>38</v>
      </c>
      <c r="E1177" s="1" t="s">
        <v>39</v>
      </c>
      <c r="F1177" s="1" t="s">
        <v>486</v>
      </c>
      <c r="G1177" s="1">
        <v>0</v>
      </c>
      <c r="H1177" s="1" t="s">
        <v>41</v>
      </c>
      <c r="I1177" s="1" t="s">
        <v>13871</v>
      </c>
      <c r="J1177" s="1" t="s">
        <v>13872</v>
      </c>
      <c r="K1177" s="1" t="s">
        <v>13873</v>
      </c>
      <c r="L1177" s="1">
        <v>1</v>
      </c>
      <c r="M1177" s="1">
        <v>0</v>
      </c>
      <c r="N1177" s="1" t="s">
        <v>13874</v>
      </c>
      <c r="O1177" s="1" t="s">
        <v>13875</v>
      </c>
      <c r="P1177" s="1" t="s">
        <v>13876</v>
      </c>
      <c r="Q1177" s="1">
        <v>0</v>
      </c>
      <c r="R1177" s="1" t="s">
        <v>13877</v>
      </c>
      <c r="S1177" s="1" t="s">
        <v>13878</v>
      </c>
      <c r="U1177" s="2">
        <v>56768</v>
      </c>
      <c r="V1177" s="1">
        <v>4.5</v>
      </c>
      <c r="W1177" s="1">
        <v>800</v>
      </c>
      <c r="X1177" s="1">
        <v>1847</v>
      </c>
      <c r="Y1177" s="1">
        <v>786</v>
      </c>
      <c r="Z1177" s="1">
        <v>381</v>
      </c>
      <c r="AA1177" s="1">
        <v>680</v>
      </c>
      <c r="AB1177" s="1">
        <v>0</v>
      </c>
      <c r="AC1177" s="1">
        <v>2</v>
      </c>
      <c r="AD1177" s="1" t="s">
        <v>62</v>
      </c>
      <c r="AE1177" s="1" t="s">
        <v>13879</v>
      </c>
      <c r="AF1177" s="1" t="s">
        <v>13880</v>
      </c>
      <c r="AG1177" s="1" t="s">
        <v>13881</v>
      </c>
      <c r="AH1177" s="1" t="s">
        <v>13882</v>
      </c>
      <c r="AI1177" s="1">
        <v>4.7</v>
      </c>
      <c r="AJ1177" s="1">
        <v>212</v>
      </c>
      <c r="AK1177" s="1">
        <v>624</v>
      </c>
      <c r="AL1177" s="1">
        <v>347</v>
      </c>
    </row>
    <row r="1178" spans="1:38" ht="15.75" customHeight="1">
      <c r="A1178" s="1">
        <v>1234</v>
      </c>
      <c r="C1178" s="1">
        <v>4001</v>
      </c>
      <c r="D1178" s="1" t="s">
        <v>51</v>
      </c>
      <c r="E1178" s="1" t="s">
        <v>39</v>
      </c>
      <c r="F1178" s="1" t="s">
        <v>414</v>
      </c>
      <c r="G1178" s="1">
        <v>0</v>
      </c>
      <c r="H1178" s="1" t="s">
        <v>53</v>
      </c>
      <c r="I1178" s="1" t="s">
        <v>13883</v>
      </c>
      <c r="J1178" s="1" t="s">
        <v>13884</v>
      </c>
      <c r="K1178" s="1" t="s">
        <v>13885</v>
      </c>
      <c r="L1178" s="1">
        <v>1</v>
      </c>
      <c r="M1178" s="1">
        <v>0</v>
      </c>
      <c r="N1178" s="1" t="s">
        <v>13886</v>
      </c>
      <c r="O1178" s="1" t="s">
        <v>13887</v>
      </c>
      <c r="P1178" s="1" t="s">
        <v>13888</v>
      </c>
      <c r="Q1178" s="1">
        <v>0</v>
      </c>
      <c r="R1178" s="1" t="s">
        <v>13889</v>
      </c>
      <c r="S1178" s="1" t="s">
        <v>13890</v>
      </c>
      <c r="U1178" s="2">
        <v>56776</v>
      </c>
      <c r="V1178" s="1">
        <v>5</v>
      </c>
      <c r="W1178" s="1">
        <v>700</v>
      </c>
      <c r="X1178" s="1">
        <v>3085</v>
      </c>
      <c r="Y1178" s="1">
        <v>662</v>
      </c>
      <c r="Z1178" s="1">
        <v>2411</v>
      </c>
      <c r="AA1178" s="1">
        <v>12</v>
      </c>
      <c r="AB1178" s="1">
        <v>0</v>
      </c>
      <c r="AC1178" s="1">
        <v>2</v>
      </c>
      <c r="AD1178" s="1" t="s">
        <v>76</v>
      </c>
      <c r="AE1178" s="1" t="s">
        <v>13891</v>
      </c>
      <c r="AF1178" s="1" t="s">
        <v>13892</v>
      </c>
      <c r="AG1178" s="1" t="s">
        <v>13893</v>
      </c>
      <c r="AH1178" s="1" t="s">
        <v>13894</v>
      </c>
      <c r="AI1178" s="1">
        <v>4.58</v>
      </c>
      <c r="AJ1178" s="1">
        <v>254</v>
      </c>
      <c r="AK1178" s="1">
        <v>788</v>
      </c>
      <c r="AL1178" s="1">
        <v>9</v>
      </c>
    </row>
    <row r="1179" spans="1:38" ht="15.75" customHeight="1">
      <c r="A1179" s="1">
        <v>884</v>
      </c>
      <c r="C1179" s="1">
        <v>4050</v>
      </c>
      <c r="D1179" s="1" t="s">
        <v>38</v>
      </c>
      <c r="E1179" s="1" t="s">
        <v>39</v>
      </c>
      <c r="F1179" s="1" t="s">
        <v>390</v>
      </c>
      <c r="G1179" s="1">
        <v>0</v>
      </c>
      <c r="H1179" s="1" t="s">
        <v>41</v>
      </c>
      <c r="I1179" s="1" t="s">
        <v>13895</v>
      </c>
      <c r="J1179" s="1" t="s">
        <v>13896</v>
      </c>
      <c r="K1179" s="1" t="s">
        <v>13897</v>
      </c>
      <c r="L1179" s="1">
        <v>1</v>
      </c>
      <c r="M1179" s="1">
        <v>0</v>
      </c>
      <c r="N1179" s="1" t="s">
        <v>13898</v>
      </c>
      <c r="O1179" s="1" t="s">
        <v>13899</v>
      </c>
      <c r="P1179" s="1" t="s">
        <v>13900</v>
      </c>
      <c r="Q1179" s="1">
        <v>0</v>
      </c>
      <c r="R1179" s="1" t="s">
        <v>13901</v>
      </c>
      <c r="S1179" s="1" t="s">
        <v>13902</v>
      </c>
      <c r="U1179" s="2">
        <v>56772</v>
      </c>
      <c r="V1179" s="1">
        <v>4.5</v>
      </c>
      <c r="W1179" s="1">
        <v>700</v>
      </c>
      <c r="X1179" s="1">
        <v>1539</v>
      </c>
      <c r="Y1179" s="1">
        <v>718</v>
      </c>
      <c r="Z1179" s="1">
        <v>149</v>
      </c>
      <c r="AA1179" s="1">
        <v>672</v>
      </c>
      <c r="AB1179" s="1">
        <v>0</v>
      </c>
      <c r="AC1179" s="1">
        <v>1</v>
      </c>
      <c r="AD1179" s="1" t="s">
        <v>76</v>
      </c>
      <c r="AE1179" s="1" t="s">
        <v>13903</v>
      </c>
      <c r="AF1179" s="1" t="s">
        <v>13904</v>
      </c>
      <c r="AG1179" s="1" t="s">
        <v>13905</v>
      </c>
      <c r="AH1179" s="1" t="s">
        <v>13906</v>
      </c>
      <c r="AI1179" s="1">
        <v>4.5599999999999996</v>
      </c>
      <c r="AJ1179" s="1">
        <v>344</v>
      </c>
      <c r="AK1179" s="1">
        <v>947</v>
      </c>
      <c r="AL1179" s="1">
        <v>22</v>
      </c>
    </row>
    <row r="1180" spans="1:38" ht="15.75" customHeight="1">
      <c r="A1180" s="1">
        <v>1002</v>
      </c>
      <c r="B1180" s="1">
        <v>1</v>
      </c>
      <c r="C1180" s="1">
        <v>4001</v>
      </c>
      <c r="D1180" s="1" t="s">
        <v>51</v>
      </c>
      <c r="E1180" s="1" t="s">
        <v>39</v>
      </c>
      <c r="F1180" s="1" t="s">
        <v>52</v>
      </c>
      <c r="G1180" s="1">
        <v>0</v>
      </c>
      <c r="H1180" s="1" t="s">
        <v>53</v>
      </c>
      <c r="I1180" s="1" t="s">
        <v>13907</v>
      </c>
      <c r="J1180" s="1" t="s">
        <v>13908</v>
      </c>
      <c r="K1180" s="1" t="s">
        <v>13909</v>
      </c>
      <c r="L1180" s="1">
        <v>1</v>
      </c>
      <c r="M1180" s="1">
        <v>0</v>
      </c>
      <c r="N1180" s="1" t="s">
        <v>13910</v>
      </c>
      <c r="O1180" s="1" t="s">
        <v>13911</v>
      </c>
      <c r="P1180" s="1" t="s">
        <v>13912</v>
      </c>
      <c r="Q1180" s="1">
        <v>0</v>
      </c>
      <c r="R1180" s="1" t="s">
        <v>13913</v>
      </c>
      <c r="S1180" s="1" t="s">
        <v>13914</v>
      </c>
      <c r="U1180" s="2">
        <v>56773</v>
      </c>
      <c r="V1180" s="1">
        <v>4.5</v>
      </c>
      <c r="W1180" s="1">
        <v>700</v>
      </c>
      <c r="X1180" s="1">
        <v>1476</v>
      </c>
      <c r="Y1180" s="1">
        <v>648</v>
      </c>
      <c r="Z1180" s="1">
        <v>26</v>
      </c>
      <c r="AA1180" s="1">
        <v>802</v>
      </c>
      <c r="AB1180" s="1">
        <v>0</v>
      </c>
      <c r="AC1180" s="1">
        <v>1</v>
      </c>
      <c r="AE1180" s="1" t="s">
        <v>13915</v>
      </c>
      <c r="AF1180" s="1" t="s">
        <v>13916</v>
      </c>
      <c r="AG1180" s="1" t="s">
        <v>13917</v>
      </c>
      <c r="AH1180" s="1" t="s">
        <v>13918</v>
      </c>
      <c r="AI1180" s="1">
        <v>4.17</v>
      </c>
      <c r="AJ1180" s="1">
        <v>457</v>
      </c>
      <c r="AK1180" s="1">
        <v>1599</v>
      </c>
    </row>
    <row r="1181" spans="1:38" ht="15.75" customHeight="1">
      <c r="A1181" s="1">
        <v>1135</v>
      </c>
      <c r="C1181" s="1">
        <v>4001</v>
      </c>
      <c r="D1181" s="1" t="s">
        <v>51</v>
      </c>
      <c r="E1181" s="1" t="s">
        <v>39</v>
      </c>
      <c r="F1181" s="1" t="s">
        <v>305</v>
      </c>
      <c r="G1181" s="1">
        <v>0</v>
      </c>
      <c r="H1181" s="1" t="s">
        <v>53</v>
      </c>
      <c r="I1181" s="1" t="s">
        <v>13919</v>
      </c>
      <c r="J1181" s="1" t="s">
        <v>13920</v>
      </c>
      <c r="K1181" s="1" t="s">
        <v>13921</v>
      </c>
      <c r="L1181" s="1">
        <v>1</v>
      </c>
      <c r="M1181" s="1">
        <v>0</v>
      </c>
      <c r="N1181" s="1" t="s">
        <v>13922</v>
      </c>
      <c r="O1181" s="1" t="s">
        <v>13923</v>
      </c>
      <c r="P1181" s="1" t="s">
        <v>13924</v>
      </c>
      <c r="Q1181" s="1">
        <v>0</v>
      </c>
      <c r="R1181" s="1" t="s">
        <v>13925</v>
      </c>
      <c r="S1181" s="1" t="s">
        <v>13926</v>
      </c>
      <c r="U1181" s="2">
        <v>56775</v>
      </c>
      <c r="V1181" s="1">
        <v>4.4000000000000004</v>
      </c>
      <c r="W1181" s="1">
        <v>700</v>
      </c>
      <c r="X1181" s="1">
        <v>986</v>
      </c>
      <c r="Y1181" s="1">
        <v>189</v>
      </c>
      <c r="Z1181" s="1">
        <v>314</v>
      </c>
      <c r="AA1181" s="1">
        <v>483</v>
      </c>
      <c r="AB1181" s="1">
        <v>0</v>
      </c>
      <c r="AC1181" s="1">
        <v>7</v>
      </c>
      <c r="AD1181" s="1" t="s">
        <v>215</v>
      </c>
      <c r="AE1181" s="1" t="s">
        <v>13927</v>
      </c>
      <c r="AF1181" s="1" t="s">
        <v>13928</v>
      </c>
      <c r="AG1181" s="1" t="s">
        <v>13929</v>
      </c>
      <c r="AH1181" s="1" t="s">
        <v>13930</v>
      </c>
      <c r="AI1181" s="1">
        <v>4.5199999999999996</v>
      </c>
      <c r="AJ1181" s="1">
        <v>183</v>
      </c>
      <c r="AK1181" s="1">
        <v>522</v>
      </c>
    </row>
    <row r="1182" spans="1:38" ht="15.75" customHeight="1">
      <c r="A1182" s="1">
        <v>59</v>
      </c>
      <c r="B1182" s="1">
        <v>5</v>
      </c>
      <c r="C1182" s="1">
        <v>4001</v>
      </c>
      <c r="D1182" s="1" t="s">
        <v>51</v>
      </c>
      <c r="E1182" s="1" t="s">
        <v>39</v>
      </c>
      <c r="F1182" s="1" t="s">
        <v>341</v>
      </c>
      <c r="G1182" s="1">
        <v>0</v>
      </c>
      <c r="H1182" s="1" t="s">
        <v>41</v>
      </c>
      <c r="I1182" s="1" t="s">
        <v>13931</v>
      </c>
      <c r="J1182" s="1" t="s">
        <v>13932</v>
      </c>
      <c r="K1182" s="1" t="s">
        <v>13933</v>
      </c>
      <c r="L1182" s="1">
        <v>1</v>
      </c>
      <c r="M1182" s="1">
        <v>0</v>
      </c>
      <c r="N1182" s="1" t="s">
        <v>13934</v>
      </c>
      <c r="O1182" s="1" t="s">
        <v>13935</v>
      </c>
      <c r="P1182" s="1" t="s">
        <v>13936</v>
      </c>
      <c r="Q1182" s="1">
        <v>0</v>
      </c>
      <c r="R1182" s="1" t="s">
        <v>13937</v>
      </c>
      <c r="S1182" s="1" t="s">
        <v>13938</v>
      </c>
      <c r="U1182" s="2">
        <v>56766</v>
      </c>
      <c r="V1182" s="1">
        <v>4</v>
      </c>
      <c r="W1182" s="1">
        <v>700</v>
      </c>
      <c r="X1182" s="1">
        <v>1164</v>
      </c>
      <c r="Y1182" s="1">
        <v>224</v>
      </c>
      <c r="Z1182" s="1">
        <v>366</v>
      </c>
      <c r="AA1182" s="1">
        <v>574</v>
      </c>
      <c r="AB1182" s="1">
        <v>1</v>
      </c>
      <c r="AC1182" s="1">
        <v>1</v>
      </c>
      <c r="AE1182" s="1" t="s">
        <v>13939</v>
      </c>
      <c r="AF1182" s="1" t="s">
        <v>13940</v>
      </c>
      <c r="AG1182" s="1" t="s">
        <v>13941</v>
      </c>
      <c r="AH1182" s="1" t="s">
        <v>13942</v>
      </c>
      <c r="AI1182" s="1">
        <v>4.54</v>
      </c>
      <c r="AJ1182" s="1">
        <v>2229</v>
      </c>
      <c r="AK1182" s="1">
        <v>6580</v>
      </c>
    </row>
    <row r="1183" spans="1:38" ht="15.75" customHeight="1">
      <c r="A1183" s="1">
        <v>792</v>
      </c>
      <c r="B1183" s="1">
        <v>5</v>
      </c>
      <c r="C1183" s="1">
        <v>4001</v>
      </c>
      <c r="D1183" s="1" t="s">
        <v>51</v>
      </c>
      <c r="E1183" s="1" t="s">
        <v>39</v>
      </c>
      <c r="F1183" s="1" t="s">
        <v>305</v>
      </c>
      <c r="G1183" s="1">
        <v>0</v>
      </c>
      <c r="H1183" s="1" t="s">
        <v>53</v>
      </c>
      <c r="I1183" s="1" t="s">
        <v>13943</v>
      </c>
      <c r="J1183" s="1" t="s">
        <v>13944</v>
      </c>
      <c r="K1183" s="1" t="s">
        <v>13945</v>
      </c>
      <c r="L1183" s="1">
        <v>1</v>
      </c>
      <c r="M1183" s="1">
        <v>0</v>
      </c>
      <c r="N1183" s="1" t="s">
        <v>13946</v>
      </c>
      <c r="O1183" s="1" t="s">
        <v>13947</v>
      </c>
      <c r="P1183" s="1" t="s">
        <v>13948</v>
      </c>
      <c r="Q1183" s="1">
        <v>0</v>
      </c>
      <c r="R1183" s="1" t="s">
        <v>13949</v>
      </c>
      <c r="S1183" s="1" t="s">
        <v>13950</v>
      </c>
      <c r="U1183" s="2">
        <v>56771</v>
      </c>
      <c r="V1183" s="1">
        <v>4.3</v>
      </c>
      <c r="W1183" s="1">
        <v>700</v>
      </c>
      <c r="X1183" s="1">
        <v>1826</v>
      </c>
      <c r="Y1183" s="1">
        <v>473</v>
      </c>
      <c r="Z1183" s="1">
        <v>568</v>
      </c>
      <c r="AA1183" s="1">
        <v>785</v>
      </c>
      <c r="AB1183" s="1">
        <v>0</v>
      </c>
      <c r="AC1183" s="1">
        <v>2</v>
      </c>
      <c r="AD1183" s="1" t="s">
        <v>76</v>
      </c>
      <c r="AE1183" s="1" t="s">
        <v>13951</v>
      </c>
      <c r="AF1183" s="1" t="s">
        <v>13952</v>
      </c>
      <c r="AG1183" s="1" t="s">
        <v>13953</v>
      </c>
      <c r="AH1183" s="1" t="s">
        <v>13954</v>
      </c>
      <c r="AI1183" s="1">
        <v>4.5199999999999996</v>
      </c>
      <c r="AJ1183" s="1">
        <v>183</v>
      </c>
      <c r="AK1183" s="1">
        <v>522</v>
      </c>
    </row>
    <row r="1184" spans="1:38" ht="15.75" customHeight="1">
      <c r="A1184" s="1">
        <v>100</v>
      </c>
      <c r="C1184" s="1">
        <v>4050</v>
      </c>
      <c r="D1184" s="1" t="s">
        <v>38</v>
      </c>
      <c r="E1184" s="1" t="s">
        <v>39</v>
      </c>
      <c r="F1184" s="1" t="s">
        <v>486</v>
      </c>
      <c r="G1184" s="1">
        <v>0</v>
      </c>
      <c r="H1184" s="1" t="s">
        <v>41</v>
      </c>
      <c r="I1184" s="1" t="s">
        <v>13955</v>
      </c>
      <c r="J1184" s="1" t="s">
        <v>13956</v>
      </c>
      <c r="K1184" s="1" t="s">
        <v>13957</v>
      </c>
      <c r="L1184" s="1">
        <v>1</v>
      </c>
      <c r="M1184" s="1">
        <v>0</v>
      </c>
      <c r="N1184" s="1" t="s">
        <v>13958</v>
      </c>
      <c r="O1184" s="1" t="s">
        <v>13959</v>
      </c>
      <c r="P1184" s="1" t="s">
        <v>13960</v>
      </c>
      <c r="Q1184" s="1">
        <v>0</v>
      </c>
      <c r="R1184" s="1" t="s">
        <v>13961</v>
      </c>
      <c r="S1184" s="1" t="s">
        <v>13962</v>
      </c>
      <c r="U1184" s="2">
        <v>56766</v>
      </c>
      <c r="V1184" s="1">
        <v>4.5999999999999996</v>
      </c>
      <c r="W1184" s="1">
        <v>700</v>
      </c>
      <c r="X1184" s="1">
        <v>2068</v>
      </c>
      <c r="Y1184" s="1">
        <v>275</v>
      </c>
      <c r="Z1184" s="1">
        <v>263</v>
      </c>
      <c r="AA1184" s="1">
        <v>1530</v>
      </c>
      <c r="AB1184" s="1">
        <v>0</v>
      </c>
      <c r="AC1184" s="1">
        <v>2</v>
      </c>
      <c r="AD1184" s="1" t="s">
        <v>62</v>
      </c>
      <c r="AE1184" s="1" t="s">
        <v>13963</v>
      </c>
      <c r="AF1184" s="1" t="s">
        <v>13964</v>
      </c>
      <c r="AG1184" s="1" t="s">
        <v>13965</v>
      </c>
      <c r="AH1184" s="1" t="s">
        <v>13966</v>
      </c>
      <c r="AI1184" s="1">
        <v>4.7</v>
      </c>
      <c r="AJ1184" s="1">
        <v>212</v>
      </c>
      <c r="AK1184" s="1">
        <v>624</v>
      </c>
      <c r="AL1184" s="1">
        <v>347</v>
      </c>
    </row>
    <row r="1185" spans="1:38" ht="15.75" customHeight="1">
      <c r="A1185" s="1">
        <v>737</v>
      </c>
      <c r="B1185" s="1">
        <v>5</v>
      </c>
      <c r="C1185" s="1">
        <v>4050</v>
      </c>
      <c r="D1185" s="1" t="s">
        <v>38</v>
      </c>
      <c r="E1185" s="1" t="s">
        <v>39</v>
      </c>
      <c r="F1185" s="1" t="s">
        <v>40</v>
      </c>
      <c r="G1185" s="1">
        <v>0</v>
      </c>
      <c r="H1185" s="1" t="s">
        <v>41</v>
      </c>
      <c r="I1185" s="1" t="s">
        <v>13967</v>
      </c>
      <c r="J1185" s="1" t="s">
        <v>13968</v>
      </c>
      <c r="K1185" s="1" t="s">
        <v>13969</v>
      </c>
      <c r="L1185" s="1">
        <v>1</v>
      </c>
      <c r="M1185" s="1">
        <v>0</v>
      </c>
      <c r="N1185" s="1" t="s">
        <v>13970</v>
      </c>
      <c r="O1185" s="1" t="s">
        <v>13971</v>
      </c>
      <c r="P1185" s="1" t="s">
        <v>13972</v>
      </c>
      <c r="Q1185" s="1">
        <v>0</v>
      </c>
      <c r="R1185" s="1" t="s">
        <v>13973</v>
      </c>
      <c r="S1185" s="1" t="s">
        <v>13974</v>
      </c>
      <c r="U1185" s="2">
        <v>56771</v>
      </c>
      <c r="V1185" s="1">
        <v>4.7</v>
      </c>
      <c r="W1185" s="1">
        <v>700</v>
      </c>
      <c r="X1185" s="1">
        <v>1995</v>
      </c>
      <c r="Y1185" s="1">
        <v>346</v>
      </c>
      <c r="Z1185" s="1">
        <v>887</v>
      </c>
      <c r="AA1185" s="1">
        <v>762</v>
      </c>
      <c r="AB1185" s="1">
        <v>0</v>
      </c>
      <c r="AC1185" s="1">
        <v>5</v>
      </c>
      <c r="AD1185" s="1" t="s">
        <v>215</v>
      </c>
      <c r="AE1185" s="1" t="s">
        <v>13975</v>
      </c>
      <c r="AF1185" s="1" t="s">
        <v>13976</v>
      </c>
      <c r="AG1185" s="1" t="s">
        <v>13977</v>
      </c>
      <c r="AH1185" s="1" t="s">
        <v>13978</v>
      </c>
      <c r="AI1185" s="1">
        <v>4.7</v>
      </c>
      <c r="AJ1185" s="1">
        <v>1261</v>
      </c>
      <c r="AK1185" s="1">
        <v>3264</v>
      </c>
      <c r="AL1185" s="1">
        <v>232</v>
      </c>
    </row>
    <row r="1186" spans="1:38" ht="15.75" customHeight="1">
      <c r="A1186" s="1">
        <v>543</v>
      </c>
      <c r="B1186" s="1">
        <v>5</v>
      </c>
      <c r="C1186" s="1">
        <v>4050</v>
      </c>
      <c r="D1186" s="1" t="s">
        <v>38</v>
      </c>
      <c r="E1186" s="1" t="s">
        <v>39</v>
      </c>
      <c r="F1186" s="1" t="s">
        <v>510</v>
      </c>
      <c r="G1186" s="1">
        <v>0</v>
      </c>
      <c r="H1186" s="1" t="s">
        <v>41</v>
      </c>
      <c r="I1186" s="1" t="s">
        <v>13979</v>
      </c>
      <c r="J1186" s="1" t="s">
        <v>13980</v>
      </c>
      <c r="K1186" s="1" t="s">
        <v>13980</v>
      </c>
      <c r="L1186" s="1">
        <v>0</v>
      </c>
      <c r="M1186" s="1">
        <v>0</v>
      </c>
      <c r="N1186" s="1" t="s">
        <v>13981</v>
      </c>
      <c r="O1186" s="1" t="s">
        <v>13982</v>
      </c>
      <c r="P1186" s="1" t="s">
        <v>13983</v>
      </c>
      <c r="Q1186" s="1">
        <v>0</v>
      </c>
      <c r="R1186" s="1" t="s">
        <v>13984</v>
      </c>
      <c r="S1186" s="1" t="s">
        <v>13985</v>
      </c>
      <c r="U1186" s="2">
        <v>56770</v>
      </c>
      <c r="V1186" s="1">
        <v>4.4000000000000004</v>
      </c>
      <c r="W1186" s="1">
        <v>700</v>
      </c>
      <c r="X1186" s="1">
        <v>3349</v>
      </c>
      <c r="Y1186" s="1">
        <v>624</v>
      </c>
      <c r="Z1186" s="1">
        <v>657</v>
      </c>
      <c r="AA1186" s="1">
        <v>2068</v>
      </c>
      <c r="AB1186" s="1">
        <v>1</v>
      </c>
      <c r="AC1186" s="1">
        <v>6</v>
      </c>
      <c r="AE1186" s="1" t="s">
        <v>13986</v>
      </c>
      <c r="AF1186" s="1" t="s">
        <v>13987</v>
      </c>
      <c r="AG1186" s="1" t="s">
        <v>13988</v>
      </c>
      <c r="AH1186" s="1" t="s">
        <v>13989</v>
      </c>
      <c r="AI1186" s="1">
        <v>4.62</v>
      </c>
      <c r="AJ1186" s="1">
        <v>259</v>
      </c>
      <c r="AK1186" s="1">
        <v>604</v>
      </c>
      <c r="AL1186" s="1">
        <v>21</v>
      </c>
    </row>
    <row r="1187" spans="1:38" ht="15.75" customHeight="1">
      <c r="A1187" s="1">
        <v>903</v>
      </c>
      <c r="B1187" s="1">
        <v>5</v>
      </c>
      <c r="C1187" s="1">
        <v>4050</v>
      </c>
      <c r="D1187" s="1" t="s">
        <v>38</v>
      </c>
      <c r="E1187" s="1" t="s">
        <v>39</v>
      </c>
      <c r="F1187" s="1" t="s">
        <v>510</v>
      </c>
      <c r="G1187" s="1">
        <v>0</v>
      </c>
      <c r="H1187" s="1" t="s">
        <v>41</v>
      </c>
      <c r="I1187" s="1" t="s">
        <v>13990</v>
      </c>
      <c r="J1187" s="1" t="s">
        <v>13991</v>
      </c>
      <c r="K1187" s="1" t="s">
        <v>13992</v>
      </c>
      <c r="L1187" s="1">
        <v>1</v>
      </c>
      <c r="M1187" s="1">
        <v>0</v>
      </c>
      <c r="N1187" s="1" t="s">
        <v>13993</v>
      </c>
      <c r="O1187" s="1" t="s">
        <v>13994</v>
      </c>
      <c r="P1187" s="1" t="s">
        <v>13995</v>
      </c>
      <c r="Q1187" s="1">
        <v>0</v>
      </c>
      <c r="R1187" s="1" t="s">
        <v>13996</v>
      </c>
      <c r="S1187" s="1" t="s">
        <v>13997</v>
      </c>
      <c r="U1187" s="2">
        <v>56772</v>
      </c>
      <c r="V1187" s="1">
        <v>4.5</v>
      </c>
      <c r="W1187" s="1">
        <v>700</v>
      </c>
      <c r="X1187" s="1">
        <v>1456</v>
      </c>
      <c r="Y1187" s="1">
        <v>427</v>
      </c>
      <c r="Z1187" s="1">
        <v>289</v>
      </c>
      <c r="AA1187" s="1">
        <v>740</v>
      </c>
      <c r="AB1187" s="1">
        <v>0</v>
      </c>
      <c r="AC1187" s="1">
        <v>2</v>
      </c>
      <c r="AD1187" s="1" t="s">
        <v>215</v>
      </c>
      <c r="AE1187" s="1" t="s">
        <v>13998</v>
      </c>
      <c r="AF1187" s="1" t="s">
        <v>13999</v>
      </c>
      <c r="AG1187" s="1" t="s">
        <v>14000</v>
      </c>
      <c r="AH1187" s="1" t="s">
        <v>14001</v>
      </c>
      <c r="AI1187" s="1">
        <v>4.62</v>
      </c>
      <c r="AJ1187" s="1">
        <v>259</v>
      </c>
      <c r="AK1187" s="1">
        <v>604</v>
      </c>
      <c r="AL1187" s="1">
        <v>21</v>
      </c>
    </row>
    <row r="1188" spans="1:38" ht="15.75" customHeight="1">
      <c r="A1188" s="1">
        <v>954</v>
      </c>
      <c r="B1188" s="1">
        <v>5</v>
      </c>
      <c r="C1188" s="1">
        <v>4050</v>
      </c>
      <c r="D1188" s="1" t="s">
        <v>38</v>
      </c>
      <c r="E1188" s="1" t="s">
        <v>39</v>
      </c>
      <c r="F1188" s="1" t="s">
        <v>220</v>
      </c>
      <c r="G1188" s="1">
        <v>0</v>
      </c>
      <c r="H1188" s="1" t="s">
        <v>41</v>
      </c>
      <c r="I1188" s="1" t="s">
        <v>14002</v>
      </c>
      <c r="J1188" s="1" t="s">
        <v>14003</v>
      </c>
      <c r="K1188" s="1" t="s">
        <v>14004</v>
      </c>
      <c r="L1188" s="1">
        <v>1</v>
      </c>
      <c r="M1188" s="1">
        <v>0</v>
      </c>
      <c r="N1188" s="1" t="s">
        <v>14005</v>
      </c>
      <c r="O1188" s="1" t="s">
        <v>14006</v>
      </c>
      <c r="P1188" s="1" t="s">
        <v>14007</v>
      </c>
      <c r="Q1188" s="1">
        <v>0</v>
      </c>
      <c r="R1188" s="1" t="s">
        <v>14008</v>
      </c>
      <c r="S1188" s="1" t="s">
        <v>14009</v>
      </c>
      <c r="U1188" s="2">
        <v>56773</v>
      </c>
      <c r="V1188" s="1">
        <v>4.5999999999999996</v>
      </c>
      <c r="W1188" s="1">
        <v>700</v>
      </c>
      <c r="X1188" s="1">
        <v>1963</v>
      </c>
      <c r="Y1188" s="1">
        <v>1024</v>
      </c>
      <c r="Z1188" s="1">
        <v>221</v>
      </c>
      <c r="AA1188" s="1">
        <v>718</v>
      </c>
      <c r="AB1188" s="1">
        <v>0</v>
      </c>
      <c r="AC1188" s="1">
        <v>4</v>
      </c>
      <c r="AD1188" s="1" t="s">
        <v>62</v>
      </c>
      <c r="AE1188" s="1" t="s">
        <v>14010</v>
      </c>
      <c r="AF1188" s="1" t="s">
        <v>14011</v>
      </c>
      <c r="AG1188" s="1" t="s">
        <v>14012</v>
      </c>
      <c r="AH1188" s="1" t="s">
        <v>14013</v>
      </c>
      <c r="AI1188" s="1">
        <v>4.42</v>
      </c>
      <c r="AJ1188" s="1">
        <v>1396</v>
      </c>
      <c r="AK1188" s="1">
        <v>4836</v>
      </c>
      <c r="AL1188" s="1">
        <v>1278</v>
      </c>
    </row>
    <row r="1189" spans="1:38" ht="15.75" customHeight="1">
      <c r="A1189" s="1">
        <v>862</v>
      </c>
      <c r="C1189" s="1">
        <v>4001</v>
      </c>
      <c r="D1189" s="1" t="s">
        <v>51</v>
      </c>
      <c r="E1189" s="1" t="s">
        <v>39</v>
      </c>
      <c r="F1189" s="1" t="s">
        <v>67</v>
      </c>
      <c r="G1189" s="1">
        <v>0</v>
      </c>
      <c r="H1189" s="1" t="s">
        <v>41</v>
      </c>
      <c r="I1189" s="1" t="s">
        <v>14014</v>
      </c>
      <c r="J1189" s="1" t="s">
        <v>14015</v>
      </c>
      <c r="K1189" s="1" t="s">
        <v>14016</v>
      </c>
      <c r="L1189" s="1">
        <v>1</v>
      </c>
      <c r="M1189" s="1">
        <v>0</v>
      </c>
      <c r="N1189" s="1" t="s">
        <v>14017</v>
      </c>
      <c r="O1189" s="1" t="s">
        <v>14018</v>
      </c>
      <c r="P1189" s="1" t="s">
        <v>14019</v>
      </c>
      <c r="Q1189" s="1">
        <v>0</v>
      </c>
      <c r="R1189" s="1" t="s">
        <v>14020</v>
      </c>
      <c r="S1189" s="1" t="s">
        <v>14021</v>
      </c>
      <c r="U1189" s="2">
        <v>56772</v>
      </c>
      <c r="V1189" s="1">
        <v>4.5</v>
      </c>
      <c r="W1189" s="1">
        <v>600</v>
      </c>
      <c r="X1189" s="1">
        <v>1966</v>
      </c>
      <c r="Y1189" s="1">
        <v>59</v>
      </c>
      <c r="Z1189" s="1">
        <v>421</v>
      </c>
      <c r="AA1189" s="1">
        <v>1486</v>
      </c>
      <c r="AB1189" s="1">
        <v>1</v>
      </c>
      <c r="AC1189" s="1">
        <v>1</v>
      </c>
      <c r="AE1189" s="1" t="s">
        <v>14022</v>
      </c>
      <c r="AF1189" s="1" t="s">
        <v>14023</v>
      </c>
      <c r="AG1189" s="1" t="s">
        <v>14024</v>
      </c>
      <c r="AH1189" s="1" t="s">
        <v>14025</v>
      </c>
      <c r="AI1189" s="1">
        <v>3.82</v>
      </c>
      <c r="AJ1189" s="1">
        <v>174</v>
      </c>
      <c r="AK1189" s="1">
        <v>773</v>
      </c>
    </row>
    <row r="1190" spans="1:38" ht="15.75" customHeight="1">
      <c r="A1190" s="1">
        <v>1387</v>
      </c>
      <c r="C1190" s="1">
        <v>4001</v>
      </c>
      <c r="D1190" s="1" t="s">
        <v>51</v>
      </c>
      <c r="E1190" s="1" t="s">
        <v>39</v>
      </c>
      <c r="F1190" s="1" t="s">
        <v>341</v>
      </c>
      <c r="G1190" s="1">
        <v>0</v>
      </c>
      <c r="H1190" s="1" t="s">
        <v>41</v>
      </c>
      <c r="I1190" s="1" t="s">
        <v>14026</v>
      </c>
      <c r="J1190" s="1" t="s">
        <v>14027</v>
      </c>
      <c r="K1190" s="1" t="s">
        <v>14028</v>
      </c>
      <c r="L1190" s="1">
        <v>1</v>
      </c>
      <c r="M1190" s="1">
        <v>0</v>
      </c>
      <c r="N1190" s="1" t="s">
        <v>14029</v>
      </c>
      <c r="O1190" s="1" t="s">
        <v>14030</v>
      </c>
      <c r="P1190" s="1" t="s">
        <v>14031</v>
      </c>
      <c r="Q1190" s="1">
        <v>0</v>
      </c>
      <c r="R1190" s="1" t="s">
        <v>14032</v>
      </c>
      <c r="S1190" s="1" t="s">
        <v>14033</v>
      </c>
      <c r="U1190" s="2">
        <v>56777</v>
      </c>
      <c r="V1190" s="1">
        <v>4.5999999999999996</v>
      </c>
      <c r="W1190" s="1">
        <v>600</v>
      </c>
      <c r="X1190" s="1">
        <v>1149</v>
      </c>
      <c r="Y1190" s="1">
        <v>282</v>
      </c>
      <c r="Z1190" s="1">
        <v>527</v>
      </c>
      <c r="AA1190" s="1">
        <v>340</v>
      </c>
      <c r="AB1190" s="1">
        <v>1</v>
      </c>
      <c r="AC1190" s="1">
        <v>2</v>
      </c>
      <c r="AE1190" s="1" t="s">
        <v>14034</v>
      </c>
      <c r="AF1190" s="1" t="s">
        <v>14035</v>
      </c>
      <c r="AG1190" s="1" t="s">
        <v>14036</v>
      </c>
      <c r="AH1190" s="1" t="s">
        <v>14037</v>
      </c>
      <c r="AI1190" s="1">
        <v>4.54</v>
      </c>
      <c r="AJ1190" s="1">
        <v>2229</v>
      </c>
      <c r="AK1190" s="1">
        <v>6580</v>
      </c>
    </row>
    <row r="1191" spans="1:38" ht="15.75" customHeight="1">
      <c r="A1191" s="1">
        <v>456</v>
      </c>
      <c r="C1191" s="1">
        <v>4001</v>
      </c>
      <c r="D1191" s="1" t="s">
        <v>51</v>
      </c>
      <c r="E1191" s="1" t="s">
        <v>39</v>
      </c>
      <c r="F1191" s="1" t="s">
        <v>232</v>
      </c>
      <c r="G1191" s="1">
        <v>0</v>
      </c>
      <c r="H1191" s="1" t="s">
        <v>53</v>
      </c>
      <c r="I1191" s="1" t="s">
        <v>14038</v>
      </c>
      <c r="J1191" s="1" t="s">
        <v>14039</v>
      </c>
      <c r="K1191" s="1" t="s">
        <v>14040</v>
      </c>
      <c r="L1191" s="1">
        <v>1</v>
      </c>
      <c r="M1191" s="1">
        <v>0</v>
      </c>
      <c r="N1191" s="1" t="s">
        <v>14041</v>
      </c>
      <c r="O1191" s="1" t="s">
        <v>14042</v>
      </c>
      <c r="P1191" s="1" t="s">
        <v>14043</v>
      </c>
      <c r="Q1191" s="1">
        <v>0</v>
      </c>
      <c r="R1191" s="1" t="s">
        <v>14044</v>
      </c>
      <c r="S1191" s="1" t="s">
        <v>14045</v>
      </c>
      <c r="U1191" s="2">
        <v>56769</v>
      </c>
      <c r="V1191" s="1">
        <v>4.0619210990000001</v>
      </c>
      <c r="W1191" s="1">
        <v>600</v>
      </c>
      <c r="X1191" s="1">
        <v>993</v>
      </c>
      <c r="Y1191" s="1">
        <v>446</v>
      </c>
      <c r="AA1191" s="1">
        <v>552</v>
      </c>
      <c r="AB1191" s="1">
        <v>0</v>
      </c>
      <c r="AC1191" s="1">
        <v>1</v>
      </c>
      <c r="AD1191" s="1" t="s">
        <v>215</v>
      </c>
      <c r="AE1191" s="1" t="s">
        <v>14046</v>
      </c>
      <c r="AF1191" s="1" t="s">
        <v>14047</v>
      </c>
      <c r="AG1191" s="1" t="s">
        <v>14048</v>
      </c>
      <c r="AH1191" s="1" t="s">
        <v>14049</v>
      </c>
      <c r="AI1191" s="1">
        <v>4.5599999999999996</v>
      </c>
      <c r="AJ1191" s="1">
        <v>765</v>
      </c>
      <c r="AK1191" s="1">
        <v>2618</v>
      </c>
    </row>
    <row r="1192" spans="1:38" ht="15.75" customHeight="1">
      <c r="A1192" s="1">
        <v>867</v>
      </c>
      <c r="B1192" s="1">
        <v>5</v>
      </c>
      <c r="C1192" s="1">
        <v>4050</v>
      </c>
      <c r="D1192" s="1" t="s">
        <v>38</v>
      </c>
      <c r="E1192" s="1" t="s">
        <v>39</v>
      </c>
      <c r="F1192" s="1" t="s">
        <v>1348</v>
      </c>
      <c r="G1192" s="1">
        <v>0</v>
      </c>
      <c r="H1192" s="1" t="s">
        <v>41</v>
      </c>
      <c r="I1192" s="1" t="s">
        <v>14050</v>
      </c>
      <c r="J1192" s="1" t="s">
        <v>14051</v>
      </c>
      <c r="K1192" s="1" t="s">
        <v>14052</v>
      </c>
      <c r="L1192" s="1">
        <v>1</v>
      </c>
      <c r="M1192" s="1">
        <v>0</v>
      </c>
      <c r="N1192" s="1" t="s">
        <v>14053</v>
      </c>
      <c r="O1192" s="1" t="s">
        <v>14054</v>
      </c>
      <c r="P1192" s="1" t="s">
        <v>14055</v>
      </c>
      <c r="Q1192" s="1">
        <v>0</v>
      </c>
      <c r="R1192" s="1" t="s">
        <v>14056</v>
      </c>
      <c r="S1192" s="1" t="s">
        <v>14057</v>
      </c>
      <c r="U1192" s="2">
        <v>56772</v>
      </c>
      <c r="V1192" s="1">
        <v>4.0999999999999996</v>
      </c>
      <c r="W1192" s="1">
        <v>600</v>
      </c>
      <c r="X1192" s="1">
        <v>1713</v>
      </c>
      <c r="Y1192" s="1">
        <v>885</v>
      </c>
      <c r="Z1192" s="1">
        <v>130</v>
      </c>
      <c r="AA1192" s="1">
        <v>698</v>
      </c>
      <c r="AB1192" s="1">
        <v>0</v>
      </c>
      <c r="AC1192" s="1">
        <v>2</v>
      </c>
      <c r="AD1192" s="1" t="s">
        <v>62</v>
      </c>
      <c r="AE1192" s="1" t="s">
        <v>14058</v>
      </c>
      <c r="AF1192" s="1" t="s">
        <v>14059</v>
      </c>
      <c r="AG1192" s="1" t="s">
        <v>14060</v>
      </c>
      <c r="AH1192" s="1" t="s">
        <v>14061</v>
      </c>
      <c r="AI1192" s="1">
        <v>4.79</v>
      </c>
      <c r="AJ1192" s="1">
        <v>1007</v>
      </c>
      <c r="AK1192" s="1">
        <v>2899</v>
      </c>
      <c r="AL1192" s="1">
        <v>1301</v>
      </c>
    </row>
    <row r="1193" spans="1:38" ht="15.75" customHeight="1">
      <c r="A1193" s="1">
        <v>707</v>
      </c>
      <c r="C1193" s="1">
        <v>4050</v>
      </c>
      <c r="D1193" s="1" t="s">
        <v>38</v>
      </c>
      <c r="E1193" s="1" t="s">
        <v>39</v>
      </c>
      <c r="F1193" s="1" t="s">
        <v>510</v>
      </c>
      <c r="G1193" s="1">
        <v>0</v>
      </c>
      <c r="H1193" s="1" t="s">
        <v>41</v>
      </c>
      <c r="I1193" s="1" t="s">
        <v>14062</v>
      </c>
      <c r="J1193" s="1" t="s">
        <v>14063</v>
      </c>
      <c r="K1193" s="1" t="s">
        <v>14064</v>
      </c>
      <c r="L1193" s="1">
        <v>1</v>
      </c>
      <c r="M1193" s="1">
        <v>0</v>
      </c>
      <c r="N1193" s="1" t="s">
        <v>14065</v>
      </c>
      <c r="O1193" s="1" t="s">
        <v>14066</v>
      </c>
      <c r="P1193" s="1" t="s">
        <v>14067</v>
      </c>
      <c r="Q1193" s="1">
        <v>0</v>
      </c>
      <c r="R1193" s="1" t="s">
        <v>14068</v>
      </c>
      <c r="S1193" s="1" t="s">
        <v>14069</v>
      </c>
      <c r="U1193" s="2">
        <v>56770</v>
      </c>
      <c r="V1193" s="1">
        <v>4.2</v>
      </c>
      <c r="W1193" s="1">
        <v>600</v>
      </c>
      <c r="X1193" s="1">
        <v>2199</v>
      </c>
      <c r="Y1193" s="1">
        <v>459</v>
      </c>
      <c r="Z1193" s="1">
        <v>738</v>
      </c>
      <c r="AA1193" s="1">
        <v>1002</v>
      </c>
      <c r="AB1193" s="1">
        <v>0</v>
      </c>
      <c r="AC1193" s="1">
        <v>5</v>
      </c>
      <c r="AD1193" s="1" t="s">
        <v>215</v>
      </c>
      <c r="AE1193" s="1" t="s">
        <v>14070</v>
      </c>
      <c r="AF1193" s="1" t="s">
        <v>14071</v>
      </c>
      <c r="AG1193" s="1" t="s">
        <v>14072</v>
      </c>
      <c r="AH1193" s="1" t="s">
        <v>14073</v>
      </c>
      <c r="AI1193" s="1">
        <v>4.62</v>
      </c>
      <c r="AJ1193" s="1">
        <v>259</v>
      </c>
      <c r="AK1193" s="1">
        <v>604</v>
      </c>
      <c r="AL1193" s="1">
        <v>21</v>
      </c>
    </row>
    <row r="1194" spans="1:38" ht="15.75" customHeight="1">
      <c r="A1194" s="1">
        <v>285</v>
      </c>
      <c r="B1194" s="1">
        <v>5</v>
      </c>
      <c r="C1194" s="1">
        <v>4050</v>
      </c>
      <c r="D1194" s="1" t="s">
        <v>38</v>
      </c>
      <c r="E1194" s="1" t="s">
        <v>39</v>
      </c>
      <c r="F1194" s="1" t="s">
        <v>510</v>
      </c>
      <c r="G1194" s="1">
        <v>0</v>
      </c>
      <c r="H1194" s="1" t="s">
        <v>41</v>
      </c>
      <c r="I1194" s="1" t="s">
        <v>14074</v>
      </c>
      <c r="J1194" s="1" t="s">
        <v>14075</v>
      </c>
      <c r="K1194" s="1" t="s">
        <v>14076</v>
      </c>
      <c r="L1194" s="1">
        <v>1</v>
      </c>
      <c r="M1194" s="1">
        <v>0</v>
      </c>
      <c r="N1194" s="1" t="s">
        <v>14077</v>
      </c>
      <c r="O1194" s="1" t="s">
        <v>14078</v>
      </c>
      <c r="P1194" s="1" t="s">
        <v>14079</v>
      </c>
      <c r="Q1194" s="1">
        <v>0</v>
      </c>
      <c r="R1194" s="1" t="s">
        <v>14080</v>
      </c>
      <c r="S1194" s="1" t="s">
        <v>14081</v>
      </c>
      <c r="U1194" s="2">
        <v>56768</v>
      </c>
      <c r="V1194" s="1">
        <v>4.4000000000000004</v>
      </c>
      <c r="W1194" s="1">
        <v>600</v>
      </c>
      <c r="X1194" s="1">
        <v>1923</v>
      </c>
      <c r="Y1194" s="1">
        <v>683</v>
      </c>
      <c r="Z1194" s="1">
        <v>768</v>
      </c>
      <c r="AA1194" s="1">
        <v>472</v>
      </c>
      <c r="AB1194" s="1">
        <v>0</v>
      </c>
      <c r="AC1194" s="1">
        <v>3</v>
      </c>
      <c r="AD1194" s="1" t="s">
        <v>62</v>
      </c>
      <c r="AE1194" s="1" t="s">
        <v>14082</v>
      </c>
      <c r="AF1194" s="1" t="s">
        <v>14083</v>
      </c>
      <c r="AG1194" s="1" t="s">
        <v>14084</v>
      </c>
      <c r="AH1194" s="1" t="s">
        <v>14085</v>
      </c>
      <c r="AI1194" s="1">
        <v>4.62</v>
      </c>
      <c r="AJ1194" s="1">
        <v>259</v>
      </c>
      <c r="AK1194" s="1">
        <v>604</v>
      </c>
      <c r="AL1194" s="1">
        <v>21</v>
      </c>
    </row>
    <row r="1195" spans="1:38" ht="15.75" customHeight="1">
      <c r="A1195" s="1">
        <v>254</v>
      </c>
      <c r="B1195" s="1">
        <v>5</v>
      </c>
      <c r="C1195" s="1">
        <v>4001</v>
      </c>
      <c r="D1195" s="1" t="s">
        <v>51</v>
      </c>
      <c r="E1195" s="1" t="s">
        <v>39</v>
      </c>
      <c r="F1195" s="1" t="s">
        <v>341</v>
      </c>
      <c r="G1195" s="1">
        <v>0</v>
      </c>
      <c r="H1195" s="1" t="s">
        <v>41</v>
      </c>
      <c r="I1195" s="1" t="s">
        <v>14086</v>
      </c>
      <c r="J1195" s="1" t="s">
        <v>14087</v>
      </c>
      <c r="K1195" s="1" t="s">
        <v>14088</v>
      </c>
      <c r="L1195" s="1">
        <v>1</v>
      </c>
      <c r="M1195" s="1">
        <v>0</v>
      </c>
      <c r="N1195" s="1" t="s">
        <v>14089</v>
      </c>
      <c r="O1195" s="1" t="s">
        <v>14090</v>
      </c>
      <c r="P1195" s="1" t="s">
        <v>14091</v>
      </c>
      <c r="Q1195" s="1">
        <v>0</v>
      </c>
      <c r="R1195" s="1" t="s">
        <v>14092</v>
      </c>
      <c r="S1195" s="1" t="s">
        <v>14093</v>
      </c>
      <c r="U1195" s="2">
        <v>56768</v>
      </c>
      <c r="V1195" s="1">
        <v>4.5</v>
      </c>
      <c r="W1195" s="1">
        <v>600</v>
      </c>
      <c r="X1195" s="1">
        <v>1869</v>
      </c>
      <c r="Y1195" s="1">
        <v>631</v>
      </c>
      <c r="Z1195" s="1">
        <v>801</v>
      </c>
      <c r="AA1195" s="1">
        <v>437</v>
      </c>
      <c r="AB1195" s="1">
        <v>1</v>
      </c>
      <c r="AC1195" s="1">
        <v>1</v>
      </c>
      <c r="AE1195" s="1" t="s">
        <v>14094</v>
      </c>
      <c r="AF1195" s="1" t="s">
        <v>14095</v>
      </c>
      <c r="AG1195" s="1" t="s">
        <v>14096</v>
      </c>
      <c r="AH1195" s="1" t="s">
        <v>14097</v>
      </c>
      <c r="AI1195" s="1">
        <v>4.54</v>
      </c>
      <c r="AJ1195" s="1">
        <v>2229</v>
      </c>
      <c r="AK1195" s="1">
        <v>6580</v>
      </c>
    </row>
    <row r="1196" spans="1:38" ht="15.75" customHeight="1">
      <c r="A1196" s="1">
        <v>924</v>
      </c>
      <c r="C1196" s="1">
        <v>4001</v>
      </c>
      <c r="D1196" s="1" t="s">
        <v>51</v>
      </c>
      <c r="E1196" s="1" t="s">
        <v>39</v>
      </c>
      <c r="F1196" s="1" t="s">
        <v>414</v>
      </c>
      <c r="G1196" s="1">
        <v>0</v>
      </c>
      <c r="H1196" s="1" t="s">
        <v>53</v>
      </c>
      <c r="I1196" s="1" t="s">
        <v>14098</v>
      </c>
      <c r="J1196" s="1" t="s">
        <v>14099</v>
      </c>
      <c r="K1196" s="1" t="s">
        <v>14100</v>
      </c>
      <c r="L1196" s="1">
        <v>1</v>
      </c>
      <c r="M1196" s="1">
        <v>0</v>
      </c>
      <c r="N1196" s="1" t="s">
        <v>14101</v>
      </c>
      <c r="O1196" s="1" t="s">
        <v>14102</v>
      </c>
      <c r="P1196" s="1" t="s">
        <v>14103</v>
      </c>
      <c r="Q1196" s="1">
        <v>0</v>
      </c>
      <c r="R1196" s="1" t="s">
        <v>14104</v>
      </c>
      <c r="S1196" s="1" t="s">
        <v>14105</v>
      </c>
      <c r="U1196" s="2">
        <v>56773</v>
      </c>
      <c r="V1196" s="1">
        <v>3.9792116329999998</v>
      </c>
      <c r="W1196" s="1">
        <v>600</v>
      </c>
      <c r="X1196" s="1">
        <v>1874</v>
      </c>
      <c r="Y1196" s="1">
        <v>934</v>
      </c>
      <c r="AA1196" s="1">
        <v>943</v>
      </c>
      <c r="AB1196" s="1">
        <v>0</v>
      </c>
      <c r="AC1196" s="1">
        <v>1</v>
      </c>
      <c r="AD1196" s="1" t="s">
        <v>76</v>
      </c>
      <c r="AE1196" s="1" t="s">
        <v>14106</v>
      </c>
      <c r="AF1196" s="1" t="s">
        <v>14107</v>
      </c>
      <c r="AG1196" s="1" t="s">
        <v>14108</v>
      </c>
      <c r="AH1196" s="1" t="s">
        <v>14109</v>
      </c>
      <c r="AI1196" s="1">
        <v>4.58</v>
      </c>
      <c r="AJ1196" s="1">
        <v>254</v>
      </c>
      <c r="AK1196" s="1">
        <v>788</v>
      </c>
      <c r="AL1196" s="1">
        <v>9</v>
      </c>
    </row>
    <row r="1197" spans="1:38" ht="15.75" customHeight="1">
      <c r="A1197" s="1">
        <v>866</v>
      </c>
      <c r="B1197" s="1">
        <v>5</v>
      </c>
      <c r="C1197" s="1">
        <v>4050</v>
      </c>
      <c r="D1197" s="1" t="s">
        <v>38</v>
      </c>
      <c r="E1197" s="1" t="s">
        <v>39</v>
      </c>
      <c r="F1197" s="1" t="s">
        <v>116</v>
      </c>
      <c r="G1197" s="1">
        <v>0</v>
      </c>
      <c r="H1197" s="1" t="s">
        <v>41</v>
      </c>
      <c r="I1197" s="1" t="s">
        <v>14110</v>
      </c>
      <c r="J1197" s="1" t="s">
        <v>14111</v>
      </c>
      <c r="K1197" s="1" t="s">
        <v>14112</v>
      </c>
      <c r="L1197" s="1">
        <v>1</v>
      </c>
      <c r="M1197" s="1">
        <v>0</v>
      </c>
      <c r="N1197" s="1" t="s">
        <v>14113</v>
      </c>
      <c r="O1197" s="1" t="s">
        <v>14114</v>
      </c>
      <c r="P1197" s="1" t="s">
        <v>14115</v>
      </c>
      <c r="Q1197" s="1">
        <v>0</v>
      </c>
      <c r="R1197" s="1" t="s">
        <v>14116</v>
      </c>
      <c r="U1197" s="2">
        <v>56772</v>
      </c>
      <c r="V1197" s="1">
        <v>4.5999999999999996</v>
      </c>
      <c r="W1197" s="1">
        <v>400</v>
      </c>
      <c r="X1197" s="1">
        <v>1616</v>
      </c>
      <c r="AA1197" s="1">
        <v>332</v>
      </c>
      <c r="AB1197" s="1">
        <v>0</v>
      </c>
      <c r="AC1197" s="1">
        <v>1</v>
      </c>
      <c r="AE1197" s="1" t="s">
        <v>14117</v>
      </c>
      <c r="AF1197" s="1" t="s">
        <v>14118</v>
      </c>
      <c r="AG1197" s="1" t="s">
        <v>14119</v>
      </c>
      <c r="AI1197" s="1">
        <v>4.8899999999999997</v>
      </c>
      <c r="AJ1197" s="1">
        <v>1778</v>
      </c>
      <c r="AK1197" s="1">
        <v>5138</v>
      </c>
      <c r="AL1197" s="1">
        <v>314</v>
      </c>
    </row>
    <row r="1198" spans="1:38" ht="15.75" customHeight="1">
      <c r="A1198" s="1">
        <v>1527</v>
      </c>
      <c r="C1198" s="1">
        <v>4001</v>
      </c>
      <c r="D1198" s="1" t="s">
        <v>51</v>
      </c>
      <c r="E1198" s="1" t="s">
        <v>39</v>
      </c>
      <c r="F1198" s="1" t="s">
        <v>414</v>
      </c>
      <c r="G1198" s="1">
        <v>0</v>
      </c>
      <c r="H1198" s="1" t="s">
        <v>53</v>
      </c>
      <c r="I1198" s="1" t="s">
        <v>14120</v>
      </c>
      <c r="J1198" s="1" t="s">
        <v>14121</v>
      </c>
      <c r="K1198" s="1" t="s">
        <v>14122</v>
      </c>
      <c r="L1198" s="1">
        <v>1</v>
      </c>
      <c r="M1198" s="1">
        <v>0</v>
      </c>
      <c r="N1198" s="1" t="s">
        <v>14123</v>
      </c>
      <c r="O1198" s="1" t="s">
        <v>14124</v>
      </c>
      <c r="P1198" s="1" t="s">
        <v>14125</v>
      </c>
      <c r="Q1198" s="1">
        <v>0</v>
      </c>
      <c r="R1198" s="1" t="s">
        <v>14126</v>
      </c>
      <c r="S1198" s="1" t="s">
        <v>14127</v>
      </c>
      <c r="U1198" s="2">
        <v>56777</v>
      </c>
      <c r="V1198" s="1">
        <v>3.371501608</v>
      </c>
      <c r="W1198" s="1">
        <v>400</v>
      </c>
      <c r="X1198" s="1">
        <v>1777</v>
      </c>
      <c r="Y1198" s="1">
        <v>539</v>
      </c>
      <c r="Z1198" s="1">
        <v>488</v>
      </c>
      <c r="AA1198" s="1">
        <v>750</v>
      </c>
      <c r="AB1198" s="1">
        <v>0</v>
      </c>
      <c r="AC1198" s="1">
        <v>4</v>
      </c>
      <c r="AD1198" s="1" t="s">
        <v>215</v>
      </c>
      <c r="AE1198" s="1" t="s">
        <v>14128</v>
      </c>
      <c r="AF1198" s="1" t="s">
        <v>14129</v>
      </c>
      <c r="AG1198" s="1" t="s">
        <v>14130</v>
      </c>
      <c r="AH1198" s="1" t="s">
        <v>14131</v>
      </c>
      <c r="AI1198" s="1">
        <v>4.58</v>
      </c>
      <c r="AJ1198" s="1">
        <v>254</v>
      </c>
      <c r="AK1198" s="1">
        <v>788</v>
      </c>
      <c r="AL1198" s="1">
        <v>9</v>
      </c>
    </row>
    <row r="1199" spans="1:38" ht="15.75" customHeight="1">
      <c r="A1199" s="1">
        <v>235</v>
      </c>
      <c r="C1199" s="1">
        <v>4001</v>
      </c>
      <c r="D1199" s="1" t="s">
        <v>51</v>
      </c>
      <c r="E1199" s="1" t="s">
        <v>39</v>
      </c>
      <c r="F1199" s="1" t="s">
        <v>341</v>
      </c>
      <c r="G1199" s="1">
        <v>0</v>
      </c>
      <c r="H1199" s="1" t="s">
        <v>41</v>
      </c>
      <c r="I1199" s="1" t="s">
        <v>14132</v>
      </c>
      <c r="J1199" s="1" t="s">
        <v>14133</v>
      </c>
      <c r="K1199" s="1" t="s">
        <v>14134</v>
      </c>
      <c r="L1199" s="1">
        <v>1</v>
      </c>
      <c r="M1199" s="1">
        <v>0</v>
      </c>
      <c r="N1199" s="1" t="s">
        <v>14135</v>
      </c>
      <c r="O1199" s="1" t="s">
        <v>14136</v>
      </c>
      <c r="P1199" s="1" t="s">
        <v>14137</v>
      </c>
      <c r="Q1199" s="1">
        <v>1</v>
      </c>
      <c r="R1199" s="1" t="s">
        <v>14138</v>
      </c>
      <c r="S1199" s="1" t="s">
        <v>14139</v>
      </c>
      <c r="U1199" s="2">
        <v>56767</v>
      </c>
      <c r="V1199" s="1">
        <v>3.3479806879999998</v>
      </c>
      <c r="W1199" s="1">
        <v>400</v>
      </c>
      <c r="X1199" s="1">
        <v>2481</v>
      </c>
      <c r="Y1199" s="1">
        <v>743</v>
      </c>
      <c r="Z1199" s="1">
        <v>300</v>
      </c>
      <c r="AA1199" s="1">
        <v>1438</v>
      </c>
      <c r="AB1199" s="1">
        <v>1</v>
      </c>
      <c r="AC1199" s="1">
        <v>2</v>
      </c>
      <c r="AE1199" s="1" t="s">
        <v>14140</v>
      </c>
      <c r="AF1199" s="1" t="s">
        <v>14141</v>
      </c>
      <c r="AG1199" s="1" t="s">
        <v>14142</v>
      </c>
      <c r="AH1199" s="1" t="s">
        <v>14143</v>
      </c>
      <c r="AI1199" s="1">
        <v>4.54</v>
      </c>
      <c r="AJ1199" s="1">
        <v>2229</v>
      </c>
      <c r="AK1199" s="1">
        <v>6580</v>
      </c>
    </row>
    <row r="1200" spans="1:38" ht="15.75" customHeight="1">
      <c r="A1200" s="1">
        <v>821</v>
      </c>
      <c r="C1200" s="1">
        <v>4001</v>
      </c>
      <c r="D1200" s="1" t="s">
        <v>51</v>
      </c>
      <c r="E1200" s="1" t="s">
        <v>39</v>
      </c>
      <c r="F1200" s="1" t="s">
        <v>67</v>
      </c>
      <c r="G1200" s="1">
        <v>0</v>
      </c>
      <c r="H1200" s="1" t="s">
        <v>41</v>
      </c>
      <c r="I1200" s="1" t="s">
        <v>14144</v>
      </c>
      <c r="J1200" s="1" t="s">
        <v>14145</v>
      </c>
      <c r="K1200" s="1" t="s">
        <v>14145</v>
      </c>
      <c r="L1200" s="1">
        <v>0</v>
      </c>
      <c r="M1200" s="1">
        <v>0</v>
      </c>
      <c r="N1200" s="1" t="s">
        <v>14146</v>
      </c>
      <c r="O1200" s="1" t="s">
        <v>14147</v>
      </c>
      <c r="P1200" s="1" t="s">
        <v>14148</v>
      </c>
      <c r="Q1200" s="1">
        <v>0</v>
      </c>
      <c r="R1200" s="1" t="s">
        <v>14149</v>
      </c>
      <c r="S1200" s="1" t="s">
        <v>14150</v>
      </c>
      <c r="U1200" s="2">
        <v>56772</v>
      </c>
      <c r="V1200" s="1">
        <v>4.5</v>
      </c>
      <c r="W1200" s="1">
        <v>400</v>
      </c>
      <c r="X1200" s="1">
        <v>2678</v>
      </c>
      <c r="Y1200" s="1">
        <v>894</v>
      </c>
      <c r="Z1200" s="1">
        <v>515</v>
      </c>
      <c r="AA1200" s="1">
        <v>1269</v>
      </c>
      <c r="AB1200" s="1">
        <v>1</v>
      </c>
      <c r="AC1200" s="1">
        <v>1</v>
      </c>
      <c r="AE1200" s="1" t="s">
        <v>14151</v>
      </c>
      <c r="AF1200" s="1" t="s">
        <v>14152</v>
      </c>
      <c r="AG1200" s="1" t="s">
        <v>14153</v>
      </c>
      <c r="AH1200" s="1" t="s">
        <v>14154</v>
      </c>
      <c r="AI1200" s="1">
        <v>3.82</v>
      </c>
      <c r="AJ1200" s="1">
        <v>174</v>
      </c>
      <c r="AK1200" s="1">
        <v>773</v>
      </c>
    </row>
    <row r="1201" spans="1:38" ht="15.75" customHeight="1">
      <c r="A1201" s="1">
        <v>600</v>
      </c>
      <c r="C1201" s="1">
        <v>4050</v>
      </c>
      <c r="D1201" s="1" t="s">
        <v>38</v>
      </c>
      <c r="E1201" s="1" t="s">
        <v>39</v>
      </c>
      <c r="F1201" s="1" t="s">
        <v>510</v>
      </c>
      <c r="G1201" s="1">
        <v>0</v>
      </c>
      <c r="H1201" s="1" t="s">
        <v>41</v>
      </c>
      <c r="I1201" s="1" t="s">
        <v>14155</v>
      </c>
      <c r="J1201" s="1" t="s">
        <v>14156</v>
      </c>
      <c r="K1201" s="1" t="s">
        <v>14157</v>
      </c>
      <c r="L1201" s="1">
        <v>1</v>
      </c>
      <c r="M1201" s="1">
        <v>0</v>
      </c>
      <c r="N1201" s="1" t="s">
        <v>14158</v>
      </c>
      <c r="O1201" s="1" t="s">
        <v>14159</v>
      </c>
      <c r="P1201" s="1" t="s">
        <v>14160</v>
      </c>
      <c r="Q1201" s="1">
        <v>0</v>
      </c>
      <c r="R1201" s="1" t="s">
        <v>14161</v>
      </c>
      <c r="S1201" s="1" t="s">
        <v>14162</v>
      </c>
      <c r="U1201" s="2">
        <v>56770</v>
      </c>
      <c r="V1201" s="1">
        <v>4.4000000000000004</v>
      </c>
      <c r="W1201" s="1">
        <v>400</v>
      </c>
      <c r="X1201" s="1">
        <v>1594</v>
      </c>
      <c r="Y1201" s="1">
        <v>621</v>
      </c>
      <c r="Z1201" s="1">
        <v>383</v>
      </c>
      <c r="AA1201" s="1">
        <v>590</v>
      </c>
      <c r="AB1201" s="1">
        <v>0</v>
      </c>
      <c r="AC1201" s="1">
        <v>1</v>
      </c>
      <c r="AD1201" s="1" t="s">
        <v>215</v>
      </c>
      <c r="AE1201" s="1" t="s">
        <v>14163</v>
      </c>
      <c r="AF1201" s="1" t="s">
        <v>14164</v>
      </c>
      <c r="AG1201" s="1" t="s">
        <v>14165</v>
      </c>
      <c r="AH1201" s="1" t="s">
        <v>14166</v>
      </c>
      <c r="AI1201" s="1">
        <v>4.62</v>
      </c>
      <c r="AJ1201" s="1">
        <v>259</v>
      </c>
      <c r="AK1201" s="1">
        <v>604</v>
      </c>
      <c r="AL1201" s="1">
        <v>21</v>
      </c>
    </row>
    <row r="1202" spans="1:38" ht="15.75" customHeight="1"/>
    <row r="1203" spans="1:38" ht="15.75" customHeight="1"/>
    <row r="1204" spans="1:38" ht="15.75" customHeight="1"/>
    <row r="1205" spans="1:38" ht="15.75" customHeight="1">
      <c r="V1205" s="1">
        <f>SUM(V120,V141,V388,V389,V550,V725,V749,V765)</f>
        <v>34.538562960000007</v>
      </c>
    </row>
    <row r="1206" spans="1:38" ht="15.75" customHeight="1">
      <c r="V1206" s="1">
        <f t="shared" ref="V1206:V1207" si="0">V1205/8</f>
        <v>4.3173203700000009</v>
      </c>
    </row>
    <row r="1207" spans="1:38" ht="15.75" customHeight="1">
      <c r="V1207" s="1">
        <f t="shared" si="0"/>
        <v>0.53966504625000011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Q1202"/>
  <sheetViews>
    <sheetView workbookViewId="0"/>
  </sheetViews>
  <sheetFormatPr baseColWidth="10" defaultColWidth="12.6640625" defaultRowHeight="15" customHeight="1"/>
  <cols>
    <col min="1" max="1" width="20.5" customWidth="1"/>
    <col min="2" max="2" width="21.1640625" customWidth="1"/>
    <col min="7" max="7" width="20.6640625" customWidth="1"/>
    <col min="14" max="14" width="24" customWidth="1"/>
    <col min="15" max="15" width="28.5" customWidth="1"/>
    <col min="16" max="16" width="26" customWidth="1"/>
    <col min="17" max="17" width="25" customWidth="1"/>
    <col min="18" max="18" width="25.6640625" customWidth="1"/>
    <col min="19" max="19" width="24.5" customWidth="1"/>
    <col min="21" max="21" width="17.6640625" customWidth="1"/>
    <col min="22" max="22" width="17.83203125" customWidth="1"/>
    <col min="24" max="24" width="30.83203125" customWidth="1"/>
    <col min="25" max="25" width="38" customWidth="1"/>
    <col min="26" max="26" width="25.1640625" customWidth="1"/>
    <col min="27" max="27" width="39" customWidth="1"/>
    <col min="28" max="28" width="16.1640625" customWidth="1"/>
    <col min="29" max="29" width="19.33203125" customWidth="1"/>
    <col min="30" max="30" width="37.6640625" customWidth="1"/>
    <col min="31" max="31" width="26.1640625" customWidth="1"/>
    <col min="32" max="32" width="31.5" customWidth="1"/>
    <col min="33" max="33" width="27.6640625" customWidth="1"/>
    <col min="34" max="34" width="22.33203125" customWidth="1"/>
    <col min="35" max="35" width="25.1640625" customWidth="1"/>
    <col min="36" max="36" width="22" customWidth="1"/>
    <col min="37" max="37" width="23.33203125" customWidth="1"/>
  </cols>
  <sheetData>
    <row r="1" spans="1:43" ht="15" customHeight="1">
      <c r="A1" s="3" t="str">
        <f ca="1">IFERROR(__xludf.DUMMYFUNCTION("FILTER(Raw_Data!A:AL, Raw_Data!A:A &lt;&gt; """")"),"DELIVERY_NAME")</f>
        <v>DELIVERY_NAME</v>
      </c>
      <c r="B1" s="3" t="str">
        <f ca="1">IFERROR(__xludf.DUMMYFUNCTION("""COMPUTED_VALUE"""),"DELIVERY_RATING")</f>
        <v>DELIVERY_RATING</v>
      </c>
      <c r="C1" s="3" t="str">
        <f ca="1">IFERROR(__xludf.DUMMYFUNCTION("""COMPUTED_VALUE"""),"MARKET_NUMBER")</f>
        <v>MARKET_NUMBER</v>
      </c>
      <c r="D1" s="3" t="str">
        <f ca="1">IFERROR(__xludf.DUMMYFUNCTION("""COMPUTED_VALUE"""),"MARKET_NAME")</f>
        <v>MARKET_NAME</v>
      </c>
      <c r="E1" s="3" t="str">
        <f ca="1">IFERROR(__xludf.DUMMYFUNCTION("""COMPUTED_VALUE"""),"TIMEZONE")</f>
        <v>TIMEZONE</v>
      </c>
      <c r="F1" s="3" t="str">
        <f ca="1">IFERROR(__xludf.DUMMYFUNCTION("""COMPUTED_VALUE"""),"DASHER")</f>
        <v>DASHER</v>
      </c>
      <c r="G1" s="3" t="str">
        <f ca="1">IFERROR(__xludf.DUMMYFUNCTION("""COMPUTED_VALUE"""),"IS_FIRST_DELIVERY")</f>
        <v>IS_FIRST_DELIVERY</v>
      </c>
      <c r="H1" s="3" t="str">
        <f ca="1">IFERROR(__xludf.DUMMYFUNCTION("""COMPUTED_VALUE"""),"VEHICLE")</f>
        <v>VEHICLE</v>
      </c>
      <c r="I1" s="3" t="str">
        <f ca="1">IFERROR(__xludf.DUMMYFUNCTION("""COMPUTED_VALUE"""),"CREATED_AT")</f>
        <v>CREATED_AT</v>
      </c>
      <c r="J1" s="3" t="str">
        <f ca="1">IFERROR(__xludf.DUMMYFUNCTION("""COMPUTED_VALUE"""),"QUOTED_DELIVERY_TIME")</f>
        <v>QUOTED_DELIVERY_TIME</v>
      </c>
      <c r="K1" s="3" t="str">
        <f ca="1">IFERROR(__xludf.DUMMYFUNCTION("""COMPUTED_VALUE"""),"ESTIMATED_DELIVERY_TIME")</f>
        <v>ESTIMATED_DELIVERY_TIME</v>
      </c>
      <c r="L1" s="3" t="str">
        <f ca="1">IFERROR(__xludf.DUMMYFUNCTION("""COMPUTED_VALUE"""),"ASAP")</f>
        <v>ASAP</v>
      </c>
      <c r="M1" s="3" t="str">
        <f ca="1">IFERROR(__xludf.DUMMYFUNCTION("""COMPUTED_VALUE"""),"FRAUDULENT")</f>
        <v>FRAUDULENT</v>
      </c>
      <c r="N1" s="3" t="str">
        <f ca="1">IFERROR(__xludf.DUMMYFUNCTION("""COMPUTED_VALUE"""),"ACTUAL_PICKUP_TIME")</f>
        <v>ACTUAL_PICKUP_TIME</v>
      </c>
      <c r="O1" s="3" t="str">
        <f ca="1">IFERROR(__xludf.DUMMYFUNCTION("""COMPUTED_VALUE"""),"ACTUAL_DELIVERY_TIME")</f>
        <v>ACTUAL_DELIVERY_TIME</v>
      </c>
      <c r="P1" s="3" t="str">
        <f ca="1">IFERROR(__xludf.DUMMYFUNCTION("""COMPUTED_VALUE"""),"DASHER_ASSIGNED_TIME")</f>
        <v>DASHER_ASSIGNED_TIME</v>
      </c>
      <c r="Q1" s="3" t="str">
        <f ca="1">IFERROR(__xludf.DUMMYFUNCTION("""COMPUTED_VALUE"""),"MANUALLY_ASSIGNED")</f>
        <v>MANUALLY_ASSIGNED</v>
      </c>
      <c r="R1" s="3" t="str">
        <f ca="1">IFERROR(__xludf.DUMMYFUNCTION("""COMPUTED_VALUE"""),"DASHER_CONFIRMED_TIME")</f>
        <v>DASHER_CONFIRMED_TIME</v>
      </c>
      <c r="S1" s="3" t="str">
        <f ca="1">IFERROR(__xludf.DUMMYFUNCTION("""COMPUTED_VALUE"""),"DASHER_AT_STORE_TIME")</f>
        <v>DASHER_AT_STORE_TIME</v>
      </c>
      <c r="T1" s="3" t="str">
        <f ca="1">IFERROR(__xludf.DUMMYFUNCTION("""COMPUTED_VALUE"""),"CANCELLED_AT")</f>
        <v>CANCELLED_AT</v>
      </c>
      <c r="U1" s="3" t="str">
        <f ca="1">IFERROR(__xludf.DUMMYFUNCTION("""COMPUTED_VALUE"""),"ACTIVE_DATE")</f>
        <v>ACTIVE_DATE</v>
      </c>
      <c r="V1" s="3" t="str">
        <f ca="1">IFERROR(__xludf.DUMMYFUNCTION("""COMPUTED_VALUE"""),"COMPOSITE_SCORE")</f>
        <v>COMPOSITE_SCORE</v>
      </c>
      <c r="W1" s="3" t="str">
        <f ca="1">IFERROR(__xludf.DUMMYFUNCTION("""COMPUTED_VALUE"""),"SUBTOTAL")</f>
        <v>SUBTOTAL</v>
      </c>
      <c r="X1" s="3" t="str">
        <f ca="1">IFERROR(__xludf.DUMMYFUNCTION("""COMPUTED_VALUE"""),"CONFIRM_TO_DELIVER_DURATION")</f>
        <v>CONFIRM_TO_DELIVER_DURATION</v>
      </c>
      <c r="Y1" s="3" t="str">
        <f ca="1">IFERROR(__xludf.DUMMYFUNCTION("""COMPUTED_VALUE"""),"DASHER_TO_RESTAURANT_DURATION")</f>
        <v>DASHER_TO_RESTAURANT_DURATION</v>
      </c>
      <c r="Z1" s="3" t="str">
        <f ca="1">IFERROR(__xludf.DUMMYFUNCTION("""COMPUTED_VALUE"""),"DASHER_WAIT_DURATION")</f>
        <v>DASHER_WAIT_DURATION</v>
      </c>
      <c r="AA1" s="3" t="str">
        <f ca="1">IFERROR(__xludf.DUMMYFUNCTION("""COMPUTED_VALUE"""),"RESTAURANT_TO_CUSTOMER_DURATION")</f>
        <v>RESTAURANT_TO_CUSTOMER_DURATION</v>
      </c>
      <c r="AB1" s="3" t="str">
        <f ca="1">IFERROR(__xludf.DUMMYFUNCTION("""COMPUTED_VALUE"""),"WAS_BATCHED")</f>
        <v>WAS_BATCHED</v>
      </c>
      <c r="AC1" s="3" t="str">
        <f ca="1">IFERROR(__xludf.DUMMYFUNCTION("""COMPUTED_VALUE"""),"TOTAL_ITEM_COUNT")</f>
        <v>TOTAL_ITEM_COUNT</v>
      </c>
      <c r="AD1" s="3" t="str">
        <f ca="1">IFERROR(__xludf.DUMMYFUNCTION("""COMPUTED_VALUE"""),"DASHER_TO_STORE_TIME_CATEGORY")</f>
        <v>DASHER_TO_STORE_TIME_CATEGORY</v>
      </c>
      <c r="AE1" s="3" t="str">
        <f ca="1">IFERROR(__xludf.DUMMYFUNCTION("""COMPUTED_VALUE"""),"ACTUAL_PICKUP_TIME_GALAXY_A")</f>
        <v>ACTUAL_PICKUP_TIME_GALAXY_A</v>
      </c>
      <c r="AF1" s="3" t="str">
        <f ca="1">IFERROR(__xludf.DUMMYFUNCTION("""COMPUTED_VALUE"""),"ACTUAL_DELIVERY_TIME_GALAXY_A")</f>
        <v>ACTUAL_DELIVERY_TIME_GALAXY_A</v>
      </c>
      <c r="AG1" s="3" t="str">
        <f ca="1">IFERROR(__xludf.DUMMYFUNCTION("""COMPUTED_VALUE"""),"DASHER_ASSIGNED_TIME_GALAXY_A")</f>
        <v>DASHER_ASSIGNED_TIME_GALAXY_A</v>
      </c>
      <c r="AH1" s="3" t="str">
        <f ca="1">IFERROR(__xludf.DUMMYFUNCTION("""COMPUTED_VALUE"""),"DASHER_AT_STORE_TIME_GALAXY_A")</f>
        <v>DASHER_AT_STORE_TIME_GALAXY_A</v>
      </c>
      <c r="AI1" s="3" t="str">
        <f ca="1">IFERROR(__xludf.DUMMYFUNCTION("""COMPUTED_VALUE"""),"COMPOSITE_STAR_RATING")</f>
        <v>COMPOSITE_STAR_RATING</v>
      </c>
      <c r="AJ1" s="3" t="str">
        <f ca="1">IFERROR(__xludf.DUMMYFUNCTION("""COMPUTED_VALUE"""),"NUM_FIVE_STARS")</f>
        <v>NUM_FIVE_STARS</v>
      </c>
      <c r="AK1" s="3" t="str">
        <f ca="1">IFERROR(__xludf.DUMMYFUNCTION("""COMPUTED_VALUE"""),"NUM_DELIVERIES")</f>
        <v>NUM_DELIVERIES</v>
      </c>
      <c r="AL1" s="3" t="str">
        <f ca="1">IFERROR(__xludf.DUMMYFUNCTION("""COMPUTED_VALUE"""),"NUM_ON_TIME_DELIVERIES")</f>
        <v>NUM_ON_TIME_DELIVERIES</v>
      </c>
    </row>
    <row r="2" spans="1:43" ht="15" customHeight="1">
      <c r="A2" s="3">
        <f ca="1">IFERROR(__xludf.DUMMYFUNCTION("""COMPUTED_VALUE"""),930)</f>
        <v>930</v>
      </c>
      <c r="B2" s="3">
        <f ca="1">IFERROR(__xludf.DUMMYFUNCTION("""COMPUTED_VALUE"""),5)</f>
        <v>5</v>
      </c>
      <c r="C2" s="3">
        <f ca="1">IFERROR(__xludf.DUMMYFUNCTION("""COMPUTED_VALUE"""),4050)</f>
        <v>4050</v>
      </c>
      <c r="D2" s="3" t="str">
        <f ca="1">IFERROR(__xludf.DUMMYFUNCTION("""COMPUTED_VALUE"""),"Doorlanta")</f>
        <v>Doorlanta</v>
      </c>
      <c r="E2" s="3" t="str">
        <f ca="1">IFERROR(__xludf.DUMMYFUNCTION("""COMPUTED_VALUE"""),"Galaxy A")</f>
        <v>Galaxy A</v>
      </c>
      <c r="F2" s="3" t="str">
        <f ca="1">IFERROR(__xludf.DUMMYFUNCTION("""COMPUTED_VALUE"""),"Katelynn")</f>
        <v>Katelynn</v>
      </c>
      <c r="G2" s="3">
        <f ca="1">IFERROR(__xludf.DUMMYFUNCTION("""COMPUTED_VALUE"""),0)</f>
        <v>0</v>
      </c>
      <c r="H2" s="3" t="str">
        <f ca="1">IFERROR(__xludf.DUMMYFUNCTION("""COMPUTED_VALUE"""),"car")</f>
        <v>car</v>
      </c>
      <c r="I2" s="3" t="str">
        <f ca="1">IFERROR(__xludf.DUMMYFUNCTION("""COMPUTED_VALUE"""),"2055-06-08T14:40:31.776158Z")</f>
        <v>2055-06-08T14:40:31.776158Z</v>
      </c>
      <c r="J2" s="3" t="str">
        <f ca="1">IFERROR(__xludf.DUMMYFUNCTION("""COMPUTED_VALUE"""),"2055-06-08T16:30:00Z")</f>
        <v>2055-06-08T16:30:00Z</v>
      </c>
      <c r="K2" s="3" t="str">
        <f ca="1">IFERROR(__xludf.DUMMYFUNCTION("""COMPUTED_VALUE"""),"2055-06-08T16:30:00Z")</f>
        <v>2055-06-08T16:30:00Z</v>
      </c>
      <c r="L2" s="3">
        <f ca="1">IFERROR(__xludf.DUMMYFUNCTION("""COMPUTED_VALUE"""),0)</f>
        <v>0</v>
      </c>
      <c r="M2" s="3">
        <f ca="1">IFERROR(__xludf.DUMMYFUNCTION("""COMPUTED_VALUE"""),0)</f>
        <v>0</v>
      </c>
      <c r="N2" s="3" t="str">
        <f ca="1">IFERROR(__xludf.DUMMYFUNCTION("""COMPUTED_VALUE"""),"2055-06-08T16:27:25.447059Z")</f>
        <v>2055-06-08T16:27:25.447059Z</v>
      </c>
      <c r="O2" s="3" t="str">
        <f ca="1">IFERROR(__xludf.DUMMYFUNCTION("""COMPUTED_VALUE"""),"2055-06-08T16:43:26.092195Z")</f>
        <v>2055-06-08T16:43:26.092195Z</v>
      </c>
      <c r="P2" s="3" t="str">
        <f ca="1">IFERROR(__xludf.DUMMYFUNCTION("""COMPUTED_VALUE"""),"2055-06-08T15:24:32.128072Z")</f>
        <v>2055-06-08T15:24:32.128072Z</v>
      </c>
      <c r="Q2" s="3">
        <f ca="1">IFERROR(__xludf.DUMMYFUNCTION("""COMPUTED_VALUE"""),1)</f>
        <v>1</v>
      </c>
      <c r="R2" s="3" t="str">
        <f ca="1">IFERROR(__xludf.DUMMYFUNCTION("""COMPUTED_VALUE"""),"2055-06-08T15:24:56.562443Z")</f>
        <v>2055-06-08T15:24:56.562443Z</v>
      </c>
      <c r="S2" s="3"/>
      <c r="T2" s="3"/>
      <c r="U2" s="4">
        <f ca="1">IFERROR(__xludf.DUMMYFUNCTION("""COMPUTED_VALUE"""),56773)</f>
        <v>56773</v>
      </c>
      <c r="V2" s="3">
        <f ca="1">IFERROR(__xludf.DUMMYFUNCTION("""COMPUTED_VALUE"""),4.5)</f>
        <v>4.5</v>
      </c>
      <c r="W2" s="3">
        <f ca="1">IFERROR(__xludf.DUMMYFUNCTION("""COMPUTED_VALUE"""),3000)</f>
        <v>3000</v>
      </c>
      <c r="X2" s="3">
        <f ca="1">IFERROR(__xludf.DUMMYFUNCTION("""COMPUTED_VALUE"""),4710)</f>
        <v>4710</v>
      </c>
      <c r="Y2" s="3"/>
      <c r="Z2" s="3"/>
      <c r="AA2" s="3">
        <f ca="1">IFERROR(__xludf.DUMMYFUNCTION("""COMPUTED_VALUE"""),961)</f>
        <v>961</v>
      </c>
      <c r="AB2" s="3">
        <f ca="1">IFERROR(__xludf.DUMMYFUNCTION("""COMPUTED_VALUE"""),0)</f>
        <v>0</v>
      </c>
      <c r="AC2" s="3">
        <f ca="1">IFERROR(__xludf.DUMMYFUNCTION("""COMPUTED_VALUE"""),47)</f>
        <v>47</v>
      </c>
      <c r="AD2" s="3"/>
      <c r="AE2" s="3" t="str">
        <f ca="1">IFERROR(__xludf.DUMMYFUNCTION("""COMPUTED_VALUE"""),"2055-06-08T12:27:25.447059Z")</f>
        <v>2055-06-08T12:27:25.447059Z</v>
      </c>
      <c r="AF2" s="3" t="str">
        <f ca="1">IFERROR(__xludf.DUMMYFUNCTION("""COMPUTED_VALUE"""),"2055-06-08T12:43:26.092195Z")</f>
        <v>2055-06-08T12:43:26.092195Z</v>
      </c>
      <c r="AG2" s="3" t="str">
        <f ca="1">IFERROR(__xludf.DUMMYFUNCTION("""COMPUTED_VALUE"""),"2055-06-08T11:24:32.128072Z")</f>
        <v>2055-06-08T11:24:32.128072Z</v>
      </c>
      <c r="AH2" s="3"/>
      <c r="AI2" s="3">
        <f ca="1">IFERROR(__xludf.DUMMYFUNCTION("""COMPUTED_VALUE"""),4.7)</f>
        <v>4.7</v>
      </c>
      <c r="AJ2" s="3">
        <f ca="1">IFERROR(__xludf.DUMMYFUNCTION("""COMPUTED_VALUE"""),1261)</f>
        <v>1261</v>
      </c>
      <c r="AK2" s="3">
        <f ca="1">IFERROR(__xludf.DUMMYFUNCTION("""COMPUTED_VALUE"""),3264)</f>
        <v>3264</v>
      </c>
      <c r="AL2" s="3">
        <f ca="1">IFERROR(__xludf.DUMMYFUNCTION("""COMPUTED_VALUE"""),232)</f>
        <v>232</v>
      </c>
      <c r="AQ2" s="5"/>
    </row>
    <row r="3" spans="1:43" ht="15" customHeight="1">
      <c r="A3" s="3">
        <f ca="1">IFERROR(__xludf.DUMMYFUNCTION("""COMPUTED_VALUE"""),371)</f>
        <v>371</v>
      </c>
      <c r="B3" s="3"/>
      <c r="C3" s="3">
        <f ca="1">IFERROR(__xludf.DUMMYFUNCTION("""COMPUTED_VALUE"""),4001)</f>
        <v>4001</v>
      </c>
      <c r="D3" s="3" t="str">
        <f ca="1">IFERROR(__xludf.DUMMYFUNCTION("""COMPUTED_VALUE"""),"Dashattan")</f>
        <v>Dashattan</v>
      </c>
      <c r="E3" s="3" t="str">
        <f ca="1">IFERROR(__xludf.DUMMYFUNCTION("""COMPUTED_VALUE"""),"Galaxy A")</f>
        <v>Galaxy A</v>
      </c>
      <c r="F3" s="3" t="str">
        <f ca="1">IFERROR(__xludf.DUMMYFUNCTION("""COMPUTED_VALUE"""),"Arya")</f>
        <v>Arya</v>
      </c>
      <c r="G3" s="3">
        <f ca="1">IFERROR(__xludf.DUMMYFUNCTION("""COMPUTED_VALUE"""),0)</f>
        <v>0</v>
      </c>
      <c r="H3" s="3" t="str">
        <f ca="1">IFERROR(__xludf.DUMMYFUNCTION("""COMPUTED_VALUE"""),"bicycle")</f>
        <v>bicycle</v>
      </c>
      <c r="I3" s="3" t="str">
        <f ca="1">IFERROR(__xludf.DUMMYFUNCTION("""COMPUTED_VALUE"""),"2055-06-03T23:55:23.345361Z")</f>
        <v>2055-06-03T23:55:23.345361Z</v>
      </c>
      <c r="J3" s="3" t="str">
        <f ca="1">IFERROR(__xludf.DUMMYFUNCTION("""COMPUTED_VALUE"""),"2055-06-04T02:10:19.438Z")</f>
        <v>2055-06-04T02:10:19.438Z</v>
      </c>
      <c r="K3" s="3" t="str">
        <f ca="1">IFERROR(__xludf.DUMMYFUNCTION("""COMPUTED_VALUE"""),"2055-06-04T01:42:06.438Z")</f>
        <v>2055-06-04T01:42:06.438Z</v>
      </c>
      <c r="L3" s="3">
        <f ca="1">IFERROR(__xludf.DUMMYFUNCTION("""COMPUTED_VALUE"""),1)</f>
        <v>1</v>
      </c>
      <c r="M3" s="3">
        <f ca="1">IFERROR(__xludf.DUMMYFUNCTION("""COMPUTED_VALUE"""),0)</f>
        <v>0</v>
      </c>
      <c r="N3" s="3" t="str">
        <f ca="1">IFERROR(__xludf.DUMMYFUNCTION("""COMPUTED_VALUE"""),"2055-06-04T00:43:45.908174Z")</f>
        <v>2055-06-04T00:43:45.908174Z</v>
      </c>
      <c r="O3" s="3" t="str">
        <f ca="1">IFERROR(__xludf.DUMMYFUNCTION("""COMPUTED_VALUE"""),"2055-06-04T01:08:26.640633Z")</f>
        <v>2055-06-04T01:08:26.640633Z</v>
      </c>
      <c r="P3" s="3" t="str">
        <f ca="1">IFERROR(__xludf.DUMMYFUNCTION("""COMPUTED_VALUE"""),"2055-06-04T00:30:14.629493Z")</f>
        <v>2055-06-04T00:30:14.629493Z</v>
      </c>
      <c r="Q3" s="3">
        <f ca="1">IFERROR(__xludf.DUMMYFUNCTION("""COMPUTED_VALUE"""),1)</f>
        <v>1</v>
      </c>
      <c r="R3" s="3" t="str">
        <f ca="1">IFERROR(__xludf.DUMMYFUNCTION("""COMPUTED_VALUE"""),"2055-06-04T00:30:30.006106Z")</f>
        <v>2055-06-04T00:30:30.006106Z</v>
      </c>
      <c r="S3" s="3" t="str">
        <f ca="1">IFERROR(__xludf.DUMMYFUNCTION("""COMPUTED_VALUE"""),"2055-06-04T00:38:02.90308Z")</f>
        <v>2055-06-04T00:38:02.90308Z</v>
      </c>
      <c r="T3" s="3"/>
      <c r="U3" s="4">
        <f ca="1">IFERROR(__xludf.DUMMYFUNCTION("""COMPUTED_VALUE"""),56768)</f>
        <v>56768</v>
      </c>
      <c r="V3" s="3">
        <f ca="1">IFERROR(__xludf.DUMMYFUNCTION("""COMPUTED_VALUE"""),3.198404529)</f>
        <v>3.1984045289999998</v>
      </c>
      <c r="W3" s="3">
        <f ca="1">IFERROR(__xludf.DUMMYFUNCTION("""COMPUTED_VALUE"""),2000)</f>
        <v>2000</v>
      </c>
      <c r="X3" s="3">
        <f ca="1">IFERROR(__xludf.DUMMYFUNCTION("""COMPUTED_VALUE"""),2276)</f>
        <v>2276</v>
      </c>
      <c r="Y3" s="3">
        <f ca="1">IFERROR(__xludf.DUMMYFUNCTION("""COMPUTED_VALUE"""),452)</f>
        <v>452</v>
      </c>
      <c r="Z3" s="3">
        <f ca="1">IFERROR(__xludf.DUMMYFUNCTION("""COMPUTED_VALUE"""),343)</f>
        <v>343</v>
      </c>
      <c r="AA3" s="3">
        <f ca="1">IFERROR(__xludf.DUMMYFUNCTION("""COMPUTED_VALUE"""),1481)</f>
        <v>1481</v>
      </c>
      <c r="AB3" s="3">
        <f ca="1">IFERROR(__xludf.DUMMYFUNCTION("""COMPUTED_VALUE"""),0)</f>
        <v>0</v>
      </c>
      <c r="AC3" s="3">
        <f ca="1">IFERROR(__xludf.DUMMYFUNCTION("""COMPUTED_VALUE"""),10)</f>
        <v>10</v>
      </c>
      <c r="AD3" s="3" t="str">
        <f ca="1">IFERROR(__xludf.DUMMYFUNCTION("""COMPUTED_VALUE"""),"early")</f>
        <v>early</v>
      </c>
      <c r="AE3" s="3" t="str">
        <f ca="1">IFERROR(__xludf.DUMMYFUNCTION("""COMPUTED_VALUE"""),"2055-06-03T20:43:45.908174Z")</f>
        <v>2055-06-03T20:43:45.908174Z</v>
      </c>
      <c r="AF3" s="3" t="str">
        <f ca="1">IFERROR(__xludf.DUMMYFUNCTION("""COMPUTED_VALUE"""),"2055-06-03T21:08:26.640633Z")</f>
        <v>2055-06-03T21:08:26.640633Z</v>
      </c>
      <c r="AG3" s="3" t="str">
        <f ca="1">IFERROR(__xludf.DUMMYFUNCTION("""COMPUTED_VALUE"""),"2055-06-03T20:30:14.629493Z")</f>
        <v>2055-06-03T20:30:14.629493Z</v>
      </c>
      <c r="AH3" s="3" t="str">
        <f ca="1">IFERROR(__xludf.DUMMYFUNCTION("""COMPUTED_VALUE"""),"2055-06-03T20:38:02.90308Z")</f>
        <v>2055-06-03T20:38:02.90308Z</v>
      </c>
      <c r="AI3" s="3">
        <f ca="1">IFERROR(__xludf.DUMMYFUNCTION("""COMPUTED_VALUE"""),4.17)</f>
        <v>4.17</v>
      </c>
      <c r="AJ3" s="3">
        <f ca="1">IFERROR(__xludf.DUMMYFUNCTION("""COMPUTED_VALUE"""),457)</f>
        <v>457</v>
      </c>
      <c r="AK3" s="3">
        <f ca="1">IFERROR(__xludf.DUMMYFUNCTION("""COMPUTED_VALUE"""),1599)</f>
        <v>1599</v>
      </c>
      <c r="AL3" s="3"/>
    </row>
    <row r="4" spans="1:43" ht="15" customHeight="1">
      <c r="A4" s="3">
        <f ca="1">IFERROR(__xludf.DUMMYFUNCTION("""COMPUTED_VALUE"""),1012)</f>
        <v>1012</v>
      </c>
      <c r="B4" s="3">
        <f ca="1">IFERROR(__xludf.DUMMYFUNCTION("""COMPUTED_VALUE"""),5)</f>
        <v>5</v>
      </c>
      <c r="C4" s="3">
        <f ca="1">IFERROR(__xludf.DUMMYFUNCTION("""COMPUTED_VALUE"""),4001)</f>
        <v>4001</v>
      </c>
      <c r="D4" s="3" t="str">
        <f ca="1">IFERROR(__xludf.DUMMYFUNCTION("""COMPUTED_VALUE"""),"Dashattan")</f>
        <v>Dashattan</v>
      </c>
      <c r="E4" s="3" t="str">
        <f ca="1">IFERROR(__xludf.DUMMYFUNCTION("""COMPUTED_VALUE"""),"Galaxy A")</f>
        <v>Galaxy A</v>
      </c>
      <c r="F4" s="3" t="str">
        <f ca="1">IFERROR(__xludf.DUMMYFUNCTION("""COMPUTED_VALUE"""),"Bret")</f>
        <v>Bret</v>
      </c>
      <c r="G4" s="3">
        <f ca="1">IFERROR(__xludf.DUMMYFUNCTION("""COMPUTED_VALUE"""),0)</f>
        <v>0</v>
      </c>
      <c r="H4" s="3" t="str">
        <f ca="1">IFERROR(__xludf.DUMMYFUNCTION("""COMPUTED_VALUE"""),"car")</f>
        <v>car</v>
      </c>
      <c r="I4" s="3" t="str">
        <f ca="1">IFERROR(__xludf.DUMMYFUNCTION("""COMPUTED_VALUE"""),"2055-06-09T13:45:44.022432Z")</f>
        <v>2055-06-09T13:45:44.022432Z</v>
      </c>
      <c r="J4" s="3" t="str">
        <f ca="1">IFERROR(__xludf.DUMMYFUNCTION("""COMPUTED_VALUE"""),"2055-06-09T15:29:57.082Z")</f>
        <v>2055-06-09T15:29:57.082Z</v>
      </c>
      <c r="K4" s="3" t="str">
        <f ca="1">IFERROR(__xludf.DUMMYFUNCTION("""COMPUTED_VALUE"""),"2055-06-09T15:01:44.082Z")</f>
        <v>2055-06-09T15:01:44.082Z</v>
      </c>
      <c r="L4" s="3">
        <f ca="1">IFERROR(__xludf.DUMMYFUNCTION("""COMPUTED_VALUE"""),1)</f>
        <v>1</v>
      </c>
      <c r="M4" s="3">
        <f ca="1">IFERROR(__xludf.DUMMYFUNCTION("""COMPUTED_VALUE"""),1)</f>
        <v>1</v>
      </c>
      <c r="N4" s="3" t="str">
        <f ca="1">IFERROR(__xludf.DUMMYFUNCTION("""COMPUTED_VALUE"""),"2055-06-09T15:11:25.372168Z")</f>
        <v>2055-06-09T15:11:25.372168Z</v>
      </c>
      <c r="O4" s="3" t="str">
        <f ca="1">IFERROR(__xludf.DUMMYFUNCTION("""COMPUTED_VALUE"""),"2055-06-09T15:13:35.539122Z")</f>
        <v>2055-06-09T15:13:35.539122Z</v>
      </c>
      <c r="P4" s="3" t="str">
        <f ca="1">IFERROR(__xludf.DUMMYFUNCTION("""COMPUTED_VALUE"""),"2055-06-09T14:04:34.144994Z")</f>
        <v>2055-06-09T14:04:34.144994Z</v>
      </c>
      <c r="Q4" s="3">
        <f ca="1">IFERROR(__xludf.DUMMYFUNCTION("""COMPUTED_VALUE"""),0)</f>
        <v>0</v>
      </c>
      <c r="R4" s="3" t="str">
        <f ca="1">IFERROR(__xludf.DUMMYFUNCTION("""COMPUTED_VALUE"""),"2055-06-09T14:05:28.008027Z")</f>
        <v>2055-06-09T14:05:28.008027Z</v>
      </c>
      <c r="S4" s="3" t="str">
        <f ca="1">IFERROR(__xludf.DUMMYFUNCTION("""COMPUTED_VALUE"""),"2055-06-09T14:19:12.351423Z")</f>
        <v>2055-06-09T14:19:12.351423Z</v>
      </c>
      <c r="T4" s="3"/>
      <c r="U4" s="4">
        <f ca="1">IFERROR(__xludf.DUMMYFUNCTION("""COMPUTED_VALUE"""),56774)</f>
        <v>56774</v>
      </c>
      <c r="V4" s="3">
        <f ca="1">IFERROR(__xludf.DUMMYFUNCTION("""COMPUTED_VALUE"""),4.5)</f>
        <v>4.5</v>
      </c>
      <c r="W4" s="3">
        <f ca="1">IFERROR(__xludf.DUMMYFUNCTION("""COMPUTED_VALUE"""),1500)</f>
        <v>1500</v>
      </c>
      <c r="X4" s="3">
        <f ca="1">IFERROR(__xludf.DUMMYFUNCTION("""COMPUTED_VALUE"""),4087)</f>
        <v>4087</v>
      </c>
      <c r="Y4" s="3">
        <f ca="1">IFERROR(__xludf.DUMMYFUNCTION("""COMPUTED_VALUE"""),824)</f>
        <v>824</v>
      </c>
      <c r="Z4" s="3">
        <f ca="1">IFERROR(__xludf.DUMMYFUNCTION("""COMPUTED_VALUE"""),3133)</f>
        <v>3133</v>
      </c>
      <c r="AA4" s="3">
        <f ca="1">IFERROR(__xludf.DUMMYFUNCTION("""COMPUTED_VALUE"""),130)</f>
        <v>130</v>
      </c>
      <c r="AB4" s="3">
        <f ca="1">IFERROR(__xludf.DUMMYFUNCTION("""COMPUTED_VALUE"""),0)</f>
        <v>0</v>
      </c>
      <c r="AC4" s="3">
        <f ca="1">IFERROR(__xludf.DUMMYFUNCTION("""COMPUTED_VALUE"""),22)</f>
        <v>22</v>
      </c>
      <c r="AD4" s="3" t="str">
        <f ca="1">IFERROR(__xludf.DUMMYFUNCTION("""COMPUTED_VALUE"""),"late")</f>
        <v>late</v>
      </c>
      <c r="AE4" s="3" t="str">
        <f ca="1">IFERROR(__xludf.DUMMYFUNCTION("""COMPUTED_VALUE"""),"2055-06-09T11:11:25.372168Z")</f>
        <v>2055-06-09T11:11:25.372168Z</v>
      </c>
      <c r="AF4" s="3" t="str">
        <f ca="1">IFERROR(__xludf.DUMMYFUNCTION("""COMPUTED_VALUE"""),"2055-06-09T11:13:35.539122Z")</f>
        <v>2055-06-09T11:13:35.539122Z</v>
      </c>
      <c r="AG4" s="3" t="str">
        <f ca="1">IFERROR(__xludf.DUMMYFUNCTION("""COMPUTED_VALUE"""),"2055-06-09T10:04:34.144994Z")</f>
        <v>2055-06-09T10:04:34.144994Z</v>
      </c>
      <c r="AH4" s="3" t="str">
        <f ca="1">IFERROR(__xludf.DUMMYFUNCTION("""COMPUTED_VALUE"""),"2055-06-09T10:19:12.351423Z")</f>
        <v>2055-06-09T10:19:12.351423Z</v>
      </c>
      <c r="AI4" s="3">
        <f ca="1">IFERROR(__xludf.DUMMYFUNCTION("""COMPUTED_VALUE"""),3.82)</f>
        <v>3.82</v>
      </c>
      <c r="AJ4" s="3">
        <f ca="1">IFERROR(__xludf.DUMMYFUNCTION("""COMPUTED_VALUE"""),174)</f>
        <v>174</v>
      </c>
      <c r="AK4" s="3">
        <f ca="1">IFERROR(__xludf.DUMMYFUNCTION("""COMPUTED_VALUE"""),773)</f>
        <v>773</v>
      </c>
      <c r="AL4" s="3"/>
    </row>
    <row r="5" spans="1:43" ht="15" customHeight="1">
      <c r="A5" s="3">
        <f ca="1">IFERROR(__xludf.DUMMYFUNCTION("""COMPUTED_VALUE"""),774)</f>
        <v>774</v>
      </c>
      <c r="B5" s="3"/>
      <c r="C5" s="3">
        <f ca="1">IFERROR(__xludf.DUMMYFUNCTION("""COMPUTED_VALUE"""),4001)</f>
        <v>4001</v>
      </c>
      <c r="D5" s="3" t="str">
        <f ca="1">IFERROR(__xludf.DUMMYFUNCTION("""COMPUTED_VALUE"""),"Dashattan")</f>
        <v>Dashattan</v>
      </c>
      <c r="E5" s="3" t="str">
        <f ca="1">IFERROR(__xludf.DUMMYFUNCTION("""COMPUTED_VALUE"""),"Galaxy A")</f>
        <v>Galaxy A</v>
      </c>
      <c r="F5" s="3" t="str">
        <f ca="1">IFERROR(__xludf.DUMMYFUNCTION("""COMPUTED_VALUE"""),"Bret")</f>
        <v>Bret</v>
      </c>
      <c r="G5" s="3">
        <f ca="1">IFERROR(__xludf.DUMMYFUNCTION("""COMPUTED_VALUE"""),0)</f>
        <v>0</v>
      </c>
      <c r="H5" s="3" t="str">
        <f ca="1">IFERROR(__xludf.DUMMYFUNCTION("""COMPUTED_VALUE"""),"car")</f>
        <v>car</v>
      </c>
      <c r="I5" s="3" t="str">
        <f ca="1">IFERROR(__xludf.DUMMYFUNCTION("""COMPUTED_VALUE"""),"2055-06-06T22:14:59.221376Z")</f>
        <v>2055-06-06T22:14:59.221376Z</v>
      </c>
      <c r="J5" s="3" t="str">
        <f ca="1">IFERROR(__xludf.DUMMYFUNCTION("""COMPUTED_VALUE"""),"2055-06-07T15:45:00Z")</f>
        <v>2055-06-07T15:45:00Z</v>
      </c>
      <c r="K5" s="3" t="str">
        <f ca="1">IFERROR(__xludf.DUMMYFUNCTION("""COMPUTED_VALUE"""),"2055-06-07T15:45:00Z")</f>
        <v>2055-06-07T15:45:00Z</v>
      </c>
      <c r="L5" s="3">
        <f ca="1">IFERROR(__xludf.DUMMYFUNCTION("""COMPUTED_VALUE"""),0)</f>
        <v>0</v>
      </c>
      <c r="M5" s="3">
        <f ca="1">IFERROR(__xludf.DUMMYFUNCTION("""COMPUTED_VALUE"""),0)</f>
        <v>0</v>
      </c>
      <c r="N5" s="3" t="str">
        <f ca="1">IFERROR(__xludf.DUMMYFUNCTION("""COMPUTED_VALUE"""),"2055-06-07T15:35:32.652626Z")</f>
        <v>2055-06-07T15:35:32.652626Z</v>
      </c>
      <c r="O5" s="3" t="str">
        <f ca="1">IFERROR(__xludf.DUMMYFUNCTION("""COMPUTED_VALUE"""),"2055-06-07T15:50:01.734136Z")</f>
        <v>2055-06-07T15:50:01.734136Z</v>
      </c>
      <c r="P5" s="3" t="str">
        <f ca="1">IFERROR(__xludf.DUMMYFUNCTION("""COMPUTED_VALUE"""),"2055-06-07T14:40:24.824381Z")</f>
        <v>2055-06-07T14:40:24.824381Z</v>
      </c>
      <c r="Q5" s="3">
        <f ca="1">IFERROR(__xludf.DUMMYFUNCTION("""COMPUTED_VALUE"""),1)</f>
        <v>1</v>
      </c>
      <c r="R5" s="3" t="str">
        <f ca="1">IFERROR(__xludf.DUMMYFUNCTION("""COMPUTED_VALUE"""),"2055-06-07T14:41:19.172553Z")</f>
        <v>2055-06-07T14:41:19.172553Z</v>
      </c>
      <c r="S5" s="3" t="str">
        <f ca="1">IFERROR(__xludf.DUMMYFUNCTION("""COMPUTED_VALUE"""),"2055-06-07T15:33:47.403919Z")</f>
        <v>2055-06-07T15:33:47.403919Z</v>
      </c>
      <c r="T5" s="3"/>
      <c r="U5" s="4">
        <f ca="1">IFERROR(__xludf.DUMMYFUNCTION("""COMPUTED_VALUE"""),56772)</f>
        <v>56772</v>
      </c>
      <c r="V5" s="3">
        <f ca="1">IFERROR(__xludf.DUMMYFUNCTION("""COMPUTED_VALUE"""),4.542521796)</f>
        <v>4.5425217959999999</v>
      </c>
      <c r="W5" s="3">
        <f ca="1">IFERROR(__xludf.DUMMYFUNCTION("""COMPUTED_VALUE"""),1500)</f>
        <v>1500</v>
      </c>
      <c r="X5" s="3">
        <f ca="1">IFERROR(__xludf.DUMMYFUNCTION("""COMPUTED_VALUE"""),4122)</f>
        <v>4122</v>
      </c>
      <c r="Y5" s="3">
        <f ca="1">IFERROR(__xludf.DUMMYFUNCTION("""COMPUTED_VALUE"""),3148)</f>
        <v>3148</v>
      </c>
      <c r="Z5" s="3">
        <f ca="1">IFERROR(__xludf.DUMMYFUNCTION("""COMPUTED_VALUE"""),105)</f>
        <v>105</v>
      </c>
      <c r="AA5" s="3">
        <f ca="1">IFERROR(__xludf.DUMMYFUNCTION("""COMPUTED_VALUE"""),869)</f>
        <v>869</v>
      </c>
      <c r="AB5" s="3">
        <f ca="1">IFERROR(__xludf.DUMMYFUNCTION("""COMPUTED_VALUE"""),1)</f>
        <v>1</v>
      </c>
      <c r="AC5" s="3">
        <f ca="1">IFERROR(__xludf.DUMMYFUNCTION("""COMPUTED_VALUE"""),32)</f>
        <v>32</v>
      </c>
      <c r="AD5" s="3"/>
      <c r="AE5" s="3" t="str">
        <f ca="1">IFERROR(__xludf.DUMMYFUNCTION("""COMPUTED_VALUE"""),"2055-06-07T11:35:32.652626Z")</f>
        <v>2055-06-07T11:35:32.652626Z</v>
      </c>
      <c r="AF5" s="3" t="str">
        <f ca="1">IFERROR(__xludf.DUMMYFUNCTION("""COMPUTED_VALUE"""),"2055-06-07T11:50:01.734136Z")</f>
        <v>2055-06-07T11:50:01.734136Z</v>
      </c>
      <c r="AG5" s="3" t="str">
        <f ca="1">IFERROR(__xludf.DUMMYFUNCTION("""COMPUTED_VALUE"""),"2055-06-07T10:40:24.824381Z")</f>
        <v>2055-06-07T10:40:24.824381Z</v>
      </c>
      <c r="AH5" s="3" t="str">
        <f ca="1">IFERROR(__xludf.DUMMYFUNCTION("""COMPUTED_VALUE"""),"2055-06-07T11:33:47.403919Z")</f>
        <v>2055-06-07T11:33:47.403919Z</v>
      </c>
      <c r="AI5" s="3">
        <f ca="1">IFERROR(__xludf.DUMMYFUNCTION("""COMPUTED_VALUE"""),3.82)</f>
        <v>3.82</v>
      </c>
      <c r="AJ5" s="3">
        <f ca="1">IFERROR(__xludf.DUMMYFUNCTION("""COMPUTED_VALUE"""),174)</f>
        <v>174</v>
      </c>
      <c r="AK5" s="3">
        <f ca="1">IFERROR(__xludf.DUMMYFUNCTION("""COMPUTED_VALUE"""),773)</f>
        <v>773</v>
      </c>
      <c r="AL5" s="3"/>
    </row>
    <row r="6" spans="1:43" ht="15" customHeight="1">
      <c r="A6" s="3">
        <f ca="1">IFERROR(__xludf.DUMMYFUNCTION("""COMPUTED_VALUE"""),412)</f>
        <v>412</v>
      </c>
      <c r="B6" s="3">
        <f ca="1">IFERROR(__xludf.DUMMYFUNCTION("""COMPUTED_VALUE"""),1)</f>
        <v>1</v>
      </c>
      <c r="C6" s="3">
        <f ca="1">IFERROR(__xludf.DUMMYFUNCTION("""COMPUTED_VALUE"""),4001)</f>
        <v>4001</v>
      </c>
      <c r="D6" s="3" t="str">
        <f ca="1">IFERROR(__xludf.DUMMYFUNCTION("""COMPUTED_VALUE"""),"Dashattan")</f>
        <v>Dashattan</v>
      </c>
      <c r="E6" s="3" t="str">
        <f ca="1">IFERROR(__xludf.DUMMYFUNCTION("""COMPUTED_VALUE"""),"Galaxy A")</f>
        <v>Galaxy A</v>
      </c>
      <c r="F6" s="3" t="str">
        <f ca="1">IFERROR(__xludf.DUMMYFUNCTION("""COMPUTED_VALUE"""),"Samm")</f>
        <v>Samm</v>
      </c>
      <c r="G6" s="3">
        <f ca="1">IFERROR(__xludf.DUMMYFUNCTION("""COMPUTED_VALUE"""),0)</f>
        <v>0</v>
      </c>
      <c r="H6" s="3" t="str">
        <f ca="1">IFERROR(__xludf.DUMMYFUNCTION("""COMPUTED_VALUE"""),"car")</f>
        <v>car</v>
      </c>
      <c r="I6" s="3" t="str">
        <f ca="1">IFERROR(__xludf.DUMMYFUNCTION("""COMPUTED_VALUE"""),"2055-06-04T16:09:11.472458Z")</f>
        <v>2055-06-04T16:09:11.472458Z</v>
      </c>
      <c r="J6" s="3" t="str">
        <f ca="1">IFERROR(__xludf.DUMMYFUNCTION("""COMPUTED_VALUE"""),"2055-06-04T18:20:18.559Z")</f>
        <v>2055-06-04T18:20:18.559Z</v>
      </c>
      <c r="K6" s="3" t="str">
        <f ca="1">IFERROR(__xludf.DUMMYFUNCTION("""COMPUTED_VALUE"""),"2055-06-04T18:20:18.559Z")</f>
        <v>2055-06-04T18:20:18.559Z</v>
      </c>
      <c r="L6" s="3">
        <f ca="1">IFERROR(__xludf.DUMMYFUNCTION("""COMPUTED_VALUE"""),0)</f>
        <v>0</v>
      </c>
      <c r="M6" s="3">
        <f ca="1">IFERROR(__xludf.DUMMYFUNCTION("""COMPUTED_VALUE"""),0)</f>
        <v>0</v>
      </c>
      <c r="N6" s="3" t="str">
        <f ca="1">IFERROR(__xludf.DUMMYFUNCTION("""COMPUTED_VALUE"""),"2055-06-04T18:12:59.656413Z")</f>
        <v>2055-06-04T18:12:59.656413Z</v>
      </c>
      <c r="O6" s="3" t="str">
        <f ca="1">IFERROR(__xludf.DUMMYFUNCTION("""COMPUTED_VALUE"""),"2055-06-04T18:35:17.08753Z")</f>
        <v>2055-06-04T18:35:17.08753Z</v>
      </c>
      <c r="P6" s="3" t="str">
        <f ca="1">IFERROR(__xludf.DUMMYFUNCTION("""COMPUTED_VALUE"""),"2055-06-04T17:41:54.272943Z")</f>
        <v>2055-06-04T17:41:54.272943Z</v>
      </c>
      <c r="Q6" s="3">
        <f ca="1">IFERROR(__xludf.DUMMYFUNCTION("""COMPUTED_VALUE"""),1)</f>
        <v>1</v>
      </c>
      <c r="R6" s="3" t="str">
        <f ca="1">IFERROR(__xludf.DUMMYFUNCTION("""COMPUTED_VALUE"""),"2055-06-04T17:42:13.505934Z")</f>
        <v>2055-06-04T17:42:13.505934Z</v>
      </c>
      <c r="S6" s="3" t="str">
        <f ca="1">IFERROR(__xludf.DUMMYFUNCTION("""COMPUTED_VALUE"""),"2055-06-04T17:58:03.42043Z")</f>
        <v>2055-06-04T17:58:03.42043Z</v>
      </c>
      <c r="T6" s="3"/>
      <c r="U6" s="4">
        <f ca="1">IFERROR(__xludf.DUMMYFUNCTION("""COMPUTED_VALUE"""),56769)</f>
        <v>56769</v>
      </c>
      <c r="V6" s="3">
        <f ca="1">IFERROR(__xludf.DUMMYFUNCTION("""COMPUTED_VALUE"""),4.3)</f>
        <v>4.3</v>
      </c>
      <c r="W6" s="3">
        <f ca="1">IFERROR(__xludf.DUMMYFUNCTION("""COMPUTED_VALUE"""),1500)</f>
        <v>1500</v>
      </c>
      <c r="X6" s="3">
        <f ca="1">IFERROR(__xludf.DUMMYFUNCTION("""COMPUTED_VALUE"""),3184)</f>
        <v>3184</v>
      </c>
      <c r="Y6" s="3">
        <f ca="1">IFERROR(__xludf.DUMMYFUNCTION("""COMPUTED_VALUE"""),950)</f>
        <v>950</v>
      </c>
      <c r="Z6" s="3">
        <f ca="1">IFERROR(__xludf.DUMMYFUNCTION("""COMPUTED_VALUE"""),896)</f>
        <v>896</v>
      </c>
      <c r="AA6" s="3">
        <f ca="1">IFERROR(__xludf.DUMMYFUNCTION("""COMPUTED_VALUE"""),1338)</f>
        <v>1338</v>
      </c>
      <c r="AB6" s="3">
        <f ca="1">IFERROR(__xludf.DUMMYFUNCTION("""COMPUTED_VALUE"""),0)</f>
        <v>0</v>
      </c>
      <c r="AC6" s="3">
        <f ca="1">IFERROR(__xludf.DUMMYFUNCTION("""COMPUTED_VALUE"""),26)</f>
        <v>26</v>
      </c>
      <c r="AD6" s="3" t="str">
        <f ca="1">IFERROR(__xludf.DUMMYFUNCTION("""COMPUTED_VALUE"""),"early")</f>
        <v>early</v>
      </c>
      <c r="AE6" s="3" t="str">
        <f ca="1">IFERROR(__xludf.DUMMYFUNCTION("""COMPUTED_VALUE"""),"2055-06-04T14:12:59.656413Z")</f>
        <v>2055-06-04T14:12:59.656413Z</v>
      </c>
      <c r="AF6" s="3" t="str">
        <f ca="1">IFERROR(__xludf.DUMMYFUNCTION("""COMPUTED_VALUE"""),"2055-06-04T14:35:17.08753Z")</f>
        <v>2055-06-04T14:35:17.08753Z</v>
      </c>
      <c r="AG6" s="3" t="str">
        <f ca="1">IFERROR(__xludf.DUMMYFUNCTION("""COMPUTED_VALUE"""),"2055-06-04T13:41:54.272943Z")</f>
        <v>2055-06-04T13:41:54.272943Z</v>
      </c>
      <c r="AH6" s="3" t="str">
        <f ca="1">IFERROR(__xludf.DUMMYFUNCTION("""COMPUTED_VALUE"""),"2055-06-04T13:58:03.42043Z")</f>
        <v>2055-06-04T13:58:03.42043Z</v>
      </c>
      <c r="AI6" s="3">
        <f ca="1">IFERROR(__xludf.DUMMYFUNCTION("""COMPUTED_VALUE"""),4.03)</f>
        <v>4.03</v>
      </c>
      <c r="AJ6" s="3">
        <f ca="1">IFERROR(__xludf.DUMMYFUNCTION("""COMPUTED_VALUE"""),505)</f>
        <v>505</v>
      </c>
      <c r="AK6" s="3">
        <f ca="1">IFERROR(__xludf.DUMMYFUNCTION("""COMPUTED_VALUE"""),1721)</f>
        <v>1721</v>
      </c>
      <c r="AL6" s="3">
        <f ca="1">IFERROR(__xludf.DUMMYFUNCTION("""COMPUTED_VALUE"""),457)</f>
        <v>457</v>
      </c>
    </row>
    <row r="7" spans="1:43" ht="15" customHeight="1">
      <c r="A7" s="3">
        <f ca="1">IFERROR(__xludf.DUMMYFUNCTION("""COMPUTED_VALUE"""),1050)</f>
        <v>1050</v>
      </c>
      <c r="B7" s="3">
        <f ca="1">IFERROR(__xludf.DUMMYFUNCTION("""COMPUTED_VALUE"""),1)</f>
        <v>1</v>
      </c>
      <c r="C7" s="3">
        <f ca="1">IFERROR(__xludf.DUMMYFUNCTION("""COMPUTED_VALUE"""),4001)</f>
        <v>4001</v>
      </c>
      <c r="D7" s="3" t="str">
        <f ca="1">IFERROR(__xludf.DUMMYFUNCTION("""COMPUTED_VALUE"""),"Dashattan")</f>
        <v>Dashattan</v>
      </c>
      <c r="E7" s="3" t="str">
        <f ca="1">IFERROR(__xludf.DUMMYFUNCTION("""COMPUTED_VALUE"""),"Galaxy A")</f>
        <v>Galaxy A</v>
      </c>
      <c r="F7" s="3" t="str">
        <f ca="1">IFERROR(__xludf.DUMMYFUNCTION("""COMPUTED_VALUE"""),"Carlee")</f>
        <v>Carlee</v>
      </c>
      <c r="G7" s="3">
        <f ca="1">IFERROR(__xludf.DUMMYFUNCTION("""COMPUTED_VALUE"""),0)</f>
        <v>0</v>
      </c>
      <c r="H7" s="3" t="str">
        <f ca="1">IFERROR(__xludf.DUMMYFUNCTION("""COMPUTED_VALUE"""),"car")</f>
        <v>car</v>
      </c>
      <c r="I7" s="3" t="str">
        <f ca="1">IFERROR(__xludf.DUMMYFUNCTION("""COMPUTED_VALUE"""),"2055-06-09T19:49:41.693256Z")</f>
        <v>2055-06-09T19:49:41.693256Z</v>
      </c>
      <c r="J7" s="3" t="str">
        <f ca="1">IFERROR(__xludf.DUMMYFUNCTION("""COMPUTED_VALUE"""),"2055-06-10T15:45:00Z")</f>
        <v>2055-06-10T15:45:00Z</v>
      </c>
      <c r="K7" s="3" t="str">
        <f ca="1">IFERROR(__xludf.DUMMYFUNCTION("""COMPUTED_VALUE"""),"2055-06-10T15:45:00Z")</f>
        <v>2055-06-10T15:45:00Z</v>
      </c>
      <c r="L7" s="3">
        <f ca="1">IFERROR(__xludf.DUMMYFUNCTION("""COMPUTED_VALUE"""),0)</f>
        <v>0</v>
      </c>
      <c r="M7" s="3">
        <f ca="1">IFERROR(__xludf.DUMMYFUNCTION("""COMPUTED_VALUE"""),0)</f>
        <v>0</v>
      </c>
      <c r="N7" s="3" t="str">
        <f ca="1">IFERROR(__xludf.DUMMYFUNCTION("""COMPUTED_VALUE"""),"2055-06-10T15:18:09.540509Z")</f>
        <v>2055-06-10T15:18:09.540509Z</v>
      </c>
      <c r="O7" s="3" t="str">
        <f ca="1">IFERROR(__xludf.DUMMYFUNCTION("""COMPUTED_VALUE"""),"2055-06-10T15:23:08.754428Z")</f>
        <v>2055-06-10T15:23:08.754428Z</v>
      </c>
      <c r="P7" s="3" t="str">
        <f ca="1">IFERROR(__xludf.DUMMYFUNCTION("""COMPUTED_VALUE"""),"2055-06-10T14:47:54.187365Z")</f>
        <v>2055-06-10T14:47:54.187365Z</v>
      </c>
      <c r="Q7" s="3">
        <f ca="1">IFERROR(__xludf.DUMMYFUNCTION("""COMPUTED_VALUE"""),0)</f>
        <v>0</v>
      </c>
      <c r="R7" s="3" t="str">
        <f ca="1">IFERROR(__xludf.DUMMYFUNCTION("""COMPUTED_VALUE"""),"2055-06-10T14:48:06.628086Z")</f>
        <v>2055-06-10T14:48:06.628086Z</v>
      </c>
      <c r="S7" s="3" t="str">
        <f ca="1">IFERROR(__xludf.DUMMYFUNCTION("""COMPUTED_VALUE"""),"2055-06-10T15:10:46.951495Z")</f>
        <v>2055-06-10T15:10:46.951495Z</v>
      </c>
      <c r="T7" s="3"/>
      <c r="U7" s="4">
        <f ca="1">IFERROR(__xludf.DUMMYFUNCTION("""COMPUTED_VALUE"""),56775)</f>
        <v>56775</v>
      </c>
      <c r="V7" s="3">
        <f ca="1">IFERROR(__xludf.DUMMYFUNCTION("""COMPUTED_VALUE"""),4.542521796)</f>
        <v>4.5425217959999999</v>
      </c>
      <c r="W7" s="3">
        <f ca="1">IFERROR(__xludf.DUMMYFUNCTION("""COMPUTED_VALUE"""),1500)</f>
        <v>1500</v>
      </c>
      <c r="X7" s="3">
        <f ca="1">IFERROR(__xludf.DUMMYFUNCTION("""COMPUTED_VALUE"""),2102)</f>
        <v>2102</v>
      </c>
      <c r="Y7" s="3">
        <f ca="1">IFERROR(__xludf.DUMMYFUNCTION("""COMPUTED_VALUE"""),1360)</f>
        <v>1360</v>
      </c>
      <c r="Z7" s="3">
        <f ca="1">IFERROR(__xludf.DUMMYFUNCTION("""COMPUTED_VALUE"""),443)</f>
        <v>443</v>
      </c>
      <c r="AA7" s="3">
        <f ca="1">IFERROR(__xludf.DUMMYFUNCTION("""COMPUTED_VALUE"""),299)</f>
        <v>299</v>
      </c>
      <c r="AB7" s="3">
        <f ca="1">IFERROR(__xludf.DUMMYFUNCTION("""COMPUTED_VALUE"""),0)</f>
        <v>0</v>
      </c>
      <c r="AC7" s="3">
        <f ca="1">IFERROR(__xludf.DUMMYFUNCTION("""COMPUTED_VALUE"""),20)</f>
        <v>20</v>
      </c>
      <c r="AD7" s="3" t="str">
        <f ca="1">IFERROR(__xludf.DUMMYFUNCTION("""COMPUTED_VALUE"""),"late")</f>
        <v>late</v>
      </c>
      <c r="AE7" s="3" t="str">
        <f ca="1">IFERROR(__xludf.DUMMYFUNCTION("""COMPUTED_VALUE"""),"2055-06-10T11:18:09.540509Z")</f>
        <v>2055-06-10T11:18:09.540509Z</v>
      </c>
      <c r="AF7" s="3" t="str">
        <f ca="1">IFERROR(__xludf.DUMMYFUNCTION("""COMPUTED_VALUE"""),"2055-06-10T11:23:08.754428Z")</f>
        <v>2055-06-10T11:23:08.754428Z</v>
      </c>
      <c r="AG7" s="3" t="str">
        <f ca="1">IFERROR(__xludf.DUMMYFUNCTION("""COMPUTED_VALUE"""),"2055-06-10T10:47:54.187365Z")</f>
        <v>2055-06-10T10:47:54.187365Z</v>
      </c>
      <c r="AH7" s="3" t="str">
        <f ca="1">IFERROR(__xludf.DUMMYFUNCTION("""COMPUTED_VALUE"""),"2055-06-10T11:10:46.951495Z")</f>
        <v>2055-06-10T11:10:46.951495Z</v>
      </c>
      <c r="AI7" s="3">
        <f ca="1">IFERROR(__xludf.DUMMYFUNCTION("""COMPUTED_VALUE"""),4.52)</f>
        <v>4.5199999999999996</v>
      </c>
      <c r="AJ7" s="3">
        <f ca="1">IFERROR(__xludf.DUMMYFUNCTION("""COMPUTED_VALUE"""),269)</f>
        <v>269</v>
      </c>
      <c r="AK7" s="3">
        <f ca="1">IFERROR(__xludf.DUMMYFUNCTION("""COMPUTED_VALUE"""),895)</f>
        <v>895</v>
      </c>
      <c r="AL7" s="3">
        <f ca="1">IFERROR(__xludf.DUMMYFUNCTION("""COMPUTED_VALUE"""),23)</f>
        <v>23</v>
      </c>
    </row>
    <row r="8" spans="1:43" ht="15" customHeight="1">
      <c r="A8" s="3">
        <f ca="1">IFERROR(__xludf.DUMMYFUNCTION("""COMPUTED_VALUE"""),5)</f>
        <v>5</v>
      </c>
      <c r="B8" s="3">
        <f ca="1">IFERROR(__xludf.DUMMYFUNCTION("""COMPUTED_VALUE"""),5)</f>
        <v>5</v>
      </c>
      <c r="C8" s="3">
        <f ca="1">IFERROR(__xludf.DUMMYFUNCTION("""COMPUTED_VALUE"""),4050)</f>
        <v>4050</v>
      </c>
      <c r="D8" s="3" t="str">
        <f ca="1">IFERROR(__xludf.DUMMYFUNCTION("""COMPUTED_VALUE"""),"Doorlanta")</f>
        <v>Doorlanta</v>
      </c>
      <c r="E8" s="3" t="str">
        <f ca="1">IFERROR(__xludf.DUMMYFUNCTION("""COMPUTED_VALUE"""),"Galaxy A")</f>
        <v>Galaxy A</v>
      </c>
      <c r="F8" s="3" t="str">
        <f ca="1">IFERROR(__xludf.DUMMYFUNCTION("""COMPUTED_VALUE"""),"Jagar")</f>
        <v>Jagar</v>
      </c>
      <c r="G8" s="3">
        <f ca="1">IFERROR(__xludf.DUMMYFUNCTION("""COMPUTED_VALUE"""),0)</f>
        <v>0</v>
      </c>
      <c r="H8" s="3" t="str">
        <f ca="1">IFERROR(__xludf.DUMMYFUNCTION("""COMPUTED_VALUE"""),"car")</f>
        <v>car</v>
      </c>
      <c r="I8" s="3" t="str">
        <f ca="1">IFERROR(__xludf.DUMMYFUNCTION("""COMPUTED_VALUE"""),"2055-06-01T14:26:36.995622Z")</f>
        <v>2055-06-01T14:26:36.995622Z</v>
      </c>
      <c r="J8" s="3" t="str">
        <f ca="1">IFERROR(__xludf.DUMMYFUNCTION("""COMPUTED_VALUE"""),"2055-06-01T16:00:00Z")</f>
        <v>2055-06-01T16:00:00Z</v>
      </c>
      <c r="K8" s="3" t="str">
        <f ca="1">IFERROR(__xludf.DUMMYFUNCTION("""COMPUTED_VALUE"""),"2055-06-01T16:00:00Z")</f>
        <v>2055-06-01T16:00:00Z</v>
      </c>
      <c r="L8" s="3">
        <f ca="1">IFERROR(__xludf.DUMMYFUNCTION("""COMPUTED_VALUE"""),0)</f>
        <v>0</v>
      </c>
      <c r="M8" s="3">
        <f ca="1">IFERROR(__xludf.DUMMYFUNCTION("""COMPUTED_VALUE"""),0)</f>
        <v>0</v>
      </c>
      <c r="N8" s="3" t="str">
        <f ca="1">IFERROR(__xludf.DUMMYFUNCTION("""COMPUTED_VALUE"""),"2055-06-01T15:41:52.41593Z")</f>
        <v>2055-06-01T15:41:52.41593Z</v>
      </c>
      <c r="O8" s="3" t="str">
        <f ca="1">IFERROR(__xludf.DUMMYFUNCTION("""COMPUTED_VALUE"""),"2055-06-01T15:52:44.442115Z")</f>
        <v>2055-06-01T15:52:44.442115Z</v>
      </c>
      <c r="P8" s="3" t="str">
        <f ca="1">IFERROR(__xludf.DUMMYFUNCTION("""COMPUTED_VALUE"""),"2055-06-01T15:00:07.376028Z")</f>
        <v>2055-06-01T15:00:07.376028Z</v>
      </c>
      <c r="Q8" s="3">
        <f ca="1">IFERROR(__xludf.DUMMYFUNCTION("""COMPUTED_VALUE"""),0)</f>
        <v>0</v>
      </c>
      <c r="R8" s="3" t="str">
        <f ca="1">IFERROR(__xludf.DUMMYFUNCTION("""COMPUTED_VALUE"""),"2055-06-01T15:00:16.289572Z")</f>
        <v>2055-06-01T15:00:16.289572Z</v>
      </c>
      <c r="S8" s="3" t="str">
        <f ca="1">IFERROR(__xludf.DUMMYFUNCTION("""COMPUTED_VALUE"""),"2055-06-01T15:11:29.739589Z")</f>
        <v>2055-06-01T15:11:29.739589Z</v>
      </c>
      <c r="T8" s="3"/>
      <c r="U8" s="4">
        <f ca="1">IFERROR(__xludf.DUMMYFUNCTION("""COMPUTED_VALUE"""),56766)</f>
        <v>56766</v>
      </c>
      <c r="V8" s="3">
        <f ca="1">IFERROR(__xludf.DUMMYFUNCTION("""COMPUTED_VALUE"""),4.6)</f>
        <v>4.5999999999999996</v>
      </c>
      <c r="W8" s="3">
        <f ca="1">IFERROR(__xludf.DUMMYFUNCTION("""COMPUTED_VALUE"""),1500)</f>
        <v>1500</v>
      </c>
      <c r="X8" s="3">
        <f ca="1">IFERROR(__xludf.DUMMYFUNCTION("""COMPUTED_VALUE"""),3148)</f>
        <v>3148</v>
      </c>
      <c r="Y8" s="3">
        <f ca="1">IFERROR(__xludf.DUMMYFUNCTION("""COMPUTED_VALUE"""),673)</f>
        <v>673</v>
      </c>
      <c r="Z8" s="3">
        <f ca="1">IFERROR(__xludf.DUMMYFUNCTION("""COMPUTED_VALUE"""),1823)</f>
        <v>1823</v>
      </c>
      <c r="AA8" s="3">
        <f ca="1">IFERROR(__xludf.DUMMYFUNCTION("""COMPUTED_VALUE"""),652)</f>
        <v>652</v>
      </c>
      <c r="AB8" s="3">
        <f ca="1">IFERROR(__xludf.DUMMYFUNCTION("""COMPUTED_VALUE"""),0)</f>
        <v>0</v>
      </c>
      <c r="AC8" s="3">
        <f ca="1">IFERROR(__xludf.DUMMYFUNCTION("""COMPUTED_VALUE"""),15)</f>
        <v>15</v>
      </c>
      <c r="AD8" s="3" t="str">
        <f ca="1">IFERROR(__xludf.DUMMYFUNCTION("""COMPUTED_VALUE"""),"early")</f>
        <v>early</v>
      </c>
      <c r="AE8" s="3" t="str">
        <f ca="1">IFERROR(__xludf.DUMMYFUNCTION("""COMPUTED_VALUE"""),"2055-06-01T11:41:52.41593Z")</f>
        <v>2055-06-01T11:41:52.41593Z</v>
      </c>
      <c r="AF8" s="3" t="str">
        <f ca="1">IFERROR(__xludf.DUMMYFUNCTION("""COMPUTED_VALUE"""),"2055-06-01T11:52:44.442115Z")</f>
        <v>2055-06-01T11:52:44.442115Z</v>
      </c>
      <c r="AG8" s="3" t="str">
        <f ca="1">IFERROR(__xludf.DUMMYFUNCTION("""COMPUTED_VALUE"""),"2055-06-01T11:00:07.376028Z")</f>
        <v>2055-06-01T11:00:07.376028Z</v>
      </c>
      <c r="AH8" s="3" t="str">
        <f ca="1">IFERROR(__xludf.DUMMYFUNCTION("""COMPUTED_VALUE"""),"2055-06-01T11:11:29.739589Z")</f>
        <v>2055-06-01T11:11:29.739589Z</v>
      </c>
      <c r="AI8" s="3">
        <f ca="1">IFERROR(__xludf.DUMMYFUNCTION("""COMPUTED_VALUE"""),4.89)</f>
        <v>4.8899999999999997</v>
      </c>
      <c r="AJ8" s="3">
        <f ca="1">IFERROR(__xludf.DUMMYFUNCTION("""COMPUTED_VALUE"""),1778)</f>
        <v>1778</v>
      </c>
      <c r="AK8" s="3">
        <f ca="1">IFERROR(__xludf.DUMMYFUNCTION("""COMPUTED_VALUE"""),5138)</f>
        <v>5138</v>
      </c>
      <c r="AL8" s="3">
        <f ca="1">IFERROR(__xludf.DUMMYFUNCTION("""COMPUTED_VALUE"""),314)</f>
        <v>314</v>
      </c>
    </row>
    <row r="9" spans="1:43" ht="15" customHeight="1">
      <c r="A9" s="3">
        <f ca="1">IFERROR(__xludf.DUMMYFUNCTION("""COMPUTED_VALUE"""),823)</f>
        <v>823</v>
      </c>
      <c r="B9" s="3">
        <f ca="1">IFERROR(__xludf.DUMMYFUNCTION("""COMPUTED_VALUE"""),5)</f>
        <v>5</v>
      </c>
      <c r="C9" s="3">
        <f ca="1">IFERROR(__xludf.DUMMYFUNCTION("""COMPUTED_VALUE"""),4001)</f>
        <v>4001</v>
      </c>
      <c r="D9" s="3" t="str">
        <f ca="1">IFERROR(__xludf.DUMMYFUNCTION("""COMPUTED_VALUE"""),"Dashattan")</f>
        <v>Dashattan</v>
      </c>
      <c r="E9" s="3" t="str">
        <f ca="1">IFERROR(__xludf.DUMMYFUNCTION("""COMPUTED_VALUE"""),"Galaxy A")</f>
        <v>Galaxy A</v>
      </c>
      <c r="F9" s="3" t="str">
        <f ca="1">IFERROR(__xludf.DUMMYFUNCTION("""COMPUTED_VALUE"""),"Samm")</f>
        <v>Samm</v>
      </c>
      <c r="G9" s="3">
        <f ca="1">IFERROR(__xludf.DUMMYFUNCTION("""COMPUTED_VALUE"""),0)</f>
        <v>0</v>
      </c>
      <c r="H9" s="3" t="str">
        <f ca="1">IFERROR(__xludf.DUMMYFUNCTION("""COMPUTED_VALUE"""),"car")</f>
        <v>car</v>
      </c>
      <c r="I9" s="3" t="str">
        <f ca="1">IFERROR(__xludf.DUMMYFUNCTION("""COMPUTED_VALUE"""),"2055-06-07T12:29:58.490584Z")</f>
        <v>2055-06-07T12:29:58.490584Z</v>
      </c>
      <c r="J9" s="3" t="str">
        <f ca="1">IFERROR(__xludf.DUMMYFUNCTION("""COMPUTED_VALUE"""),"2055-06-07T23:15:00Z")</f>
        <v>2055-06-07T23:15:00Z</v>
      </c>
      <c r="K9" s="3" t="str">
        <f ca="1">IFERROR(__xludf.DUMMYFUNCTION("""COMPUTED_VALUE"""),"2055-06-07T23:15:00Z")</f>
        <v>2055-06-07T23:15:00Z</v>
      </c>
      <c r="L9" s="3">
        <f ca="1">IFERROR(__xludf.DUMMYFUNCTION("""COMPUTED_VALUE"""),0)</f>
        <v>0</v>
      </c>
      <c r="M9" s="3">
        <f ca="1">IFERROR(__xludf.DUMMYFUNCTION("""COMPUTED_VALUE"""),0)</f>
        <v>0</v>
      </c>
      <c r="N9" s="3" t="str">
        <f ca="1">IFERROR(__xludf.DUMMYFUNCTION("""COMPUTED_VALUE"""),"2055-06-07T23:06:49.039195Z")</f>
        <v>2055-06-07T23:06:49.039195Z</v>
      </c>
      <c r="O9" s="3" t="str">
        <f ca="1">IFERROR(__xludf.DUMMYFUNCTION("""COMPUTED_VALUE"""),"2055-06-07T23:07:04.529095Z")</f>
        <v>2055-06-07T23:07:04.529095Z</v>
      </c>
      <c r="P9" s="3" t="str">
        <f ca="1">IFERROR(__xludf.DUMMYFUNCTION("""COMPUTED_VALUE"""),"2055-06-07T22:18:34.346697Z")</f>
        <v>2055-06-07T22:18:34.346697Z</v>
      </c>
      <c r="Q9" s="3">
        <f ca="1">IFERROR(__xludf.DUMMYFUNCTION("""COMPUTED_VALUE"""),0)</f>
        <v>0</v>
      </c>
      <c r="R9" s="3" t="str">
        <f ca="1">IFERROR(__xludf.DUMMYFUNCTION("""COMPUTED_VALUE"""),"2055-06-07T22:18:39.784875Z")</f>
        <v>2055-06-07T22:18:39.784875Z</v>
      </c>
      <c r="S9" s="3" t="str">
        <f ca="1">IFERROR(__xludf.DUMMYFUNCTION("""COMPUTED_VALUE"""),"2055-06-07T22:33:52.326656Z")</f>
        <v>2055-06-07T22:33:52.326656Z</v>
      </c>
      <c r="T9" s="3"/>
      <c r="U9" s="4">
        <f ca="1">IFERROR(__xludf.DUMMYFUNCTION("""COMPUTED_VALUE"""),56772)</f>
        <v>56772</v>
      </c>
      <c r="V9" s="3">
        <f ca="1">IFERROR(__xludf.DUMMYFUNCTION("""COMPUTED_VALUE"""),3.242009848)</f>
        <v>3.2420098479999999</v>
      </c>
      <c r="W9" s="3">
        <f ca="1">IFERROR(__xludf.DUMMYFUNCTION("""COMPUTED_VALUE"""),1500)</f>
        <v>1500</v>
      </c>
      <c r="X9" s="3">
        <f ca="1">IFERROR(__xludf.DUMMYFUNCTION("""COMPUTED_VALUE"""),2905)</f>
        <v>2905</v>
      </c>
      <c r="Y9" s="3">
        <f ca="1">IFERROR(__xludf.DUMMYFUNCTION("""COMPUTED_VALUE"""),913)</f>
        <v>913</v>
      </c>
      <c r="Z9" s="3">
        <f ca="1">IFERROR(__xludf.DUMMYFUNCTION("""COMPUTED_VALUE"""),1977)</f>
        <v>1977</v>
      </c>
      <c r="AA9" s="3">
        <f ca="1">IFERROR(__xludf.DUMMYFUNCTION("""COMPUTED_VALUE"""),15)</f>
        <v>15</v>
      </c>
      <c r="AB9" s="3">
        <f ca="1">IFERROR(__xludf.DUMMYFUNCTION("""COMPUTED_VALUE"""),0)</f>
        <v>0</v>
      </c>
      <c r="AC9" s="3">
        <f ca="1">IFERROR(__xludf.DUMMYFUNCTION("""COMPUTED_VALUE"""),6)</f>
        <v>6</v>
      </c>
      <c r="AD9" s="3" t="str">
        <f ca="1">IFERROR(__xludf.DUMMYFUNCTION("""COMPUTED_VALUE"""),"late")</f>
        <v>late</v>
      </c>
      <c r="AE9" s="3" t="str">
        <f ca="1">IFERROR(__xludf.DUMMYFUNCTION("""COMPUTED_VALUE"""),"2055-06-07T19:06:49.039195Z")</f>
        <v>2055-06-07T19:06:49.039195Z</v>
      </c>
      <c r="AF9" s="3" t="str">
        <f ca="1">IFERROR(__xludf.DUMMYFUNCTION("""COMPUTED_VALUE"""),"2055-06-07T19:07:04.529095Z")</f>
        <v>2055-06-07T19:07:04.529095Z</v>
      </c>
      <c r="AG9" s="3" t="str">
        <f ca="1">IFERROR(__xludf.DUMMYFUNCTION("""COMPUTED_VALUE"""),"2055-06-07T18:18:34.346697Z")</f>
        <v>2055-06-07T18:18:34.346697Z</v>
      </c>
      <c r="AH9" s="3" t="str">
        <f ca="1">IFERROR(__xludf.DUMMYFUNCTION("""COMPUTED_VALUE"""),"2055-06-07T18:33:52.326656Z")</f>
        <v>2055-06-07T18:33:52.326656Z</v>
      </c>
      <c r="AI9" s="3">
        <f ca="1">IFERROR(__xludf.DUMMYFUNCTION("""COMPUTED_VALUE"""),4.03)</f>
        <v>4.03</v>
      </c>
      <c r="AJ9" s="3">
        <f ca="1">IFERROR(__xludf.DUMMYFUNCTION("""COMPUTED_VALUE"""),505)</f>
        <v>505</v>
      </c>
      <c r="AK9" s="3">
        <f ca="1">IFERROR(__xludf.DUMMYFUNCTION("""COMPUTED_VALUE"""),1721)</f>
        <v>1721</v>
      </c>
      <c r="AL9" s="3">
        <f ca="1">IFERROR(__xludf.DUMMYFUNCTION("""COMPUTED_VALUE"""),457)</f>
        <v>457</v>
      </c>
    </row>
    <row r="10" spans="1:43" ht="15" customHeight="1">
      <c r="A10" s="3">
        <f ca="1">IFERROR(__xludf.DUMMYFUNCTION("""COMPUTED_VALUE"""),275)</f>
        <v>275</v>
      </c>
      <c r="B10" s="3"/>
      <c r="C10" s="3">
        <f ca="1">IFERROR(__xludf.DUMMYFUNCTION("""COMPUTED_VALUE"""),4001)</f>
        <v>4001</v>
      </c>
      <c r="D10" s="3" t="str">
        <f ca="1">IFERROR(__xludf.DUMMYFUNCTION("""COMPUTED_VALUE"""),"Dashattan")</f>
        <v>Dashattan</v>
      </c>
      <c r="E10" s="3" t="str">
        <f ca="1">IFERROR(__xludf.DUMMYFUNCTION("""COMPUTED_VALUE"""),"Galaxy A")</f>
        <v>Galaxy A</v>
      </c>
      <c r="F10" s="3" t="str">
        <f ca="1">IFERROR(__xludf.DUMMYFUNCTION("""COMPUTED_VALUE"""),"Samm")</f>
        <v>Samm</v>
      </c>
      <c r="G10" s="3">
        <f ca="1">IFERROR(__xludf.DUMMYFUNCTION("""COMPUTED_VALUE"""),0)</f>
        <v>0</v>
      </c>
      <c r="H10" s="3" t="str">
        <f ca="1">IFERROR(__xludf.DUMMYFUNCTION("""COMPUTED_VALUE"""),"car")</f>
        <v>car</v>
      </c>
      <c r="I10" s="3" t="str">
        <f ca="1">IFERROR(__xludf.DUMMYFUNCTION("""COMPUTED_VALUE"""),"2055-06-03T15:49:29.798239Z")</f>
        <v>2055-06-03T15:49:29.798239Z</v>
      </c>
      <c r="J10" s="3" t="str">
        <f ca="1">IFERROR(__xludf.DUMMYFUNCTION("""COMPUTED_VALUE"""),"2055-06-03T17:14:45.888Z")</f>
        <v>2055-06-03T17:14:45.888Z</v>
      </c>
      <c r="K10" s="3" t="str">
        <f ca="1">IFERROR(__xludf.DUMMYFUNCTION("""COMPUTED_VALUE"""),"2055-06-03T17:01:32.888Z")</f>
        <v>2055-06-03T17:01:32.888Z</v>
      </c>
      <c r="L10" s="3">
        <f ca="1">IFERROR(__xludf.DUMMYFUNCTION("""COMPUTED_VALUE"""),1)</f>
        <v>1</v>
      </c>
      <c r="M10" s="3">
        <f ca="1">IFERROR(__xludf.DUMMYFUNCTION("""COMPUTED_VALUE"""),0)</f>
        <v>0</v>
      </c>
      <c r="N10" s="3" t="str">
        <f ca="1">IFERROR(__xludf.DUMMYFUNCTION("""COMPUTED_VALUE"""),"2055-06-03T16:37:12.215405Z")</f>
        <v>2055-06-03T16:37:12.215405Z</v>
      </c>
      <c r="O10" s="3" t="str">
        <f ca="1">IFERROR(__xludf.DUMMYFUNCTION("""COMPUTED_VALUE"""),"2055-06-03T16:51:15.79938Z")</f>
        <v>2055-06-03T16:51:15.79938Z</v>
      </c>
      <c r="P10" s="3" t="str">
        <f ca="1">IFERROR(__xludf.DUMMYFUNCTION("""COMPUTED_VALUE"""),"2055-06-03T16:05:14.936934Z")</f>
        <v>2055-06-03T16:05:14.936934Z</v>
      </c>
      <c r="Q10" s="3">
        <f ca="1">IFERROR(__xludf.DUMMYFUNCTION("""COMPUTED_VALUE"""),0)</f>
        <v>0</v>
      </c>
      <c r="R10" s="3" t="str">
        <f ca="1">IFERROR(__xludf.DUMMYFUNCTION("""COMPUTED_VALUE"""),"2055-06-03T16:05:22.620426Z")</f>
        <v>2055-06-03T16:05:22.620426Z</v>
      </c>
      <c r="S10" s="3" t="str">
        <f ca="1">IFERROR(__xludf.DUMMYFUNCTION("""COMPUTED_VALUE"""),"2055-06-03T16:32:42.302357Z")</f>
        <v>2055-06-03T16:32:42.302357Z</v>
      </c>
      <c r="T10" s="3"/>
      <c r="U10" s="4">
        <f ca="1">IFERROR(__xludf.DUMMYFUNCTION("""COMPUTED_VALUE"""),56768)</f>
        <v>56768</v>
      </c>
      <c r="V10" s="3">
        <f ca="1">IFERROR(__xludf.DUMMYFUNCTION("""COMPUTED_VALUE"""),4.6)</f>
        <v>4.5999999999999996</v>
      </c>
      <c r="W10" s="3">
        <f ca="1">IFERROR(__xludf.DUMMYFUNCTION("""COMPUTED_VALUE"""),1500)</f>
        <v>1500</v>
      </c>
      <c r="X10" s="3">
        <f ca="1">IFERROR(__xludf.DUMMYFUNCTION("""COMPUTED_VALUE"""),2753)</f>
        <v>2753</v>
      </c>
      <c r="Y10" s="3">
        <f ca="1">IFERROR(__xludf.DUMMYFUNCTION("""COMPUTED_VALUE"""),1640)</f>
        <v>1640</v>
      </c>
      <c r="Z10" s="3">
        <f ca="1">IFERROR(__xludf.DUMMYFUNCTION("""COMPUTED_VALUE"""),270)</f>
        <v>270</v>
      </c>
      <c r="AA10" s="3">
        <f ca="1">IFERROR(__xludf.DUMMYFUNCTION("""COMPUTED_VALUE"""),843)</f>
        <v>843</v>
      </c>
      <c r="AB10" s="3">
        <f ca="1">IFERROR(__xludf.DUMMYFUNCTION("""COMPUTED_VALUE"""),0)</f>
        <v>0</v>
      </c>
      <c r="AC10" s="3">
        <f ca="1">IFERROR(__xludf.DUMMYFUNCTION("""COMPUTED_VALUE"""),10)</f>
        <v>10</v>
      </c>
      <c r="AD10" s="3" t="str">
        <f ca="1">IFERROR(__xludf.DUMMYFUNCTION("""COMPUTED_VALUE"""),"late")</f>
        <v>late</v>
      </c>
      <c r="AE10" s="3" t="str">
        <f ca="1">IFERROR(__xludf.DUMMYFUNCTION("""COMPUTED_VALUE"""),"2055-06-03T12:37:12.215405Z")</f>
        <v>2055-06-03T12:37:12.215405Z</v>
      </c>
      <c r="AF10" s="3" t="str">
        <f ca="1">IFERROR(__xludf.DUMMYFUNCTION("""COMPUTED_VALUE"""),"2055-06-03T12:51:15.79938Z")</f>
        <v>2055-06-03T12:51:15.79938Z</v>
      </c>
      <c r="AG10" s="3" t="str">
        <f ca="1">IFERROR(__xludf.DUMMYFUNCTION("""COMPUTED_VALUE"""),"2055-06-03T12:05:14.936934Z")</f>
        <v>2055-06-03T12:05:14.936934Z</v>
      </c>
      <c r="AH10" s="3" t="str">
        <f ca="1">IFERROR(__xludf.DUMMYFUNCTION("""COMPUTED_VALUE"""),"2055-06-03T12:32:42.302357Z")</f>
        <v>2055-06-03T12:32:42.302357Z</v>
      </c>
      <c r="AI10" s="3">
        <f ca="1">IFERROR(__xludf.DUMMYFUNCTION("""COMPUTED_VALUE"""),4.03)</f>
        <v>4.03</v>
      </c>
      <c r="AJ10" s="3">
        <f ca="1">IFERROR(__xludf.DUMMYFUNCTION("""COMPUTED_VALUE"""),505)</f>
        <v>505</v>
      </c>
      <c r="AK10" s="3">
        <f ca="1">IFERROR(__xludf.DUMMYFUNCTION("""COMPUTED_VALUE"""),1721)</f>
        <v>1721</v>
      </c>
      <c r="AL10" s="3">
        <f ca="1">IFERROR(__xludf.DUMMYFUNCTION("""COMPUTED_VALUE"""),457)</f>
        <v>457</v>
      </c>
    </row>
    <row r="11" spans="1:43" ht="15" customHeight="1">
      <c r="A11" s="3">
        <f ca="1">IFERROR(__xludf.DUMMYFUNCTION("""COMPUTED_VALUE"""),3)</f>
        <v>3</v>
      </c>
      <c r="B11" s="3">
        <f ca="1">IFERROR(__xludf.DUMMYFUNCTION("""COMPUTED_VALUE"""),4)</f>
        <v>4</v>
      </c>
      <c r="C11" s="3">
        <f ca="1">IFERROR(__xludf.DUMMYFUNCTION("""COMPUTED_VALUE"""),4050)</f>
        <v>4050</v>
      </c>
      <c r="D11" s="3" t="str">
        <f ca="1">IFERROR(__xludf.DUMMYFUNCTION("""COMPUTED_VALUE"""),"Doorlanta")</f>
        <v>Doorlanta</v>
      </c>
      <c r="E11" s="3" t="str">
        <f ca="1">IFERROR(__xludf.DUMMYFUNCTION("""COMPUTED_VALUE"""),"Galaxy A")</f>
        <v>Galaxy A</v>
      </c>
      <c r="F11" s="3" t="str">
        <f ca="1">IFERROR(__xludf.DUMMYFUNCTION("""COMPUTED_VALUE"""),"Sal")</f>
        <v>Sal</v>
      </c>
      <c r="G11" s="3">
        <f ca="1">IFERROR(__xludf.DUMMYFUNCTION("""COMPUTED_VALUE"""),0)</f>
        <v>0</v>
      </c>
      <c r="H11" s="3" t="str">
        <f ca="1">IFERROR(__xludf.DUMMYFUNCTION("""COMPUTED_VALUE"""),"car")</f>
        <v>car</v>
      </c>
      <c r="I11" s="3" t="str">
        <f ca="1">IFERROR(__xludf.DUMMYFUNCTION("""COMPUTED_VALUE"""),"2055-06-01T14:19:19.004452Z")</f>
        <v>2055-06-01T14:19:19.004452Z</v>
      </c>
      <c r="J11" s="3" t="str">
        <f ca="1">IFERROR(__xludf.DUMMYFUNCTION("""COMPUTED_VALUE"""),"2055-06-01T16:00:00Z")</f>
        <v>2055-06-01T16:00:00Z</v>
      </c>
      <c r="K11" s="3" t="str">
        <f ca="1">IFERROR(__xludf.DUMMYFUNCTION("""COMPUTED_VALUE"""),"2055-06-01T16:00:00Z")</f>
        <v>2055-06-01T16:00:00Z</v>
      </c>
      <c r="L11" s="3">
        <f ca="1">IFERROR(__xludf.DUMMYFUNCTION("""COMPUTED_VALUE"""),0)</f>
        <v>0</v>
      </c>
      <c r="M11" s="3">
        <f ca="1">IFERROR(__xludf.DUMMYFUNCTION("""COMPUTED_VALUE"""),0)</f>
        <v>0</v>
      </c>
      <c r="N11" s="3" t="str">
        <f ca="1">IFERROR(__xludf.DUMMYFUNCTION("""COMPUTED_VALUE"""),"2055-06-01T15:54:40.489099Z")</f>
        <v>2055-06-01T15:54:40.489099Z</v>
      </c>
      <c r="O11" s="3" t="str">
        <f ca="1">IFERROR(__xludf.DUMMYFUNCTION("""COMPUTED_VALUE"""),"2055-06-01T16:10:40.273128Z")</f>
        <v>2055-06-01T16:10:40.273128Z</v>
      </c>
      <c r="P11" s="3" t="str">
        <f ca="1">IFERROR(__xludf.DUMMYFUNCTION("""COMPUTED_VALUE"""),"2055-06-01T15:00:07.351144Z")</f>
        <v>2055-06-01T15:00:07.351144Z</v>
      </c>
      <c r="Q11" s="3">
        <f ca="1">IFERROR(__xludf.DUMMYFUNCTION("""COMPUTED_VALUE"""),0)</f>
        <v>0</v>
      </c>
      <c r="R11" s="3" t="str">
        <f ca="1">IFERROR(__xludf.DUMMYFUNCTION("""COMPUTED_VALUE"""),"2055-06-01T15:00:15.282234Z")</f>
        <v>2055-06-01T15:00:15.282234Z</v>
      </c>
      <c r="S11" s="3"/>
      <c r="T11" s="3"/>
      <c r="U11" s="4">
        <f ca="1">IFERROR(__xludf.DUMMYFUNCTION("""COMPUTED_VALUE"""),56766)</f>
        <v>56766</v>
      </c>
      <c r="V11" s="3">
        <f ca="1">IFERROR(__xludf.DUMMYFUNCTION("""COMPUTED_VALUE"""),2.723830758)</f>
        <v>2.7238307580000001</v>
      </c>
      <c r="W11" s="3">
        <f ca="1">IFERROR(__xludf.DUMMYFUNCTION("""COMPUTED_VALUE"""),1000)</f>
        <v>1000</v>
      </c>
      <c r="X11" s="3">
        <f ca="1">IFERROR(__xludf.DUMMYFUNCTION("""COMPUTED_VALUE"""),4225)</f>
        <v>4225</v>
      </c>
      <c r="Y11" s="3"/>
      <c r="Z11" s="3"/>
      <c r="AA11" s="3">
        <f ca="1">IFERROR(__xludf.DUMMYFUNCTION("""COMPUTED_VALUE"""),960)</f>
        <v>960</v>
      </c>
      <c r="AB11" s="3">
        <f ca="1">IFERROR(__xludf.DUMMYFUNCTION("""COMPUTED_VALUE"""),0)</f>
        <v>0</v>
      </c>
      <c r="AC11" s="3">
        <f ca="1">IFERROR(__xludf.DUMMYFUNCTION("""COMPUTED_VALUE"""),7)</f>
        <v>7</v>
      </c>
      <c r="AD11" s="3"/>
      <c r="AE11" s="3" t="str">
        <f ca="1">IFERROR(__xludf.DUMMYFUNCTION("""COMPUTED_VALUE"""),"2055-06-01T11:54:40.489099Z")</f>
        <v>2055-06-01T11:54:40.489099Z</v>
      </c>
      <c r="AF11" s="3" t="str">
        <f ca="1">IFERROR(__xludf.DUMMYFUNCTION("""COMPUTED_VALUE"""),"2055-06-01T12:10:40.273128Z")</f>
        <v>2055-06-01T12:10:40.273128Z</v>
      </c>
      <c r="AG11" s="3" t="str">
        <f ca="1">IFERROR(__xludf.DUMMYFUNCTION("""COMPUTED_VALUE"""),"2055-06-01T11:00:07.351144Z")</f>
        <v>2055-06-01T11:00:07.351144Z</v>
      </c>
      <c r="AH11" s="3"/>
      <c r="AI11" s="3">
        <f ca="1">IFERROR(__xludf.DUMMYFUNCTION("""COMPUTED_VALUE"""),4.46)</f>
        <v>4.46</v>
      </c>
      <c r="AJ11" s="3">
        <f ca="1">IFERROR(__xludf.DUMMYFUNCTION("""COMPUTED_VALUE"""),349)</f>
        <v>349</v>
      </c>
      <c r="AK11" s="3">
        <f ca="1">IFERROR(__xludf.DUMMYFUNCTION("""COMPUTED_VALUE"""),779)</f>
        <v>779</v>
      </c>
      <c r="AL11" s="3"/>
    </row>
    <row r="12" spans="1:43" ht="15" customHeight="1">
      <c r="A12" s="3">
        <f ca="1">IFERROR(__xludf.DUMMYFUNCTION("""COMPUTED_VALUE"""),613)</f>
        <v>613</v>
      </c>
      <c r="B12" s="3">
        <f ca="1">IFERROR(__xludf.DUMMYFUNCTION("""COMPUTED_VALUE"""),5)</f>
        <v>5</v>
      </c>
      <c r="C12" s="3">
        <f ca="1">IFERROR(__xludf.DUMMYFUNCTION("""COMPUTED_VALUE"""),4050)</f>
        <v>4050</v>
      </c>
      <c r="D12" s="3" t="str">
        <f ca="1">IFERROR(__xludf.DUMMYFUNCTION("""COMPUTED_VALUE"""),"Doorlanta")</f>
        <v>Doorlanta</v>
      </c>
      <c r="E12" s="3" t="str">
        <f ca="1">IFERROR(__xludf.DUMMYFUNCTION("""COMPUTED_VALUE"""),"Galaxy A")</f>
        <v>Galaxy A</v>
      </c>
      <c r="F12" s="3" t="str">
        <f ca="1">IFERROR(__xludf.DUMMYFUNCTION("""COMPUTED_VALUE"""),"Kev")</f>
        <v>Kev</v>
      </c>
      <c r="G12" s="3">
        <f ca="1">IFERROR(__xludf.DUMMYFUNCTION("""COMPUTED_VALUE"""),1)</f>
        <v>1</v>
      </c>
      <c r="H12" s="3" t="str">
        <f ca="1">IFERROR(__xludf.DUMMYFUNCTION("""COMPUTED_VALUE"""),"car")</f>
        <v>car</v>
      </c>
      <c r="I12" s="3" t="str">
        <f ca="1">IFERROR(__xludf.DUMMYFUNCTION("""COMPUTED_VALUE"""),"2055-06-05T20:29:49.293908Z")</f>
        <v>2055-06-05T20:29:49.293908Z</v>
      </c>
      <c r="J12" s="3" t="str">
        <f ca="1">IFERROR(__xludf.DUMMYFUNCTION("""COMPUTED_VALUE"""),"2055-06-05T21:57:03.367Z")</f>
        <v>2055-06-05T21:57:03.367Z</v>
      </c>
      <c r="K12" s="3" t="str">
        <f ca="1">IFERROR(__xludf.DUMMYFUNCTION("""COMPUTED_VALUE"""),"2055-06-05T21:36:56.367Z")</f>
        <v>2055-06-05T21:36:56.367Z</v>
      </c>
      <c r="L12" s="3">
        <f ca="1">IFERROR(__xludf.DUMMYFUNCTION("""COMPUTED_VALUE"""),1)</f>
        <v>1</v>
      </c>
      <c r="M12" s="3">
        <f ca="1">IFERROR(__xludf.DUMMYFUNCTION("""COMPUTED_VALUE"""),0)</f>
        <v>0</v>
      </c>
      <c r="N12" s="3" t="str">
        <f ca="1">IFERROR(__xludf.DUMMYFUNCTION("""COMPUTED_VALUE"""),"2055-06-05T21:00:53.690836Z")</f>
        <v>2055-06-05T21:00:53.690836Z</v>
      </c>
      <c r="O12" s="3" t="str">
        <f ca="1">IFERROR(__xludf.DUMMYFUNCTION("""COMPUTED_VALUE"""),"2055-06-05T21:25:21.417903Z")</f>
        <v>2055-06-05T21:25:21.417903Z</v>
      </c>
      <c r="P12" s="3" t="str">
        <f ca="1">IFERROR(__xludf.DUMMYFUNCTION("""COMPUTED_VALUE"""),"2055-06-05T20:47:07.290523Z")</f>
        <v>2055-06-05T20:47:07.290523Z</v>
      </c>
      <c r="Q12" s="3">
        <f ca="1">IFERROR(__xludf.DUMMYFUNCTION("""COMPUTED_VALUE"""),0)</f>
        <v>0</v>
      </c>
      <c r="R12" s="3" t="str">
        <f ca="1">IFERROR(__xludf.DUMMYFUNCTION("""COMPUTED_VALUE"""),"2055-06-05T20:47:13.383317Z")</f>
        <v>2055-06-05T20:47:13.383317Z</v>
      </c>
      <c r="S12" s="3" t="str">
        <f ca="1">IFERROR(__xludf.DUMMYFUNCTION("""COMPUTED_VALUE"""),"2055-06-05T20:55:06.423426Z")</f>
        <v>2055-06-05T20:55:06.423426Z</v>
      </c>
      <c r="T12" s="3"/>
      <c r="U12" s="4">
        <f ca="1">IFERROR(__xludf.DUMMYFUNCTION("""COMPUTED_VALUE"""),56770)</f>
        <v>56770</v>
      </c>
      <c r="V12" s="3">
        <f ca="1">IFERROR(__xludf.DUMMYFUNCTION("""COMPUTED_VALUE"""),4.7)</f>
        <v>4.7</v>
      </c>
      <c r="W12" s="3">
        <f ca="1">IFERROR(__xludf.DUMMYFUNCTION("""COMPUTED_VALUE"""),1000)</f>
        <v>1000</v>
      </c>
      <c r="X12" s="3">
        <f ca="1">IFERROR(__xludf.DUMMYFUNCTION("""COMPUTED_VALUE"""),2288)</f>
        <v>2288</v>
      </c>
      <c r="Y12" s="3">
        <f ca="1">IFERROR(__xludf.DUMMYFUNCTION("""COMPUTED_VALUE"""),473)</f>
        <v>473</v>
      </c>
      <c r="Z12" s="3">
        <f ca="1">IFERROR(__xludf.DUMMYFUNCTION("""COMPUTED_VALUE"""),347)</f>
        <v>347</v>
      </c>
      <c r="AA12" s="3">
        <f ca="1">IFERROR(__xludf.DUMMYFUNCTION("""COMPUTED_VALUE"""),1468)</f>
        <v>1468</v>
      </c>
      <c r="AB12" s="3">
        <f ca="1">IFERROR(__xludf.DUMMYFUNCTION("""COMPUTED_VALUE"""),0)</f>
        <v>0</v>
      </c>
      <c r="AC12" s="3">
        <f ca="1">IFERROR(__xludf.DUMMYFUNCTION("""COMPUTED_VALUE"""),16)</f>
        <v>16</v>
      </c>
      <c r="AD12" s="3" t="str">
        <f ca="1">IFERROR(__xludf.DUMMYFUNCTION("""COMPUTED_VALUE"""),"late")</f>
        <v>late</v>
      </c>
      <c r="AE12" s="3" t="str">
        <f ca="1">IFERROR(__xludf.DUMMYFUNCTION("""COMPUTED_VALUE"""),"2055-06-05T17:00:53.690836Z")</f>
        <v>2055-06-05T17:00:53.690836Z</v>
      </c>
      <c r="AF12" s="3" t="str">
        <f ca="1">IFERROR(__xludf.DUMMYFUNCTION("""COMPUTED_VALUE"""),"2055-06-05T17:25:21.417903Z")</f>
        <v>2055-06-05T17:25:21.417903Z</v>
      </c>
      <c r="AG12" s="3" t="str">
        <f ca="1">IFERROR(__xludf.DUMMYFUNCTION("""COMPUTED_VALUE"""),"2055-06-05T16:47:07.290523Z")</f>
        <v>2055-06-05T16:47:07.290523Z</v>
      </c>
      <c r="AH12" s="3" t="str">
        <f ca="1">IFERROR(__xludf.DUMMYFUNCTION("""COMPUTED_VALUE"""),"2055-06-05T16:55:06.423426Z")</f>
        <v>2055-06-05T16:55:06.423426Z</v>
      </c>
      <c r="AI12" s="3">
        <f ca="1">IFERROR(__xludf.DUMMYFUNCTION("""COMPUTED_VALUE"""),4.740740741)</f>
        <v>4.7407407409999998</v>
      </c>
      <c r="AJ12" s="3">
        <f ca="1">IFERROR(__xludf.DUMMYFUNCTION("""COMPUTED_VALUE"""),43)</f>
        <v>43</v>
      </c>
      <c r="AK12" s="3">
        <f ca="1">IFERROR(__xludf.DUMMYFUNCTION("""COMPUTED_VALUE"""),144)</f>
        <v>144</v>
      </c>
      <c r="AL12" s="3">
        <f ca="1">IFERROR(__xludf.DUMMYFUNCTION("""COMPUTED_VALUE"""),80)</f>
        <v>80</v>
      </c>
    </row>
    <row r="13" spans="1:43" ht="15" customHeight="1">
      <c r="A13" s="3">
        <f ca="1">IFERROR(__xludf.DUMMYFUNCTION("""COMPUTED_VALUE"""),718)</f>
        <v>718</v>
      </c>
      <c r="B13" s="3"/>
      <c r="C13" s="3">
        <f ca="1">IFERROR(__xludf.DUMMYFUNCTION("""COMPUTED_VALUE"""),4050)</f>
        <v>4050</v>
      </c>
      <c r="D13" s="3" t="str">
        <f ca="1">IFERROR(__xludf.DUMMYFUNCTION("""COMPUTED_VALUE"""),"Doorlanta")</f>
        <v>Doorlanta</v>
      </c>
      <c r="E13" s="3" t="str">
        <f ca="1">IFERROR(__xludf.DUMMYFUNCTION("""COMPUTED_VALUE"""),"Galaxy A")</f>
        <v>Galaxy A</v>
      </c>
      <c r="F13" s="3" t="str">
        <f ca="1">IFERROR(__xludf.DUMMYFUNCTION("""COMPUTED_VALUE"""),"Matt")</f>
        <v>Matt</v>
      </c>
      <c r="G13" s="3">
        <f ca="1">IFERROR(__xludf.DUMMYFUNCTION("""COMPUTED_VALUE"""),0)</f>
        <v>0</v>
      </c>
      <c r="H13" s="3" t="str">
        <f ca="1">IFERROR(__xludf.DUMMYFUNCTION("""COMPUTED_VALUE"""),"car")</f>
        <v>car</v>
      </c>
      <c r="I13" s="3" t="str">
        <f ca="1">IFERROR(__xludf.DUMMYFUNCTION("""COMPUTED_VALUE"""),"2055-06-06T01:27:59.301958Z")</f>
        <v>2055-06-06T01:27:59.301958Z</v>
      </c>
      <c r="J13" s="3" t="str">
        <f ca="1">IFERROR(__xludf.DUMMYFUNCTION("""COMPUTED_VALUE"""),"2055-06-06T16:00:00Z")</f>
        <v>2055-06-06T16:00:00Z</v>
      </c>
      <c r="K13" s="3" t="str">
        <f ca="1">IFERROR(__xludf.DUMMYFUNCTION("""COMPUTED_VALUE"""),"2055-06-06T16:00:00Z")</f>
        <v>2055-06-06T16:00:00Z</v>
      </c>
      <c r="L13" s="3">
        <f ca="1">IFERROR(__xludf.DUMMYFUNCTION("""COMPUTED_VALUE"""),0)</f>
        <v>0</v>
      </c>
      <c r="M13" s="3">
        <f ca="1">IFERROR(__xludf.DUMMYFUNCTION("""COMPUTED_VALUE"""),0)</f>
        <v>0</v>
      </c>
      <c r="N13" s="3" t="str">
        <f ca="1">IFERROR(__xludf.DUMMYFUNCTION("""COMPUTED_VALUE"""),"2055-06-06T15:49:55.135794Z")</f>
        <v>2055-06-06T15:49:55.135794Z</v>
      </c>
      <c r="O13" s="3" t="str">
        <f ca="1">IFERROR(__xludf.DUMMYFUNCTION("""COMPUTED_VALUE"""),"2055-06-06T16:03:24.394424Z")</f>
        <v>2055-06-06T16:03:24.394424Z</v>
      </c>
      <c r="P13" s="3" t="str">
        <f ca="1">IFERROR(__xludf.DUMMYFUNCTION("""COMPUTED_VALUE"""),"2055-06-06T15:00:07.288126Z")</f>
        <v>2055-06-06T15:00:07.288126Z</v>
      </c>
      <c r="Q13" s="3">
        <f ca="1">IFERROR(__xludf.DUMMYFUNCTION("""COMPUTED_VALUE"""),0)</f>
        <v>0</v>
      </c>
      <c r="R13" s="3" t="str">
        <f ca="1">IFERROR(__xludf.DUMMYFUNCTION("""COMPUTED_VALUE"""),"2055-06-06T15:00:26.211274Z")</f>
        <v>2055-06-06T15:00:26.211274Z</v>
      </c>
      <c r="S13" s="3" t="str">
        <f ca="1">IFERROR(__xludf.DUMMYFUNCTION("""COMPUTED_VALUE"""),"2055-06-06T15:12:18.023155Z")</f>
        <v>2055-06-06T15:12:18.023155Z</v>
      </c>
      <c r="T13" s="3"/>
      <c r="U13" s="4">
        <f ca="1">IFERROR(__xludf.DUMMYFUNCTION("""COMPUTED_VALUE"""),56771)</f>
        <v>56771</v>
      </c>
      <c r="V13" s="3">
        <f ca="1">IFERROR(__xludf.DUMMYFUNCTION("""COMPUTED_VALUE"""),4.5)</f>
        <v>4.5</v>
      </c>
      <c r="W13" s="3">
        <f ca="1">IFERROR(__xludf.DUMMYFUNCTION("""COMPUTED_VALUE"""),1000)</f>
        <v>1000</v>
      </c>
      <c r="X13" s="3">
        <f ca="1">IFERROR(__xludf.DUMMYFUNCTION("""COMPUTED_VALUE"""),3778)</f>
        <v>3778</v>
      </c>
      <c r="Y13" s="3">
        <f ca="1">IFERROR(__xludf.DUMMYFUNCTION("""COMPUTED_VALUE"""),712)</f>
        <v>712</v>
      </c>
      <c r="Z13" s="3">
        <f ca="1">IFERROR(__xludf.DUMMYFUNCTION("""COMPUTED_VALUE"""),2257)</f>
        <v>2257</v>
      </c>
      <c r="AA13" s="3">
        <f ca="1">IFERROR(__xludf.DUMMYFUNCTION("""COMPUTED_VALUE"""),809)</f>
        <v>809</v>
      </c>
      <c r="AB13" s="3">
        <f ca="1">IFERROR(__xludf.DUMMYFUNCTION("""COMPUTED_VALUE"""),0)</f>
        <v>0</v>
      </c>
      <c r="AC13" s="3">
        <f ca="1">IFERROR(__xludf.DUMMYFUNCTION("""COMPUTED_VALUE"""),10)</f>
        <v>10</v>
      </c>
      <c r="AD13" s="3" t="str">
        <f ca="1">IFERROR(__xludf.DUMMYFUNCTION("""COMPUTED_VALUE"""),"early")</f>
        <v>early</v>
      </c>
      <c r="AE13" s="3" t="str">
        <f ca="1">IFERROR(__xludf.DUMMYFUNCTION("""COMPUTED_VALUE"""),"2055-06-06T11:49:55.135794Z")</f>
        <v>2055-06-06T11:49:55.135794Z</v>
      </c>
      <c r="AF13" s="3" t="str">
        <f ca="1">IFERROR(__xludf.DUMMYFUNCTION("""COMPUTED_VALUE"""),"2055-06-06T12:03:24.394424Z")</f>
        <v>2055-06-06T12:03:24.394424Z</v>
      </c>
      <c r="AG13" s="3" t="str">
        <f ca="1">IFERROR(__xludf.DUMMYFUNCTION("""COMPUTED_VALUE"""),"2055-06-06T11:00:07.288126Z")</f>
        <v>2055-06-06T11:00:07.288126Z</v>
      </c>
      <c r="AH13" s="3" t="str">
        <f ca="1">IFERROR(__xludf.DUMMYFUNCTION("""COMPUTED_VALUE"""),"2055-06-06T11:12:18.023155Z")</f>
        <v>2055-06-06T11:12:18.023155Z</v>
      </c>
      <c r="AI13" s="3">
        <f ca="1">IFERROR(__xludf.DUMMYFUNCTION("""COMPUTED_VALUE"""),4.22)</f>
        <v>4.22</v>
      </c>
      <c r="AJ13" s="3">
        <f ca="1">IFERROR(__xludf.DUMMYFUNCTION("""COMPUTED_VALUE"""),1551)</f>
        <v>1551</v>
      </c>
      <c r="AK13" s="3">
        <f ca="1">IFERROR(__xludf.DUMMYFUNCTION("""COMPUTED_VALUE"""),4625)</f>
        <v>4625</v>
      </c>
      <c r="AL13" s="3"/>
    </row>
    <row r="14" spans="1:43" ht="15" customHeight="1">
      <c r="A14" s="3">
        <f ca="1">IFERROR(__xludf.DUMMYFUNCTION("""COMPUTED_VALUE"""),927)</f>
        <v>927</v>
      </c>
      <c r="B14" s="3"/>
      <c r="C14" s="3">
        <f ca="1">IFERROR(__xludf.DUMMYFUNCTION("""COMPUTED_VALUE"""),4050)</f>
        <v>4050</v>
      </c>
      <c r="D14" s="3" t="str">
        <f ca="1">IFERROR(__xludf.DUMMYFUNCTION("""COMPUTED_VALUE"""),"Doorlanta")</f>
        <v>Doorlanta</v>
      </c>
      <c r="E14" s="3" t="str">
        <f ca="1">IFERROR(__xludf.DUMMYFUNCTION("""COMPUTED_VALUE"""),"Galaxy A")</f>
        <v>Galaxy A</v>
      </c>
      <c r="F14" s="3" t="str">
        <f ca="1">IFERROR(__xludf.DUMMYFUNCTION("""COMPUTED_VALUE"""),"Jagar")</f>
        <v>Jagar</v>
      </c>
      <c r="G14" s="3">
        <f ca="1">IFERROR(__xludf.DUMMYFUNCTION("""COMPUTED_VALUE"""),0)</f>
        <v>0</v>
      </c>
      <c r="H14" s="3" t="str">
        <f ca="1">IFERROR(__xludf.DUMMYFUNCTION("""COMPUTED_VALUE"""),"car")</f>
        <v>car</v>
      </c>
      <c r="I14" s="3" t="str">
        <f ca="1">IFERROR(__xludf.DUMMYFUNCTION("""COMPUTED_VALUE"""),"2055-06-08T14:23:46.742847Z")</f>
        <v>2055-06-08T14:23:46.742847Z</v>
      </c>
      <c r="J14" s="3" t="str">
        <f ca="1">IFERROR(__xludf.DUMMYFUNCTION("""COMPUTED_VALUE"""),"2055-06-08T16:30:00Z")</f>
        <v>2055-06-08T16:30:00Z</v>
      </c>
      <c r="K14" s="3" t="str">
        <f ca="1">IFERROR(__xludf.DUMMYFUNCTION("""COMPUTED_VALUE"""),"2055-06-08T16:30:00Z")</f>
        <v>2055-06-08T16:30:00Z</v>
      </c>
      <c r="L14" s="3">
        <f ca="1">IFERROR(__xludf.DUMMYFUNCTION("""COMPUTED_VALUE"""),0)</f>
        <v>0</v>
      </c>
      <c r="M14" s="3">
        <f ca="1">IFERROR(__xludf.DUMMYFUNCTION("""COMPUTED_VALUE"""),0)</f>
        <v>0</v>
      </c>
      <c r="N14" s="3" t="str">
        <f ca="1">IFERROR(__xludf.DUMMYFUNCTION("""COMPUTED_VALUE"""),"2055-06-08T16:02:19.598742Z")</f>
        <v>2055-06-08T16:02:19.598742Z</v>
      </c>
      <c r="O14" s="3" t="str">
        <f ca="1">IFERROR(__xludf.DUMMYFUNCTION("""COMPUTED_VALUE"""),"2055-06-08T16:11:42.561344Z")</f>
        <v>2055-06-08T16:11:42.561344Z</v>
      </c>
      <c r="P14" s="3" t="str">
        <f ca="1">IFERROR(__xludf.DUMMYFUNCTION("""COMPUTED_VALUE"""),"2055-06-08T15:30:27.401737Z")</f>
        <v>2055-06-08T15:30:27.401737Z</v>
      </c>
      <c r="Q14" s="3">
        <f ca="1">IFERROR(__xludf.DUMMYFUNCTION("""COMPUTED_VALUE"""),0)</f>
        <v>0</v>
      </c>
      <c r="R14" s="3" t="str">
        <f ca="1">IFERROR(__xludf.DUMMYFUNCTION("""COMPUTED_VALUE"""),"2055-06-08T15:30:38.403377Z")</f>
        <v>2055-06-08T15:30:38.403377Z</v>
      </c>
      <c r="S14" s="3" t="str">
        <f ca="1">IFERROR(__xludf.DUMMYFUNCTION("""COMPUTED_VALUE"""),"2055-06-08T15:39:54.411513Z")</f>
        <v>2055-06-08T15:39:54.411513Z</v>
      </c>
      <c r="T14" s="3"/>
      <c r="U14" s="4">
        <f ca="1">IFERROR(__xludf.DUMMYFUNCTION("""COMPUTED_VALUE"""),56773)</f>
        <v>56773</v>
      </c>
      <c r="V14" s="3">
        <f ca="1">IFERROR(__xludf.DUMMYFUNCTION("""COMPUTED_VALUE"""),4.6)</f>
        <v>4.5999999999999996</v>
      </c>
      <c r="W14" s="3">
        <f ca="1">IFERROR(__xludf.DUMMYFUNCTION("""COMPUTED_VALUE"""),1000)</f>
        <v>1000</v>
      </c>
      <c r="X14" s="3">
        <f ca="1">IFERROR(__xludf.DUMMYFUNCTION("""COMPUTED_VALUE"""),2464)</f>
        <v>2464</v>
      </c>
      <c r="Y14" s="3">
        <f ca="1">IFERROR(__xludf.DUMMYFUNCTION("""COMPUTED_VALUE"""),556)</f>
        <v>556</v>
      </c>
      <c r="Z14" s="3">
        <f ca="1">IFERROR(__xludf.DUMMYFUNCTION("""COMPUTED_VALUE"""),1345)</f>
        <v>1345</v>
      </c>
      <c r="AA14" s="3">
        <f ca="1">IFERROR(__xludf.DUMMYFUNCTION("""COMPUTED_VALUE"""),563)</f>
        <v>563</v>
      </c>
      <c r="AB14" s="3">
        <f ca="1">IFERROR(__xludf.DUMMYFUNCTION("""COMPUTED_VALUE"""),0)</f>
        <v>0</v>
      </c>
      <c r="AC14" s="3">
        <f ca="1">IFERROR(__xludf.DUMMYFUNCTION("""COMPUTED_VALUE"""),10)</f>
        <v>10</v>
      </c>
      <c r="AD14" s="3" t="str">
        <f ca="1">IFERROR(__xludf.DUMMYFUNCTION("""COMPUTED_VALUE"""),"early")</f>
        <v>early</v>
      </c>
      <c r="AE14" s="3" t="str">
        <f ca="1">IFERROR(__xludf.DUMMYFUNCTION("""COMPUTED_VALUE"""),"2055-06-08T12:02:19.598742Z")</f>
        <v>2055-06-08T12:02:19.598742Z</v>
      </c>
      <c r="AF14" s="3" t="str">
        <f ca="1">IFERROR(__xludf.DUMMYFUNCTION("""COMPUTED_VALUE"""),"2055-06-08T12:11:42.561344Z")</f>
        <v>2055-06-08T12:11:42.561344Z</v>
      </c>
      <c r="AG14" s="3" t="str">
        <f ca="1">IFERROR(__xludf.DUMMYFUNCTION("""COMPUTED_VALUE"""),"2055-06-08T11:30:27.401737Z")</f>
        <v>2055-06-08T11:30:27.401737Z</v>
      </c>
      <c r="AH14" s="3" t="str">
        <f ca="1">IFERROR(__xludf.DUMMYFUNCTION("""COMPUTED_VALUE"""),"2055-06-08T11:39:54.411513Z")</f>
        <v>2055-06-08T11:39:54.411513Z</v>
      </c>
      <c r="AI14" s="3">
        <f ca="1">IFERROR(__xludf.DUMMYFUNCTION("""COMPUTED_VALUE"""),4.89)</f>
        <v>4.8899999999999997</v>
      </c>
      <c r="AJ14" s="3">
        <f ca="1">IFERROR(__xludf.DUMMYFUNCTION("""COMPUTED_VALUE"""),1778)</f>
        <v>1778</v>
      </c>
      <c r="AK14" s="3">
        <f ca="1">IFERROR(__xludf.DUMMYFUNCTION("""COMPUTED_VALUE"""),5138)</f>
        <v>5138</v>
      </c>
      <c r="AL14" s="3">
        <f ca="1">IFERROR(__xludf.DUMMYFUNCTION("""COMPUTED_VALUE"""),314)</f>
        <v>314</v>
      </c>
    </row>
    <row r="15" spans="1:43" ht="15" customHeight="1">
      <c r="A15" s="3">
        <f ca="1">IFERROR(__xludf.DUMMYFUNCTION("""COMPUTED_VALUE"""),286)</f>
        <v>286</v>
      </c>
      <c r="B15" s="3">
        <f ca="1">IFERROR(__xludf.DUMMYFUNCTION("""COMPUTED_VALUE"""),3)</f>
        <v>3</v>
      </c>
      <c r="C15" s="3">
        <f ca="1">IFERROR(__xludf.DUMMYFUNCTION("""COMPUTED_VALUE"""),4050)</f>
        <v>4050</v>
      </c>
      <c r="D15" s="3" t="str">
        <f ca="1">IFERROR(__xludf.DUMMYFUNCTION("""COMPUTED_VALUE"""),"Doorlanta")</f>
        <v>Doorlanta</v>
      </c>
      <c r="E15" s="3" t="str">
        <f ca="1">IFERROR(__xludf.DUMMYFUNCTION("""COMPUTED_VALUE"""),"Galaxy A")</f>
        <v>Galaxy A</v>
      </c>
      <c r="F15" s="3" t="str">
        <f ca="1">IFERROR(__xludf.DUMMYFUNCTION("""COMPUTED_VALUE"""),"Ash")</f>
        <v>Ash</v>
      </c>
      <c r="G15" s="3">
        <f ca="1">IFERROR(__xludf.DUMMYFUNCTION("""COMPUTED_VALUE"""),0)</f>
        <v>0</v>
      </c>
      <c r="H15" s="3" t="str">
        <f ca="1">IFERROR(__xludf.DUMMYFUNCTION("""COMPUTED_VALUE"""),"car")</f>
        <v>car</v>
      </c>
      <c r="I15" s="3" t="str">
        <f ca="1">IFERROR(__xludf.DUMMYFUNCTION("""COMPUTED_VALUE"""),"2055-06-03T16:25:31.409567Z")</f>
        <v>2055-06-03T16:25:31.409567Z</v>
      </c>
      <c r="J15" s="3" t="str">
        <f ca="1">IFERROR(__xludf.DUMMYFUNCTION("""COMPUTED_VALUE"""),"2055-06-03T17:38:49.501Z")</f>
        <v>2055-06-03T17:38:49.501Z</v>
      </c>
      <c r="K15" s="3" t="str">
        <f ca="1">IFERROR(__xludf.DUMMYFUNCTION("""COMPUTED_VALUE"""),"2055-06-03T17:19:10.501Z")</f>
        <v>2055-06-03T17:19:10.501Z</v>
      </c>
      <c r="L15" s="3">
        <f ca="1">IFERROR(__xludf.DUMMYFUNCTION("""COMPUTED_VALUE"""),1)</f>
        <v>1</v>
      </c>
      <c r="M15" s="3">
        <f ca="1">IFERROR(__xludf.DUMMYFUNCTION("""COMPUTED_VALUE"""),0)</f>
        <v>0</v>
      </c>
      <c r="N15" s="3" t="str">
        <f ca="1">IFERROR(__xludf.DUMMYFUNCTION("""COMPUTED_VALUE"""),"2055-06-03T16:59:05.379588Z")</f>
        <v>2055-06-03T16:59:05.379588Z</v>
      </c>
      <c r="O15" s="3" t="str">
        <f ca="1">IFERROR(__xludf.DUMMYFUNCTION("""COMPUTED_VALUE"""),"2055-06-03T17:35:42.669252Z")</f>
        <v>2055-06-03T17:35:42.669252Z</v>
      </c>
      <c r="P15" s="3" t="str">
        <f ca="1">IFERROR(__xludf.DUMMYFUNCTION("""COMPUTED_VALUE"""),"2055-06-03T16:31:27.371306Z")</f>
        <v>2055-06-03T16:31:27.371306Z</v>
      </c>
      <c r="Q15" s="3">
        <f ca="1">IFERROR(__xludf.DUMMYFUNCTION("""COMPUTED_VALUE"""),0)</f>
        <v>0</v>
      </c>
      <c r="R15" s="3" t="str">
        <f ca="1">IFERROR(__xludf.DUMMYFUNCTION("""COMPUTED_VALUE"""),"2055-06-03T16:31:36.262896Z")</f>
        <v>2055-06-03T16:31:36.262896Z</v>
      </c>
      <c r="S15" s="3"/>
      <c r="T15" s="3"/>
      <c r="U15" s="4">
        <f ca="1">IFERROR(__xludf.DUMMYFUNCTION("""COMPUTED_VALUE"""),56768)</f>
        <v>56768</v>
      </c>
      <c r="V15" s="3">
        <f ca="1">IFERROR(__xludf.DUMMYFUNCTION("""COMPUTED_VALUE"""),4.5)</f>
        <v>4.5</v>
      </c>
      <c r="W15" s="3">
        <f ca="1">IFERROR(__xludf.DUMMYFUNCTION("""COMPUTED_VALUE"""),1000)</f>
        <v>1000</v>
      </c>
      <c r="X15" s="3">
        <f ca="1">IFERROR(__xludf.DUMMYFUNCTION("""COMPUTED_VALUE"""),3846)</f>
        <v>3846</v>
      </c>
      <c r="Y15" s="3"/>
      <c r="Z15" s="3"/>
      <c r="AA15" s="3">
        <f ca="1">IFERROR(__xludf.DUMMYFUNCTION("""COMPUTED_VALUE"""),2197)</f>
        <v>2197</v>
      </c>
      <c r="AB15" s="3">
        <f ca="1">IFERROR(__xludf.DUMMYFUNCTION("""COMPUTED_VALUE"""),0)</f>
        <v>0</v>
      </c>
      <c r="AC15" s="3">
        <f ca="1">IFERROR(__xludf.DUMMYFUNCTION("""COMPUTED_VALUE"""),7)</f>
        <v>7</v>
      </c>
      <c r="AD15" s="3"/>
      <c r="AE15" s="3" t="str">
        <f ca="1">IFERROR(__xludf.DUMMYFUNCTION("""COMPUTED_VALUE"""),"2055-06-03T12:59:05.379588Z")</f>
        <v>2055-06-03T12:59:05.379588Z</v>
      </c>
      <c r="AF15" s="3" t="str">
        <f ca="1">IFERROR(__xludf.DUMMYFUNCTION("""COMPUTED_VALUE"""),"2055-06-03T13:35:42.669252Z")</f>
        <v>2055-06-03T13:35:42.669252Z</v>
      </c>
      <c r="AG15" s="3" t="str">
        <f ca="1">IFERROR(__xludf.DUMMYFUNCTION("""COMPUTED_VALUE"""),"2055-06-03T12:31:27.371306Z")</f>
        <v>2055-06-03T12:31:27.371306Z</v>
      </c>
      <c r="AH15" s="3"/>
      <c r="AI15" s="3">
        <f ca="1">IFERROR(__xludf.DUMMYFUNCTION("""COMPUTED_VALUE"""),4.66)</f>
        <v>4.66</v>
      </c>
      <c r="AJ15" s="3">
        <f ca="1">IFERROR(__xludf.DUMMYFUNCTION("""COMPUTED_VALUE"""),161)</f>
        <v>161</v>
      </c>
      <c r="AK15" s="3">
        <f ca="1">IFERROR(__xludf.DUMMYFUNCTION("""COMPUTED_VALUE"""),398)</f>
        <v>398</v>
      </c>
      <c r="AL15" s="3"/>
    </row>
    <row r="16" spans="1:43" ht="15" customHeight="1">
      <c r="A16" s="3">
        <f ca="1">IFERROR(__xludf.DUMMYFUNCTION("""COMPUTED_VALUE"""),94)</f>
        <v>94</v>
      </c>
      <c r="B16" s="3">
        <f ca="1">IFERROR(__xludf.DUMMYFUNCTION("""COMPUTED_VALUE"""),5)</f>
        <v>5</v>
      </c>
      <c r="C16" s="3">
        <f ca="1">IFERROR(__xludf.DUMMYFUNCTION("""COMPUTED_VALUE"""),4050)</f>
        <v>4050</v>
      </c>
      <c r="D16" s="3" t="str">
        <f ca="1">IFERROR(__xludf.DUMMYFUNCTION("""COMPUTED_VALUE"""),"Doorlanta")</f>
        <v>Doorlanta</v>
      </c>
      <c r="E16" s="3" t="str">
        <f ca="1">IFERROR(__xludf.DUMMYFUNCTION("""COMPUTED_VALUE"""),"Galaxy A")</f>
        <v>Galaxy A</v>
      </c>
      <c r="F16" s="3" t="str">
        <f ca="1">IFERROR(__xludf.DUMMYFUNCTION("""COMPUTED_VALUE"""),"Codee")</f>
        <v>Codee</v>
      </c>
      <c r="G16" s="3">
        <f ca="1">IFERROR(__xludf.DUMMYFUNCTION("""COMPUTED_VALUE"""),0)</f>
        <v>0</v>
      </c>
      <c r="H16" s="3" t="str">
        <f ca="1">IFERROR(__xludf.DUMMYFUNCTION("""COMPUTED_VALUE"""),"car")</f>
        <v>car</v>
      </c>
      <c r="I16" s="3" t="str">
        <f ca="1">IFERROR(__xludf.DUMMYFUNCTION("""COMPUTED_VALUE"""),"2055-06-02T00:15:53.163656Z")</f>
        <v>2055-06-02T00:15:53.163656Z</v>
      </c>
      <c r="J16" s="3" t="str">
        <f ca="1">IFERROR(__xludf.DUMMYFUNCTION("""COMPUTED_VALUE"""),"2055-06-02T01:08:11.244Z")</f>
        <v>2055-06-02T01:08:11.244Z</v>
      </c>
      <c r="K16" s="3" t="str">
        <f ca="1">IFERROR(__xludf.DUMMYFUNCTION("""COMPUTED_VALUE"""),"2055-06-02T01:07:32.244Z")</f>
        <v>2055-06-02T01:07:32.244Z</v>
      </c>
      <c r="L16" s="3">
        <f ca="1">IFERROR(__xludf.DUMMYFUNCTION("""COMPUTED_VALUE"""),1)</f>
        <v>1</v>
      </c>
      <c r="M16" s="3">
        <f ca="1">IFERROR(__xludf.DUMMYFUNCTION("""COMPUTED_VALUE"""),0)</f>
        <v>0</v>
      </c>
      <c r="N16" s="3" t="str">
        <f ca="1">IFERROR(__xludf.DUMMYFUNCTION("""COMPUTED_VALUE"""),"2055-06-02T00:38:51.274164Z")</f>
        <v>2055-06-02T00:38:51.274164Z</v>
      </c>
      <c r="O16" s="3" t="str">
        <f ca="1">IFERROR(__xludf.DUMMYFUNCTION("""COMPUTED_VALUE"""),"2055-06-02T01:03:19.778995Z")</f>
        <v>2055-06-02T01:03:19.778995Z</v>
      </c>
      <c r="P16" s="3" t="str">
        <f ca="1">IFERROR(__xludf.DUMMYFUNCTION("""COMPUTED_VALUE"""),"2055-06-02T00:16:07.373744Z")</f>
        <v>2055-06-02T00:16:07.373744Z</v>
      </c>
      <c r="Q16" s="3">
        <f ca="1">IFERROR(__xludf.DUMMYFUNCTION("""COMPUTED_VALUE"""),0)</f>
        <v>0</v>
      </c>
      <c r="R16" s="3" t="str">
        <f ca="1">IFERROR(__xludf.DUMMYFUNCTION("""COMPUTED_VALUE"""),"2055-06-02T00:16:34.50453Z")</f>
        <v>2055-06-02T00:16:34.50453Z</v>
      </c>
      <c r="S16" s="3" t="str">
        <f ca="1">IFERROR(__xludf.DUMMYFUNCTION("""COMPUTED_VALUE"""),"2055-06-02T00:29:31.141773Z")</f>
        <v>2055-06-02T00:29:31.141773Z</v>
      </c>
      <c r="T16" s="3"/>
      <c r="U16" s="4">
        <f ca="1">IFERROR(__xludf.DUMMYFUNCTION("""COMPUTED_VALUE"""),56766)</f>
        <v>56766</v>
      </c>
      <c r="V16" s="3">
        <f ca="1">IFERROR(__xludf.DUMMYFUNCTION("""COMPUTED_VALUE"""),4.8)</f>
        <v>4.8</v>
      </c>
      <c r="W16" s="3">
        <f ca="1">IFERROR(__xludf.DUMMYFUNCTION("""COMPUTED_VALUE"""),1000)</f>
        <v>1000</v>
      </c>
      <c r="X16" s="3">
        <f ca="1">IFERROR(__xludf.DUMMYFUNCTION("""COMPUTED_VALUE"""),2805)</f>
        <v>2805</v>
      </c>
      <c r="Y16" s="3">
        <f ca="1">IFERROR(__xludf.DUMMYFUNCTION("""COMPUTED_VALUE"""),777)</f>
        <v>777</v>
      </c>
      <c r="Z16" s="3">
        <f ca="1">IFERROR(__xludf.DUMMYFUNCTION("""COMPUTED_VALUE"""),560)</f>
        <v>560</v>
      </c>
      <c r="AA16" s="3">
        <f ca="1">IFERROR(__xludf.DUMMYFUNCTION("""COMPUTED_VALUE"""),1468)</f>
        <v>1468</v>
      </c>
      <c r="AB16" s="3">
        <f ca="1">IFERROR(__xludf.DUMMYFUNCTION("""COMPUTED_VALUE"""),0)</f>
        <v>0</v>
      </c>
      <c r="AC16" s="3">
        <f ca="1">IFERROR(__xludf.DUMMYFUNCTION("""COMPUTED_VALUE"""),12)</f>
        <v>12</v>
      </c>
      <c r="AD16" s="3" t="str">
        <f ca="1">IFERROR(__xludf.DUMMYFUNCTION("""COMPUTED_VALUE"""),"on time")</f>
        <v>on time</v>
      </c>
      <c r="AE16" s="3" t="str">
        <f ca="1">IFERROR(__xludf.DUMMYFUNCTION("""COMPUTED_VALUE"""),"2055-06-01T20:38:51.274164Z")</f>
        <v>2055-06-01T20:38:51.274164Z</v>
      </c>
      <c r="AF16" s="3" t="str">
        <f ca="1">IFERROR(__xludf.DUMMYFUNCTION("""COMPUTED_VALUE"""),"2055-06-01T21:03:19.778995Z")</f>
        <v>2055-06-01T21:03:19.778995Z</v>
      </c>
      <c r="AG16" s="3" t="str">
        <f ca="1">IFERROR(__xludf.DUMMYFUNCTION("""COMPUTED_VALUE"""),"2055-06-01T20:16:07.373744Z")</f>
        <v>2055-06-01T20:16:07.373744Z</v>
      </c>
      <c r="AH16" s="3" t="str">
        <f ca="1">IFERROR(__xludf.DUMMYFUNCTION("""COMPUTED_VALUE"""),"2055-06-01T20:29:31.141773Z")</f>
        <v>2055-06-01T20:29:31.141773Z</v>
      </c>
      <c r="AI16" s="3">
        <f ca="1">IFERROR(__xludf.DUMMYFUNCTION("""COMPUTED_VALUE"""),4.367088608)</f>
        <v>4.3670886080000004</v>
      </c>
      <c r="AJ16" s="3">
        <f ca="1">IFERROR(__xludf.DUMMYFUNCTION("""COMPUTED_VALUE"""),59)</f>
        <v>59</v>
      </c>
      <c r="AK16" s="3">
        <f ca="1">IFERROR(__xludf.DUMMYFUNCTION("""COMPUTED_VALUE"""),198)</f>
        <v>198</v>
      </c>
      <c r="AL16" s="3">
        <f ca="1">IFERROR(__xludf.DUMMYFUNCTION("""COMPUTED_VALUE"""),42)</f>
        <v>42</v>
      </c>
    </row>
    <row r="17" spans="1:38" ht="15" customHeight="1">
      <c r="A17" s="3">
        <f ca="1">IFERROR(__xludf.DUMMYFUNCTION("""COMPUTED_VALUE"""),113)</f>
        <v>113</v>
      </c>
      <c r="B17" s="3"/>
      <c r="C17" s="3">
        <f ca="1">IFERROR(__xludf.DUMMYFUNCTION("""COMPUTED_VALUE"""),4050)</f>
        <v>4050</v>
      </c>
      <c r="D17" s="3" t="str">
        <f ca="1">IFERROR(__xludf.DUMMYFUNCTION("""COMPUTED_VALUE"""),"Doorlanta")</f>
        <v>Doorlanta</v>
      </c>
      <c r="E17" s="3" t="str">
        <f ca="1">IFERROR(__xludf.DUMMYFUNCTION("""COMPUTED_VALUE"""),"Galaxy A")</f>
        <v>Galaxy A</v>
      </c>
      <c r="F17" s="3" t="str">
        <f ca="1">IFERROR(__xludf.DUMMYFUNCTION("""COMPUTED_VALUE"""),"Lauran")</f>
        <v>Lauran</v>
      </c>
      <c r="G17" s="3">
        <f ca="1">IFERROR(__xludf.DUMMYFUNCTION("""COMPUTED_VALUE"""),0)</f>
        <v>0</v>
      </c>
      <c r="H17" s="3" t="str">
        <f ca="1">IFERROR(__xludf.DUMMYFUNCTION("""COMPUTED_VALUE"""),"car")</f>
        <v>car</v>
      </c>
      <c r="I17" s="3" t="str">
        <f ca="1">IFERROR(__xludf.DUMMYFUNCTION("""COMPUTED_VALUE"""),"2055-06-02T14:14:13.014128Z")</f>
        <v>2055-06-02T14:14:13.014128Z</v>
      </c>
      <c r="J17" s="3" t="str">
        <f ca="1">IFERROR(__xludf.DUMMYFUNCTION("""COMPUTED_VALUE"""),"2055-06-02T21:15:00Z")</f>
        <v>2055-06-02T21:15:00Z</v>
      </c>
      <c r="K17" s="3" t="str">
        <f ca="1">IFERROR(__xludf.DUMMYFUNCTION("""COMPUTED_VALUE"""),"2055-06-02T21:15:00Z")</f>
        <v>2055-06-02T21:15:00Z</v>
      </c>
      <c r="L17" s="3">
        <f ca="1">IFERROR(__xludf.DUMMYFUNCTION("""COMPUTED_VALUE"""),0)</f>
        <v>0</v>
      </c>
      <c r="M17" s="3">
        <f ca="1">IFERROR(__xludf.DUMMYFUNCTION("""COMPUTED_VALUE"""),0)</f>
        <v>0</v>
      </c>
      <c r="N17" s="3" t="str">
        <f ca="1">IFERROR(__xludf.DUMMYFUNCTION("""COMPUTED_VALUE"""),"2055-06-02T21:02:45.912741Z")</f>
        <v>2055-06-02T21:02:45.912741Z</v>
      </c>
      <c r="O17" s="3" t="str">
        <f ca="1">IFERROR(__xludf.DUMMYFUNCTION("""COMPUTED_VALUE"""),"2055-06-02T21:18:03.029991Z")</f>
        <v>2055-06-02T21:18:03.029991Z</v>
      </c>
      <c r="P17" s="3" t="str">
        <f ca="1">IFERROR(__xludf.DUMMYFUNCTION("""COMPUTED_VALUE"""),"2055-06-02T20:18:47.339647Z")</f>
        <v>2055-06-02T20:18:47.339647Z</v>
      </c>
      <c r="Q17" s="3">
        <f ca="1">IFERROR(__xludf.DUMMYFUNCTION("""COMPUTED_VALUE"""),0)</f>
        <v>0</v>
      </c>
      <c r="R17" s="3" t="str">
        <f ca="1">IFERROR(__xludf.DUMMYFUNCTION("""COMPUTED_VALUE"""),"2055-06-02T20:18:56.228585Z")</f>
        <v>2055-06-02T20:18:56.228585Z</v>
      </c>
      <c r="S17" s="3" t="str">
        <f ca="1">IFERROR(__xludf.DUMMYFUNCTION("""COMPUTED_VALUE"""),"2055-06-02T20:44:38.50371Z")</f>
        <v>2055-06-02T20:44:38.50371Z</v>
      </c>
      <c r="T17" s="3"/>
      <c r="U17" s="4">
        <f ca="1">IFERROR(__xludf.DUMMYFUNCTION("""COMPUTED_VALUE"""),56767)</f>
        <v>56767</v>
      </c>
      <c r="V17" s="3">
        <f ca="1">IFERROR(__xludf.DUMMYFUNCTION("""COMPUTED_VALUE"""),4.5)</f>
        <v>4.5</v>
      </c>
      <c r="W17" s="3">
        <f ca="1">IFERROR(__xludf.DUMMYFUNCTION("""COMPUTED_VALUE"""),1000)</f>
        <v>1000</v>
      </c>
      <c r="X17" s="3">
        <f ca="1">IFERROR(__xludf.DUMMYFUNCTION("""COMPUTED_VALUE"""),3547)</f>
        <v>3547</v>
      </c>
      <c r="Y17" s="3">
        <f ca="1">IFERROR(__xludf.DUMMYFUNCTION("""COMPUTED_VALUE"""),1542)</f>
        <v>1542</v>
      </c>
      <c r="Z17" s="3">
        <f ca="1">IFERROR(__xludf.DUMMYFUNCTION("""COMPUTED_VALUE"""),1087)</f>
        <v>1087</v>
      </c>
      <c r="AA17" s="3">
        <f ca="1">IFERROR(__xludf.DUMMYFUNCTION("""COMPUTED_VALUE"""),918)</f>
        <v>918</v>
      </c>
      <c r="AB17" s="3">
        <f ca="1">IFERROR(__xludf.DUMMYFUNCTION("""COMPUTED_VALUE"""),0)</f>
        <v>0</v>
      </c>
      <c r="AC17" s="3">
        <f ca="1">IFERROR(__xludf.DUMMYFUNCTION("""COMPUTED_VALUE"""),6)</f>
        <v>6</v>
      </c>
      <c r="AD17" s="3" t="str">
        <f ca="1">IFERROR(__xludf.DUMMYFUNCTION("""COMPUTED_VALUE"""),"late")</f>
        <v>late</v>
      </c>
      <c r="AE17" s="3" t="str">
        <f ca="1">IFERROR(__xludf.DUMMYFUNCTION("""COMPUTED_VALUE"""),"2055-06-02T17:02:45.912741Z")</f>
        <v>2055-06-02T17:02:45.912741Z</v>
      </c>
      <c r="AF17" s="3" t="str">
        <f ca="1">IFERROR(__xludf.DUMMYFUNCTION("""COMPUTED_VALUE"""),"2055-06-02T17:18:03.029991Z")</f>
        <v>2055-06-02T17:18:03.029991Z</v>
      </c>
      <c r="AG17" s="3" t="str">
        <f ca="1">IFERROR(__xludf.DUMMYFUNCTION("""COMPUTED_VALUE"""),"2055-06-02T16:18:47.339647Z")</f>
        <v>2055-06-02T16:18:47.339647Z</v>
      </c>
      <c r="AH17" s="3" t="str">
        <f ca="1">IFERROR(__xludf.DUMMYFUNCTION("""COMPUTED_VALUE"""),"2055-06-02T16:44:38.50371Z")</f>
        <v>2055-06-02T16:44:38.50371Z</v>
      </c>
      <c r="AI17" s="3">
        <f ca="1">IFERROR(__xludf.DUMMYFUNCTION("""COMPUTED_VALUE"""),4.42)</f>
        <v>4.42</v>
      </c>
      <c r="AJ17" s="3">
        <f ca="1">IFERROR(__xludf.DUMMYFUNCTION("""COMPUTED_VALUE"""),1396)</f>
        <v>1396</v>
      </c>
      <c r="AK17" s="3">
        <f ca="1">IFERROR(__xludf.DUMMYFUNCTION("""COMPUTED_VALUE"""),4836)</f>
        <v>4836</v>
      </c>
      <c r="AL17" s="3">
        <f ca="1">IFERROR(__xludf.DUMMYFUNCTION("""COMPUTED_VALUE"""),1278)</f>
        <v>1278</v>
      </c>
    </row>
    <row r="18" spans="1:38" ht="15" customHeight="1">
      <c r="A18" s="3">
        <f ca="1">IFERROR(__xludf.DUMMYFUNCTION("""COMPUTED_VALUE"""),207)</f>
        <v>207</v>
      </c>
      <c r="B18" s="3">
        <f ca="1">IFERROR(__xludf.DUMMYFUNCTION("""COMPUTED_VALUE"""),1)</f>
        <v>1</v>
      </c>
      <c r="C18" s="3">
        <f ca="1">IFERROR(__xludf.DUMMYFUNCTION("""COMPUTED_VALUE"""),4001)</f>
        <v>4001</v>
      </c>
      <c r="D18" s="3" t="str">
        <f ca="1">IFERROR(__xludf.DUMMYFUNCTION("""COMPUTED_VALUE"""),"Dashattan")</f>
        <v>Dashattan</v>
      </c>
      <c r="E18" s="3" t="str">
        <f ca="1">IFERROR(__xludf.DUMMYFUNCTION("""COMPUTED_VALUE"""),"Galaxy A")</f>
        <v>Galaxy A</v>
      </c>
      <c r="F18" s="3" t="str">
        <f ca="1">IFERROR(__xludf.DUMMYFUNCTION("""COMPUTED_VALUE"""),"Ron")</f>
        <v>Ron</v>
      </c>
      <c r="G18" s="3">
        <f ca="1">IFERROR(__xludf.DUMMYFUNCTION("""COMPUTED_VALUE"""),0)</f>
        <v>0</v>
      </c>
      <c r="H18" s="3" t="str">
        <f ca="1">IFERROR(__xludf.DUMMYFUNCTION("""COMPUTED_VALUE"""),"bicycle")</f>
        <v>bicycle</v>
      </c>
      <c r="I18" s="3" t="str">
        <f ca="1">IFERROR(__xludf.DUMMYFUNCTION("""COMPUTED_VALUE"""),"2055-06-02T23:27:56.045622Z")</f>
        <v>2055-06-02T23:27:56.045622Z</v>
      </c>
      <c r="J18" s="3" t="str">
        <f ca="1">IFERROR(__xludf.DUMMYFUNCTION("""COMPUTED_VALUE"""),"2055-06-03T00:30:14.101Z")</f>
        <v>2055-06-03T00:30:14.101Z</v>
      </c>
      <c r="K18" s="3" t="str">
        <f ca="1">IFERROR(__xludf.DUMMYFUNCTION("""COMPUTED_VALUE"""),"2055-06-03T00:10:35.101Z")</f>
        <v>2055-06-03T00:10:35.101Z</v>
      </c>
      <c r="L18" s="3">
        <f ca="1">IFERROR(__xludf.DUMMYFUNCTION("""COMPUTED_VALUE"""),1)</f>
        <v>1</v>
      </c>
      <c r="M18" s="3">
        <f ca="1">IFERROR(__xludf.DUMMYFUNCTION("""COMPUTED_VALUE"""),0)</f>
        <v>0</v>
      </c>
      <c r="N18" s="3" t="str">
        <f ca="1">IFERROR(__xludf.DUMMYFUNCTION("""COMPUTED_VALUE"""),"2055-06-03T00:05:32.024913Z")</f>
        <v>2055-06-03T00:05:32.024913Z</v>
      </c>
      <c r="O18" s="3" t="str">
        <f ca="1">IFERROR(__xludf.DUMMYFUNCTION("""COMPUTED_VALUE"""),"2055-06-03T00:25:35.591672Z")</f>
        <v>2055-06-03T00:25:35.591672Z</v>
      </c>
      <c r="P18" s="3" t="str">
        <f ca="1">IFERROR(__xludf.DUMMYFUNCTION("""COMPUTED_VALUE"""),"2055-06-02T23:32:55.244404Z")</f>
        <v>2055-06-02T23:32:55.244404Z</v>
      </c>
      <c r="Q18" s="3">
        <f ca="1">IFERROR(__xludf.DUMMYFUNCTION("""COMPUTED_VALUE"""),0)</f>
        <v>0</v>
      </c>
      <c r="R18" s="3" t="str">
        <f ca="1">IFERROR(__xludf.DUMMYFUNCTION("""COMPUTED_VALUE"""),"2055-06-02T23:33:18.91934Z")</f>
        <v>2055-06-02T23:33:18.91934Z</v>
      </c>
      <c r="S18" s="3" t="str">
        <f ca="1">IFERROR(__xludf.DUMMYFUNCTION("""COMPUTED_VALUE"""),"2055-06-02T23:50:54.342973Z")</f>
        <v>2055-06-02T23:50:54.342973Z</v>
      </c>
      <c r="T18" s="3"/>
      <c r="U18" s="4">
        <f ca="1">IFERROR(__xludf.DUMMYFUNCTION("""COMPUTED_VALUE"""),56767)</f>
        <v>56767</v>
      </c>
      <c r="V18" s="3">
        <f ca="1">IFERROR(__xludf.DUMMYFUNCTION("""COMPUTED_VALUE"""),4.4)</f>
        <v>4.4000000000000004</v>
      </c>
      <c r="W18" s="3">
        <f ca="1">IFERROR(__xludf.DUMMYFUNCTION("""COMPUTED_VALUE"""),1000)</f>
        <v>1000</v>
      </c>
      <c r="X18" s="3">
        <f ca="1">IFERROR(__xludf.DUMMYFUNCTION("""COMPUTED_VALUE"""),3137)</f>
        <v>3137</v>
      </c>
      <c r="Y18" s="3">
        <f ca="1">IFERROR(__xludf.DUMMYFUNCTION("""COMPUTED_VALUE"""),1056)</f>
        <v>1056</v>
      </c>
      <c r="Z18" s="3">
        <f ca="1">IFERROR(__xludf.DUMMYFUNCTION("""COMPUTED_VALUE"""),878)</f>
        <v>878</v>
      </c>
      <c r="AA18" s="3">
        <f ca="1">IFERROR(__xludf.DUMMYFUNCTION("""COMPUTED_VALUE"""),1203)</f>
        <v>1203</v>
      </c>
      <c r="AB18" s="3">
        <f ca="1">IFERROR(__xludf.DUMMYFUNCTION("""COMPUTED_VALUE"""),0)</f>
        <v>0</v>
      </c>
      <c r="AC18" s="3">
        <f ca="1">IFERROR(__xludf.DUMMYFUNCTION("""COMPUTED_VALUE"""),10)</f>
        <v>10</v>
      </c>
      <c r="AD18" s="3" t="str">
        <f ca="1">IFERROR(__xludf.DUMMYFUNCTION("""COMPUTED_VALUE"""),"on time")</f>
        <v>on time</v>
      </c>
      <c r="AE18" s="3" t="str">
        <f ca="1">IFERROR(__xludf.DUMMYFUNCTION("""COMPUTED_VALUE"""),"2055-06-02T20:05:32.024913Z")</f>
        <v>2055-06-02T20:05:32.024913Z</v>
      </c>
      <c r="AF18" s="3" t="str">
        <f ca="1">IFERROR(__xludf.DUMMYFUNCTION("""COMPUTED_VALUE"""),"2055-06-02T20:25:35.591672Z")</f>
        <v>2055-06-02T20:25:35.591672Z</v>
      </c>
      <c r="AG18" s="3" t="str">
        <f ca="1">IFERROR(__xludf.DUMMYFUNCTION("""COMPUTED_VALUE"""),"2055-06-02T19:32:55.244404Z")</f>
        <v>2055-06-02T19:32:55.244404Z</v>
      </c>
      <c r="AH18" s="3" t="str">
        <f ca="1">IFERROR(__xludf.DUMMYFUNCTION("""COMPUTED_VALUE"""),"2055-06-02T19:50:54.342973Z")</f>
        <v>2055-06-02T19:50:54.342973Z</v>
      </c>
      <c r="AI18" s="3">
        <f ca="1">IFERROR(__xludf.DUMMYFUNCTION("""COMPUTED_VALUE"""),4.56)</f>
        <v>4.5599999999999996</v>
      </c>
      <c r="AJ18" s="3">
        <f ca="1">IFERROR(__xludf.DUMMYFUNCTION("""COMPUTED_VALUE"""),765)</f>
        <v>765</v>
      </c>
      <c r="AK18" s="3">
        <f ca="1">IFERROR(__xludf.DUMMYFUNCTION("""COMPUTED_VALUE"""),2618)</f>
        <v>2618</v>
      </c>
      <c r="AL18" s="3"/>
    </row>
    <row r="19" spans="1:38" ht="15" customHeight="1">
      <c r="A19" s="3">
        <f ca="1">IFERROR(__xludf.DUMMYFUNCTION("""COMPUTED_VALUE"""),973)</f>
        <v>973</v>
      </c>
      <c r="B19" s="3"/>
      <c r="C19" s="3">
        <f ca="1">IFERROR(__xludf.DUMMYFUNCTION("""COMPUTED_VALUE"""),4001)</f>
        <v>4001</v>
      </c>
      <c r="D19" s="3" t="str">
        <f ca="1">IFERROR(__xludf.DUMMYFUNCTION("""COMPUTED_VALUE"""),"Dashattan")</f>
        <v>Dashattan</v>
      </c>
      <c r="E19" s="3" t="str">
        <f ca="1">IFERROR(__xludf.DUMMYFUNCTION("""COMPUTED_VALUE"""),"Galaxy A")</f>
        <v>Galaxy A</v>
      </c>
      <c r="F19" s="3" t="str">
        <f ca="1">IFERROR(__xludf.DUMMYFUNCTION("""COMPUTED_VALUE"""),"Bret")</f>
        <v>Bret</v>
      </c>
      <c r="G19" s="3">
        <f ca="1">IFERROR(__xludf.DUMMYFUNCTION("""COMPUTED_VALUE"""),0)</f>
        <v>0</v>
      </c>
      <c r="H19" s="3" t="str">
        <f ca="1">IFERROR(__xludf.DUMMYFUNCTION("""COMPUTED_VALUE"""),"car")</f>
        <v>car</v>
      </c>
      <c r="I19" s="3" t="str">
        <f ca="1">IFERROR(__xludf.DUMMYFUNCTION("""COMPUTED_VALUE"""),"2055-06-08T22:02:05.357188Z")</f>
        <v>2055-06-08T22:02:05.357188Z</v>
      </c>
      <c r="J19" s="3" t="str">
        <f ca="1">IFERROR(__xludf.DUMMYFUNCTION("""COMPUTED_VALUE"""),"2055-06-09T16:00:00Z")</f>
        <v>2055-06-09T16:00:00Z</v>
      </c>
      <c r="K19" s="3" t="str">
        <f ca="1">IFERROR(__xludf.DUMMYFUNCTION("""COMPUTED_VALUE"""),"2055-06-09T16:00:00Z")</f>
        <v>2055-06-09T16:00:00Z</v>
      </c>
      <c r="L19" s="3">
        <f ca="1">IFERROR(__xludf.DUMMYFUNCTION("""COMPUTED_VALUE"""),0)</f>
        <v>0</v>
      </c>
      <c r="M19" s="3">
        <f ca="1">IFERROR(__xludf.DUMMYFUNCTION("""COMPUTED_VALUE"""),0)</f>
        <v>0</v>
      </c>
      <c r="N19" s="3" t="str">
        <f ca="1">IFERROR(__xludf.DUMMYFUNCTION("""COMPUTED_VALUE"""),"2055-06-09T15:44:54.492375Z")</f>
        <v>2055-06-09T15:44:54.492375Z</v>
      </c>
      <c r="O19" s="3" t="str">
        <f ca="1">IFERROR(__xludf.DUMMYFUNCTION("""COMPUTED_VALUE"""),"2055-06-09T16:01:06.092165Z")</f>
        <v>2055-06-09T16:01:06.092165Z</v>
      </c>
      <c r="P19" s="3" t="str">
        <f ca="1">IFERROR(__xludf.DUMMYFUNCTION("""COMPUTED_VALUE"""),"2055-06-09T15:13:54.322888Z")</f>
        <v>2055-06-09T15:13:54.322888Z</v>
      </c>
      <c r="Q19" s="3">
        <f ca="1">IFERROR(__xludf.DUMMYFUNCTION("""COMPUTED_VALUE"""),0)</f>
        <v>0</v>
      </c>
      <c r="R19" s="3" t="str">
        <f ca="1">IFERROR(__xludf.DUMMYFUNCTION("""COMPUTED_VALUE"""),"2055-06-09T15:14:40.504938Z")</f>
        <v>2055-06-09T15:14:40.504938Z</v>
      </c>
      <c r="S19" s="3" t="str">
        <f ca="1">IFERROR(__xludf.DUMMYFUNCTION("""COMPUTED_VALUE"""),"2055-06-09T15:41:42.317635Z")</f>
        <v>2055-06-09T15:41:42.317635Z</v>
      </c>
      <c r="T19" s="3"/>
      <c r="U19" s="4">
        <f ca="1">IFERROR(__xludf.DUMMYFUNCTION("""COMPUTED_VALUE"""),56774)</f>
        <v>56774</v>
      </c>
      <c r="V19" s="3">
        <f ca="1">IFERROR(__xludf.DUMMYFUNCTION("""COMPUTED_VALUE"""),4.3)</f>
        <v>4.3</v>
      </c>
      <c r="W19" s="3">
        <f ca="1">IFERROR(__xludf.DUMMYFUNCTION("""COMPUTED_VALUE"""),1000)</f>
        <v>1000</v>
      </c>
      <c r="X19" s="3">
        <f ca="1">IFERROR(__xludf.DUMMYFUNCTION("""COMPUTED_VALUE"""),2786)</f>
        <v>2786</v>
      </c>
      <c r="Y19" s="3">
        <f ca="1">IFERROR(__xludf.DUMMYFUNCTION("""COMPUTED_VALUE"""),1622)</f>
        <v>1622</v>
      </c>
      <c r="Z19" s="3">
        <f ca="1">IFERROR(__xludf.DUMMYFUNCTION("""COMPUTED_VALUE"""),192)</f>
        <v>192</v>
      </c>
      <c r="AA19" s="3">
        <f ca="1">IFERROR(__xludf.DUMMYFUNCTION("""COMPUTED_VALUE"""),972)</f>
        <v>972</v>
      </c>
      <c r="AB19" s="3">
        <f ca="1">IFERROR(__xludf.DUMMYFUNCTION("""COMPUTED_VALUE"""),1)</f>
        <v>1</v>
      </c>
      <c r="AC19" s="3">
        <f ca="1">IFERROR(__xludf.DUMMYFUNCTION("""COMPUTED_VALUE"""),8)</f>
        <v>8</v>
      </c>
      <c r="AD19" s="3"/>
      <c r="AE19" s="3" t="str">
        <f ca="1">IFERROR(__xludf.DUMMYFUNCTION("""COMPUTED_VALUE"""),"2055-06-09T11:44:54.492375Z")</f>
        <v>2055-06-09T11:44:54.492375Z</v>
      </c>
      <c r="AF19" s="3" t="str">
        <f ca="1">IFERROR(__xludf.DUMMYFUNCTION("""COMPUTED_VALUE"""),"2055-06-09T12:01:06.092165Z")</f>
        <v>2055-06-09T12:01:06.092165Z</v>
      </c>
      <c r="AG19" s="3" t="str">
        <f ca="1">IFERROR(__xludf.DUMMYFUNCTION("""COMPUTED_VALUE"""),"2055-06-09T11:13:54.322888Z")</f>
        <v>2055-06-09T11:13:54.322888Z</v>
      </c>
      <c r="AH19" s="3" t="str">
        <f ca="1">IFERROR(__xludf.DUMMYFUNCTION("""COMPUTED_VALUE"""),"2055-06-09T11:41:42.317635Z")</f>
        <v>2055-06-09T11:41:42.317635Z</v>
      </c>
      <c r="AI19" s="3">
        <f ca="1">IFERROR(__xludf.DUMMYFUNCTION("""COMPUTED_VALUE"""),3.82)</f>
        <v>3.82</v>
      </c>
      <c r="AJ19" s="3">
        <f ca="1">IFERROR(__xludf.DUMMYFUNCTION("""COMPUTED_VALUE"""),174)</f>
        <v>174</v>
      </c>
      <c r="AK19" s="3">
        <f ca="1">IFERROR(__xludf.DUMMYFUNCTION("""COMPUTED_VALUE"""),773)</f>
        <v>773</v>
      </c>
      <c r="AL19" s="3"/>
    </row>
    <row r="20" spans="1:38" ht="15" customHeight="1">
      <c r="A20" s="3">
        <f ca="1">IFERROR(__xludf.DUMMYFUNCTION("""COMPUTED_VALUE"""),485)</f>
        <v>485</v>
      </c>
      <c r="B20" s="3"/>
      <c r="C20" s="3">
        <f ca="1">IFERROR(__xludf.DUMMYFUNCTION("""COMPUTED_VALUE"""),4050)</f>
        <v>4050</v>
      </c>
      <c r="D20" s="3" t="str">
        <f ca="1">IFERROR(__xludf.DUMMYFUNCTION("""COMPUTED_VALUE"""),"Doorlanta")</f>
        <v>Doorlanta</v>
      </c>
      <c r="E20" s="3" t="str">
        <f ca="1">IFERROR(__xludf.DUMMYFUNCTION("""COMPUTED_VALUE"""),"Galaxy A")</f>
        <v>Galaxy A</v>
      </c>
      <c r="F20" s="3" t="str">
        <f ca="1">IFERROR(__xludf.DUMMYFUNCTION("""COMPUTED_VALUE"""),"Katelynn")</f>
        <v>Katelynn</v>
      </c>
      <c r="G20" s="3">
        <f ca="1">IFERROR(__xludf.DUMMYFUNCTION("""COMPUTED_VALUE"""),0)</f>
        <v>0</v>
      </c>
      <c r="H20" s="3" t="str">
        <f ca="1">IFERROR(__xludf.DUMMYFUNCTION("""COMPUTED_VALUE"""),"car")</f>
        <v>car</v>
      </c>
      <c r="I20" s="3" t="str">
        <f ca="1">IFERROR(__xludf.DUMMYFUNCTION("""COMPUTED_VALUE"""),"2055-06-04T23:16:19.806926Z")</f>
        <v>2055-06-04T23:16:19.806926Z</v>
      </c>
      <c r="J20" s="3" t="str">
        <f ca="1">IFERROR(__xludf.DUMMYFUNCTION("""COMPUTED_VALUE"""),"2055-06-05T00:13:30.868Z")</f>
        <v>2055-06-05T00:13:30.868Z</v>
      </c>
      <c r="K20" s="3" t="str">
        <f ca="1">IFERROR(__xludf.DUMMYFUNCTION("""COMPUTED_VALUE"""),"2055-06-04T23:58:51.868Z")</f>
        <v>2055-06-04T23:58:51.868Z</v>
      </c>
      <c r="L20" s="3">
        <f ca="1">IFERROR(__xludf.DUMMYFUNCTION("""COMPUTED_VALUE"""),1)</f>
        <v>1</v>
      </c>
      <c r="M20" s="3">
        <f ca="1">IFERROR(__xludf.DUMMYFUNCTION("""COMPUTED_VALUE"""),0)</f>
        <v>0</v>
      </c>
      <c r="N20" s="3" t="str">
        <f ca="1">IFERROR(__xludf.DUMMYFUNCTION("""COMPUTED_VALUE"""),"2055-06-04T23:55:02.638822Z")</f>
        <v>2055-06-04T23:55:02.638822Z</v>
      </c>
      <c r="O20" s="3" t="str">
        <f ca="1">IFERROR(__xludf.DUMMYFUNCTION("""COMPUTED_VALUE"""),"2055-06-05T00:05:54.873885Z")</f>
        <v>2055-06-05T00:05:54.873885Z</v>
      </c>
      <c r="P20" s="3" t="str">
        <f ca="1">IFERROR(__xludf.DUMMYFUNCTION("""COMPUTED_VALUE"""),"2055-06-04T23:16:27.662725Z")</f>
        <v>2055-06-04T23:16:27.662725Z</v>
      </c>
      <c r="Q20" s="3">
        <f ca="1">IFERROR(__xludf.DUMMYFUNCTION("""COMPUTED_VALUE"""),0)</f>
        <v>0</v>
      </c>
      <c r="R20" s="3" t="str">
        <f ca="1">IFERROR(__xludf.DUMMYFUNCTION("""COMPUTED_VALUE"""),"2055-06-04T23:17:04.516324Z")</f>
        <v>2055-06-04T23:17:04.516324Z</v>
      </c>
      <c r="S20" s="3" t="str">
        <f ca="1">IFERROR(__xludf.DUMMYFUNCTION("""COMPUTED_VALUE"""),"2055-06-04T23:24:47.340345Z")</f>
        <v>2055-06-04T23:24:47.340345Z</v>
      </c>
      <c r="T20" s="3"/>
      <c r="U20" s="4">
        <f ca="1">IFERROR(__xludf.DUMMYFUNCTION("""COMPUTED_VALUE"""),56769)</f>
        <v>56769</v>
      </c>
      <c r="V20" s="3">
        <f ca="1">IFERROR(__xludf.DUMMYFUNCTION("""COMPUTED_VALUE"""),4.6)</f>
        <v>4.5999999999999996</v>
      </c>
      <c r="W20" s="3">
        <f ca="1">IFERROR(__xludf.DUMMYFUNCTION("""COMPUTED_VALUE"""),1000)</f>
        <v>1000</v>
      </c>
      <c r="X20" s="3">
        <f ca="1">IFERROR(__xludf.DUMMYFUNCTION("""COMPUTED_VALUE"""),2930)</f>
        <v>2930</v>
      </c>
      <c r="Y20" s="3">
        <f ca="1">IFERROR(__xludf.DUMMYFUNCTION("""COMPUTED_VALUE"""),463)</f>
        <v>463</v>
      </c>
      <c r="Z20" s="3">
        <f ca="1">IFERROR(__xludf.DUMMYFUNCTION("""COMPUTED_VALUE"""),1815)</f>
        <v>1815</v>
      </c>
      <c r="AA20" s="3">
        <f ca="1">IFERROR(__xludf.DUMMYFUNCTION("""COMPUTED_VALUE"""),652)</f>
        <v>652</v>
      </c>
      <c r="AB20" s="3">
        <f ca="1">IFERROR(__xludf.DUMMYFUNCTION("""COMPUTED_VALUE"""),0)</f>
        <v>0</v>
      </c>
      <c r="AC20" s="3">
        <f ca="1">IFERROR(__xludf.DUMMYFUNCTION("""COMPUTED_VALUE"""),6)</f>
        <v>6</v>
      </c>
      <c r="AD20" s="3" t="str">
        <f ca="1">IFERROR(__xludf.DUMMYFUNCTION("""COMPUTED_VALUE"""),"early")</f>
        <v>early</v>
      </c>
      <c r="AE20" s="3" t="str">
        <f ca="1">IFERROR(__xludf.DUMMYFUNCTION("""COMPUTED_VALUE"""),"2055-06-04T19:55:02.638822Z")</f>
        <v>2055-06-04T19:55:02.638822Z</v>
      </c>
      <c r="AF20" s="3" t="str">
        <f ca="1">IFERROR(__xludf.DUMMYFUNCTION("""COMPUTED_VALUE"""),"2055-06-04T20:05:54.873885Z")</f>
        <v>2055-06-04T20:05:54.873885Z</v>
      </c>
      <c r="AG20" s="3" t="str">
        <f ca="1">IFERROR(__xludf.DUMMYFUNCTION("""COMPUTED_VALUE"""),"2055-06-04T19:16:27.662725Z")</f>
        <v>2055-06-04T19:16:27.662725Z</v>
      </c>
      <c r="AH20" s="3" t="str">
        <f ca="1">IFERROR(__xludf.DUMMYFUNCTION("""COMPUTED_VALUE"""),"2055-06-04T19:24:47.340345Z")</f>
        <v>2055-06-04T19:24:47.340345Z</v>
      </c>
      <c r="AI20" s="3">
        <f ca="1">IFERROR(__xludf.DUMMYFUNCTION("""COMPUTED_VALUE"""),4.7)</f>
        <v>4.7</v>
      </c>
      <c r="AJ20" s="3">
        <f ca="1">IFERROR(__xludf.DUMMYFUNCTION("""COMPUTED_VALUE"""),1261)</f>
        <v>1261</v>
      </c>
      <c r="AK20" s="3">
        <f ca="1">IFERROR(__xludf.DUMMYFUNCTION("""COMPUTED_VALUE"""),3264)</f>
        <v>3264</v>
      </c>
      <c r="AL20" s="3">
        <f ca="1">IFERROR(__xludf.DUMMYFUNCTION("""COMPUTED_VALUE"""),232)</f>
        <v>232</v>
      </c>
    </row>
    <row r="21" spans="1:38" ht="15" customHeight="1">
      <c r="A21" s="3">
        <f ca="1">IFERROR(__xludf.DUMMYFUNCTION("""COMPUTED_VALUE"""),827)</f>
        <v>827</v>
      </c>
      <c r="B21" s="3"/>
      <c r="C21" s="3">
        <f ca="1">IFERROR(__xludf.DUMMYFUNCTION("""COMPUTED_VALUE"""),4001)</f>
        <v>4001</v>
      </c>
      <c r="D21" s="3" t="str">
        <f ca="1">IFERROR(__xludf.DUMMYFUNCTION("""COMPUTED_VALUE"""),"Dashattan")</f>
        <v>Dashattan</v>
      </c>
      <c r="E21" s="3" t="str">
        <f ca="1">IFERROR(__xludf.DUMMYFUNCTION("""COMPUTED_VALUE"""),"Galaxy A")</f>
        <v>Galaxy A</v>
      </c>
      <c r="F21" s="3" t="str">
        <f ca="1">IFERROR(__xludf.DUMMYFUNCTION("""COMPUTED_VALUE"""),"Bret")</f>
        <v>Bret</v>
      </c>
      <c r="G21" s="3">
        <f ca="1">IFERROR(__xludf.DUMMYFUNCTION("""COMPUTED_VALUE"""),0)</f>
        <v>0</v>
      </c>
      <c r="H21" s="3" t="str">
        <f ca="1">IFERROR(__xludf.DUMMYFUNCTION("""COMPUTED_VALUE"""),"car")</f>
        <v>car</v>
      </c>
      <c r="I21" s="3" t="str">
        <f ca="1">IFERROR(__xludf.DUMMYFUNCTION("""COMPUTED_VALUE"""),"2055-06-07T13:50:11.106486Z")</f>
        <v>2055-06-07T13:50:11.106486Z</v>
      </c>
      <c r="J21" s="3" t="str">
        <f ca="1">IFERROR(__xludf.DUMMYFUNCTION("""COMPUTED_VALUE"""),"2055-06-07T14:30:17.169Z")</f>
        <v>2055-06-07T14:30:17.169Z</v>
      </c>
      <c r="K21" s="3" t="str">
        <f ca="1">IFERROR(__xludf.DUMMYFUNCTION("""COMPUTED_VALUE"""),"2055-06-07T14:21:24.169Z")</f>
        <v>2055-06-07T14:21:24.169Z</v>
      </c>
      <c r="L21" s="3">
        <f ca="1">IFERROR(__xludf.DUMMYFUNCTION("""COMPUTED_VALUE"""),1)</f>
        <v>1</v>
      </c>
      <c r="M21" s="3">
        <f ca="1">IFERROR(__xludf.DUMMYFUNCTION("""COMPUTED_VALUE"""),0)</f>
        <v>0</v>
      </c>
      <c r="N21" s="3" t="str">
        <f ca="1">IFERROR(__xludf.DUMMYFUNCTION("""COMPUTED_VALUE"""),"2055-06-07T14:33:35.994888Z")</f>
        <v>2055-06-07T14:33:35.994888Z</v>
      </c>
      <c r="O21" s="3" t="str">
        <f ca="1">IFERROR(__xludf.DUMMYFUNCTION("""COMPUTED_VALUE"""),"2055-06-07T14:57:30.713153Z")</f>
        <v>2055-06-07T14:57:30.713153Z</v>
      </c>
      <c r="P21" s="3" t="str">
        <f ca="1">IFERROR(__xludf.DUMMYFUNCTION("""COMPUTED_VALUE"""),"2055-06-07T13:50:14.118263Z")</f>
        <v>2055-06-07T13:50:14.118263Z</v>
      </c>
      <c r="Q21" s="3">
        <f ca="1">IFERROR(__xludf.DUMMYFUNCTION("""COMPUTED_VALUE"""),0)</f>
        <v>0</v>
      </c>
      <c r="R21" s="3" t="str">
        <f ca="1">IFERROR(__xludf.DUMMYFUNCTION("""COMPUTED_VALUE"""),"2055-06-07T13:50:18.103263Z")</f>
        <v>2055-06-07T13:50:18.103263Z</v>
      </c>
      <c r="S21" s="3" t="str">
        <f ca="1">IFERROR(__xludf.DUMMYFUNCTION("""COMPUTED_VALUE"""),"2055-06-07T13:50:33.323279Z")</f>
        <v>2055-06-07T13:50:33.323279Z</v>
      </c>
      <c r="T21" s="3"/>
      <c r="U21" s="4">
        <f ca="1">IFERROR(__xludf.DUMMYFUNCTION("""COMPUTED_VALUE"""),56772)</f>
        <v>56772</v>
      </c>
      <c r="V21" s="3">
        <f ca="1">IFERROR(__xludf.DUMMYFUNCTION("""COMPUTED_VALUE"""),4.5)</f>
        <v>4.5</v>
      </c>
      <c r="W21" s="3">
        <f ca="1">IFERROR(__xludf.DUMMYFUNCTION("""COMPUTED_VALUE"""),1000)</f>
        <v>1000</v>
      </c>
      <c r="X21" s="3">
        <f ca="1">IFERROR(__xludf.DUMMYFUNCTION("""COMPUTED_VALUE"""),4032)</f>
        <v>4032</v>
      </c>
      <c r="Y21" s="3">
        <f ca="1">IFERROR(__xludf.DUMMYFUNCTION("""COMPUTED_VALUE"""),15)</f>
        <v>15</v>
      </c>
      <c r="Z21" s="3">
        <f ca="1">IFERROR(__xludf.DUMMYFUNCTION("""COMPUTED_VALUE"""),2582)</f>
        <v>2582</v>
      </c>
      <c r="AA21" s="3">
        <f ca="1">IFERROR(__xludf.DUMMYFUNCTION("""COMPUTED_VALUE"""),1435)</f>
        <v>1435</v>
      </c>
      <c r="AB21" s="3">
        <f ca="1">IFERROR(__xludf.DUMMYFUNCTION("""COMPUTED_VALUE"""),1)</f>
        <v>1</v>
      </c>
      <c r="AC21" s="3">
        <f ca="1">IFERROR(__xludf.DUMMYFUNCTION("""COMPUTED_VALUE"""),19)</f>
        <v>19</v>
      </c>
      <c r="AD21" s="3"/>
      <c r="AE21" s="3" t="str">
        <f ca="1">IFERROR(__xludf.DUMMYFUNCTION("""COMPUTED_VALUE"""),"2055-06-07T10:33:35.994888Z")</f>
        <v>2055-06-07T10:33:35.994888Z</v>
      </c>
      <c r="AF21" s="3" t="str">
        <f ca="1">IFERROR(__xludf.DUMMYFUNCTION("""COMPUTED_VALUE"""),"2055-06-07T10:57:30.713153Z")</f>
        <v>2055-06-07T10:57:30.713153Z</v>
      </c>
      <c r="AG21" s="3" t="str">
        <f ca="1">IFERROR(__xludf.DUMMYFUNCTION("""COMPUTED_VALUE"""),"2055-06-07T09:50:14.118263Z")</f>
        <v>2055-06-07T09:50:14.118263Z</v>
      </c>
      <c r="AH21" s="3" t="str">
        <f ca="1">IFERROR(__xludf.DUMMYFUNCTION("""COMPUTED_VALUE"""),"2055-06-07T09:50:33.323279Z")</f>
        <v>2055-06-07T09:50:33.323279Z</v>
      </c>
      <c r="AI21" s="3">
        <f ca="1">IFERROR(__xludf.DUMMYFUNCTION("""COMPUTED_VALUE"""),3.82)</f>
        <v>3.82</v>
      </c>
      <c r="AJ21" s="3">
        <f ca="1">IFERROR(__xludf.DUMMYFUNCTION("""COMPUTED_VALUE"""),174)</f>
        <v>174</v>
      </c>
      <c r="AK21" s="3">
        <f ca="1">IFERROR(__xludf.DUMMYFUNCTION("""COMPUTED_VALUE"""),773)</f>
        <v>773</v>
      </c>
      <c r="AL21" s="3"/>
    </row>
    <row r="22" spans="1:38" ht="15" customHeight="1">
      <c r="A22" s="3">
        <f ca="1">IFERROR(__xludf.DUMMYFUNCTION("""COMPUTED_VALUE"""),949)</f>
        <v>949</v>
      </c>
      <c r="B22" s="3">
        <f ca="1">IFERROR(__xludf.DUMMYFUNCTION("""COMPUTED_VALUE"""),1)</f>
        <v>1</v>
      </c>
      <c r="C22" s="3">
        <f ca="1">IFERROR(__xludf.DUMMYFUNCTION("""COMPUTED_VALUE"""),4050)</f>
        <v>4050</v>
      </c>
      <c r="D22" s="3" t="str">
        <f ca="1">IFERROR(__xludf.DUMMYFUNCTION("""COMPUTED_VALUE"""),"Doorlanta")</f>
        <v>Doorlanta</v>
      </c>
      <c r="E22" s="3" t="str">
        <f ca="1">IFERROR(__xludf.DUMMYFUNCTION("""COMPUTED_VALUE"""),"Galaxy A")</f>
        <v>Galaxy A</v>
      </c>
      <c r="F22" s="3" t="str">
        <f ca="1">IFERROR(__xludf.DUMMYFUNCTION("""COMPUTED_VALUE"""),"Cate")</f>
        <v>Cate</v>
      </c>
      <c r="G22" s="3">
        <f ca="1">IFERROR(__xludf.DUMMYFUNCTION("""COMPUTED_VALUE"""),0)</f>
        <v>0</v>
      </c>
      <c r="H22" s="3" t="str">
        <f ca="1">IFERROR(__xludf.DUMMYFUNCTION("""COMPUTED_VALUE"""),"car")</f>
        <v>car</v>
      </c>
      <c r="I22" s="3" t="str">
        <f ca="1">IFERROR(__xludf.DUMMYFUNCTION("""COMPUTED_VALUE"""),"2055-06-08T17:03:58.423933Z")</f>
        <v>2055-06-08T17:03:58.423933Z</v>
      </c>
      <c r="J22" s="3" t="str">
        <f ca="1">IFERROR(__xludf.DUMMYFUNCTION("""COMPUTED_VALUE"""),"2055-06-08T17:58:58.49Z")</f>
        <v>2055-06-08T17:58:58.49Z</v>
      </c>
      <c r="K22" s="3" t="str">
        <f ca="1">IFERROR(__xludf.DUMMYFUNCTION("""COMPUTED_VALUE"""),"2055-06-08T17:31:17.49Z")</f>
        <v>2055-06-08T17:31:17.49Z</v>
      </c>
      <c r="L22" s="3">
        <f ca="1">IFERROR(__xludf.DUMMYFUNCTION("""COMPUTED_VALUE"""),1)</f>
        <v>1</v>
      </c>
      <c r="M22" s="3">
        <f ca="1">IFERROR(__xludf.DUMMYFUNCTION("""COMPUTED_VALUE"""),0)</f>
        <v>0</v>
      </c>
      <c r="N22" s="3" t="str">
        <f ca="1">IFERROR(__xludf.DUMMYFUNCTION("""COMPUTED_VALUE"""),"2055-06-08T17:30:42.284657Z")</f>
        <v>2055-06-08T17:30:42.284657Z</v>
      </c>
      <c r="O22" s="3" t="str">
        <f ca="1">IFERROR(__xludf.DUMMYFUNCTION("""COMPUTED_VALUE"""),"2055-06-08T17:40:38.362483Z")</f>
        <v>2055-06-08T17:40:38.362483Z</v>
      </c>
      <c r="P22" s="3" t="str">
        <f ca="1">IFERROR(__xludf.DUMMYFUNCTION("""COMPUTED_VALUE"""),"2055-06-08T17:04:07.323219Z")</f>
        <v>2055-06-08T17:04:07.323219Z</v>
      </c>
      <c r="Q22" s="3">
        <f ca="1">IFERROR(__xludf.DUMMYFUNCTION("""COMPUTED_VALUE"""),0)</f>
        <v>0</v>
      </c>
      <c r="R22" s="3" t="str">
        <f ca="1">IFERROR(__xludf.DUMMYFUNCTION("""COMPUTED_VALUE"""),"2055-06-08T17:04:15.588968Z")</f>
        <v>2055-06-08T17:04:15.588968Z</v>
      </c>
      <c r="S22" s="3" t="str">
        <f ca="1">IFERROR(__xludf.DUMMYFUNCTION("""COMPUTED_VALUE"""),"2055-06-08T17:19:16.893874Z")</f>
        <v>2055-06-08T17:19:16.893874Z</v>
      </c>
      <c r="T22" s="3"/>
      <c r="U22" s="4">
        <f ca="1">IFERROR(__xludf.DUMMYFUNCTION("""COMPUTED_VALUE"""),56773)</f>
        <v>56773</v>
      </c>
      <c r="V22" s="3">
        <f ca="1">IFERROR(__xludf.DUMMYFUNCTION("""COMPUTED_VALUE"""),4.6)</f>
        <v>4.5999999999999996</v>
      </c>
      <c r="W22" s="3">
        <f ca="1">IFERROR(__xludf.DUMMYFUNCTION("""COMPUTED_VALUE"""),1000)</f>
        <v>1000</v>
      </c>
      <c r="X22" s="3">
        <f ca="1">IFERROR(__xludf.DUMMYFUNCTION("""COMPUTED_VALUE"""),2183)</f>
        <v>2183</v>
      </c>
      <c r="Y22" s="3">
        <f ca="1">IFERROR(__xludf.DUMMYFUNCTION("""COMPUTED_VALUE"""),901)</f>
        <v>901</v>
      </c>
      <c r="Z22" s="3">
        <f ca="1">IFERROR(__xludf.DUMMYFUNCTION("""COMPUTED_VALUE"""),686)</f>
        <v>686</v>
      </c>
      <c r="AA22" s="3">
        <f ca="1">IFERROR(__xludf.DUMMYFUNCTION("""COMPUTED_VALUE"""),596)</f>
        <v>596</v>
      </c>
      <c r="AB22" s="3">
        <f ca="1">IFERROR(__xludf.DUMMYFUNCTION("""COMPUTED_VALUE"""),0)</f>
        <v>0</v>
      </c>
      <c r="AC22" s="3">
        <f ca="1">IFERROR(__xludf.DUMMYFUNCTION("""COMPUTED_VALUE"""),13)</f>
        <v>13</v>
      </c>
      <c r="AD22" s="3" t="str">
        <f ca="1">IFERROR(__xludf.DUMMYFUNCTION("""COMPUTED_VALUE"""),"on time")</f>
        <v>on time</v>
      </c>
      <c r="AE22" s="3" t="str">
        <f ca="1">IFERROR(__xludf.DUMMYFUNCTION("""COMPUTED_VALUE"""),"2055-06-08T13:30:42.284657Z")</f>
        <v>2055-06-08T13:30:42.284657Z</v>
      </c>
      <c r="AF22" s="3" t="str">
        <f ca="1">IFERROR(__xludf.DUMMYFUNCTION("""COMPUTED_VALUE"""),"2055-06-08T13:40:38.362483Z")</f>
        <v>2055-06-08T13:40:38.362483Z</v>
      </c>
      <c r="AG22" s="3" t="str">
        <f ca="1">IFERROR(__xludf.DUMMYFUNCTION("""COMPUTED_VALUE"""),"2055-06-08T13:04:07.323219Z")</f>
        <v>2055-06-08T13:04:07.323219Z</v>
      </c>
      <c r="AH22" s="3" t="str">
        <f ca="1">IFERROR(__xludf.DUMMYFUNCTION("""COMPUTED_VALUE"""),"2055-06-08T13:19:16.893874Z")</f>
        <v>2055-06-08T13:19:16.893874Z</v>
      </c>
      <c r="AI22" s="3">
        <f ca="1">IFERROR(__xludf.DUMMYFUNCTION("""COMPUTED_VALUE"""),4.49)</f>
        <v>4.49</v>
      </c>
      <c r="AJ22" s="3">
        <f ca="1">IFERROR(__xludf.DUMMYFUNCTION("""COMPUTED_VALUE"""),2315)</f>
        <v>2315</v>
      </c>
      <c r="AK22" s="3">
        <f ca="1">IFERROR(__xludf.DUMMYFUNCTION("""COMPUTED_VALUE"""),7039)</f>
        <v>7039</v>
      </c>
      <c r="AL22" s="3">
        <f ca="1">IFERROR(__xludf.DUMMYFUNCTION("""COMPUTED_VALUE"""),763)</f>
        <v>763</v>
      </c>
    </row>
    <row r="23" spans="1:38" ht="15" customHeight="1">
      <c r="A23" s="3">
        <f ca="1">IFERROR(__xludf.DUMMYFUNCTION("""COMPUTED_VALUE"""),4)</f>
        <v>4</v>
      </c>
      <c r="B23" s="3">
        <f ca="1">IFERROR(__xludf.DUMMYFUNCTION("""COMPUTED_VALUE"""),5)</f>
        <v>5</v>
      </c>
      <c r="C23" s="3">
        <f ca="1">IFERROR(__xludf.DUMMYFUNCTION("""COMPUTED_VALUE"""),4050)</f>
        <v>4050</v>
      </c>
      <c r="D23" s="3" t="str">
        <f ca="1">IFERROR(__xludf.DUMMYFUNCTION("""COMPUTED_VALUE"""),"Doorlanta")</f>
        <v>Doorlanta</v>
      </c>
      <c r="E23" s="3" t="str">
        <f ca="1">IFERROR(__xludf.DUMMYFUNCTION("""COMPUTED_VALUE"""),"Galaxy A")</f>
        <v>Galaxy A</v>
      </c>
      <c r="F23" s="3" t="str">
        <f ca="1">IFERROR(__xludf.DUMMYFUNCTION("""COMPUTED_VALUE"""),"Matt")</f>
        <v>Matt</v>
      </c>
      <c r="G23" s="3">
        <f ca="1">IFERROR(__xludf.DUMMYFUNCTION("""COMPUTED_VALUE"""),0)</f>
        <v>0</v>
      </c>
      <c r="H23" s="3" t="str">
        <f ca="1">IFERROR(__xludf.DUMMYFUNCTION("""COMPUTED_VALUE"""),"car")</f>
        <v>car</v>
      </c>
      <c r="I23" s="3" t="str">
        <f ca="1">IFERROR(__xludf.DUMMYFUNCTION("""COMPUTED_VALUE"""),"2055-06-01T14:23:25.582144Z")</f>
        <v>2055-06-01T14:23:25.582144Z</v>
      </c>
      <c r="J23" s="3" t="str">
        <f ca="1">IFERROR(__xludf.DUMMYFUNCTION("""COMPUTED_VALUE"""),"2055-06-01T15:18:25.659Z")</f>
        <v>2055-06-01T15:18:25.659Z</v>
      </c>
      <c r="K23" s="3" t="str">
        <f ca="1">IFERROR(__xludf.DUMMYFUNCTION("""COMPUTED_VALUE"""),"2055-06-01T14:56:28.659Z")</f>
        <v>2055-06-01T14:56:28.659Z</v>
      </c>
      <c r="L23" s="3">
        <f ca="1">IFERROR(__xludf.DUMMYFUNCTION("""COMPUTED_VALUE"""),1)</f>
        <v>1</v>
      </c>
      <c r="M23" s="3">
        <f ca="1">IFERROR(__xludf.DUMMYFUNCTION("""COMPUTED_VALUE"""),0)</f>
        <v>0</v>
      </c>
      <c r="N23" s="3" t="str">
        <f ca="1">IFERROR(__xludf.DUMMYFUNCTION("""COMPUTED_VALUE"""),"2055-06-01T15:42:29.641268Z")</f>
        <v>2055-06-01T15:42:29.641268Z</v>
      </c>
      <c r="O23" s="3" t="str">
        <f ca="1">IFERROR(__xludf.DUMMYFUNCTION("""COMPUTED_VALUE"""),"2055-06-01T15:57:28.896504Z")</f>
        <v>2055-06-01T15:57:28.896504Z</v>
      </c>
      <c r="P23" s="3" t="str">
        <f ca="1">IFERROR(__xludf.DUMMYFUNCTION("""COMPUTED_VALUE"""),"2055-06-01T14:25:07.246323Z")</f>
        <v>2055-06-01T14:25:07.246323Z</v>
      </c>
      <c r="Q23" s="3">
        <f ca="1">IFERROR(__xludf.DUMMYFUNCTION("""COMPUTED_VALUE"""),0)</f>
        <v>0</v>
      </c>
      <c r="R23" s="3" t="str">
        <f ca="1">IFERROR(__xludf.DUMMYFUNCTION("""COMPUTED_VALUE"""),"2055-06-01T14:25:22.663283Z")</f>
        <v>2055-06-01T14:25:22.663283Z</v>
      </c>
      <c r="S23" s="3" t="str">
        <f ca="1">IFERROR(__xludf.DUMMYFUNCTION("""COMPUTED_VALUE"""),"2055-06-01T15:31:06.908633Z")</f>
        <v>2055-06-01T15:31:06.908633Z</v>
      </c>
      <c r="T23" s="3"/>
      <c r="U23" s="4">
        <f ca="1">IFERROR(__xludf.DUMMYFUNCTION("""COMPUTED_VALUE"""),56766)</f>
        <v>56766</v>
      </c>
      <c r="V23" s="3">
        <f ca="1">IFERROR(__xludf.DUMMYFUNCTION("""COMPUTED_VALUE"""),4.3)</f>
        <v>4.3</v>
      </c>
      <c r="W23" s="3">
        <f ca="1">IFERROR(__xludf.DUMMYFUNCTION("""COMPUTED_VALUE"""),1000)</f>
        <v>1000</v>
      </c>
      <c r="X23" s="3">
        <f ca="1">IFERROR(__xludf.DUMMYFUNCTION("""COMPUTED_VALUE"""),5526)</f>
        <v>5526</v>
      </c>
      <c r="Y23" s="3">
        <f ca="1">IFERROR(__xludf.DUMMYFUNCTION("""COMPUTED_VALUE"""),3944)</f>
        <v>3944</v>
      </c>
      <c r="Z23" s="3">
        <f ca="1">IFERROR(__xludf.DUMMYFUNCTION("""COMPUTED_VALUE"""),683)</f>
        <v>683</v>
      </c>
      <c r="AA23" s="3">
        <f ca="1">IFERROR(__xludf.DUMMYFUNCTION("""COMPUTED_VALUE"""),899)</f>
        <v>899</v>
      </c>
      <c r="AB23" s="3">
        <f ca="1">IFERROR(__xludf.DUMMYFUNCTION("""COMPUTED_VALUE"""),0)</f>
        <v>0</v>
      </c>
      <c r="AC23" s="3">
        <f ca="1">IFERROR(__xludf.DUMMYFUNCTION("""COMPUTED_VALUE"""),11)</f>
        <v>11</v>
      </c>
      <c r="AD23" s="3" t="str">
        <f ca="1">IFERROR(__xludf.DUMMYFUNCTION("""COMPUTED_VALUE"""),"late")</f>
        <v>late</v>
      </c>
      <c r="AE23" s="3" t="str">
        <f ca="1">IFERROR(__xludf.DUMMYFUNCTION("""COMPUTED_VALUE"""),"2055-06-01T11:42:29.641268Z")</f>
        <v>2055-06-01T11:42:29.641268Z</v>
      </c>
      <c r="AF23" s="3" t="str">
        <f ca="1">IFERROR(__xludf.DUMMYFUNCTION("""COMPUTED_VALUE"""),"2055-06-01T11:57:28.896504Z")</f>
        <v>2055-06-01T11:57:28.896504Z</v>
      </c>
      <c r="AG23" s="3" t="str">
        <f ca="1">IFERROR(__xludf.DUMMYFUNCTION("""COMPUTED_VALUE"""),"2055-06-01T10:25:07.246323Z")</f>
        <v>2055-06-01T10:25:07.246323Z</v>
      </c>
      <c r="AH23" s="3" t="str">
        <f ca="1">IFERROR(__xludf.DUMMYFUNCTION("""COMPUTED_VALUE"""),"2055-06-01T11:31:06.908633Z")</f>
        <v>2055-06-01T11:31:06.908633Z</v>
      </c>
      <c r="AI23" s="3">
        <f ca="1">IFERROR(__xludf.DUMMYFUNCTION("""COMPUTED_VALUE"""),4.22)</f>
        <v>4.22</v>
      </c>
      <c r="AJ23" s="3">
        <f ca="1">IFERROR(__xludf.DUMMYFUNCTION("""COMPUTED_VALUE"""),1551)</f>
        <v>1551</v>
      </c>
      <c r="AK23" s="3">
        <f ca="1">IFERROR(__xludf.DUMMYFUNCTION("""COMPUTED_VALUE"""),4625)</f>
        <v>4625</v>
      </c>
      <c r="AL23" s="3"/>
    </row>
    <row r="24" spans="1:38" ht="15" customHeight="1">
      <c r="A24" s="3">
        <f ca="1">IFERROR(__xludf.DUMMYFUNCTION("""COMPUTED_VALUE"""),1551)</f>
        <v>1551</v>
      </c>
      <c r="B24" s="3">
        <f ca="1">IFERROR(__xludf.DUMMYFUNCTION("""COMPUTED_VALUE"""),4)</f>
        <v>4</v>
      </c>
      <c r="C24" s="3">
        <f ca="1">IFERROR(__xludf.DUMMYFUNCTION("""COMPUTED_VALUE"""),4001)</f>
        <v>4001</v>
      </c>
      <c r="D24" s="3" t="str">
        <f ca="1">IFERROR(__xludf.DUMMYFUNCTION("""COMPUTED_VALUE"""),"Dashattan")</f>
        <v>Dashattan</v>
      </c>
      <c r="E24" s="3" t="str">
        <f ca="1">IFERROR(__xludf.DUMMYFUNCTION("""COMPUTED_VALUE"""),"Galaxy A")</f>
        <v>Galaxy A</v>
      </c>
      <c r="F24" s="3" t="str">
        <f ca="1">IFERROR(__xludf.DUMMYFUNCTION("""COMPUTED_VALUE"""),"Sean")</f>
        <v>Sean</v>
      </c>
      <c r="G24" s="3">
        <f ca="1">IFERROR(__xludf.DUMMYFUNCTION("""COMPUTED_VALUE"""),0)</f>
        <v>0</v>
      </c>
      <c r="H24" s="3" t="str">
        <f ca="1">IFERROR(__xludf.DUMMYFUNCTION("""COMPUTED_VALUE"""),"bicycle")</f>
        <v>bicycle</v>
      </c>
      <c r="I24" s="3" t="str">
        <f ca="1">IFERROR(__xludf.DUMMYFUNCTION("""COMPUTED_VALUE"""),"2055-06-13T14:37:39.095965Z")</f>
        <v>2055-06-13T14:37:39.095965Z</v>
      </c>
      <c r="J24" s="3" t="str">
        <f ca="1">IFERROR(__xludf.DUMMYFUNCTION("""COMPUTED_VALUE"""),"2055-06-13T16:15:00Z")</f>
        <v>2055-06-13T16:15:00Z</v>
      </c>
      <c r="K24" s="3" t="str">
        <f ca="1">IFERROR(__xludf.DUMMYFUNCTION("""COMPUTED_VALUE"""),"2055-06-13T16:15:00Z")</f>
        <v>2055-06-13T16:15:00Z</v>
      </c>
      <c r="L24" s="3">
        <f ca="1">IFERROR(__xludf.DUMMYFUNCTION("""COMPUTED_VALUE"""),0)</f>
        <v>0</v>
      </c>
      <c r="M24" s="3">
        <f ca="1">IFERROR(__xludf.DUMMYFUNCTION("""COMPUTED_VALUE"""),0)</f>
        <v>0</v>
      </c>
      <c r="N24" s="3" t="str">
        <f ca="1">IFERROR(__xludf.DUMMYFUNCTION("""COMPUTED_VALUE"""),"2055-06-13T15:31:18.826114Z")</f>
        <v>2055-06-13T15:31:18.826114Z</v>
      </c>
      <c r="O24" s="3" t="str">
        <f ca="1">IFERROR(__xludf.DUMMYFUNCTION("""COMPUTED_VALUE"""),"2055-06-13T15:36:20.851883Z")</f>
        <v>2055-06-13T15:36:20.851883Z</v>
      </c>
      <c r="P24" s="3" t="str">
        <f ca="1">IFERROR(__xludf.DUMMYFUNCTION("""COMPUTED_VALUE"""),"2055-06-13T15:15:34.266911Z")</f>
        <v>2055-06-13T15:15:34.266911Z</v>
      </c>
      <c r="Q24" s="3">
        <f ca="1">IFERROR(__xludf.DUMMYFUNCTION("""COMPUTED_VALUE"""),0)</f>
        <v>0</v>
      </c>
      <c r="R24" s="3" t="str">
        <f ca="1">IFERROR(__xludf.DUMMYFUNCTION("""COMPUTED_VALUE"""),"2055-06-13T15:16:02.345147Z")</f>
        <v>2055-06-13T15:16:02.345147Z</v>
      </c>
      <c r="S24" s="3" t="str">
        <f ca="1">IFERROR(__xludf.DUMMYFUNCTION("""COMPUTED_VALUE"""),"2055-06-13T15:20:48.907935Z")</f>
        <v>2055-06-13T15:20:48.907935Z</v>
      </c>
      <c r="T24" s="3"/>
      <c r="U24" s="4">
        <f ca="1">IFERROR(__xludf.DUMMYFUNCTION("""COMPUTED_VALUE"""),56778)</f>
        <v>56778</v>
      </c>
      <c r="V24" s="3">
        <f ca="1">IFERROR(__xludf.DUMMYFUNCTION("""COMPUTED_VALUE"""),4.4)</f>
        <v>4.4000000000000004</v>
      </c>
      <c r="W24" s="3">
        <f ca="1">IFERROR(__xludf.DUMMYFUNCTION("""COMPUTED_VALUE"""),1000)</f>
        <v>1000</v>
      </c>
      <c r="X24" s="3">
        <f ca="1">IFERROR(__xludf.DUMMYFUNCTION("""COMPUTED_VALUE"""),1218)</f>
        <v>1218</v>
      </c>
      <c r="Y24" s="3">
        <f ca="1">IFERROR(__xludf.DUMMYFUNCTION("""COMPUTED_VALUE"""),286)</f>
        <v>286</v>
      </c>
      <c r="Z24" s="3">
        <f ca="1">IFERROR(__xludf.DUMMYFUNCTION("""COMPUTED_VALUE"""),630)</f>
        <v>630</v>
      </c>
      <c r="AA24" s="3">
        <f ca="1">IFERROR(__xludf.DUMMYFUNCTION("""COMPUTED_VALUE"""),302)</f>
        <v>302</v>
      </c>
      <c r="AB24" s="3">
        <f ca="1">IFERROR(__xludf.DUMMYFUNCTION("""COMPUTED_VALUE"""),0)</f>
        <v>0</v>
      </c>
      <c r="AC24" s="3">
        <f ca="1">IFERROR(__xludf.DUMMYFUNCTION("""COMPUTED_VALUE"""),12)</f>
        <v>12</v>
      </c>
      <c r="AD24" s="3" t="str">
        <f ca="1">IFERROR(__xludf.DUMMYFUNCTION("""COMPUTED_VALUE"""),"early")</f>
        <v>early</v>
      </c>
      <c r="AE24" s="3" t="str">
        <f ca="1">IFERROR(__xludf.DUMMYFUNCTION("""COMPUTED_VALUE"""),"2055-06-13T11:31:18.826114Z")</f>
        <v>2055-06-13T11:31:18.826114Z</v>
      </c>
      <c r="AF24" s="3" t="str">
        <f ca="1">IFERROR(__xludf.DUMMYFUNCTION("""COMPUTED_VALUE"""),"2055-06-13T11:36:20.851883Z")</f>
        <v>2055-06-13T11:36:20.851883Z</v>
      </c>
      <c r="AG24" s="3" t="str">
        <f ca="1">IFERROR(__xludf.DUMMYFUNCTION("""COMPUTED_VALUE"""),"2055-06-13T11:15:34.266911Z")</f>
        <v>2055-06-13T11:15:34.266911Z</v>
      </c>
      <c r="AH24" s="3" t="str">
        <f ca="1">IFERROR(__xludf.DUMMYFUNCTION("""COMPUTED_VALUE"""),"2055-06-13T11:20:48.907935Z")</f>
        <v>2055-06-13T11:20:48.907935Z</v>
      </c>
      <c r="AI24" s="3">
        <f ca="1">IFERROR(__xludf.DUMMYFUNCTION("""COMPUTED_VALUE"""),4.52)</f>
        <v>4.5199999999999996</v>
      </c>
      <c r="AJ24" s="3">
        <f ca="1">IFERROR(__xludf.DUMMYFUNCTION("""COMPUTED_VALUE"""),183)</f>
        <v>183</v>
      </c>
      <c r="AK24" s="3">
        <f ca="1">IFERROR(__xludf.DUMMYFUNCTION("""COMPUTED_VALUE"""),522)</f>
        <v>522</v>
      </c>
      <c r="AL24" s="3"/>
    </row>
    <row r="25" spans="1:38" ht="15" customHeight="1">
      <c r="A25" s="3">
        <f ca="1">IFERROR(__xludf.DUMMYFUNCTION("""COMPUTED_VALUE"""),742)</f>
        <v>742</v>
      </c>
      <c r="B25" s="3"/>
      <c r="C25" s="3">
        <f ca="1">IFERROR(__xludf.DUMMYFUNCTION("""COMPUTED_VALUE"""),4050)</f>
        <v>4050</v>
      </c>
      <c r="D25" s="3" t="str">
        <f ca="1">IFERROR(__xludf.DUMMYFUNCTION("""COMPUTED_VALUE"""),"Doorlanta")</f>
        <v>Doorlanta</v>
      </c>
      <c r="E25" s="3" t="str">
        <f ca="1">IFERROR(__xludf.DUMMYFUNCTION("""COMPUTED_VALUE"""),"Galaxy A")</f>
        <v>Galaxy A</v>
      </c>
      <c r="F25" s="3" t="str">
        <f ca="1">IFERROR(__xludf.DUMMYFUNCTION("""COMPUTED_VALUE"""),"Katelynn")</f>
        <v>Katelynn</v>
      </c>
      <c r="G25" s="3">
        <f ca="1">IFERROR(__xludf.DUMMYFUNCTION("""COMPUTED_VALUE"""),0)</f>
        <v>0</v>
      </c>
      <c r="H25" s="3" t="str">
        <f ca="1">IFERROR(__xludf.DUMMYFUNCTION("""COMPUTED_VALUE"""),"car")</f>
        <v>car</v>
      </c>
      <c r="I25" s="3" t="str">
        <f ca="1">IFERROR(__xludf.DUMMYFUNCTION("""COMPUTED_VALUE"""),"2055-06-06T16:41:15.731402Z")</f>
        <v>2055-06-06T16:41:15.731402Z</v>
      </c>
      <c r="J25" s="3" t="str">
        <f ca="1">IFERROR(__xludf.DUMMYFUNCTION("""COMPUTED_VALUE"""),"2055-06-06T17:46:09.803Z")</f>
        <v>2055-06-06T17:46:09.803Z</v>
      </c>
      <c r="K25" s="3" t="str">
        <f ca="1">IFERROR(__xludf.DUMMYFUNCTION("""COMPUTED_VALUE"""),"2055-06-06T17:24:15.803Z")</f>
        <v>2055-06-06T17:24:15.803Z</v>
      </c>
      <c r="L25" s="3">
        <f ca="1">IFERROR(__xludf.DUMMYFUNCTION("""COMPUTED_VALUE"""),1)</f>
        <v>1</v>
      </c>
      <c r="M25" s="3">
        <f ca="1">IFERROR(__xludf.DUMMYFUNCTION("""COMPUTED_VALUE"""),0)</f>
        <v>0</v>
      </c>
      <c r="N25" s="3" t="str">
        <f ca="1">IFERROR(__xludf.DUMMYFUNCTION("""COMPUTED_VALUE"""),"2055-06-06T17:22:53.925846Z")</f>
        <v>2055-06-06T17:22:53.925846Z</v>
      </c>
      <c r="O25" s="3" t="str">
        <f ca="1">IFERROR(__xludf.DUMMYFUNCTION("""COMPUTED_VALUE"""),"2055-06-06T17:44:01.921308Z")</f>
        <v>2055-06-06T17:44:01.921308Z</v>
      </c>
      <c r="P25" s="3" t="str">
        <f ca="1">IFERROR(__xludf.DUMMYFUNCTION("""COMPUTED_VALUE"""),"2055-06-06T16:51:07.274373Z")</f>
        <v>2055-06-06T16:51:07.274373Z</v>
      </c>
      <c r="Q25" s="3">
        <f ca="1">IFERROR(__xludf.DUMMYFUNCTION("""COMPUTED_VALUE"""),0)</f>
        <v>0</v>
      </c>
      <c r="R25" s="3" t="str">
        <f ca="1">IFERROR(__xludf.DUMMYFUNCTION("""COMPUTED_VALUE"""),"2055-06-06T16:51:11.550738Z")</f>
        <v>2055-06-06T16:51:11.550738Z</v>
      </c>
      <c r="S25" s="3" t="str">
        <f ca="1">IFERROR(__xludf.DUMMYFUNCTION("""COMPUTED_VALUE"""),"2055-06-06T17:08:32.499641Z")</f>
        <v>2055-06-06T17:08:32.499641Z</v>
      </c>
      <c r="T25" s="3"/>
      <c r="U25" s="4">
        <f ca="1">IFERROR(__xludf.DUMMYFUNCTION("""COMPUTED_VALUE"""),56771)</f>
        <v>56771</v>
      </c>
      <c r="V25" s="3">
        <f ca="1">IFERROR(__xludf.DUMMYFUNCTION("""COMPUTED_VALUE"""),4.5)</f>
        <v>4.5</v>
      </c>
      <c r="W25" s="3">
        <f ca="1">IFERROR(__xludf.DUMMYFUNCTION("""COMPUTED_VALUE"""),1000)</f>
        <v>1000</v>
      </c>
      <c r="X25" s="3">
        <f ca="1">IFERROR(__xludf.DUMMYFUNCTION("""COMPUTED_VALUE"""),3170)</f>
        <v>3170</v>
      </c>
      <c r="Y25" s="3">
        <f ca="1">IFERROR(__xludf.DUMMYFUNCTION("""COMPUTED_VALUE"""),1041)</f>
        <v>1041</v>
      </c>
      <c r="Z25" s="3">
        <f ca="1">IFERROR(__xludf.DUMMYFUNCTION("""COMPUTED_VALUE"""),861)</f>
        <v>861</v>
      </c>
      <c r="AA25" s="3">
        <f ca="1">IFERROR(__xludf.DUMMYFUNCTION("""COMPUTED_VALUE"""),1268)</f>
        <v>1268</v>
      </c>
      <c r="AB25" s="3">
        <f ca="1">IFERROR(__xludf.DUMMYFUNCTION("""COMPUTED_VALUE"""),0)</f>
        <v>0</v>
      </c>
      <c r="AC25" s="3">
        <f ca="1">IFERROR(__xludf.DUMMYFUNCTION("""COMPUTED_VALUE"""),14)</f>
        <v>14</v>
      </c>
      <c r="AD25" s="3" t="str">
        <f ca="1">IFERROR(__xludf.DUMMYFUNCTION("""COMPUTED_VALUE"""),"late")</f>
        <v>late</v>
      </c>
      <c r="AE25" s="3" t="str">
        <f ca="1">IFERROR(__xludf.DUMMYFUNCTION("""COMPUTED_VALUE"""),"2055-06-06T13:22:53.925846Z")</f>
        <v>2055-06-06T13:22:53.925846Z</v>
      </c>
      <c r="AF25" s="3" t="str">
        <f ca="1">IFERROR(__xludf.DUMMYFUNCTION("""COMPUTED_VALUE"""),"2055-06-06T13:44:01.921308Z")</f>
        <v>2055-06-06T13:44:01.921308Z</v>
      </c>
      <c r="AG25" s="3" t="str">
        <f ca="1">IFERROR(__xludf.DUMMYFUNCTION("""COMPUTED_VALUE"""),"2055-06-06T12:51:07.274373Z")</f>
        <v>2055-06-06T12:51:07.274373Z</v>
      </c>
      <c r="AH25" s="3" t="str">
        <f ca="1">IFERROR(__xludf.DUMMYFUNCTION("""COMPUTED_VALUE"""),"2055-06-06T13:08:32.499641Z")</f>
        <v>2055-06-06T13:08:32.499641Z</v>
      </c>
      <c r="AI25" s="3">
        <f ca="1">IFERROR(__xludf.DUMMYFUNCTION("""COMPUTED_VALUE"""),4.7)</f>
        <v>4.7</v>
      </c>
      <c r="AJ25" s="3">
        <f ca="1">IFERROR(__xludf.DUMMYFUNCTION("""COMPUTED_VALUE"""),1261)</f>
        <v>1261</v>
      </c>
      <c r="AK25" s="3">
        <f ca="1">IFERROR(__xludf.DUMMYFUNCTION("""COMPUTED_VALUE"""),3264)</f>
        <v>3264</v>
      </c>
      <c r="AL25" s="3">
        <f ca="1">IFERROR(__xludf.DUMMYFUNCTION("""COMPUTED_VALUE"""),232)</f>
        <v>232</v>
      </c>
    </row>
    <row r="26" spans="1:38" ht="15" customHeight="1">
      <c r="A26" s="3">
        <f ca="1">IFERROR(__xludf.DUMMYFUNCTION("""COMPUTED_VALUE"""),361)</f>
        <v>361</v>
      </c>
      <c r="B26" s="3">
        <f ca="1">IFERROR(__xludf.DUMMYFUNCTION("""COMPUTED_VALUE"""),3)</f>
        <v>3</v>
      </c>
      <c r="C26" s="3">
        <f ca="1">IFERROR(__xludf.DUMMYFUNCTION("""COMPUTED_VALUE"""),4050)</f>
        <v>4050</v>
      </c>
      <c r="D26" s="3" t="str">
        <f ca="1">IFERROR(__xludf.DUMMYFUNCTION("""COMPUTED_VALUE"""),"Doorlanta")</f>
        <v>Doorlanta</v>
      </c>
      <c r="E26" s="3" t="str">
        <f ca="1">IFERROR(__xludf.DUMMYFUNCTION("""COMPUTED_VALUE"""),"Galaxy A")</f>
        <v>Galaxy A</v>
      </c>
      <c r="F26" s="3" t="str">
        <f ca="1">IFERROR(__xludf.DUMMYFUNCTION("""COMPUTED_VALUE"""),"Lauran")</f>
        <v>Lauran</v>
      </c>
      <c r="G26" s="3">
        <f ca="1">IFERROR(__xludf.DUMMYFUNCTION("""COMPUTED_VALUE"""),0)</f>
        <v>0</v>
      </c>
      <c r="H26" s="3" t="str">
        <f ca="1">IFERROR(__xludf.DUMMYFUNCTION("""COMPUTED_VALUE"""),"car")</f>
        <v>car</v>
      </c>
      <c r="I26" s="3" t="str">
        <f ca="1">IFERROR(__xludf.DUMMYFUNCTION("""COMPUTED_VALUE"""),"2055-06-03T23:15:25.883303Z")</f>
        <v>2055-06-03T23:15:25.883303Z</v>
      </c>
      <c r="J26" s="3" t="str">
        <f ca="1">IFERROR(__xludf.DUMMYFUNCTION("""COMPUTED_VALUE"""),"2055-06-04T00:16:53.959Z")</f>
        <v>2055-06-04T00:16:53.959Z</v>
      </c>
      <c r="K26" s="3" t="str">
        <f ca="1">IFERROR(__xludf.DUMMYFUNCTION("""COMPUTED_VALUE"""),"2055-06-03T23:58:00.959Z")</f>
        <v>2055-06-03T23:58:00.959Z</v>
      </c>
      <c r="L26" s="3">
        <f ca="1">IFERROR(__xludf.DUMMYFUNCTION("""COMPUTED_VALUE"""),1)</f>
        <v>1</v>
      </c>
      <c r="M26" s="3">
        <f ca="1">IFERROR(__xludf.DUMMYFUNCTION("""COMPUTED_VALUE"""),0)</f>
        <v>0</v>
      </c>
      <c r="N26" s="3" t="str">
        <f ca="1">IFERROR(__xludf.DUMMYFUNCTION("""COMPUTED_VALUE"""),"2055-06-03T23:59:19.549565Z")</f>
        <v>2055-06-03T23:59:19.549565Z</v>
      </c>
      <c r="O26" s="3" t="str">
        <f ca="1">IFERROR(__xludf.DUMMYFUNCTION("""COMPUTED_VALUE"""),"2055-06-04T00:15:50.983126Z")</f>
        <v>2055-06-04T00:15:50.983126Z</v>
      </c>
      <c r="P26" s="3" t="str">
        <f ca="1">IFERROR(__xludf.DUMMYFUNCTION("""COMPUTED_VALUE"""),"2055-06-03T23:15:47.365112Z")</f>
        <v>2055-06-03T23:15:47.365112Z</v>
      </c>
      <c r="Q26" s="3">
        <f ca="1">IFERROR(__xludf.DUMMYFUNCTION("""COMPUTED_VALUE"""),0)</f>
        <v>0</v>
      </c>
      <c r="R26" s="3" t="str">
        <f ca="1">IFERROR(__xludf.DUMMYFUNCTION("""COMPUTED_VALUE"""),"2055-06-03T23:15:52.523686Z")</f>
        <v>2055-06-03T23:15:52.523686Z</v>
      </c>
      <c r="S26" s="3" t="str">
        <f ca="1">IFERROR(__xludf.DUMMYFUNCTION("""COMPUTED_VALUE"""),"2055-06-03T23:21:10.238683Z")</f>
        <v>2055-06-03T23:21:10.238683Z</v>
      </c>
      <c r="T26" s="3"/>
      <c r="U26" s="4">
        <f ca="1">IFERROR(__xludf.DUMMYFUNCTION("""COMPUTED_VALUE"""),56768)</f>
        <v>56768</v>
      </c>
      <c r="V26" s="3">
        <f ca="1">IFERROR(__xludf.DUMMYFUNCTION("""COMPUTED_VALUE"""),4.5)</f>
        <v>4.5</v>
      </c>
      <c r="W26" s="3">
        <f ca="1">IFERROR(__xludf.DUMMYFUNCTION("""COMPUTED_VALUE"""),1000)</f>
        <v>1000</v>
      </c>
      <c r="X26" s="3">
        <f ca="1">IFERROR(__xludf.DUMMYFUNCTION("""COMPUTED_VALUE"""),3598)</f>
        <v>3598</v>
      </c>
      <c r="Y26" s="3">
        <f ca="1">IFERROR(__xludf.DUMMYFUNCTION("""COMPUTED_VALUE"""),318)</f>
        <v>318</v>
      </c>
      <c r="Z26" s="3">
        <f ca="1">IFERROR(__xludf.DUMMYFUNCTION("""COMPUTED_VALUE"""),2289)</f>
        <v>2289</v>
      </c>
      <c r="AA26" s="3">
        <f ca="1">IFERROR(__xludf.DUMMYFUNCTION("""COMPUTED_VALUE"""),991)</f>
        <v>991</v>
      </c>
      <c r="AB26" s="3">
        <f ca="1">IFERROR(__xludf.DUMMYFUNCTION("""COMPUTED_VALUE"""),0)</f>
        <v>0</v>
      </c>
      <c r="AC26" s="3">
        <f ca="1">IFERROR(__xludf.DUMMYFUNCTION("""COMPUTED_VALUE"""),4)</f>
        <v>4</v>
      </c>
      <c r="AD26" s="3" t="str">
        <f ca="1">IFERROR(__xludf.DUMMYFUNCTION("""COMPUTED_VALUE"""),"early")</f>
        <v>early</v>
      </c>
      <c r="AE26" s="3" t="str">
        <f ca="1">IFERROR(__xludf.DUMMYFUNCTION("""COMPUTED_VALUE"""),"2055-06-03T19:59:19.549565Z")</f>
        <v>2055-06-03T19:59:19.549565Z</v>
      </c>
      <c r="AF26" s="3" t="str">
        <f ca="1">IFERROR(__xludf.DUMMYFUNCTION("""COMPUTED_VALUE"""),"2055-06-03T20:15:50.983126Z")</f>
        <v>2055-06-03T20:15:50.983126Z</v>
      </c>
      <c r="AG26" s="3" t="str">
        <f ca="1">IFERROR(__xludf.DUMMYFUNCTION("""COMPUTED_VALUE"""),"2055-06-03T19:15:47.365112Z")</f>
        <v>2055-06-03T19:15:47.365112Z</v>
      </c>
      <c r="AH26" s="3" t="str">
        <f ca="1">IFERROR(__xludf.DUMMYFUNCTION("""COMPUTED_VALUE"""),"2055-06-03T19:21:10.238683Z")</f>
        <v>2055-06-03T19:21:10.238683Z</v>
      </c>
      <c r="AI26" s="3">
        <f ca="1">IFERROR(__xludf.DUMMYFUNCTION("""COMPUTED_VALUE"""),4.42)</f>
        <v>4.42</v>
      </c>
      <c r="AJ26" s="3">
        <f ca="1">IFERROR(__xludf.DUMMYFUNCTION("""COMPUTED_VALUE"""),1396)</f>
        <v>1396</v>
      </c>
      <c r="AK26" s="3">
        <f ca="1">IFERROR(__xludf.DUMMYFUNCTION("""COMPUTED_VALUE"""),4836)</f>
        <v>4836</v>
      </c>
      <c r="AL26" s="3">
        <f ca="1">IFERROR(__xludf.DUMMYFUNCTION("""COMPUTED_VALUE"""),1278)</f>
        <v>1278</v>
      </c>
    </row>
    <row r="27" spans="1:38" ht="15" customHeight="1">
      <c r="A27" s="3">
        <f ca="1">IFERROR(__xludf.DUMMYFUNCTION("""COMPUTED_VALUE"""),36)</f>
        <v>36</v>
      </c>
      <c r="B27" s="3"/>
      <c r="C27" s="3">
        <f ca="1">IFERROR(__xludf.DUMMYFUNCTION("""COMPUTED_VALUE"""),4001)</f>
        <v>4001</v>
      </c>
      <c r="D27" s="3" t="str">
        <f ca="1">IFERROR(__xludf.DUMMYFUNCTION("""COMPUTED_VALUE"""),"Dashattan")</f>
        <v>Dashattan</v>
      </c>
      <c r="E27" s="3" t="str">
        <f ca="1">IFERROR(__xludf.DUMMYFUNCTION("""COMPUTED_VALUE"""),"Galaxy A")</f>
        <v>Galaxy A</v>
      </c>
      <c r="F27" s="3" t="str">
        <f ca="1">IFERROR(__xludf.DUMMYFUNCTION("""COMPUTED_VALUE"""),"KC")</f>
        <v>KC</v>
      </c>
      <c r="G27" s="3">
        <f ca="1">IFERROR(__xludf.DUMMYFUNCTION("""COMPUTED_VALUE"""),0)</f>
        <v>0</v>
      </c>
      <c r="H27" s="3" t="str">
        <f ca="1">IFERROR(__xludf.DUMMYFUNCTION("""COMPUTED_VALUE"""),"car")</f>
        <v>car</v>
      </c>
      <c r="I27" s="3" t="str">
        <f ca="1">IFERROR(__xludf.DUMMYFUNCTION("""COMPUTED_VALUE"""),"2055-06-01T21:01:04.209755Z")</f>
        <v>2055-06-01T21:01:04.209755Z</v>
      </c>
      <c r="J27" s="3" t="str">
        <f ca="1">IFERROR(__xludf.DUMMYFUNCTION("""COMPUTED_VALUE"""),"2055-06-02T15:30:00Z")</f>
        <v>2055-06-02T15:30:00Z</v>
      </c>
      <c r="K27" s="3" t="str">
        <f ca="1">IFERROR(__xludf.DUMMYFUNCTION("""COMPUTED_VALUE"""),"2055-06-02T15:30:00Z")</f>
        <v>2055-06-02T15:30:00Z</v>
      </c>
      <c r="L27" s="3">
        <f ca="1">IFERROR(__xludf.DUMMYFUNCTION("""COMPUTED_VALUE"""),0)</f>
        <v>0</v>
      </c>
      <c r="M27" s="3">
        <f ca="1">IFERROR(__xludf.DUMMYFUNCTION("""COMPUTED_VALUE"""),0)</f>
        <v>0</v>
      </c>
      <c r="N27" s="3" t="str">
        <f ca="1">IFERROR(__xludf.DUMMYFUNCTION("""COMPUTED_VALUE"""),"2055-06-02T14:48:48.937943Z")</f>
        <v>2055-06-02T14:48:48.937943Z</v>
      </c>
      <c r="O27" s="3" t="str">
        <f ca="1">IFERROR(__xludf.DUMMYFUNCTION("""COMPUTED_VALUE"""),"2055-06-02T15:08:40.224318Z")</f>
        <v>2055-06-02T15:08:40.224318Z</v>
      </c>
      <c r="P27" s="3" t="str">
        <f ca="1">IFERROR(__xludf.DUMMYFUNCTION("""COMPUTED_VALUE"""),"2055-06-02T14:30:14.230927Z")</f>
        <v>2055-06-02T14:30:14.230927Z</v>
      </c>
      <c r="Q27" s="3">
        <f ca="1">IFERROR(__xludf.DUMMYFUNCTION("""COMPUTED_VALUE"""),0)</f>
        <v>0</v>
      </c>
      <c r="R27" s="3" t="str">
        <f ca="1">IFERROR(__xludf.DUMMYFUNCTION("""COMPUTED_VALUE"""),"2055-06-02T14:30:28.58113Z")</f>
        <v>2055-06-02T14:30:28.58113Z</v>
      </c>
      <c r="S27" s="3" t="str">
        <f ca="1">IFERROR(__xludf.DUMMYFUNCTION("""COMPUTED_VALUE"""),"2055-06-02T14:41:27.462278Z")</f>
        <v>2055-06-02T14:41:27.462278Z</v>
      </c>
      <c r="T27" s="3"/>
      <c r="U27" s="4">
        <f ca="1">IFERROR(__xludf.DUMMYFUNCTION("""COMPUTED_VALUE"""),56767)</f>
        <v>56767</v>
      </c>
      <c r="V27" s="3">
        <f ca="1">IFERROR(__xludf.DUMMYFUNCTION("""COMPUTED_VALUE"""),4.4)</f>
        <v>4.4000000000000004</v>
      </c>
      <c r="W27" s="3">
        <f ca="1">IFERROR(__xludf.DUMMYFUNCTION("""COMPUTED_VALUE"""),1000)</f>
        <v>1000</v>
      </c>
      <c r="X27" s="3">
        <f ca="1">IFERROR(__xludf.DUMMYFUNCTION("""COMPUTED_VALUE"""),2292)</f>
        <v>2292</v>
      </c>
      <c r="Y27" s="3">
        <f ca="1">IFERROR(__xludf.DUMMYFUNCTION("""COMPUTED_VALUE"""),659)</f>
        <v>659</v>
      </c>
      <c r="Z27" s="3">
        <f ca="1">IFERROR(__xludf.DUMMYFUNCTION("""COMPUTED_VALUE"""),441)</f>
        <v>441</v>
      </c>
      <c r="AA27" s="3">
        <f ca="1">IFERROR(__xludf.DUMMYFUNCTION("""COMPUTED_VALUE"""),1192)</f>
        <v>1192</v>
      </c>
      <c r="AB27" s="3">
        <f ca="1">IFERROR(__xludf.DUMMYFUNCTION("""COMPUTED_VALUE"""),0)</f>
        <v>0</v>
      </c>
      <c r="AC27" s="3">
        <f ca="1">IFERROR(__xludf.DUMMYFUNCTION("""COMPUTED_VALUE"""),11)</f>
        <v>11</v>
      </c>
      <c r="AD27" s="3" t="str">
        <f ca="1">IFERROR(__xludf.DUMMYFUNCTION("""COMPUTED_VALUE"""),"on time")</f>
        <v>on time</v>
      </c>
      <c r="AE27" s="3" t="str">
        <f ca="1">IFERROR(__xludf.DUMMYFUNCTION("""COMPUTED_VALUE"""),"2055-06-02T10:48:48.937943Z")</f>
        <v>2055-06-02T10:48:48.937943Z</v>
      </c>
      <c r="AF27" s="3" t="str">
        <f ca="1">IFERROR(__xludf.DUMMYFUNCTION("""COMPUTED_VALUE"""),"2055-06-02T11:08:40.224318Z")</f>
        <v>2055-06-02T11:08:40.224318Z</v>
      </c>
      <c r="AG27" s="3" t="str">
        <f ca="1">IFERROR(__xludf.DUMMYFUNCTION("""COMPUTED_VALUE"""),"2055-06-02T10:30:14.230927Z")</f>
        <v>2055-06-02T10:30:14.230927Z</v>
      </c>
      <c r="AH27" s="3" t="str">
        <f ca="1">IFERROR(__xludf.DUMMYFUNCTION("""COMPUTED_VALUE"""),"2055-06-02T10:41:27.462278Z")</f>
        <v>2055-06-02T10:41:27.462278Z</v>
      </c>
      <c r="AI27" s="3">
        <f ca="1">IFERROR(__xludf.DUMMYFUNCTION("""COMPUTED_VALUE"""),4.54)</f>
        <v>4.54</v>
      </c>
      <c r="AJ27" s="3">
        <f ca="1">IFERROR(__xludf.DUMMYFUNCTION("""COMPUTED_VALUE"""),2229)</f>
        <v>2229</v>
      </c>
      <c r="AK27" s="3">
        <f ca="1">IFERROR(__xludf.DUMMYFUNCTION("""COMPUTED_VALUE"""),6580)</f>
        <v>6580</v>
      </c>
      <c r="AL27" s="3"/>
    </row>
    <row r="28" spans="1:38" ht="15" customHeight="1">
      <c r="A28" s="3">
        <f ca="1">IFERROR(__xludf.DUMMYFUNCTION("""COMPUTED_VALUE"""),271)</f>
        <v>271</v>
      </c>
      <c r="B28" s="3"/>
      <c r="C28" s="3">
        <f ca="1">IFERROR(__xludf.DUMMYFUNCTION("""COMPUTED_VALUE"""),4001)</f>
        <v>4001</v>
      </c>
      <c r="D28" s="3" t="str">
        <f ca="1">IFERROR(__xludf.DUMMYFUNCTION("""COMPUTED_VALUE"""),"Dashattan")</f>
        <v>Dashattan</v>
      </c>
      <c r="E28" s="3" t="str">
        <f ca="1">IFERROR(__xludf.DUMMYFUNCTION("""COMPUTED_VALUE"""),"Galaxy A")</f>
        <v>Galaxy A</v>
      </c>
      <c r="F28" s="3" t="str">
        <f ca="1">IFERROR(__xludf.DUMMYFUNCTION("""COMPUTED_VALUE"""),"Sean")</f>
        <v>Sean</v>
      </c>
      <c r="G28" s="3">
        <f ca="1">IFERROR(__xludf.DUMMYFUNCTION("""COMPUTED_VALUE"""),0)</f>
        <v>0</v>
      </c>
      <c r="H28" s="3" t="str">
        <f ca="1">IFERROR(__xludf.DUMMYFUNCTION("""COMPUTED_VALUE"""),"bicycle")</f>
        <v>bicycle</v>
      </c>
      <c r="I28" s="3" t="str">
        <f ca="1">IFERROR(__xludf.DUMMYFUNCTION("""COMPUTED_VALUE"""),"2055-06-03T15:44:35.396375Z")</f>
        <v>2055-06-03T15:44:35.396375Z</v>
      </c>
      <c r="J28" s="3" t="str">
        <f ca="1">IFERROR(__xludf.DUMMYFUNCTION("""COMPUTED_VALUE"""),"2055-06-03T16:22:42.451Z")</f>
        <v>2055-06-03T16:22:42.451Z</v>
      </c>
      <c r="K28" s="3" t="str">
        <f ca="1">IFERROR(__xludf.DUMMYFUNCTION("""COMPUTED_VALUE"""),"2055-06-03T16:13:49.451Z")</f>
        <v>2055-06-03T16:13:49.451Z</v>
      </c>
      <c r="L28" s="3">
        <f ca="1">IFERROR(__xludf.DUMMYFUNCTION("""COMPUTED_VALUE"""),1)</f>
        <v>1</v>
      </c>
      <c r="M28" s="3">
        <f ca="1">IFERROR(__xludf.DUMMYFUNCTION("""COMPUTED_VALUE"""),0)</f>
        <v>0</v>
      </c>
      <c r="N28" s="3" t="str">
        <f ca="1">IFERROR(__xludf.DUMMYFUNCTION("""COMPUTED_VALUE"""),"2055-06-03T17:27:07.724355Z")</f>
        <v>2055-06-03T17:27:07.724355Z</v>
      </c>
      <c r="O28" s="3" t="str">
        <f ca="1">IFERROR(__xludf.DUMMYFUNCTION("""COMPUTED_VALUE"""),"2055-06-03T17:39:52.518053Z")</f>
        <v>2055-06-03T17:39:52.518053Z</v>
      </c>
      <c r="P28" s="3" t="str">
        <f ca="1">IFERROR(__xludf.DUMMYFUNCTION("""COMPUTED_VALUE"""),"2055-06-03T17:09:14.942128Z")</f>
        <v>2055-06-03T17:09:14.942128Z</v>
      </c>
      <c r="Q28" s="3">
        <f ca="1">IFERROR(__xludf.DUMMYFUNCTION("""COMPUTED_VALUE"""),0)</f>
        <v>0</v>
      </c>
      <c r="R28" s="3" t="str">
        <f ca="1">IFERROR(__xludf.DUMMYFUNCTION("""COMPUTED_VALUE"""),"2055-06-03T17:09:44.546634Z")</f>
        <v>2055-06-03T17:09:44.546634Z</v>
      </c>
      <c r="S28" s="3" t="str">
        <f ca="1">IFERROR(__xludf.DUMMYFUNCTION("""COMPUTED_VALUE"""),"2055-06-03T17:11:59.817956Z")</f>
        <v>2055-06-03T17:11:59.817956Z</v>
      </c>
      <c r="T28" s="3"/>
      <c r="U28" s="4">
        <f ca="1">IFERROR(__xludf.DUMMYFUNCTION("""COMPUTED_VALUE"""),56768)</f>
        <v>56768</v>
      </c>
      <c r="V28" s="3">
        <f ca="1">IFERROR(__xludf.DUMMYFUNCTION("""COMPUTED_VALUE"""),3.49339893)</f>
        <v>3.4933989300000001</v>
      </c>
      <c r="W28" s="3">
        <f ca="1">IFERROR(__xludf.DUMMYFUNCTION("""COMPUTED_VALUE"""),7500)</f>
        <v>7500</v>
      </c>
      <c r="X28" s="3">
        <f ca="1">IFERROR(__xludf.DUMMYFUNCTION("""COMPUTED_VALUE"""),1808)</f>
        <v>1808</v>
      </c>
      <c r="Y28" s="3">
        <f ca="1">IFERROR(__xludf.DUMMYFUNCTION("""COMPUTED_VALUE"""),135)</f>
        <v>135</v>
      </c>
      <c r="Z28" s="3">
        <f ca="1">IFERROR(__xludf.DUMMYFUNCTION("""COMPUTED_VALUE"""),908)</f>
        <v>908</v>
      </c>
      <c r="AA28" s="3">
        <f ca="1">IFERROR(__xludf.DUMMYFUNCTION("""COMPUTED_VALUE"""),765)</f>
        <v>765</v>
      </c>
      <c r="AB28" s="3">
        <f ca="1">IFERROR(__xludf.DUMMYFUNCTION("""COMPUTED_VALUE"""),1)</f>
        <v>1</v>
      </c>
      <c r="AC28" s="3">
        <f ca="1">IFERROR(__xludf.DUMMYFUNCTION("""COMPUTED_VALUE"""),13)</f>
        <v>13</v>
      </c>
      <c r="AD28" s="3"/>
      <c r="AE28" s="3" t="str">
        <f ca="1">IFERROR(__xludf.DUMMYFUNCTION("""COMPUTED_VALUE"""),"2055-06-03T13:27:07.724355Z")</f>
        <v>2055-06-03T13:27:07.724355Z</v>
      </c>
      <c r="AF28" s="3" t="str">
        <f ca="1">IFERROR(__xludf.DUMMYFUNCTION("""COMPUTED_VALUE"""),"2055-06-03T13:39:52.518053Z")</f>
        <v>2055-06-03T13:39:52.518053Z</v>
      </c>
      <c r="AG28" s="3" t="str">
        <f ca="1">IFERROR(__xludf.DUMMYFUNCTION("""COMPUTED_VALUE"""),"2055-06-03T13:09:14.942128Z")</f>
        <v>2055-06-03T13:09:14.942128Z</v>
      </c>
      <c r="AH28" s="3" t="str">
        <f ca="1">IFERROR(__xludf.DUMMYFUNCTION("""COMPUTED_VALUE"""),"2055-06-03T13:11:59.817956Z")</f>
        <v>2055-06-03T13:11:59.817956Z</v>
      </c>
      <c r="AI28" s="3">
        <f ca="1">IFERROR(__xludf.DUMMYFUNCTION("""COMPUTED_VALUE"""),4.52)</f>
        <v>4.5199999999999996</v>
      </c>
      <c r="AJ28" s="3">
        <f ca="1">IFERROR(__xludf.DUMMYFUNCTION("""COMPUTED_VALUE"""),183)</f>
        <v>183</v>
      </c>
      <c r="AK28" s="3">
        <f ca="1">IFERROR(__xludf.DUMMYFUNCTION("""COMPUTED_VALUE"""),522)</f>
        <v>522</v>
      </c>
      <c r="AL28" s="3"/>
    </row>
    <row r="29" spans="1:38" ht="15" customHeight="1">
      <c r="A29" s="3">
        <f ca="1">IFERROR(__xludf.DUMMYFUNCTION("""COMPUTED_VALUE"""),498)</f>
        <v>498</v>
      </c>
      <c r="B29" s="3"/>
      <c r="C29" s="3">
        <f ca="1">IFERROR(__xludf.DUMMYFUNCTION("""COMPUTED_VALUE"""),4050)</f>
        <v>4050</v>
      </c>
      <c r="D29" s="3" t="str">
        <f ca="1">IFERROR(__xludf.DUMMYFUNCTION("""COMPUTED_VALUE"""),"Doorlanta")</f>
        <v>Doorlanta</v>
      </c>
      <c r="E29" s="3" t="str">
        <f ca="1">IFERROR(__xludf.DUMMYFUNCTION("""COMPUTED_VALUE"""),"Galaxy A")</f>
        <v>Galaxy A</v>
      </c>
      <c r="F29" s="3" t="str">
        <f ca="1">IFERROR(__xludf.DUMMYFUNCTION("""COMPUTED_VALUE"""),"Josh")</f>
        <v>Josh</v>
      </c>
      <c r="G29" s="3">
        <f ca="1">IFERROR(__xludf.DUMMYFUNCTION("""COMPUTED_VALUE"""),0)</f>
        <v>0</v>
      </c>
      <c r="H29" s="3" t="str">
        <f ca="1">IFERROR(__xludf.DUMMYFUNCTION("""COMPUTED_VALUE"""),"car")</f>
        <v>car</v>
      </c>
      <c r="I29" s="3" t="str">
        <f ca="1">IFERROR(__xludf.DUMMYFUNCTION("""COMPUTED_VALUE"""),"2055-06-04T23:56:30.589599Z")</f>
        <v>2055-06-04T23:56:30.589599Z</v>
      </c>
      <c r="J29" s="3" t="str">
        <f ca="1">IFERROR(__xludf.DUMMYFUNCTION("""COMPUTED_VALUE"""),"2055-06-05T00:50:13.651Z")</f>
        <v>2055-06-05T00:50:13.651Z</v>
      </c>
      <c r="K29" s="3" t="str">
        <f ca="1">IFERROR(__xludf.DUMMYFUNCTION("""COMPUTED_VALUE"""),"2055-06-05T00:35:32.651Z")</f>
        <v>2055-06-05T00:35:32.651Z</v>
      </c>
      <c r="L29" s="3">
        <f ca="1">IFERROR(__xludf.DUMMYFUNCTION("""COMPUTED_VALUE"""),1)</f>
        <v>1</v>
      </c>
      <c r="M29" s="3">
        <f ca="1">IFERROR(__xludf.DUMMYFUNCTION("""COMPUTED_VALUE"""),0)</f>
        <v>0</v>
      </c>
      <c r="N29" s="3" t="str">
        <f ca="1">IFERROR(__xludf.DUMMYFUNCTION("""COMPUTED_VALUE"""),"2055-06-05T00:26:50.434556Z")</f>
        <v>2055-06-05T00:26:50.434556Z</v>
      </c>
      <c r="O29" s="3" t="str">
        <f ca="1">IFERROR(__xludf.DUMMYFUNCTION("""COMPUTED_VALUE"""),"2055-06-05T00:39:33.904762Z")</f>
        <v>2055-06-05T00:39:33.904762Z</v>
      </c>
      <c r="P29" s="3" t="str">
        <f ca="1">IFERROR(__xludf.DUMMYFUNCTION("""COMPUTED_VALUE"""),"2055-06-05T00:06:07.281382Z")</f>
        <v>2055-06-05T00:06:07.281382Z</v>
      </c>
      <c r="Q29" s="3">
        <f ca="1">IFERROR(__xludf.DUMMYFUNCTION("""COMPUTED_VALUE"""),0)</f>
        <v>0</v>
      </c>
      <c r="R29" s="3" t="str">
        <f ca="1">IFERROR(__xludf.DUMMYFUNCTION("""COMPUTED_VALUE"""),"2055-06-05T00:06:15.726482Z")</f>
        <v>2055-06-05T00:06:15.726482Z</v>
      </c>
      <c r="S29" s="3" t="str">
        <f ca="1">IFERROR(__xludf.DUMMYFUNCTION("""COMPUTED_VALUE"""),"2055-06-05T00:14:42.058012Z")</f>
        <v>2055-06-05T00:14:42.058012Z</v>
      </c>
      <c r="T29" s="3"/>
      <c r="U29" s="4">
        <f ca="1">IFERROR(__xludf.DUMMYFUNCTION("""COMPUTED_VALUE"""),56769)</f>
        <v>56769</v>
      </c>
      <c r="V29" s="3">
        <f ca="1">IFERROR(__xludf.DUMMYFUNCTION("""COMPUTED_VALUE"""),3.431783289)</f>
        <v>3.4317832890000002</v>
      </c>
      <c r="W29" s="3">
        <f ca="1">IFERROR(__xludf.DUMMYFUNCTION("""COMPUTED_VALUE"""),7500)</f>
        <v>7500</v>
      </c>
      <c r="X29" s="3">
        <f ca="1">IFERROR(__xludf.DUMMYFUNCTION("""COMPUTED_VALUE"""),1998)</f>
        <v>1998</v>
      </c>
      <c r="Y29" s="3">
        <f ca="1">IFERROR(__xludf.DUMMYFUNCTION("""COMPUTED_VALUE"""),507)</f>
        <v>507</v>
      </c>
      <c r="Z29" s="3">
        <f ca="1">IFERROR(__xludf.DUMMYFUNCTION("""COMPUTED_VALUE"""),728)</f>
        <v>728</v>
      </c>
      <c r="AA29" s="3">
        <f ca="1">IFERROR(__xludf.DUMMYFUNCTION("""COMPUTED_VALUE"""),763)</f>
        <v>763</v>
      </c>
      <c r="AB29" s="3">
        <f ca="1">IFERROR(__xludf.DUMMYFUNCTION("""COMPUTED_VALUE"""),1)</f>
        <v>1</v>
      </c>
      <c r="AC29" s="3">
        <f ca="1">IFERROR(__xludf.DUMMYFUNCTION("""COMPUTED_VALUE"""),5)</f>
        <v>5</v>
      </c>
      <c r="AD29" s="3"/>
      <c r="AE29" s="3" t="str">
        <f ca="1">IFERROR(__xludf.DUMMYFUNCTION("""COMPUTED_VALUE"""),"2055-06-04T20:26:50.434556Z")</f>
        <v>2055-06-04T20:26:50.434556Z</v>
      </c>
      <c r="AF29" s="3" t="str">
        <f ca="1">IFERROR(__xludf.DUMMYFUNCTION("""COMPUTED_VALUE"""),"2055-06-04T20:39:33.904762Z")</f>
        <v>2055-06-04T20:39:33.904762Z</v>
      </c>
      <c r="AG29" s="3" t="str">
        <f ca="1">IFERROR(__xludf.DUMMYFUNCTION("""COMPUTED_VALUE"""),"2055-06-04T20:06:07.281382Z")</f>
        <v>2055-06-04T20:06:07.281382Z</v>
      </c>
      <c r="AH29" s="3" t="str">
        <f ca="1">IFERROR(__xludf.DUMMYFUNCTION("""COMPUTED_VALUE"""),"2055-06-04T20:14:42.058012Z")</f>
        <v>2055-06-04T20:14:42.058012Z</v>
      </c>
      <c r="AI29" s="3">
        <f ca="1">IFERROR(__xludf.DUMMYFUNCTION("""COMPUTED_VALUE"""),4.77)</f>
        <v>4.7699999999999996</v>
      </c>
      <c r="AJ29" s="3">
        <f ca="1">IFERROR(__xludf.DUMMYFUNCTION("""COMPUTED_VALUE"""),426)</f>
        <v>426</v>
      </c>
      <c r="AK29" s="3">
        <f ca="1">IFERROR(__xludf.DUMMYFUNCTION("""COMPUTED_VALUE"""),1226)</f>
        <v>1226</v>
      </c>
      <c r="AL29" s="3">
        <f ca="1">IFERROR(__xludf.DUMMYFUNCTION("""COMPUTED_VALUE"""),85)</f>
        <v>85</v>
      </c>
    </row>
    <row r="30" spans="1:38" ht="15" customHeight="1">
      <c r="A30" s="3">
        <f ca="1">IFERROR(__xludf.DUMMYFUNCTION("""COMPUTED_VALUE"""),731)</f>
        <v>731</v>
      </c>
      <c r="B30" s="3">
        <f ca="1">IFERROR(__xludf.DUMMYFUNCTION("""COMPUTED_VALUE"""),5)</f>
        <v>5</v>
      </c>
      <c r="C30" s="3">
        <f ca="1">IFERROR(__xludf.DUMMYFUNCTION("""COMPUTED_VALUE"""),4050)</f>
        <v>4050</v>
      </c>
      <c r="D30" s="3" t="str">
        <f ca="1">IFERROR(__xludf.DUMMYFUNCTION("""COMPUTED_VALUE"""),"Doorlanta")</f>
        <v>Doorlanta</v>
      </c>
      <c r="E30" s="3" t="str">
        <f ca="1">IFERROR(__xludf.DUMMYFUNCTION("""COMPUTED_VALUE"""),"Galaxy A")</f>
        <v>Galaxy A</v>
      </c>
      <c r="F30" s="3" t="str">
        <f ca="1">IFERROR(__xludf.DUMMYFUNCTION("""COMPUTED_VALUE"""),"Jagar")</f>
        <v>Jagar</v>
      </c>
      <c r="G30" s="3">
        <f ca="1">IFERROR(__xludf.DUMMYFUNCTION("""COMPUTED_VALUE"""),0)</f>
        <v>0</v>
      </c>
      <c r="H30" s="3" t="str">
        <f ca="1">IFERROR(__xludf.DUMMYFUNCTION("""COMPUTED_VALUE"""),"car")</f>
        <v>car</v>
      </c>
      <c r="I30" s="3" t="str">
        <f ca="1">IFERROR(__xludf.DUMMYFUNCTION("""COMPUTED_VALUE"""),"2055-06-06T15:49:17.745982Z")</f>
        <v>2055-06-06T15:49:17.745982Z</v>
      </c>
      <c r="J30" s="3" t="str">
        <f ca="1">IFERROR(__xludf.DUMMYFUNCTION("""COMPUTED_VALUE"""),"2055-06-06T16:44:17.827Z")</f>
        <v>2055-06-06T16:44:17.827Z</v>
      </c>
      <c r="K30" s="3" t="str">
        <f ca="1">IFERROR(__xludf.DUMMYFUNCTION("""COMPUTED_VALUE"""),"2055-06-06T16:21:45.827Z")</f>
        <v>2055-06-06T16:21:45.827Z</v>
      </c>
      <c r="L30" s="3">
        <f ca="1">IFERROR(__xludf.DUMMYFUNCTION("""COMPUTED_VALUE"""),1)</f>
        <v>1</v>
      </c>
      <c r="M30" s="3">
        <f ca="1">IFERROR(__xludf.DUMMYFUNCTION("""COMPUTED_VALUE"""),0)</f>
        <v>0</v>
      </c>
      <c r="N30" s="3" t="str">
        <f ca="1">IFERROR(__xludf.DUMMYFUNCTION("""COMPUTED_VALUE"""),"2055-06-06T16:26:31.887028Z")</f>
        <v>2055-06-06T16:26:31.887028Z</v>
      </c>
      <c r="O30" s="3" t="str">
        <f ca="1">IFERROR(__xludf.DUMMYFUNCTION("""COMPUTED_VALUE"""),"2055-06-06T16:34:36.268071Z")</f>
        <v>2055-06-06T16:34:36.268071Z</v>
      </c>
      <c r="P30" s="3" t="str">
        <f ca="1">IFERROR(__xludf.DUMMYFUNCTION("""COMPUTED_VALUE"""),"2055-06-06T15:49:27.327972Z")</f>
        <v>2055-06-06T15:49:27.327972Z</v>
      </c>
      <c r="Q30" s="3">
        <f ca="1">IFERROR(__xludf.DUMMYFUNCTION("""COMPUTED_VALUE"""),0)</f>
        <v>0</v>
      </c>
      <c r="R30" s="3" t="str">
        <f ca="1">IFERROR(__xludf.DUMMYFUNCTION("""COMPUTED_VALUE"""),"2055-06-06T15:49:37.74976Z")</f>
        <v>2055-06-06T15:49:37.74976Z</v>
      </c>
      <c r="S30" s="3" t="str">
        <f ca="1">IFERROR(__xludf.DUMMYFUNCTION("""COMPUTED_VALUE"""),"2055-06-06T15:53:49.370735Z")</f>
        <v>2055-06-06T15:53:49.370735Z</v>
      </c>
      <c r="T30" s="3"/>
      <c r="U30" s="4">
        <f ca="1">IFERROR(__xludf.DUMMYFUNCTION("""COMPUTED_VALUE"""),56771)</f>
        <v>56771</v>
      </c>
      <c r="V30" s="3">
        <f ca="1">IFERROR(__xludf.DUMMYFUNCTION("""COMPUTED_VALUE"""),4.6)</f>
        <v>4.5999999999999996</v>
      </c>
      <c r="W30" s="3">
        <f ca="1">IFERROR(__xludf.DUMMYFUNCTION("""COMPUTED_VALUE"""),7500)</f>
        <v>7500</v>
      </c>
      <c r="X30" s="3">
        <f ca="1">IFERROR(__xludf.DUMMYFUNCTION("""COMPUTED_VALUE"""),2699)</f>
        <v>2699</v>
      </c>
      <c r="Y30" s="3">
        <f ca="1">IFERROR(__xludf.DUMMYFUNCTION("""COMPUTED_VALUE"""),252)</f>
        <v>252</v>
      </c>
      <c r="Z30" s="3">
        <f ca="1">IFERROR(__xludf.DUMMYFUNCTION("""COMPUTED_VALUE"""),1962)</f>
        <v>1962</v>
      </c>
      <c r="AA30" s="3">
        <f ca="1">IFERROR(__xludf.DUMMYFUNCTION("""COMPUTED_VALUE"""),485)</f>
        <v>485</v>
      </c>
      <c r="AB30" s="3">
        <f ca="1">IFERROR(__xludf.DUMMYFUNCTION("""COMPUTED_VALUE"""),0)</f>
        <v>0</v>
      </c>
      <c r="AC30" s="3">
        <f ca="1">IFERROR(__xludf.DUMMYFUNCTION("""COMPUTED_VALUE"""),8)</f>
        <v>8</v>
      </c>
      <c r="AD30" s="3" t="str">
        <f ca="1">IFERROR(__xludf.DUMMYFUNCTION("""COMPUTED_VALUE"""),"early")</f>
        <v>early</v>
      </c>
      <c r="AE30" s="3" t="str">
        <f ca="1">IFERROR(__xludf.DUMMYFUNCTION("""COMPUTED_VALUE"""),"2055-06-06T12:26:31.887028Z")</f>
        <v>2055-06-06T12:26:31.887028Z</v>
      </c>
      <c r="AF30" s="3" t="str">
        <f ca="1">IFERROR(__xludf.DUMMYFUNCTION("""COMPUTED_VALUE"""),"2055-06-06T12:34:36.268071Z")</f>
        <v>2055-06-06T12:34:36.268071Z</v>
      </c>
      <c r="AG30" s="3" t="str">
        <f ca="1">IFERROR(__xludf.DUMMYFUNCTION("""COMPUTED_VALUE"""),"2055-06-06T11:49:27.327972Z")</f>
        <v>2055-06-06T11:49:27.327972Z</v>
      </c>
      <c r="AH30" s="3" t="str">
        <f ca="1">IFERROR(__xludf.DUMMYFUNCTION("""COMPUTED_VALUE"""),"2055-06-06T11:53:49.370735Z")</f>
        <v>2055-06-06T11:53:49.370735Z</v>
      </c>
      <c r="AI30" s="3">
        <f ca="1">IFERROR(__xludf.DUMMYFUNCTION("""COMPUTED_VALUE"""),4.89)</f>
        <v>4.8899999999999997</v>
      </c>
      <c r="AJ30" s="3">
        <f ca="1">IFERROR(__xludf.DUMMYFUNCTION("""COMPUTED_VALUE"""),1778)</f>
        <v>1778</v>
      </c>
      <c r="AK30" s="3">
        <f ca="1">IFERROR(__xludf.DUMMYFUNCTION("""COMPUTED_VALUE"""),5138)</f>
        <v>5138</v>
      </c>
      <c r="AL30" s="3">
        <f ca="1">IFERROR(__xludf.DUMMYFUNCTION("""COMPUTED_VALUE"""),314)</f>
        <v>314</v>
      </c>
    </row>
    <row r="31" spans="1:38" ht="15" customHeight="1">
      <c r="A31" s="3">
        <f ca="1">IFERROR(__xludf.DUMMYFUNCTION("""COMPUTED_VALUE"""),639)</f>
        <v>639</v>
      </c>
      <c r="B31" s="3"/>
      <c r="C31" s="3">
        <f ca="1">IFERROR(__xludf.DUMMYFUNCTION("""COMPUTED_VALUE"""),4050)</f>
        <v>4050</v>
      </c>
      <c r="D31" s="3" t="str">
        <f ca="1">IFERROR(__xludf.DUMMYFUNCTION("""COMPUTED_VALUE"""),"Doorlanta")</f>
        <v>Doorlanta</v>
      </c>
      <c r="E31" s="3" t="str">
        <f ca="1">IFERROR(__xludf.DUMMYFUNCTION("""COMPUTED_VALUE"""),"Galaxy A")</f>
        <v>Galaxy A</v>
      </c>
      <c r="F31" s="3" t="str">
        <f ca="1">IFERROR(__xludf.DUMMYFUNCTION("""COMPUTED_VALUE"""),"Abhai")</f>
        <v>Abhai</v>
      </c>
      <c r="G31" s="3">
        <f ca="1">IFERROR(__xludf.DUMMYFUNCTION("""COMPUTED_VALUE"""),0)</f>
        <v>0</v>
      </c>
      <c r="H31" s="3" t="str">
        <f ca="1">IFERROR(__xludf.DUMMYFUNCTION("""COMPUTED_VALUE"""),"car")</f>
        <v>car</v>
      </c>
      <c r="I31" s="3" t="str">
        <f ca="1">IFERROR(__xludf.DUMMYFUNCTION("""COMPUTED_VALUE"""),"2055-06-05T22:05:58.809237Z")</f>
        <v>2055-06-05T22:05:58.809237Z</v>
      </c>
      <c r="J31" s="3" t="str">
        <f ca="1">IFERROR(__xludf.DUMMYFUNCTION("""COMPUTED_VALUE"""),"2055-06-05T22:58:56.877Z")</f>
        <v>2055-06-05T22:58:56.877Z</v>
      </c>
      <c r="K31" s="3" t="str">
        <f ca="1">IFERROR(__xludf.DUMMYFUNCTION("""COMPUTED_VALUE"""),"2055-06-05T22:48:49.877Z")</f>
        <v>2055-06-05T22:48:49.877Z</v>
      </c>
      <c r="L31" s="3">
        <f ca="1">IFERROR(__xludf.DUMMYFUNCTION("""COMPUTED_VALUE"""),1)</f>
        <v>1</v>
      </c>
      <c r="M31" s="3">
        <f ca="1">IFERROR(__xludf.DUMMYFUNCTION("""COMPUTED_VALUE"""),0)</f>
        <v>0</v>
      </c>
      <c r="N31" s="3" t="str">
        <f ca="1">IFERROR(__xludf.DUMMYFUNCTION("""COMPUTED_VALUE"""),"2055-06-05T22:25:00.638806Z")</f>
        <v>2055-06-05T22:25:00.638806Z</v>
      </c>
      <c r="O31" s="3" t="str">
        <f ca="1">IFERROR(__xludf.DUMMYFUNCTION("""COMPUTED_VALUE"""),"2055-06-05T22:40:12.579445Z")</f>
        <v>2055-06-05T22:40:12.579445Z</v>
      </c>
      <c r="P31" s="3" t="str">
        <f ca="1">IFERROR(__xludf.DUMMYFUNCTION("""COMPUTED_VALUE"""),"2055-06-05T22:06:07.487224Z")</f>
        <v>2055-06-05T22:06:07.487224Z</v>
      </c>
      <c r="Q31" s="3">
        <f ca="1">IFERROR(__xludf.DUMMYFUNCTION("""COMPUTED_VALUE"""),0)</f>
        <v>0</v>
      </c>
      <c r="R31" s="3" t="str">
        <f ca="1">IFERROR(__xludf.DUMMYFUNCTION("""COMPUTED_VALUE"""),"2055-06-05T22:06:14.092196Z")</f>
        <v>2055-06-05T22:06:14.092196Z</v>
      </c>
      <c r="S31" s="3" t="str">
        <f ca="1">IFERROR(__xludf.DUMMYFUNCTION("""COMPUTED_VALUE"""),"2055-06-05T22:08:57.772749Z")</f>
        <v>2055-06-05T22:08:57.772749Z</v>
      </c>
      <c r="T31" s="3"/>
      <c r="U31" s="4">
        <f ca="1">IFERROR(__xludf.DUMMYFUNCTION("""COMPUTED_VALUE"""),56770)</f>
        <v>56770</v>
      </c>
      <c r="V31" s="3">
        <f ca="1">IFERROR(__xludf.DUMMYFUNCTION("""COMPUTED_VALUE"""),4.7)</f>
        <v>4.7</v>
      </c>
      <c r="W31" s="3">
        <f ca="1">IFERROR(__xludf.DUMMYFUNCTION("""COMPUTED_VALUE"""),7500)</f>
        <v>7500</v>
      </c>
      <c r="X31" s="3">
        <f ca="1">IFERROR(__xludf.DUMMYFUNCTION("""COMPUTED_VALUE"""),2038)</f>
        <v>2038</v>
      </c>
      <c r="Y31" s="3">
        <f ca="1">IFERROR(__xludf.DUMMYFUNCTION("""COMPUTED_VALUE"""),163)</f>
        <v>163</v>
      </c>
      <c r="Z31" s="3">
        <f ca="1">IFERROR(__xludf.DUMMYFUNCTION("""COMPUTED_VALUE"""),963)</f>
        <v>963</v>
      </c>
      <c r="AA31" s="3">
        <f ca="1">IFERROR(__xludf.DUMMYFUNCTION("""COMPUTED_VALUE"""),912)</f>
        <v>912</v>
      </c>
      <c r="AB31" s="3">
        <f ca="1">IFERROR(__xludf.DUMMYFUNCTION("""COMPUTED_VALUE"""),0)</f>
        <v>0</v>
      </c>
      <c r="AC31" s="3">
        <f ca="1">IFERROR(__xludf.DUMMYFUNCTION("""COMPUTED_VALUE"""),10)</f>
        <v>10</v>
      </c>
      <c r="AD31" s="3" t="str">
        <f ca="1">IFERROR(__xludf.DUMMYFUNCTION("""COMPUTED_VALUE"""),"early")</f>
        <v>early</v>
      </c>
      <c r="AE31" s="3" t="str">
        <f ca="1">IFERROR(__xludf.DUMMYFUNCTION("""COMPUTED_VALUE"""),"2055-06-05T18:25:00.638806Z")</f>
        <v>2055-06-05T18:25:00.638806Z</v>
      </c>
      <c r="AF31" s="3" t="str">
        <f ca="1">IFERROR(__xludf.DUMMYFUNCTION("""COMPUTED_VALUE"""),"2055-06-05T18:40:12.579445Z")</f>
        <v>2055-06-05T18:40:12.579445Z</v>
      </c>
      <c r="AG31" s="3" t="str">
        <f ca="1">IFERROR(__xludf.DUMMYFUNCTION("""COMPUTED_VALUE"""),"2055-06-05T18:06:07.487224Z")</f>
        <v>2055-06-05T18:06:07.487224Z</v>
      </c>
      <c r="AH31" s="3" t="str">
        <f ca="1">IFERROR(__xludf.DUMMYFUNCTION("""COMPUTED_VALUE"""),"2055-06-05T18:08:57.772749Z")</f>
        <v>2055-06-05T18:08:57.772749Z</v>
      </c>
      <c r="AI31" s="3">
        <f ca="1">IFERROR(__xludf.DUMMYFUNCTION("""COMPUTED_VALUE"""),4.56)</f>
        <v>4.5599999999999996</v>
      </c>
      <c r="AJ31" s="3">
        <f ca="1">IFERROR(__xludf.DUMMYFUNCTION("""COMPUTED_VALUE"""),344)</f>
        <v>344</v>
      </c>
      <c r="AK31" s="3">
        <f ca="1">IFERROR(__xludf.DUMMYFUNCTION("""COMPUTED_VALUE"""),947)</f>
        <v>947</v>
      </c>
      <c r="AL31" s="3">
        <f ca="1">IFERROR(__xludf.DUMMYFUNCTION("""COMPUTED_VALUE"""),22)</f>
        <v>22</v>
      </c>
    </row>
    <row r="32" spans="1:38" ht="15" customHeight="1">
      <c r="A32" s="3">
        <f ca="1">IFERROR(__xludf.DUMMYFUNCTION("""COMPUTED_VALUE"""),253)</f>
        <v>253</v>
      </c>
      <c r="B32" s="3">
        <f ca="1">IFERROR(__xludf.DUMMYFUNCTION("""COMPUTED_VALUE"""),5)</f>
        <v>5</v>
      </c>
      <c r="C32" s="3">
        <f ca="1">IFERROR(__xludf.DUMMYFUNCTION("""COMPUTED_VALUE"""),4001)</f>
        <v>4001</v>
      </c>
      <c r="D32" s="3" t="str">
        <f ca="1">IFERROR(__xludf.DUMMYFUNCTION("""COMPUTED_VALUE"""),"Dashattan")</f>
        <v>Dashattan</v>
      </c>
      <c r="E32" s="3" t="str">
        <f ca="1">IFERROR(__xludf.DUMMYFUNCTION("""COMPUTED_VALUE"""),"Galaxy A")</f>
        <v>Galaxy A</v>
      </c>
      <c r="F32" s="3" t="str">
        <f ca="1">IFERROR(__xludf.DUMMYFUNCTION("""COMPUTED_VALUE"""),"Sean")</f>
        <v>Sean</v>
      </c>
      <c r="G32" s="3">
        <f ca="1">IFERROR(__xludf.DUMMYFUNCTION("""COMPUTED_VALUE"""),0)</f>
        <v>0</v>
      </c>
      <c r="H32" s="3" t="str">
        <f ca="1">IFERROR(__xludf.DUMMYFUNCTION("""COMPUTED_VALUE"""),"bicycle")</f>
        <v>bicycle</v>
      </c>
      <c r="I32" s="3" t="str">
        <f ca="1">IFERROR(__xludf.DUMMYFUNCTION("""COMPUTED_VALUE"""),"2055-06-03T13:56:31.072849Z")</f>
        <v>2055-06-03T13:56:31.072849Z</v>
      </c>
      <c r="J32" s="3" t="str">
        <f ca="1">IFERROR(__xludf.DUMMYFUNCTION("""COMPUTED_VALUE"""),"2055-06-03T15:45:00Z")</f>
        <v>2055-06-03T15:45:00Z</v>
      </c>
      <c r="K32" s="3" t="str">
        <f ca="1">IFERROR(__xludf.DUMMYFUNCTION("""COMPUTED_VALUE"""),"2055-06-03T15:45:00Z")</f>
        <v>2055-06-03T15:45:00Z</v>
      </c>
      <c r="L32" s="3">
        <f ca="1">IFERROR(__xludf.DUMMYFUNCTION("""COMPUTED_VALUE"""),0)</f>
        <v>0</v>
      </c>
      <c r="M32" s="3">
        <f ca="1">IFERROR(__xludf.DUMMYFUNCTION("""COMPUTED_VALUE"""),0)</f>
        <v>0</v>
      </c>
      <c r="N32" s="3" t="str">
        <f ca="1">IFERROR(__xludf.DUMMYFUNCTION("""COMPUTED_VALUE"""),"2055-06-03T15:26:48.122122Z")</f>
        <v>2055-06-03T15:26:48.122122Z</v>
      </c>
      <c r="O32" s="3" t="str">
        <f ca="1">IFERROR(__xludf.DUMMYFUNCTION("""COMPUTED_VALUE"""),"2055-06-03T15:34:24.487833Z")</f>
        <v>2055-06-03T15:34:24.487833Z</v>
      </c>
      <c r="P32" s="3" t="str">
        <f ca="1">IFERROR(__xludf.DUMMYFUNCTION("""COMPUTED_VALUE"""),"2055-06-03T14:50:14.204932Z")</f>
        <v>2055-06-03T14:50:14.204932Z</v>
      </c>
      <c r="Q32" s="3">
        <f ca="1">IFERROR(__xludf.DUMMYFUNCTION("""COMPUTED_VALUE"""),0)</f>
        <v>0</v>
      </c>
      <c r="R32" s="3" t="str">
        <f ca="1">IFERROR(__xludf.DUMMYFUNCTION("""COMPUTED_VALUE"""),"2055-06-03T14:50:52.366967Z")</f>
        <v>2055-06-03T14:50:52.366967Z</v>
      </c>
      <c r="S32" s="3" t="str">
        <f ca="1">IFERROR(__xludf.DUMMYFUNCTION("""COMPUTED_VALUE"""),"2055-06-03T14:56:31.525702Z")</f>
        <v>2055-06-03T14:56:31.525702Z</v>
      </c>
      <c r="T32" s="3"/>
      <c r="U32" s="4">
        <f ca="1">IFERROR(__xludf.DUMMYFUNCTION("""COMPUTED_VALUE"""),56768)</f>
        <v>56768</v>
      </c>
      <c r="V32" s="3">
        <f ca="1">IFERROR(__xludf.DUMMYFUNCTION("""COMPUTED_VALUE"""),4.5)</f>
        <v>4.5</v>
      </c>
      <c r="W32" s="3">
        <f ca="1">IFERROR(__xludf.DUMMYFUNCTION("""COMPUTED_VALUE"""),7500)</f>
        <v>7500</v>
      </c>
      <c r="X32" s="3">
        <f ca="1">IFERROR(__xludf.DUMMYFUNCTION("""COMPUTED_VALUE"""),2612)</f>
        <v>2612</v>
      </c>
      <c r="Y32" s="3">
        <f ca="1">IFERROR(__xludf.DUMMYFUNCTION("""COMPUTED_VALUE"""),339)</f>
        <v>339</v>
      </c>
      <c r="Z32" s="3">
        <f ca="1">IFERROR(__xludf.DUMMYFUNCTION("""COMPUTED_VALUE"""),1817)</f>
        <v>1817</v>
      </c>
      <c r="AA32" s="3">
        <f ca="1">IFERROR(__xludf.DUMMYFUNCTION("""COMPUTED_VALUE"""),456)</f>
        <v>456</v>
      </c>
      <c r="AB32" s="3">
        <f ca="1">IFERROR(__xludf.DUMMYFUNCTION("""COMPUTED_VALUE"""),0)</f>
        <v>0</v>
      </c>
      <c r="AC32" s="3">
        <f ca="1">IFERROR(__xludf.DUMMYFUNCTION("""COMPUTED_VALUE"""),18)</f>
        <v>18</v>
      </c>
      <c r="AD32" s="3" t="str">
        <f ca="1">IFERROR(__xludf.DUMMYFUNCTION("""COMPUTED_VALUE"""),"on time")</f>
        <v>on time</v>
      </c>
      <c r="AE32" s="3" t="str">
        <f ca="1">IFERROR(__xludf.DUMMYFUNCTION("""COMPUTED_VALUE"""),"2055-06-03T11:26:48.122122Z")</f>
        <v>2055-06-03T11:26:48.122122Z</v>
      </c>
      <c r="AF32" s="3" t="str">
        <f ca="1">IFERROR(__xludf.DUMMYFUNCTION("""COMPUTED_VALUE"""),"2055-06-03T11:34:24.487833Z")</f>
        <v>2055-06-03T11:34:24.487833Z</v>
      </c>
      <c r="AG32" s="3" t="str">
        <f ca="1">IFERROR(__xludf.DUMMYFUNCTION("""COMPUTED_VALUE"""),"2055-06-03T10:50:14.204932Z")</f>
        <v>2055-06-03T10:50:14.204932Z</v>
      </c>
      <c r="AH32" s="3" t="str">
        <f ca="1">IFERROR(__xludf.DUMMYFUNCTION("""COMPUTED_VALUE"""),"2055-06-03T10:56:31.525702Z")</f>
        <v>2055-06-03T10:56:31.525702Z</v>
      </c>
      <c r="AI32" s="3">
        <f ca="1">IFERROR(__xludf.DUMMYFUNCTION("""COMPUTED_VALUE"""),4.52)</f>
        <v>4.5199999999999996</v>
      </c>
      <c r="AJ32" s="3">
        <f ca="1">IFERROR(__xludf.DUMMYFUNCTION("""COMPUTED_VALUE"""),183)</f>
        <v>183</v>
      </c>
      <c r="AK32" s="3">
        <f ca="1">IFERROR(__xludf.DUMMYFUNCTION("""COMPUTED_VALUE"""),522)</f>
        <v>522</v>
      </c>
      <c r="AL32" s="3"/>
    </row>
    <row r="33" spans="1:38" ht="15" customHeight="1">
      <c r="A33" s="3">
        <f ca="1">IFERROR(__xludf.DUMMYFUNCTION("""COMPUTED_VALUE"""),966)</f>
        <v>966</v>
      </c>
      <c r="B33" s="3"/>
      <c r="C33" s="3">
        <f ca="1">IFERROR(__xludf.DUMMYFUNCTION("""COMPUTED_VALUE"""),4001)</f>
        <v>4001</v>
      </c>
      <c r="D33" s="3" t="str">
        <f ca="1">IFERROR(__xludf.DUMMYFUNCTION("""COMPUTED_VALUE"""),"Dashattan")</f>
        <v>Dashattan</v>
      </c>
      <c r="E33" s="3" t="str">
        <f ca="1">IFERROR(__xludf.DUMMYFUNCTION("""COMPUTED_VALUE"""),"Galaxy A")</f>
        <v>Galaxy A</v>
      </c>
      <c r="F33" s="3" t="str">
        <f ca="1">IFERROR(__xludf.DUMMYFUNCTION("""COMPUTED_VALUE"""),"Rojan")</f>
        <v>Rojan</v>
      </c>
      <c r="G33" s="3">
        <f ca="1">IFERROR(__xludf.DUMMYFUNCTION("""COMPUTED_VALUE"""),0)</f>
        <v>0</v>
      </c>
      <c r="H33" s="3" t="str">
        <f ca="1">IFERROR(__xludf.DUMMYFUNCTION("""COMPUTED_VALUE"""),"bicycle")</f>
        <v>bicycle</v>
      </c>
      <c r="I33" s="3" t="str">
        <f ca="1">IFERROR(__xludf.DUMMYFUNCTION("""COMPUTED_VALUE"""),"2055-06-08T21:23:31.277345Z")</f>
        <v>2055-06-08T21:23:31.277345Z</v>
      </c>
      <c r="J33" s="3" t="str">
        <f ca="1">IFERROR(__xludf.DUMMYFUNCTION("""COMPUTED_VALUE"""),"2055-06-08T22:00:49.324Z")</f>
        <v>2055-06-08T22:00:49.324Z</v>
      </c>
      <c r="K33" s="3" t="str">
        <f ca="1">IFERROR(__xludf.DUMMYFUNCTION("""COMPUTED_VALUE"""),"2055-06-08T21:55:42.324Z")</f>
        <v>2055-06-08T21:55:42.324Z</v>
      </c>
      <c r="L33" s="3">
        <f ca="1">IFERROR(__xludf.DUMMYFUNCTION("""COMPUTED_VALUE"""),1)</f>
        <v>1</v>
      </c>
      <c r="M33" s="3">
        <f ca="1">IFERROR(__xludf.DUMMYFUNCTION("""COMPUTED_VALUE"""),0)</f>
        <v>0</v>
      </c>
      <c r="N33" s="3" t="str">
        <f ca="1">IFERROR(__xludf.DUMMYFUNCTION("""COMPUTED_VALUE"""),"2055-06-08T21:57:43.670453Z")</f>
        <v>2055-06-08T21:57:43.670453Z</v>
      </c>
      <c r="O33" s="3" t="str">
        <f ca="1">IFERROR(__xludf.DUMMYFUNCTION("""COMPUTED_VALUE"""),"2055-06-08T22:15:15.322664Z")</f>
        <v>2055-06-08T22:15:15.322664Z</v>
      </c>
      <c r="P33" s="3" t="str">
        <f ca="1">IFERROR(__xludf.DUMMYFUNCTION("""COMPUTED_VALUE"""),"2055-06-08T21:29:34.38399Z")</f>
        <v>2055-06-08T21:29:34.38399Z</v>
      </c>
      <c r="Q33" s="3">
        <f ca="1">IFERROR(__xludf.DUMMYFUNCTION("""COMPUTED_VALUE"""),0)</f>
        <v>0</v>
      </c>
      <c r="R33" s="3" t="str">
        <f ca="1">IFERROR(__xludf.DUMMYFUNCTION("""COMPUTED_VALUE"""),"2055-06-08T21:29:57.51361Z")</f>
        <v>2055-06-08T21:29:57.51361Z</v>
      </c>
      <c r="S33" s="3" t="str">
        <f ca="1">IFERROR(__xludf.DUMMYFUNCTION("""COMPUTED_VALUE"""),"2055-06-08T21:46:00.732833Z")</f>
        <v>2055-06-08T21:46:00.732833Z</v>
      </c>
      <c r="T33" s="3"/>
      <c r="U33" s="4">
        <f ca="1">IFERROR(__xludf.DUMMYFUNCTION("""COMPUTED_VALUE"""),56773)</f>
        <v>56773</v>
      </c>
      <c r="V33" s="3">
        <f ca="1">IFERROR(__xludf.DUMMYFUNCTION("""COMPUTED_VALUE"""),4.678193006)</f>
        <v>4.6781930059999999</v>
      </c>
      <c r="W33" s="3">
        <f ca="1">IFERROR(__xludf.DUMMYFUNCTION("""COMPUTED_VALUE"""),7500)</f>
        <v>7500</v>
      </c>
      <c r="X33" s="3">
        <f ca="1">IFERROR(__xludf.DUMMYFUNCTION("""COMPUTED_VALUE"""),2718)</f>
        <v>2718</v>
      </c>
      <c r="Y33" s="3">
        <f ca="1">IFERROR(__xludf.DUMMYFUNCTION("""COMPUTED_VALUE"""),963)</f>
        <v>963</v>
      </c>
      <c r="Z33" s="3">
        <f ca="1">IFERROR(__xludf.DUMMYFUNCTION("""COMPUTED_VALUE"""),703)</f>
        <v>703</v>
      </c>
      <c r="AA33" s="3">
        <f ca="1">IFERROR(__xludf.DUMMYFUNCTION("""COMPUTED_VALUE"""),1052)</f>
        <v>1052</v>
      </c>
      <c r="AB33" s="3">
        <f ca="1">IFERROR(__xludf.DUMMYFUNCTION("""COMPUTED_VALUE"""),0)</f>
        <v>0</v>
      </c>
      <c r="AC33" s="3">
        <f ca="1">IFERROR(__xludf.DUMMYFUNCTION("""COMPUTED_VALUE"""),7)</f>
        <v>7</v>
      </c>
      <c r="AD33" s="3" t="str">
        <f ca="1">IFERROR(__xludf.DUMMYFUNCTION("""COMPUTED_VALUE"""),"late")</f>
        <v>late</v>
      </c>
      <c r="AE33" s="3" t="str">
        <f ca="1">IFERROR(__xludf.DUMMYFUNCTION("""COMPUTED_VALUE"""),"2055-06-08T17:57:43.670453Z")</f>
        <v>2055-06-08T17:57:43.670453Z</v>
      </c>
      <c r="AF33" s="3" t="str">
        <f ca="1">IFERROR(__xludf.DUMMYFUNCTION("""COMPUTED_VALUE"""),"2055-06-08T18:15:15.322664Z")</f>
        <v>2055-06-08T18:15:15.322664Z</v>
      </c>
      <c r="AG33" s="3" t="str">
        <f ca="1">IFERROR(__xludf.DUMMYFUNCTION("""COMPUTED_VALUE"""),"2055-06-08T17:29:34.38399Z")</f>
        <v>2055-06-08T17:29:34.38399Z</v>
      </c>
      <c r="AH33" s="3" t="str">
        <f ca="1">IFERROR(__xludf.DUMMYFUNCTION("""COMPUTED_VALUE"""),"2055-06-08T17:46:00.732833Z")</f>
        <v>2055-06-08T17:46:00.732833Z</v>
      </c>
      <c r="AI33" s="3">
        <f ca="1">IFERROR(__xludf.DUMMYFUNCTION("""COMPUTED_VALUE"""),4.58)</f>
        <v>4.58</v>
      </c>
      <c r="AJ33" s="3">
        <f ca="1">IFERROR(__xludf.DUMMYFUNCTION("""COMPUTED_VALUE"""),254)</f>
        <v>254</v>
      </c>
      <c r="AK33" s="3">
        <f ca="1">IFERROR(__xludf.DUMMYFUNCTION("""COMPUTED_VALUE"""),788)</f>
        <v>788</v>
      </c>
      <c r="AL33" s="3">
        <f ca="1">IFERROR(__xludf.DUMMYFUNCTION("""COMPUTED_VALUE"""),9)</f>
        <v>9</v>
      </c>
    </row>
    <row r="34" spans="1:38" ht="15" customHeight="1">
      <c r="A34" s="3">
        <f ca="1">IFERROR(__xludf.DUMMYFUNCTION("""COMPUTED_VALUE"""),1448)</f>
        <v>1448</v>
      </c>
      <c r="B34" s="3">
        <f ca="1">IFERROR(__xludf.DUMMYFUNCTION("""COMPUTED_VALUE"""),5)</f>
        <v>5</v>
      </c>
      <c r="C34" s="3">
        <f ca="1">IFERROR(__xludf.DUMMYFUNCTION("""COMPUTED_VALUE"""),4001)</f>
        <v>4001</v>
      </c>
      <c r="D34" s="3" t="str">
        <f ca="1">IFERROR(__xludf.DUMMYFUNCTION("""COMPUTED_VALUE"""),"Dashattan")</f>
        <v>Dashattan</v>
      </c>
      <c r="E34" s="3" t="str">
        <f ca="1">IFERROR(__xludf.DUMMYFUNCTION("""COMPUTED_VALUE"""),"Galaxy A")</f>
        <v>Galaxy A</v>
      </c>
      <c r="F34" s="3" t="str">
        <f ca="1">IFERROR(__xludf.DUMMYFUNCTION("""COMPUTED_VALUE"""),"KC")</f>
        <v>KC</v>
      </c>
      <c r="G34" s="3">
        <f ca="1">IFERROR(__xludf.DUMMYFUNCTION("""COMPUTED_VALUE"""),0)</f>
        <v>0</v>
      </c>
      <c r="H34" s="3" t="str">
        <f ca="1">IFERROR(__xludf.DUMMYFUNCTION("""COMPUTED_VALUE"""),"car")</f>
        <v>car</v>
      </c>
      <c r="I34" s="3" t="str">
        <f ca="1">IFERROR(__xludf.DUMMYFUNCTION("""COMPUTED_VALUE"""),"2055-06-12T20:55:40.497868Z")</f>
        <v>2055-06-12T20:55:40.497868Z</v>
      </c>
      <c r="J34" s="3" t="str">
        <f ca="1">IFERROR(__xludf.DUMMYFUNCTION("""COMPUTED_VALUE"""),"2055-06-12T21:58:09.551Z")</f>
        <v>2055-06-12T21:58:09.551Z</v>
      </c>
      <c r="K34" s="3" t="str">
        <f ca="1">IFERROR(__xludf.DUMMYFUNCTION("""COMPUTED_VALUE"""),"2055-06-12T21:39:16.551Z")</f>
        <v>2055-06-12T21:39:16.551Z</v>
      </c>
      <c r="L34" s="3">
        <f ca="1">IFERROR(__xludf.DUMMYFUNCTION("""COMPUTED_VALUE"""),1)</f>
        <v>1</v>
      </c>
      <c r="M34" s="3">
        <f ca="1">IFERROR(__xludf.DUMMYFUNCTION("""COMPUTED_VALUE"""),1)</f>
        <v>1</v>
      </c>
      <c r="N34" s="3" t="str">
        <f ca="1">IFERROR(__xludf.DUMMYFUNCTION("""COMPUTED_VALUE"""),"2055-06-12T21:30:24.37677Z")</f>
        <v>2055-06-12T21:30:24.37677Z</v>
      </c>
      <c r="O34" s="3" t="str">
        <f ca="1">IFERROR(__xludf.DUMMYFUNCTION("""COMPUTED_VALUE"""),"2055-06-12T21:37:36.409707Z")</f>
        <v>2055-06-12T21:37:36.409707Z</v>
      </c>
      <c r="P34" s="3" t="str">
        <f ca="1">IFERROR(__xludf.DUMMYFUNCTION("""COMPUTED_VALUE"""),"2055-06-12T20:55:54.415667Z")</f>
        <v>2055-06-12T20:55:54.415667Z</v>
      </c>
      <c r="Q34" s="3">
        <f ca="1">IFERROR(__xludf.DUMMYFUNCTION("""COMPUTED_VALUE"""),0)</f>
        <v>0</v>
      </c>
      <c r="R34" s="3" t="str">
        <f ca="1">IFERROR(__xludf.DUMMYFUNCTION("""COMPUTED_VALUE"""),"2055-06-12T20:56:21.054655Z")</f>
        <v>2055-06-12T20:56:21.054655Z</v>
      </c>
      <c r="S34" s="3" t="str">
        <f ca="1">IFERROR(__xludf.DUMMYFUNCTION("""COMPUTED_VALUE"""),"2055-06-12T21:00:45.112963Z")</f>
        <v>2055-06-12T21:00:45.112963Z</v>
      </c>
      <c r="T34" s="3"/>
      <c r="U34" s="4">
        <f ca="1">IFERROR(__xludf.DUMMYFUNCTION("""COMPUTED_VALUE"""),56777)</f>
        <v>56777</v>
      </c>
      <c r="V34" s="3">
        <f ca="1">IFERROR(__xludf.DUMMYFUNCTION("""COMPUTED_VALUE"""),3.412515109)</f>
        <v>3.4125151090000001</v>
      </c>
      <c r="W34" s="3">
        <f ca="1">IFERROR(__xludf.DUMMYFUNCTION("""COMPUTED_VALUE"""),7500)</f>
        <v>7500</v>
      </c>
      <c r="X34" s="3">
        <f ca="1">IFERROR(__xludf.DUMMYFUNCTION("""COMPUTED_VALUE"""),2475)</f>
        <v>2475</v>
      </c>
      <c r="Y34" s="3">
        <f ca="1">IFERROR(__xludf.DUMMYFUNCTION("""COMPUTED_VALUE"""),264)</f>
        <v>264</v>
      </c>
      <c r="Z34" s="3">
        <f ca="1">IFERROR(__xludf.DUMMYFUNCTION("""COMPUTED_VALUE"""),1779)</f>
        <v>1779</v>
      </c>
      <c r="AA34" s="3">
        <f ca="1">IFERROR(__xludf.DUMMYFUNCTION("""COMPUTED_VALUE"""),432)</f>
        <v>432</v>
      </c>
      <c r="AB34" s="3">
        <f ca="1">IFERROR(__xludf.DUMMYFUNCTION("""COMPUTED_VALUE"""),0)</f>
        <v>0</v>
      </c>
      <c r="AC34" s="3">
        <f ca="1">IFERROR(__xludf.DUMMYFUNCTION("""COMPUTED_VALUE"""),23)</f>
        <v>23</v>
      </c>
      <c r="AD34" s="3" t="str">
        <f ca="1">IFERROR(__xludf.DUMMYFUNCTION("""COMPUTED_VALUE"""),"early")</f>
        <v>early</v>
      </c>
      <c r="AE34" s="3" t="str">
        <f ca="1">IFERROR(__xludf.DUMMYFUNCTION("""COMPUTED_VALUE"""),"2055-06-12T17:30:24.37677Z")</f>
        <v>2055-06-12T17:30:24.37677Z</v>
      </c>
      <c r="AF34" s="3" t="str">
        <f ca="1">IFERROR(__xludf.DUMMYFUNCTION("""COMPUTED_VALUE"""),"2055-06-12T17:37:36.409707Z")</f>
        <v>2055-06-12T17:37:36.409707Z</v>
      </c>
      <c r="AG34" s="3" t="str">
        <f ca="1">IFERROR(__xludf.DUMMYFUNCTION("""COMPUTED_VALUE"""),"2055-06-12T16:55:54.415667Z")</f>
        <v>2055-06-12T16:55:54.415667Z</v>
      </c>
      <c r="AH34" s="3" t="str">
        <f ca="1">IFERROR(__xludf.DUMMYFUNCTION("""COMPUTED_VALUE"""),"2055-06-12T17:00:45.112963Z")</f>
        <v>2055-06-12T17:00:45.112963Z</v>
      </c>
      <c r="AI34" s="3">
        <f ca="1">IFERROR(__xludf.DUMMYFUNCTION("""COMPUTED_VALUE"""),4.54)</f>
        <v>4.54</v>
      </c>
      <c r="AJ34" s="3">
        <f ca="1">IFERROR(__xludf.DUMMYFUNCTION("""COMPUTED_VALUE"""),2229)</f>
        <v>2229</v>
      </c>
      <c r="AK34" s="3">
        <f ca="1">IFERROR(__xludf.DUMMYFUNCTION("""COMPUTED_VALUE"""),6580)</f>
        <v>6580</v>
      </c>
      <c r="AL34" s="3"/>
    </row>
    <row r="35" spans="1:38" ht="15" customHeight="1">
      <c r="A35" s="3">
        <f ca="1">IFERROR(__xludf.DUMMYFUNCTION("""COMPUTED_VALUE"""),252)</f>
        <v>252</v>
      </c>
      <c r="B35" s="3"/>
      <c r="C35" s="3">
        <f ca="1">IFERROR(__xludf.DUMMYFUNCTION("""COMPUTED_VALUE"""),4001)</f>
        <v>4001</v>
      </c>
      <c r="D35" s="3" t="str">
        <f ca="1">IFERROR(__xludf.DUMMYFUNCTION("""COMPUTED_VALUE"""),"Dashattan")</f>
        <v>Dashattan</v>
      </c>
      <c r="E35" s="3" t="str">
        <f ca="1">IFERROR(__xludf.DUMMYFUNCTION("""COMPUTED_VALUE"""),"Galaxy A")</f>
        <v>Galaxy A</v>
      </c>
      <c r="F35" s="3" t="str">
        <f ca="1">IFERROR(__xludf.DUMMYFUNCTION("""COMPUTED_VALUE"""),"KC")</f>
        <v>KC</v>
      </c>
      <c r="G35" s="3">
        <f ca="1">IFERROR(__xludf.DUMMYFUNCTION("""COMPUTED_VALUE"""),0)</f>
        <v>0</v>
      </c>
      <c r="H35" s="3" t="str">
        <f ca="1">IFERROR(__xludf.DUMMYFUNCTION("""COMPUTED_VALUE"""),"car")</f>
        <v>car</v>
      </c>
      <c r="I35" s="3" t="str">
        <f ca="1">IFERROR(__xludf.DUMMYFUNCTION("""COMPUTED_VALUE"""),"2055-06-03T13:53:40.299682Z")</f>
        <v>2055-06-03T13:53:40.299682Z</v>
      </c>
      <c r="J35" s="3" t="str">
        <f ca="1">IFERROR(__xludf.DUMMYFUNCTION("""COMPUTED_VALUE"""),"2055-06-03T14:35:59.38Z")</f>
        <v>2055-06-03T14:35:59.38Z</v>
      </c>
      <c r="K35" s="3" t="str">
        <f ca="1">IFERROR(__xludf.DUMMYFUNCTION("""COMPUTED_VALUE"""),"2055-06-03T14:26:20.38Z")</f>
        <v>2055-06-03T14:26:20.38Z</v>
      </c>
      <c r="L35" s="3">
        <f ca="1">IFERROR(__xludf.DUMMYFUNCTION("""COMPUTED_VALUE"""),1)</f>
        <v>1</v>
      </c>
      <c r="M35" s="3">
        <f ca="1">IFERROR(__xludf.DUMMYFUNCTION("""COMPUTED_VALUE"""),0)</f>
        <v>0</v>
      </c>
      <c r="N35" s="3" t="str">
        <f ca="1">IFERROR(__xludf.DUMMYFUNCTION("""COMPUTED_VALUE"""),"2055-06-03T14:24:22.267753Z")</f>
        <v>2055-06-03T14:24:22.267753Z</v>
      </c>
      <c r="O35" s="3" t="str">
        <f ca="1">IFERROR(__xludf.DUMMYFUNCTION("""COMPUTED_VALUE"""),"2055-06-03T14:41:08.49135Z")</f>
        <v>2055-06-03T14:41:08.49135Z</v>
      </c>
      <c r="P35" s="3" t="str">
        <f ca="1">IFERROR(__xludf.DUMMYFUNCTION("""COMPUTED_VALUE"""),"2055-06-03T14:00:19.017871Z")</f>
        <v>2055-06-03T14:00:19.017871Z</v>
      </c>
      <c r="Q35" s="3">
        <f ca="1">IFERROR(__xludf.DUMMYFUNCTION("""COMPUTED_VALUE"""),1)</f>
        <v>1</v>
      </c>
      <c r="R35" s="3" t="str">
        <f ca="1">IFERROR(__xludf.DUMMYFUNCTION("""COMPUTED_VALUE"""),"2055-06-03T14:00:36.072249Z")</f>
        <v>2055-06-03T14:00:36.072249Z</v>
      </c>
      <c r="S35" s="3" t="str">
        <f ca="1">IFERROR(__xludf.DUMMYFUNCTION("""COMPUTED_VALUE"""),"2055-06-03T14:11:10.316031Z")</f>
        <v>2055-06-03T14:11:10.316031Z</v>
      </c>
      <c r="T35" s="3"/>
      <c r="U35" s="4">
        <f ca="1">IFERROR(__xludf.DUMMYFUNCTION("""COMPUTED_VALUE"""),56768)</f>
        <v>56768</v>
      </c>
      <c r="V35" s="3">
        <f ca="1">IFERROR(__xludf.DUMMYFUNCTION("""COMPUTED_VALUE"""),4.5)</f>
        <v>4.5</v>
      </c>
      <c r="W35" s="3">
        <f ca="1">IFERROR(__xludf.DUMMYFUNCTION("""COMPUTED_VALUE"""),7500)</f>
        <v>7500</v>
      </c>
      <c r="X35" s="3">
        <f ca="1">IFERROR(__xludf.DUMMYFUNCTION("""COMPUTED_VALUE"""),2432)</f>
        <v>2432</v>
      </c>
      <c r="Y35" s="3">
        <f ca="1">IFERROR(__xludf.DUMMYFUNCTION("""COMPUTED_VALUE"""),634)</f>
        <v>634</v>
      </c>
      <c r="Z35" s="3">
        <f ca="1">IFERROR(__xludf.DUMMYFUNCTION("""COMPUTED_VALUE"""),792)</f>
        <v>792</v>
      </c>
      <c r="AA35" s="3">
        <f ca="1">IFERROR(__xludf.DUMMYFUNCTION("""COMPUTED_VALUE"""),1006)</f>
        <v>1006</v>
      </c>
      <c r="AB35" s="3">
        <f ca="1">IFERROR(__xludf.DUMMYFUNCTION("""COMPUTED_VALUE"""),1)</f>
        <v>1</v>
      </c>
      <c r="AC35" s="3">
        <f ca="1">IFERROR(__xludf.DUMMYFUNCTION("""COMPUTED_VALUE"""),16)</f>
        <v>16</v>
      </c>
      <c r="AD35" s="3"/>
      <c r="AE35" s="3" t="str">
        <f ca="1">IFERROR(__xludf.DUMMYFUNCTION("""COMPUTED_VALUE"""),"2055-06-03T10:24:22.267753Z")</f>
        <v>2055-06-03T10:24:22.267753Z</v>
      </c>
      <c r="AF35" s="3" t="str">
        <f ca="1">IFERROR(__xludf.DUMMYFUNCTION("""COMPUTED_VALUE"""),"2055-06-03T10:41:08.49135Z")</f>
        <v>2055-06-03T10:41:08.49135Z</v>
      </c>
      <c r="AG35" s="3" t="str">
        <f ca="1">IFERROR(__xludf.DUMMYFUNCTION("""COMPUTED_VALUE"""),"2055-06-03T10:00:19.017871Z")</f>
        <v>2055-06-03T10:00:19.017871Z</v>
      </c>
      <c r="AH35" s="3" t="str">
        <f ca="1">IFERROR(__xludf.DUMMYFUNCTION("""COMPUTED_VALUE"""),"2055-06-03T10:11:10.316031Z")</f>
        <v>2055-06-03T10:11:10.316031Z</v>
      </c>
      <c r="AI35" s="3">
        <f ca="1">IFERROR(__xludf.DUMMYFUNCTION("""COMPUTED_VALUE"""),4.54)</f>
        <v>4.54</v>
      </c>
      <c r="AJ35" s="3">
        <f ca="1">IFERROR(__xludf.DUMMYFUNCTION("""COMPUTED_VALUE"""),2229)</f>
        <v>2229</v>
      </c>
      <c r="AK35" s="3">
        <f ca="1">IFERROR(__xludf.DUMMYFUNCTION("""COMPUTED_VALUE"""),6580)</f>
        <v>6580</v>
      </c>
      <c r="AL35" s="3"/>
    </row>
    <row r="36" spans="1:38" ht="15" customHeight="1">
      <c r="A36" s="3">
        <f ca="1">IFERROR(__xludf.DUMMYFUNCTION("""COMPUTED_VALUE"""),349)</f>
        <v>349</v>
      </c>
      <c r="B36" s="3">
        <f ca="1">IFERROR(__xludf.DUMMYFUNCTION("""COMPUTED_VALUE"""),5)</f>
        <v>5</v>
      </c>
      <c r="C36" s="3">
        <f ca="1">IFERROR(__xludf.DUMMYFUNCTION("""COMPUTED_VALUE"""),4050)</f>
        <v>4050</v>
      </c>
      <c r="D36" s="3" t="str">
        <f ca="1">IFERROR(__xludf.DUMMYFUNCTION("""COMPUTED_VALUE"""),"Doorlanta")</f>
        <v>Doorlanta</v>
      </c>
      <c r="E36" s="3" t="str">
        <f ca="1">IFERROR(__xludf.DUMMYFUNCTION("""COMPUTED_VALUE"""),"Galaxy A")</f>
        <v>Galaxy A</v>
      </c>
      <c r="F36" s="3" t="str">
        <f ca="1">IFERROR(__xludf.DUMMYFUNCTION("""COMPUTED_VALUE"""),"Anisha")</f>
        <v>Anisha</v>
      </c>
      <c r="G36" s="3">
        <f ca="1">IFERROR(__xludf.DUMMYFUNCTION("""COMPUTED_VALUE"""),0)</f>
        <v>0</v>
      </c>
      <c r="H36" s="3" t="str">
        <f ca="1">IFERROR(__xludf.DUMMYFUNCTION("""COMPUTED_VALUE"""),"car")</f>
        <v>car</v>
      </c>
      <c r="I36" s="3" t="str">
        <f ca="1">IFERROR(__xludf.DUMMYFUNCTION("""COMPUTED_VALUE"""),"2055-06-03T22:33:56.344997Z")</f>
        <v>2055-06-03T22:33:56.344997Z</v>
      </c>
      <c r="J36" s="3" t="str">
        <f ca="1">IFERROR(__xludf.DUMMYFUNCTION("""COMPUTED_VALUE"""),"2055-06-03T23:36:22.418Z")</f>
        <v>2055-06-03T23:36:22.418Z</v>
      </c>
      <c r="K36" s="3" t="str">
        <f ca="1">IFERROR(__xludf.DUMMYFUNCTION("""COMPUTED_VALUE"""),"2055-06-03T23:17:29.418Z")</f>
        <v>2055-06-03T23:17:29.418Z</v>
      </c>
      <c r="L36" s="3">
        <f ca="1">IFERROR(__xludf.DUMMYFUNCTION("""COMPUTED_VALUE"""),1)</f>
        <v>1</v>
      </c>
      <c r="M36" s="3">
        <f ca="1">IFERROR(__xludf.DUMMYFUNCTION("""COMPUTED_VALUE"""),0)</f>
        <v>0</v>
      </c>
      <c r="N36" s="3" t="str">
        <f ca="1">IFERROR(__xludf.DUMMYFUNCTION("""COMPUTED_VALUE"""),"2055-06-03T22:56:12.623884Z")</f>
        <v>2055-06-03T22:56:12.623884Z</v>
      </c>
      <c r="O36" s="3" t="str">
        <f ca="1">IFERROR(__xludf.DUMMYFUNCTION("""COMPUTED_VALUE"""),"2055-06-03T23:12:59.845577Z")</f>
        <v>2055-06-03T23:12:59.845577Z</v>
      </c>
      <c r="P36" s="3" t="str">
        <f ca="1">IFERROR(__xludf.DUMMYFUNCTION("""COMPUTED_VALUE"""),"2055-06-03T22:34:07.37549Z")</f>
        <v>2055-06-03T22:34:07.37549Z</v>
      </c>
      <c r="Q36" s="3">
        <f ca="1">IFERROR(__xludf.DUMMYFUNCTION("""COMPUTED_VALUE"""),0)</f>
        <v>0</v>
      </c>
      <c r="R36" s="3" t="str">
        <f ca="1">IFERROR(__xludf.DUMMYFUNCTION("""COMPUTED_VALUE"""),"2055-06-03T22:34:12.598085Z")</f>
        <v>2055-06-03T22:34:12.598085Z</v>
      </c>
      <c r="S36" s="3"/>
      <c r="T36" s="3"/>
      <c r="U36" s="4">
        <f ca="1">IFERROR(__xludf.DUMMYFUNCTION("""COMPUTED_VALUE"""),56768)</f>
        <v>56768</v>
      </c>
      <c r="V36" s="3">
        <f ca="1">IFERROR(__xludf.DUMMYFUNCTION("""COMPUTED_VALUE"""),4.8)</f>
        <v>4.8</v>
      </c>
      <c r="W36" s="3">
        <f ca="1">IFERROR(__xludf.DUMMYFUNCTION("""COMPUTED_VALUE"""),7500)</f>
        <v>7500</v>
      </c>
      <c r="X36" s="3">
        <f ca="1">IFERROR(__xludf.DUMMYFUNCTION("""COMPUTED_VALUE"""),2327)</f>
        <v>2327</v>
      </c>
      <c r="Y36" s="3"/>
      <c r="Z36" s="3"/>
      <c r="AA36" s="3">
        <f ca="1">IFERROR(__xludf.DUMMYFUNCTION("""COMPUTED_VALUE"""),1007)</f>
        <v>1007</v>
      </c>
      <c r="AB36" s="3">
        <f ca="1">IFERROR(__xludf.DUMMYFUNCTION("""COMPUTED_VALUE"""),0)</f>
        <v>0</v>
      </c>
      <c r="AC36" s="3">
        <f ca="1">IFERROR(__xludf.DUMMYFUNCTION("""COMPUTED_VALUE"""),17)</f>
        <v>17</v>
      </c>
      <c r="AD36" s="3"/>
      <c r="AE36" s="3" t="str">
        <f ca="1">IFERROR(__xludf.DUMMYFUNCTION("""COMPUTED_VALUE"""),"2055-06-03T18:56:12.623884Z")</f>
        <v>2055-06-03T18:56:12.623884Z</v>
      </c>
      <c r="AF36" s="3" t="str">
        <f ca="1">IFERROR(__xludf.DUMMYFUNCTION("""COMPUTED_VALUE"""),"2055-06-03T19:12:59.845577Z")</f>
        <v>2055-06-03T19:12:59.845577Z</v>
      </c>
      <c r="AG36" s="3" t="str">
        <f ca="1">IFERROR(__xludf.DUMMYFUNCTION("""COMPUTED_VALUE"""),"2055-06-03T18:34:07.37549Z")</f>
        <v>2055-06-03T18:34:07.37549Z</v>
      </c>
      <c r="AH36" s="3"/>
      <c r="AI36" s="3">
        <f ca="1">IFERROR(__xludf.DUMMYFUNCTION("""COMPUTED_VALUE"""),4.7)</f>
        <v>4.7</v>
      </c>
      <c r="AJ36" s="3">
        <f ca="1">IFERROR(__xludf.DUMMYFUNCTION("""COMPUTED_VALUE"""),272)</f>
        <v>272</v>
      </c>
      <c r="AK36" s="3">
        <f ca="1">IFERROR(__xludf.DUMMYFUNCTION("""COMPUTED_VALUE"""),931)</f>
        <v>931</v>
      </c>
      <c r="AL36" s="3">
        <f ca="1">IFERROR(__xludf.DUMMYFUNCTION("""COMPUTED_VALUE"""),144)</f>
        <v>144</v>
      </c>
    </row>
    <row r="37" spans="1:38" ht="15" customHeight="1">
      <c r="A37" s="3">
        <f ca="1">IFERROR(__xludf.DUMMYFUNCTION("""COMPUTED_VALUE"""),528)</f>
        <v>528</v>
      </c>
      <c r="B37" s="3">
        <f ca="1">IFERROR(__xludf.DUMMYFUNCTION("""COMPUTED_VALUE"""),5)</f>
        <v>5</v>
      </c>
      <c r="C37" s="3">
        <f ca="1">IFERROR(__xludf.DUMMYFUNCTION("""COMPUTED_VALUE"""),4050)</f>
        <v>4050</v>
      </c>
      <c r="D37" s="3" t="str">
        <f ca="1">IFERROR(__xludf.DUMMYFUNCTION("""COMPUTED_VALUE"""),"Doorlanta")</f>
        <v>Doorlanta</v>
      </c>
      <c r="E37" s="3" t="str">
        <f ca="1">IFERROR(__xludf.DUMMYFUNCTION("""COMPUTED_VALUE"""),"Galaxy A")</f>
        <v>Galaxy A</v>
      </c>
      <c r="F37" s="3" t="str">
        <f ca="1">IFERROR(__xludf.DUMMYFUNCTION("""COMPUTED_VALUE"""),"Cate")</f>
        <v>Cate</v>
      </c>
      <c r="G37" s="3">
        <f ca="1">IFERROR(__xludf.DUMMYFUNCTION("""COMPUTED_VALUE"""),0)</f>
        <v>0</v>
      </c>
      <c r="H37" s="3" t="str">
        <f ca="1">IFERROR(__xludf.DUMMYFUNCTION("""COMPUTED_VALUE"""),"car")</f>
        <v>car</v>
      </c>
      <c r="I37" s="3" t="str">
        <f ca="1">IFERROR(__xludf.DUMMYFUNCTION("""COMPUTED_VALUE"""),"2055-06-05T01:34:44.099926Z")</f>
        <v>2055-06-05T01:34:44.099926Z</v>
      </c>
      <c r="J37" s="3" t="str">
        <f ca="1">IFERROR(__xludf.DUMMYFUNCTION("""COMPUTED_VALUE"""),"2055-06-05T02:29:44.21Z")</f>
        <v>2055-06-05T02:29:44.21Z</v>
      </c>
      <c r="K37" s="3" t="str">
        <f ca="1">IFERROR(__xludf.DUMMYFUNCTION("""COMPUTED_VALUE"""),"2055-06-05T02:08:26.21Z")</f>
        <v>2055-06-05T02:08:26.21Z</v>
      </c>
      <c r="L37" s="3">
        <f ca="1">IFERROR(__xludf.DUMMYFUNCTION("""COMPUTED_VALUE"""),1)</f>
        <v>1</v>
      </c>
      <c r="M37" s="3">
        <f ca="1">IFERROR(__xludf.DUMMYFUNCTION("""COMPUTED_VALUE"""),0)</f>
        <v>0</v>
      </c>
      <c r="N37" s="3" t="str">
        <f ca="1">IFERROR(__xludf.DUMMYFUNCTION("""COMPUTED_VALUE"""),"2055-06-05T02:11:24.746754Z")</f>
        <v>2055-06-05T02:11:24.746754Z</v>
      </c>
      <c r="O37" s="3" t="str">
        <f ca="1">IFERROR(__xludf.DUMMYFUNCTION("""COMPUTED_VALUE"""),"2055-06-05T02:23:03.370921Z")</f>
        <v>2055-06-05T02:23:03.370921Z</v>
      </c>
      <c r="P37" s="3" t="str">
        <f ca="1">IFERROR(__xludf.DUMMYFUNCTION("""COMPUTED_VALUE"""),"2055-06-05T01:44:47.367076Z")</f>
        <v>2055-06-05T01:44:47.367076Z</v>
      </c>
      <c r="Q37" s="3">
        <f ca="1">IFERROR(__xludf.DUMMYFUNCTION("""COMPUTED_VALUE"""),0)</f>
        <v>0</v>
      </c>
      <c r="R37" s="3" t="str">
        <f ca="1">IFERROR(__xludf.DUMMYFUNCTION("""COMPUTED_VALUE"""),"2055-06-05T01:44:51.191099Z")</f>
        <v>2055-06-05T01:44:51.191099Z</v>
      </c>
      <c r="S37" s="3" t="str">
        <f ca="1">IFERROR(__xludf.DUMMYFUNCTION("""COMPUTED_VALUE"""),"2055-06-05T02:05:03.516913Z")</f>
        <v>2055-06-05T02:05:03.516913Z</v>
      </c>
      <c r="T37" s="3"/>
      <c r="U37" s="4">
        <f ca="1">IFERROR(__xludf.DUMMYFUNCTION("""COMPUTED_VALUE"""),56769)</f>
        <v>56769</v>
      </c>
      <c r="V37" s="3">
        <f ca="1">IFERROR(__xludf.DUMMYFUNCTION("""COMPUTED_VALUE"""),4.6)</f>
        <v>4.5999999999999996</v>
      </c>
      <c r="W37" s="3">
        <f ca="1">IFERROR(__xludf.DUMMYFUNCTION("""COMPUTED_VALUE"""),7500)</f>
        <v>7500</v>
      </c>
      <c r="X37" s="3">
        <f ca="1">IFERROR(__xludf.DUMMYFUNCTION("""COMPUTED_VALUE"""),2292)</f>
        <v>2292</v>
      </c>
      <c r="Y37" s="3">
        <f ca="1">IFERROR(__xludf.DUMMYFUNCTION("""COMPUTED_VALUE"""),1212)</f>
        <v>1212</v>
      </c>
      <c r="Z37" s="3">
        <f ca="1">IFERROR(__xludf.DUMMYFUNCTION("""COMPUTED_VALUE"""),381)</f>
        <v>381</v>
      </c>
      <c r="AA37" s="3">
        <f ca="1">IFERROR(__xludf.DUMMYFUNCTION("""COMPUTED_VALUE"""),699)</f>
        <v>699</v>
      </c>
      <c r="AB37" s="3">
        <f ca="1">IFERROR(__xludf.DUMMYFUNCTION("""COMPUTED_VALUE"""),0)</f>
        <v>0</v>
      </c>
      <c r="AC37" s="3">
        <f ca="1">IFERROR(__xludf.DUMMYFUNCTION("""COMPUTED_VALUE"""),7)</f>
        <v>7</v>
      </c>
      <c r="AD37" s="3" t="str">
        <f ca="1">IFERROR(__xludf.DUMMYFUNCTION("""COMPUTED_VALUE"""),"late")</f>
        <v>late</v>
      </c>
      <c r="AE37" s="3" t="str">
        <f ca="1">IFERROR(__xludf.DUMMYFUNCTION("""COMPUTED_VALUE"""),"2055-06-04T22:11:24.746754Z")</f>
        <v>2055-06-04T22:11:24.746754Z</v>
      </c>
      <c r="AF37" s="3" t="str">
        <f ca="1">IFERROR(__xludf.DUMMYFUNCTION("""COMPUTED_VALUE"""),"2055-06-04T22:23:03.370921Z")</f>
        <v>2055-06-04T22:23:03.370921Z</v>
      </c>
      <c r="AG37" s="3" t="str">
        <f ca="1">IFERROR(__xludf.DUMMYFUNCTION("""COMPUTED_VALUE"""),"2055-06-04T21:44:47.367076Z")</f>
        <v>2055-06-04T21:44:47.367076Z</v>
      </c>
      <c r="AH37" s="3" t="str">
        <f ca="1">IFERROR(__xludf.DUMMYFUNCTION("""COMPUTED_VALUE"""),"2055-06-04T22:05:03.516913Z")</f>
        <v>2055-06-04T22:05:03.516913Z</v>
      </c>
      <c r="AI37" s="3">
        <f ca="1">IFERROR(__xludf.DUMMYFUNCTION("""COMPUTED_VALUE"""),4.49)</f>
        <v>4.49</v>
      </c>
      <c r="AJ37" s="3">
        <f ca="1">IFERROR(__xludf.DUMMYFUNCTION("""COMPUTED_VALUE"""),2315)</f>
        <v>2315</v>
      </c>
      <c r="AK37" s="3">
        <f ca="1">IFERROR(__xludf.DUMMYFUNCTION("""COMPUTED_VALUE"""),7039)</f>
        <v>7039</v>
      </c>
      <c r="AL37" s="3">
        <f ca="1">IFERROR(__xludf.DUMMYFUNCTION("""COMPUTED_VALUE"""),763)</f>
        <v>763</v>
      </c>
    </row>
    <row r="38" spans="1:38" ht="15" customHeight="1">
      <c r="A38" s="3">
        <f ca="1">IFERROR(__xludf.DUMMYFUNCTION("""COMPUTED_VALUE"""),104)</f>
        <v>104</v>
      </c>
      <c r="B38" s="3"/>
      <c r="C38" s="3">
        <f ca="1">IFERROR(__xludf.DUMMYFUNCTION("""COMPUTED_VALUE"""),4001)</f>
        <v>4001</v>
      </c>
      <c r="D38" s="3" t="str">
        <f ca="1">IFERROR(__xludf.DUMMYFUNCTION("""COMPUTED_VALUE"""),"Dashattan")</f>
        <v>Dashattan</v>
      </c>
      <c r="E38" s="3" t="str">
        <f ca="1">IFERROR(__xludf.DUMMYFUNCTION("""COMPUTED_VALUE"""),"Galaxy A")</f>
        <v>Galaxy A</v>
      </c>
      <c r="F38" s="3" t="str">
        <f ca="1">IFERROR(__xludf.DUMMYFUNCTION("""COMPUTED_VALUE"""),"Arya")</f>
        <v>Arya</v>
      </c>
      <c r="G38" s="3">
        <f ca="1">IFERROR(__xludf.DUMMYFUNCTION("""COMPUTED_VALUE"""),0)</f>
        <v>0</v>
      </c>
      <c r="H38" s="3" t="str">
        <f ca="1">IFERROR(__xludf.DUMMYFUNCTION("""COMPUTED_VALUE"""),"bicycle")</f>
        <v>bicycle</v>
      </c>
      <c r="I38" s="3" t="str">
        <f ca="1">IFERROR(__xludf.DUMMYFUNCTION("""COMPUTED_VALUE"""),"2055-06-02T01:20:42.291878Z")</f>
        <v>2055-06-02T01:20:42.291878Z</v>
      </c>
      <c r="J38" s="3" t="str">
        <f ca="1">IFERROR(__xludf.DUMMYFUNCTION("""COMPUTED_VALUE"""),"2055-06-02T02:10:22.35Z")</f>
        <v>2055-06-02T02:10:22.35Z</v>
      </c>
      <c r="K38" s="3" t="str">
        <f ca="1">IFERROR(__xludf.DUMMYFUNCTION("""COMPUTED_VALUE"""),"2055-06-02T01:55:43.35Z")</f>
        <v>2055-06-02T01:55:43.35Z</v>
      </c>
      <c r="L38" s="3">
        <f ca="1">IFERROR(__xludf.DUMMYFUNCTION("""COMPUTED_VALUE"""),1)</f>
        <v>1</v>
      </c>
      <c r="M38" s="3">
        <f ca="1">IFERROR(__xludf.DUMMYFUNCTION("""COMPUTED_VALUE"""),0)</f>
        <v>0</v>
      </c>
      <c r="N38" s="3" t="str">
        <f ca="1">IFERROR(__xludf.DUMMYFUNCTION("""COMPUTED_VALUE"""),"2055-06-02T01:43:03.031108Z")</f>
        <v>2055-06-02T01:43:03.031108Z</v>
      </c>
      <c r="O38" s="3" t="str">
        <f ca="1">IFERROR(__xludf.DUMMYFUNCTION("""COMPUTED_VALUE"""),"2055-06-02T01:51:41.123571Z")</f>
        <v>2055-06-02T01:51:41.123571Z</v>
      </c>
      <c r="P38" s="3" t="str">
        <f ca="1">IFERROR(__xludf.DUMMYFUNCTION("""COMPUTED_VALUE"""),"2055-06-02T01:26:54.526136Z")</f>
        <v>2055-06-02T01:26:54.526136Z</v>
      </c>
      <c r="Q38" s="3">
        <f ca="1">IFERROR(__xludf.DUMMYFUNCTION("""COMPUTED_VALUE"""),0)</f>
        <v>0</v>
      </c>
      <c r="R38" s="3" t="str">
        <f ca="1">IFERROR(__xludf.DUMMYFUNCTION("""COMPUTED_VALUE"""),"2055-06-02T01:27:36.185254Z")</f>
        <v>2055-06-02T01:27:36.185254Z</v>
      </c>
      <c r="S38" s="3" t="str">
        <f ca="1">IFERROR(__xludf.DUMMYFUNCTION("""COMPUTED_VALUE"""),"2055-06-02T01:38:52.584896Z")</f>
        <v>2055-06-02T01:38:52.584896Z</v>
      </c>
      <c r="T38" s="3"/>
      <c r="U38" s="4">
        <f ca="1">IFERROR(__xludf.DUMMYFUNCTION("""COMPUTED_VALUE"""),56766)</f>
        <v>56766</v>
      </c>
      <c r="V38" s="3">
        <f ca="1">IFERROR(__xludf.DUMMYFUNCTION("""COMPUTED_VALUE"""),2.697518646)</f>
        <v>2.6975186459999998</v>
      </c>
      <c r="W38" s="3">
        <f ca="1">IFERROR(__xludf.DUMMYFUNCTION("""COMPUTED_VALUE"""),7500)</f>
        <v>7500</v>
      </c>
      <c r="X38" s="3">
        <f ca="1">IFERROR(__xludf.DUMMYFUNCTION("""COMPUTED_VALUE"""),1445)</f>
        <v>1445</v>
      </c>
      <c r="Y38" s="3">
        <f ca="1">IFERROR(__xludf.DUMMYFUNCTION("""COMPUTED_VALUE"""),676)</f>
        <v>676</v>
      </c>
      <c r="Z38" s="3">
        <f ca="1">IFERROR(__xludf.DUMMYFUNCTION("""COMPUTED_VALUE"""),251)</f>
        <v>251</v>
      </c>
      <c r="AA38" s="3">
        <f ca="1">IFERROR(__xludf.DUMMYFUNCTION("""COMPUTED_VALUE"""),518)</f>
        <v>518</v>
      </c>
      <c r="AB38" s="3">
        <f ca="1">IFERROR(__xludf.DUMMYFUNCTION("""COMPUTED_VALUE"""),0)</f>
        <v>0</v>
      </c>
      <c r="AC38" s="3">
        <f ca="1">IFERROR(__xludf.DUMMYFUNCTION("""COMPUTED_VALUE"""),4)</f>
        <v>4</v>
      </c>
      <c r="AD38" s="3" t="str">
        <f ca="1">IFERROR(__xludf.DUMMYFUNCTION("""COMPUTED_VALUE"""),"on time")</f>
        <v>on time</v>
      </c>
      <c r="AE38" s="3" t="str">
        <f ca="1">IFERROR(__xludf.DUMMYFUNCTION("""COMPUTED_VALUE"""),"2055-06-01T21:43:03.031108Z")</f>
        <v>2055-06-01T21:43:03.031108Z</v>
      </c>
      <c r="AF38" s="3" t="str">
        <f ca="1">IFERROR(__xludf.DUMMYFUNCTION("""COMPUTED_VALUE"""),"2055-06-01T21:51:41.123571Z")</f>
        <v>2055-06-01T21:51:41.123571Z</v>
      </c>
      <c r="AG38" s="3" t="str">
        <f ca="1">IFERROR(__xludf.DUMMYFUNCTION("""COMPUTED_VALUE"""),"2055-06-01T21:26:54.526136Z")</f>
        <v>2055-06-01T21:26:54.526136Z</v>
      </c>
      <c r="AH38" s="3" t="str">
        <f ca="1">IFERROR(__xludf.DUMMYFUNCTION("""COMPUTED_VALUE"""),"2055-06-01T21:38:52.584896Z")</f>
        <v>2055-06-01T21:38:52.584896Z</v>
      </c>
      <c r="AI38" s="3">
        <f ca="1">IFERROR(__xludf.DUMMYFUNCTION("""COMPUTED_VALUE"""),4.17)</f>
        <v>4.17</v>
      </c>
      <c r="AJ38" s="3">
        <f ca="1">IFERROR(__xludf.DUMMYFUNCTION("""COMPUTED_VALUE"""),457)</f>
        <v>457</v>
      </c>
      <c r="AK38" s="3">
        <f ca="1">IFERROR(__xludf.DUMMYFUNCTION("""COMPUTED_VALUE"""),1599)</f>
        <v>1599</v>
      </c>
      <c r="AL38" s="3"/>
    </row>
    <row r="39" spans="1:38" ht="15" customHeight="1">
      <c r="A39" s="3">
        <f ca="1">IFERROR(__xludf.DUMMYFUNCTION("""COMPUTED_VALUE"""),195)</f>
        <v>195</v>
      </c>
      <c r="B39" s="3">
        <f ca="1">IFERROR(__xludf.DUMMYFUNCTION("""COMPUTED_VALUE"""),5)</f>
        <v>5</v>
      </c>
      <c r="C39" s="3">
        <f ca="1">IFERROR(__xludf.DUMMYFUNCTION("""COMPUTED_VALUE"""),4050)</f>
        <v>4050</v>
      </c>
      <c r="D39" s="3" t="str">
        <f ca="1">IFERROR(__xludf.DUMMYFUNCTION("""COMPUTED_VALUE"""),"Doorlanta")</f>
        <v>Doorlanta</v>
      </c>
      <c r="E39" s="3" t="str">
        <f ca="1">IFERROR(__xludf.DUMMYFUNCTION("""COMPUTED_VALUE"""),"Galaxy A")</f>
        <v>Galaxy A</v>
      </c>
      <c r="F39" s="3" t="str">
        <f ca="1">IFERROR(__xludf.DUMMYFUNCTION("""COMPUTED_VALUE"""),"Hersh")</f>
        <v>Hersh</v>
      </c>
      <c r="G39" s="3">
        <f ca="1">IFERROR(__xludf.DUMMYFUNCTION("""COMPUTED_VALUE"""),0)</f>
        <v>0</v>
      </c>
      <c r="H39" s="3" t="str">
        <f ca="1">IFERROR(__xludf.DUMMYFUNCTION("""COMPUTED_VALUE"""),"car")</f>
        <v>car</v>
      </c>
      <c r="I39" s="3" t="str">
        <f ca="1">IFERROR(__xludf.DUMMYFUNCTION("""COMPUTED_VALUE"""),"2055-06-02T22:48:18.7991Z")</f>
        <v>2055-06-02T22:48:18.7991Z</v>
      </c>
      <c r="J39" s="3" t="str">
        <f ca="1">IFERROR(__xludf.DUMMYFUNCTION("""COMPUTED_VALUE"""),"2055-06-02T23:43:19.081Z")</f>
        <v>2055-06-02T23:43:19.081Z</v>
      </c>
      <c r="K39" s="3" t="str">
        <f ca="1">IFERROR(__xludf.DUMMYFUNCTION("""COMPUTED_VALUE"""),"2055-06-02T23:22:19.081Z")</f>
        <v>2055-06-02T23:22:19.081Z</v>
      </c>
      <c r="L39" s="3">
        <f ca="1">IFERROR(__xludf.DUMMYFUNCTION("""COMPUTED_VALUE"""),1)</f>
        <v>1</v>
      </c>
      <c r="M39" s="3">
        <f ca="1">IFERROR(__xludf.DUMMYFUNCTION("""COMPUTED_VALUE"""),0)</f>
        <v>0</v>
      </c>
      <c r="N39" s="3" t="str">
        <f ca="1">IFERROR(__xludf.DUMMYFUNCTION("""COMPUTED_VALUE"""),"2055-06-02T23:17:56.920722Z")</f>
        <v>2055-06-02T23:17:56.920722Z</v>
      </c>
      <c r="O39" s="3" t="str">
        <f ca="1">IFERROR(__xludf.DUMMYFUNCTION("""COMPUTED_VALUE"""),"2055-06-02T23:32:21.439285Z")</f>
        <v>2055-06-02T23:32:21.439285Z</v>
      </c>
      <c r="P39" s="3" t="str">
        <f ca="1">IFERROR(__xludf.DUMMYFUNCTION("""COMPUTED_VALUE"""),"2055-06-02T22:48:27.483323Z")</f>
        <v>2055-06-02T22:48:27.483323Z</v>
      </c>
      <c r="Q39" s="3">
        <f ca="1">IFERROR(__xludf.DUMMYFUNCTION("""COMPUTED_VALUE"""),0)</f>
        <v>0</v>
      </c>
      <c r="R39" s="3" t="str">
        <f ca="1">IFERROR(__xludf.DUMMYFUNCTION("""COMPUTED_VALUE"""),"2055-06-02T22:48:38.091622Z")</f>
        <v>2055-06-02T22:48:38.091622Z</v>
      </c>
      <c r="S39" s="3" t="str">
        <f ca="1">IFERROR(__xludf.DUMMYFUNCTION("""COMPUTED_VALUE"""),"2055-06-02T23:02:03.903694Z")</f>
        <v>2055-06-02T23:02:03.903694Z</v>
      </c>
      <c r="T39" s="3"/>
      <c r="U39" s="4">
        <f ca="1">IFERROR(__xludf.DUMMYFUNCTION("""COMPUTED_VALUE"""),56767)</f>
        <v>56767</v>
      </c>
      <c r="V39" s="3">
        <f ca="1">IFERROR(__xludf.DUMMYFUNCTION("""COMPUTED_VALUE"""),4.7)</f>
        <v>4.7</v>
      </c>
      <c r="W39" s="3">
        <f ca="1">IFERROR(__xludf.DUMMYFUNCTION("""COMPUTED_VALUE"""),7500)</f>
        <v>7500</v>
      </c>
      <c r="X39" s="3">
        <f ca="1">IFERROR(__xludf.DUMMYFUNCTION("""COMPUTED_VALUE"""),2623)</f>
        <v>2623</v>
      </c>
      <c r="Y39" s="3">
        <f ca="1">IFERROR(__xludf.DUMMYFUNCTION("""COMPUTED_VALUE"""),805)</f>
        <v>805</v>
      </c>
      <c r="Z39" s="3">
        <f ca="1">IFERROR(__xludf.DUMMYFUNCTION("""COMPUTED_VALUE"""),953)</f>
        <v>953</v>
      </c>
      <c r="AA39" s="3">
        <f ca="1">IFERROR(__xludf.DUMMYFUNCTION("""COMPUTED_VALUE"""),865)</f>
        <v>865</v>
      </c>
      <c r="AB39" s="3">
        <f ca="1">IFERROR(__xludf.DUMMYFUNCTION("""COMPUTED_VALUE"""),0)</f>
        <v>0</v>
      </c>
      <c r="AC39" s="3">
        <f ca="1">IFERROR(__xludf.DUMMYFUNCTION("""COMPUTED_VALUE"""),5)</f>
        <v>5</v>
      </c>
      <c r="AD39" s="3" t="str">
        <f ca="1">IFERROR(__xludf.DUMMYFUNCTION("""COMPUTED_VALUE"""),"on time")</f>
        <v>on time</v>
      </c>
      <c r="AE39" s="3" t="str">
        <f ca="1">IFERROR(__xludf.DUMMYFUNCTION("""COMPUTED_VALUE"""),"2055-06-02T19:17:56.920722Z")</f>
        <v>2055-06-02T19:17:56.920722Z</v>
      </c>
      <c r="AF39" s="3" t="str">
        <f ca="1">IFERROR(__xludf.DUMMYFUNCTION("""COMPUTED_VALUE"""),"2055-06-02T19:32:21.439285Z")</f>
        <v>2055-06-02T19:32:21.439285Z</v>
      </c>
      <c r="AG39" s="3" t="str">
        <f ca="1">IFERROR(__xludf.DUMMYFUNCTION("""COMPUTED_VALUE"""),"2055-06-02T18:48:27.483323Z")</f>
        <v>2055-06-02T18:48:27.483323Z</v>
      </c>
      <c r="AH39" s="3" t="str">
        <f ca="1">IFERROR(__xludf.DUMMYFUNCTION("""COMPUTED_VALUE"""),"2055-06-02T19:02:03.903694Z")</f>
        <v>2055-06-02T19:02:03.903694Z</v>
      </c>
      <c r="AI39" s="3">
        <f ca="1">IFERROR(__xludf.DUMMYFUNCTION("""COMPUTED_VALUE"""),4.7)</f>
        <v>4.7</v>
      </c>
      <c r="AJ39" s="3">
        <f ca="1">IFERROR(__xludf.DUMMYFUNCTION("""COMPUTED_VALUE"""),212)</f>
        <v>212</v>
      </c>
      <c r="AK39" s="3">
        <f ca="1">IFERROR(__xludf.DUMMYFUNCTION("""COMPUTED_VALUE"""),624)</f>
        <v>624</v>
      </c>
      <c r="AL39" s="3">
        <f ca="1">IFERROR(__xludf.DUMMYFUNCTION("""COMPUTED_VALUE"""),347)</f>
        <v>347</v>
      </c>
    </row>
    <row r="40" spans="1:38" ht="15" customHeight="1">
      <c r="A40" s="3">
        <f ca="1">IFERROR(__xludf.DUMMYFUNCTION("""COMPUTED_VALUE"""),735)</f>
        <v>735</v>
      </c>
      <c r="B40" s="3">
        <f ca="1">IFERROR(__xludf.DUMMYFUNCTION("""COMPUTED_VALUE"""),1)</f>
        <v>1</v>
      </c>
      <c r="C40" s="3">
        <f ca="1">IFERROR(__xludf.DUMMYFUNCTION("""COMPUTED_VALUE"""),4001)</f>
        <v>4001</v>
      </c>
      <c r="D40" s="3" t="str">
        <f ca="1">IFERROR(__xludf.DUMMYFUNCTION("""COMPUTED_VALUE"""),"Dashattan")</f>
        <v>Dashattan</v>
      </c>
      <c r="E40" s="3" t="str">
        <f ca="1">IFERROR(__xludf.DUMMYFUNCTION("""COMPUTED_VALUE"""),"Galaxy A")</f>
        <v>Galaxy A</v>
      </c>
      <c r="F40" s="3" t="str">
        <f ca="1">IFERROR(__xludf.DUMMYFUNCTION("""COMPUTED_VALUE"""),"Rojan")</f>
        <v>Rojan</v>
      </c>
      <c r="G40" s="3">
        <f ca="1">IFERROR(__xludf.DUMMYFUNCTION("""COMPUTED_VALUE"""),0)</f>
        <v>0</v>
      </c>
      <c r="H40" s="3" t="str">
        <f ca="1">IFERROR(__xludf.DUMMYFUNCTION("""COMPUTED_VALUE"""),"bicycle")</f>
        <v>bicycle</v>
      </c>
      <c r="I40" s="3" t="str">
        <f ca="1">IFERROR(__xludf.DUMMYFUNCTION("""COMPUTED_VALUE"""),"2055-06-06T16:05:07.268663Z")</f>
        <v>2055-06-06T16:05:07.268663Z</v>
      </c>
      <c r="J40" s="3" t="str">
        <f ca="1">IFERROR(__xludf.DUMMYFUNCTION("""COMPUTED_VALUE"""),"2055-06-10T15:30:00Z")</f>
        <v>2055-06-10T15:30:00Z</v>
      </c>
      <c r="K40" s="3" t="str">
        <f ca="1">IFERROR(__xludf.DUMMYFUNCTION("""COMPUTED_VALUE"""),"2055-06-10T15:30:00Z")</f>
        <v>2055-06-10T15:30:00Z</v>
      </c>
      <c r="L40" s="3">
        <f ca="1">IFERROR(__xludf.DUMMYFUNCTION("""COMPUTED_VALUE"""),0)</f>
        <v>0</v>
      </c>
      <c r="M40" s="3">
        <f ca="1">IFERROR(__xludf.DUMMYFUNCTION("""COMPUTED_VALUE"""),0)</f>
        <v>0</v>
      </c>
      <c r="N40" s="3" t="str">
        <f ca="1">IFERROR(__xludf.DUMMYFUNCTION("""COMPUTED_VALUE"""),"2055-06-10T14:44:52.018664Z")</f>
        <v>2055-06-10T14:44:52.018664Z</v>
      </c>
      <c r="O40" s="3" t="str">
        <f ca="1">IFERROR(__xludf.DUMMYFUNCTION("""COMPUTED_VALUE"""),"2055-06-10T14:55:28.739002Z")</f>
        <v>2055-06-10T14:55:28.739002Z</v>
      </c>
      <c r="P40" s="3" t="str">
        <f ca="1">IFERROR(__xludf.DUMMYFUNCTION("""COMPUTED_VALUE"""),"2055-06-10T14:31:54.182274Z")</f>
        <v>2055-06-10T14:31:54.182274Z</v>
      </c>
      <c r="Q40" s="3">
        <f ca="1">IFERROR(__xludf.DUMMYFUNCTION("""COMPUTED_VALUE"""),0)</f>
        <v>0</v>
      </c>
      <c r="R40" s="3" t="str">
        <f ca="1">IFERROR(__xludf.DUMMYFUNCTION("""COMPUTED_VALUE"""),"2055-06-10T14:32:02.882878Z")</f>
        <v>2055-06-10T14:32:02.882878Z</v>
      </c>
      <c r="S40" s="3" t="str">
        <f ca="1">IFERROR(__xludf.DUMMYFUNCTION("""COMPUTED_VALUE"""),"2055-06-10T14:36:50.807189Z")</f>
        <v>2055-06-10T14:36:50.807189Z</v>
      </c>
      <c r="T40" s="3"/>
      <c r="U40" s="4">
        <f ca="1">IFERROR(__xludf.DUMMYFUNCTION("""COMPUTED_VALUE"""),56775)</f>
        <v>56775</v>
      </c>
      <c r="V40" s="3">
        <f ca="1">IFERROR(__xludf.DUMMYFUNCTION("""COMPUTED_VALUE"""),4.5)</f>
        <v>4.5</v>
      </c>
      <c r="W40" s="3">
        <f ca="1">IFERROR(__xludf.DUMMYFUNCTION("""COMPUTED_VALUE"""),7500)</f>
        <v>7500</v>
      </c>
      <c r="X40" s="3">
        <f ca="1">IFERROR(__xludf.DUMMYFUNCTION("""COMPUTED_VALUE"""),1406)</f>
        <v>1406</v>
      </c>
      <c r="Y40" s="3">
        <f ca="1">IFERROR(__xludf.DUMMYFUNCTION("""COMPUTED_VALUE"""),288)</f>
        <v>288</v>
      </c>
      <c r="Z40" s="3">
        <f ca="1">IFERROR(__xludf.DUMMYFUNCTION("""COMPUTED_VALUE"""),482)</f>
        <v>482</v>
      </c>
      <c r="AA40" s="3">
        <f ca="1">IFERROR(__xludf.DUMMYFUNCTION("""COMPUTED_VALUE"""),636)</f>
        <v>636</v>
      </c>
      <c r="AB40" s="3">
        <f ca="1">IFERROR(__xludf.DUMMYFUNCTION("""COMPUTED_VALUE"""),0)</f>
        <v>0</v>
      </c>
      <c r="AC40" s="3">
        <f ca="1">IFERROR(__xludf.DUMMYFUNCTION("""COMPUTED_VALUE"""),6)</f>
        <v>6</v>
      </c>
      <c r="AD40" s="3" t="str">
        <f ca="1">IFERROR(__xludf.DUMMYFUNCTION("""COMPUTED_VALUE"""),"early")</f>
        <v>early</v>
      </c>
      <c r="AE40" s="3" t="str">
        <f ca="1">IFERROR(__xludf.DUMMYFUNCTION("""COMPUTED_VALUE"""),"2055-06-10T10:44:52.018664Z")</f>
        <v>2055-06-10T10:44:52.018664Z</v>
      </c>
      <c r="AF40" s="3" t="str">
        <f ca="1">IFERROR(__xludf.DUMMYFUNCTION("""COMPUTED_VALUE"""),"2055-06-10T10:55:28.739002Z")</f>
        <v>2055-06-10T10:55:28.739002Z</v>
      </c>
      <c r="AG40" s="3" t="str">
        <f ca="1">IFERROR(__xludf.DUMMYFUNCTION("""COMPUTED_VALUE"""),"2055-06-10T10:31:54.182274Z")</f>
        <v>2055-06-10T10:31:54.182274Z</v>
      </c>
      <c r="AH40" s="3" t="str">
        <f ca="1">IFERROR(__xludf.DUMMYFUNCTION("""COMPUTED_VALUE"""),"2055-06-10T10:36:50.807189Z")</f>
        <v>2055-06-10T10:36:50.807189Z</v>
      </c>
      <c r="AI40" s="3">
        <f ca="1">IFERROR(__xludf.DUMMYFUNCTION("""COMPUTED_VALUE"""),4.58)</f>
        <v>4.58</v>
      </c>
      <c r="AJ40" s="3">
        <f ca="1">IFERROR(__xludf.DUMMYFUNCTION("""COMPUTED_VALUE"""),254)</f>
        <v>254</v>
      </c>
      <c r="AK40" s="3">
        <f ca="1">IFERROR(__xludf.DUMMYFUNCTION("""COMPUTED_VALUE"""),788)</f>
        <v>788</v>
      </c>
      <c r="AL40" s="3">
        <f ca="1">IFERROR(__xludf.DUMMYFUNCTION("""COMPUTED_VALUE"""),9)</f>
        <v>9</v>
      </c>
    </row>
    <row r="41" spans="1:38" ht="15" customHeight="1">
      <c r="A41" s="3">
        <f ca="1">IFERROR(__xludf.DUMMYFUNCTION("""COMPUTED_VALUE"""),518)</f>
        <v>518</v>
      </c>
      <c r="B41" s="3">
        <f ca="1">IFERROR(__xludf.DUMMYFUNCTION("""COMPUTED_VALUE"""),5)</f>
        <v>5</v>
      </c>
      <c r="C41" s="3">
        <f ca="1">IFERROR(__xludf.DUMMYFUNCTION("""COMPUTED_VALUE"""),4050)</f>
        <v>4050</v>
      </c>
      <c r="D41" s="3" t="str">
        <f ca="1">IFERROR(__xludf.DUMMYFUNCTION("""COMPUTED_VALUE"""),"Doorlanta")</f>
        <v>Doorlanta</v>
      </c>
      <c r="E41" s="3" t="str">
        <f ca="1">IFERROR(__xludf.DUMMYFUNCTION("""COMPUTED_VALUE"""),"Galaxy A")</f>
        <v>Galaxy A</v>
      </c>
      <c r="F41" s="3" t="str">
        <f ca="1">IFERROR(__xludf.DUMMYFUNCTION("""COMPUTED_VALUE"""),"Elon")</f>
        <v>Elon</v>
      </c>
      <c r="G41" s="3">
        <f ca="1">IFERROR(__xludf.DUMMYFUNCTION("""COMPUTED_VALUE"""),0)</f>
        <v>0</v>
      </c>
      <c r="H41" s="3" t="str">
        <f ca="1">IFERROR(__xludf.DUMMYFUNCTION("""COMPUTED_VALUE"""),"car")</f>
        <v>car</v>
      </c>
      <c r="I41" s="3" t="str">
        <f ca="1">IFERROR(__xludf.DUMMYFUNCTION("""COMPUTED_VALUE"""),"2055-06-05T00:56:04.766366Z")</f>
        <v>2055-06-05T00:56:04.766366Z</v>
      </c>
      <c r="J41" s="3" t="str">
        <f ca="1">IFERROR(__xludf.DUMMYFUNCTION("""COMPUTED_VALUE"""),"2055-06-05T01:54:06.849Z")</f>
        <v>2055-06-05T01:54:06.849Z</v>
      </c>
      <c r="K41" s="3" t="str">
        <f ca="1">IFERROR(__xludf.DUMMYFUNCTION("""COMPUTED_VALUE"""),"2055-06-05T01:47:12.849Z")</f>
        <v>2055-06-05T01:47:12.849Z</v>
      </c>
      <c r="L41" s="3">
        <f ca="1">IFERROR(__xludf.DUMMYFUNCTION("""COMPUTED_VALUE"""),1)</f>
        <v>1</v>
      </c>
      <c r="M41" s="3">
        <f ca="1">IFERROR(__xludf.DUMMYFUNCTION("""COMPUTED_VALUE"""),0)</f>
        <v>0</v>
      </c>
      <c r="N41" s="3" t="str">
        <f ca="1">IFERROR(__xludf.DUMMYFUNCTION("""COMPUTED_VALUE"""),"2055-06-05T02:00:51.837178Z")</f>
        <v>2055-06-05T02:00:51.837178Z</v>
      </c>
      <c r="O41" s="3" t="str">
        <f ca="1">IFERROR(__xludf.DUMMYFUNCTION("""COMPUTED_VALUE"""),"2055-06-05T02:20:03.635668Z")</f>
        <v>2055-06-05T02:20:03.635668Z</v>
      </c>
      <c r="P41" s="3" t="str">
        <f ca="1">IFERROR(__xludf.DUMMYFUNCTION("""COMPUTED_VALUE"""),"2055-06-05T01:09:07.411357Z")</f>
        <v>2055-06-05T01:09:07.411357Z</v>
      </c>
      <c r="Q41" s="3">
        <f ca="1">IFERROR(__xludf.DUMMYFUNCTION("""COMPUTED_VALUE"""),0)</f>
        <v>0</v>
      </c>
      <c r="R41" s="3" t="str">
        <f ca="1">IFERROR(__xludf.DUMMYFUNCTION("""COMPUTED_VALUE"""),"2055-06-05T01:09:25.078358Z")</f>
        <v>2055-06-05T01:09:25.078358Z</v>
      </c>
      <c r="S41" s="3" t="str">
        <f ca="1">IFERROR(__xludf.DUMMYFUNCTION("""COMPUTED_VALUE"""),"2055-06-05T01:15:39.081256Z")</f>
        <v>2055-06-05T01:15:39.081256Z</v>
      </c>
      <c r="T41" s="3"/>
      <c r="U41" s="4">
        <f ca="1">IFERROR(__xludf.DUMMYFUNCTION("""COMPUTED_VALUE"""),56769)</f>
        <v>56769</v>
      </c>
      <c r="V41" s="3">
        <f ca="1">IFERROR(__xludf.DUMMYFUNCTION("""COMPUTED_VALUE"""),4)</f>
        <v>4</v>
      </c>
      <c r="W41" s="3">
        <f ca="1">IFERROR(__xludf.DUMMYFUNCTION("""COMPUTED_VALUE"""),7500)</f>
        <v>7500</v>
      </c>
      <c r="X41" s="3">
        <f ca="1">IFERROR(__xludf.DUMMYFUNCTION("""COMPUTED_VALUE"""),4238)</f>
        <v>4238</v>
      </c>
      <c r="Y41" s="3">
        <f ca="1">IFERROR(__xludf.DUMMYFUNCTION("""COMPUTED_VALUE"""),374)</f>
        <v>374</v>
      </c>
      <c r="Z41" s="3">
        <f ca="1">IFERROR(__xludf.DUMMYFUNCTION("""COMPUTED_VALUE"""),2712)</f>
        <v>2712</v>
      </c>
      <c r="AA41" s="3">
        <f ca="1">IFERROR(__xludf.DUMMYFUNCTION("""COMPUTED_VALUE"""),1152)</f>
        <v>1152</v>
      </c>
      <c r="AB41" s="3">
        <f ca="1">IFERROR(__xludf.DUMMYFUNCTION("""COMPUTED_VALUE"""),1)</f>
        <v>1</v>
      </c>
      <c r="AC41" s="3">
        <f ca="1">IFERROR(__xludf.DUMMYFUNCTION("""COMPUTED_VALUE"""),8)</f>
        <v>8</v>
      </c>
      <c r="AD41" s="3"/>
      <c r="AE41" s="3" t="str">
        <f ca="1">IFERROR(__xludf.DUMMYFUNCTION("""COMPUTED_VALUE"""),"2055-06-04T22:00:51.837178Z")</f>
        <v>2055-06-04T22:00:51.837178Z</v>
      </c>
      <c r="AF41" s="3" t="str">
        <f ca="1">IFERROR(__xludf.DUMMYFUNCTION("""COMPUTED_VALUE"""),"2055-06-04T22:20:03.635668Z")</f>
        <v>2055-06-04T22:20:03.635668Z</v>
      </c>
      <c r="AG41" s="3" t="str">
        <f ca="1">IFERROR(__xludf.DUMMYFUNCTION("""COMPUTED_VALUE"""),"2055-06-04T21:09:07.411357Z")</f>
        <v>2055-06-04T21:09:07.411357Z</v>
      </c>
      <c r="AH41" s="3" t="str">
        <f ca="1">IFERROR(__xludf.DUMMYFUNCTION("""COMPUTED_VALUE"""),"2055-06-04T21:15:39.081256Z")</f>
        <v>2055-06-04T21:15:39.081256Z</v>
      </c>
      <c r="AI41" s="3">
        <f ca="1">IFERROR(__xludf.DUMMYFUNCTION("""COMPUTED_VALUE"""),4.62)</f>
        <v>4.62</v>
      </c>
      <c r="AJ41" s="3">
        <f ca="1">IFERROR(__xludf.DUMMYFUNCTION("""COMPUTED_VALUE"""),259)</f>
        <v>259</v>
      </c>
      <c r="AK41" s="3">
        <f ca="1">IFERROR(__xludf.DUMMYFUNCTION("""COMPUTED_VALUE"""),604)</f>
        <v>604</v>
      </c>
      <c r="AL41" s="3">
        <f ca="1">IFERROR(__xludf.DUMMYFUNCTION("""COMPUTED_VALUE"""),21)</f>
        <v>21</v>
      </c>
    </row>
    <row r="42" spans="1:38" ht="15" customHeight="1">
      <c r="A42" s="3">
        <f ca="1">IFERROR(__xludf.DUMMYFUNCTION("""COMPUTED_VALUE"""),826)</f>
        <v>826</v>
      </c>
      <c r="B42" s="3">
        <f ca="1">IFERROR(__xludf.DUMMYFUNCTION("""COMPUTED_VALUE"""),3)</f>
        <v>3</v>
      </c>
      <c r="C42" s="3">
        <f ca="1">IFERROR(__xludf.DUMMYFUNCTION("""COMPUTED_VALUE"""),4050)</f>
        <v>4050</v>
      </c>
      <c r="D42" s="3" t="str">
        <f ca="1">IFERROR(__xludf.DUMMYFUNCTION("""COMPUTED_VALUE"""),"Doorlanta")</f>
        <v>Doorlanta</v>
      </c>
      <c r="E42" s="3" t="str">
        <f ca="1">IFERROR(__xludf.DUMMYFUNCTION("""COMPUTED_VALUE"""),"Galaxy A")</f>
        <v>Galaxy A</v>
      </c>
      <c r="F42" s="3" t="str">
        <f ca="1">IFERROR(__xludf.DUMMYFUNCTION("""COMPUTED_VALUE"""),"Elon")</f>
        <v>Elon</v>
      </c>
      <c r="G42" s="3">
        <f ca="1">IFERROR(__xludf.DUMMYFUNCTION("""COMPUTED_VALUE"""),0)</f>
        <v>0</v>
      </c>
      <c r="H42" s="3" t="str">
        <f ca="1">IFERROR(__xludf.DUMMYFUNCTION("""COMPUTED_VALUE"""),"car")</f>
        <v>car</v>
      </c>
      <c r="I42" s="3" t="str">
        <f ca="1">IFERROR(__xludf.DUMMYFUNCTION("""COMPUTED_VALUE"""),"2055-06-07T13:35:40.476432Z")</f>
        <v>2055-06-07T13:35:40.476432Z</v>
      </c>
      <c r="J42" s="3" t="str">
        <f ca="1">IFERROR(__xludf.DUMMYFUNCTION("""COMPUTED_VALUE"""),"2055-06-07T16:00:00Z")</f>
        <v>2055-06-07T16:00:00Z</v>
      </c>
      <c r="K42" s="3" t="str">
        <f ca="1">IFERROR(__xludf.DUMMYFUNCTION("""COMPUTED_VALUE"""),"2055-06-07T16:00:00Z")</f>
        <v>2055-06-07T16:00:00Z</v>
      </c>
      <c r="L42" s="3">
        <f ca="1">IFERROR(__xludf.DUMMYFUNCTION("""COMPUTED_VALUE"""),0)</f>
        <v>0</v>
      </c>
      <c r="M42" s="3">
        <f ca="1">IFERROR(__xludf.DUMMYFUNCTION("""COMPUTED_VALUE"""),0)</f>
        <v>0</v>
      </c>
      <c r="N42" s="3" t="str">
        <f ca="1">IFERROR(__xludf.DUMMYFUNCTION("""COMPUTED_VALUE"""),"2055-06-07T15:42:08.992546Z")</f>
        <v>2055-06-07T15:42:08.992546Z</v>
      </c>
      <c r="O42" s="3" t="str">
        <f ca="1">IFERROR(__xludf.DUMMYFUNCTION("""COMPUTED_VALUE"""),"2055-06-07T15:58:15.312059Z")</f>
        <v>2055-06-07T15:58:15.312059Z</v>
      </c>
      <c r="P42" s="3" t="str">
        <f ca="1">IFERROR(__xludf.DUMMYFUNCTION("""COMPUTED_VALUE"""),"2055-06-07T15:00:07.364067Z")</f>
        <v>2055-06-07T15:00:07.364067Z</v>
      </c>
      <c r="Q42" s="3">
        <f ca="1">IFERROR(__xludf.DUMMYFUNCTION("""COMPUTED_VALUE"""),0)</f>
        <v>0</v>
      </c>
      <c r="R42" s="3" t="str">
        <f ca="1">IFERROR(__xludf.DUMMYFUNCTION("""COMPUTED_VALUE"""),"2055-06-07T15:00:22.114565Z")</f>
        <v>2055-06-07T15:00:22.114565Z</v>
      </c>
      <c r="S42" s="3"/>
      <c r="T42" s="3"/>
      <c r="U42" s="4">
        <f ca="1">IFERROR(__xludf.DUMMYFUNCTION("""COMPUTED_VALUE"""),56772)</f>
        <v>56772</v>
      </c>
      <c r="V42" s="3">
        <f ca="1">IFERROR(__xludf.DUMMYFUNCTION("""COMPUTED_VALUE"""),4.6)</f>
        <v>4.5999999999999996</v>
      </c>
      <c r="W42" s="3">
        <f ca="1">IFERROR(__xludf.DUMMYFUNCTION("""COMPUTED_VALUE"""),7500)</f>
        <v>7500</v>
      </c>
      <c r="X42" s="3">
        <f ca="1">IFERROR(__xludf.DUMMYFUNCTION("""COMPUTED_VALUE"""),3473)</f>
        <v>3473</v>
      </c>
      <c r="Y42" s="3"/>
      <c r="Z42" s="3"/>
      <c r="AA42" s="3">
        <f ca="1">IFERROR(__xludf.DUMMYFUNCTION("""COMPUTED_VALUE"""),967)</f>
        <v>967</v>
      </c>
      <c r="AB42" s="3">
        <f ca="1">IFERROR(__xludf.DUMMYFUNCTION("""COMPUTED_VALUE"""),0)</f>
        <v>0</v>
      </c>
      <c r="AC42" s="3">
        <f ca="1">IFERROR(__xludf.DUMMYFUNCTION("""COMPUTED_VALUE"""),5)</f>
        <v>5</v>
      </c>
      <c r="AD42" s="3"/>
      <c r="AE42" s="3" t="str">
        <f ca="1">IFERROR(__xludf.DUMMYFUNCTION("""COMPUTED_VALUE"""),"2055-06-07T11:42:08.992546Z")</f>
        <v>2055-06-07T11:42:08.992546Z</v>
      </c>
      <c r="AF42" s="3" t="str">
        <f ca="1">IFERROR(__xludf.DUMMYFUNCTION("""COMPUTED_VALUE"""),"2055-06-07T11:58:15.312059Z")</f>
        <v>2055-06-07T11:58:15.312059Z</v>
      </c>
      <c r="AG42" s="3" t="str">
        <f ca="1">IFERROR(__xludf.DUMMYFUNCTION("""COMPUTED_VALUE"""),"2055-06-07T11:00:07.364067Z")</f>
        <v>2055-06-07T11:00:07.364067Z</v>
      </c>
      <c r="AH42" s="3"/>
      <c r="AI42" s="3">
        <f ca="1">IFERROR(__xludf.DUMMYFUNCTION("""COMPUTED_VALUE"""),4.62)</f>
        <v>4.62</v>
      </c>
      <c r="AJ42" s="3">
        <f ca="1">IFERROR(__xludf.DUMMYFUNCTION("""COMPUTED_VALUE"""),259)</f>
        <v>259</v>
      </c>
      <c r="AK42" s="3">
        <f ca="1">IFERROR(__xludf.DUMMYFUNCTION("""COMPUTED_VALUE"""),604)</f>
        <v>604</v>
      </c>
      <c r="AL42" s="3">
        <f ca="1">IFERROR(__xludf.DUMMYFUNCTION("""COMPUTED_VALUE"""),21)</f>
        <v>21</v>
      </c>
    </row>
    <row r="43" spans="1:38" ht="15" customHeight="1">
      <c r="A43" s="3">
        <f ca="1">IFERROR(__xludf.DUMMYFUNCTION("""COMPUTED_VALUE"""),625)</f>
        <v>625</v>
      </c>
      <c r="B43" s="3"/>
      <c r="C43" s="3">
        <f ca="1">IFERROR(__xludf.DUMMYFUNCTION("""COMPUTED_VALUE"""),4050)</f>
        <v>4050</v>
      </c>
      <c r="D43" s="3" t="str">
        <f ca="1">IFERROR(__xludf.DUMMYFUNCTION("""COMPUTED_VALUE"""),"Doorlanta")</f>
        <v>Doorlanta</v>
      </c>
      <c r="E43" s="3" t="str">
        <f ca="1">IFERROR(__xludf.DUMMYFUNCTION("""COMPUTED_VALUE"""),"Galaxy A")</f>
        <v>Galaxy A</v>
      </c>
      <c r="F43" s="3" t="str">
        <f ca="1">IFERROR(__xludf.DUMMYFUNCTION("""COMPUTED_VALUE"""),"Benn")</f>
        <v>Benn</v>
      </c>
      <c r="G43" s="3">
        <f ca="1">IFERROR(__xludf.DUMMYFUNCTION("""COMPUTED_VALUE"""),0)</f>
        <v>0</v>
      </c>
      <c r="H43" s="3" t="str">
        <f ca="1">IFERROR(__xludf.DUMMYFUNCTION("""COMPUTED_VALUE"""),"car")</f>
        <v>car</v>
      </c>
      <c r="I43" s="3" t="str">
        <f ca="1">IFERROR(__xludf.DUMMYFUNCTION("""COMPUTED_VALUE"""),"2055-06-05T21:33:17.842122Z")</f>
        <v>2055-06-05T21:33:17.842122Z</v>
      </c>
      <c r="J43" s="3" t="str">
        <f ca="1">IFERROR(__xludf.DUMMYFUNCTION("""COMPUTED_VALUE"""),"2055-06-05T22:23:17.897Z")</f>
        <v>2055-06-05T22:23:17.897Z</v>
      </c>
      <c r="K43" s="3" t="str">
        <f ca="1">IFERROR(__xludf.DUMMYFUNCTION("""COMPUTED_VALUE"""),"2055-06-05T22:03:40.897Z")</f>
        <v>2055-06-05T22:03:40.897Z</v>
      </c>
      <c r="L43" s="3">
        <f ca="1">IFERROR(__xludf.DUMMYFUNCTION("""COMPUTED_VALUE"""),1)</f>
        <v>1</v>
      </c>
      <c r="M43" s="3">
        <f ca="1">IFERROR(__xludf.DUMMYFUNCTION("""COMPUTED_VALUE"""),0)</f>
        <v>0</v>
      </c>
      <c r="N43" s="3" t="str">
        <f ca="1">IFERROR(__xludf.DUMMYFUNCTION("""COMPUTED_VALUE"""),"2055-06-05T22:02:11.765254Z")</f>
        <v>2055-06-05T22:02:11.765254Z</v>
      </c>
      <c r="O43" s="3" t="str">
        <f ca="1">IFERROR(__xludf.DUMMYFUNCTION("""COMPUTED_VALUE"""),"2055-06-05T22:09:08.000665Z")</f>
        <v>2055-06-05T22:09:08.000665Z</v>
      </c>
      <c r="P43" s="3" t="str">
        <f ca="1">IFERROR(__xludf.DUMMYFUNCTION("""COMPUTED_VALUE"""),"2055-06-05T21:33:27.372403Z")</f>
        <v>2055-06-05T21:33:27.372403Z</v>
      </c>
      <c r="Q43" s="3">
        <f ca="1">IFERROR(__xludf.DUMMYFUNCTION("""COMPUTED_VALUE"""),0)</f>
        <v>0</v>
      </c>
      <c r="R43" s="3" t="str">
        <f ca="1">IFERROR(__xludf.DUMMYFUNCTION("""COMPUTED_VALUE"""),"2055-06-05T21:33:39.281602Z")</f>
        <v>2055-06-05T21:33:39.281602Z</v>
      </c>
      <c r="S43" s="3" t="str">
        <f ca="1">IFERROR(__xludf.DUMMYFUNCTION("""COMPUTED_VALUE"""),"2055-06-05T21:41:07.424411Z")</f>
        <v>2055-06-05T21:41:07.424411Z</v>
      </c>
      <c r="T43" s="3"/>
      <c r="U43" s="4">
        <f ca="1">IFERROR(__xludf.DUMMYFUNCTION("""COMPUTED_VALUE"""),56770)</f>
        <v>56770</v>
      </c>
      <c r="V43" s="3">
        <f ca="1">IFERROR(__xludf.DUMMYFUNCTION("""COMPUTED_VALUE"""),4.7)</f>
        <v>4.7</v>
      </c>
      <c r="W43" s="3">
        <f ca="1">IFERROR(__xludf.DUMMYFUNCTION("""COMPUTED_VALUE"""),7500)</f>
        <v>7500</v>
      </c>
      <c r="X43" s="3">
        <f ca="1">IFERROR(__xludf.DUMMYFUNCTION("""COMPUTED_VALUE"""),2129)</f>
        <v>2129</v>
      </c>
      <c r="Y43" s="3">
        <f ca="1">IFERROR(__xludf.DUMMYFUNCTION("""COMPUTED_VALUE"""),448)</f>
        <v>448</v>
      </c>
      <c r="Z43" s="3">
        <f ca="1">IFERROR(__xludf.DUMMYFUNCTION("""COMPUTED_VALUE"""),1264)</f>
        <v>1264</v>
      </c>
      <c r="AA43" s="3">
        <f ca="1">IFERROR(__xludf.DUMMYFUNCTION("""COMPUTED_VALUE"""),417)</f>
        <v>417</v>
      </c>
      <c r="AB43" s="3">
        <f ca="1">IFERROR(__xludf.DUMMYFUNCTION("""COMPUTED_VALUE"""),0)</f>
        <v>0</v>
      </c>
      <c r="AC43" s="3">
        <f ca="1">IFERROR(__xludf.DUMMYFUNCTION("""COMPUTED_VALUE"""),7)</f>
        <v>7</v>
      </c>
      <c r="AD43" s="3" t="str">
        <f ca="1">IFERROR(__xludf.DUMMYFUNCTION("""COMPUTED_VALUE"""),"early")</f>
        <v>early</v>
      </c>
      <c r="AE43" s="3" t="str">
        <f ca="1">IFERROR(__xludf.DUMMYFUNCTION("""COMPUTED_VALUE"""),"2055-06-05T18:02:11.765254Z")</f>
        <v>2055-06-05T18:02:11.765254Z</v>
      </c>
      <c r="AF43" s="3" t="str">
        <f ca="1">IFERROR(__xludf.DUMMYFUNCTION("""COMPUTED_VALUE"""),"2055-06-05T18:09:08.000665Z")</f>
        <v>2055-06-05T18:09:08.000665Z</v>
      </c>
      <c r="AG43" s="3" t="str">
        <f ca="1">IFERROR(__xludf.DUMMYFUNCTION("""COMPUTED_VALUE"""),"2055-06-05T17:33:27.372403Z")</f>
        <v>2055-06-05T17:33:27.372403Z</v>
      </c>
      <c r="AH43" s="3" t="str">
        <f ca="1">IFERROR(__xludf.DUMMYFUNCTION("""COMPUTED_VALUE"""),"2055-06-05T17:41:07.424411Z")</f>
        <v>2055-06-05T17:41:07.424411Z</v>
      </c>
      <c r="AI43" s="3">
        <f ca="1">IFERROR(__xludf.DUMMYFUNCTION("""COMPUTED_VALUE"""),4.63)</f>
        <v>4.63</v>
      </c>
      <c r="AJ43" s="3">
        <f ca="1">IFERROR(__xludf.DUMMYFUNCTION("""COMPUTED_VALUE"""),241)</f>
        <v>241</v>
      </c>
      <c r="AK43" s="3">
        <f ca="1">IFERROR(__xludf.DUMMYFUNCTION("""COMPUTED_VALUE"""),995)</f>
        <v>995</v>
      </c>
      <c r="AL43" s="3">
        <f ca="1">IFERROR(__xludf.DUMMYFUNCTION("""COMPUTED_VALUE"""),626)</f>
        <v>626</v>
      </c>
    </row>
    <row r="44" spans="1:38" ht="15" customHeight="1">
      <c r="A44" s="3">
        <f ca="1">IFERROR(__xludf.DUMMYFUNCTION("""COMPUTED_VALUE"""),587)</f>
        <v>587</v>
      </c>
      <c r="B44" s="3"/>
      <c r="C44" s="3">
        <f ca="1">IFERROR(__xludf.DUMMYFUNCTION("""COMPUTED_VALUE"""),4050)</f>
        <v>4050</v>
      </c>
      <c r="D44" s="3" t="str">
        <f ca="1">IFERROR(__xludf.DUMMYFUNCTION("""COMPUTED_VALUE"""),"Doorlanta")</f>
        <v>Doorlanta</v>
      </c>
      <c r="E44" s="3" t="str">
        <f ca="1">IFERROR(__xludf.DUMMYFUNCTION("""COMPUTED_VALUE"""),"Galaxy A")</f>
        <v>Galaxy A</v>
      </c>
      <c r="F44" s="3" t="str">
        <f ca="1">IFERROR(__xludf.DUMMYFUNCTION("""COMPUTED_VALUE"""),"Elon")</f>
        <v>Elon</v>
      </c>
      <c r="G44" s="3">
        <f ca="1">IFERROR(__xludf.DUMMYFUNCTION("""COMPUTED_VALUE"""),0)</f>
        <v>0</v>
      </c>
      <c r="H44" s="3" t="str">
        <f ca="1">IFERROR(__xludf.DUMMYFUNCTION("""COMPUTED_VALUE"""),"car")</f>
        <v>car</v>
      </c>
      <c r="I44" s="3" t="str">
        <f ca="1">IFERROR(__xludf.DUMMYFUNCTION("""COMPUTED_VALUE"""),"2055-06-05T18:25:57.59864Z")</f>
        <v>2055-06-05T18:25:57.59864Z</v>
      </c>
      <c r="J44" s="3" t="str">
        <f ca="1">IFERROR(__xludf.DUMMYFUNCTION("""COMPUTED_VALUE"""),"2055-06-05T19:29:46.673Z")</f>
        <v>2055-06-05T19:29:46.673Z</v>
      </c>
      <c r="K44" s="3" t="str">
        <f ca="1">IFERROR(__xludf.DUMMYFUNCTION("""COMPUTED_VALUE"""),"2055-06-05T19:06:28.673Z")</f>
        <v>2055-06-05T19:06:28.673Z</v>
      </c>
      <c r="L44" s="3">
        <f ca="1">IFERROR(__xludf.DUMMYFUNCTION("""COMPUTED_VALUE"""),1)</f>
        <v>1</v>
      </c>
      <c r="M44" s="3">
        <f ca="1">IFERROR(__xludf.DUMMYFUNCTION("""COMPUTED_VALUE"""),0)</f>
        <v>0</v>
      </c>
      <c r="N44" s="3" t="str">
        <f ca="1">IFERROR(__xludf.DUMMYFUNCTION("""COMPUTED_VALUE"""),"2055-06-05T18:49:53.659536Z")</f>
        <v>2055-06-05T18:49:53.659536Z</v>
      </c>
      <c r="O44" s="3" t="str">
        <f ca="1">IFERROR(__xludf.DUMMYFUNCTION("""COMPUTED_VALUE"""),"2055-06-05T19:15:19.46806Z")</f>
        <v>2055-06-05T19:15:19.46806Z</v>
      </c>
      <c r="P44" s="3" t="str">
        <f ca="1">IFERROR(__xludf.DUMMYFUNCTION("""COMPUTED_VALUE"""),"2055-06-05T18:30:27.341135Z")</f>
        <v>2055-06-05T18:30:27.341135Z</v>
      </c>
      <c r="Q44" s="3">
        <f ca="1">IFERROR(__xludf.DUMMYFUNCTION("""COMPUTED_VALUE"""),0)</f>
        <v>0</v>
      </c>
      <c r="R44" s="3" t="str">
        <f ca="1">IFERROR(__xludf.DUMMYFUNCTION("""COMPUTED_VALUE"""),"2055-06-05T18:30:34.123529Z")</f>
        <v>2055-06-05T18:30:34.123529Z</v>
      </c>
      <c r="S44" s="3" t="str">
        <f ca="1">IFERROR(__xludf.DUMMYFUNCTION("""COMPUTED_VALUE"""),"2055-06-05T18:41:22.058908Z")</f>
        <v>2055-06-05T18:41:22.058908Z</v>
      </c>
      <c r="T44" s="3"/>
      <c r="U44" s="4">
        <f ca="1">IFERROR(__xludf.DUMMYFUNCTION("""COMPUTED_VALUE"""),56770)</f>
        <v>56770</v>
      </c>
      <c r="V44" s="3">
        <f ca="1">IFERROR(__xludf.DUMMYFUNCTION("""COMPUTED_VALUE"""),4.5)</f>
        <v>4.5</v>
      </c>
      <c r="W44" s="3">
        <f ca="1">IFERROR(__xludf.DUMMYFUNCTION("""COMPUTED_VALUE"""),7500)</f>
        <v>7500</v>
      </c>
      <c r="X44" s="3">
        <f ca="1">IFERROR(__xludf.DUMMYFUNCTION("""COMPUTED_VALUE"""),2685)</f>
        <v>2685</v>
      </c>
      <c r="Y44" s="3">
        <f ca="1">IFERROR(__xludf.DUMMYFUNCTION("""COMPUTED_VALUE"""),648)</f>
        <v>648</v>
      </c>
      <c r="Z44" s="3">
        <f ca="1">IFERROR(__xludf.DUMMYFUNCTION("""COMPUTED_VALUE"""),511)</f>
        <v>511</v>
      </c>
      <c r="AA44" s="3">
        <f ca="1">IFERROR(__xludf.DUMMYFUNCTION("""COMPUTED_VALUE"""),1526)</f>
        <v>1526</v>
      </c>
      <c r="AB44" s="3">
        <f ca="1">IFERROR(__xludf.DUMMYFUNCTION("""COMPUTED_VALUE"""),1)</f>
        <v>1</v>
      </c>
      <c r="AC44" s="3">
        <f ca="1">IFERROR(__xludf.DUMMYFUNCTION("""COMPUTED_VALUE"""),8)</f>
        <v>8</v>
      </c>
      <c r="AD44" s="3"/>
      <c r="AE44" s="3" t="str">
        <f ca="1">IFERROR(__xludf.DUMMYFUNCTION("""COMPUTED_VALUE"""),"2055-06-05T14:49:53.659536Z")</f>
        <v>2055-06-05T14:49:53.659536Z</v>
      </c>
      <c r="AF44" s="3" t="str">
        <f ca="1">IFERROR(__xludf.DUMMYFUNCTION("""COMPUTED_VALUE"""),"2055-06-05T15:15:19.46806Z")</f>
        <v>2055-06-05T15:15:19.46806Z</v>
      </c>
      <c r="AG44" s="3" t="str">
        <f ca="1">IFERROR(__xludf.DUMMYFUNCTION("""COMPUTED_VALUE"""),"2055-06-05T14:30:27.341135Z")</f>
        <v>2055-06-05T14:30:27.341135Z</v>
      </c>
      <c r="AH44" s="3" t="str">
        <f ca="1">IFERROR(__xludf.DUMMYFUNCTION("""COMPUTED_VALUE"""),"2055-06-05T14:41:22.058908Z")</f>
        <v>2055-06-05T14:41:22.058908Z</v>
      </c>
      <c r="AI44" s="3">
        <f ca="1">IFERROR(__xludf.DUMMYFUNCTION("""COMPUTED_VALUE"""),4.62)</f>
        <v>4.62</v>
      </c>
      <c r="AJ44" s="3">
        <f ca="1">IFERROR(__xludf.DUMMYFUNCTION("""COMPUTED_VALUE"""),259)</f>
        <v>259</v>
      </c>
      <c r="AK44" s="3">
        <f ca="1">IFERROR(__xludf.DUMMYFUNCTION("""COMPUTED_VALUE"""),604)</f>
        <v>604</v>
      </c>
      <c r="AL44" s="3">
        <f ca="1">IFERROR(__xludf.DUMMYFUNCTION("""COMPUTED_VALUE"""),21)</f>
        <v>21</v>
      </c>
    </row>
    <row r="45" spans="1:38" ht="15" customHeight="1">
      <c r="A45" s="3">
        <f ca="1">IFERROR(__xludf.DUMMYFUNCTION("""COMPUTED_VALUE"""),547)</f>
        <v>547</v>
      </c>
      <c r="B45" s="3"/>
      <c r="C45" s="3">
        <f ca="1">IFERROR(__xludf.DUMMYFUNCTION("""COMPUTED_VALUE"""),4001)</f>
        <v>4001</v>
      </c>
      <c r="D45" s="3" t="str">
        <f ca="1">IFERROR(__xludf.DUMMYFUNCTION("""COMPUTED_VALUE"""),"Dashattan")</f>
        <v>Dashattan</v>
      </c>
      <c r="E45" s="3" t="str">
        <f ca="1">IFERROR(__xludf.DUMMYFUNCTION("""COMPUTED_VALUE"""),"Galaxy A")</f>
        <v>Galaxy A</v>
      </c>
      <c r="F45" s="3" t="str">
        <f ca="1">IFERROR(__xludf.DUMMYFUNCTION("""COMPUTED_VALUE"""),"Samm")</f>
        <v>Samm</v>
      </c>
      <c r="G45" s="3">
        <f ca="1">IFERROR(__xludf.DUMMYFUNCTION("""COMPUTED_VALUE"""),0)</f>
        <v>0</v>
      </c>
      <c r="H45" s="3" t="str">
        <f ca="1">IFERROR(__xludf.DUMMYFUNCTION("""COMPUTED_VALUE"""),"car")</f>
        <v>car</v>
      </c>
      <c r="I45" s="3" t="str">
        <f ca="1">IFERROR(__xludf.DUMMYFUNCTION("""COMPUTED_VALUE"""),"2055-06-05T14:45:11.325945Z")</f>
        <v>2055-06-05T14:45:11.325945Z</v>
      </c>
      <c r="J45" s="3" t="str">
        <f ca="1">IFERROR(__xludf.DUMMYFUNCTION("""COMPUTED_VALUE"""),"2055-06-05T16:15:00Z")</f>
        <v>2055-06-05T16:15:00Z</v>
      </c>
      <c r="K45" s="3" t="str">
        <f ca="1">IFERROR(__xludf.DUMMYFUNCTION("""COMPUTED_VALUE"""),"2055-06-05T16:15:00Z")</f>
        <v>2055-06-05T16:15:00Z</v>
      </c>
      <c r="L45" s="3">
        <f ca="1">IFERROR(__xludf.DUMMYFUNCTION("""COMPUTED_VALUE"""),0)</f>
        <v>0</v>
      </c>
      <c r="M45" s="3">
        <f ca="1">IFERROR(__xludf.DUMMYFUNCTION("""COMPUTED_VALUE"""),0)</f>
        <v>0</v>
      </c>
      <c r="N45" s="3" t="str">
        <f ca="1">IFERROR(__xludf.DUMMYFUNCTION("""COMPUTED_VALUE"""),"2055-06-05T15:57:07.738264Z")</f>
        <v>2055-06-05T15:57:07.738264Z</v>
      </c>
      <c r="O45" s="3" t="str">
        <f ca="1">IFERROR(__xludf.DUMMYFUNCTION("""COMPUTED_VALUE"""),"2055-06-05T16:09:02.354991Z")</f>
        <v>2055-06-05T16:09:02.354991Z</v>
      </c>
      <c r="P45" s="3" t="str">
        <f ca="1">IFERROR(__xludf.DUMMYFUNCTION("""COMPUTED_VALUE"""),"2055-06-05T15:15:34.245712Z")</f>
        <v>2055-06-05T15:15:34.245712Z</v>
      </c>
      <c r="Q45" s="3">
        <f ca="1">IFERROR(__xludf.DUMMYFUNCTION("""COMPUTED_VALUE"""),0)</f>
        <v>0</v>
      </c>
      <c r="R45" s="3" t="str">
        <f ca="1">IFERROR(__xludf.DUMMYFUNCTION("""COMPUTED_VALUE"""),"2055-06-05T15:15:38.415009Z")</f>
        <v>2055-06-05T15:15:38.415009Z</v>
      </c>
      <c r="S45" s="3" t="str">
        <f ca="1">IFERROR(__xludf.DUMMYFUNCTION("""COMPUTED_VALUE"""),"2055-06-05T15:24:05.299638Z")</f>
        <v>2055-06-05T15:24:05.299638Z</v>
      </c>
      <c r="T45" s="3"/>
      <c r="U45" s="4">
        <f ca="1">IFERROR(__xludf.DUMMYFUNCTION("""COMPUTED_VALUE"""),56770)</f>
        <v>56770</v>
      </c>
      <c r="V45" s="3">
        <f ca="1">IFERROR(__xludf.DUMMYFUNCTION("""COMPUTED_VALUE"""),4.7)</f>
        <v>4.7</v>
      </c>
      <c r="W45" s="3">
        <f ca="1">IFERROR(__xludf.DUMMYFUNCTION("""COMPUTED_VALUE"""),7500)</f>
        <v>7500</v>
      </c>
      <c r="X45" s="3">
        <f ca="1">IFERROR(__xludf.DUMMYFUNCTION("""COMPUTED_VALUE"""),3204)</f>
        <v>3204</v>
      </c>
      <c r="Y45" s="3">
        <f ca="1">IFERROR(__xludf.DUMMYFUNCTION("""COMPUTED_VALUE"""),507)</f>
        <v>507</v>
      </c>
      <c r="Z45" s="3">
        <f ca="1">IFERROR(__xludf.DUMMYFUNCTION("""COMPUTED_VALUE"""),1982)</f>
        <v>1982</v>
      </c>
      <c r="AA45" s="3">
        <f ca="1">IFERROR(__xludf.DUMMYFUNCTION("""COMPUTED_VALUE"""),715)</f>
        <v>715</v>
      </c>
      <c r="AB45" s="3">
        <f ca="1">IFERROR(__xludf.DUMMYFUNCTION("""COMPUTED_VALUE"""),1)</f>
        <v>1</v>
      </c>
      <c r="AC45" s="3">
        <f ca="1">IFERROR(__xludf.DUMMYFUNCTION("""COMPUTED_VALUE"""),5)</f>
        <v>5</v>
      </c>
      <c r="AD45" s="3"/>
      <c r="AE45" s="3" t="str">
        <f ca="1">IFERROR(__xludf.DUMMYFUNCTION("""COMPUTED_VALUE"""),"2055-06-05T11:57:07.738264Z")</f>
        <v>2055-06-05T11:57:07.738264Z</v>
      </c>
      <c r="AF45" s="3" t="str">
        <f ca="1">IFERROR(__xludf.DUMMYFUNCTION("""COMPUTED_VALUE"""),"2055-06-05T12:09:02.354991Z")</f>
        <v>2055-06-05T12:09:02.354991Z</v>
      </c>
      <c r="AG45" s="3" t="str">
        <f ca="1">IFERROR(__xludf.DUMMYFUNCTION("""COMPUTED_VALUE"""),"2055-06-05T11:15:34.245712Z")</f>
        <v>2055-06-05T11:15:34.245712Z</v>
      </c>
      <c r="AH45" s="3" t="str">
        <f ca="1">IFERROR(__xludf.DUMMYFUNCTION("""COMPUTED_VALUE"""),"2055-06-05T11:24:05.299638Z")</f>
        <v>2055-06-05T11:24:05.299638Z</v>
      </c>
      <c r="AI45" s="3">
        <f ca="1">IFERROR(__xludf.DUMMYFUNCTION("""COMPUTED_VALUE"""),4.03)</f>
        <v>4.03</v>
      </c>
      <c r="AJ45" s="3">
        <f ca="1">IFERROR(__xludf.DUMMYFUNCTION("""COMPUTED_VALUE"""),505)</f>
        <v>505</v>
      </c>
      <c r="AK45" s="3">
        <f ca="1">IFERROR(__xludf.DUMMYFUNCTION("""COMPUTED_VALUE"""),1721)</f>
        <v>1721</v>
      </c>
      <c r="AL45" s="3">
        <f ca="1">IFERROR(__xludf.DUMMYFUNCTION("""COMPUTED_VALUE"""),457)</f>
        <v>457</v>
      </c>
    </row>
    <row r="46" spans="1:38" ht="13">
      <c r="A46" s="3">
        <f ca="1">IFERROR(__xludf.DUMMYFUNCTION("""COMPUTED_VALUE"""),923)</f>
        <v>923</v>
      </c>
      <c r="B46" s="3">
        <f ca="1">IFERROR(__xludf.DUMMYFUNCTION("""COMPUTED_VALUE"""),5)</f>
        <v>5</v>
      </c>
      <c r="C46" s="3">
        <f ca="1">IFERROR(__xludf.DUMMYFUNCTION("""COMPUTED_VALUE"""),4050)</f>
        <v>4050</v>
      </c>
      <c r="D46" s="3" t="str">
        <f ca="1">IFERROR(__xludf.DUMMYFUNCTION("""COMPUTED_VALUE"""),"Doorlanta")</f>
        <v>Doorlanta</v>
      </c>
      <c r="E46" s="3" t="str">
        <f ca="1">IFERROR(__xludf.DUMMYFUNCTION("""COMPUTED_VALUE"""),"Galaxy A")</f>
        <v>Galaxy A</v>
      </c>
      <c r="F46" s="3" t="str">
        <f ca="1">IFERROR(__xludf.DUMMYFUNCTION("""COMPUTED_VALUE"""),"Ash")</f>
        <v>Ash</v>
      </c>
      <c r="G46" s="3">
        <f ca="1">IFERROR(__xludf.DUMMYFUNCTION("""COMPUTED_VALUE"""),0)</f>
        <v>0</v>
      </c>
      <c r="H46" s="3" t="str">
        <f ca="1">IFERROR(__xludf.DUMMYFUNCTION("""COMPUTED_VALUE"""),"car")</f>
        <v>car</v>
      </c>
      <c r="I46" s="3" t="str">
        <f ca="1">IFERROR(__xludf.DUMMYFUNCTION("""COMPUTED_VALUE"""),"2055-06-08T13:04:45.506723Z")</f>
        <v>2055-06-08T13:04:45.506723Z</v>
      </c>
      <c r="J46" s="3" t="str">
        <f ca="1">IFERROR(__xludf.DUMMYFUNCTION("""COMPUTED_VALUE"""),"2055-06-08T16:30:00Z")</f>
        <v>2055-06-08T16:30:00Z</v>
      </c>
      <c r="K46" s="3" t="str">
        <f ca="1">IFERROR(__xludf.DUMMYFUNCTION("""COMPUTED_VALUE"""),"2055-06-08T16:30:00Z")</f>
        <v>2055-06-08T16:30:00Z</v>
      </c>
      <c r="L46" s="3">
        <f ca="1">IFERROR(__xludf.DUMMYFUNCTION("""COMPUTED_VALUE"""),0)</f>
        <v>0</v>
      </c>
      <c r="M46" s="3">
        <f ca="1">IFERROR(__xludf.DUMMYFUNCTION("""COMPUTED_VALUE"""),0)</f>
        <v>0</v>
      </c>
      <c r="N46" s="3" t="str">
        <f ca="1">IFERROR(__xludf.DUMMYFUNCTION("""COMPUTED_VALUE"""),"2055-06-08T16:08:56.447868Z")</f>
        <v>2055-06-08T16:08:56.447868Z</v>
      </c>
      <c r="O46" s="3" t="str">
        <f ca="1">IFERROR(__xludf.DUMMYFUNCTION("""COMPUTED_VALUE"""),"2055-06-08T16:28:32.697856Z")</f>
        <v>2055-06-08T16:28:32.697856Z</v>
      </c>
      <c r="P46" s="3" t="str">
        <f ca="1">IFERROR(__xludf.DUMMYFUNCTION("""COMPUTED_VALUE"""),"2055-06-08T15:30:27.489897Z")</f>
        <v>2055-06-08T15:30:27.489897Z</v>
      </c>
      <c r="Q46" s="3">
        <f ca="1">IFERROR(__xludf.DUMMYFUNCTION("""COMPUTED_VALUE"""),0)</f>
        <v>0</v>
      </c>
      <c r="R46" s="3" t="str">
        <f ca="1">IFERROR(__xludf.DUMMYFUNCTION("""COMPUTED_VALUE"""),"2055-06-08T15:30:43.671048Z")</f>
        <v>2055-06-08T15:30:43.671048Z</v>
      </c>
      <c r="S46" s="3" t="str">
        <f ca="1">IFERROR(__xludf.DUMMYFUNCTION("""COMPUTED_VALUE"""),"2055-06-08T15:51:07.390628Z")</f>
        <v>2055-06-08T15:51:07.390628Z</v>
      </c>
      <c r="T46" s="3"/>
      <c r="U46" s="4">
        <f ca="1">IFERROR(__xludf.DUMMYFUNCTION("""COMPUTED_VALUE"""),56773)</f>
        <v>56773</v>
      </c>
      <c r="V46" s="3">
        <f ca="1">IFERROR(__xludf.DUMMYFUNCTION("""COMPUTED_VALUE"""),4.6)</f>
        <v>4.5999999999999996</v>
      </c>
      <c r="W46" s="3">
        <f ca="1">IFERROR(__xludf.DUMMYFUNCTION("""COMPUTED_VALUE"""),7500)</f>
        <v>7500</v>
      </c>
      <c r="X46" s="3">
        <f ca="1">IFERROR(__xludf.DUMMYFUNCTION("""COMPUTED_VALUE"""),3469)</f>
        <v>3469</v>
      </c>
      <c r="Y46" s="3">
        <f ca="1">IFERROR(__xludf.DUMMYFUNCTION("""COMPUTED_VALUE"""),1224)</f>
        <v>1224</v>
      </c>
      <c r="Z46" s="3">
        <f ca="1">IFERROR(__xludf.DUMMYFUNCTION("""COMPUTED_VALUE"""),1069)</f>
        <v>1069</v>
      </c>
      <c r="AA46" s="3">
        <f ca="1">IFERROR(__xludf.DUMMYFUNCTION("""COMPUTED_VALUE"""),1176)</f>
        <v>1176</v>
      </c>
      <c r="AB46" s="3">
        <f ca="1">IFERROR(__xludf.DUMMYFUNCTION("""COMPUTED_VALUE"""),0)</f>
        <v>0</v>
      </c>
      <c r="AC46" s="3">
        <f ca="1">IFERROR(__xludf.DUMMYFUNCTION("""COMPUTED_VALUE"""),8)</f>
        <v>8</v>
      </c>
      <c r="AD46" s="3" t="str">
        <f ca="1">IFERROR(__xludf.DUMMYFUNCTION("""COMPUTED_VALUE"""),"late")</f>
        <v>late</v>
      </c>
      <c r="AE46" s="3" t="str">
        <f ca="1">IFERROR(__xludf.DUMMYFUNCTION("""COMPUTED_VALUE"""),"2055-06-08T12:08:56.447868Z")</f>
        <v>2055-06-08T12:08:56.447868Z</v>
      </c>
      <c r="AF46" s="3" t="str">
        <f ca="1">IFERROR(__xludf.DUMMYFUNCTION("""COMPUTED_VALUE"""),"2055-06-08T12:28:32.697856Z")</f>
        <v>2055-06-08T12:28:32.697856Z</v>
      </c>
      <c r="AG46" s="3" t="str">
        <f ca="1">IFERROR(__xludf.DUMMYFUNCTION("""COMPUTED_VALUE"""),"2055-06-08T11:30:27.489897Z")</f>
        <v>2055-06-08T11:30:27.489897Z</v>
      </c>
      <c r="AH46" s="3" t="str">
        <f ca="1">IFERROR(__xludf.DUMMYFUNCTION("""COMPUTED_VALUE"""),"2055-06-08T11:51:07.390628Z")</f>
        <v>2055-06-08T11:51:07.390628Z</v>
      </c>
      <c r="AI46" s="3">
        <f ca="1">IFERROR(__xludf.DUMMYFUNCTION("""COMPUTED_VALUE"""),4.66)</f>
        <v>4.66</v>
      </c>
      <c r="AJ46" s="3">
        <f ca="1">IFERROR(__xludf.DUMMYFUNCTION("""COMPUTED_VALUE"""),161)</f>
        <v>161</v>
      </c>
      <c r="AK46" s="3">
        <f ca="1">IFERROR(__xludf.DUMMYFUNCTION("""COMPUTED_VALUE"""),398)</f>
        <v>398</v>
      </c>
      <c r="AL46" s="3"/>
    </row>
    <row r="47" spans="1:38" ht="13">
      <c r="A47" s="3">
        <f ca="1">IFERROR(__xludf.DUMMYFUNCTION("""COMPUTED_VALUE"""),139)</f>
        <v>139</v>
      </c>
      <c r="B47" s="3">
        <f ca="1">IFERROR(__xludf.DUMMYFUNCTION("""COMPUTED_VALUE"""),1)</f>
        <v>1</v>
      </c>
      <c r="C47" s="3">
        <f ca="1">IFERROR(__xludf.DUMMYFUNCTION("""COMPUTED_VALUE"""),4050)</f>
        <v>4050</v>
      </c>
      <c r="D47" s="3" t="str">
        <f ca="1">IFERROR(__xludf.DUMMYFUNCTION("""COMPUTED_VALUE"""),"Doorlanta")</f>
        <v>Doorlanta</v>
      </c>
      <c r="E47" s="3" t="str">
        <f ca="1">IFERROR(__xludf.DUMMYFUNCTION("""COMPUTED_VALUE"""),"Galaxy A")</f>
        <v>Galaxy A</v>
      </c>
      <c r="F47" s="3" t="str">
        <f ca="1">IFERROR(__xludf.DUMMYFUNCTION("""COMPUTED_VALUE"""),"Cate")</f>
        <v>Cate</v>
      </c>
      <c r="G47" s="3">
        <f ca="1">IFERROR(__xludf.DUMMYFUNCTION("""COMPUTED_VALUE"""),0)</f>
        <v>0</v>
      </c>
      <c r="H47" s="3" t="str">
        <f ca="1">IFERROR(__xludf.DUMMYFUNCTION("""COMPUTED_VALUE"""),"car")</f>
        <v>car</v>
      </c>
      <c r="I47" s="3" t="str">
        <f ca="1">IFERROR(__xludf.DUMMYFUNCTION("""COMPUTED_VALUE"""),"2055-06-02T16:23:39.870178Z")</f>
        <v>2055-06-02T16:23:39.870178Z</v>
      </c>
      <c r="J47" s="3" t="str">
        <f ca="1">IFERROR(__xludf.DUMMYFUNCTION("""COMPUTED_VALUE"""),"2055-06-02T17:18:39.948Z")</f>
        <v>2055-06-02T17:18:39.948Z</v>
      </c>
      <c r="K47" s="3" t="str">
        <f ca="1">IFERROR(__xludf.DUMMYFUNCTION("""COMPUTED_VALUE"""),"2055-06-02T16:53:15.948Z")</f>
        <v>2055-06-02T16:53:15.948Z</v>
      </c>
      <c r="L47" s="3">
        <f ca="1">IFERROR(__xludf.DUMMYFUNCTION("""COMPUTED_VALUE"""),1)</f>
        <v>1</v>
      </c>
      <c r="M47" s="3">
        <f ca="1">IFERROR(__xludf.DUMMYFUNCTION("""COMPUTED_VALUE"""),0)</f>
        <v>0</v>
      </c>
      <c r="N47" s="3" t="str">
        <f ca="1">IFERROR(__xludf.DUMMYFUNCTION("""COMPUTED_VALUE"""),"2055-06-02T17:06:00.894237Z")</f>
        <v>2055-06-02T17:06:00.894237Z</v>
      </c>
      <c r="O47" s="3" t="str">
        <f ca="1">IFERROR(__xludf.DUMMYFUNCTION("""COMPUTED_VALUE"""),"2055-06-02T17:19:58.643543Z")</f>
        <v>2055-06-02T17:19:58.643543Z</v>
      </c>
      <c r="P47" s="3" t="str">
        <f ca="1">IFERROR(__xludf.DUMMYFUNCTION("""COMPUTED_VALUE"""),"2055-06-02T16:23:47.45849Z")</f>
        <v>2055-06-02T16:23:47.45849Z</v>
      </c>
      <c r="Q47" s="3">
        <f ca="1">IFERROR(__xludf.DUMMYFUNCTION("""COMPUTED_VALUE"""),0)</f>
        <v>0</v>
      </c>
      <c r="R47" s="3" t="str">
        <f ca="1">IFERROR(__xludf.DUMMYFUNCTION("""COMPUTED_VALUE"""),"2055-06-02T16:23:55.564945Z")</f>
        <v>2055-06-02T16:23:55.564945Z</v>
      </c>
      <c r="S47" s="3" t="str">
        <f ca="1">IFERROR(__xludf.DUMMYFUNCTION("""COMPUTED_VALUE"""),"2055-06-02T16:30:32.20049Z")</f>
        <v>2055-06-02T16:30:32.20049Z</v>
      </c>
      <c r="T47" s="3"/>
      <c r="U47" s="4">
        <f ca="1">IFERROR(__xludf.DUMMYFUNCTION("""COMPUTED_VALUE"""),56767)</f>
        <v>56767</v>
      </c>
      <c r="V47" s="3">
        <f ca="1">IFERROR(__xludf.DUMMYFUNCTION("""COMPUTED_VALUE"""),4.6)</f>
        <v>4.5999999999999996</v>
      </c>
      <c r="W47" s="3">
        <f ca="1">IFERROR(__xludf.DUMMYFUNCTION("""COMPUTED_VALUE"""),7500)</f>
        <v>7500</v>
      </c>
      <c r="X47" s="3">
        <f ca="1">IFERROR(__xludf.DUMMYFUNCTION("""COMPUTED_VALUE"""),3363)</f>
        <v>3363</v>
      </c>
      <c r="Y47" s="3">
        <f ca="1">IFERROR(__xludf.DUMMYFUNCTION("""COMPUTED_VALUE"""),397)</f>
        <v>397</v>
      </c>
      <c r="Z47" s="3">
        <f ca="1">IFERROR(__xludf.DUMMYFUNCTION("""COMPUTED_VALUE"""),2128)</f>
        <v>2128</v>
      </c>
      <c r="AA47" s="3">
        <f ca="1">IFERROR(__xludf.DUMMYFUNCTION("""COMPUTED_VALUE"""),838)</f>
        <v>838</v>
      </c>
      <c r="AB47" s="3">
        <f ca="1">IFERROR(__xludf.DUMMYFUNCTION("""COMPUTED_VALUE"""),0)</f>
        <v>0</v>
      </c>
      <c r="AC47" s="3">
        <f ca="1">IFERROR(__xludf.DUMMYFUNCTION("""COMPUTED_VALUE"""),6)</f>
        <v>6</v>
      </c>
      <c r="AD47" s="3" t="str">
        <f ca="1">IFERROR(__xludf.DUMMYFUNCTION("""COMPUTED_VALUE"""),"early")</f>
        <v>early</v>
      </c>
      <c r="AE47" s="3" t="str">
        <f ca="1">IFERROR(__xludf.DUMMYFUNCTION("""COMPUTED_VALUE"""),"2055-06-02T13:06:00.894237Z")</f>
        <v>2055-06-02T13:06:00.894237Z</v>
      </c>
      <c r="AF47" s="3" t="str">
        <f ca="1">IFERROR(__xludf.DUMMYFUNCTION("""COMPUTED_VALUE"""),"2055-06-02T13:19:58.643543Z")</f>
        <v>2055-06-02T13:19:58.643543Z</v>
      </c>
      <c r="AG47" s="3" t="str">
        <f ca="1">IFERROR(__xludf.DUMMYFUNCTION("""COMPUTED_VALUE"""),"2055-06-02T12:23:47.45849Z")</f>
        <v>2055-06-02T12:23:47.45849Z</v>
      </c>
      <c r="AH47" s="3" t="str">
        <f ca="1">IFERROR(__xludf.DUMMYFUNCTION("""COMPUTED_VALUE"""),"2055-06-02T12:30:32.20049Z")</f>
        <v>2055-06-02T12:30:32.20049Z</v>
      </c>
      <c r="AI47" s="3">
        <f ca="1">IFERROR(__xludf.DUMMYFUNCTION("""COMPUTED_VALUE"""),4.49)</f>
        <v>4.49</v>
      </c>
      <c r="AJ47" s="3">
        <f ca="1">IFERROR(__xludf.DUMMYFUNCTION("""COMPUTED_VALUE"""),2315)</f>
        <v>2315</v>
      </c>
      <c r="AK47" s="3">
        <f ca="1">IFERROR(__xludf.DUMMYFUNCTION("""COMPUTED_VALUE"""),7039)</f>
        <v>7039</v>
      </c>
      <c r="AL47" s="3">
        <f ca="1">IFERROR(__xludf.DUMMYFUNCTION("""COMPUTED_VALUE"""),763)</f>
        <v>763</v>
      </c>
    </row>
    <row r="48" spans="1:38" ht="13">
      <c r="A48" s="3">
        <f ca="1">IFERROR(__xludf.DUMMYFUNCTION("""COMPUTED_VALUE"""),696)</f>
        <v>696</v>
      </c>
      <c r="B48" s="3"/>
      <c r="C48" s="3">
        <f ca="1">IFERROR(__xludf.DUMMYFUNCTION("""COMPUTED_VALUE"""),4001)</f>
        <v>4001</v>
      </c>
      <c r="D48" s="3" t="str">
        <f ca="1">IFERROR(__xludf.DUMMYFUNCTION("""COMPUTED_VALUE"""),"Dashattan")</f>
        <v>Dashattan</v>
      </c>
      <c r="E48" s="3" t="str">
        <f ca="1">IFERROR(__xludf.DUMMYFUNCTION("""COMPUTED_VALUE"""),"Galaxy A")</f>
        <v>Galaxy A</v>
      </c>
      <c r="F48" s="3" t="str">
        <f ca="1">IFERROR(__xludf.DUMMYFUNCTION("""COMPUTED_VALUE"""),"KC")</f>
        <v>KC</v>
      </c>
      <c r="G48" s="3">
        <f ca="1">IFERROR(__xludf.DUMMYFUNCTION("""COMPUTED_VALUE"""),0)</f>
        <v>0</v>
      </c>
      <c r="H48" s="3" t="str">
        <f ca="1">IFERROR(__xludf.DUMMYFUNCTION("""COMPUTED_VALUE"""),"car")</f>
        <v>car</v>
      </c>
      <c r="I48" s="3" t="str">
        <f ca="1">IFERROR(__xludf.DUMMYFUNCTION("""COMPUTED_VALUE"""),"2055-06-06T00:11:13.372932Z")</f>
        <v>2055-06-06T00:11:13.372932Z</v>
      </c>
      <c r="J48" s="3" t="str">
        <f ca="1">IFERROR(__xludf.DUMMYFUNCTION("""COMPUTED_VALUE"""),"2055-06-06T01:24:29.438Z")</f>
        <v>2055-06-06T01:24:29.438Z</v>
      </c>
      <c r="K48" s="3" t="str">
        <f ca="1">IFERROR(__xludf.DUMMYFUNCTION("""COMPUTED_VALUE"""),"2055-06-06T01:02:35.438Z")</f>
        <v>2055-06-06T01:02:35.438Z</v>
      </c>
      <c r="L48" s="3">
        <f ca="1">IFERROR(__xludf.DUMMYFUNCTION("""COMPUTED_VALUE"""),1)</f>
        <v>1</v>
      </c>
      <c r="M48" s="3">
        <f ca="1">IFERROR(__xludf.DUMMYFUNCTION("""COMPUTED_VALUE"""),0)</f>
        <v>0</v>
      </c>
      <c r="N48" s="3" t="str">
        <f ca="1">IFERROR(__xludf.DUMMYFUNCTION("""COMPUTED_VALUE"""),"2055-06-06T01:18:10.892174Z")</f>
        <v>2055-06-06T01:18:10.892174Z</v>
      </c>
      <c r="O48" s="3" t="str">
        <f ca="1">IFERROR(__xludf.DUMMYFUNCTION("""COMPUTED_VALUE"""),"2055-06-06T01:32:00.23386Z")</f>
        <v>2055-06-06T01:32:00.23386Z</v>
      </c>
      <c r="P48" s="3" t="str">
        <f ca="1">IFERROR(__xludf.DUMMYFUNCTION("""COMPUTED_VALUE"""),"2055-06-06T00:50:34.154514Z")</f>
        <v>2055-06-06T00:50:34.154514Z</v>
      </c>
      <c r="Q48" s="3">
        <f ca="1">IFERROR(__xludf.DUMMYFUNCTION("""COMPUTED_VALUE"""),0)</f>
        <v>0</v>
      </c>
      <c r="R48" s="3" t="str">
        <f ca="1">IFERROR(__xludf.DUMMYFUNCTION("""COMPUTED_VALUE"""),"2055-06-06T00:50:52.746002Z")</f>
        <v>2055-06-06T00:50:52.746002Z</v>
      </c>
      <c r="S48" s="3" t="str">
        <f ca="1">IFERROR(__xludf.DUMMYFUNCTION("""COMPUTED_VALUE"""),"2055-06-06T01:03:11.792284Z")</f>
        <v>2055-06-06T01:03:11.792284Z</v>
      </c>
      <c r="T48" s="3"/>
      <c r="U48" s="4">
        <f ca="1">IFERROR(__xludf.DUMMYFUNCTION("""COMPUTED_VALUE"""),56770)</f>
        <v>56770</v>
      </c>
      <c r="V48" s="3">
        <f ca="1">IFERROR(__xludf.DUMMYFUNCTION("""COMPUTED_VALUE"""),4.2)</f>
        <v>4.2</v>
      </c>
      <c r="W48" s="3">
        <f ca="1">IFERROR(__xludf.DUMMYFUNCTION("""COMPUTED_VALUE"""),7500)</f>
        <v>7500</v>
      </c>
      <c r="X48" s="3">
        <f ca="1">IFERROR(__xludf.DUMMYFUNCTION("""COMPUTED_VALUE"""),2468)</f>
        <v>2468</v>
      </c>
      <c r="Y48" s="3">
        <f ca="1">IFERROR(__xludf.DUMMYFUNCTION("""COMPUTED_VALUE"""),739)</f>
        <v>739</v>
      </c>
      <c r="Z48" s="3">
        <f ca="1">IFERROR(__xludf.DUMMYFUNCTION("""COMPUTED_VALUE"""),899)</f>
        <v>899</v>
      </c>
      <c r="AA48" s="3">
        <f ca="1">IFERROR(__xludf.DUMMYFUNCTION("""COMPUTED_VALUE"""),830)</f>
        <v>830</v>
      </c>
      <c r="AB48" s="3">
        <f ca="1">IFERROR(__xludf.DUMMYFUNCTION("""COMPUTED_VALUE"""),1)</f>
        <v>1</v>
      </c>
      <c r="AC48" s="3">
        <f ca="1">IFERROR(__xludf.DUMMYFUNCTION("""COMPUTED_VALUE"""),13)</f>
        <v>13</v>
      </c>
      <c r="AD48" s="3"/>
      <c r="AE48" s="3" t="str">
        <f ca="1">IFERROR(__xludf.DUMMYFUNCTION("""COMPUTED_VALUE"""),"2055-06-05T21:18:10.892174Z")</f>
        <v>2055-06-05T21:18:10.892174Z</v>
      </c>
      <c r="AF48" s="3" t="str">
        <f ca="1">IFERROR(__xludf.DUMMYFUNCTION("""COMPUTED_VALUE"""),"2055-06-05T21:32:00.23386Z")</f>
        <v>2055-06-05T21:32:00.23386Z</v>
      </c>
      <c r="AG48" s="3" t="str">
        <f ca="1">IFERROR(__xludf.DUMMYFUNCTION("""COMPUTED_VALUE"""),"2055-06-05T20:50:34.154514Z")</f>
        <v>2055-06-05T20:50:34.154514Z</v>
      </c>
      <c r="AH48" s="3" t="str">
        <f ca="1">IFERROR(__xludf.DUMMYFUNCTION("""COMPUTED_VALUE"""),"2055-06-05T21:03:11.792284Z")</f>
        <v>2055-06-05T21:03:11.792284Z</v>
      </c>
      <c r="AI48" s="3">
        <f ca="1">IFERROR(__xludf.DUMMYFUNCTION("""COMPUTED_VALUE"""),4.54)</f>
        <v>4.54</v>
      </c>
      <c r="AJ48" s="3">
        <f ca="1">IFERROR(__xludf.DUMMYFUNCTION("""COMPUTED_VALUE"""),2229)</f>
        <v>2229</v>
      </c>
      <c r="AK48" s="3">
        <f ca="1">IFERROR(__xludf.DUMMYFUNCTION("""COMPUTED_VALUE"""),6580)</f>
        <v>6580</v>
      </c>
      <c r="AL48" s="3"/>
    </row>
    <row r="49" spans="1:38" ht="13">
      <c r="A49" s="3">
        <f ca="1">IFERROR(__xludf.DUMMYFUNCTION("""COMPUTED_VALUE"""),68)</f>
        <v>68</v>
      </c>
      <c r="B49" s="3"/>
      <c r="C49" s="3">
        <f ca="1">IFERROR(__xludf.DUMMYFUNCTION("""COMPUTED_VALUE"""),4050)</f>
        <v>4050</v>
      </c>
      <c r="D49" s="3" t="str">
        <f ca="1">IFERROR(__xludf.DUMMYFUNCTION("""COMPUTED_VALUE"""),"Doorlanta")</f>
        <v>Doorlanta</v>
      </c>
      <c r="E49" s="3" t="str">
        <f ca="1">IFERROR(__xludf.DUMMYFUNCTION("""COMPUTED_VALUE"""),"Galaxy A")</f>
        <v>Galaxy A</v>
      </c>
      <c r="F49" s="3" t="str">
        <f ca="1">IFERROR(__xludf.DUMMYFUNCTION("""COMPUTED_VALUE"""),"Jagar")</f>
        <v>Jagar</v>
      </c>
      <c r="G49" s="3">
        <f ca="1">IFERROR(__xludf.DUMMYFUNCTION("""COMPUTED_VALUE"""),0)</f>
        <v>0</v>
      </c>
      <c r="H49" s="3" t="str">
        <f ca="1">IFERROR(__xludf.DUMMYFUNCTION("""COMPUTED_VALUE"""),"car")</f>
        <v>car</v>
      </c>
      <c r="I49" s="3" t="str">
        <f ca="1">IFERROR(__xludf.DUMMYFUNCTION("""COMPUTED_VALUE"""),"2055-06-01T22:46:47.260546Z")</f>
        <v>2055-06-01T22:46:47.260546Z</v>
      </c>
      <c r="J49" s="3" t="str">
        <f ca="1">IFERROR(__xludf.DUMMYFUNCTION("""COMPUTED_VALUE"""),"2055-06-01T23:51:33.343Z")</f>
        <v>2055-06-01T23:51:33.343Z</v>
      </c>
      <c r="K49" s="3" t="str">
        <f ca="1">IFERROR(__xludf.DUMMYFUNCTION("""COMPUTED_VALUE"""),"2055-06-01T23:31:26.343Z")</f>
        <v>2055-06-01T23:31:26.343Z</v>
      </c>
      <c r="L49" s="3">
        <f ca="1">IFERROR(__xludf.DUMMYFUNCTION("""COMPUTED_VALUE"""),1)</f>
        <v>1</v>
      </c>
      <c r="M49" s="3">
        <f ca="1">IFERROR(__xludf.DUMMYFUNCTION("""COMPUTED_VALUE"""),0)</f>
        <v>0</v>
      </c>
      <c r="N49" s="3" t="str">
        <f ca="1">IFERROR(__xludf.DUMMYFUNCTION("""COMPUTED_VALUE"""),"2055-06-01T23:18:06.706964Z")</f>
        <v>2055-06-01T23:18:06.706964Z</v>
      </c>
      <c r="O49" s="3" t="str">
        <f ca="1">IFERROR(__xludf.DUMMYFUNCTION("""COMPUTED_VALUE"""),"2055-06-01T23:26:54.876894Z")</f>
        <v>2055-06-01T23:26:54.876894Z</v>
      </c>
      <c r="P49" s="3" t="str">
        <f ca="1">IFERROR(__xludf.DUMMYFUNCTION("""COMPUTED_VALUE"""),"2055-06-01T22:47:07.507745Z")</f>
        <v>2055-06-01T22:47:07.507745Z</v>
      </c>
      <c r="Q49" s="3">
        <f ca="1">IFERROR(__xludf.DUMMYFUNCTION("""COMPUTED_VALUE"""),0)</f>
        <v>0</v>
      </c>
      <c r="R49" s="3" t="str">
        <f ca="1">IFERROR(__xludf.DUMMYFUNCTION("""COMPUTED_VALUE"""),"2055-06-01T22:47:10.792787Z")</f>
        <v>2055-06-01T22:47:10.792787Z</v>
      </c>
      <c r="S49" s="3" t="str">
        <f ca="1">IFERROR(__xludf.DUMMYFUNCTION("""COMPUTED_VALUE"""),"2055-06-01T23:11:06.637286Z")</f>
        <v>2055-06-01T23:11:06.637286Z</v>
      </c>
      <c r="T49" s="3"/>
      <c r="U49" s="4">
        <f ca="1">IFERROR(__xludf.DUMMYFUNCTION("""COMPUTED_VALUE"""),56766)</f>
        <v>56766</v>
      </c>
      <c r="V49" s="3">
        <f ca="1">IFERROR(__xludf.DUMMYFUNCTION("""COMPUTED_VALUE"""),4.7)</f>
        <v>4.7</v>
      </c>
      <c r="W49" s="3">
        <f ca="1">IFERROR(__xludf.DUMMYFUNCTION("""COMPUTED_VALUE"""),7500)</f>
        <v>7500</v>
      </c>
      <c r="X49" s="3">
        <f ca="1">IFERROR(__xludf.DUMMYFUNCTION("""COMPUTED_VALUE"""),2384)</f>
        <v>2384</v>
      </c>
      <c r="Y49" s="3">
        <f ca="1">IFERROR(__xludf.DUMMYFUNCTION("""COMPUTED_VALUE"""),1436)</f>
        <v>1436</v>
      </c>
      <c r="Z49" s="3">
        <f ca="1">IFERROR(__xludf.DUMMYFUNCTION("""COMPUTED_VALUE"""),420)</f>
        <v>420</v>
      </c>
      <c r="AA49" s="3">
        <f ca="1">IFERROR(__xludf.DUMMYFUNCTION("""COMPUTED_VALUE"""),528)</f>
        <v>528</v>
      </c>
      <c r="AB49" s="3">
        <f ca="1">IFERROR(__xludf.DUMMYFUNCTION("""COMPUTED_VALUE"""),0)</f>
        <v>0</v>
      </c>
      <c r="AC49" s="3">
        <f ca="1">IFERROR(__xludf.DUMMYFUNCTION("""COMPUTED_VALUE"""),10)</f>
        <v>10</v>
      </c>
      <c r="AD49" s="3" t="str">
        <f ca="1">IFERROR(__xludf.DUMMYFUNCTION("""COMPUTED_VALUE"""),"late")</f>
        <v>late</v>
      </c>
      <c r="AE49" s="3" t="str">
        <f ca="1">IFERROR(__xludf.DUMMYFUNCTION("""COMPUTED_VALUE"""),"2055-06-01T19:18:06.706964Z")</f>
        <v>2055-06-01T19:18:06.706964Z</v>
      </c>
      <c r="AF49" s="3" t="str">
        <f ca="1">IFERROR(__xludf.DUMMYFUNCTION("""COMPUTED_VALUE"""),"2055-06-01T19:26:54.876894Z")</f>
        <v>2055-06-01T19:26:54.876894Z</v>
      </c>
      <c r="AG49" s="3" t="str">
        <f ca="1">IFERROR(__xludf.DUMMYFUNCTION("""COMPUTED_VALUE"""),"2055-06-01T18:47:07.507745Z")</f>
        <v>2055-06-01T18:47:07.507745Z</v>
      </c>
      <c r="AH49" s="3" t="str">
        <f ca="1">IFERROR(__xludf.DUMMYFUNCTION("""COMPUTED_VALUE"""),"2055-06-01T19:11:06.637286Z")</f>
        <v>2055-06-01T19:11:06.637286Z</v>
      </c>
      <c r="AI49" s="3">
        <f ca="1">IFERROR(__xludf.DUMMYFUNCTION("""COMPUTED_VALUE"""),4.89)</f>
        <v>4.8899999999999997</v>
      </c>
      <c r="AJ49" s="3">
        <f ca="1">IFERROR(__xludf.DUMMYFUNCTION("""COMPUTED_VALUE"""),1778)</f>
        <v>1778</v>
      </c>
      <c r="AK49" s="3">
        <f ca="1">IFERROR(__xludf.DUMMYFUNCTION("""COMPUTED_VALUE"""),5138)</f>
        <v>5138</v>
      </c>
      <c r="AL49" s="3">
        <f ca="1">IFERROR(__xludf.DUMMYFUNCTION("""COMPUTED_VALUE"""),314)</f>
        <v>314</v>
      </c>
    </row>
    <row r="50" spans="1:38" ht="13">
      <c r="A50" s="3">
        <f ca="1">IFERROR(__xludf.DUMMYFUNCTION("""COMPUTED_VALUE"""),387)</f>
        <v>387</v>
      </c>
      <c r="B50" s="3"/>
      <c r="C50" s="3">
        <f ca="1">IFERROR(__xludf.DUMMYFUNCTION("""COMPUTED_VALUE"""),4001)</f>
        <v>4001</v>
      </c>
      <c r="D50" s="3" t="str">
        <f ca="1">IFERROR(__xludf.DUMMYFUNCTION("""COMPUTED_VALUE"""),"Dashattan")</f>
        <v>Dashattan</v>
      </c>
      <c r="E50" s="3" t="str">
        <f ca="1">IFERROR(__xludf.DUMMYFUNCTION("""COMPUTED_VALUE"""),"Galaxy A")</f>
        <v>Galaxy A</v>
      </c>
      <c r="F50" s="3" t="str">
        <f ca="1">IFERROR(__xludf.DUMMYFUNCTION("""COMPUTED_VALUE"""),"KC")</f>
        <v>KC</v>
      </c>
      <c r="G50" s="3">
        <f ca="1">IFERROR(__xludf.DUMMYFUNCTION("""COMPUTED_VALUE"""),0)</f>
        <v>0</v>
      </c>
      <c r="H50" s="3" t="str">
        <f ca="1">IFERROR(__xludf.DUMMYFUNCTION("""COMPUTED_VALUE"""),"car")</f>
        <v>car</v>
      </c>
      <c r="I50" s="3" t="str">
        <f ca="1">IFERROR(__xludf.DUMMYFUNCTION("""COMPUTED_VALUE"""),"2055-06-04T01:02:02.615636Z")</f>
        <v>2055-06-04T01:02:02.615636Z</v>
      </c>
      <c r="J50" s="3" t="str">
        <f ca="1">IFERROR(__xludf.DUMMYFUNCTION("""COMPUTED_VALUE"""),"2055-06-04T02:14:04.68Z")</f>
        <v>2055-06-04T02:14:04.68Z</v>
      </c>
      <c r="K50" s="3" t="str">
        <f ca="1">IFERROR(__xludf.DUMMYFUNCTION("""COMPUTED_VALUE"""),"2055-06-04T01:49:23.68Z")</f>
        <v>2055-06-04T01:49:23.68Z</v>
      </c>
      <c r="L50" s="3">
        <f ca="1">IFERROR(__xludf.DUMMYFUNCTION("""COMPUTED_VALUE"""),1)</f>
        <v>1</v>
      </c>
      <c r="M50" s="3">
        <f ca="1">IFERROR(__xludf.DUMMYFUNCTION("""COMPUTED_VALUE"""),0)</f>
        <v>0</v>
      </c>
      <c r="N50" s="3" t="str">
        <f ca="1">IFERROR(__xludf.DUMMYFUNCTION("""COMPUTED_VALUE"""),"2055-06-04T01:35:57.380742Z")</f>
        <v>2055-06-04T01:35:57.380742Z</v>
      </c>
      <c r="O50" s="3" t="str">
        <f ca="1">IFERROR(__xludf.DUMMYFUNCTION("""COMPUTED_VALUE"""),"2055-06-04T01:53:38.08847Z")</f>
        <v>2055-06-04T01:53:38.08847Z</v>
      </c>
      <c r="P50" s="3" t="str">
        <f ca="1">IFERROR(__xludf.DUMMYFUNCTION("""COMPUTED_VALUE"""),"2055-06-04T01:19:35.240112Z")</f>
        <v>2055-06-04T01:19:35.240112Z</v>
      </c>
      <c r="Q50" s="3">
        <f ca="1">IFERROR(__xludf.DUMMYFUNCTION("""COMPUTED_VALUE"""),0)</f>
        <v>0</v>
      </c>
      <c r="R50" s="3" t="str">
        <f ca="1">IFERROR(__xludf.DUMMYFUNCTION("""COMPUTED_VALUE"""),"2055-06-04T01:19:53.428989Z")</f>
        <v>2055-06-04T01:19:53.428989Z</v>
      </c>
      <c r="S50" s="3" t="str">
        <f ca="1">IFERROR(__xludf.DUMMYFUNCTION("""COMPUTED_VALUE"""),"2055-06-04T01:32:45.020154Z")</f>
        <v>2055-06-04T01:32:45.020154Z</v>
      </c>
      <c r="T50" s="3"/>
      <c r="U50" s="4">
        <f ca="1">IFERROR(__xludf.DUMMYFUNCTION("""COMPUTED_VALUE"""),56768)</f>
        <v>56768</v>
      </c>
      <c r="V50" s="3">
        <f ca="1">IFERROR(__xludf.DUMMYFUNCTION("""COMPUTED_VALUE"""),4.6)</f>
        <v>4.5999999999999996</v>
      </c>
      <c r="W50" s="3">
        <f ca="1">IFERROR(__xludf.DUMMYFUNCTION("""COMPUTED_VALUE"""),7500)</f>
        <v>7500</v>
      </c>
      <c r="X50" s="3">
        <f ca="1">IFERROR(__xludf.DUMMYFUNCTION("""COMPUTED_VALUE"""),2025)</f>
        <v>2025</v>
      </c>
      <c r="Y50" s="3">
        <f ca="1">IFERROR(__xludf.DUMMYFUNCTION("""COMPUTED_VALUE"""),772)</f>
        <v>772</v>
      </c>
      <c r="Z50" s="3">
        <f ca="1">IFERROR(__xludf.DUMMYFUNCTION("""COMPUTED_VALUE"""),192)</f>
        <v>192</v>
      </c>
      <c r="AA50" s="3">
        <f ca="1">IFERROR(__xludf.DUMMYFUNCTION("""COMPUTED_VALUE"""),1061)</f>
        <v>1061</v>
      </c>
      <c r="AB50" s="3">
        <f ca="1">IFERROR(__xludf.DUMMYFUNCTION("""COMPUTED_VALUE"""),0)</f>
        <v>0</v>
      </c>
      <c r="AC50" s="3">
        <f ca="1">IFERROR(__xludf.DUMMYFUNCTION("""COMPUTED_VALUE"""),4)</f>
        <v>4</v>
      </c>
      <c r="AD50" s="3" t="str">
        <f ca="1">IFERROR(__xludf.DUMMYFUNCTION("""COMPUTED_VALUE"""),"late")</f>
        <v>late</v>
      </c>
      <c r="AE50" s="3" t="str">
        <f ca="1">IFERROR(__xludf.DUMMYFUNCTION("""COMPUTED_VALUE"""),"2055-06-03T21:35:57.380742Z")</f>
        <v>2055-06-03T21:35:57.380742Z</v>
      </c>
      <c r="AF50" s="3" t="str">
        <f ca="1">IFERROR(__xludf.DUMMYFUNCTION("""COMPUTED_VALUE"""),"2055-06-03T21:53:38.08847Z")</f>
        <v>2055-06-03T21:53:38.08847Z</v>
      </c>
      <c r="AG50" s="3" t="str">
        <f ca="1">IFERROR(__xludf.DUMMYFUNCTION("""COMPUTED_VALUE"""),"2055-06-03T21:19:35.240112Z")</f>
        <v>2055-06-03T21:19:35.240112Z</v>
      </c>
      <c r="AH50" s="3" t="str">
        <f ca="1">IFERROR(__xludf.DUMMYFUNCTION("""COMPUTED_VALUE"""),"2055-06-03T21:32:45.020154Z")</f>
        <v>2055-06-03T21:32:45.020154Z</v>
      </c>
      <c r="AI50" s="3">
        <f ca="1">IFERROR(__xludf.DUMMYFUNCTION("""COMPUTED_VALUE"""),4.54)</f>
        <v>4.54</v>
      </c>
      <c r="AJ50" s="3">
        <f ca="1">IFERROR(__xludf.DUMMYFUNCTION("""COMPUTED_VALUE"""),2229)</f>
        <v>2229</v>
      </c>
      <c r="AK50" s="3">
        <f ca="1">IFERROR(__xludf.DUMMYFUNCTION("""COMPUTED_VALUE"""),6580)</f>
        <v>6580</v>
      </c>
      <c r="AL50" s="3"/>
    </row>
    <row r="51" spans="1:38" ht="13">
      <c r="A51" s="3">
        <f ca="1">IFERROR(__xludf.DUMMYFUNCTION("""COMPUTED_VALUE"""),93)</f>
        <v>93</v>
      </c>
      <c r="B51" s="3">
        <f ca="1">IFERROR(__xludf.DUMMYFUNCTION("""COMPUTED_VALUE"""),5)</f>
        <v>5</v>
      </c>
      <c r="C51" s="3">
        <f ca="1">IFERROR(__xludf.DUMMYFUNCTION("""COMPUTED_VALUE"""),4050)</f>
        <v>4050</v>
      </c>
      <c r="D51" s="3" t="str">
        <f ca="1">IFERROR(__xludf.DUMMYFUNCTION("""COMPUTED_VALUE"""),"Doorlanta")</f>
        <v>Doorlanta</v>
      </c>
      <c r="E51" s="3" t="str">
        <f ca="1">IFERROR(__xludf.DUMMYFUNCTION("""COMPUTED_VALUE"""),"Galaxy A")</f>
        <v>Galaxy A</v>
      </c>
      <c r="F51" s="3" t="str">
        <f ca="1">IFERROR(__xludf.DUMMYFUNCTION("""COMPUTED_VALUE"""),"Lauran")</f>
        <v>Lauran</v>
      </c>
      <c r="G51" s="3">
        <f ca="1">IFERROR(__xludf.DUMMYFUNCTION("""COMPUTED_VALUE"""),0)</f>
        <v>0</v>
      </c>
      <c r="H51" s="3" t="str">
        <f ca="1">IFERROR(__xludf.DUMMYFUNCTION("""COMPUTED_VALUE"""),"car")</f>
        <v>car</v>
      </c>
      <c r="I51" s="3" t="str">
        <f ca="1">IFERROR(__xludf.DUMMYFUNCTION("""COMPUTED_VALUE"""),"2055-06-02T00:13:23.522925Z")</f>
        <v>2055-06-02T00:13:23.522925Z</v>
      </c>
      <c r="J51" s="3" t="str">
        <f ca="1">IFERROR(__xludf.DUMMYFUNCTION("""COMPUTED_VALUE"""),"2055-06-02T01:49:37.605Z")</f>
        <v>2055-06-02T01:49:37.605Z</v>
      </c>
      <c r="K51" s="3" t="str">
        <f ca="1">IFERROR(__xludf.DUMMYFUNCTION("""COMPUTED_VALUE"""),"2055-06-02T01:21:24.605Z")</f>
        <v>2055-06-02T01:21:24.605Z</v>
      </c>
      <c r="L51" s="3">
        <f ca="1">IFERROR(__xludf.DUMMYFUNCTION("""COMPUTED_VALUE"""),1)</f>
        <v>1</v>
      </c>
      <c r="M51" s="3">
        <f ca="1">IFERROR(__xludf.DUMMYFUNCTION("""COMPUTED_VALUE"""),0)</f>
        <v>0</v>
      </c>
      <c r="N51" s="3" t="str">
        <f ca="1">IFERROR(__xludf.DUMMYFUNCTION("""COMPUTED_VALUE"""),"2055-06-02T01:08:21.293046Z")</f>
        <v>2055-06-02T01:08:21.293046Z</v>
      </c>
      <c r="O51" s="3" t="str">
        <f ca="1">IFERROR(__xludf.DUMMYFUNCTION("""COMPUTED_VALUE"""),"2055-06-02T01:25:05.126543Z")</f>
        <v>2055-06-02T01:25:05.126543Z</v>
      </c>
      <c r="P51" s="3" t="str">
        <f ca="1">IFERROR(__xludf.DUMMYFUNCTION("""COMPUTED_VALUE"""),"2055-06-02T00:20:52.44522Z")</f>
        <v>2055-06-02T00:20:52.44522Z</v>
      </c>
      <c r="Q51" s="3">
        <f ca="1">IFERROR(__xludf.DUMMYFUNCTION("""COMPUTED_VALUE"""),1)</f>
        <v>1</v>
      </c>
      <c r="R51" s="3" t="str">
        <f ca="1">IFERROR(__xludf.DUMMYFUNCTION("""COMPUTED_VALUE"""),"2055-06-02T00:21:34.869675Z")</f>
        <v>2055-06-02T00:21:34.869675Z</v>
      </c>
      <c r="S51" s="3"/>
      <c r="T51" s="3"/>
      <c r="U51" s="4">
        <f ca="1">IFERROR(__xludf.DUMMYFUNCTION("""COMPUTED_VALUE"""),56766)</f>
        <v>56766</v>
      </c>
      <c r="V51" s="3">
        <f ca="1">IFERROR(__xludf.DUMMYFUNCTION("""COMPUTED_VALUE"""),4.8)</f>
        <v>4.8</v>
      </c>
      <c r="W51" s="3">
        <f ca="1">IFERROR(__xludf.DUMMYFUNCTION("""COMPUTED_VALUE"""),7500)</f>
        <v>7500</v>
      </c>
      <c r="X51" s="3">
        <f ca="1">IFERROR(__xludf.DUMMYFUNCTION("""COMPUTED_VALUE"""),3811)</f>
        <v>3811</v>
      </c>
      <c r="Y51" s="3"/>
      <c r="Z51" s="3"/>
      <c r="AA51" s="3">
        <f ca="1">IFERROR(__xludf.DUMMYFUNCTION("""COMPUTED_VALUE"""),1004)</f>
        <v>1004</v>
      </c>
      <c r="AB51" s="3">
        <f ca="1">IFERROR(__xludf.DUMMYFUNCTION("""COMPUTED_VALUE"""),0)</f>
        <v>0</v>
      </c>
      <c r="AC51" s="3">
        <f ca="1">IFERROR(__xludf.DUMMYFUNCTION("""COMPUTED_VALUE"""),6)</f>
        <v>6</v>
      </c>
      <c r="AD51" s="3"/>
      <c r="AE51" s="3" t="str">
        <f ca="1">IFERROR(__xludf.DUMMYFUNCTION("""COMPUTED_VALUE"""),"2055-06-01T21:08:21.293046Z")</f>
        <v>2055-06-01T21:08:21.293046Z</v>
      </c>
      <c r="AF51" s="3" t="str">
        <f ca="1">IFERROR(__xludf.DUMMYFUNCTION("""COMPUTED_VALUE"""),"2055-06-01T21:25:05.126543Z")</f>
        <v>2055-06-01T21:25:05.126543Z</v>
      </c>
      <c r="AG51" s="3" t="str">
        <f ca="1">IFERROR(__xludf.DUMMYFUNCTION("""COMPUTED_VALUE"""),"2055-06-01T20:20:52.44522Z")</f>
        <v>2055-06-01T20:20:52.44522Z</v>
      </c>
      <c r="AH51" s="3"/>
      <c r="AI51" s="3">
        <f ca="1">IFERROR(__xludf.DUMMYFUNCTION("""COMPUTED_VALUE"""),4.42)</f>
        <v>4.42</v>
      </c>
      <c r="AJ51" s="3">
        <f ca="1">IFERROR(__xludf.DUMMYFUNCTION("""COMPUTED_VALUE"""),1396)</f>
        <v>1396</v>
      </c>
      <c r="AK51" s="3">
        <f ca="1">IFERROR(__xludf.DUMMYFUNCTION("""COMPUTED_VALUE"""),4836)</f>
        <v>4836</v>
      </c>
      <c r="AL51" s="3">
        <f ca="1">IFERROR(__xludf.DUMMYFUNCTION("""COMPUTED_VALUE"""),1278)</f>
        <v>1278</v>
      </c>
    </row>
    <row r="52" spans="1:38" ht="13">
      <c r="A52" s="3">
        <f ca="1">IFERROR(__xludf.DUMMYFUNCTION("""COMPUTED_VALUE"""),21)</f>
        <v>21</v>
      </c>
      <c r="B52" s="3">
        <f ca="1">IFERROR(__xludf.DUMMYFUNCTION("""COMPUTED_VALUE"""),5)</f>
        <v>5</v>
      </c>
      <c r="C52" s="3">
        <f ca="1">IFERROR(__xludf.DUMMYFUNCTION("""COMPUTED_VALUE"""),4050)</f>
        <v>4050</v>
      </c>
      <c r="D52" s="3" t="str">
        <f ca="1">IFERROR(__xludf.DUMMYFUNCTION("""COMPUTED_VALUE"""),"Doorlanta")</f>
        <v>Doorlanta</v>
      </c>
      <c r="E52" s="3" t="str">
        <f ca="1">IFERROR(__xludf.DUMMYFUNCTION("""COMPUTED_VALUE"""),"Galaxy A")</f>
        <v>Galaxy A</v>
      </c>
      <c r="F52" s="3" t="str">
        <f ca="1">IFERROR(__xludf.DUMMYFUNCTION("""COMPUTED_VALUE"""),"Katelynn")</f>
        <v>Katelynn</v>
      </c>
      <c r="G52" s="3">
        <f ca="1">IFERROR(__xludf.DUMMYFUNCTION("""COMPUTED_VALUE"""),0)</f>
        <v>0</v>
      </c>
      <c r="H52" s="3" t="str">
        <f ca="1">IFERROR(__xludf.DUMMYFUNCTION("""COMPUTED_VALUE"""),"car")</f>
        <v>car</v>
      </c>
      <c r="I52" s="3" t="str">
        <f ca="1">IFERROR(__xludf.DUMMYFUNCTION("""COMPUTED_VALUE"""),"2055-06-01T16:32:00.190923Z")</f>
        <v>2055-06-01T16:32:00.190923Z</v>
      </c>
      <c r="J52" s="3" t="str">
        <f ca="1">IFERROR(__xludf.DUMMYFUNCTION("""COMPUTED_VALUE"""),"2055-06-01T17:27:00.276Z")</f>
        <v>2055-06-01T17:27:00.276Z</v>
      </c>
      <c r="K52" s="3" t="str">
        <f ca="1">IFERROR(__xludf.DUMMYFUNCTION("""COMPUTED_VALUE"""),"2055-06-01T17:05:25.276Z")</f>
        <v>2055-06-01T17:05:25.276Z</v>
      </c>
      <c r="L52" s="3">
        <f ca="1">IFERROR(__xludf.DUMMYFUNCTION("""COMPUTED_VALUE"""),1)</f>
        <v>1</v>
      </c>
      <c r="M52" s="3">
        <f ca="1">IFERROR(__xludf.DUMMYFUNCTION("""COMPUTED_VALUE"""),0)</f>
        <v>0</v>
      </c>
      <c r="N52" s="3" t="str">
        <f ca="1">IFERROR(__xludf.DUMMYFUNCTION("""COMPUTED_VALUE"""),"2055-06-01T17:15:31.839159Z")</f>
        <v>2055-06-01T17:15:31.839159Z</v>
      </c>
      <c r="O52" s="3" t="str">
        <f ca="1">IFERROR(__xludf.DUMMYFUNCTION("""COMPUTED_VALUE"""),"2055-06-01T17:23:02.296878Z")</f>
        <v>2055-06-01T17:23:02.296878Z</v>
      </c>
      <c r="P52" s="3" t="str">
        <f ca="1">IFERROR(__xludf.DUMMYFUNCTION("""COMPUTED_VALUE"""),"2055-06-01T16:32:07.34231Z")</f>
        <v>2055-06-01T16:32:07.34231Z</v>
      </c>
      <c r="Q52" s="3">
        <f ca="1">IFERROR(__xludf.DUMMYFUNCTION("""COMPUTED_VALUE"""),0)</f>
        <v>0</v>
      </c>
      <c r="R52" s="3" t="str">
        <f ca="1">IFERROR(__xludf.DUMMYFUNCTION("""COMPUTED_VALUE"""),"2055-06-01T16:32:25.467439Z")</f>
        <v>2055-06-01T16:32:25.467439Z</v>
      </c>
      <c r="S52" s="3" t="str">
        <f ca="1">IFERROR(__xludf.DUMMYFUNCTION("""COMPUTED_VALUE"""),"2055-06-01T16:37:43.124217Z")</f>
        <v>2055-06-01T16:37:43.124217Z</v>
      </c>
      <c r="T52" s="3"/>
      <c r="U52" s="4">
        <f ca="1">IFERROR(__xludf.DUMMYFUNCTION("""COMPUTED_VALUE"""),56766)</f>
        <v>56766</v>
      </c>
      <c r="V52" s="3">
        <f ca="1">IFERROR(__xludf.DUMMYFUNCTION("""COMPUTED_VALUE"""),4.6)</f>
        <v>4.5999999999999996</v>
      </c>
      <c r="W52" s="3">
        <f ca="1">IFERROR(__xludf.DUMMYFUNCTION("""COMPUTED_VALUE"""),6500)</f>
        <v>6500</v>
      </c>
      <c r="X52" s="3">
        <f ca="1">IFERROR(__xludf.DUMMYFUNCTION("""COMPUTED_VALUE"""),3037)</f>
        <v>3037</v>
      </c>
      <c r="Y52" s="3">
        <f ca="1">IFERROR(__xludf.DUMMYFUNCTION("""COMPUTED_VALUE"""),318)</f>
        <v>318</v>
      </c>
      <c r="Z52" s="3">
        <f ca="1">IFERROR(__xludf.DUMMYFUNCTION("""COMPUTED_VALUE"""),2268)</f>
        <v>2268</v>
      </c>
      <c r="AA52" s="3">
        <f ca="1">IFERROR(__xludf.DUMMYFUNCTION("""COMPUTED_VALUE"""),451)</f>
        <v>451</v>
      </c>
      <c r="AB52" s="3">
        <f ca="1">IFERROR(__xludf.DUMMYFUNCTION("""COMPUTED_VALUE"""),0)</f>
        <v>0</v>
      </c>
      <c r="AC52" s="3">
        <f ca="1">IFERROR(__xludf.DUMMYFUNCTION("""COMPUTED_VALUE"""),8)</f>
        <v>8</v>
      </c>
      <c r="AD52" s="3" t="str">
        <f ca="1">IFERROR(__xludf.DUMMYFUNCTION("""COMPUTED_VALUE"""),"early")</f>
        <v>early</v>
      </c>
      <c r="AE52" s="3" t="str">
        <f ca="1">IFERROR(__xludf.DUMMYFUNCTION("""COMPUTED_VALUE"""),"2055-06-01T13:15:31.839159Z")</f>
        <v>2055-06-01T13:15:31.839159Z</v>
      </c>
      <c r="AF52" s="3" t="str">
        <f ca="1">IFERROR(__xludf.DUMMYFUNCTION("""COMPUTED_VALUE"""),"2055-06-01T13:23:02.296878Z")</f>
        <v>2055-06-01T13:23:02.296878Z</v>
      </c>
      <c r="AG52" s="3" t="str">
        <f ca="1">IFERROR(__xludf.DUMMYFUNCTION("""COMPUTED_VALUE"""),"2055-06-01T12:32:07.34231Z")</f>
        <v>2055-06-01T12:32:07.34231Z</v>
      </c>
      <c r="AH52" s="3" t="str">
        <f ca="1">IFERROR(__xludf.DUMMYFUNCTION("""COMPUTED_VALUE"""),"2055-06-01T12:37:43.124217Z")</f>
        <v>2055-06-01T12:37:43.124217Z</v>
      </c>
      <c r="AI52" s="3">
        <f ca="1">IFERROR(__xludf.DUMMYFUNCTION("""COMPUTED_VALUE"""),4.7)</f>
        <v>4.7</v>
      </c>
      <c r="AJ52" s="3">
        <f ca="1">IFERROR(__xludf.DUMMYFUNCTION("""COMPUTED_VALUE"""),1261)</f>
        <v>1261</v>
      </c>
      <c r="AK52" s="3">
        <f ca="1">IFERROR(__xludf.DUMMYFUNCTION("""COMPUTED_VALUE"""),3264)</f>
        <v>3264</v>
      </c>
      <c r="AL52" s="3">
        <f ca="1">IFERROR(__xludf.DUMMYFUNCTION("""COMPUTED_VALUE"""),232)</f>
        <v>232</v>
      </c>
    </row>
    <row r="53" spans="1:38" ht="13">
      <c r="A53" s="3">
        <f ca="1">IFERROR(__xludf.DUMMYFUNCTION("""COMPUTED_VALUE"""),697)</f>
        <v>697</v>
      </c>
      <c r="B53" s="3"/>
      <c r="C53" s="3">
        <f ca="1">IFERROR(__xludf.DUMMYFUNCTION("""COMPUTED_VALUE"""),4001)</f>
        <v>4001</v>
      </c>
      <c r="D53" s="3" t="str">
        <f ca="1">IFERROR(__xludf.DUMMYFUNCTION("""COMPUTED_VALUE"""),"Dashattan")</f>
        <v>Dashattan</v>
      </c>
      <c r="E53" s="3" t="str">
        <f ca="1">IFERROR(__xludf.DUMMYFUNCTION("""COMPUTED_VALUE"""),"Galaxy A")</f>
        <v>Galaxy A</v>
      </c>
      <c r="F53" s="3" t="str">
        <f ca="1">IFERROR(__xludf.DUMMYFUNCTION("""COMPUTED_VALUE"""),"Bunje")</f>
        <v>Bunje</v>
      </c>
      <c r="G53" s="3">
        <f ca="1">IFERROR(__xludf.DUMMYFUNCTION("""COMPUTED_VALUE"""),0)</f>
        <v>0</v>
      </c>
      <c r="H53" s="3" t="str">
        <f ca="1">IFERROR(__xludf.DUMMYFUNCTION("""COMPUTED_VALUE"""),"bicycle")</f>
        <v>bicycle</v>
      </c>
      <c r="I53" s="3" t="str">
        <f ca="1">IFERROR(__xludf.DUMMYFUNCTION("""COMPUTED_VALUE"""),"2055-06-06T00:16:13.64433Z")</f>
        <v>2055-06-06T00:16:13.64433Z</v>
      </c>
      <c r="J53" s="3" t="str">
        <f ca="1">IFERROR(__xludf.DUMMYFUNCTION("""COMPUTED_VALUE"""),"2055-06-06T01:12:24.715Z")</f>
        <v>2055-06-06T01:12:24.715Z</v>
      </c>
      <c r="K53" s="3" t="str">
        <f ca="1">IFERROR(__xludf.DUMMYFUNCTION("""COMPUTED_VALUE"""),"2055-06-06T00:55:30.715Z")</f>
        <v>2055-06-06T00:55:30.715Z</v>
      </c>
      <c r="L53" s="3">
        <f ca="1">IFERROR(__xludf.DUMMYFUNCTION("""COMPUTED_VALUE"""),1)</f>
        <v>1</v>
      </c>
      <c r="M53" s="3">
        <f ca="1">IFERROR(__xludf.DUMMYFUNCTION("""COMPUTED_VALUE"""),0)</f>
        <v>0</v>
      </c>
      <c r="N53" s="3" t="str">
        <f ca="1">IFERROR(__xludf.DUMMYFUNCTION("""COMPUTED_VALUE"""),"2055-06-06T00:54:10.764549Z")</f>
        <v>2055-06-06T00:54:10.764549Z</v>
      </c>
      <c r="O53" s="3" t="str">
        <f ca="1">IFERROR(__xludf.DUMMYFUNCTION("""COMPUTED_VALUE"""),"2055-06-06T01:21:05.214767Z")</f>
        <v>2055-06-06T01:21:05.214767Z</v>
      </c>
      <c r="P53" s="3" t="str">
        <f ca="1">IFERROR(__xludf.DUMMYFUNCTION("""COMPUTED_VALUE"""),"2055-06-06T00:27:58.105895Z")</f>
        <v>2055-06-06T00:27:58.105895Z</v>
      </c>
      <c r="Q53" s="3">
        <f ca="1">IFERROR(__xludf.DUMMYFUNCTION("""COMPUTED_VALUE"""),0)</f>
        <v>0</v>
      </c>
      <c r="R53" s="3" t="str">
        <f ca="1">IFERROR(__xludf.DUMMYFUNCTION("""COMPUTED_VALUE"""),"2055-06-06T00:29:37.628435Z")</f>
        <v>2055-06-06T00:29:37.628435Z</v>
      </c>
      <c r="S53" s="3" t="str">
        <f ca="1">IFERROR(__xludf.DUMMYFUNCTION("""COMPUTED_VALUE"""),"2055-06-06T00:38:14.733136Z")</f>
        <v>2055-06-06T00:38:14.733136Z</v>
      </c>
      <c r="T53" s="3"/>
      <c r="U53" s="4">
        <f ca="1">IFERROR(__xludf.DUMMYFUNCTION("""COMPUTED_VALUE"""),56770)</f>
        <v>56770</v>
      </c>
      <c r="V53" s="3">
        <f ca="1">IFERROR(__xludf.DUMMYFUNCTION("""COMPUTED_VALUE"""),3.8)</f>
        <v>3.8</v>
      </c>
      <c r="W53" s="3">
        <f ca="1">IFERROR(__xludf.DUMMYFUNCTION("""COMPUTED_VALUE"""),6500)</f>
        <v>6500</v>
      </c>
      <c r="X53" s="3">
        <f ca="1">IFERROR(__xludf.DUMMYFUNCTION("""COMPUTED_VALUE"""),3088)</f>
        <v>3088</v>
      </c>
      <c r="Y53" s="3">
        <f ca="1">IFERROR(__xludf.DUMMYFUNCTION("""COMPUTED_VALUE"""),517)</f>
        <v>517</v>
      </c>
      <c r="Z53" s="3">
        <f ca="1">IFERROR(__xludf.DUMMYFUNCTION("""COMPUTED_VALUE"""),956)</f>
        <v>956</v>
      </c>
      <c r="AA53" s="3">
        <f ca="1">IFERROR(__xludf.DUMMYFUNCTION("""COMPUTED_VALUE"""),1615)</f>
        <v>1615</v>
      </c>
      <c r="AB53" s="3">
        <f ca="1">IFERROR(__xludf.DUMMYFUNCTION("""COMPUTED_VALUE"""),0)</f>
        <v>0</v>
      </c>
      <c r="AC53" s="3">
        <f ca="1">IFERROR(__xludf.DUMMYFUNCTION("""COMPUTED_VALUE"""),5)</f>
        <v>5</v>
      </c>
      <c r="AD53" s="3" t="str">
        <f ca="1">IFERROR(__xludf.DUMMYFUNCTION("""COMPUTED_VALUE"""),"on time")</f>
        <v>on time</v>
      </c>
      <c r="AE53" s="3" t="str">
        <f ca="1">IFERROR(__xludf.DUMMYFUNCTION("""COMPUTED_VALUE"""),"2055-06-05T20:54:10.764549Z")</f>
        <v>2055-06-05T20:54:10.764549Z</v>
      </c>
      <c r="AF53" s="3" t="str">
        <f ca="1">IFERROR(__xludf.DUMMYFUNCTION("""COMPUTED_VALUE"""),"2055-06-05T21:21:05.214767Z")</f>
        <v>2055-06-05T21:21:05.214767Z</v>
      </c>
      <c r="AG53" s="3" t="str">
        <f ca="1">IFERROR(__xludf.DUMMYFUNCTION("""COMPUTED_VALUE"""),"2055-06-05T20:27:58.105895Z")</f>
        <v>2055-06-05T20:27:58.105895Z</v>
      </c>
      <c r="AH53" s="3" t="str">
        <f ca="1">IFERROR(__xludf.DUMMYFUNCTION("""COMPUTED_VALUE"""),"2055-06-05T20:38:14.733136Z")</f>
        <v>2055-06-05T20:38:14.733136Z</v>
      </c>
      <c r="AI53" s="3">
        <f ca="1">IFERROR(__xludf.DUMMYFUNCTION("""COMPUTED_VALUE"""),4.7)</f>
        <v>4.7</v>
      </c>
      <c r="AJ53" s="3">
        <f ca="1">IFERROR(__xludf.DUMMYFUNCTION("""COMPUTED_VALUE"""),443)</f>
        <v>443</v>
      </c>
      <c r="AK53" s="3">
        <f ca="1">IFERROR(__xludf.DUMMYFUNCTION("""COMPUTED_VALUE"""),1579)</f>
        <v>1579</v>
      </c>
      <c r="AL53" s="3"/>
    </row>
    <row r="54" spans="1:38" ht="13">
      <c r="A54" s="3">
        <f ca="1">IFERROR(__xludf.DUMMYFUNCTION("""COMPUTED_VALUE"""),916)</f>
        <v>916</v>
      </c>
      <c r="B54" s="3">
        <f ca="1">IFERROR(__xludf.DUMMYFUNCTION("""COMPUTED_VALUE"""),5)</f>
        <v>5</v>
      </c>
      <c r="C54" s="3">
        <f ca="1">IFERROR(__xludf.DUMMYFUNCTION("""COMPUTED_VALUE"""),4001)</f>
        <v>4001</v>
      </c>
      <c r="D54" s="3" t="str">
        <f ca="1">IFERROR(__xludf.DUMMYFUNCTION("""COMPUTED_VALUE"""),"Dashattan")</f>
        <v>Dashattan</v>
      </c>
      <c r="E54" s="3" t="str">
        <f ca="1">IFERROR(__xludf.DUMMYFUNCTION("""COMPUTED_VALUE"""),"Galaxy A")</f>
        <v>Galaxy A</v>
      </c>
      <c r="F54" s="3" t="str">
        <f ca="1">IFERROR(__xludf.DUMMYFUNCTION("""COMPUTED_VALUE"""),"Rojan")</f>
        <v>Rojan</v>
      </c>
      <c r="G54" s="3">
        <f ca="1">IFERROR(__xludf.DUMMYFUNCTION("""COMPUTED_VALUE"""),0)</f>
        <v>0</v>
      </c>
      <c r="H54" s="3" t="str">
        <f ca="1">IFERROR(__xludf.DUMMYFUNCTION("""COMPUTED_VALUE"""),"bicycle")</f>
        <v>bicycle</v>
      </c>
      <c r="I54" s="3" t="str">
        <f ca="1">IFERROR(__xludf.DUMMYFUNCTION("""COMPUTED_VALUE"""),"2055-06-08T02:44:18.970564Z")</f>
        <v>2055-06-08T02:44:18.970564Z</v>
      </c>
      <c r="J54" s="3" t="str">
        <f ca="1">IFERROR(__xludf.DUMMYFUNCTION("""COMPUTED_VALUE"""),"2055-06-08T03:37:05.035Z")</f>
        <v>2055-06-08T03:37:05.035Z</v>
      </c>
      <c r="K54" s="3" t="str">
        <f ca="1">IFERROR(__xludf.DUMMYFUNCTION("""COMPUTED_VALUE"""),"2055-06-08T03:18:12.035Z")</f>
        <v>2055-06-08T03:18:12.035Z</v>
      </c>
      <c r="L54" s="3">
        <f ca="1">IFERROR(__xludf.DUMMYFUNCTION("""COMPUTED_VALUE"""),1)</f>
        <v>1</v>
      </c>
      <c r="M54" s="3">
        <f ca="1">IFERROR(__xludf.DUMMYFUNCTION("""COMPUTED_VALUE"""),0)</f>
        <v>0</v>
      </c>
      <c r="N54" s="3" t="str">
        <f ca="1">IFERROR(__xludf.DUMMYFUNCTION("""COMPUTED_VALUE"""),"2055-06-08T03:09:29.209757Z")</f>
        <v>2055-06-08T03:09:29.209757Z</v>
      </c>
      <c r="O54" s="3" t="str">
        <f ca="1">IFERROR(__xludf.DUMMYFUNCTION("""COMPUTED_VALUE"""),"2055-06-08T03:17:19.207427Z")</f>
        <v>2055-06-08T03:17:19.207427Z</v>
      </c>
      <c r="P54" s="3" t="str">
        <f ca="1">IFERROR(__xludf.DUMMYFUNCTION("""COMPUTED_VALUE"""),"2055-06-08T02:47:54.153946Z")</f>
        <v>2055-06-08T02:47:54.153946Z</v>
      </c>
      <c r="Q54" s="3">
        <f ca="1">IFERROR(__xludf.DUMMYFUNCTION("""COMPUTED_VALUE"""),0)</f>
        <v>0</v>
      </c>
      <c r="R54" s="3" t="str">
        <f ca="1">IFERROR(__xludf.DUMMYFUNCTION("""COMPUTED_VALUE"""),"2055-06-08T02:48:11.617319Z")</f>
        <v>2055-06-08T02:48:11.617319Z</v>
      </c>
      <c r="S54" s="3" t="str">
        <f ca="1">IFERROR(__xludf.DUMMYFUNCTION("""COMPUTED_VALUE"""),"2055-06-08T02:54:48.401737Z")</f>
        <v>2055-06-08T02:54:48.401737Z</v>
      </c>
      <c r="T54" s="3"/>
      <c r="U54" s="4">
        <f ca="1">IFERROR(__xludf.DUMMYFUNCTION("""COMPUTED_VALUE"""),56772)</f>
        <v>56772</v>
      </c>
      <c r="V54" s="3">
        <f ca="1">IFERROR(__xludf.DUMMYFUNCTION("""COMPUTED_VALUE"""),3.655841462)</f>
        <v>3.6558414620000002</v>
      </c>
      <c r="W54" s="3">
        <f ca="1">IFERROR(__xludf.DUMMYFUNCTION("""COMPUTED_VALUE"""),6500)</f>
        <v>6500</v>
      </c>
      <c r="X54" s="3">
        <f ca="1">IFERROR(__xludf.DUMMYFUNCTION("""COMPUTED_VALUE"""),1748)</f>
        <v>1748</v>
      </c>
      <c r="Y54" s="3">
        <f ca="1">IFERROR(__xludf.DUMMYFUNCTION("""COMPUTED_VALUE"""),397)</f>
        <v>397</v>
      </c>
      <c r="Z54" s="3">
        <f ca="1">IFERROR(__xludf.DUMMYFUNCTION("""COMPUTED_VALUE"""),881)</f>
        <v>881</v>
      </c>
      <c r="AA54" s="3">
        <f ca="1">IFERROR(__xludf.DUMMYFUNCTION("""COMPUTED_VALUE"""),470)</f>
        <v>470</v>
      </c>
      <c r="AB54" s="3">
        <f ca="1">IFERROR(__xludf.DUMMYFUNCTION("""COMPUTED_VALUE"""),0)</f>
        <v>0</v>
      </c>
      <c r="AC54" s="3">
        <f ca="1">IFERROR(__xludf.DUMMYFUNCTION("""COMPUTED_VALUE"""),5)</f>
        <v>5</v>
      </c>
      <c r="AD54" s="3" t="str">
        <f ca="1">IFERROR(__xludf.DUMMYFUNCTION("""COMPUTED_VALUE"""),"early")</f>
        <v>early</v>
      </c>
      <c r="AE54" s="3" t="str">
        <f ca="1">IFERROR(__xludf.DUMMYFUNCTION("""COMPUTED_VALUE"""),"2055-06-07T23:09:29.209757Z")</f>
        <v>2055-06-07T23:09:29.209757Z</v>
      </c>
      <c r="AF54" s="3" t="str">
        <f ca="1">IFERROR(__xludf.DUMMYFUNCTION("""COMPUTED_VALUE"""),"2055-06-07T23:17:19.207427Z")</f>
        <v>2055-06-07T23:17:19.207427Z</v>
      </c>
      <c r="AG54" s="3" t="str">
        <f ca="1">IFERROR(__xludf.DUMMYFUNCTION("""COMPUTED_VALUE"""),"2055-06-07T22:47:54.153946Z")</f>
        <v>2055-06-07T22:47:54.153946Z</v>
      </c>
      <c r="AH54" s="3" t="str">
        <f ca="1">IFERROR(__xludf.DUMMYFUNCTION("""COMPUTED_VALUE"""),"2055-06-07T22:54:48.401737Z")</f>
        <v>2055-06-07T22:54:48.401737Z</v>
      </c>
      <c r="AI54" s="3">
        <f ca="1">IFERROR(__xludf.DUMMYFUNCTION("""COMPUTED_VALUE"""),4.58)</f>
        <v>4.58</v>
      </c>
      <c r="AJ54" s="3">
        <f ca="1">IFERROR(__xludf.DUMMYFUNCTION("""COMPUTED_VALUE"""),254)</f>
        <v>254</v>
      </c>
      <c r="AK54" s="3">
        <f ca="1">IFERROR(__xludf.DUMMYFUNCTION("""COMPUTED_VALUE"""),788)</f>
        <v>788</v>
      </c>
      <c r="AL54" s="3">
        <f ca="1">IFERROR(__xludf.DUMMYFUNCTION("""COMPUTED_VALUE"""),9)</f>
        <v>9</v>
      </c>
    </row>
    <row r="55" spans="1:38" ht="13">
      <c r="A55" s="3">
        <f ca="1">IFERROR(__xludf.DUMMYFUNCTION("""COMPUTED_VALUE"""),900)</f>
        <v>900</v>
      </c>
      <c r="B55" s="3">
        <f ca="1">IFERROR(__xludf.DUMMYFUNCTION("""COMPUTED_VALUE"""),5)</f>
        <v>5</v>
      </c>
      <c r="C55" s="3">
        <f ca="1">IFERROR(__xludf.DUMMYFUNCTION("""COMPUTED_VALUE"""),4050)</f>
        <v>4050</v>
      </c>
      <c r="D55" s="3" t="str">
        <f ca="1">IFERROR(__xludf.DUMMYFUNCTION("""COMPUTED_VALUE"""),"Doorlanta")</f>
        <v>Doorlanta</v>
      </c>
      <c r="E55" s="3" t="str">
        <f ca="1">IFERROR(__xludf.DUMMYFUNCTION("""COMPUTED_VALUE"""),"Galaxy A")</f>
        <v>Galaxy A</v>
      </c>
      <c r="F55" s="3" t="str">
        <f ca="1">IFERROR(__xludf.DUMMYFUNCTION("""COMPUTED_VALUE"""),"Cate")</f>
        <v>Cate</v>
      </c>
      <c r="G55" s="3">
        <f ca="1">IFERROR(__xludf.DUMMYFUNCTION("""COMPUTED_VALUE"""),0)</f>
        <v>0</v>
      </c>
      <c r="H55" s="3" t="str">
        <f ca="1">IFERROR(__xludf.DUMMYFUNCTION("""COMPUTED_VALUE"""),"car")</f>
        <v>car</v>
      </c>
      <c r="I55" s="3" t="str">
        <f ca="1">IFERROR(__xludf.DUMMYFUNCTION("""COMPUTED_VALUE"""),"2055-06-08T00:10:35.39634Z")</f>
        <v>2055-06-08T00:10:35.39634Z</v>
      </c>
      <c r="J55" s="3" t="str">
        <f ca="1">IFERROR(__xludf.DUMMYFUNCTION("""COMPUTED_VALUE"""),"2055-06-08T01:05:35.44Z")</f>
        <v>2055-06-08T01:05:35.44Z</v>
      </c>
      <c r="K55" s="3" t="str">
        <f ca="1">IFERROR(__xludf.DUMMYFUNCTION("""COMPUTED_VALUE"""),"2055-06-08T00:44:20.44Z")</f>
        <v>2055-06-08T00:44:20.44Z</v>
      </c>
      <c r="L55" s="3">
        <f ca="1">IFERROR(__xludf.DUMMYFUNCTION("""COMPUTED_VALUE"""),1)</f>
        <v>1</v>
      </c>
      <c r="M55" s="3">
        <f ca="1">IFERROR(__xludf.DUMMYFUNCTION("""COMPUTED_VALUE"""),0)</f>
        <v>0</v>
      </c>
      <c r="N55" s="3" t="str">
        <f ca="1">IFERROR(__xludf.DUMMYFUNCTION("""COMPUTED_VALUE"""),"2055-06-08T00:49:05.761166Z")</f>
        <v>2055-06-08T00:49:05.761166Z</v>
      </c>
      <c r="O55" s="3" t="str">
        <f ca="1">IFERROR(__xludf.DUMMYFUNCTION("""COMPUTED_VALUE"""),"2055-06-08T01:02:08.762098Z")</f>
        <v>2055-06-08T01:02:08.762098Z</v>
      </c>
      <c r="P55" s="3" t="str">
        <f ca="1">IFERROR(__xludf.DUMMYFUNCTION("""COMPUTED_VALUE"""),"2055-06-08T00:32:07.271057Z")</f>
        <v>2055-06-08T00:32:07.271057Z</v>
      </c>
      <c r="Q55" s="3">
        <f ca="1">IFERROR(__xludf.DUMMYFUNCTION("""COMPUTED_VALUE"""),0)</f>
        <v>0</v>
      </c>
      <c r="R55" s="3" t="str">
        <f ca="1">IFERROR(__xludf.DUMMYFUNCTION("""COMPUTED_VALUE"""),"2055-06-08T00:32:10.941452Z")</f>
        <v>2055-06-08T00:32:10.941452Z</v>
      </c>
      <c r="S55" s="3"/>
      <c r="T55" s="3"/>
      <c r="U55" s="4">
        <f ca="1">IFERROR(__xludf.DUMMYFUNCTION("""COMPUTED_VALUE"""),56772)</f>
        <v>56772</v>
      </c>
      <c r="V55" s="3">
        <f ca="1">IFERROR(__xludf.DUMMYFUNCTION("""COMPUTED_VALUE"""),4.7)</f>
        <v>4.7</v>
      </c>
      <c r="W55" s="3">
        <f ca="1">IFERROR(__xludf.DUMMYFUNCTION("""COMPUTED_VALUE"""),6500)</f>
        <v>6500</v>
      </c>
      <c r="X55" s="3">
        <f ca="1">IFERROR(__xludf.DUMMYFUNCTION("""COMPUTED_VALUE"""),1798)</f>
        <v>1798</v>
      </c>
      <c r="Y55" s="3"/>
      <c r="Z55" s="3"/>
      <c r="AA55" s="3">
        <f ca="1">IFERROR(__xludf.DUMMYFUNCTION("""COMPUTED_VALUE"""),783)</f>
        <v>783</v>
      </c>
      <c r="AB55" s="3">
        <f ca="1">IFERROR(__xludf.DUMMYFUNCTION("""COMPUTED_VALUE"""),0)</f>
        <v>0</v>
      </c>
      <c r="AC55" s="3">
        <f ca="1">IFERROR(__xludf.DUMMYFUNCTION("""COMPUTED_VALUE"""),10)</f>
        <v>10</v>
      </c>
      <c r="AD55" s="3"/>
      <c r="AE55" s="3" t="str">
        <f ca="1">IFERROR(__xludf.DUMMYFUNCTION("""COMPUTED_VALUE"""),"2055-06-07T20:49:05.761166Z")</f>
        <v>2055-06-07T20:49:05.761166Z</v>
      </c>
      <c r="AF55" s="3" t="str">
        <f ca="1">IFERROR(__xludf.DUMMYFUNCTION("""COMPUTED_VALUE"""),"2055-06-07T21:02:08.762098Z")</f>
        <v>2055-06-07T21:02:08.762098Z</v>
      </c>
      <c r="AG55" s="3" t="str">
        <f ca="1">IFERROR(__xludf.DUMMYFUNCTION("""COMPUTED_VALUE"""),"2055-06-07T20:32:07.271057Z")</f>
        <v>2055-06-07T20:32:07.271057Z</v>
      </c>
      <c r="AH55" s="3"/>
      <c r="AI55" s="3">
        <f ca="1">IFERROR(__xludf.DUMMYFUNCTION("""COMPUTED_VALUE"""),4.49)</f>
        <v>4.49</v>
      </c>
      <c r="AJ55" s="3">
        <f ca="1">IFERROR(__xludf.DUMMYFUNCTION("""COMPUTED_VALUE"""),2315)</f>
        <v>2315</v>
      </c>
      <c r="AK55" s="3">
        <f ca="1">IFERROR(__xludf.DUMMYFUNCTION("""COMPUTED_VALUE"""),7039)</f>
        <v>7039</v>
      </c>
      <c r="AL55" s="3">
        <f ca="1">IFERROR(__xludf.DUMMYFUNCTION("""COMPUTED_VALUE"""),763)</f>
        <v>763</v>
      </c>
    </row>
    <row r="56" spans="1:38" ht="13">
      <c r="A56" s="3">
        <f ca="1">IFERROR(__xludf.DUMMYFUNCTION("""COMPUTED_VALUE"""),895)</f>
        <v>895</v>
      </c>
      <c r="B56" s="3">
        <f ca="1">IFERROR(__xludf.DUMMYFUNCTION("""COMPUTED_VALUE"""),5)</f>
        <v>5</v>
      </c>
      <c r="C56" s="3">
        <f ca="1">IFERROR(__xludf.DUMMYFUNCTION("""COMPUTED_VALUE"""),4050)</f>
        <v>4050</v>
      </c>
      <c r="D56" s="3" t="str">
        <f ca="1">IFERROR(__xludf.DUMMYFUNCTION("""COMPUTED_VALUE"""),"Doorlanta")</f>
        <v>Doorlanta</v>
      </c>
      <c r="E56" s="3" t="str">
        <f ca="1">IFERROR(__xludf.DUMMYFUNCTION("""COMPUTED_VALUE"""),"Galaxy A")</f>
        <v>Galaxy A</v>
      </c>
      <c r="F56" s="3" t="str">
        <f ca="1">IFERROR(__xludf.DUMMYFUNCTION("""COMPUTED_VALUE"""),"Jagar")</f>
        <v>Jagar</v>
      </c>
      <c r="G56" s="3">
        <f ca="1">IFERROR(__xludf.DUMMYFUNCTION("""COMPUTED_VALUE"""),0)</f>
        <v>0</v>
      </c>
      <c r="H56" s="3" t="str">
        <f ca="1">IFERROR(__xludf.DUMMYFUNCTION("""COMPUTED_VALUE"""),"car")</f>
        <v>car</v>
      </c>
      <c r="I56" s="3" t="str">
        <f ca="1">IFERROR(__xludf.DUMMYFUNCTION("""COMPUTED_VALUE"""),"2055-06-07T23:36:57.164888Z")</f>
        <v>2055-06-07T23:36:57.164888Z</v>
      </c>
      <c r="J56" s="3" t="str">
        <f ca="1">IFERROR(__xludf.DUMMYFUNCTION("""COMPUTED_VALUE"""),"2055-06-08T00:36:38.229Z")</f>
        <v>2055-06-08T00:36:38.229Z</v>
      </c>
      <c r="K56" s="3" t="str">
        <f ca="1">IFERROR(__xludf.DUMMYFUNCTION("""COMPUTED_VALUE"""),"2055-06-08T00:14:44.229Z")</f>
        <v>2055-06-08T00:14:44.229Z</v>
      </c>
      <c r="L56" s="3">
        <f ca="1">IFERROR(__xludf.DUMMYFUNCTION("""COMPUTED_VALUE"""),1)</f>
        <v>1</v>
      </c>
      <c r="M56" s="3">
        <f ca="1">IFERROR(__xludf.DUMMYFUNCTION("""COMPUTED_VALUE"""),0)</f>
        <v>0</v>
      </c>
      <c r="N56" s="3" t="str">
        <f ca="1">IFERROR(__xludf.DUMMYFUNCTION("""COMPUTED_VALUE"""),"2055-06-08T00:08:25.479719Z")</f>
        <v>2055-06-08T00:08:25.479719Z</v>
      </c>
      <c r="O56" s="3" t="str">
        <f ca="1">IFERROR(__xludf.DUMMYFUNCTION("""COMPUTED_VALUE"""),"2055-06-08T00:16:00.92842Z")</f>
        <v>2055-06-08T00:16:00.92842Z</v>
      </c>
      <c r="P56" s="3" t="str">
        <f ca="1">IFERROR(__xludf.DUMMYFUNCTION("""COMPUTED_VALUE"""),"2055-06-07T23:46:47.460743Z")</f>
        <v>2055-06-07T23:46:47.460743Z</v>
      </c>
      <c r="Q56" s="3">
        <f ca="1">IFERROR(__xludf.DUMMYFUNCTION("""COMPUTED_VALUE"""),0)</f>
        <v>0</v>
      </c>
      <c r="R56" s="3" t="str">
        <f ca="1">IFERROR(__xludf.DUMMYFUNCTION("""COMPUTED_VALUE"""),"2055-06-07T23:47:20.889143Z")</f>
        <v>2055-06-07T23:47:20.889143Z</v>
      </c>
      <c r="S56" s="3" t="str">
        <f ca="1">IFERROR(__xludf.DUMMYFUNCTION("""COMPUTED_VALUE"""),"2055-06-08T00:03:43.859043Z")</f>
        <v>2055-06-08T00:03:43.859043Z</v>
      </c>
      <c r="T56" s="3"/>
      <c r="U56" s="4">
        <f ca="1">IFERROR(__xludf.DUMMYFUNCTION("""COMPUTED_VALUE"""),56772)</f>
        <v>56772</v>
      </c>
      <c r="V56" s="3">
        <f ca="1">IFERROR(__xludf.DUMMYFUNCTION("""COMPUTED_VALUE"""),4.6)</f>
        <v>4.5999999999999996</v>
      </c>
      <c r="W56" s="3">
        <f ca="1">IFERROR(__xludf.DUMMYFUNCTION("""COMPUTED_VALUE"""),6500)</f>
        <v>6500</v>
      </c>
      <c r="X56" s="3">
        <f ca="1">IFERROR(__xludf.DUMMYFUNCTION("""COMPUTED_VALUE"""),1720)</f>
        <v>1720</v>
      </c>
      <c r="Y56" s="3">
        <f ca="1">IFERROR(__xludf.DUMMYFUNCTION("""COMPUTED_VALUE"""),983)</f>
        <v>983</v>
      </c>
      <c r="Z56" s="3">
        <f ca="1">IFERROR(__xludf.DUMMYFUNCTION("""COMPUTED_VALUE"""),282)</f>
        <v>282</v>
      </c>
      <c r="AA56" s="3">
        <f ca="1">IFERROR(__xludf.DUMMYFUNCTION("""COMPUTED_VALUE"""),455)</f>
        <v>455</v>
      </c>
      <c r="AB56" s="3">
        <f ca="1">IFERROR(__xludf.DUMMYFUNCTION("""COMPUTED_VALUE"""),0)</f>
        <v>0</v>
      </c>
      <c r="AC56" s="3">
        <f ca="1">IFERROR(__xludf.DUMMYFUNCTION("""COMPUTED_VALUE"""),4)</f>
        <v>4</v>
      </c>
      <c r="AD56" s="3" t="str">
        <f ca="1">IFERROR(__xludf.DUMMYFUNCTION("""COMPUTED_VALUE"""),"late")</f>
        <v>late</v>
      </c>
      <c r="AE56" s="3" t="str">
        <f ca="1">IFERROR(__xludf.DUMMYFUNCTION("""COMPUTED_VALUE"""),"2055-06-07T20:08:25.479719Z")</f>
        <v>2055-06-07T20:08:25.479719Z</v>
      </c>
      <c r="AF56" s="3" t="str">
        <f ca="1">IFERROR(__xludf.DUMMYFUNCTION("""COMPUTED_VALUE"""),"2055-06-07T20:16:00.92842Z")</f>
        <v>2055-06-07T20:16:00.92842Z</v>
      </c>
      <c r="AG56" s="3" t="str">
        <f ca="1">IFERROR(__xludf.DUMMYFUNCTION("""COMPUTED_VALUE"""),"2055-06-07T19:46:47.460743Z")</f>
        <v>2055-06-07T19:46:47.460743Z</v>
      </c>
      <c r="AH56" s="3" t="str">
        <f ca="1">IFERROR(__xludf.DUMMYFUNCTION("""COMPUTED_VALUE"""),"2055-06-07T20:03:43.859043Z")</f>
        <v>2055-06-07T20:03:43.859043Z</v>
      </c>
      <c r="AI56" s="3">
        <f ca="1">IFERROR(__xludf.DUMMYFUNCTION("""COMPUTED_VALUE"""),4.89)</f>
        <v>4.8899999999999997</v>
      </c>
      <c r="AJ56" s="3">
        <f ca="1">IFERROR(__xludf.DUMMYFUNCTION("""COMPUTED_VALUE"""),1778)</f>
        <v>1778</v>
      </c>
      <c r="AK56" s="3">
        <f ca="1">IFERROR(__xludf.DUMMYFUNCTION("""COMPUTED_VALUE"""),5138)</f>
        <v>5138</v>
      </c>
      <c r="AL56" s="3">
        <f ca="1">IFERROR(__xludf.DUMMYFUNCTION("""COMPUTED_VALUE"""),314)</f>
        <v>314</v>
      </c>
    </row>
    <row r="57" spans="1:38" ht="13">
      <c r="A57" s="3">
        <f ca="1">IFERROR(__xludf.DUMMYFUNCTION("""COMPUTED_VALUE"""),451)</f>
        <v>451</v>
      </c>
      <c r="B57" s="3"/>
      <c r="C57" s="3">
        <f ca="1">IFERROR(__xludf.DUMMYFUNCTION("""COMPUTED_VALUE"""),4050)</f>
        <v>4050</v>
      </c>
      <c r="D57" s="3" t="str">
        <f ca="1">IFERROR(__xludf.DUMMYFUNCTION("""COMPUTED_VALUE"""),"Doorlanta")</f>
        <v>Doorlanta</v>
      </c>
      <c r="E57" s="3" t="str">
        <f ca="1">IFERROR(__xludf.DUMMYFUNCTION("""COMPUTED_VALUE"""),"Galaxy A")</f>
        <v>Galaxy A</v>
      </c>
      <c r="F57" s="3" t="str">
        <f ca="1">IFERROR(__xludf.DUMMYFUNCTION("""COMPUTED_VALUE"""),"Joe")</f>
        <v>Joe</v>
      </c>
      <c r="G57" s="3">
        <f ca="1">IFERROR(__xludf.DUMMYFUNCTION("""COMPUTED_VALUE"""),0)</f>
        <v>0</v>
      </c>
      <c r="H57" s="3" t="str">
        <f ca="1">IFERROR(__xludf.DUMMYFUNCTION("""COMPUTED_VALUE"""),"car")</f>
        <v>car</v>
      </c>
      <c r="I57" s="3" t="str">
        <f ca="1">IFERROR(__xludf.DUMMYFUNCTION("""COMPUTED_VALUE"""),"2055-06-04T21:40:13.542469Z")</f>
        <v>2055-06-04T21:40:13.542469Z</v>
      </c>
      <c r="J57" s="3" t="str">
        <f ca="1">IFERROR(__xludf.DUMMYFUNCTION("""COMPUTED_VALUE"""),"2055-06-04T22:55:20.61Z")</f>
        <v>2055-06-04T22:55:20.61Z</v>
      </c>
      <c r="K57" s="3" t="str">
        <f ca="1">IFERROR(__xludf.DUMMYFUNCTION("""COMPUTED_VALUE"""),"2055-06-04T22:35:13.61Z")</f>
        <v>2055-06-04T22:35:13.61Z</v>
      </c>
      <c r="L57" s="3">
        <f ca="1">IFERROR(__xludf.DUMMYFUNCTION("""COMPUTED_VALUE"""),1)</f>
        <v>1</v>
      </c>
      <c r="M57" s="3">
        <f ca="1">IFERROR(__xludf.DUMMYFUNCTION("""COMPUTED_VALUE"""),0)</f>
        <v>0</v>
      </c>
      <c r="N57" s="3" t="str">
        <f ca="1">IFERROR(__xludf.DUMMYFUNCTION("""COMPUTED_VALUE"""),"2055-06-04T22:14:20.425752Z")</f>
        <v>2055-06-04T22:14:20.425752Z</v>
      </c>
      <c r="O57" s="3" t="str">
        <f ca="1">IFERROR(__xludf.DUMMYFUNCTION("""COMPUTED_VALUE"""),"2055-06-04T22:36:53.361516Z")</f>
        <v>2055-06-04T22:36:53.361516Z</v>
      </c>
      <c r="P57" s="3" t="str">
        <f ca="1">IFERROR(__xludf.DUMMYFUNCTION("""COMPUTED_VALUE"""),"2055-06-04T21:44:27.324717Z")</f>
        <v>2055-06-04T21:44:27.324717Z</v>
      </c>
      <c r="Q57" s="3">
        <f ca="1">IFERROR(__xludf.DUMMYFUNCTION("""COMPUTED_VALUE"""),0)</f>
        <v>0</v>
      </c>
      <c r="R57" s="3" t="str">
        <f ca="1">IFERROR(__xludf.DUMMYFUNCTION("""COMPUTED_VALUE"""),"2055-06-04T21:44:30.62756Z")</f>
        <v>2055-06-04T21:44:30.62756Z</v>
      </c>
      <c r="S57" s="3" t="str">
        <f ca="1">IFERROR(__xludf.DUMMYFUNCTION("""COMPUTED_VALUE"""),"2055-06-04T21:55:31.979825Z")</f>
        <v>2055-06-04T21:55:31.979825Z</v>
      </c>
      <c r="T57" s="3"/>
      <c r="U57" s="4">
        <f ca="1">IFERROR(__xludf.DUMMYFUNCTION("""COMPUTED_VALUE"""),56769)</f>
        <v>56769</v>
      </c>
      <c r="V57" s="3">
        <f ca="1">IFERROR(__xludf.DUMMYFUNCTION("""COMPUTED_VALUE"""),4.7)</f>
        <v>4.7</v>
      </c>
      <c r="W57" s="3">
        <f ca="1">IFERROR(__xludf.DUMMYFUNCTION("""COMPUTED_VALUE"""),6500)</f>
        <v>6500</v>
      </c>
      <c r="X57" s="3">
        <f ca="1">IFERROR(__xludf.DUMMYFUNCTION("""COMPUTED_VALUE"""),3143)</f>
        <v>3143</v>
      </c>
      <c r="Y57" s="3">
        <f ca="1">IFERROR(__xludf.DUMMYFUNCTION("""COMPUTED_VALUE"""),661)</f>
        <v>661</v>
      </c>
      <c r="Z57" s="3">
        <f ca="1">IFERROR(__xludf.DUMMYFUNCTION("""COMPUTED_VALUE"""),1129)</f>
        <v>1129</v>
      </c>
      <c r="AA57" s="3">
        <f ca="1">IFERROR(__xludf.DUMMYFUNCTION("""COMPUTED_VALUE"""),1353)</f>
        <v>1353</v>
      </c>
      <c r="AB57" s="3">
        <f ca="1">IFERROR(__xludf.DUMMYFUNCTION("""COMPUTED_VALUE"""),0)</f>
        <v>0</v>
      </c>
      <c r="AC57" s="3">
        <f ca="1">IFERROR(__xludf.DUMMYFUNCTION("""COMPUTED_VALUE"""),8)</f>
        <v>8</v>
      </c>
      <c r="AD57" s="3" t="str">
        <f ca="1">IFERROR(__xludf.DUMMYFUNCTION("""COMPUTED_VALUE"""),"early")</f>
        <v>early</v>
      </c>
      <c r="AE57" s="3" t="str">
        <f ca="1">IFERROR(__xludf.DUMMYFUNCTION("""COMPUTED_VALUE"""),"2055-06-04T18:14:20.425752Z")</f>
        <v>2055-06-04T18:14:20.425752Z</v>
      </c>
      <c r="AF57" s="3" t="str">
        <f ca="1">IFERROR(__xludf.DUMMYFUNCTION("""COMPUTED_VALUE"""),"2055-06-04T18:36:53.361516Z")</f>
        <v>2055-06-04T18:36:53.361516Z</v>
      </c>
      <c r="AG57" s="3" t="str">
        <f ca="1">IFERROR(__xludf.DUMMYFUNCTION("""COMPUTED_VALUE"""),"2055-06-04T17:44:27.324717Z")</f>
        <v>2055-06-04T17:44:27.324717Z</v>
      </c>
      <c r="AH57" s="3" t="str">
        <f ca="1">IFERROR(__xludf.DUMMYFUNCTION("""COMPUTED_VALUE"""),"2055-06-04T17:55:31.979825Z")</f>
        <v>2055-06-04T17:55:31.979825Z</v>
      </c>
      <c r="AI57" s="3">
        <f ca="1">IFERROR(__xludf.DUMMYFUNCTION("""COMPUTED_VALUE"""),4.38)</f>
        <v>4.38</v>
      </c>
      <c r="AJ57" s="3">
        <f ca="1">IFERROR(__xludf.DUMMYFUNCTION("""COMPUTED_VALUE"""),196)</f>
        <v>196</v>
      </c>
      <c r="AK57" s="3">
        <f ca="1">IFERROR(__xludf.DUMMYFUNCTION("""COMPUTED_VALUE"""),626)</f>
        <v>626</v>
      </c>
      <c r="AL57" s="3"/>
    </row>
    <row r="58" spans="1:38" ht="13">
      <c r="A58" s="3">
        <f ca="1">IFERROR(__xludf.DUMMYFUNCTION("""COMPUTED_VALUE"""),184)</f>
        <v>184</v>
      </c>
      <c r="B58" s="3"/>
      <c r="C58" s="3">
        <f ca="1">IFERROR(__xludf.DUMMYFUNCTION("""COMPUTED_VALUE"""),4001)</f>
        <v>4001</v>
      </c>
      <c r="D58" s="3" t="str">
        <f ca="1">IFERROR(__xludf.DUMMYFUNCTION("""COMPUTED_VALUE"""),"Dashattan")</f>
        <v>Dashattan</v>
      </c>
      <c r="E58" s="3" t="str">
        <f ca="1">IFERROR(__xludf.DUMMYFUNCTION("""COMPUTED_VALUE"""),"Galaxy A")</f>
        <v>Galaxy A</v>
      </c>
      <c r="F58" s="3" t="str">
        <f ca="1">IFERROR(__xludf.DUMMYFUNCTION("""COMPUTED_VALUE"""),"J")</f>
        <v>J</v>
      </c>
      <c r="G58" s="3">
        <f ca="1">IFERROR(__xludf.DUMMYFUNCTION("""COMPUTED_VALUE"""),0)</f>
        <v>0</v>
      </c>
      <c r="H58" s="3" t="str">
        <f ca="1">IFERROR(__xludf.DUMMYFUNCTION("""COMPUTED_VALUE"""),"bicycle")</f>
        <v>bicycle</v>
      </c>
      <c r="I58" s="3" t="str">
        <f ca="1">IFERROR(__xludf.DUMMYFUNCTION("""COMPUTED_VALUE"""),"2055-06-02T22:19:38.751271Z")</f>
        <v>2055-06-02T22:19:38.751271Z</v>
      </c>
      <c r="J58" s="3" t="str">
        <f ca="1">IFERROR(__xludf.DUMMYFUNCTION("""COMPUTED_VALUE"""),"2055-06-02T23:10:59.817Z")</f>
        <v>2055-06-02T23:10:59.817Z</v>
      </c>
      <c r="K58" s="3" t="str">
        <f ca="1">IFERROR(__xludf.DUMMYFUNCTION("""COMPUTED_VALUE"""),"2055-06-02T22:51:20.817Z")</f>
        <v>2055-06-02T22:51:20.817Z</v>
      </c>
      <c r="L58" s="3">
        <f ca="1">IFERROR(__xludf.DUMMYFUNCTION("""COMPUTED_VALUE"""),1)</f>
        <v>1</v>
      </c>
      <c r="M58" s="3">
        <f ca="1">IFERROR(__xludf.DUMMYFUNCTION("""COMPUTED_VALUE"""),0)</f>
        <v>0</v>
      </c>
      <c r="N58" s="3" t="str">
        <f ca="1">IFERROR(__xludf.DUMMYFUNCTION("""COMPUTED_VALUE"""),"2055-06-02T22:40:48.981626Z")</f>
        <v>2055-06-02T22:40:48.981626Z</v>
      </c>
      <c r="O58" s="3" t="str">
        <f ca="1">IFERROR(__xludf.DUMMYFUNCTION("""COMPUTED_VALUE"""),"2055-06-02T23:19:03.298803Z")</f>
        <v>2055-06-02T23:19:03.298803Z</v>
      </c>
      <c r="P58" s="3" t="str">
        <f ca="1">IFERROR(__xludf.DUMMYFUNCTION("""COMPUTED_VALUE"""),"2055-06-02T22:23:14.505442Z")</f>
        <v>2055-06-02T22:23:14.505442Z</v>
      </c>
      <c r="Q58" s="3">
        <f ca="1">IFERROR(__xludf.DUMMYFUNCTION("""COMPUTED_VALUE"""),0)</f>
        <v>0</v>
      </c>
      <c r="R58" s="3" t="str">
        <f ca="1">IFERROR(__xludf.DUMMYFUNCTION("""COMPUTED_VALUE"""),"2055-06-02T22:23:40.398542Z")</f>
        <v>2055-06-02T22:23:40.398542Z</v>
      </c>
      <c r="S58" s="3" t="str">
        <f ca="1">IFERROR(__xludf.DUMMYFUNCTION("""COMPUTED_VALUE"""),"2055-06-02T22:43:11.100575Z")</f>
        <v>2055-06-02T22:43:11.100575Z</v>
      </c>
      <c r="T58" s="3"/>
      <c r="U58" s="4">
        <f ca="1">IFERROR(__xludf.DUMMYFUNCTION("""COMPUTED_VALUE"""),56767)</f>
        <v>56767</v>
      </c>
      <c r="V58" s="3">
        <f ca="1">IFERROR(__xludf.DUMMYFUNCTION("""COMPUTED_VALUE"""),4.018333978)</f>
        <v>4.0183339780000003</v>
      </c>
      <c r="W58" s="3">
        <f ca="1">IFERROR(__xludf.DUMMYFUNCTION("""COMPUTED_VALUE"""),6500)</f>
        <v>6500</v>
      </c>
      <c r="X58" s="3">
        <f ca="1">IFERROR(__xludf.DUMMYFUNCTION("""COMPUTED_VALUE"""),3323)</f>
        <v>3323</v>
      </c>
      <c r="Y58" s="3">
        <f ca="1">IFERROR(__xludf.DUMMYFUNCTION("""COMPUTED_VALUE"""),1171)</f>
        <v>1171</v>
      </c>
      <c r="Z58" s="3"/>
      <c r="AA58" s="3">
        <f ca="1">IFERROR(__xludf.DUMMYFUNCTION("""COMPUTED_VALUE"""),2295)</f>
        <v>2295</v>
      </c>
      <c r="AB58" s="3">
        <f ca="1">IFERROR(__xludf.DUMMYFUNCTION("""COMPUTED_VALUE"""),0)</f>
        <v>0</v>
      </c>
      <c r="AC58" s="3">
        <f ca="1">IFERROR(__xludf.DUMMYFUNCTION("""COMPUTED_VALUE"""),4)</f>
        <v>4</v>
      </c>
      <c r="AD58" s="3" t="str">
        <f ca="1">IFERROR(__xludf.DUMMYFUNCTION("""COMPUTED_VALUE"""),"late")</f>
        <v>late</v>
      </c>
      <c r="AE58" s="3" t="str">
        <f ca="1">IFERROR(__xludf.DUMMYFUNCTION("""COMPUTED_VALUE"""),"2055-06-02T18:40:48.981626Z")</f>
        <v>2055-06-02T18:40:48.981626Z</v>
      </c>
      <c r="AF58" s="3" t="str">
        <f ca="1">IFERROR(__xludf.DUMMYFUNCTION("""COMPUTED_VALUE"""),"2055-06-02T19:19:03.298803Z")</f>
        <v>2055-06-02T19:19:03.298803Z</v>
      </c>
      <c r="AG58" s="3" t="str">
        <f ca="1">IFERROR(__xludf.DUMMYFUNCTION("""COMPUTED_VALUE"""),"2055-06-02T18:23:14.505442Z")</f>
        <v>2055-06-02T18:23:14.505442Z</v>
      </c>
      <c r="AH58" s="3" t="str">
        <f ca="1">IFERROR(__xludf.DUMMYFUNCTION("""COMPUTED_VALUE"""),"2055-06-02T18:43:11.100575Z")</f>
        <v>2055-06-02T18:43:11.100575Z</v>
      </c>
      <c r="AI58" s="3">
        <f ca="1">IFERROR(__xludf.DUMMYFUNCTION("""COMPUTED_VALUE"""),4.6)</f>
        <v>4.5999999999999996</v>
      </c>
      <c r="AJ58" s="3">
        <f ca="1">IFERROR(__xludf.DUMMYFUNCTION("""COMPUTED_VALUE"""),292)</f>
        <v>292</v>
      </c>
      <c r="AK58" s="3">
        <f ca="1">IFERROR(__xludf.DUMMYFUNCTION("""COMPUTED_VALUE"""),1027)</f>
        <v>1027</v>
      </c>
      <c r="AL58" s="3">
        <f ca="1">IFERROR(__xludf.DUMMYFUNCTION("""COMPUTED_VALUE"""),26)</f>
        <v>26</v>
      </c>
    </row>
    <row r="59" spans="1:38" ht="13">
      <c r="A59" s="3">
        <f ca="1">IFERROR(__xludf.DUMMYFUNCTION("""COMPUTED_VALUE"""),209)</f>
        <v>209</v>
      </c>
      <c r="B59" s="3">
        <f ca="1">IFERROR(__xludf.DUMMYFUNCTION("""COMPUTED_VALUE"""),5)</f>
        <v>5</v>
      </c>
      <c r="C59" s="3">
        <f ca="1">IFERROR(__xludf.DUMMYFUNCTION("""COMPUTED_VALUE"""),4050)</f>
        <v>4050</v>
      </c>
      <c r="D59" s="3" t="str">
        <f ca="1">IFERROR(__xludf.DUMMYFUNCTION("""COMPUTED_VALUE"""),"Doorlanta")</f>
        <v>Doorlanta</v>
      </c>
      <c r="E59" s="3" t="str">
        <f ca="1">IFERROR(__xludf.DUMMYFUNCTION("""COMPUTED_VALUE"""),"Galaxy A")</f>
        <v>Galaxy A</v>
      </c>
      <c r="F59" s="3" t="str">
        <f ca="1">IFERROR(__xludf.DUMMYFUNCTION("""COMPUTED_VALUE"""),"Hersh")</f>
        <v>Hersh</v>
      </c>
      <c r="G59" s="3">
        <f ca="1">IFERROR(__xludf.DUMMYFUNCTION("""COMPUTED_VALUE"""),0)</f>
        <v>0</v>
      </c>
      <c r="H59" s="3" t="str">
        <f ca="1">IFERROR(__xludf.DUMMYFUNCTION("""COMPUTED_VALUE"""),"car")</f>
        <v>car</v>
      </c>
      <c r="I59" s="3" t="str">
        <f ca="1">IFERROR(__xludf.DUMMYFUNCTION("""COMPUTED_VALUE"""),"2055-06-02T23:31:03.720495Z")</f>
        <v>2055-06-02T23:31:03.720495Z</v>
      </c>
      <c r="J59" s="3" t="str">
        <f ca="1">IFERROR(__xludf.DUMMYFUNCTION("""COMPUTED_VALUE"""),"2055-06-03T00:39:45.782Z")</f>
        <v>2055-06-03T00:39:45.782Z</v>
      </c>
      <c r="K59" s="3" t="str">
        <f ca="1">IFERROR(__xludf.DUMMYFUNCTION("""COMPUTED_VALUE"""),"2055-06-03T00:17:51.782Z")</f>
        <v>2055-06-03T00:17:51.782Z</v>
      </c>
      <c r="L59" s="3">
        <f ca="1">IFERROR(__xludf.DUMMYFUNCTION("""COMPUTED_VALUE"""),1)</f>
        <v>1</v>
      </c>
      <c r="M59" s="3">
        <f ca="1">IFERROR(__xludf.DUMMYFUNCTION("""COMPUTED_VALUE"""),0)</f>
        <v>0</v>
      </c>
      <c r="N59" s="3" t="str">
        <f ca="1">IFERROR(__xludf.DUMMYFUNCTION("""COMPUTED_VALUE"""),"2055-06-02T23:47:19.005997Z")</f>
        <v>2055-06-02T23:47:19.005997Z</v>
      </c>
      <c r="O59" s="3" t="str">
        <f ca="1">IFERROR(__xludf.DUMMYFUNCTION("""COMPUTED_VALUE"""),"2055-06-03T00:04:57.736102Z")</f>
        <v>2055-06-03T00:04:57.736102Z</v>
      </c>
      <c r="P59" s="3" t="str">
        <f ca="1">IFERROR(__xludf.DUMMYFUNCTION("""COMPUTED_VALUE"""),"2055-06-02T23:40:07.512635Z")</f>
        <v>2055-06-02T23:40:07.512635Z</v>
      </c>
      <c r="Q59" s="3">
        <f ca="1">IFERROR(__xludf.DUMMYFUNCTION("""COMPUTED_VALUE"""),0)</f>
        <v>0</v>
      </c>
      <c r="R59" s="3" t="str">
        <f ca="1">IFERROR(__xludf.DUMMYFUNCTION("""COMPUTED_VALUE"""),"2055-06-02T23:40:44.932591Z")</f>
        <v>2055-06-02T23:40:44.932591Z</v>
      </c>
      <c r="S59" s="3" t="str">
        <f ca="1">IFERROR(__xludf.DUMMYFUNCTION("""COMPUTED_VALUE"""),"2055-06-02T23:43:57.310416Z")</f>
        <v>2055-06-02T23:43:57.310416Z</v>
      </c>
      <c r="T59" s="3"/>
      <c r="U59" s="4">
        <f ca="1">IFERROR(__xludf.DUMMYFUNCTION("""COMPUTED_VALUE"""),56767)</f>
        <v>56767</v>
      </c>
      <c r="V59" s="3">
        <f ca="1">IFERROR(__xludf.DUMMYFUNCTION("""COMPUTED_VALUE"""),4.8)</f>
        <v>4.8</v>
      </c>
      <c r="W59" s="3">
        <f ca="1">IFERROR(__xludf.DUMMYFUNCTION("""COMPUTED_VALUE"""),6500)</f>
        <v>6500</v>
      </c>
      <c r="X59" s="3">
        <f ca="1">IFERROR(__xludf.DUMMYFUNCTION("""COMPUTED_VALUE"""),1453)</f>
        <v>1453</v>
      </c>
      <c r="Y59" s="3">
        <f ca="1">IFERROR(__xludf.DUMMYFUNCTION("""COMPUTED_VALUE"""),193)</f>
        <v>193</v>
      </c>
      <c r="Z59" s="3">
        <f ca="1">IFERROR(__xludf.DUMMYFUNCTION("""COMPUTED_VALUE"""),202)</f>
        <v>202</v>
      </c>
      <c r="AA59" s="3">
        <f ca="1">IFERROR(__xludf.DUMMYFUNCTION("""COMPUTED_VALUE"""),1058)</f>
        <v>1058</v>
      </c>
      <c r="AB59" s="3">
        <f ca="1">IFERROR(__xludf.DUMMYFUNCTION("""COMPUTED_VALUE"""),0)</f>
        <v>0</v>
      </c>
      <c r="AC59" s="3">
        <f ca="1">IFERROR(__xludf.DUMMYFUNCTION("""COMPUTED_VALUE"""),6)</f>
        <v>6</v>
      </c>
      <c r="AD59" s="3" t="str">
        <f ca="1">IFERROR(__xludf.DUMMYFUNCTION("""COMPUTED_VALUE"""),"on time")</f>
        <v>on time</v>
      </c>
      <c r="AE59" s="3" t="str">
        <f ca="1">IFERROR(__xludf.DUMMYFUNCTION("""COMPUTED_VALUE"""),"2055-06-02T19:47:19.005997Z")</f>
        <v>2055-06-02T19:47:19.005997Z</v>
      </c>
      <c r="AF59" s="3" t="str">
        <f ca="1">IFERROR(__xludf.DUMMYFUNCTION("""COMPUTED_VALUE"""),"2055-06-02T20:04:57.736102Z")</f>
        <v>2055-06-02T20:04:57.736102Z</v>
      </c>
      <c r="AG59" s="3" t="str">
        <f ca="1">IFERROR(__xludf.DUMMYFUNCTION("""COMPUTED_VALUE"""),"2055-06-02T19:40:07.512635Z")</f>
        <v>2055-06-02T19:40:07.512635Z</v>
      </c>
      <c r="AH59" s="3" t="str">
        <f ca="1">IFERROR(__xludf.DUMMYFUNCTION("""COMPUTED_VALUE"""),"2055-06-02T19:43:57.310416Z")</f>
        <v>2055-06-02T19:43:57.310416Z</v>
      </c>
      <c r="AI59" s="3">
        <f ca="1">IFERROR(__xludf.DUMMYFUNCTION("""COMPUTED_VALUE"""),4.7)</f>
        <v>4.7</v>
      </c>
      <c r="AJ59" s="3">
        <f ca="1">IFERROR(__xludf.DUMMYFUNCTION("""COMPUTED_VALUE"""),212)</f>
        <v>212</v>
      </c>
      <c r="AK59" s="3">
        <f ca="1">IFERROR(__xludf.DUMMYFUNCTION("""COMPUTED_VALUE"""),624)</f>
        <v>624</v>
      </c>
      <c r="AL59" s="3">
        <f ca="1">IFERROR(__xludf.DUMMYFUNCTION("""COMPUTED_VALUE"""),347)</f>
        <v>347</v>
      </c>
    </row>
    <row r="60" spans="1:38" ht="13">
      <c r="A60" s="3">
        <f ca="1">IFERROR(__xludf.DUMMYFUNCTION("""COMPUTED_VALUE"""),644)</f>
        <v>644</v>
      </c>
      <c r="B60" s="3">
        <f ca="1">IFERROR(__xludf.DUMMYFUNCTION("""COMPUTED_VALUE"""),5)</f>
        <v>5</v>
      </c>
      <c r="C60" s="3">
        <f ca="1">IFERROR(__xludf.DUMMYFUNCTION("""COMPUTED_VALUE"""),4050)</f>
        <v>4050</v>
      </c>
      <c r="D60" s="3" t="str">
        <f ca="1">IFERROR(__xludf.DUMMYFUNCTION("""COMPUTED_VALUE"""),"Doorlanta")</f>
        <v>Doorlanta</v>
      </c>
      <c r="E60" s="3" t="str">
        <f ca="1">IFERROR(__xludf.DUMMYFUNCTION("""COMPUTED_VALUE"""),"Galaxy A")</f>
        <v>Galaxy A</v>
      </c>
      <c r="F60" s="3" t="str">
        <f ca="1">IFERROR(__xludf.DUMMYFUNCTION("""COMPUTED_VALUE"""),"Katelynn")</f>
        <v>Katelynn</v>
      </c>
      <c r="G60" s="3">
        <f ca="1">IFERROR(__xludf.DUMMYFUNCTION("""COMPUTED_VALUE"""),0)</f>
        <v>0</v>
      </c>
      <c r="H60" s="3" t="str">
        <f ca="1">IFERROR(__xludf.DUMMYFUNCTION("""COMPUTED_VALUE"""),"car")</f>
        <v>car</v>
      </c>
      <c r="I60" s="3" t="str">
        <f ca="1">IFERROR(__xludf.DUMMYFUNCTION("""COMPUTED_VALUE"""),"2055-06-05T22:15:37.478049Z")</f>
        <v>2055-06-05T22:15:37.478049Z</v>
      </c>
      <c r="J60" s="3" t="str">
        <f ca="1">IFERROR(__xludf.DUMMYFUNCTION("""COMPUTED_VALUE"""),"2055-06-05T23:20:59.534Z")</f>
        <v>2055-06-05T23:20:59.534Z</v>
      </c>
      <c r="K60" s="3" t="str">
        <f ca="1">IFERROR(__xludf.DUMMYFUNCTION("""COMPUTED_VALUE"""),"2055-06-05T23:00:52.534Z")</f>
        <v>2055-06-05T23:00:52.534Z</v>
      </c>
      <c r="L60" s="3">
        <f ca="1">IFERROR(__xludf.DUMMYFUNCTION("""COMPUTED_VALUE"""),1)</f>
        <v>1</v>
      </c>
      <c r="M60" s="3">
        <f ca="1">IFERROR(__xludf.DUMMYFUNCTION("""COMPUTED_VALUE"""),0)</f>
        <v>0</v>
      </c>
      <c r="N60" s="3" t="str">
        <f ca="1">IFERROR(__xludf.DUMMYFUNCTION("""COMPUTED_VALUE"""),"2055-06-05T23:07:16.550032Z")</f>
        <v>2055-06-05T23:07:16.550032Z</v>
      </c>
      <c r="O60" s="3" t="str">
        <f ca="1">IFERROR(__xludf.DUMMYFUNCTION("""COMPUTED_VALUE"""),"2055-06-05T23:17:03.021023Z")</f>
        <v>2055-06-05T23:17:03.021023Z</v>
      </c>
      <c r="P60" s="3" t="str">
        <f ca="1">IFERROR(__xludf.DUMMYFUNCTION("""COMPUTED_VALUE"""),"2055-06-05T22:48:07.357576Z")</f>
        <v>2055-06-05T22:48:07.357576Z</v>
      </c>
      <c r="Q60" s="3">
        <f ca="1">IFERROR(__xludf.DUMMYFUNCTION("""COMPUTED_VALUE"""),0)</f>
        <v>0</v>
      </c>
      <c r="R60" s="3" t="str">
        <f ca="1">IFERROR(__xludf.DUMMYFUNCTION("""COMPUTED_VALUE"""),"2055-06-05T22:48:16.502791Z")</f>
        <v>2055-06-05T22:48:16.502791Z</v>
      </c>
      <c r="S60" s="3" t="str">
        <f ca="1">IFERROR(__xludf.DUMMYFUNCTION("""COMPUTED_VALUE"""),"2055-06-05T22:58:34.13283Z")</f>
        <v>2055-06-05T22:58:34.13283Z</v>
      </c>
      <c r="T60" s="3"/>
      <c r="U60" s="4">
        <f ca="1">IFERROR(__xludf.DUMMYFUNCTION("""COMPUTED_VALUE"""),56770)</f>
        <v>56770</v>
      </c>
      <c r="V60" s="3">
        <f ca="1">IFERROR(__xludf.DUMMYFUNCTION("""COMPUTED_VALUE"""),4.7)</f>
        <v>4.7</v>
      </c>
      <c r="W60" s="3">
        <f ca="1">IFERROR(__xludf.DUMMYFUNCTION("""COMPUTED_VALUE"""),6500)</f>
        <v>6500</v>
      </c>
      <c r="X60" s="3">
        <f ca="1">IFERROR(__xludf.DUMMYFUNCTION("""COMPUTED_VALUE"""),1727)</f>
        <v>1727</v>
      </c>
      <c r="Y60" s="3">
        <f ca="1">IFERROR(__xludf.DUMMYFUNCTION("""COMPUTED_VALUE"""),618)</f>
        <v>618</v>
      </c>
      <c r="Z60" s="3">
        <f ca="1">IFERROR(__xludf.DUMMYFUNCTION("""COMPUTED_VALUE"""),522)</f>
        <v>522</v>
      </c>
      <c r="AA60" s="3">
        <f ca="1">IFERROR(__xludf.DUMMYFUNCTION("""COMPUTED_VALUE"""),587)</f>
        <v>587</v>
      </c>
      <c r="AB60" s="3">
        <f ca="1">IFERROR(__xludf.DUMMYFUNCTION("""COMPUTED_VALUE"""),0)</f>
        <v>0</v>
      </c>
      <c r="AC60" s="3">
        <f ca="1">IFERROR(__xludf.DUMMYFUNCTION("""COMPUTED_VALUE"""),5)</f>
        <v>5</v>
      </c>
      <c r="AD60" s="3" t="str">
        <f ca="1">IFERROR(__xludf.DUMMYFUNCTION("""COMPUTED_VALUE"""),"late")</f>
        <v>late</v>
      </c>
      <c r="AE60" s="3" t="str">
        <f ca="1">IFERROR(__xludf.DUMMYFUNCTION("""COMPUTED_VALUE"""),"2055-06-05T19:07:16.550032Z")</f>
        <v>2055-06-05T19:07:16.550032Z</v>
      </c>
      <c r="AF60" s="3" t="str">
        <f ca="1">IFERROR(__xludf.DUMMYFUNCTION("""COMPUTED_VALUE"""),"2055-06-05T19:17:03.021023Z")</f>
        <v>2055-06-05T19:17:03.021023Z</v>
      </c>
      <c r="AG60" s="3" t="str">
        <f ca="1">IFERROR(__xludf.DUMMYFUNCTION("""COMPUTED_VALUE"""),"2055-06-05T18:48:07.357576Z")</f>
        <v>2055-06-05T18:48:07.357576Z</v>
      </c>
      <c r="AH60" s="3" t="str">
        <f ca="1">IFERROR(__xludf.DUMMYFUNCTION("""COMPUTED_VALUE"""),"2055-06-05T18:58:34.13283Z")</f>
        <v>2055-06-05T18:58:34.13283Z</v>
      </c>
      <c r="AI60" s="3">
        <f ca="1">IFERROR(__xludf.DUMMYFUNCTION("""COMPUTED_VALUE"""),4.7)</f>
        <v>4.7</v>
      </c>
      <c r="AJ60" s="3">
        <f ca="1">IFERROR(__xludf.DUMMYFUNCTION("""COMPUTED_VALUE"""),1261)</f>
        <v>1261</v>
      </c>
      <c r="AK60" s="3">
        <f ca="1">IFERROR(__xludf.DUMMYFUNCTION("""COMPUTED_VALUE"""),3264)</f>
        <v>3264</v>
      </c>
      <c r="AL60" s="3">
        <f ca="1">IFERROR(__xludf.DUMMYFUNCTION("""COMPUTED_VALUE"""),232)</f>
        <v>232</v>
      </c>
    </row>
    <row r="61" spans="1:38" ht="13">
      <c r="A61" s="3">
        <f ca="1">IFERROR(__xludf.DUMMYFUNCTION("""COMPUTED_VALUE"""),1153)</f>
        <v>1153</v>
      </c>
      <c r="B61" s="3"/>
      <c r="C61" s="3">
        <f ca="1">IFERROR(__xludf.DUMMYFUNCTION("""COMPUTED_VALUE"""),4001)</f>
        <v>4001</v>
      </c>
      <c r="D61" s="3" t="str">
        <f ca="1">IFERROR(__xludf.DUMMYFUNCTION("""COMPUTED_VALUE"""),"Dashattan")</f>
        <v>Dashattan</v>
      </c>
      <c r="E61" s="3" t="str">
        <f ca="1">IFERROR(__xludf.DUMMYFUNCTION("""COMPUTED_VALUE"""),"Galaxy A")</f>
        <v>Galaxy A</v>
      </c>
      <c r="F61" s="3" t="str">
        <f ca="1">IFERROR(__xludf.DUMMYFUNCTION("""COMPUTED_VALUE"""),"Barry")</f>
        <v>Barry</v>
      </c>
      <c r="G61" s="3">
        <f ca="1">IFERROR(__xludf.DUMMYFUNCTION("""COMPUTED_VALUE"""),0)</f>
        <v>0</v>
      </c>
      <c r="H61" s="3" t="str">
        <f ca="1">IFERROR(__xludf.DUMMYFUNCTION("""COMPUTED_VALUE"""),"bicycle")</f>
        <v>bicycle</v>
      </c>
      <c r="I61" s="3" t="str">
        <f ca="1">IFERROR(__xludf.DUMMYFUNCTION("""COMPUTED_VALUE"""),"2055-06-10T18:43:25.348342Z")</f>
        <v>2055-06-10T18:43:25.348342Z</v>
      </c>
      <c r="J61" s="3" t="str">
        <f ca="1">IFERROR(__xludf.DUMMYFUNCTION("""COMPUTED_VALUE"""),"2055-06-10T19:55:02.407Z")</f>
        <v>2055-06-10T19:55:02.407Z</v>
      </c>
      <c r="K61" s="3" t="str">
        <f ca="1">IFERROR(__xludf.DUMMYFUNCTION("""COMPUTED_VALUE"""),"2055-06-10T19:35:23.407Z")</f>
        <v>2055-06-10T19:35:23.407Z</v>
      </c>
      <c r="L61" s="3">
        <f ca="1">IFERROR(__xludf.DUMMYFUNCTION("""COMPUTED_VALUE"""),1)</f>
        <v>1</v>
      </c>
      <c r="M61" s="3">
        <f ca="1">IFERROR(__xludf.DUMMYFUNCTION("""COMPUTED_VALUE"""),0)</f>
        <v>0</v>
      </c>
      <c r="N61" s="3" t="str">
        <f ca="1">IFERROR(__xludf.DUMMYFUNCTION("""COMPUTED_VALUE"""),"2055-06-10T19:22:32.264328Z")</f>
        <v>2055-06-10T19:22:32.264328Z</v>
      </c>
      <c r="O61" s="3" t="str">
        <f ca="1">IFERROR(__xludf.DUMMYFUNCTION("""COMPUTED_VALUE"""),"2055-06-10T19:22:43.512395Z")</f>
        <v>2055-06-10T19:22:43.512395Z</v>
      </c>
      <c r="P61" s="3" t="str">
        <f ca="1">IFERROR(__xludf.DUMMYFUNCTION("""COMPUTED_VALUE"""),"2055-06-10T18:43:34.280761Z")</f>
        <v>2055-06-10T18:43:34.280761Z</v>
      </c>
      <c r="Q61" s="3">
        <f ca="1">IFERROR(__xludf.DUMMYFUNCTION("""COMPUTED_VALUE"""),0)</f>
        <v>0</v>
      </c>
      <c r="R61" s="3" t="str">
        <f ca="1">IFERROR(__xludf.DUMMYFUNCTION("""COMPUTED_VALUE"""),"2055-06-10T18:44:19.462451Z")</f>
        <v>2055-06-10T18:44:19.462451Z</v>
      </c>
      <c r="S61" s="3" t="str">
        <f ca="1">IFERROR(__xludf.DUMMYFUNCTION("""COMPUTED_VALUE"""),"2055-06-10T18:54:58.647007Z")</f>
        <v>2055-06-10T18:54:58.647007Z</v>
      </c>
      <c r="T61" s="3"/>
      <c r="U61" s="4">
        <f ca="1">IFERROR(__xludf.DUMMYFUNCTION("""COMPUTED_VALUE"""),56775)</f>
        <v>56775</v>
      </c>
      <c r="V61" s="3">
        <f ca="1">IFERROR(__xludf.DUMMYFUNCTION("""COMPUTED_VALUE"""),4.3)</f>
        <v>4.3</v>
      </c>
      <c r="W61" s="3">
        <f ca="1">IFERROR(__xludf.DUMMYFUNCTION("""COMPUTED_VALUE"""),6500)</f>
        <v>6500</v>
      </c>
      <c r="X61" s="3">
        <f ca="1">IFERROR(__xludf.DUMMYFUNCTION("""COMPUTED_VALUE"""),2304)</f>
        <v>2304</v>
      </c>
      <c r="Y61" s="3">
        <f ca="1">IFERROR(__xludf.DUMMYFUNCTION("""COMPUTED_VALUE"""),639)</f>
        <v>639</v>
      </c>
      <c r="Z61" s="3">
        <f ca="1">IFERROR(__xludf.DUMMYFUNCTION("""COMPUTED_VALUE"""),1654)</f>
        <v>1654</v>
      </c>
      <c r="AA61" s="3">
        <f ca="1">IFERROR(__xludf.DUMMYFUNCTION("""COMPUTED_VALUE"""),11)</f>
        <v>11</v>
      </c>
      <c r="AB61" s="3">
        <f ca="1">IFERROR(__xludf.DUMMYFUNCTION("""COMPUTED_VALUE"""),0)</f>
        <v>0</v>
      </c>
      <c r="AC61" s="3">
        <f ca="1">IFERROR(__xludf.DUMMYFUNCTION("""COMPUTED_VALUE"""),12)</f>
        <v>12</v>
      </c>
      <c r="AD61" s="3" t="str">
        <f ca="1">IFERROR(__xludf.DUMMYFUNCTION("""COMPUTED_VALUE"""),"early")</f>
        <v>early</v>
      </c>
      <c r="AE61" s="3" t="str">
        <f ca="1">IFERROR(__xludf.DUMMYFUNCTION("""COMPUTED_VALUE"""),"2055-06-10T15:22:32.264328Z")</f>
        <v>2055-06-10T15:22:32.264328Z</v>
      </c>
      <c r="AF61" s="3" t="str">
        <f ca="1">IFERROR(__xludf.DUMMYFUNCTION("""COMPUTED_VALUE"""),"2055-06-10T15:22:43.512395Z")</f>
        <v>2055-06-10T15:22:43.512395Z</v>
      </c>
      <c r="AG61" s="3" t="str">
        <f ca="1">IFERROR(__xludf.DUMMYFUNCTION("""COMPUTED_VALUE"""),"2055-06-10T14:43:34.280761Z")</f>
        <v>2055-06-10T14:43:34.280761Z</v>
      </c>
      <c r="AH61" s="3" t="str">
        <f ca="1">IFERROR(__xludf.DUMMYFUNCTION("""COMPUTED_VALUE"""),"2055-06-10T14:54:58.647007Z")</f>
        <v>2055-06-10T14:54:58.647007Z</v>
      </c>
      <c r="AI61" s="3">
        <f ca="1">IFERROR(__xludf.DUMMYFUNCTION("""COMPUTED_VALUE"""),4.72)</f>
        <v>4.72</v>
      </c>
      <c r="AJ61" s="3">
        <f ca="1">IFERROR(__xludf.DUMMYFUNCTION("""COMPUTED_VALUE"""),141)</f>
        <v>141</v>
      </c>
      <c r="AK61" s="3">
        <f ca="1">IFERROR(__xludf.DUMMYFUNCTION("""COMPUTED_VALUE"""),418)</f>
        <v>418</v>
      </c>
      <c r="AL61" s="3">
        <f ca="1">IFERROR(__xludf.DUMMYFUNCTION("""COMPUTED_VALUE"""),90)</f>
        <v>90</v>
      </c>
    </row>
    <row r="62" spans="1:38" ht="13">
      <c r="A62" s="3">
        <f ca="1">IFERROR(__xludf.DUMMYFUNCTION("""COMPUTED_VALUE"""),753)</f>
        <v>753</v>
      </c>
      <c r="B62" s="3">
        <f ca="1">IFERROR(__xludf.DUMMYFUNCTION("""COMPUTED_VALUE"""),5)</f>
        <v>5</v>
      </c>
      <c r="C62" s="3">
        <f ca="1">IFERROR(__xludf.DUMMYFUNCTION("""COMPUTED_VALUE"""),4050)</f>
        <v>4050</v>
      </c>
      <c r="D62" s="3" t="str">
        <f ca="1">IFERROR(__xludf.DUMMYFUNCTION("""COMPUTED_VALUE"""),"Doorlanta")</f>
        <v>Doorlanta</v>
      </c>
      <c r="E62" s="3" t="str">
        <f ca="1">IFERROR(__xludf.DUMMYFUNCTION("""COMPUTED_VALUE"""),"Galaxy A")</f>
        <v>Galaxy A</v>
      </c>
      <c r="F62" s="3" t="str">
        <f ca="1">IFERROR(__xludf.DUMMYFUNCTION("""COMPUTED_VALUE"""),"Abhai")</f>
        <v>Abhai</v>
      </c>
      <c r="G62" s="3">
        <f ca="1">IFERROR(__xludf.DUMMYFUNCTION("""COMPUTED_VALUE"""),0)</f>
        <v>0</v>
      </c>
      <c r="H62" s="3" t="str">
        <f ca="1">IFERROR(__xludf.DUMMYFUNCTION("""COMPUTED_VALUE"""),"car")</f>
        <v>car</v>
      </c>
      <c r="I62" s="3" t="str">
        <f ca="1">IFERROR(__xludf.DUMMYFUNCTION("""COMPUTED_VALUE"""),"2055-06-06T17:59:10.761118Z")</f>
        <v>2055-06-06T17:59:10.761118Z</v>
      </c>
      <c r="J62" s="3" t="str">
        <f ca="1">IFERROR(__xludf.DUMMYFUNCTION("""COMPUTED_VALUE"""),"2055-06-06T18:51:49.854Z")</f>
        <v>2055-06-06T18:51:49.854Z</v>
      </c>
      <c r="K62" s="3" t="str">
        <f ca="1">IFERROR(__xludf.DUMMYFUNCTION("""COMPUTED_VALUE"""),"2055-06-06T18:42:56.854Z")</f>
        <v>2055-06-06T18:42:56.854Z</v>
      </c>
      <c r="L62" s="3">
        <f ca="1">IFERROR(__xludf.DUMMYFUNCTION("""COMPUTED_VALUE"""),1)</f>
        <v>1</v>
      </c>
      <c r="M62" s="3">
        <f ca="1">IFERROR(__xludf.DUMMYFUNCTION("""COMPUTED_VALUE"""),0)</f>
        <v>0</v>
      </c>
      <c r="N62" s="3" t="str">
        <f ca="1">IFERROR(__xludf.DUMMYFUNCTION("""COMPUTED_VALUE"""),"2055-06-06T18:19:42.450215Z")</f>
        <v>2055-06-06T18:19:42.450215Z</v>
      </c>
      <c r="O62" s="3" t="str">
        <f ca="1">IFERROR(__xludf.DUMMYFUNCTION("""COMPUTED_VALUE"""),"2055-06-06T18:34:13.622679Z")</f>
        <v>2055-06-06T18:34:13.622679Z</v>
      </c>
      <c r="P62" s="3" t="str">
        <f ca="1">IFERROR(__xludf.DUMMYFUNCTION("""COMPUTED_VALUE"""),"2055-06-06T17:59:27.389191Z")</f>
        <v>2055-06-06T17:59:27.389191Z</v>
      </c>
      <c r="Q62" s="3">
        <f ca="1">IFERROR(__xludf.DUMMYFUNCTION("""COMPUTED_VALUE"""),0)</f>
        <v>0</v>
      </c>
      <c r="R62" s="3" t="str">
        <f ca="1">IFERROR(__xludf.DUMMYFUNCTION("""COMPUTED_VALUE"""),"2055-06-06T17:59:33.336408Z")</f>
        <v>2055-06-06T17:59:33.336408Z</v>
      </c>
      <c r="S62" s="3" t="str">
        <f ca="1">IFERROR(__xludf.DUMMYFUNCTION("""COMPUTED_VALUE"""),"2055-06-06T18:04:16.345205Z")</f>
        <v>2055-06-06T18:04:16.345205Z</v>
      </c>
      <c r="T62" s="3"/>
      <c r="U62" s="4">
        <f ca="1">IFERROR(__xludf.DUMMYFUNCTION("""COMPUTED_VALUE"""),56771)</f>
        <v>56771</v>
      </c>
      <c r="V62" s="3">
        <f ca="1">IFERROR(__xludf.DUMMYFUNCTION("""COMPUTED_VALUE"""),4.5)</f>
        <v>4.5</v>
      </c>
      <c r="W62" s="3">
        <f ca="1">IFERROR(__xludf.DUMMYFUNCTION("""COMPUTED_VALUE"""),6500)</f>
        <v>6500</v>
      </c>
      <c r="X62" s="3">
        <f ca="1">IFERROR(__xludf.DUMMYFUNCTION("""COMPUTED_VALUE"""),2080)</f>
        <v>2080</v>
      </c>
      <c r="Y62" s="3">
        <f ca="1">IFERROR(__xludf.DUMMYFUNCTION("""COMPUTED_VALUE"""),283)</f>
        <v>283</v>
      </c>
      <c r="Z62" s="3">
        <f ca="1">IFERROR(__xludf.DUMMYFUNCTION("""COMPUTED_VALUE"""),926)</f>
        <v>926</v>
      </c>
      <c r="AA62" s="3">
        <f ca="1">IFERROR(__xludf.DUMMYFUNCTION("""COMPUTED_VALUE"""),871)</f>
        <v>871</v>
      </c>
      <c r="AB62" s="3">
        <f ca="1">IFERROR(__xludf.DUMMYFUNCTION("""COMPUTED_VALUE"""),0)</f>
        <v>0</v>
      </c>
      <c r="AC62" s="3">
        <f ca="1">IFERROR(__xludf.DUMMYFUNCTION("""COMPUTED_VALUE"""),9)</f>
        <v>9</v>
      </c>
      <c r="AD62" s="3" t="str">
        <f ca="1">IFERROR(__xludf.DUMMYFUNCTION("""COMPUTED_VALUE"""),"early")</f>
        <v>early</v>
      </c>
      <c r="AE62" s="3" t="str">
        <f ca="1">IFERROR(__xludf.DUMMYFUNCTION("""COMPUTED_VALUE"""),"2055-06-06T14:19:42.450215Z")</f>
        <v>2055-06-06T14:19:42.450215Z</v>
      </c>
      <c r="AF62" s="3" t="str">
        <f ca="1">IFERROR(__xludf.DUMMYFUNCTION("""COMPUTED_VALUE"""),"2055-06-06T14:34:13.622679Z")</f>
        <v>2055-06-06T14:34:13.622679Z</v>
      </c>
      <c r="AG62" s="3" t="str">
        <f ca="1">IFERROR(__xludf.DUMMYFUNCTION("""COMPUTED_VALUE"""),"2055-06-06T13:59:27.389191Z")</f>
        <v>2055-06-06T13:59:27.389191Z</v>
      </c>
      <c r="AH62" s="3" t="str">
        <f ca="1">IFERROR(__xludf.DUMMYFUNCTION("""COMPUTED_VALUE"""),"2055-06-06T14:04:16.345205Z")</f>
        <v>2055-06-06T14:04:16.345205Z</v>
      </c>
      <c r="AI62" s="3">
        <f ca="1">IFERROR(__xludf.DUMMYFUNCTION("""COMPUTED_VALUE"""),4.56)</f>
        <v>4.5599999999999996</v>
      </c>
      <c r="AJ62" s="3">
        <f ca="1">IFERROR(__xludf.DUMMYFUNCTION("""COMPUTED_VALUE"""),344)</f>
        <v>344</v>
      </c>
      <c r="AK62" s="3">
        <f ca="1">IFERROR(__xludf.DUMMYFUNCTION("""COMPUTED_VALUE"""),947)</f>
        <v>947</v>
      </c>
      <c r="AL62" s="3">
        <f ca="1">IFERROR(__xludf.DUMMYFUNCTION("""COMPUTED_VALUE"""),22)</f>
        <v>22</v>
      </c>
    </row>
    <row r="63" spans="1:38" ht="13">
      <c r="A63" s="3">
        <f ca="1">IFERROR(__xludf.DUMMYFUNCTION("""COMPUTED_VALUE"""),49)</f>
        <v>49</v>
      </c>
      <c r="B63" s="3">
        <f ca="1">IFERROR(__xludf.DUMMYFUNCTION("""COMPUTED_VALUE"""),2)</f>
        <v>2</v>
      </c>
      <c r="C63" s="3">
        <f ca="1">IFERROR(__xludf.DUMMYFUNCTION("""COMPUTED_VALUE"""),4001)</f>
        <v>4001</v>
      </c>
      <c r="D63" s="3" t="str">
        <f ca="1">IFERROR(__xludf.DUMMYFUNCTION("""COMPUTED_VALUE"""),"Dashattan")</f>
        <v>Dashattan</v>
      </c>
      <c r="E63" s="3" t="str">
        <f ca="1">IFERROR(__xludf.DUMMYFUNCTION("""COMPUTED_VALUE"""),"Galaxy A")</f>
        <v>Galaxy A</v>
      </c>
      <c r="F63" s="3" t="str">
        <f ca="1">IFERROR(__xludf.DUMMYFUNCTION("""COMPUTED_VALUE"""),"Bunje")</f>
        <v>Bunje</v>
      </c>
      <c r="G63" s="3">
        <f ca="1">IFERROR(__xludf.DUMMYFUNCTION("""COMPUTED_VALUE"""),0)</f>
        <v>0</v>
      </c>
      <c r="H63" s="3" t="str">
        <f ca="1">IFERROR(__xludf.DUMMYFUNCTION("""COMPUTED_VALUE"""),"bicycle")</f>
        <v>bicycle</v>
      </c>
      <c r="I63" s="3" t="str">
        <f ca="1">IFERROR(__xludf.DUMMYFUNCTION("""COMPUTED_VALUE"""),"2055-06-01T21:52:30.784067Z")</f>
        <v>2055-06-01T21:52:30.784067Z</v>
      </c>
      <c r="J63" s="3" t="str">
        <f ca="1">IFERROR(__xludf.DUMMYFUNCTION("""COMPUTED_VALUE"""),"2055-06-01T22:33:13.848Z")</f>
        <v>2055-06-01T22:33:13.848Z</v>
      </c>
      <c r="K63" s="3" t="str">
        <f ca="1">IFERROR(__xludf.DUMMYFUNCTION("""COMPUTED_VALUE"""),"2055-06-01T22:28:06.848Z")</f>
        <v>2055-06-01T22:28:06.848Z</v>
      </c>
      <c r="L63" s="3">
        <f ca="1">IFERROR(__xludf.DUMMYFUNCTION("""COMPUTED_VALUE"""),1)</f>
        <v>1</v>
      </c>
      <c r="M63" s="3">
        <f ca="1">IFERROR(__xludf.DUMMYFUNCTION("""COMPUTED_VALUE"""),0)</f>
        <v>0</v>
      </c>
      <c r="N63" s="3" t="str">
        <f ca="1">IFERROR(__xludf.DUMMYFUNCTION("""COMPUTED_VALUE"""),"2055-06-01T22:11:13.91143Z")</f>
        <v>2055-06-01T22:11:13.91143Z</v>
      </c>
      <c r="O63" s="3" t="str">
        <f ca="1">IFERROR(__xludf.DUMMYFUNCTION("""COMPUTED_VALUE"""),"2055-06-01T22:23:01.162074Z")</f>
        <v>2055-06-01T22:23:01.162074Z</v>
      </c>
      <c r="P63" s="3" t="str">
        <f ca="1">IFERROR(__xludf.DUMMYFUNCTION("""COMPUTED_VALUE"""),"2055-06-01T21:54:54.481371Z")</f>
        <v>2055-06-01T21:54:54.481371Z</v>
      </c>
      <c r="Q63" s="3">
        <f ca="1">IFERROR(__xludf.DUMMYFUNCTION("""COMPUTED_VALUE"""),0)</f>
        <v>0</v>
      </c>
      <c r="R63" s="3" t="str">
        <f ca="1">IFERROR(__xludf.DUMMYFUNCTION("""COMPUTED_VALUE"""),"2055-06-01T21:55:01.292138Z")</f>
        <v>2055-06-01T21:55:01.292138Z</v>
      </c>
      <c r="S63" s="3" t="str">
        <f ca="1">IFERROR(__xludf.DUMMYFUNCTION("""COMPUTED_VALUE"""),"2055-06-01T22:08:12.056468Z")</f>
        <v>2055-06-01T22:08:12.056468Z</v>
      </c>
      <c r="T63" s="3"/>
      <c r="U63" s="4">
        <f ca="1">IFERROR(__xludf.DUMMYFUNCTION("""COMPUTED_VALUE"""),56766)</f>
        <v>56766</v>
      </c>
      <c r="V63" s="3">
        <f ca="1">IFERROR(__xludf.DUMMYFUNCTION("""COMPUTED_VALUE"""),3.7)</f>
        <v>3.7</v>
      </c>
      <c r="W63" s="3">
        <f ca="1">IFERROR(__xludf.DUMMYFUNCTION("""COMPUTED_VALUE"""),6500)</f>
        <v>6500</v>
      </c>
      <c r="X63" s="3">
        <f ca="1">IFERROR(__xludf.DUMMYFUNCTION("""COMPUTED_VALUE"""),1680)</f>
        <v>1680</v>
      </c>
      <c r="Y63" s="3">
        <f ca="1">IFERROR(__xludf.DUMMYFUNCTION("""COMPUTED_VALUE"""),791)</f>
        <v>791</v>
      </c>
      <c r="Z63" s="3">
        <f ca="1">IFERROR(__xludf.DUMMYFUNCTION("""COMPUTED_VALUE"""),181)</f>
        <v>181</v>
      </c>
      <c r="AA63" s="3">
        <f ca="1">IFERROR(__xludf.DUMMYFUNCTION("""COMPUTED_VALUE"""),708)</f>
        <v>708</v>
      </c>
      <c r="AB63" s="3">
        <f ca="1">IFERROR(__xludf.DUMMYFUNCTION("""COMPUTED_VALUE"""),0)</f>
        <v>0</v>
      </c>
      <c r="AC63" s="3">
        <f ca="1">IFERROR(__xludf.DUMMYFUNCTION("""COMPUTED_VALUE"""),5)</f>
        <v>5</v>
      </c>
      <c r="AD63" s="3" t="str">
        <f ca="1">IFERROR(__xludf.DUMMYFUNCTION("""COMPUTED_VALUE"""),"on time")</f>
        <v>on time</v>
      </c>
      <c r="AE63" s="3" t="str">
        <f ca="1">IFERROR(__xludf.DUMMYFUNCTION("""COMPUTED_VALUE"""),"2055-06-01T18:11:13.91143Z")</f>
        <v>2055-06-01T18:11:13.91143Z</v>
      </c>
      <c r="AF63" s="3" t="str">
        <f ca="1">IFERROR(__xludf.DUMMYFUNCTION("""COMPUTED_VALUE"""),"2055-06-01T18:23:01.162074Z")</f>
        <v>2055-06-01T18:23:01.162074Z</v>
      </c>
      <c r="AG63" s="3" t="str">
        <f ca="1">IFERROR(__xludf.DUMMYFUNCTION("""COMPUTED_VALUE"""),"2055-06-01T17:54:54.481371Z")</f>
        <v>2055-06-01T17:54:54.481371Z</v>
      </c>
      <c r="AH63" s="3" t="str">
        <f ca="1">IFERROR(__xludf.DUMMYFUNCTION("""COMPUTED_VALUE"""),"2055-06-01T18:08:12.056468Z")</f>
        <v>2055-06-01T18:08:12.056468Z</v>
      </c>
      <c r="AI63" s="3">
        <f ca="1">IFERROR(__xludf.DUMMYFUNCTION("""COMPUTED_VALUE"""),4.7)</f>
        <v>4.7</v>
      </c>
      <c r="AJ63" s="3">
        <f ca="1">IFERROR(__xludf.DUMMYFUNCTION("""COMPUTED_VALUE"""),443)</f>
        <v>443</v>
      </c>
      <c r="AK63" s="3">
        <f ca="1">IFERROR(__xludf.DUMMYFUNCTION("""COMPUTED_VALUE"""),1579)</f>
        <v>1579</v>
      </c>
      <c r="AL63" s="3"/>
    </row>
    <row r="64" spans="1:38" ht="13">
      <c r="A64" s="3">
        <f ca="1">IFERROR(__xludf.DUMMYFUNCTION("""COMPUTED_VALUE"""),493)</f>
        <v>493</v>
      </c>
      <c r="B64" s="3"/>
      <c r="C64" s="3">
        <f ca="1">IFERROR(__xludf.DUMMYFUNCTION("""COMPUTED_VALUE"""),4001)</f>
        <v>4001</v>
      </c>
      <c r="D64" s="3" t="str">
        <f ca="1">IFERROR(__xludf.DUMMYFUNCTION("""COMPUTED_VALUE"""),"Dashattan")</f>
        <v>Dashattan</v>
      </c>
      <c r="E64" s="3" t="str">
        <f ca="1">IFERROR(__xludf.DUMMYFUNCTION("""COMPUTED_VALUE"""),"Galaxy A")</f>
        <v>Galaxy A</v>
      </c>
      <c r="F64" s="3" t="str">
        <f ca="1">IFERROR(__xludf.DUMMYFUNCTION("""COMPUTED_VALUE"""),"Rojan")</f>
        <v>Rojan</v>
      </c>
      <c r="G64" s="3">
        <f ca="1">IFERROR(__xludf.DUMMYFUNCTION("""COMPUTED_VALUE"""),0)</f>
        <v>0</v>
      </c>
      <c r="H64" s="3" t="str">
        <f ca="1">IFERROR(__xludf.DUMMYFUNCTION("""COMPUTED_VALUE"""),"bicycle")</f>
        <v>bicycle</v>
      </c>
      <c r="I64" s="3" t="str">
        <f ca="1">IFERROR(__xludf.DUMMYFUNCTION("""COMPUTED_VALUE"""),"2055-06-04T23:36:52.842591Z")</f>
        <v>2055-06-04T23:36:52.842591Z</v>
      </c>
      <c r="J64" s="3" t="str">
        <f ca="1">IFERROR(__xludf.DUMMYFUNCTION("""COMPUTED_VALUE"""),"2055-06-05T00:35:00.886Z")</f>
        <v>2055-06-05T00:35:00.886Z</v>
      </c>
      <c r="K64" s="3" t="str">
        <f ca="1">IFERROR(__xludf.DUMMYFUNCTION("""COMPUTED_VALUE"""),"2055-06-05T00:15:21.886Z")</f>
        <v>2055-06-05T00:15:21.886Z</v>
      </c>
      <c r="L64" s="3">
        <f ca="1">IFERROR(__xludf.DUMMYFUNCTION("""COMPUTED_VALUE"""),1)</f>
        <v>1</v>
      </c>
      <c r="M64" s="3">
        <f ca="1">IFERROR(__xludf.DUMMYFUNCTION("""COMPUTED_VALUE"""),0)</f>
        <v>0</v>
      </c>
      <c r="N64" s="3" t="str">
        <f ca="1">IFERROR(__xludf.DUMMYFUNCTION("""COMPUTED_VALUE"""),"2055-06-04T23:55:27.598237Z")</f>
        <v>2055-06-04T23:55:27.598237Z</v>
      </c>
      <c r="O64" s="3" t="str">
        <f ca="1">IFERROR(__xludf.DUMMYFUNCTION("""COMPUTED_VALUE"""),"2055-06-05T00:02:08.20302Z")</f>
        <v>2055-06-05T00:02:08.20302Z</v>
      </c>
      <c r="P64" s="3" t="str">
        <f ca="1">IFERROR(__xludf.DUMMYFUNCTION("""COMPUTED_VALUE"""),"2055-06-04T23:45:55.271653Z")</f>
        <v>2055-06-04T23:45:55.271653Z</v>
      </c>
      <c r="Q64" s="3">
        <f ca="1">IFERROR(__xludf.DUMMYFUNCTION("""COMPUTED_VALUE"""),0)</f>
        <v>0</v>
      </c>
      <c r="R64" s="3" t="str">
        <f ca="1">IFERROR(__xludf.DUMMYFUNCTION("""COMPUTED_VALUE"""),"2055-06-04T23:46:13.836097Z")</f>
        <v>2055-06-04T23:46:13.836097Z</v>
      </c>
      <c r="S64" s="3" t="str">
        <f ca="1">IFERROR(__xludf.DUMMYFUNCTION("""COMPUTED_VALUE"""),"2055-06-04T23:55:30.301966Z")</f>
        <v>2055-06-04T23:55:30.301966Z</v>
      </c>
      <c r="T64" s="3"/>
      <c r="U64" s="4">
        <f ca="1">IFERROR(__xludf.DUMMYFUNCTION("""COMPUTED_VALUE"""),56769)</f>
        <v>56769</v>
      </c>
      <c r="V64" s="3">
        <f ca="1">IFERROR(__xludf.DUMMYFUNCTION("""COMPUTED_VALUE"""),4.5)</f>
        <v>4.5</v>
      </c>
      <c r="W64" s="3">
        <f ca="1">IFERROR(__xludf.DUMMYFUNCTION("""COMPUTED_VALUE"""),6500)</f>
        <v>6500</v>
      </c>
      <c r="X64" s="3">
        <f ca="1">IFERROR(__xludf.DUMMYFUNCTION("""COMPUTED_VALUE"""),955)</f>
        <v>955</v>
      </c>
      <c r="Y64" s="3">
        <f ca="1">IFERROR(__xludf.DUMMYFUNCTION("""COMPUTED_VALUE"""),557)</f>
        <v>557</v>
      </c>
      <c r="Z64" s="3"/>
      <c r="AA64" s="3">
        <f ca="1">IFERROR(__xludf.DUMMYFUNCTION("""COMPUTED_VALUE"""),401)</f>
        <v>401</v>
      </c>
      <c r="AB64" s="3">
        <f ca="1">IFERROR(__xludf.DUMMYFUNCTION("""COMPUTED_VALUE"""),0)</f>
        <v>0</v>
      </c>
      <c r="AC64" s="3">
        <f ca="1">IFERROR(__xludf.DUMMYFUNCTION("""COMPUTED_VALUE"""),5)</f>
        <v>5</v>
      </c>
      <c r="AD64" s="3" t="str">
        <f ca="1">IFERROR(__xludf.DUMMYFUNCTION("""COMPUTED_VALUE"""),"on time")</f>
        <v>on time</v>
      </c>
      <c r="AE64" s="3" t="str">
        <f ca="1">IFERROR(__xludf.DUMMYFUNCTION("""COMPUTED_VALUE"""),"2055-06-04T19:55:27.598237Z")</f>
        <v>2055-06-04T19:55:27.598237Z</v>
      </c>
      <c r="AF64" s="3" t="str">
        <f ca="1">IFERROR(__xludf.DUMMYFUNCTION("""COMPUTED_VALUE"""),"2055-06-04T20:02:08.20302Z")</f>
        <v>2055-06-04T20:02:08.20302Z</v>
      </c>
      <c r="AG64" s="3" t="str">
        <f ca="1">IFERROR(__xludf.DUMMYFUNCTION("""COMPUTED_VALUE"""),"2055-06-04T19:45:55.271653Z")</f>
        <v>2055-06-04T19:45:55.271653Z</v>
      </c>
      <c r="AH64" s="3" t="str">
        <f ca="1">IFERROR(__xludf.DUMMYFUNCTION("""COMPUTED_VALUE"""),"2055-06-04T19:55:30.301966Z")</f>
        <v>2055-06-04T19:55:30.301966Z</v>
      </c>
      <c r="AI64" s="3">
        <f ca="1">IFERROR(__xludf.DUMMYFUNCTION("""COMPUTED_VALUE"""),4.58)</f>
        <v>4.58</v>
      </c>
      <c r="AJ64" s="3">
        <f ca="1">IFERROR(__xludf.DUMMYFUNCTION("""COMPUTED_VALUE"""),254)</f>
        <v>254</v>
      </c>
      <c r="AK64" s="3">
        <f ca="1">IFERROR(__xludf.DUMMYFUNCTION("""COMPUTED_VALUE"""),788)</f>
        <v>788</v>
      </c>
      <c r="AL64" s="3">
        <f ca="1">IFERROR(__xludf.DUMMYFUNCTION("""COMPUTED_VALUE"""),9)</f>
        <v>9</v>
      </c>
    </row>
    <row r="65" spans="1:38" ht="13">
      <c r="A65" s="3">
        <f ca="1">IFERROR(__xludf.DUMMYFUNCTION("""COMPUTED_VALUE"""),446)</f>
        <v>446</v>
      </c>
      <c r="B65" s="3"/>
      <c r="C65" s="3">
        <f ca="1">IFERROR(__xludf.DUMMYFUNCTION("""COMPUTED_VALUE"""),4050)</f>
        <v>4050</v>
      </c>
      <c r="D65" s="3" t="str">
        <f ca="1">IFERROR(__xludf.DUMMYFUNCTION("""COMPUTED_VALUE"""),"Doorlanta")</f>
        <v>Doorlanta</v>
      </c>
      <c r="E65" s="3" t="str">
        <f ca="1">IFERROR(__xludf.DUMMYFUNCTION("""COMPUTED_VALUE"""),"Galaxy A")</f>
        <v>Galaxy A</v>
      </c>
      <c r="F65" s="3" t="str">
        <f ca="1">IFERROR(__xludf.DUMMYFUNCTION("""COMPUTED_VALUE"""),"Katelynn")</f>
        <v>Katelynn</v>
      </c>
      <c r="G65" s="3">
        <f ca="1">IFERROR(__xludf.DUMMYFUNCTION("""COMPUTED_VALUE"""),0)</f>
        <v>0</v>
      </c>
      <c r="H65" s="3" t="str">
        <f ca="1">IFERROR(__xludf.DUMMYFUNCTION("""COMPUTED_VALUE"""),"car")</f>
        <v>car</v>
      </c>
      <c r="I65" s="3" t="str">
        <f ca="1">IFERROR(__xludf.DUMMYFUNCTION("""COMPUTED_VALUE"""),"2055-06-04T20:59:55.521685Z")</f>
        <v>2055-06-04T20:59:55.521685Z</v>
      </c>
      <c r="J65" s="3" t="str">
        <f ca="1">IFERROR(__xludf.DUMMYFUNCTION("""COMPUTED_VALUE"""),"2055-06-04T22:00:16.604Z")</f>
        <v>2055-06-04T22:00:16.604Z</v>
      </c>
      <c r="K65" s="3" t="str">
        <f ca="1">IFERROR(__xludf.DUMMYFUNCTION("""COMPUTED_VALUE"""),"2055-06-04T21:40:37.604Z")</f>
        <v>2055-06-04T21:40:37.604Z</v>
      </c>
      <c r="L65" s="3">
        <f ca="1">IFERROR(__xludf.DUMMYFUNCTION("""COMPUTED_VALUE"""),1)</f>
        <v>1</v>
      </c>
      <c r="M65" s="3">
        <f ca="1">IFERROR(__xludf.DUMMYFUNCTION("""COMPUTED_VALUE"""),0)</f>
        <v>0</v>
      </c>
      <c r="N65" s="3" t="str">
        <f ca="1">IFERROR(__xludf.DUMMYFUNCTION("""COMPUTED_VALUE"""),"2055-06-04T21:25:11.982236Z")</f>
        <v>2055-06-04T21:25:11.982236Z</v>
      </c>
      <c r="O65" s="3" t="str">
        <f ca="1">IFERROR(__xludf.DUMMYFUNCTION("""COMPUTED_VALUE"""),"2055-06-04T21:37:01.356024Z")</f>
        <v>2055-06-04T21:37:01.356024Z</v>
      </c>
      <c r="P65" s="3" t="str">
        <f ca="1">IFERROR(__xludf.DUMMYFUNCTION("""COMPUTED_VALUE"""),"2055-06-04T21:00:07.307776Z")</f>
        <v>2055-06-04T21:00:07.307776Z</v>
      </c>
      <c r="Q65" s="3">
        <f ca="1">IFERROR(__xludf.DUMMYFUNCTION("""COMPUTED_VALUE"""),0)</f>
        <v>0</v>
      </c>
      <c r="R65" s="3" t="str">
        <f ca="1">IFERROR(__xludf.DUMMYFUNCTION("""COMPUTED_VALUE"""),"2055-06-04T21:00:25.314855Z")</f>
        <v>2055-06-04T21:00:25.314855Z</v>
      </c>
      <c r="S65" s="3" t="str">
        <f ca="1">IFERROR(__xludf.DUMMYFUNCTION("""COMPUTED_VALUE"""),"2055-06-04T21:06:42.01144Z")</f>
        <v>2055-06-04T21:06:42.01144Z</v>
      </c>
      <c r="T65" s="3"/>
      <c r="U65" s="4">
        <f ca="1">IFERROR(__xludf.DUMMYFUNCTION("""COMPUTED_VALUE"""),56769)</f>
        <v>56769</v>
      </c>
      <c r="V65" s="3">
        <f ca="1">IFERROR(__xludf.DUMMYFUNCTION("""COMPUTED_VALUE"""),4.6)</f>
        <v>4.5999999999999996</v>
      </c>
      <c r="W65" s="3">
        <f ca="1">IFERROR(__xludf.DUMMYFUNCTION("""COMPUTED_VALUE"""),6500)</f>
        <v>6500</v>
      </c>
      <c r="X65" s="3">
        <f ca="1">IFERROR(__xludf.DUMMYFUNCTION("""COMPUTED_VALUE"""),2196)</f>
        <v>2196</v>
      </c>
      <c r="Y65" s="3">
        <f ca="1">IFERROR(__xludf.DUMMYFUNCTION("""COMPUTED_VALUE"""),377)</f>
        <v>377</v>
      </c>
      <c r="Z65" s="3">
        <f ca="1">IFERROR(__xludf.DUMMYFUNCTION("""COMPUTED_VALUE"""),1109)</f>
        <v>1109</v>
      </c>
      <c r="AA65" s="3">
        <f ca="1">IFERROR(__xludf.DUMMYFUNCTION("""COMPUTED_VALUE"""),710)</f>
        <v>710</v>
      </c>
      <c r="AB65" s="3">
        <f ca="1">IFERROR(__xludf.DUMMYFUNCTION("""COMPUTED_VALUE"""),0)</f>
        <v>0</v>
      </c>
      <c r="AC65" s="3">
        <f ca="1">IFERROR(__xludf.DUMMYFUNCTION("""COMPUTED_VALUE"""),9)</f>
        <v>9</v>
      </c>
      <c r="AD65" s="3" t="str">
        <f ca="1">IFERROR(__xludf.DUMMYFUNCTION("""COMPUTED_VALUE"""),"early")</f>
        <v>early</v>
      </c>
      <c r="AE65" s="3" t="str">
        <f ca="1">IFERROR(__xludf.DUMMYFUNCTION("""COMPUTED_VALUE"""),"2055-06-04T17:25:11.982236Z")</f>
        <v>2055-06-04T17:25:11.982236Z</v>
      </c>
      <c r="AF65" s="3" t="str">
        <f ca="1">IFERROR(__xludf.DUMMYFUNCTION("""COMPUTED_VALUE"""),"2055-06-04T17:37:01.356024Z")</f>
        <v>2055-06-04T17:37:01.356024Z</v>
      </c>
      <c r="AG65" s="3" t="str">
        <f ca="1">IFERROR(__xludf.DUMMYFUNCTION("""COMPUTED_VALUE"""),"2055-06-04T17:00:07.307776Z")</f>
        <v>2055-06-04T17:00:07.307776Z</v>
      </c>
      <c r="AH65" s="3" t="str">
        <f ca="1">IFERROR(__xludf.DUMMYFUNCTION("""COMPUTED_VALUE"""),"2055-06-04T17:06:42.01144Z")</f>
        <v>2055-06-04T17:06:42.01144Z</v>
      </c>
      <c r="AI65" s="3">
        <f ca="1">IFERROR(__xludf.DUMMYFUNCTION("""COMPUTED_VALUE"""),4.7)</f>
        <v>4.7</v>
      </c>
      <c r="AJ65" s="3">
        <f ca="1">IFERROR(__xludf.DUMMYFUNCTION("""COMPUTED_VALUE"""),1261)</f>
        <v>1261</v>
      </c>
      <c r="AK65" s="3">
        <f ca="1">IFERROR(__xludf.DUMMYFUNCTION("""COMPUTED_VALUE"""),3264)</f>
        <v>3264</v>
      </c>
      <c r="AL65" s="3">
        <f ca="1">IFERROR(__xludf.DUMMYFUNCTION("""COMPUTED_VALUE"""),232)</f>
        <v>232</v>
      </c>
    </row>
    <row r="66" spans="1:38" ht="13">
      <c r="A66" s="3">
        <f ca="1">IFERROR(__xludf.DUMMYFUNCTION("""COMPUTED_VALUE"""),725)</f>
        <v>725</v>
      </c>
      <c r="B66" s="3">
        <f ca="1">IFERROR(__xludf.DUMMYFUNCTION("""COMPUTED_VALUE"""),3)</f>
        <v>3</v>
      </c>
      <c r="C66" s="3">
        <f ca="1">IFERROR(__xludf.DUMMYFUNCTION("""COMPUTED_VALUE"""),4050)</f>
        <v>4050</v>
      </c>
      <c r="D66" s="3" t="str">
        <f ca="1">IFERROR(__xludf.DUMMYFUNCTION("""COMPUTED_VALUE"""),"Doorlanta")</f>
        <v>Doorlanta</v>
      </c>
      <c r="E66" s="3" t="str">
        <f ca="1">IFERROR(__xludf.DUMMYFUNCTION("""COMPUTED_VALUE"""),"Galaxy A")</f>
        <v>Galaxy A</v>
      </c>
      <c r="F66" s="3" t="str">
        <f ca="1">IFERROR(__xludf.DUMMYFUNCTION("""COMPUTED_VALUE"""),"Hersh")</f>
        <v>Hersh</v>
      </c>
      <c r="G66" s="3">
        <f ca="1">IFERROR(__xludf.DUMMYFUNCTION("""COMPUTED_VALUE"""),0)</f>
        <v>0</v>
      </c>
      <c r="H66" s="3" t="str">
        <f ca="1">IFERROR(__xludf.DUMMYFUNCTION("""COMPUTED_VALUE"""),"car")</f>
        <v>car</v>
      </c>
      <c r="I66" s="3" t="str">
        <f ca="1">IFERROR(__xludf.DUMMYFUNCTION("""COMPUTED_VALUE"""),"2055-06-06T15:05:25.459475Z")</f>
        <v>2055-06-06T15:05:25.459475Z</v>
      </c>
      <c r="J66" s="3" t="str">
        <f ca="1">IFERROR(__xludf.DUMMYFUNCTION("""COMPUTED_VALUE"""),"2055-06-06T16:00:14.544Z")</f>
        <v>2055-06-06T16:00:14.544Z</v>
      </c>
      <c r="K66" s="3" t="str">
        <f ca="1">IFERROR(__xludf.DUMMYFUNCTION("""COMPUTED_VALUE"""),"2055-06-06T15:46:21.544Z")</f>
        <v>2055-06-06T15:46:21.544Z</v>
      </c>
      <c r="L66" s="3">
        <f ca="1">IFERROR(__xludf.DUMMYFUNCTION("""COMPUTED_VALUE"""),1)</f>
        <v>1</v>
      </c>
      <c r="M66" s="3">
        <f ca="1">IFERROR(__xludf.DUMMYFUNCTION("""COMPUTED_VALUE"""),0)</f>
        <v>0</v>
      </c>
      <c r="N66" s="3" t="str">
        <f ca="1">IFERROR(__xludf.DUMMYFUNCTION("""COMPUTED_VALUE"""),"2055-06-06T15:44:30.468484Z")</f>
        <v>2055-06-06T15:44:30.468484Z</v>
      </c>
      <c r="O66" s="3" t="str">
        <f ca="1">IFERROR(__xludf.DUMMYFUNCTION("""COMPUTED_VALUE"""),"2055-06-06T16:10:46.236266Z")</f>
        <v>2055-06-06T16:10:46.236266Z</v>
      </c>
      <c r="P66" s="3" t="str">
        <f ca="1">IFERROR(__xludf.DUMMYFUNCTION("""COMPUTED_VALUE"""),"2055-06-06T15:07:47.313751Z")</f>
        <v>2055-06-06T15:07:47.313751Z</v>
      </c>
      <c r="Q66" s="3">
        <f ca="1">IFERROR(__xludf.DUMMYFUNCTION("""COMPUTED_VALUE"""),0)</f>
        <v>0</v>
      </c>
      <c r="R66" s="3" t="str">
        <f ca="1">IFERROR(__xludf.DUMMYFUNCTION("""COMPUTED_VALUE"""),"2055-06-06T15:07:52.64183Z")</f>
        <v>2055-06-06T15:07:52.64183Z</v>
      </c>
      <c r="S66" s="3" t="str">
        <f ca="1">IFERROR(__xludf.DUMMYFUNCTION("""COMPUTED_VALUE"""),"2055-06-06T15:15:41.307219Z")</f>
        <v>2055-06-06T15:15:41.307219Z</v>
      </c>
      <c r="T66" s="3"/>
      <c r="U66" s="4">
        <f ca="1">IFERROR(__xludf.DUMMYFUNCTION("""COMPUTED_VALUE"""),56771)</f>
        <v>56771</v>
      </c>
      <c r="V66" s="3">
        <f ca="1">IFERROR(__xludf.DUMMYFUNCTION("""COMPUTED_VALUE"""),4.5)</f>
        <v>4.5</v>
      </c>
      <c r="W66" s="3">
        <f ca="1">IFERROR(__xludf.DUMMYFUNCTION("""COMPUTED_VALUE"""),6500)</f>
        <v>6500</v>
      </c>
      <c r="X66" s="3">
        <f ca="1">IFERROR(__xludf.DUMMYFUNCTION("""COMPUTED_VALUE"""),3774)</f>
        <v>3774</v>
      </c>
      <c r="Y66" s="3">
        <f ca="1">IFERROR(__xludf.DUMMYFUNCTION("""COMPUTED_VALUE"""),469)</f>
        <v>469</v>
      </c>
      <c r="Z66" s="3">
        <f ca="1">IFERROR(__xludf.DUMMYFUNCTION("""COMPUTED_VALUE"""),1729)</f>
        <v>1729</v>
      </c>
      <c r="AA66" s="3">
        <f ca="1">IFERROR(__xludf.DUMMYFUNCTION("""COMPUTED_VALUE"""),1576)</f>
        <v>1576</v>
      </c>
      <c r="AB66" s="3">
        <f ca="1">IFERROR(__xludf.DUMMYFUNCTION("""COMPUTED_VALUE"""),0)</f>
        <v>0</v>
      </c>
      <c r="AC66" s="3">
        <f ca="1">IFERROR(__xludf.DUMMYFUNCTION("""COMPUTED_VALUE"""),7)</f>
        <v>7</v>
      </c>
      <c r="AD66" s="3" t="str">
        <f ca="1">IFERROR(__xludf.DUMMYFUNCTION("""COMPUTED_VALUE"""),"on time")</f>
        <v>on time</v>
      </c>
      <c r="AE66" s="3" t="str">
        <f ca="1">IFERROR(__xludf.DUMMYFUNCTION("""COMPUTED_VALUE"""),"2055-06-06T11:44:30.468484Z")</f>
        <v>2055-06-06T11:44:30.468484Z</v>
      </c>
      <c r="AF66" s="3" t="str">
        <f ca="1">IFERROR(__xludf.DUMMYFUNCTION("""COMPUTED_VALUE"""),"2055-06-06T12:10:46.236266Z")</f>
        <v>2055-06-06T12:10:46.236266Z</v>
      </c>
      <c r="AG66" s="3" t="str">
        <f ca="1">IFERROR(__xludf.DUMMYFUNCTION("""COMPUTED_VALUE"""),"2055-06-06T11:07:47.313751Z")</f>
        <v>2055-06-06T11:07:47.313751Z</v>
      </c>
      <c r="AH66" s="3" t="str">
        <f ca="1">IFERROR(__xludf.DUMMYFUNCTION("""COMPUTED_VALUE"""),"2055-06-06T11:15:41.307219Z")</f>
        <v>2055-06-06T11:15:41.307219Z</v>
      </c>
      <c r="AI66" s="3">
        <f ca="1">IFERROR(__xludf.DUMMYFUNCTION("""COMPUTED_VALUE"""),4.7)</f>
        <v>4.7</v>
      </c>
      <c r="AJ66" s="3">
        <f ca="1">IFERROR(__xludf.DUMMYFUNCTION("""COMPUTED_VALUE"""),212)</f>
        <v>212</v>
      </c>
      <c r="AK66" s="3">
        <f ca="1">IFERROR(__xludf.DUMMYFUNCTION("""COMPUTED_VALUE"""),624)</f>
        <v>624</v>
      </c>
      <c r="AL66" s="3">
        <f ca="1">IFERROR(__xludf.DUMMYFUNCTION("""COMPUTED_VALUE"""),347)</f>
        <v>347</v>
      </c>
    </row>
    <row r="67" spans="1:38" ht="13">
      <c r="A67" s="3">
        <f ca="1">IFERROR(__xludf.DUMMYFUNCTION("""COMPUTED_VALUE"""),462)</f>
        <v>462</v>
      </c>
      <c r="B67" s="3"/>
      <c r="C67" s="3">
        <f ca="1">IFERROR(__xludf.DUMMYFUNCTION("""COMPUTED_VALUE"""),4050)</f>
        <v>4050</v>
      </c>
      <c r="D67" s="3" t="str">
        <f ca="1">IFERROR(__xludf.DUMMYFUNCTION("""COMPUTED_VALUE"""),"Doorlanta")</f>
        <v>Doorlanta</v>
      </c>
      <c r="E67" s="3" t="str">
        <f ca="1">IFERROR(__xludf.DUMMYFUNCTION("""COMPUTED_VALUE"""),"Galaxy A")</f>
        <v>Galaxy A</v>
      </c>
      <c r="F67" s="3" t="str">
        <f ca="1">IFERROR(__xludf.DUMMYFUNCTION("""COMPUTED_VALUE"""),"Elon")</f>
        <v>Elon</v>
      </c>
      <c r="G67" s="3">
        <f ca="1">IFERROR(__xludf.DUMMYFUNCTION("""COMPUTED_VALUE"""),0)</f>
        <v>0</v>
      </c>
      <c r="H67" s="3" t="str">
        <f ca="1">IFERROR(__xludf.DUMMYFUNCTION("""COMPUTED_VALUE"""),"car")</f>
        <v>car</v>
      </c>
      <c r="I67" s="3" t="str">
        <f ca="1">IFERROR(__xludf.DUMMYFUNCTION("""COMPUTED_VALUE"""),"2055-06-04T22:25:30.06828Z")</f>
        <v>2055-06-04T22:25:30.06828Z</v>
      </c>
      <c r="J67" s="3" t="str">
        <f ca="1">IFERROR(__xludf.DUMMYFUNCTION("""COMPUTED_VALUE"""),"2055-06-04T23:15:30.133Z")</f>
        <v>2055-06-04T23:15:30.133Z</v>
      </c>
      <c r="K67" s="3" t="str">
        <f ca="1">IFERROR(__xludf.DUMMYFUNCTION("""COMPUTED_VALUE"""),"2055-06-04T22:58:27.133Z")</f>
        <v>2055-06-04T22:58:27.133Z</v>
      </c>
      <c r="L67" s="3">
        <f ca="1">IFERROR(__xludf.DUMMYFUNCTION("""COMPUTED_VALUE"""),1)</f>
        <v>1</v>
      </c>
      <c r="M67" s="3">
        <f ca="1">IFERROR(__xludf.DUMMYFUNCTION("""COMPUTED_VALUE"""),0)</f>
        <v>0</v>
      </c>
      <c r="N67" s="3" t="str">
        <f ca="1">IFERROR(__xludf.DUMMYFUNCTION("""COMPUTED_VALUE"""),"2055-06-04T22:57:32.563339Z")</f>
        <v>2055-06-04T22:57:32.563339Z</v>
      </c>
      <c r="O67" s="3" t="str">
        <f ca="1">IFERROR(__xludf.DUMMYFUNCTION("""COMPUTED_VALUE"""),"2055-06-04T23:11:43.406425Z")</f>
        <v>2055-06-04T23:11:43.406425Z</v>
      </c>
      <c r="P67" s="3" t="str">
        <f ca="1">IFERROR(__xludf.DUMMYFUNCTION("""COMPUTED_VALUE"""),"2055-06-04T22:34:07.414821Z")</f>
        <v>2055-06-04T22:34:07.414821Z</v>
      </c>
      <c r="Q67" s="3">
        <f ca="1">IFERROR(__xludf.DUMMYFUNCTION("""COMPUTED_VALUE"""),0)</f>
        <v>0</v>
      </c>
      <c r="R67" s="3" t="str">
        <f ca="1">IFERROR(__xludf.DUMMYFUNCTION("""COMPUTED_VALUE"""),"2055-06-04T22:34:17.332937Z")</f>
        <v>2055-06-04T22:34:17.332937Z</v>
      </c>
      <c r="S67" s="3" t="str">
        <f ca="1">IFERROR(__xludf.DUMMYFUNCTION("""COMPUTED_VALUE"""),"2055-06-04T22:43:37.708015Z")</f>
        <v>2055-06-04T22:43:37.708015Z</v>
      </c>
      <c r="T67" s="3"/>
      <c r="U67" s="4">
        <f ca="1">IFERROR(__xludf.DUMMYFUNCTION("""COMPUTED_VALUE"""),56769)</f>
        <v>56769</v>
      </c>
      <c r="V67" s="3">
        <f ca="1">IFERROR(__xludf.DUMMYFUNCTION("""COMPUTED_VALUE"""),4.7)</f>
        <v>4.7</v>
      </c>
      <c r="W67" s="3">
        <f ca="1">IFERROR(__xludf.DUMMYFUNCTION("""COMPUTED_VALUE"""),6500)</f>
        <v>6500</v>
      </c>
      <c r="X67" s="3">
        <f ca="1">IFERROR(__xludf.DUMMYFUNCTION("""COMPUTED_VALUE"""),2246)</f>
        <v>2246</v>
      </c>
      <c r="Y67" s="3">
        <f ca="1">IFERROR(__xludf.DUMMYFUNCTION("""COMPUTED_VALUE"""),560)</f>
        <v>560</v>
      </c>
      <c r="Z67" s="3">
        <f ca="1">IFERROR(__xludf.DUMMYFUNCTION("""COMPUTED_VALUE"""),835)</f>
        <v>835</v>
      </c>
      <c r="AA67" s="3">
        <f ca="1">IFERROR(__xludf.DUMMYFUNCTION("""COMPUTED_VALUE"""),851)</f>
        <v>851</v>
      </c>
      <c r="AB67" s="3">
        <f ca="1">IFERROR(__xludf.DUMMYFUNCTION("""COMPUTED_VALUE"""),0)</f>
        <v>0</v>
      </c>
      <c r="AC67" s="3">
        <f ca="1">IFERROR(__xludf.DUMMYFUNCTION("""COMPUTED_VALUE"""),5)</f>
        <v>5</v>
      </c>
      <c r="AD67" s="3" t="str">
        <f ca="1">IFERROR(__xludf.DUMMYFUNCTION("""COMPUTED_VALUE"""),"late")</f>
        <v>late</v>
      </c>
      <c r="AE67" s="3" t="str">
        <f ca="1">IFERROR(__xludf.DUMMYFUNCTION("""COMPUTED_VALUE"""),"2055-06-04T18:57:32.563339Z")</f>
        <v>2055-06-04T18:57:32.563339Z</v>
      </c>
      <c r="AF67" s="3" t="str">
        <f ca="1">IFERROR(__xludf.DUMMYFUNCTION("""COMPUTED_VALUE"""),"2055-06-04T19:11:43.406425Z")</f>
        <v>2055-06-04T19:11:43.406425Z</v>
      </c>
      <c r="AG67" s="3" t="str">
        <f ca="1">IFERROR(__xludf.DUMMYFUNCTION("""COMPUTED_VALUE"""),"2055-06-04T18:34:07.414821Z")</f>
        <v>2055-06-04T18:34:07.414821Z</v>
      </c>
      <c r="AH67" s="3" t="str">
        <f ca="1">IFERROR(__xludf.DUMMYFUNCTION("""COMPUTED_VALUE"""),"2055-06-04T18:43:37.708015Z")</f>
        <v>2055-06-04T18:43:37.708015Z</v>
      </c>
      <c r="AI67" s="3">
        <f ca="1">IFERROR(__xludf.DUMMYFUNCTION("""COMPUTED_VALUE"""),4.62)</f>
        <v>4.62</v>
      </c>
      <c r="AJ67" s="3">
        <f ca="1">IFERROR(__xludf.DUMMYFUNCTION("""COMPUTED_VALUE"""),259)</f>
        <v>259</v>
      </c>
      <c r="AK67" s="3">
        <f ca="1">IFERROR(__xludf.DUMMYFUNCTION("""COMPUTED_VALUE"""),604)</f>
        <v>604</v>
      </c>
      <c r="AL67" s="3">
        <f ca="1">IFERROR(__xludf.DUMMYFUNCTION("""COMPUTED_VALUE"""),21)</f>
        <v>21</v>
      </c>
    </row>
    <row r="68" spans="1:38" ht="13">
      <c r="A68" s="3">
        <f ca="1">IFERROR(__xludf.DUMMYFUNCTION("""COMPUTED_VALUE"""),127)</f>
        <v>127</v>
      </c>
      <c r="B68" s="3"/>
      <c r="C68" s="3">
        <f ca="1">IFERROR(__xludf.DUMMYFUNCTION("""COMPUTED_VALUE"""),4050)</f>
        <v>4050</v>
      </c>
      <c r="D68" s="3" t="str">
        <f ca="1">IFERROR(__xludf.DUMMYFUNCTION("""COMPUTED_VALUE"""),"Doorlanta")</f>
        <v>Doorlanta</v>
      </c>
      <c r="E68" s="3" t="str">
        <f ca="1">IFERROR(__xludf.DUMMYFUNCTION("""COMPUTED_VALUE"""),"Galaxy A")</f>
        <v>Galaxy A</v>
      </c>
      <c r="F68" s="3" t="str">
        <f ca="1">IFERROR(__xludf.DUMMYFUNCTION("""COMPUTED_VALUE"""),"Joe")</f>
        <v>Joe</v>
      </c>
      <c r="G68" s="3">
        <f ca="1">IFERROR(__xludf.DUMMYFUNCTION("""COMPUTED_VALUE"""),0)</f>
        <v>0</v>
      </c>
      <c r="H68" s="3" t="str">
        <f ca="1">IFERROR(__xludf.DUMMYFUNCTION("""COMPUTED_VALUE"""),"car")</f>
        <v>car</v>
      </c>
      <c r="I68" s="3" t="str">
        <f ca="1">IFERROR(__xludf.DUMMYFUNCTION("""COMPUTED_VALUE"""),"2055-06-02T15:36:46.463127Z")</f>
        <v>2055-06-02T15:36:46.463127Z</v>
      </c>
      <c r="J68" s="3" t="str">
        <f ca="1">IFERROR(__xludf.DUMMYFUNCTION("""COMPUTED_VALUE"""),"2055-06-02T16:42:38.538Z")</f>
        <v>2055-06-02T16:42:38.538Z</v>
      </c>
      <c r="K68" s="3" t="str">
        <f ca="1">IFERROR(__xludf.DUMMYFUNCTION("""COMPUTED_VALUE"""),"2055-06-02T16:23:45.538Z")</f>
        <v>2055-06-02T16:23:45.538Z</v>
      </c>
      <c r="L68" s="3">
        <f ca="1">IFERROR(__xludf.DUMMYFUNCTION("""COMPUTED_VALUE"""),1)</f>
        <v>1</v>
      </c>
      <c r="M68" s="3">
        <f ca="1">IFERROR(__xludf.DUMMYFUNCTION("""COMPUTED_VALUE"""),0)</f>
        <v>0</v>
      </c>
      <c r="N68" s="3" t="str">
        <f ca="1">IFERROR(__xludf.DUMMYFUNCTION("""COMPUTED_VALUE"""),"2055-06-02T16:30:57.686404Z")</f>
        <v>2055-06-02T16:30:57.686404Z</v>
      </c>
      <c r="O68" s="3" t="str">
        <f ca="1">IFERROR(__xludf.DUMMYFUNCTION("""COMPUTED_VALUE"""),"2055-06-02T16:49:39.244719Z")</f>
        <v>2055-06-02T16:49:39.244719Z</v>
      </c>
      <c r="P68" s="3" t="str">
        <f ca="1">IFERROR(__xludf.DUMMYFUNCTION("""COMPUTED_VALUE"""),"2055-06-02T15:39:07.319652Z")</f>
        <v>2055-06-02T15:39:07.319652Z</v>
      </c>
      <c r="Q68" s="3">
        <f ca="1">IFERROR(__xludf.DUMMYFUNCTION("""COMPUTED_VALUE"""),0)</f>
        <v>0</v>
      </c>
      <c r="R68" s="3" t="str">
        <f ca="1">IFERROR(__xludf.DUMMYFUNCTION("""COMPUTED_VALUE"""),"2055-06-02T15:39:19.588675Z")</f>
        <v>2055-06-02T15:39:19.588675Z</v>
      </c>
      <c r="S68" s="3" t="str">
        <f ca="1">IFERROR(__xludf.DUMMYFUNCTION("""COMPUTED_VALUE"""),"2055-06-02T16:28:17.831141Z")</f>
        <v>2055-06-02T16:28:17.831141Z</v>
      </c>
      <c r="T68" s="3"/>
      <c r="U68" s="4">
        <f ca="1">IFERROR(__xludf.DUMMYFUNCTION("""COMPUTED_VALUE"""),56767)</f>
        <v>56767</v>
      </c>
      <c r="V68" s="3">
        <f ca="1">IFERROR(__xludf.DUMMYFUNCTION("""COMPUTED_VALUE"""),4.5)</f>
        <v>4.5</v>
      </c>
      <c r="W68" s="3">
        <f ca="1">IFERROR(__xludf.DUMMYFUNCTION("""COMPUTED_VALUE"""),6500)</f>
        <v>6500</v>
      </c>
      <c r="X68" s="3">
        <f ca="1">IFERROR(__xludf.DUMMYFUNCTION("""COMPUTED_VALUE"""),4220)</f>
        <v>4220</v>
      </c>
      <c r="Y68" s="3">
        <f ca="1">IFERROR(__xludf.DUMMYFUNCTION("""COMPUTED_VALUE"""),2938)</f>
        <v>2938</v>
      </c>
      <c r="Z68" s="3">
        <f ca="1">IFERROR(__xludf.DUMMYFUNCTION("""COMPUTED_VALUE"""),160)</f>
        <v>160</v>
      </c>
      <c r="AA68" s="3">
        <f ca="1">IFERROR(__xludf.DUMMYFUNCTION("""COMPUTED_VALUE"""),1122)</f>
        <v>1122</v>
      </c>
      <c r="AB68" s="3">
        <f ca="1">IFERROR(__xludf.DUMMYFUNCTION("""COMPUTED_VALUE"""),0)</f>
        <v>0</v>
      </c>
      <c r="AC68" s="3">
        <f ca="1">IFERROR(__xludf.DUMMYFUNCTION("""COMPUTED_VALUE"""),7)</f>
        <v>7</v>
      </c>
      <c r="AD68" s="3" t="str">
        <f ca="1">IFERROR(__xludf.DUMMYFUNCTION("""COMPUTED_VALUE"""),"late")</f>
        <v>late</v>
      </c>
      <c r="AE68" s="3" t="str">
        <f ca="1">IFERROR(__xludf.DUMMYFUNCTION("""COMPUTED_VALUE"""),"2055-06-02T12:30:57.686404Z")</f>
        <v>2055-06-02T12:30:57.686404Z</v>
      </c>
      <c r="AF68" s="3" t="str">
        <f ca="1">IFERROR(__xludf.DUMMYFUNCTION("""COMPUTED_VALUE"""),"2055-06-02T12:49:39.244719Z")</f>
        <v>2055-06-02T12:49:39.244719Z</v>
      </c>
      <c r="AG68" s="3" t="str">
        <f ca="1">IFERROR(__xludf.DUMMYFUNCTION("""COMPUTED_VALUE"""),"2055-06-02T11:39:07.319652Z")</f>
        <v>2055-06-02T11:39:07.319652Z</v>
      </c>
      <c r="AH68" s="3" t="str">
        <f ca="1">IFERROR(__xludf.DUMMYFUNCTION("""COMPUTED_VALUE"""),"2055-06-02T12:28:17.831141Z")</f>
        <v>2055-06-02T12:28:17.831141Z</v>
      </c>
      <c r="AI68" s="3">
        <f ca="1">IFERROR(__xludf.DUMMYFUNCTION("""COMPUTED_VALUE"""),4.38)</f>
        <v>4.38</v>
      </c>
      <c r="AJ68" s="3">
        <f ca="1">IFERROR(__xludf.DUMMYFUNCTION("""COMPUTED_VALUE"""),196)</f>
        <v>196</v>
      </c>
      <c r="AK68" s="3">
        <f ca="1">IFERROR(__xludf.DUMMYFUNCTION("""COMPUTED_VALUE"""),626)</f>
        <v>626</v>
      </c>
      <c r="AL68" s="3"/>
    </row>
    <row r="69" spans="1:38" ht="13">
      <c r="A69" s="3">
        <f ca="1">IFERROR(__xludf.DUMMYFUNCTION("""COMPUTED_VALUE"""),153)</f>
        <v>153</v>
      </c>
      <c r="B69" s="3"/>
      <c r="C69" s="3">
        <f ca="1">IFERROR(__xludf.DUMMYFUNCTION("""COMPUTED_VALUE"""),4050)</f>
        <v>4050</v>
      </c>
      <c r="D69" s="3" t="str">
        <f ca="1">IFERROR(__xludf.DUMMYFUNCTION("""COMPUTED_VALUE"""),"Doorlanta")</f>
        <v>Doorlanta</v>
      </c>
      <c r="E69" s="3" t="str">
        <f ca="1">IFERROR(__xludf.DUMMYFUNCTION("""COMPUTED_VALUE"""),"Galaxy A")</f>
        <v>Galaxy A</v>
      </c>
      <c r="F69" s="3" t="str">
        <f ca="1">IFERROR(__xludf.DUMMYFUNCTION("""COMPUTED_VALUE"""),"Ash")</f>
        <v>Ash</v>
      </c>
      <c r="G69" s="3">
        <f ca="1">IFERROR(__xludf.DUMMYFUNCTION("""COMPUTED_VALUE"""),0)</f>
        <v>0</v>
      </c>
      <c r="H69" s="3" t="str">
        <f ca="1">IFERROR(__xludf.DUMMYFUNCTION("""COMPUTED_VALUE"""),"car")</f>
        <v>car</v>
      </c>
      <c r="I69" s="3" t="str">
        <f ca="1">IFERROR(__xludf.DUMMYFUNCTION("""COMPUTED_VALUE"""),"2055-06-02T18:40:01.798815Z")</f>
        <v>2055-06-02T18:40:01.798815Z</v>
      </c>
      <c r="J69" s="3" t="str">
        <f ca="1">IFERROR(__xludf.DUMMYFUNCTION("""COMPUTED_VALUE"""),"2055-06-02T19:35:01.899Z")</f>
        <v>2055-06-02T19:35:01.899Z</v>
      </c>
      <c r="K69" s="3" t="str">
        <f ca="1">IFERROR(__xludf.DUMMYFUNCTION("""COMPUTED_VALUE"""),"2055-06-02T19:14:37.899Z")</f>
        <v>2055-06-02T19:14:37.899Z</v>
      </c>
      <c r="L69" s="3">
        <f ca="1">IFERROR(__xludf.DUMMYFUNCTION("""COMPUTED_VALUE"""),1)</f>
        <v>1</v>
      </c>
      <c r="M69" s="3">
        <f ca="1">IFERROR(__xludf.DUMMYFUNCTION("""COMPUTED_VALUE"""),0)</f>
        <v>0</v>
      </c>
      <c r="N69" s="3" t="str">
        <f ca="1">IFERROR(__xludf.DUMMYFUNCTION("""COMPUTED_VALUE"""),"2055-06-02T19:09:43.849404Z")</f>
        <v>2055-06-02T19:09:43.849404Z</v>
      </c>
      <c r="O69" s="3" t="str">
        <f ca="1">IFERROR(__xludf.DUMMYFUNCTION("""COMPUTED_VALUE"""),"2055-06-02T19:40:11.024336Z")</f>
        <v>2055-06-02T19:40:11.024336Z</v>
      </c>
      <c r="P69" s="3" t="str">
        <f ca="1">IFERROR(__xludf.DUMMYFUNCTION("""COMPUTED_VALUE"""),"2055-06-02T18:46:07.706514Z")</f>
        <v>2055-06-02T18:46:07.706514Z</v>
      </c>
      <c r="Q69" s="3">
        <f ca="1">IFERROR(__xludf.DUMMYFUNCTION("""COMPUTED_VALUE"""),0)</f>
        <v>0</v>
      </c>
      <c r="R69" s="3" t="str">
        <f ca="1">IFERROR(__xludf.DUMMYFUNCTION("""COMPUTED_VALUE"""),"2055-06-02T18:46:47.014582Z")</f>
        <v>2055-06-02T18:46:47.014582Z</v>
      </c>
      <c r="S69" s="3" t="str">
        <f ca="1">IFERROR(__xludf.DUMMYFUNCTION("""COMPUTED_VALUE"""),"2055-06-02T18:59:15.836887Z")</f>
        <v>2055-06-02T18:59:15.836887Z</v>
      </c>
      <c r="T69" s="3"/>
      <c r="U69" s="4">
        <f ca="1">IFERROR(__xludf.DUMMYFUNCTION("""COMPUTED_VALUE"""),56767)</f>
        <v>56767</v>
      </c>
      <c r="V69" s="3">
        <f ca="1">IFERROR(__xludf.DUMMYFUNCTION("""COMPUTED_VALUE"""),4.6)</f>
        <v>4.5999999999999996</v>
      </c>
      <c r="W69" s="3">
        <f ca="1">IFERROR(__xludf.DUMMYFUNCTION("""COMPUTED_VALUE"""),6500)</f>
        <v>6500</v>
      </c>
      <c r="X69" s="3">
        <f ca="1">IFERROR(__xludf.DUMMYFUNCTION("""COMPUTED_VALUE"""),3204)</f>
        <v>3204</v>
      </c>
      <c r="Y69" s="3">
        <f ca="1">IFERROR(__xludf.DUMMYFUNCTION("""COMPUTED_VALUE"""),748)</f>
        <v>748</v>
      </c>
      <c r="Z69" s="3">
        <f ca="1">IFERROR(__xludf.DUMMYFUNCTION("""COMPUTED_VALUE"""),628)</f>
        <v>628</v>
      </c>
      <c r="AA69" s="3">
        <f ca="1">IFERROR(__xludf.DUMMYFUNCTION("""COMPUTED_VALUE"""),1828)</f>
        <v>1828</v>
      </c>
      <c r="AB69" s="3">
        <f ca="1">IFERROR(__xludf.DUMMYFUNCTION("""COMPUTED_VALUE"""),0)</f>
        <v>0</v>
      </c>
      <c r="AC69" s="3">
        <f ca="1">IFERROR(__xludf.DUMMYFUNCTION("""COMPUTED_VALUE"""),9)</f>
        <v>9</v>
      </c>
      <c r="AD69" s="3" t="str">
        <f ca="1">IFERROR(__xludf.DUMMYFUNCTION("""COMPUTED_VALUE"""),"on time")</f>
        <v>on time</v>
      </c>
      <c r="AE69" s="3" t="str">
        <f ca="1">IFERROR(__xludf.DUMMYFUNCTION("""COMPUTED_VALUE"""),"2055-06-02T15:09:43.849404Z")</f>
        <v>2055-06-02T15:09:43.849404Z</v>
      </c>
      <c r="AF69" s="3" t="str">
        <f ca="1">IFERROR(__xludf.DUMMYFUNCTION("""COMPUTED_VALUE"""),"2055-06-02T15:40:11.024336Z")</f>
        <v>2055-06-02T15:40:11.024336Z</v>
      </c>
      <c r="AG69" s="3" t="str">
        <f ca="1">IFERROR(__xludf.DUMMYFUNCTION("""COMPUTED_VALUE"""),"2055-06-02T14:46:07.706514Z")</f>
        <v>2055-06-02T14:46:07.706514Z</v>
      </c>
      <c r="AH69" s="3" t="str">
        <f ca="1">IFERROR(__xludf.DUMMYFUNCTION("""COMPUTED_VALUE"""),"2055-06-02T14:59:15.836887Z")</f>
        <v>2055-06-02T14:59:15.836887Z</v>
      </c>
      <c r="AI69" s="3">
        <f ca="1">IFERROR(__xludf.DUMMYFUNCTION("""COMPUTED_VALUE"""),4.66)</f>
        <v>4.66</v>
      </c>
      <c r="AJ69" s="3">
        <f ca="1">IFERROR(__xludf.DUMMYFUNCTION("""COMPUTED_VALUE"""),161)</f>
        <v>161</v>
      </c>
      <c r="AK69" s="3">
        <f ca="1">IFERROR(__xludf.DUMMYFUNCTION("""COMPUTED_VALUE"""),398)</f>
        <v>398</v>
      </c>
      <c r="AL69" s="3"/>
    </row>
    <row r="70" spans="1:38" ht="13">
      <c r="A70" s="3">
        <f ca="1">IFERROR(__xludf.DUMMYFUNCTION("""COMPUTED_VALUE"""),787)</f>
        <v>787</v>
      </c>
      <c r="B70" s="3">
        <f ca="1">IFERROR(__xludf.DUMMYFUNCTION("""COMPUTED_VALUE"""),5)</f>
        <v>5</v>
      </c>
      <c r="C70" s="3">
        <f ca="1">IFERROR(__xludf.DUMMYFUNCTION("""COMPUTED_VALUE"""),4050)</f>
        <v>4050</v>
      </c>
      <c r="D70" s="3" t="str">
        <f ca="1">IFERROR(__xludf.DUMMYFUNCTION("""COMPUTED_VALUE"""),"Doorlanta")</f>
        <v>Doorlanta</v>
      </c>
      <c r="E70" s="3" t="str">
        <f ca="1">IFERROR(__xludf.DUMMYFUNCTION("""COMPUTED_VALUE"""),"Galaxy A")</f>
        <v>Galaxy A</v>
      </c>
      <c r="F70" s="3" t="str">
        <f ca="1">IFERROR(__xludf.DUMMYFUNCTION("""COMPUTED_VALUE"""),"Jagar")</f>
        <v>Jagar</v>
      </c>
      <c r="G70" s="3">
        <f ca="1">IFERROR(__xludf.DUMMYFUNCTION("""COMPUTED_VALUE"""),0)</f>
        <v>0</v>
      </c>
      <c r="H70" s="3" t="str">
        <f ca="1">IFERROR(__xludf.DUMMYFUNCTION("""COMPUTED_VALUE"""),"car")</f>
        <v>car</v>
      </c>
      <c r="I70" s="3" t="str">
        <f ca="1">IFERROR(__xludf.DUMMYFUNCTION("""COMPUTED_VALUE"""),"2055-06-06T23:13:15.08235Z")</f>
        <v>2055-06-06T23:13:15.08235Z</v>
      </c>
      <c r="J70" s="3" t="str">
        <f ca="1">IFERROR(__xludf.DUMMYFUNCTION("""COMPUTED_VALUE"""),"2055-06-07T00:08:15.171Z")</f>
        <v>2055-06-07T00:08:15.171Z</v>
      </c>
      <c r="K70" s="3" t="str">
        <f ca="1">IFERROR(__xludf.DUMMYFUNCTION("""COMPUTED_VALUE"""),"2055-06-06T23:47:51.171Z")</f>
        <v>2055-06-06T23:47:51.171Z</v>
      </c>
      <c r="L70" s="3">
        <f ca="1">IFERROR(__xludf.DUMMYFUNCTION("""COMPUTED_VALUE"""),1)</f>
        <v>1</v>
      </c>
      <c r="M70" s="3">
        <f ca="1">IFERROR(__xludf.DUMMYFUNCTION("""COMPUTED_VALUE"""),0)</f>
        <v>0</v>
      </c>
      <c r="N70" s="3" t="str">
        <f ca="1">IFERROR(__xludf.DUMMYFUNCTION("""COMPUTED_VALUE"""),"2055-06-06T23:44:10.208021Z")</f>
        <v>2055-06-06T23:44:10.208021Z</v>
      </c>
      <c r="O70" s="3" t="str">
        <f ca="1">IFERROR(__xludf.DUMMYFUNCTION("""COMPUTED_VALUE"""),"2055-06-06T23:50:42.185436Z")</f>
        <v>2055-06-06T23:50:42.185436Z</v>
      </c>
      <c r="P70" s="3" t="str">
        <f ca="1">IFERROR(__xludf.DUMMYFUNCTION("""COMPUTED_VALUE"""),"2055-06-06T23:13:27.306472Z")</f>
        <v>2055-06-06T23:13:27.306472Z</v>
      </c>
      <c r="Q70" s="3">
        <f ca="1">IFERROR(__xludf.DUMMYFUNCTION("""COMPUTED_VALUE"""),0)</f>
        <v>0</v>
      </c>
      <c r="R70" s="3" t="str">
        <f ca="1">IFERROR(__xludf.DUMMYFUNCTION("""COMPUTED_VALUE"""),"2055-06-06T23:13:33.752246Z")</f>
        <v>2055-06-06T23:13:33.752246Z</v>
      </c>
      <c r="S70" s="3" t="str">
        <f ca="1">IFERROR(__xludf.DUMMYFUNCTION("""COMPUTED_VALUE"""),"2055-06-06T23:23:05.402662Z")</f>
        <v>2055-06-06T23:23:05.402662Z</v>
      </c>
      <c r="T70" s="3"/>
      <c r="U70" s="4">
        <f ca="1">IFERROR(__xludf.DUMMYFUNCTION("""COMPUTED_VALUE"""),56771)</f>
        <v>56771</v>
      </c>
      <c r="V70" s="3">
        <f ca="1">IFERROR(__xludf.DUMMYFUNCTION("""COMPUTED_VALUE"""),4.7)</f>
        <v>4.7</v>
      </c>
      <c r="W70" s="3">
        <f ca="1">IFERROR(__xludf.DUMMYFUNCTION("""COMPUTED_VALUE"""),6500)</f>
        <v>6500</v>
      </c>
      <c r="X70" s="3">
        <f ca="1">IFERROR(__xludf.DUMMYFUNCTION("""COMPUTED_VALUE"""),2229)</f>
        <v>2229</v>
      </c>
      <c r="Y70" s="3">
        <f ca="1">IFERROR(__xludf.DUMMYFUNCTION("""COMPUTED_VALUE"""),572)</f>
        <v>572</v>
      </c>
      <c r="Z70" s="3">
        <f ca="1">IFERROR(__xludf.DUMMYFUNCTION("""COMPUTED_VALUE"""),1265)</f>
        <v>1265</v>
      </c>
      <c r="AA70" s="3">
        <f ca="1">IFERROR(__xludf.DUMMYFUNCTION("""COMPUTED_VALUE"""),392)</f>
        <v>392</v>
      </c>
      <c r="AB70" s="3">
        <f ca="1">IFERROR(__xludf.DUMMYFUNCTION("""COMPUTED_VALUE"""),0)</f>
        <v>0</v>
      </c>
      <c r="AC70" s="3">
        <f ca="1">IFERROR(__xludf.DUMMYFUNCTION("""COMPUTED_VALUE"""),7)</f>
        <v>7</v>
      </c>
      <c r="AD70" s="3" t="str">
        <f ca="1">IFERROR(__xludf.DUMMYFUNCTION("""COMPUTED_VALUE"""),"early")</f>
        <v>early</v>
      </c>
      <c r="AE70" s="3" t="str">
        <f ca="1">IFERROR(__xludf.DUMMYFUNCTION("""COMPUTED_VALUE"""),"2055-06-06T19:44:10.208021Z")</f>
        <v>2055-06-06T19:44:10.208021Z</v>
      </c>
      <c r="AF70" s="3" t="str">
        <f ca="1">IFERROR(__xludf.DUMMYFUNCTION("""COMPUTED_VALUE"""),"2055-06-06T19:50:42.185436Z")</f>
        <v>2055-06-06T19:50:42.185436Z</v>
      </c>
      <c r="AG70" s="3" t="str">
        <f ca="1">IFERROR(__xludf.DUMMYFUNCTION("""COMPUTED_VALUE"""),"2055-06-06T19:13:27.306472Z")</f>
        <v>2055-06-06T19:13:27.306472Z</v>
      </c>
      <c r="AH70" s="3" t="str">
        <f ca="1">IFERROR(__xludf.DUMMYFUNCTION("""COMPUTED_VALUE"""),"2055-06-06T19:23:05.402662Z")</f>
        <v>2055-06-06T19:23:05.402662Z</v>
      </c>
      <c r="AI70" s="3">
        <f ca="1">IFERROR(__xludf.DUMMYFUNCTION("""COMPUTED_VALUE"""),4.89)</f>
        <v>4.8899999999999997</v>
      </c>
      <c r="AJ70" s="3">
        <f ca="1">IFERROR(__xludf.DUMMYFUNCTION("""COMPUTED_VALUE"""),1778)</f>
        <v>1778</v>
      </c>
      <c r="AK70" s="3">
        <f ca="1">IFERROR(__xludf.DUMMYFUNCTION("""COMPUTED_VALUE"""),5138)</f>
        <v>5138</v>
      </c>
      <c r="AL70" s="3">
        <f ca="1">IFERROR(__xludf.DUMMYFUNCTION("""COMPUTED_VALUE"""),314)</f>
        <v>314</v>
      </c>
    </row>
    <row r="71" spans="1:38" ht="13">
      <c r="A71" s="3">
        <f ca="1">IFERROR(__xludf.DUMMYFUNCTION("""COMPUTED_VALUE"""),76)</f>
        <v>76</v>
      </c>
      <c r="B71" s="3">
        <f ca="1">IFERROR(__xludf.DUMMYFUNCTION("""COMPUTED_VALUE"""),5)</f>
        <v>5</v>
      </c>
      <c r="C71" s="3">
        <f ca="1">IFERROR(__xludf.DUMMYFUNCTION("""COMPUTED_VALUE"""),4001)</f>
        <v>4001</v>
      </c>
      <c r="D71" s="3" t="str">
        <f ca="1">IFERROR(__xludf.DUMMYFUNCTION("""COMPUTED_VALUE"""),"Dashattan")</f>
        <v>Dashattan</v>
      </c>
      <c r="E71" s="3" t="str">
        <f ca="1">IFERROR(__xludf.DUMMYFUNCTION("""COMPUTED_VALUE"""),"Galaxy A")</f>
        <v>Galaxy A</v>
      </c>
      <c r="F71" s="3" t="str">
        <f ca="1">IFERROR(__xludf.DUMMYFUNCTION("""COMPUTED_VALUE"""),"Arya")</f>
        <v>Arya</v>
      </c>
      <c r="G71" s="3">
        <f ca="1">IFERROR(__xludf.DUMMYFUNCTION("""COMPUTED_VALUE"""),0)</f>
        <v>0</v>
      </c>
      <c r="H71" s="3" t="str">
        <f ca="1">IFERROR(__xludf.DUMMYFUNCTION("""COMPUTED_VALUE"""),"bicycle")</f>
        <v>bicycle</v>
      </c>
      <c r="I71" s="3" t="str">
        <f ca="1">IFERROR(__xludf.DUMMYFUNCTION("""COMPUTED_VALUE"""),"2055-06-01T23:15:59.890797Z")</f>
        <v>2055-06-01T23:15:59.890797Z</v>
      </c>
      <c r="J71" s="3" t="str">
        <f ca="1">IFERROR(__xludf.DUMMYFUNCTION("""COMPUTED_VALUE"""),"2055-06-02T00:19:49.946Z")</f>
        <v>2055-06-02T00:19:49.946Z</v>
      </c>
      <c r="K71" s="3" t="str">
        <f ca="1">IFERROR(__xludf.DUMMYFUNCTION("""COMPUTED_VALUE"""),"2055-06-01T23:59:42.946Z")</f>
        <v>2055-06-01T23:59:42.946Z</v>
      </c>
      <c r="L71" s="3">
        <f ca="1">IFERROR(__xludf.DUMMYFUNCTION("""COMPUTED_VALUE"""),1)</f>
        <v>1</v>
      </c>
      <c r="M71" s="3">
        <f ca="1">IFERROR(__xludf.DUMMYFUNCTION("""COMPUTED_VALUE"""),0)</f>
        <v>0</v>
      </c>
      <c r="N71" s="3" t="str">
        <f ca="1">IFERROR(__xludf.DUMMYFUNCTION("""COMPUTED_VALUE"""),"2055-06-01T23:46:23.616337Z")</f>
        <v>2055-06-01T23:46:23.616337Z</v>
      </c>
      <c r="O71" s="3" t="str">
        <f ca="1">IFERROR(__xludf.DUMMYFUNCTION("""COMPUTED_VALUE"""),"2055-06-01T23:58:09.315998Z")</f>
        <v>2055-06-01T23:58:09.315998Z</v>
      </c>
      <c r="P71" s="3" t="str">
        <f ca="1">IFERROR(__xludf.DUMMYFUNCTION("""COMPUTED_VALUE"""),"2055-06-01T23:19:35.69061Z")</f>
        <v>2055-06-01T23:19:35.69061Z</v>
      </c>
      <c r="Q71" s="3">
        <f ca="1">IFERROR(__xludf.DUMMYFUNCTION("""COMPUTED_VALUE"""),0)</f>
        <v>0</v>
      </c>
      <c r="R71" s="3" t="str">
        <f ca="1">IFERROR(__xludf.DUMMYFUNCTION("""COMPUTED_VALUE"""),"2055-06-01T23:19:47.150457Z")</f>
        <v>2055-06-01T23:19:47.150457Z</v>
      </c>
      <c r="S71" s="3" t="str">
        <f ca="1">IFERROR(__xludf.DUMMYFUNCTION("""COMPUTED_VALUE"""),"2055-06-01T23:46:56.031314Z")</f>
        <v>2055-06-01T23:46:56.031314Z</v>
      </c>
      <c r="T71" s="3"/>
      <c r="U71" s="4">
        <f ca="1">IFERROR(__xludf.DUMMYFUNCTION("""COMPUTED_VALUE"""),56766)</f>
        <v>56766</v>
      </c>
      <c r="V71" s="3">
        <f ca="1">IFERROR(__xludf.DUMMYFUNCTION("""COMPUTED_VALUE"""),2.971304843)</f>
        <v>2.971304843</v>
      </c>
      <c r="W71" s="3">
        <f ca="1">IFERROR(__xludf.DUMMYFUNCTION("""COMPUTED_VALUE"""),6500)</f>
        <v>6500</v>
      </c>
      <c r="X71" s="3">
        <f ca="1">IFERROR(__xludf.DUMMYFUNCTION("""COMPUTED_VALUE"""),2302)</f>
        <v>2302</v>
      </c>
      <c r="Y71" s="3">
        <f ca="1">IFERROR(__xludf.DUMMYFUNCTION("""COMPUTED_VALUE"""),1629)</f>
        <v>1629</v>
      </c>
      <c r="Z71" s="3"/>
      <c r="AA71" s="3">
        <f ca="1">IFERROR(__xludf.DUMMYFUNCTION("""COMPUTED_VALUE"""),706)</f>
        <v>706</v>
      </c>
      <c r="AB71" s="3">
        <f ca="1">IFERROR(__xludf.DUMMYFUNCTION("""COMPUTED_VALUE"""),0)</f>
        <v>0</v>
      </c>
      <c r="AC71" s="3">
        <f ca="1">IFERROR(__xludf.DUMMYFUNCTION("""COMPUTED_VALUE"""),4)</f>
        <v>4</v>
      </c>
      <c r="AD71" s="3" t="str">
        <f ca="1">IFERROR(__xludf.DUMMYFUNCTION("""COMPUTED_VALUE"""),"late")</f>
        <v>late</v>
      </c>
      <c r="AE71" s="3" t="str">
        <f ca="1">IFERROR(__xludf.DUMMYFUNCTION("""COMPUTED_VALUE"""),"2055-06-01T19:46:23.616337Z")</f>
        <v>2055-06-01T19:46:23.616337Z</v>
      </c>
      <c r="AF71" s="3" t="str">
        <f ca="1">IFERROR(__xludf.DUMMYFUNCTION("""COMPUTED_VALUE"""),"2055-06-01T19:58:09.315998Z")</f>
        <v>2055-06-01T19:58:09.315998Z</v>
      </c>
      <c r="AG71" s="3" t="str">
        <f ca="1">IFERROR(__xludf.DUMMYFUNCTION("""COMPUTED_VALUE"""),"2055-06-01T19:19:35.69061Z")</f>
        <v>2055-06-01T19:19:35.69061Z</v>
      </c>
      <c r="AH71" s="3" t="str">
        <f ca="1">IFERROR(__xludf.DUMMYFUNCTION("""COMPUTED_VALUE"""),"2055-06-01T19:46:56.031314Z")</f>
        <v>2055-06-01T19:46:56.031314Z</v>
      </c>
      <c r="AI71" s="3">
        <f ca="1">IFERROR(__xludf.DUMMYFUNCTION("""COMPUTED_VALUE"""),4.17)</f>
        <v>4.17</v>
      </c>
      <c r="AJ71" s="3">
        <f ca="1">IFERROR(__xludf.DUMMYFUNCTION("""COMPUTED_VALUE"""),457)</f>
        <v>457</v>
      </c>
      <c r="AK71" s="3">
        <f ca="1">IFERROR(__xludf.DUMMYFUNCTION("""COMPUTED_VALUE"""),1599)</f>
        <v>1599</v>
      </c>
      <c r="AL71" s="3"/>
    </row>
    <row r="72" spans="1:38" ht="13">
      <c r="A72" s="3">
        <f ca="1">IFERROR(__xludf.DUMMYFUNCTION("""COMPUTED_VALUE"""),617)</f>
        <v>617</v>
      </c>
      <c r="B72" s="3"/>
      <c r="C72" s="3">
        <f ca="1">IFERROR(__xludf.DUMMYFUNCTION("""COMPUTED_VALUE"""),4001)</f>
        <v>4001</v>
      </c>
      <c r="D72" s="3" t="str">
        <f ca="1">IFERROR(__xludf.DUMMYFUNCTION("""COMPUTED_VALUE"""),"Dashattan")</f>
        <v>Dashattan</v>
      </c>
      <c r="E72" s="3" t="str">
        <f ca="1">IFERROR(__xludf.DUMMYFUNCTION("""COMPUTED_VALUE"""),"Galaxy A")</f>
        <v>Galaxy A</v>
      </c>
      <c r="F72" s="3" t="str">
        <f ca="1">IFERROR(__xludf.DUMMYFUNCTION("""COMPUTED_VALUE"""),"Samm")</f>
        <v>Samm</v>
      </c>
      <c r="G72" s="3">
        <f ca="1">IFERROR(__xludf.DUMMYFUNCTION("""COMPUTED_VALUE"""),0)</f>
        <v>0</v>
      </c>
      <c r="H72" s="3" t="str">
        <f ca="1">IFERROR(__xludf.DUMMYFUNCTION("""COMPUTED_VALUE"""),"car")</f>
        <v>car</v>
      </c>
      <c r="I72" s="3" t="str">
        <f ca="1">IFERROR(__xludf.DUMMYFUNCTION("""COMPUTED_VALUE"""),"2055-06-05T20:55:41.089433Z")</f>
        <v>2055-06-05T20:55:41.089433Z</v>
      </c>
      <c r="J72" s="3" t="str">
        <f ca="1">IFERROR(__xludf.DUMMYFUNCTION("""COMPUTED_VALUE"""),"2055-06-05T21:50:37.156Z")</f>
        <v>2055-06-05T21:50:37.156Z</v>
      </c>
      <c r="K72" s="3" t="str">
        <f ca="1">IFERROR(__xludf.DUMMYFUNCTION("""COMPUTED_VALUE"""),"2055-06-05T21:31:44.156Z")</f>
        <v>2055-06-05T21:31:44.156Z</v>
      </c>
      <c r="L72" s="3">
        <f ca="1">IFERROR(__xludf.DUMMYFUNCTION("""COMPUTED_VALUE"""),1)</f>
        <v>1</v>
      </c>
      <c r="M72" s="3">
        <f ca="1">IFERROR(__xludf.DUMMYFUNCTION("""COMPUTED_VALUE"""),0)</f>
        <v>0</v>
      </c>
      <c r="N72" s="3" t="str">
        <f ca="1">IFERROR(__xludf.DUMMYFUNCTION("""COMPUTED_VALUE"""),"2055-06-05T21:17:44.687828Z")</f>
        <v>2055-06-05T21:17:44.687828Z</v>
      </c>
      <c r="O72" s="3" t="str">
        <f ca="1">IFERROR(__xludf.DUMMYFUNCTION("""COMPUTED_VALUE"""),"2055-06-05T21:23:57.42603Z")</f>
        <v>2055-06-05T21:23:57.42603Z</v>
      </c>
      <c r="P72" s="3" t="str">
        <f ca="1">IFERROR(__xludf.DUMMYFUNCTION("""COMPUTED_VALUE"""),"2055-06-05T21:03:34.368469Z")</f>
        <v>2055-06-05T21:03:34.368469Z</v>
      </c>
      <c r="Q72" s="3">
        <f ca="1">IFERROR(__xludf.DUMMYFUNCTION("""COMPUTED_VALUE"""),0)</f>
        <v>0</v>
      </c>
      <c r="R72" s="3" t="str">
        <f ca="1">IFERROR(__xludf.DUMMYFUNCTION("""COMPUTED_VALUE"""),"2055-06-05T21:03:40.919625Z")</f>
        <v>2055-06-05T21:03:40.919625Z</v>
      </c>
      <c r="S72" s="3" t="str">
        <f ca="1">IFERROR(__xludf.DUMMYFUNCTION("""COMPUTED_VALUE"""),"2055-06-05T21:09:12.455718Z")</f>
        <v>2055-06-05T21:09:12.455718Z</v>
      </c>
      <c r="T72" s="3"/>
      <c r="U72" s="4">
        <f ca="1">IFERROR(__xludf.DUMMYFUNCTION("""COMPUTED_VALUE"""),56770)</f>
        <v>56770</v>
      </c>
      <c r="V72" s="3">
        <f ca="1">IFERROR(__xludf.DUMMYFUNCTION("""COMPUTED_VALUE"""),4.6)</f>
        <v>4.5999999999999996</v>
      </c>
      <c r="W72" s="3">
        <f ca="1">IFERROR(__xludf.DUMMYFUNCTION("""COMPUTED_VALUE"""),6500)</f>
        <v>6500</v>
      </c>
      <c r="X72" s="3">
        <f ca="1">IFERROR(__xludf.DUMMYFUNCTION("""COMPUTED_VALUE"""),1217)</f>
        <v>1217</v>
      </c>
      <c r="Y72" s="3">
        <f ca="1">IFERROR(__xludf.DUMMYFUNCTION("""COMPUTED_VALUE"""),332)</f>
        <v>332</v>
      </c>
      <c r="Z72" s="3">
        <f ca="1">IFERROR(__xludf.DUMMYFUNCTION("""COMPUTED_VALUE"""),512)</f>
        <v>512</v>
      </c>
      <c r="AA72" s="3">
        <f ca="1">IFERROR(__xludf.DUMMYFUNCTION("""COMPUTED_VALUE"""),373)</f>
        <v>373</v>
      </c>
      <c r="AB72" s="3">
        <f ca="1">IFERROR(__xludf.DUMMYFUNCTION("""COMPUTED_VALUE"""),0)</f>
        <v>0</v>
      </c>
      <c r="AC72" s="3">
        <f ca="1">IFERROR(__xludf.DUMMYFUNCTION("""COMPUTED_VALUE"""),8)</f>
        <v>8</v>
      </c>
      <c r="AD72" s="3" t="str">
        <f ca="1">IFERROR(__xludf.DUMMYFUNCTION("""COMPUTED_VALUE"""),"early")</f>
        <v>early</v>
      </c>
      <c r="AE72" s="3" t="str">
        <f ca="1">IFERROR(__xludf.DUMMYFUNCTION("""COMPUTED_VALUE"""),"2055-06-05T17:17:44.687828Z")</f>
        <v>2055-06-05T17:17:44.687828Z</v>
      </c>
      <c r="AF72" s="3" t="str">
        <f ca="1">IFERROR(__xludf.DUMMYFUNCTION("""COMPUTED_VALUE"""),"2055-06-05T17:23:57.42603Z")</f>
        <v>2055-06-05T17:23:57.42603Z</v>
      </c>
      <c r="AG72" s="3" t="str">
        <f ca="1">IFERROR(__xludf.DUMMYFUNCTION("""COMPUTED_VALUE"""),"2055-06-05T17:03:34.368469Z")</f>
        <v>2055-06-05T17:03:34.368469Z</v>
      </c>
      <c r="AH72" s="3" t="str">
        <f ca="1">IFERROR(__xludf.DUMMYFUNCTION("""COMPUTED_VALUE"""),"2055-06-05T17:09:12.455718Z")</f>
        <v>2055-06-05T17:09:12.455718Z</v>
      </c>
      <c r="AI72" s="3">
        <f ca="1">IFERROR(__xludf.DUMMYFUNCTION("""COMPUTED_VALUE"""),4.03)</f>
        <v>4.03</v>
      </c>
      <c r="AJ72" s="3">
        <f ca="1">IFERROR(__xludf.DUMMYFUNCTION("""COMPUTED_VALUE"""),505)</f>
        <v>505</v>
      </c>
      <c r="AK72" s="3">
        <f ca="1">IFERROR(__xludf.DUMMYFUNCTION("""COMPUTED_VALUE"""),1721)</f>
        <v>1721</v>
      </c>
      <c r="AL72" s="3">
        <f ca="1">IFERROR(__xludf.DUMMYFUNCTION("""COMPUTED_VALUE"""),457)</f>
        <v>457</v>
      </c>
    </row>
    <row r="73" spans="1:38" ht="13">
      <c r="A73" s="3">
        <f ca="1">IFERROR(__xludf.DUMMYFUNCTION("""COMPUTED_VALUE"""),18)</f>
        <v>18</v>
      </c>
      <c r="B73" s="3"/>
      <c r="C73" s="3">
        <f ca="1">IFERROR(__xludf.DUMMYFUNCTION("""COMPUTED_VALUE"""),4001)</f>
        <v>4001</v>
      </c>
      <c r="D73" s="3" t="str">
        <f ca="1">IFERROR(__xludf.DUMMYFUNCTION("""COMPUTED_VALUE"""),"Dashattan")</f>
        <v>Dashattan</v>
      </c>
      <c r="E73" s="3" t="str">
        <f ca="1">IFERROR(__xludf.DUMMYFUNCTION("""COMPUTED_VALUE"""),"Galaxy A")</f>
        <v>Galaxy A</v>
      </c>
      <c r="F73" s="3" t="str">
        <f ca="1">IFERROR(__xludf.DUMMYFUNCTION("""COMPUTED_VALUE"""),"Arya")</f>
        <v>Arya</v>
      </c>
      <c r="G73" s="3">
        <f ca="1">IFERROR(__xludf.DUMMYFUNCTION("""COMPUTED_VALUE"""),0)</f>
        <v>0</v>
      </c>
      <c r="H73" s="3" t="str">
        <f ca="1">IFERROR(__xludf.DUMMYFUNCTION("""COMPUTED_VALUE"""),"bicycle")</f>
        <v>bicycle</v>
      </c>
      <c r="I73" s="3" t="str">
        <f ca="1">IFERROR(__xludf.DUMMYFUNCTION("""COMPUTED_VALUE"""),"2055-06-01T16:26:07.096308Z")</f>
        <v>2055-06-01T16:26:07.096308Z</v>
      </c>
      <c r="J73" s="3" t="str">
        <f ca="1">IFERROR(__xludf.DUMMYFUNCTION("""COMPUTED_VALUE"""),"2055-06-01T17:26:41.146Z")</f>
        <v>2055-06-01T17:26:41.146Z</v>
      </c>
      <c r="K73" s="3" t="str">
        <f ca="1">IFERROR(__xludf.DUMMYFUNCTION("""COMPUTED_VALUE"""),"2055-06-01T17:04:47.146Z")</f>
        <v>2055-06-01T17:04:47.146Z</v>
      </c>
      <c r="L73" s="3">
        <f ca="1">IFERROR(__xludf.DUMMYFUNCTION("""COMPUTED_VALUE"""),1)</f>
        <v>1</v>
      </c>
      <c r="M73" s="3">
        <f ca="1">IFERROR(__xludf.DUMMYFUNCTION("""COMPUTED_VALUE"""),0)</f>
        <v>0</v>
      </c>
      <c r="N73" s="3" t="str">
        <f ca="1">IFERROR(__xludf.DUMMYFUNCTION("""COMPUTED_VALUE"""),"2055-06-01T18:03:27.81939Z")</f>
        <v>2055-06-01T18:03:27.81939Z</v>
      </c>
      <c r="O73" s="3" t="str">
        <f ca="1">IFERROR(__xludf.DUMMYFUNCTION("""COMPUTED_VALUE"""),"2055-06-01T18:19:22.204981Z")</f>
        <v>2055-06-01T18:19:22.204981Z</v>
      </c>
      <c r="P73" s="3" t="str">
        <f ca="1">IFERROR(__xludf.DUMMYFUNCTION("""COMPUTED_VALUE"""),"2055-06-01T16:38:55.511824Z")</f>
        <v>2055-06-01T16:38:55.511824Z</v>
      </c>
      <c r="Q73" s="3">
        <f ca="1">IFERROR(__xludf.DUMMYFUNCTION("""COMPUTED_VALUE"""),0)</f>
        <v>0</v>
      </c>
      <c r="R73" s="3" t="str">
        <f ca="1">IFERROR(__xludf.DUMMYFUNCTION("""COMPUTED_VALUE"""),"2055-06-01T16:39:06.498299Z")</f>
        <v>2055-06-01T16:39:06.498299Z</v>
      </c>
      <c r="S73" s="3" t="str">
        <f ca="1">IFERROR(__xludf.DUMMYFUNCTION("""COMPUTED_VALUE"""),"2055-06-01T17:11:34.812866Z")</f>
        <v>2055-06-01T17:11:34.812866Z</v>
      </c>
      <c r="T73" s="3"/>
      <c r="U73" s="4">
        <f ca="1">IFERROR(__xludf.DUMMYFUNCTION("""COMPUTED_VALUE"""),56766)</f>
        <v>56766</v>
      </c>
      <c r="V73" s="3">
        <f ca="1">IFERROR(__xludf.DUMMYFUNCTION("""COMPUTED_VALUE"""),4.5)</f>
        <v>4.5</v>
      </c>
      <c r="W73" s="3">
        <f ca="1">IFERROR(__xludf.DUMMYFUNCTION("""COMPUTED_VALUE"""),6500)</f>
        <v>6500</v>
      </c>
      <c r="X73" s="3">
        <f ca="1">IFERROR(__xludf.DUMMYFUNCTION("""COMPUTED_VALUE"""),6016)</f>
        <v>6016</v>
      </c>
      <c r="Y73" s="3">
        <f ca="1">IFERROR(__xludf.DUMMYFUNCTION("""COMPUTED_VALUE"""),1948)</f>
        <v>1948</v>
      </c>
      <c r="Z73" s="3">
        <f ca="1">IFERROR(__xludf.DUMMYFUNCTION("""COMPUTED_VALUE"""),3113)</f>
        <v>3113</v>
      </c>
      <c r="AA73" s="3">
        <f ca="1">IFERROR(__xludf.DUMMYFUNCTION("""COMPUTED_VALUE"""),955)</f>
        <v>955</v>
      </c>
      <c r="AB73" s="3">
        <f ca="1">IFERROR(__xludf.DUMMYFUNCTION("""COMPUTED_VALUE"""),1)</f>
        <v>1</v>
      </c>
      <c r="AC73" s="3">
        <f ca="1">IFERROR(__xludf.DUMMYFUNCTION("""COMPUTED_VALUE"""),5)</f>
        <v>5</v>
      </c>
      <c r="AD73" s="3"/>
      <c r="AE73" s="3" t="str">
        <f ca="1">IFERROR(__xludf.DUMMYFUNCTION("""COMPUTED_VALUE"""),"2055-06-01T14:03:27.81939Z")</f>
        <v>2055-06-01T14:03:27.81939Z</v>
      </c>
      <c r="AF73" s="3" t="str">
        <f ca="1">IFERROR(__xludf.DUMMYFUNCTION("""COMPUTED_VALUE"""),"2055-06-01T14:19:22.204981Z")</f>
        <v>2055-06-01T14:19:22.204981Z</v>
      </c>
      <c r="AG73" s="3" t="str">
        <f ca="1">IFERROR(__xludf.DUMMYFUNCTION("""COMPUTED_VALUE"""),"2055-06-01T12:38:55.511824Z")</f>
        <v>2055-06-01T12:38:55.511824Z</v>
      </c>
      <c r="AH73" s="3" t="str">
        <f ca="1">IFERROR(__xludf.DUMMYFUNCTION("""COMPUTED_VALUE"""),"2055-06-01T13:11:34.812866Z")</f>
        <v>2055-06-01T13:11:34.812866Z</v>
      </c>
      <c r="AI73" s="3">
        <f ca="1">IFERROR(__xludf.DUMMYFUNCTION("""COMPUTED_VALUE"""),4.17)</f>
        <v>4.17</v>
      </c>
      <c r="AJ73" s="3">
        <f ca="1">IFERROR(__xludf.DUMMYFUNCTION("""COMPUTED_VALUE"""),457)</f>
        <v>457</v>
      </c>
      <c r="AK73" s="3">
        <f ca="1">IFERROR(__xludf.DUMMYFUNCTION("""COMPUTED_VALUE"""),1599)</f>
        <v>1599</v>
      </c>
      <c r="AL73" s="3"/>
    </row>
    <row r="74" spans="1:38" ht="13">
      <c r="A74" s="3">
        <f ca="1">IFERROR(__xludf.DUMMYFUNCTION("""COMPUTED_VALUE"""),642)</f>
        <v>642</v>
      </c>
      <c r="B74" s="3"/>
      <c r="C74" s="3">
        <f ca="1">IFERROR(__xludf.DUMMYFUNCTION("""COMPUTED_VALUE"""),4001)</f>
        <v>4001</v>
      </c>
      <c r="D74" s="3" t="str">
        <f ca="1">IFERROR(__xludf.DUMMYFUNCTION("""COMPUTED_VALUE"""),"Dashattan")</f>
        <v>Dashattan</v>
      </c>
      <c r="E74" s="3" t="str">
        <f ca="1">IFERROR(__xludf.DUMMYFUNCTION("""COMPUTED_VALUE"""),"Galaxy A")</f>
        <v>Galaxy A</v>
      </c>
      <c r="F74" s="3" t="str">
        <f ca="1">IFERROR(__xludf.DUMMYFUNCTION("""COMPUTED_VALUE"""),"Arya")</f>
        <v>Arya</v>
      </c>
      <c r="G74" s="3">
        <f ca="1">IFERROR(__xludf.DUMMYFUNCTION("""COMPUTED_VALUE"""),0)</f>
        <v>0</v>
      </c>
      <c r="H74" s="3" t="str">
        <f ca="1">IFERROR(__xludf.DUMMYFUNCTION("""COMPUTED_VALUE"""),"bicycle")</f>
        <v>bicycle</v>
      </c>
      <c r="I74" s="3" t="str">
        <f ca="1">IFERROR(__xludf.DUMMYFUNCTION("""COMPUTED_VALUE"""),"2055-06-05T22:14:17.455412Z")</f>
        <v>2055-06-05T22:14:17.455412Z</v>
      </c>
      <c r="J74" s="3" t="str">
        <f ca="1">IFERROR(__xludf.DUMMYFUNCTION("""COMPUTED_VALUE"""),"2055-06-05T23:07:12.515Z")</f>
        <v>2055-06-05T23:07:12.515Z</v>
      </c>
      <c r="K74" s="3" t="str">
        <f ca="1">IFERROR(__xludf.DUMMYFUNCTION("""COMPUTED_VALUE"""),"2055-06-05T22:47:33.515Z")</f>
        <v>2055-06-05T22:47:33.515Z</v>
      </c>
      <c r="L74" s="3">
        <f ca="1">IFERROR(__xludf.DUMMYFUNCTION("""COMPUTED_VALUE"""),1)</f>
        <v>1</v>
      </c>
      <c r="M74" s="3">
        <f ca="1">IFERROR(__xludf.DUMMYFUNCTION("""COMPUTED_VALUE"""),0)</f>
        <v>0</v>
      </c>
      <c r="N74" s="3" t="str">
        <f ca="1">IFERROR(__xludf.DUMMYFUNCTION("""COMPUTED_VALUE"""),"2055-06-05T23:18:38.663598Z")</f>
        <v>2055-06-05T23:18:38.663598Z</v>
      </c>
      <c r="O74" s="3" t="str">
        <f ca="1">IFERROR(__xludf.DUMMYFUNCTION("""COMPUTED_VALUE"""),"2055-06-05T23:25:46.410021Z")</f>
        <v>2055-06-05T23:25:46.410021Z</v>
      </c>
      <c r="P74" s="3" t="str">
        <f ca="1">IFERROR(__xludf.DUMMYFUNCTION("""COMPUTED_VALUE"""),"2055-06-05T22:18:35.809313Z")</f>
        <v>2055-06-05T22:18:35.809313Z</v>
      </c>
      <c r="Q74" s="3">
        <f ca="1">IFERROR(__xludf.DUMMYFUNCTION("""COMPUTED_VALUE"""),0)</f>
        <v>0</v>
      </c>
      <c r="R74" s="3" t="str">
        <f ca="1">IFERROR(__xludf.DUMMYFUNCTION("""COMPUTED_VALUE"""),"2055-06-05T22:19:12.417821Z")</f>
        <v>2055-06-05T22:19:12.417821Z</v>
      </c>
      <c r="S74" s="3" t="str">
        <f ca="1">IFERROR(__xludf.DUMMYFUNCTION("""COMPUTED_VALUE"""),"2055-06-05T23:12:22.922442Z")</f>
        <v>2055-06-05T23:12:22.922442Z</v>
      </c>
      <c r="T74" s="3"/>
      <c r="U74" s="4">
        <f ca="1">IFERROR(__xludf.DUMMYFUNCTION("""COMPUTED_VALUE"""),56770)</f>
        <v>56770</v>
      </c>
      <c r="V74" s="3">
        <f ca="1">IFERROR(__xludf.DUMMYFUNCTION("""COMPUTED_VALUE"""),4.119878315)</f>
        <v>4.1198783150000002</v>
      </c>
      <c r="W74" s="3">
        <f ca="1">IFERROR(__xludf.DUMMYFUNCTION("""COMPUTED_VALUE"""),5500)</f>
        <v>5500</v>
      </c>
      <c r="X74" s="3">
        <f ca="1">IFERROR(__xludf.DUMMYFUNCTION("""COMPUTED_VALUE"""),3994)</f>
        <v>3994</v>
      </c>
      <c r="Y74" s="3">
        <f ca="1">IFERROR(__xludf.DUMMYFUNCTION("""COMPUTED_VALUE"""),3190)</f>
        <v>3190</v>
      </c>
      <c r="Z74" s="3">
        <f ca="1">IFERROR(__xludf.DUMMYFUNCTION("""COMPUTED_VALUE"""),376)</f>
        <v>376</v>
      </c>
      <c r="AA74" s="3">
        <f ca="1">IFERROR(__xludf.DUMMYFUNCTION("""COMPUTED_VALUE"""),428)</f>
        <v>428</v>
      </c>
      <c r="AB74" s="3">
        <f ca="1">IFERROR(__xludf.DUMMYFUNCTION("""COMPUTED_VALUE"""),1)</f>
        <v>1</v>
      </c>
      <c r="AC74" s="3">
        <f ca="1">IFERROR(__xludf.DUMMYFUNCTION("""COMPUTED_VALUE"""),3)</f>
        <v>3</v>
      </c>
      <c r="AD74" s="3"/>
      <c r="AE74" s="3" t="str">
        <f ca="1">IFERROR(__xludf.DUMMYFUNCTION("""COMPUTED_VALUE"""),"2055-06-05T19:18:38.663598Z")</f>
        <v>2055-06-05T19:18:38.663598Z</v>
      </c>
      <c r="AF74" s="3" t="str">
        <f ca="1">IFERROR(__xludf.DUMMYFUNCTION("""COMPUTED_VALUE"""),"2055-06-05T19:25:46.410021Z")</f>
        <v>2055-06-05T19:25:46.410021Z</v>
      </c>
      <c r="AG74" s="3" t="str">
        <f ca="1">IFERROR(__xludf.DUMMYFUNCTION("""COMPUTED_VALUE"""),"2055-06-05T18:18:35.809313Z")</f>
        <v>2055-06-05T18:18:35.809313Z</v>
      </c>
      <c r="AH74" s="3" t="str">
        <f ca="1">IFERROR(__xludf.DUMMYFUNCTION("""COMPUTED_VALUE"""),"2055-06-05T19:12:22.922442Z")</f>
        <v>2055-06-05T19:12:22.922442Z</v>
      </c>
      <c r="AI74" s="3">
        <f ca="1">IFERROR(__xludf.DUMMYFUNCTION("""COMPUTED_VALUE"""),4.17)</f>
        <v>4.17</v>
      </c>
      <c r="AJ74" s="3">
        <f ca="1">IFERROR(__xludf.DUMMYFUNCTION("""COMPUTED_VALUE"""),457)</f>
        <v>457</v>
      </c>
      <c r="AK74" s="3">
        <f ca="1">IFERROR(__xludf.DUMMYFUNCTION("""COMPUTED_VALUE"""),1599)</f>
        <v>1599</v>
      </c>
      <c r="AL74" s="3"/>
    </row>
    <row r="75" spans="1:38" ht="13">
      <c r="A75" s="3">
        <f ca="1">IFERROR(__xludf.DUMMYFUNCTION("""COMPUTED_VALUE"""),743)</f>
        <v>743</v>
      </c>
      <c r="B75" s="3"/>
      <c r="C75" s="3">
        <f ca="1">IFERROR(__xludf.DUMMYFUNCTION("""COMPUTED_VALUE"""),4050)</f>
        <v>4050</v>
      </c>
      <c r="D75" s="3" t="str">
        <f ca="1">IFERROR(__xludf.DUMMYFUNCTION("""COMPUTED_VALUE"""),"Doorlanta")</f>
        <v>Doorlanta</v>
      </c>
      <c r="E75" s="3" t="str">
        <f ca="1">IFERROR(__xludf.DUMMYFUNCTION("""COMPUTED_VALUE"""),"Galaxy A")</f>
        <v>Galaxy A</v>
      </c>
      <c r="F75" s="3" t="str">
        <f ca="1">IFERROR(__xludf.DUMMYFUNCTION("""COMPUTED_VALUE"""),"Faud")</f>
        <v>Faud</v>
      </c>
      <c r="G75" s="3">
        <f ca="1">IFERROR(__xludf.DUMMYFUNCTION("""COMPUTED_VALUE"""),0)</f>
        <v>0</v>
      </c>
      <c r="H75" s="3" t="str">
        <f ca="1">IFERROR(__xludf.DUMMYFUNCTION("""COMPUTED_VALUE"""),"car")</f>
        <v>car</v>
      </c>
      <c r="I75" s="3" t="str">
        <f ca="1">IFERROR(__xludf.DUMMYFUNCTION("""COMPUTED_VALUE"""),"2055-06-06T16:42:01.659635Z")</f>
        <v>2055-06-06T16:42:01.659635Z</v>
      </c>
      <c r="J75" s="3" t="str">
        <f ca="1">IFERROR(__xludf.DUMMYFUNCTION("""COMPUTED_VALUE"""),"2055-06-06T17:33:01.728Z")</f>
        <v>2055-06-06T17:33:01.728Z</v>
      </c>
      <c r="K75" s="3" t="str">
        <f ca="1">IFERROR(__xludf.DUMMYFUNCTION("""COMPUTED_VALUE"""),"2055-06-06T17:22:54.728Z")</f>
        <v>2055-06-06T17:22:54.728Z</v>
      </c>
      <c r="L75" s="3">
        <f ca="1">IFERROR(__xludf.DUMMYFUNCTION("""COMPUTED_VALUE"""),1)</f>
        <v>1</v>
      </c>
      <c r="M75" s="3">
        <f ca="1">IFERROR(__xludf.DUMMYFUNCTION("""COMPUTED_VALUE"""),1)</f>
        <v>1</v>
      </c>
      <c r="N75" s="3" t="str">
        <f ca="1">IFERROR(__xludf.DUMMYFUNCTION("""COMPUTED_VALUE"""),"2055-06-06T17:10:45.204604Z")</f>
        <v>2055-06-06T17:10:45.204604Z</v>
      </c>
      <c r="O75" s="3" t="str">
        <f ca="1">IFERROR(__xludf.DUMMYFUNCTION("""COMPUTED_VALUE"""),"2055-06-06T17:21:18.831052Z")</f>
        <v>2055-06-06T17:21:18.831052Z</v>
      </c>
      <c r="P75" s="3" t="str">
        <f ca="1">IFERROR(__xludf.DUMMYFUNCTION("""COMPUTED_VALUE"""),"2055-06-06T16:57:07.413112Z")</f>
        <v>2055-06-06T16:57:07.413112Z</v>
      </c>
      <c r="Q75" s="3">
        <f ca="1">IFERROR(__xludf.DUMMYFUNCTION("""COMPUTED_VALUE"""),0)</f>
        <v>0</v>
      </c>
      <c r="R75" s="3" t="str">
        <f ca="1">IFERROR(__xludf.DUMMYFUNCTION("""COMPUTED_VALUE"""),"2055-06-06T16:57:11.108298Z")</f>
        <v>2055-06-06T16:57:11.108298Z</v>
      </c>
      <c r="S75" s="3" t="str">
        <f ca="1">IFERROR(__xludf.DUMMYFUNCTION("""COMPUTED_VALUE"""),"2055-06-06T17:04:02.343801Z")</f>
        <v>2055-06-06T17:04:02.343801Z</v>
      </c>
      <c r="T75" s="3"/>
      <c r="U75" s="4">
        <f ca="1">IFERROR(__xludf.DUMMYFUNCTION("""COMPUTED_VALUE"""),56771)</f>
        <v>56771</v>
      </c>
      <c r="V75" s="3">
        <f ca="1">IFERROR(__xludf.DUMMYFUNCTION("""COMPUTED_VALUE"""),3.139687144)</f>
        <v>3.1396871439999998</v>
      </c>
      <c r="W75" s="3">
        <f ca="1">IFERROR(__xludf.DUMMYFUNCTION("""COMPUTED_VALUE"""),5500)</f>
        <v>5500</v>
      </c>
      <c r="X75" s="3">
        <f ca="1">IFERROR(__xludf.DUMMYFUNCTION("""COMPUTED_VALUE"""),1447)</f>
        <v>1447</v>
      </c>
      <c r="Y75" s="3">
        <f ca="1">IFERROR(__xludf.DUMMYFUNCTION("""COMPUTED_VALUE"""),411)</f>
        <v>411</v>
      </c>
      <c r="Z75" s="3">
        <f ca="1">IFERROR(__xludf.DUMMYFUNCTION("""COMPUTED_VALUE"""),403)</f>
        <v>403</v>
      </c>
      <c r="AA75" s="3">
        <f ca="1">IFERROR(__xludf.DUMMYFUNCTION("""COMPUTED_VALUE"""),633)</f>
        <v>633</v>
      </c>
      <c r="AB75" s="3">
        <f ca="1">IFERROR(__xludf.DUMMYFUNCTION("""COMPUTED_VALUE"""),0)</f>
        <v>0</v>
      </c>
      <c r="AC75" s="3">
        <f ca="1">IFERROR(__xludf.DUMMYFUNCTION("""COMPUTED_VALUE"""),5)</f>
        <v>5</v>
      </c>
      <c r="AD75" s="3" t="str">
        <f ca="1">IFERROR(__xludf.DUMMYFUNCTION("""COMPUTED_VALUE"""),"late")</f>
        <v>late</v>
      </c>
      <c r="AE75" s="3" t="str">
        <f ca="1">IFERROR(__xludf.DUMMYFUNCTION("""COMPUTED_VALUE"""),"2055-06-06T13:10:45.204604Z")</f>
        <v>2055-06-06T13:10:45.204604Z</v>
      </c>
      <c r="AF75" s="3" t="str">
        <f ca="1">IFERROR(__xludf.DUMMYFUNCTION("""COMPUTED_VALUE"""),"2055-06-06T13:21:18.831052Z")</f>
        <v>2055-06-06T13:21:18.831052Z</v>
      </c>
      <c r="AG75" s="3" t="str">
        <f ca="1">IFERROR(__xludf.DUMMYFUNCTION("""COMPUTED_VALUE"""),"2055-06-06T12:57:07.413112Z")</f>
        <v>2055-06-06T12:57:07.413112Z</v>
      </c>
      <c r="AH75" s="3" t="str">
        <f ca="1">IFERROR(__xludf.DUMMYFUNCTION("""COMPUTED_VALUE"""),"2055-06-06T13:04:02.343801Z")</f>
        <v>2055-06-06T13:04:02.343801Z</v>
      </c>
      <c r="AI75" s="3">
        <f ca="1">IFERROR(__xludf.DUMMYFUNCTION("""COMPUTED_VALUE"""),4.69)</f>
        <v>4.6900000000000004</v>
      </c>
      <c r="AJ75" s="3">
        <f ca="1">IFERROR(__xludf.DUMMYFUNCTION("""COMPUTED_VALUE"""),89)</f>
        <v>89</v>
      </c>
      <c r="AK75" s="3">
        <f ca="1">IFERROR(__xludf.DUMMYFUNCTION("""COMPUTED_VALUE"""),258)</f>
        <v>258</v>
      </c>
      <c r="AL75" s="3">
        <f ca="1">IFERROR(__xludf.DUMMYFUNCTION("""COMPUTED_VALUE"""),154)</f>
        <v>154</v>
      </c>
    </row>
    <row r="76" spans="1:38" ht="13">
      <c r="A76" s="3">
        <f ca="1">IFERROR(__xludf.DUMMYFUNCTION("""COMPUTED_VALUE"""),13)</f>
        <v>13</v>
      </c>
      <c r="B76" s="3"/>
      <c r="C76" s="3">
        <f ca="1">IFERROR(__xludf.DUMMYFUNCTION("""COMPUTED_VALUE"""),4001)</f>
        <v>4001</v>
      </c>
      <c r="D76" s="3" t="str">
        <f ca="1">IFERROR(__xludf.DUMMYFUNCTION("""COMPUTED_VALUE"""),"Dashattan")</f>
        <v>Dashattan</v>
      </c>
      <c r="E76" s="3" t="str">
        <f ca="1">IFERROR(__xludf.DUMMYFUNCTION("""COMPUTED_VALUE"""),"Galaxy A")</f>
        <v>Galaxy A</v>
      </c>
      <c r="F76" s="3" t="str">
        <f ca="1">IFERROR(__xludf.DUMMYFUNCTION("""COMPUTED_VALUE"""),"Sean")</f>
        <v>Sean</v>
      </c>
      <c r="G76" s="3">
        <f ca="1">IFERROR(__xludf.DUMMYFUNCTION("""COMPUTED_VALUE"""),0)</f>
        <v>0</v>
      </c>
      <c r="H76" s="3" t="str">
        <f ca="1">IFERROR(__xludf.DUMMYFUNCTION("""COMPUTED_VALUE"""),"bicycle")</f>
        <v>bicycle</v>
      </c>
      <c r="I76" s="3" t="str">
        <f ca="1">IFERROR(__xludf.DUMMYFUNCTION("""COMPUTED_VALUE"""),"2055-06-01T16:03:57.270853Z")</f>
        <v>2055-06-01T16:03:57.270853Z</v>
      </c>
      <c r="J76" s="3" t="str">
        <f ca="1">IFERROR(__xludf.DUMMYFUNCTION("""COMPUTED_VALUE"""),"2055-06-01T16:56:06.338Z")</f>
        <v>2055-06-01T16:56:06.338Z</v>
      </c>
      <c r="K76" s="3" t="str">
        <f ca="1">IFERROR(__xludf.DUMMYFUNCTION("""COMPUTED_VALUE"""),"2055-06-01T16:34:12.338Z")</f>
        <v>2055-06-01T16:34:12.338Z</v>
      </c>
      <c r="L76" s="3">
        <f ca="1">IFERROR(__xludf.DUMMYFUNCTION("""COMPUTED_VALUE"""),1)</f>
        <v>1</v>
      </c>
      <c r="M76" s="3">
        <f ca="1">IFERROR(__xludf.DUMMYFUNCTION("""COMPUTED_VALUE"""),0)</f>
        <v>0</v>
      </c>
      <c r="N76" s="3" t="str">
        <f ca="1">IFERROR(__xludf.DUMMYFUNCTION("""COMPUTED_VALUE"""),"2055-06-01T16:42:21.801244Z")</f>
        <v>2055-06-01T16:42:21.801244Z</v>
      </c>
      <c r="O76" s="3" t="str">
        <f ca="1">IFERROR(__xludf.DUMMYFUNCTION("""COMPUTED_VALUE"""),"2055-06-01T16:52:03.676656Z")</f>
        <v>2055-06-01T16:52:03.676656Z</v>
      </c>
      <c r="P76" s="3" t="str">
        <f ca="1">IFERROR(__xludf.DUMMYFUNCTION("""COMPUTED_VALUE"""),"2055-06-01T16:10:14.647744Z")</f>
        <v>2055-06-01T16:10:14.647744Z</v>
      </c>
      <c r="Q76" s="3">
        <f ca="1">IFERROR(__xludf.DUMMYFUNCTION("""COMPUTED_VALUE"""),0)</f>
        <v>0</v>
      </c>
      <c r="R76" s="3" t="str">
        <f ca="1">IFERROR(__xludf.DUMMYFUNCTION("""COMPUTED_VALUE"""),"2055-06-01T16:10:37.752565Z")</f>
        <v>2055-06-01T16:10:37.752565Z</v>
      </c>
      <c r="S76" s="3" t="str">
        <f ca="1">IFERROR(__xludf.DUMMYFUNCTION("""COMPUTED_VALUE"""),"2055-06-01T16:15:20.487827Z")</f>
        <v>2055-06-01T16:15:20.487827Z</v>
      </c>
      <c r="T76" s="3"/>
      <c r="U76" s="4">
        <f ca="1">IFERROR(__xludf.DUMMYFUNCTION("""COMPUTED_VALUE"""),56766)</f>
        <v>56766</v>
      </c>
      <c r="V76" s="3">
        <f ca="1">IFERROR(__xludf.DUMMYFUNCTION("""COMPUTED_VALUE"""),3.979211633)</f>
        <v>3.9792116329999998</v>
      </c>
      <c r="W76" s="3">
        <f ca="1">IFERROR(__xludf.DUMMYFUNCTION("""COMPUTED_VALUE"""),5500)</f>
        <v>5500</v>
      </c>
      <c r="X76" s="3">
        <f ca="1">IFERROR(__xludf.DUMMYFUNCTION("""COMPUTED_VALUE"""),2486)</f>
        <v>2486</v>
      </c>
      <c r="Y76" s="3">
        <f ca="1">IFERROR(__xludf.DUMMYFUNCTION("""COMPUTED_VALUE"""),283)</f>
        <v>283</v>
      </c>
      <c r="Z76" s="3">
        <f ca="1">IFERROR(__xludf.DUMMYFUNCTION("""COMPUTED_VALUE"""),1621)</f>
        <v>1621</v>
      </c>
      <c r="AA76" s="3">
        <f ca="1">IFERROR(__xludf.DUMMYFUNCTION("""COMPUTED_VALUE"""),582)</f>
        <v>582</v>
      </c>
      <c r="AB76" s="3">
        <f ca="1">IFERROR(__xludf.DUMMYFUNCTION("""COMPUTED_VALUE"""),1)</f>
        <v>1</v>
      </c>
      <c r="AC76" s="3">
        <f ca="1">IFERROR(__xludf.DUMMYFUNCTION("""COMPUTED_VALUE"""),6)</f>
        <v>6</v>
      </c>
      <c r="AD76" s="3"/>
      <c r="AE76" s="3" t="str">
        <f ca="1">IFERROR(__xludf.DUMMYFUNCTION("""COMPUTED_VALUE"""),"2055-06-01T12:42:21.801244Z")</f>
        <v>2055-06-01T12:42:21.801244Z</v>
      </c>
      <c r="AF76" s="3" t="str">
        <f ca="1">IFERROR(__xludf.DUMMYFUNCTION("""COMPUTED_VALUE"""),"2055-06-01T12:52:03.676656Z")</f>
        <v>2055-06-01T12:52:03.676656Z</v>
      </c>
      <c r="AG76" s="3" t="str">
        <f ca="1">IFERROR(__xludf.DUMMYFUNCTION("""COMPUTED_VALUE"""),"2055-06-01T12:10:14.647744Z")</f>
        <v>2055-06-01T12:10:14.647744Z</v>
      </c>
      <c r="AH76" s="3" t="str">
        <f ca="1">IFERROR(__xludf.DUMMYFUNCTION("""COMPUTED_VALUE"""),"2055-06-01T12:15:20.487827Z")</f>
        <v>2055-06-01T12:15:20.487827Z</v>
      </c>
      <c r="AI76" s="3">
        <f ca="1">IFERROR(__xludf.DUMMYFUNCTION("""COMPUTED_VALUE"""),4.52)</f>
        <v>4.5199999999999996</v>
      </c>
      <c r="AJ76" s="3">
        <f ca="1">IFERROR(__xludf.DUMMYFUNCTION("""COMPUTED_VALUE"""),183)</f>
        <v>183</v>
      </c>
      <c r="AK76" s="3">
        <f ca="1">IFERROR(__xludf.DUMMYFUNCTION("""COMPUTED_VALUE"""),522)</f>
        <v>522</v>
      </c>
      <c r="AL76" s="3"/>
    </row>
    <row r="77" spans="1:38" ht="13">
      <c r="A77" s="3">
        <f ca="1">IFERROR(__xludf.DUMMYFUNCTION("""COMPUTED_VALUE"""),1120)</f>
        <v>1120</v>
      </c>
      <c r="B77" s="3">
        <f ca="1">IFERROR(__xludf.DUMMYFUNCTION("""COMPUTED_VALUE"""),5)</f>
        <v>5</v>
      </c>
      <c r="C77" s="3">
        <f ca="1">IFERROR(__xludf.DUMMYFUNCTION("""COMPUTED_VALUE"""),4001)</f>
        <v>4001</v>
      </c>
      <c r="D77" s="3" t="str">
        <f ca="1">IFERROR(__xludf.DUMMYFUNCTION("""COMPUTED_VALUE"""),"Dashattan")</f>
        <v>Dashattan</v>
      </c>
      <c r="E77" s="3" t="str">
        <f ca="1">IFERROR(__xludf.DUMMYFUNCTION("""COMPUTED_VALUE"""),"Galaxy A")</f>
        <v>Galaxy A</v>
      </c>
      <c r="F77" s="3" t="str">
        <f ca="1">IFERROR(__xludf.DUMMYFUNCTION("""COMPUTED_VALUE"""),"Carlee")</f>
        <v>Carlee</v>
      </c>
      <c r="G77" s="3">
        <f ca="1">IFERROR(__xludf.DUMMYFUNCTION("""COMPUTED_VALUE"""),0)</f>
        <v>0</v>
      </c>
      <c r="H77" s="3" t="str">
        <f ca="1">IFERROR(__xludf.DUMMYFUNCTION("""COMPUTED_VALUE"""),"car")</f>
        <v>car</v>
      </c>
      <c r="I77" s="3" t="str">
        <f ca="1">IFERROR(__xludf.DUMMYFUNCTION("""COMPUTED_VALUE"""),"2055-06-10T15:12:44.618252Z")</f>
        <v>2055-06-10T15:12:44.618252Z</v>
      </c>
      <c r="J77" s="3" t="str">
        <f ca="1">IFERROR(__xludf.DUMMYFUNCTION("""COMPUTED_VALUE"""),"2055-06-10T16:41:48.665Z")</f>
        <v>2055-06-10T16:41:48.665Z</v>
      </c>
      <c r="K77" s="3" t="str">
        <f ca="1">IFERROR(__xludf.DUMMYFUNCTION("""COMPUTED_VALUE"""),"2055-06-10T16:13:35.665Z")</f>
        <v>2055-06-10T16:13:35.665Z</v>
      </c>
      <c r="L77" s="3">
        <f ca="1">IFERROR(__xludf.DUMMYFUNCTION("""COMPUTED_VALUE"""),1)</f>
        <v>1</v>
      </c>
      <c r="M77" s="3">
        <f ca="1">IFERROR(__xludf.DUMMYFUNCTION("""COMPUTED_VALUE"""),0)</f>
        <v>0</v>
      </c>
      <c r="N77" s="3" t="str">
        <f ca="1">IFERROR(__xludf.DUMMYFUNCTION("""COMPUTED_VALUE"""),"2055-06-10T16:07:02.395178Z")</f>
        <v>2055-06-10T16:07:02.395178Z</v>
      </c>
      <c r="O77" s="3" t="str">
        <f ca="1">IFERROR(__xludf.DUMMYFUNCTION("""COMPUTED_VALUE"""),"2055-06-10T16:26:22.39051Z")</f>
        <v>2055-06-10T16:26:22.39051Z</v>
      </c>
      <c r="P77" s="3" t="str">
        <f ca="1">IFERROR(__xludf.DUMMYFUNCTION("""COMPUTED_VALUE"""),"2055-06-10T15:23:14.122303Z")</f>
        <v>2055-06-10T15:23:14.122303Z</v>
      </c>
      <c r="Q77" s="3">
        <f ca="1">IFERROR(__xludf.DUMMYFUNCTION("""COMPUTED_VALUE"""),0)</f>
        <v>0</v>
      </c>
      <c r="R77" s="3" t="str">
        <f ca="1">IFERROR(__xludf.DUMMYFUNCTION("""COMPUTED_VALUE"""),"2055-06-10T15:23:18.343454Z")</f>
        <v>2055-06-10T15:23:18.343454Z</v>
      </c>
      <c r="S77" s="3" t="str">
        <f ca="1">IFERROR(__xludf.DUMMYFUNCTION("""COMPUTED_VALUE"""),"2055-06-10T16:02:52.008517Z")</f>
        <v>2055-06-10T16:02:52.008517Z</v>
      </c>
      <c r="T77" s="3"/>
      <c r="U77" s="4">
        <f ca="1">IFERROR(__xludf.DUMMYFUNCTION("""COMPUTED_VALUE"""),56775)</f>
        <v>56775</v>
      </c>
      <c r="V77" s="3">
        <f ca="1">IFERROR(__xludf.DUMMYFUNCTION("""COMPUTED_VALUE"""),3.476187501)</f>
        <v>3.4761875010000001</v>
      </c>
      <c r="W77" s="3">
        <f ca="1">IFERROR(__xludf.DUMMYFUNCTION("""COMPUTED_VALUE"""),5500)</f>
        <v>5500</v>
      </c>
      <c r="X77" s="3">
        <f ca="1">IFERROR(__xludf.DUMMYFUNCTION("""COMPUTED_VALUE"""),3784)</f>
        <v>3784</v>
      </c>
      <c r="Y77" s="3">
        <f ca="1">IFERROR(__xludf.DUMMYFUNCTION("""COMPUTED_VALUE"""),2374)</f>
        <v>2374</v>
      </c>
      <c r="Z77" s="3">
        <f ca="1">IFERROR(__xludf.DUMMYFUNCTION("""COMPUTED_VALUE"""),250)</f>
        <v>250</v>
      </c>
      <c r="AA77" s="3">
        <f ca="1">IFERROR(__xludf.DUMMYFUNCTION("""COMPUTED_VALUE"""),1160)</f>
        <v>1160</v>
      </c>
      <c r="AB77" s="3">
        <f ca="1">IFERROR(__xludf.DUMMYFUNCTION("""COMPUTED_VALUE"""),0)</f>
        <v>0</v>
      </c>
      <c r="AC77" s="3">
        <f ca="1">IFERROR(__xludf.DUMMYFUNCTION("""COMPUTED_VALUE"""),7)</f>
        <v>7</v>
      </c>
      <c r="AD77" s="3" t="str">
        <f ca="1">IFERROR(__xludf.DUMMYFUNCTION("""COMPUTED_VALUE"""),"late")</f>
        <v>late</v>
      </c>
      <c r="AE77" s="3" t="str">
        <f ca="1">IFERROR(__xludf.DUMMYFUNCTION("""COMPUTED_VALUE"""),"2055-06-10T12:07:02.395178Z")</f>
        <v>2055-06-10T12:07:02.395178Z</v>
      </c>
      <c r="AF77" s="3" t="str">
        <f ca="1">IFERROR(__xludf.DUMMYFUNCTION("""COMPUTED_VALUE"""),"2055-06-10T12:26:22.39051Z")</f>
        <v>2055-06-10T12:26:22.39051Z</v>
      </c>
      <c r="AG77" s="3" t="str">
        <f ca="1">IFERROR(__xludf.DUMMYFUNCTION("""COMPUTED_VALUE"""),"2055-06-10T11:23:14.122303Z")</f>
        <v>2055-06-10T11:23:14.122303Z</v>
      </c>
      <c r="AH77" s="3" t="str">
        <f ca="1">IFERROR(__xludf.DUMMYFUNCTION("""COMPUTED_VALUE"""),"2055-06-10T12:02:52.008517Z")</f>
        <v>2055-06-10T12:02:52.008517Z</v>
      </c>
      <c r="AI77" s="3">
        <f ca="1">IFERROR(__xludf.DUMMYFUNCTION("""COMPUTED_VALUE"""),4.52)</f>
        <v>4.5199999999999996</v>
      </c>
      <c r="AJ77" s="3">
        <f ca="1">IFERROR(__xludf.DUMMYFUNCTION("""COMPUTED_VALUE"""),269)</f>
        <v>269</v>
      </c>
      <c r="AK77" s="3">
        <f ca="1">IFERROR(__xludf.DUMMYFUNCTION("""COMPUTED_VALUE"""),895)</f>
        <v>895</v>
      </c>
      <c r="AL77" s="3">
        <f ca="1">IFERROR(__xludf.DUMMYFUNCTION("""COMPUTED_VALUE"""),23)</f>
        <v>23</v>
      </c>
    </row>
    <row r="78" spans="1:38" ht="13">
      <c r="A78" s="3">
        <f ca="1">IFERROR(__xludf.DUMMYFUNCTION("""COMPUTED_VALUE"""),452)</f>
        <v>452</v>
      </c>
      <c r="B78" s="3">
        <f ca="1">IFERROR(__xludf.DUMMYFUNCTION("""COMPUTED_VALUE"""),5)</f>
        <v>5</v>
      </c>
      <c r="C78" s="3">
        <f ca="1">IFERROR(__xludf.DUMMYFUNCTION("""COMPUTED_VALUE"""),4050)</f>
        <v>4050</v>
      </c>
      <c r="D78" s="3" t="str">
        <f ca="1">IFERROR(__xludf.DUMMYFUNCTION("""COMPUTED_VALUE"""),"Doorlanta")</f>
        <v>Doorlanta</v>
      </c>
      <c r="E78" s="3" t="str">
        <f ca="1">IFERROR(__xludf.DUMMYFUNCTION("""COMPUTED_VALUE"""),"Galaxy A")</f>
        <v>Galaxy A</v>
      </c>
      <c r="F78" s="3" t="str">
        <f ca="1">IFERROR(__xludf.DUMMYFUNCTION("""COMPUTED_VALUE"""),"Katelynn")</f>
        <v>Katelynn</v>
      </c>
      <c r="G78" s="3">
        <f ca="1">IFERROR(__xludf.DUMMYFUNCTION("""COMPUTED_VALUE"""),0)</f>
        <v>0</v>
      </c>
      <c r="H78" s="3" t="str">
        <f ca="1">IFERROR(__xludf.DUMMYFUNCTION("""COMPUTED_VALUE"""),"car")</f>
        <v>car</v>
      </c>
      <c r="I78" s="3" t="str">
        <f ca="1">IFERROR(__xludf.DUMMYFUNCTION("""COMPUTED_VALUE"""),"2055-06-04T21:41:35.097466Z")</f>
        <v>2055-06-04T21:41:35.097466Z</v>
      </c>
      <c r="J78" s="3" t="str">
        <f ca="1">IFERROR(__xludf.DUMMYFUNCTION("""COMPUTED_VALUE"""),"2055-06-04T22:38:43.189Z")</f>
        <v>2055-06-04T22:38:43.189Z</v>
      </c>
      <c r="K78" s="3" t="str">
        <f ca="1">IFERROR(__xludf.DUMMYFUNCTION("""COMPUTED_VALUE"""),"2055-06-04T22:24:04.189Z")</f>
        <v>2055-06-04T22:24:04.189Z</v>
      </c>
      <c r="L78" s="3">
        <f ca="1">IFERROR(__xludf.DUMMYFUNCTION("""COMPUTED_VALUE"""),1)</f>
        <v>1</v>
      </c>
      <c r="M78" s="3">
        <f ca="1">IFERROR(__xludf.DUMMYFUNCTION("""COMPUTED_VALUE"""),0)</f>
        <v>0</v>
      </c>
      <c r="N78" s="3" t="str">
        <f ca="1">IFERROR(__xludf.DUMMYFUNCTION("""COMPUTED_VALUE"""),"2055-06-04T22:30:39.623979Z")</f>
        <v>2055-06-04T22:30:39.623979Z</v>
      </c>
      <c r="O78" s="3" t="str">
        <f ca="1">IFERROR(__xludf.DUMMYFUNCTION("""COMPUTED_VALUE"""),"2055-06-04T22:43:47.558985Z")</f>
        <v>2055-06-04T22:43:47.558985Z</v>
      </c>
      <c r="P78" s="3" t="str">
        <f ca="1">IFERROR(__xludf.DUMMYFUNCTION("""COMPUTED_VALUE"""),"2055-06-04T21:41:47.310566Z")</f>
        <v>2055-06-04T21:41:47.310566Z</v>
      </c>
      <c r="Q78" s="3">
        <f ca="1">IFERROR(__xludf.DUMMYFUNCTION("""COMPUTED_VALUE"""),0)</f>
        <v>0</v>
      </c>
      <c r="R78" s="3" t="str">
        <f ca="1">IFERROR(__xludf.DUMMYFUNCTION("""COMPUTED_VALUE"""),"2055-06-04T21:42:19.721688Z")</f>
        <v>2055-06-04T21:42:19.721688Z</v>
      </c>
      <c r="S78" s="3"/>
      <c r="T78" s="3"/>
      <c r="U78" s="4">
        <f ca="1">IFERROR(__xludf.DUMMYFUNCTION("""COMPUTED_VALUE"""),56769)</f>
        <v>56769</v>
      </c>
      <c r="V78" s="3">
        <f ca="1">IFERROR(__xludf.DUMMYFUNCTION("""COMPUTED_VALUE"""),4.4)</f>
        <v>4.4000000000000004</v>
      </c>
      <c r="W78" s="3">
        <f ca="1">IFERROR(__xludf.DUMMYFUNCTION("""COMPUTED_VALUE"""),5500)</f>
        <v>5500</v>
      </c>
      <c r="X78" s="3">
        <f ca="1">IFERROR(__xludf.DUMMYFUNCTION("""COMPUTED_VALUE"""),3688)</f>
        <v>3688</v>
      </c>
      <c r="Y78" s="3"/>
      <c r="Z78" s="3"/>
      <c r="AA78" s="3">
        <f ca="1">IFERROR(__xludf.DUMMYFUNCTION("""COMPUTED_VALUE"""),788)</f>
        <v>788</v>
      </c>
      <c r="AB78" s="3">
        <f ca="1">IFERROR(__xludf.DUMMYFUNCTION("""COMPUTED_VALUE"""),0)</f>
        <v>0</v>
      </c>
      <c r="AC78" s="3">
        <f ca="1">IFERROR(__xludf.DUMMYFUNCTION("""COMPUTED_VALUE"""),4)</f>
        <v>4</v>
      </c>
      <c r="AD78" s="3"/>
      <c r="AE78" s="3" t="str">
        <f ca="1">IFERROR(__xludf.DUMMYFUNCTION("""COMPUTED_VALUE"""),"2055-06-04T18:30:39.623979Z")</f>
        <v>2055-06-04T18:30:39.623979Z</v>
      </c>
      <c r="AF78" s="3" t="str">
        <f ca="1">IFERROR(__xludf.DUMMYFUNCTION("""COMPUTED_VALUE"""),"2055-06-04T18:43:47.558985Z")</f>
        <v>2055-06-04T18:43:47.558985Z</v>
      </c>
      <c r="AG78" s="3" t="str">
        <f ca="1">IFERROR(__xludf.DUMMYFUNCTION("""COMPUTED_VALUE"""),"2055-06-04T17:41:47.310566Z")</f>
        <v>2055-06-04T17:41:47.310566Z</v>
      </c>
      <c r="AH78" s="3"/>
      <c r="AI78" s="3">
        <f ca="1">IFERROR(__xludf.DUMMYFUNCTION("""COMPUTED_VALUE"""),4.7)</f>
        <v>4.7</v>
      </c>
      <c r="AJ78" s="3">
        <f ca="1">IFERROR(__xludf.DUMMYFUNCTION("""COMPUTED_VALUE"""),1261)</f>
        <v>1261</v>
      </c>
      <c r="AK78" s="3">
        <f ca="1">IFERROR(__xludf.DUMMYFUNCTION("""COMPUTED_VALUE"""),3264)</f>
        <v>3264</v>
      </c>
      <c r="AL78" s="3">
        <f ca="1">IFERROR(__xludf.DUMMYFUNCTION("""COMPUTED_VALUE"""),232)</f>
        <v>232</v>
      </c>
    </row>
    <row r="79" spans="1:38" ht="13">
      <c r="A79" s="3">
        <f ca="1">IFERROR(__xludf.DUMMYFUNCTION("""COMPUTED_VALUE"""),167)</f>
        <v>167</v>
      </c>
      <c r="B79" s="3"/>
      <c r="C79" s="3">
        <f ca="1">IFERROR(__xludf.DUMMYFUNCTION("""COMPUTED_VALUE"""),4050)</f>
        <v>4050</v>
      </c>
      <c r="D79" s="3" t="str">
        <f ca="1">IFERROR(__xludf.DUMMYFUNCTION("""COMPUTED_VALUE"""),"Doorlanta")</f>
        <v>Doorlanta</v>
      </c>
      <c r="E79" s="3" t="str">
        <f ca="1">IFERROR(__xludf.DUMMYFUNCTION("""COMPUTED_VALUE"""),"Galaxy A")</f>
        <v>Galaxy A</v>
      </c>
      <c r="F79" s="3" t="str">
        <f ca="1">IFERROR(__xludf.DUMMYFUNCTION("""COMPUTED_VALUE"""),"Elon")</f>
        <v>Elon</v>
      </c>
      <c r="G79" s="3">
        <f ca="1">IFERROR(__xludf.DUMMYFUNCTION("""COMPUTED_VALUE"""),0)</f>
        <v>0</v>
      </c>
      <c r="H79" s="3" t="str">
        <f ca="1">IFERROR(__xludf.DUMMYFUNCTION("""COMPUTED_VALUE"""),"car")</f>
        <v>car</v>
      </c>
      <c r="I79" s="3" t="str">
        <f ca="1">IFERROR(__xludf.DUMMYFUNCTION("""COMPUTED_VALUE"""),"2055-06-02T21:12:14.633153Z")</f>
        <v>2055-06-02T21:12:14.633153Z</v>
      </c>
      <c r="J79" s="3" t="str">
        <f ca="1">IFERROR(__xludf.DUMMYFUNCTION("""COMPUTED_VALUE"""),"2055-06-02T22:30:00Z")</f>
        <v>2055-06-02T22:30:00Z</v>
      </c>
      <c r="K79" s="3" t="str">
        <f ca="1">IFERROR(__xludf.DUMMYFUNCTION("""COMPUTED_VALUE"""),"2055-06-02T22:30:00Z")</f>
        <v>2055-06-02T22:30:00Z</v>
      </c>
      <c r="L79" s="3">
        <f ca="1">IFERROR(__xludf.DUMMYFUNCTION("""COMPUTED_VALUE"""),0)</f>
        <v>0</v>
      </c>
      <c r="M79" s="3">
        <f ca="1">IFERROR(__xludf.DUMMYFUNCTION("""COMPUTED_VALUE"""),0)</f>
        <v>0</v>
      </c>
      <c r="N79" s="3" t="str">
        <f ca="1">IFERROR(__xludf.DUMMYFUNCTION("""COMPUTED_VALUE"""),"2055-06-02T21:55:01.028191Z")</f>
        <v>2055-06-02T21:55:01.028191Z</v>
      </c>
      <c r="O79" s="3" t="str">
        <f ca="1">IFERROR(__xludf.DUMMYFUNCTION("""COMPUTED_VALUE"""),"2055-06-02T22:07:08.445261Z")</f>
        <v>2055-06-02T22:07:08.445261Z</v>
      </c>
      <c r="P79" s="3" t="str">
        <f ca="1">IFERROR(__xludf.DUMMYFUNCTION("""COMPUTED_VALUE"""),"2055-06-02T21:30:07.640702Z")</f>
        <v>2055-06-02T21:30:07.640702Z</v>
      </c>
      <c r="Q79" s="3">
        <f ca="1">IFERROR(__xludf.DUMMYFUNCTION("""COMPUTED_VALUE"""),0)</f>
        <v>0</v>
      </c>
      <c r="R79" s="3" t="str">
        <f ca="1">IFERROR(__xludf.DUMMYFUNCTION("""COMPUTED_VALUE"""),"2055-06-02T21:30:15.711985Z")</f>
        <v>2055-06-02T21:30:15.711985Z</v>
      </c>
      <c r="S79" s="3" t="str">
        <f ca="1">IFERROR(__xludf.DUMMYFUNCTION("""COMPUTED_VALUE"""),"2055-06-02T21:50:00.97786Z")</f>
        <v>2055-06-02T21:50:00.97786Z</v>
      </c>
      <c r="T79" s="3"/>
      <c r="U79" s="4">
        <f ca="1">IFERROR(__xludf.DUMMYFUNCTION("""COMPUTED_VALUE"""),56767)</f>
        <v>56767</v>
      </c>
      <c r="V79" s="3">
        <f ca="1">IFERROR(__xludf.DUMMYFUNCTION("""COMPUTED_VALUE"""),4.5)</f>
        <v>4.5</v>
      </c>
      <c r="W79" s="3">
        <f ca="1">IFERROR(__xludf.DUMMYFUNCTION("""COMPUTED_VALUE"""),5500)</f>
        <v>5500</v>
      </c>
      <c r="X79" s="3">
        <f ca="1">IFERROR(__xludf.DUMMYFUNCTION("""COMPUTED_VALUE"""),2213)</f>
        <v>2213</v>
      </c>
      <c r="Y79" s="3">
        <f ca="1">IFERROR(__xludf.DUMMYFUNCTION("""COMPUTED_VALUE"""),1185)</f>
        <v>1185</v>
      </c>
      <c r="Z79" s="3">
        <f ca="1">IFERROR(__xludf.DUMMYFUNCTION("""COMPUTED_VALUE"""),301)</f>
        <v>301</v>
      </c>
      <c r="AA79" s="3">
        <f ca="1">IFERROR(__xludf.DUMMYFUNCTION("""COMPUTED_VALUE"""),727)</f>
        <v>727</v>
      </c>
      <c r="AB79" s="3">
        <f ca="1">IFERROR(__xludf.DUMMYFUNCTION("""COMPUTED_VALUE"""),0)</f>
        <v>0</v>
      </c>
      <c r="AC79" s="3">
        <f ca="1">IFERROR(__xludf.DUMMYFUNCTION("""COMPUTED_VALUE"""),5)</f>
        <v>5</v>
      </c>
      <c r="AD79" s="3" t="str">
        <f ca="1">IFERROR(__xludf.DUMMYFUNCTION("""COMPUTED_VALUE"""),"late")</f>
        <v>late</v>
      </c>
      <c r="AE79" s="3" t="str">
        <f ca="1">IFERROR(__xludf.DUMMYFUNCTION("""COMPUTED_VALUE"""),"2055-06-02T17:55:01.028191Z")</f>
        <v>2055-06-02T17:55:01.028191Z</v>
      </c>
      <c r="AF79" s="3" t="str">
        <f ca="1">IFERROR(__xludf.DUMMYFUNCTION("""COMPUTED_VALUE"""),"2055-06-02T18:07:08.445261Z")</f>
        <v>2055-06-02T18:07:08.445261Z</v>
      </c>
      <c r="AG79" s="3" t="str">
        <f ca="1">IFERROR(__xludf.DUMMYFUNCTION("""COMPUTED_VALUE"""),"2055-06-02T17:30:07.640702Z")</f>
        <v>2055-06-02T17:30:07.640702Z</v>
      </c>
      <c r="AH79" s="3" t="str">
        <f ca="1">IFERROR(__xludf.DUMMYFUNCTION("""COMPUTED_VALUE"""),"2055-06-02T17:50:00.97786Z")</f>
        <v>2055-06-02T17:50:00.97786Z</v>
      </c>
      <c r="AI79" s="3">
        <f ca="1">IFERROR(__xludf.DUMMYFUNCTION("""COMPUTED_VALUE"""),4.62)</f>
        <v>4.62</v>
      </c>
      <c r="AJ79" s="3">
        <f ca="1">IFERROR(__xludf.DUMMYFUNCTION("""COMPUTED_VALUE"""),259)</f>
        <v>259</v>
      </c>
      <c r="AK79" s="3">
        <f ca="1">IFERROR(__xludf.DUMMYFUNCTION("""COMPUTED_VALUE"""),604)</f>
        <v>604</v>
      </c>
      <c r="AL79" s="3">
        <f ca="1">IFERROR(__xludf.DUMMYFUNCTION("""COMPUTED_VALUE"""),21)</f>
        <v>21</v>
      </c>
    </row>
    <row r="80" spans="1:38" ht="13">
      <c r="A80" s="3">
        <f ca="1">IFERROR(__xludf.DUMMYFUNCTION("""COMPUTED_VALUE"""),723)</f>
        <v>723</v>
      </c>
      <c r="B80" s="3"/>
      <c r="C80" s="3">
        <f ca="1">IFERROR(__xludf.DUMMYFUNCTION("""COMPUTED_VALUE"""),4001)</f>
        <v>4001</v>
      </c>
      <c r="D80" s="3" t="str">
        <f ca="1">IFERROR(__xludf.DUMMYFUNCTION("""COMPUTED_VALUE"""),"Dashattan")</f>
        <v>Dashattan</v>
      </c>
      <c r="E80" s="3" t="str">
        <f ca="1">IFERROR(__xludf.DUMMYFUNCTION("""COMPUTED_VALUE"""),"Galaxy A")</f>
        <v>Galaxy A</v>
      </c>
      <c r="F80" s="3" t="str">
        <f ca="1">IFERROR(__xludf.DUMMYFUNCTION("""COMPUTED_VALUE"""),"Bret")</f>
        <v>Bret</v>
      </c>
      <c r="G80" s="3">
        <f ca="1">IFERROR(__xludf.DUMMYFUNCTION("""COMPUTED_VALUE"""),0)</f>
        <v>0</v>
      </c>
      <c r="H80" s="3" t="str">
        <f ca="1">IFERROR(__xludf.DUMMYFUNCTION("""COMPUTED_VALUE"""),"car")</f>
        <v>car</v>
      </c>
      <c r="I80" s="3" t="str">
        <f ca="1">IFERROR(__xludf.DUMMYFUNCTION("""COMPUTED_VALUE"""),"2055-06-06T13:26:51.484022Z")</f>
        <v>2055-06-06T13:26:51.484022Z</v>
      </c>
      <c r="J80" s="3" t="str">
        <f ca="1">IFERROR(__xludf.DUMMYFUNCTION("""COMPUTED_VALUE"""),"2055-06-06T14:13:01.561Z")</f>
        <v>2055-06-06T14:13:01.561Z</v>
      </c>
      <c r="K80" s="3" t="str">
        <f ca="1">IFERROR(__xludf.DUMMYFUNCTION("""COMPUTED_VALUE"""),"2055-06-06T13:54:08.561Z")</f>
        <v>2055-06-06T13:54:08.561Z</v>
      </c>
      <c r="L80" s="3">
        <f ca="1">IFERROR(__xludf.DUMMYFUNCTION("""COMPUTED_VALUE"""),1)</f>
        <v>1</v>
      </c>
      <c r="M80" s="3">
        <f ca="1">IFERROR(__xludf.DUMMYFUNCTION("""COMPUTED_VALUE"""),0)</f>
        <v>0</v>
      </c>
      <c r="N80" s="3" t="str">
        <f ca="1">IFERROR(__xludf.DUMMYFUNCTION("""COMPUTED_VALUE"""),"2055-06-06T13:51:01.921669Z")</f>
        <v>2055-06-06T13:51:01.921669Z</v>
      </c>
      <c r="O80" s="3" t="str">
        <f ca="1">IFERROR(__xludf.DUMMYFUNCTION("""COMPUTED_VALUE"""),"2055-06-06T14:10:54.429466Z")</f>
        <v>2055-06-06T14:10:54.429466Z</v>
      </c>
      <c r="P80" s="3" t="str">
        <f ca="1">IFERROR(__xludf.DUMMYFUNCTION("""COMPUTED_VALUE"""),"2055-06-06T13:30:14.047324Z")</f>
        <v>2055-06-06T13:30:14.047324Z</v>
      </c>
      <c r="Q80" s="3">
        <f ca="1">IFERROR(__xludf.DUMMYFUNCTION("""COMPUTED_VALUE"""),0)</f>
        <v>0</v>
      </c>
      <c r="R80" s="3" t="str">
        <f ca="1">IFERROR(__xludf.DUMMYFUNCTION("""COMPUTED_VALUE"""),"2055-06-06T13:30:24.703652Z")</f>
        <v>2055-06-06T13:30:24.703652Z</v>
      </c>
      <c r="S80" s="3" t="str">
        <f ca="1">IFERROR(__xludf.DUMMYFUNCTION("""COMPUTED_VALUE"""),"2055-06-06T13:47:41.317624Z")</f>
        <v>2055-06-06T13:47:41.317624Z</v>
      </c>
      <c r="T80" s="3"/>
      <c r="U80" s="4">
        <f ca="1">IFERROR(__xludf.DUMMYFUNCTION("""COMPUTED_VALUE"""),56771)</f>
        <v>56771</v>
      </c>
      <c r="V80" s="3">
        <f ca="1">IFERROR(__xludf.DUMMYFUNCTION("""COMPUTED_VALUE"""),4.3)</f>
        <v>4.3</v>
      </c>
      <c r="W80" s="3">
        <f ca="1">IFERROR(__xludf.DUMMYFUNCTION("""COMPUTED_VALUE"""),5500)</f>
        <v>5500</v>
      </c>
      <c r="X80" s="3">
        <f ca="1">IFERROR(__xludf.DUMMYFUNCTION("""COMPUTED_VALUE"""),2430)</f>
        <v>2430</v>
      </c>
      <c r="Y80" s="3">
        <f ca="1">IFERROR(__xludf.DUMMYFUNCTION("""COMPUTED_VALUE"""),1037)</f>
        <v>1037</v>
      </c>
      <c r="Z80" s="3">
        <f ca="1">IFERROR(__xludf.DUMMYFUNCTION("""COMPUTED_VALUE"""),200)</f>
        <v>200</v>
      </c>
      <c r="AA80" s="3">
        <f ca="1">IFERROR(__xludf.DUMMYFUNCTION("""COMPUTED_VALUE"""),1193)</f>
        <v>1193</v>
      </c>
      <c r="AB80" s="3">
        <f ca="1">IFERROR(__xludf.DUMMYFUNCTION("""COMPUTED_VALUE"""),0)</f>
        <v>0</v>
      </c>
      <c r="AC80" s="3">
        <f ca="1">IFERROR(__xludf.DUMMYFUNCTION("""COMPUTED_VALUE"""),9)</f>
        <v>9</v>
      </c>
      <c r="AD80" s="3" t="str">
        <f ca="1">IFERROR(__xludf.DUMMYFUNCTION("""COMPUTED_VALUE"""),"late")</f>
        <v>late</v>
      </c>
      <c r="AE80" s="3" t="str">
        <f ca="1">IFERROR(__xludf.DUMMYFUNCTION("""COMPUTED_VALUE"""),"2055-06-06T09:51:01.921669Z")</f>
        <v>2055-06-06T09:51:01.921669Z</v>
      </c>
      <c r="AF80" s="3" t="str">
        <f ca="1">IFERROR(__xludf.DUMMYFUNCTION("""COMPUTED_VALUE"""),"2055-06-06T10:10:54.429466Z")</f>
        <v>2055-06-06T10:10:54.429466Z</v>
      </c>
      <c r="AG80" s="3" t="str">
        <f ca="1">IFERROR(__xludf.DUMMYFUNCTION("""COMPUTED_VALUE"""),"2055-06-06T09:30:14.047324Z")</f>
        <v>2055-06-06T09:30:14.047324Z</v>
      </c>
      <c r="AH80" s="3" t="str">
        <f ca="1">IFERROR(__xludf.DUMMYFUNCTION("""COMPUTED_VALUE"""),"2055-06-06T09:47:41.317624Z")</f>
        <v>2055-06-06T09:47:41.317624Z</v>
      </c>
      <c r="AI80" s="3">
        <f ca="1">IFERROR(__xludf.DUMMYFUNCTION("""COMPUTED_VALUE"""),3.82)</f>
        <v>3.82</v>
      </c>
      <c r="AJ80" s="3">
        <f ca="1">IFERROR(__xludf.DUMMYFUNCTION("""COMPUTED_VALUE"""),174)</f>
        <v>174</v>
      </c>
      <c r="AK80" s="3">
        <f ca="1">IFERROR(__xludf.DUMMYFUNCTION("""COMPUTED_VALUE"""),773)</f>
        <v>773</v>
      </c>
      <c r="AL80" s="3"/>
    </row>
    <row r="81" spans="1:38" ht="13">
      <c r="A81" s="3">
        <f ca="1">IFERROR(__xludf.DUMMYFUNCTION("""COMPUTED_VALUE"""),455)</f>
        <v>455</v>
      </c>
      <c r="B81" s="3"/>
      <c r="C81" s="3">
        <f ca="1">IFERROR(__xludf.DUMMYFUNCTION("""COMPUTED_VALUE"""),4050)</f>
        <v>4050</v>
      </c>
      <c r="D81" s="3" t="str">
        <f ca="1">IFERROR(__xludf.DUMMYFUNCTION("""COMPUTED_VALUE"""),"Doorlanta")</f>
        <v>Doorlanta</v>
      </c>
      <c r="E81" s="3" t="str">
        <f ca="1">IFERROR(__xludf.DUMMYFUNCTION("""COMPUTED_VALUE"""),"Galaxy A")</f>
        <v>Galaxy A</v>
      </c>
      <c r="F81" s="3" t="str">
        <f ca="1">IFERROR(__xludf.DUMMYFUNCTION("""COMPUTED_VALUE"""),"Cate")</f>
        <v>Cate</v>
      </c>
      <c r="G81" s="3">
        <f ca="1">IFERROR(__xludf.DUMMYFUNCTION("""COMPUTED_VALUE"""),0)</f>
        <v>0</v>
      </c>
      <c r="H81" s="3" t="str">
        <f ca="1">IFERROR(__xludf.DUMMYFUNCTION("""COMPUTED_VALUE"""),"car")</f>
        <v>car</v>
      </c>
      <c r="I81" s="3" t="str">
        <f ca="1">IFERROR(__xludf.DUMMYFUNCTION("""COMPUTED_VALUE"""),"2055-06-04T21:54:24.669617Z")</f>
        <v>2055-06-04T21:54:24.669617Z</v>
      </c>
      <c r="J81" s="3" t="str">
        <f ca="1">IFERROR(__xludf.DUMMYFUNCTION("""COMPUTED_VALUE"""),"2055-06-04T22:46:05.837Z")</f>
        <v>2055-06-04T22:46:05.837Z</v>
      </c>
      <c r="K81" s="3" t="str">
        <f ca="1">IFERROR(__xludf.DUMMYFUNCTION("""COMPUTED_VALUE"""),"2055-06-04T22:40:58.837Z")</f>
        <v>2055-06-04T22:40:58.837Z</v>
      </c>
      <c r="L81" s="3">
        <f ca="1">IFERROR(__xludf.DUMMYFUNCTION("""COMPUTED_VALUE"""),1)</f>
        <v>1</v>
      </c>
      <c r="M81" s="3">
        <f ca="1">IFERROR(__xludf.DUMMYFUNCTION("""COMPUTED_VALUE"""),0)</f>
        <v>0</v>
      </c>
      <c r="N81" s="3" t="str">
        <f ca="1">IFERROR(__xludf.DUMMYFUNCTION("""COMPUTED_VALUE"""),"2055-06-04T22:37:53.78409Z")</f>
        <v>2055-06-04T22:37:53.78409Z</v>
      </c>
      <c r="O81" s="3" t="str">
        <f ca="1">IFERROR(__xludf.DUMMYFUNCTION("""COMPUTED_VALUE"""),"2055-06-04T22:52:21.009141Z")</f>
        <v>2055-06-04T22:52:21.009141Z</v>
      </c>
      <c r="P81" s="3" t="str">
        <f ca="1">IFERROR(__xludf.DUMMYFUNCTION("""COMPUTED_VALUE"""),"2055-06-04T21:57:47.458752Z")</f>
        <v>2055-06-04T21:57:47.458752Z</v>
      </c>
      <c r="Q81" s="3">
        <f ca="1">IFERROR(__xludf.DUMMYFUNCTION("""COMPUTED_VALUE"""),0)</f>
        <v>0</v>
      </c>
      <c r="R81" s="3" t="str">
        <f ca="1">IFERROR(__xludf.DUMMYFUNCTION("""COMPUTED_VALUE"""),"2055-06-04T21:57:52.247268Z")</f>
        <v>2055-06-04T21:57:52.247268Z</v>
      </c>
      <c r="S81" s="3" t="str">
        <f ca="1">IFERROR(__xludf.DUMMYFUNCTION("""COMPUTED_VALUE"""),"2055-06-04T22:11:08.016923Z")</f>
        <v>2055-06-04T22:11:08.016923Z</v>
      </c>
      <c r="T81" s="3"/>
      <c r="U81" s="4">
        <f ca="1">IFERROR(__xludf.DUMMYFUNCTION("""COMPUTED_VALUE"""),56769)</f>
        <v>56769</v>
      </c>
      <c r="V81" s="3">
        <f ca="1">IFERROR(__xludf.DUMMYFUNCTION("""COMPUTED_VALUE"""),4.8)</f>
        <v>4.8</v>
      </c>
      <c r="W81" s="3">
        <f ca="1">IFERROR(__xludf.DUMMYFUNCTION("""COMPUTED_VALUE"""),5500)</f>
        <v>5500</v>
      </c>
      <c r="X81" s="3">
        <f ca="1">IFERROR(__xludf.DUMMYFUNCTION("""COMPUTED_VALUE"""),3269)</f>
        <v>3269</v>
      </c>
      <c r="Y81" s="3">
        <f ca="1">IFERROR(__xludf.DUMMYFUNCTION("""COMPUTED_VALUE"""),796)</f>
        <v>796</v>
      </c>
      <c r="Z81" s="3">
        <f ca="1">IFERROR(__xludf.DUMMYFUNCTION("""COMPUTED_VALUE"""),1605)</f>
        <v>1605</v>
      </c>
      <c r="AA81" s="3">
        <f ca="1">IFERROR(__xludf.DUMMYFUNCTION("""COMPUTED_VALUE"""),868)</f>
        <v>868</v>
      </c>
      <c r="AB81" s="3">
        <f ca="1">IFERROR(__xludf.DUMMYFUNCTION("""COMPUTED_VALUE"""),0)</f>
        <v>0</v>
      </c>
      <c r="AC81" s="3">
        <f ca="1">IFERROR(__xludf.DUMMYFUNCTION("""COMPUTED_VALUE"""),4)</f>
        <v>4</v>
      </c>
      <c r="AD81" s="3"/>
      <c r="AE81" s="3" t="str">
        <f ca="1">IFERROR(__xludf.DUMMYFUNCTION("""COMPUTED_VALUE"""),"2055-06-04T18:37:53.78409Z")</f>
        <v>2055-06-04T18:37:53.78409Z</v>
      </c>
      <c r="AF81" s="3" t="str">
        <f ca="1">IFERROR(__xludf.DUMMYFUNCTION("""COMPUTED_VALUE"""),"2055-06-04T18:52:21.009141Z")</f>
        <v>2055-06-04T18:52:21.009141Z</v>
      </c>
      <c r="AG81" s="3" t="str">
        <f ca="1">IFERROR(__xludf.DUMMYFUNCTION("""COMPUTED_VALUE"""),"2055-06-04T17:57:47.458752Z")</f>
        <v>2055-06-04T17:57:47.458752Z</v>
      </c>
      <c r="AH81" s="3" t="str">
        <f ca="1">IFERROR(__xludf.DUMMYFUNCTION("""COMPUTED_VALUE"""),"2055-06-04T18:11:08.016923Z")</f>
        <v>2055-06-04T18:11:08.016923Z</v>
      </c>
      <c r="AI81" s="3">
        <f ca="1">IFERROR(__xludf.DUMMYFUNCTION("""COMPUTED_VALUE"""),4.49)</f>
        <v>4.49</v>
      </c>
      <c r="AJ81" s="3">
        <f ca="1">IFERROR(__xludf.DUMMYFUNCTION("""COMPUTED_VALUE"""),2315)</f>
        <v>2315</v>
      </c>
      <c r="AK81" s="3">
        <f ca="1">IFERROR(__xludf.DUMMYFUNCTION("""COMPUTED_VALUE"""),7039)</f>
        <v>7039</v>
      </c>
      <c r="AL81" s="3">
        <f ca="1">IFERROR(__xludf.DUMMYFUNCTION("""COMPUTED_VALUE"""),763)</f>
        <v>763</v>
      </c>
    </row>
    <row r="82" spans="1:38" ht="13">
      <c r="A82" s="3">
        <f ca="1">IFERROR(__xludf.DUMMYFUNCTION("""COMPUTED_VALUE"""),32)</f>
        <v>32</v>
      </c>
      <c r="B82" s="3"/>
      <c r="C82" s="3">
        <f ca="1">IFERROR(__xludf.DUMMYFUNCTION("""COMPUTED_VALUE"""),4050)</f>
        <v>4050</v>
      </c>
      <c r="D82" s="3" t="str">
        <f ca="1">IFERROR(__xludf.DUMMYFUNCTION("""COMPUTED_VALUE"""),"Doorlanta")</f>
        <v>Doorlanta</v>
      </c>
      <c r="E82" s="3" t="str">
        <f ca="1">IFERROR(__xludf.DUMMYFUNCTION("""COMPUTED_VALUE"""),"Galaxy A")</f>
        <v>Galaxy A</v>
      </c>
      <c r="F82" s="3" t="str">
        <f ca="1">IFERROR(__xludf.DUMMYFUNCTION("""COMPUTED_VALUE"""),"Jagar")</f>
        <v>Jagar</v>
      </c>
      <c r="G82" s="3">
        <f ca="1">IFERROR(__xludf.DUMMYFUNCTION("""COMPUTED_VALUE"""),0)</f>
        <v>0</v>
      </c>
      <c r="H82" s="3" t="str">
        <f ca="1">IFERROR(__xludf.DUMMYFUNCTION("""COMPUTED_VALUE"""),"car")</f>
        <v>car</v>
      </c>
      <c r="I82" s="3" t="str">
        <f ca="1">IFERROR(__xludf.DUMMYFUNCTION("""COMPUTED_VALUE"""),"2055-06-01T20:29:40.389601Z")</f>
        <v>2055-06-01T20:29:40.389601Z</v>
      </c>
      <c r="J82" s="3" t="str">
        <f ca="1">IFERROR(__xludf.DUMMYFUNCTION("""COMPUTED_VALUE"""),"2055-06-01T21:24:40.493Z")</f>
        <v>2055-06-01T21:24:40.493Z</v>
      </c>
      <c r="K82" s="3" t="str">
        <f ca="1">IFERROR(__xludf.DUMMYFUNCTION("""COMPUTED_VALUE"""),"2055-06-01T21:03:45.493Z")</f>
        <v>2055-06-01T21:03:45.493Z</v>
      </c>
      <c r="L82" s="3">
        <f ca="1">IFERROR(__xludf.DUMMYFUNCTION("""COMPUTED_VALUE"""),1)</f>
        <v>1</v>
      </c>
      <c r="M82" s="3">
        <f ca="1">IFERROR(__xludf.DUMMYFUNCTION("""COMPUTED_VALUE"""),0)</f>
        <v>0</v>
      </c>
      <c r="N82" s="3" t="str">
        <f ca="1">IFERROR(__xludf.DUMMYFUNCTION("""COMPUTED_VALUE"""),"2055-06-01T21:03:38.050259Z")</f>
        <v>2055-06-01T21:03:38.050259Z</v>
      </c>
      <c r="O82" s="3" t="str">
        <f ca="1">IFERROR(__xludf.DUMMYFUNCTION("""COMPUTED_VALUE"""),"2055-06-01T21:14:48.736467Z")</f>
        <v>2055-06-01T21:14:48.736467Z</v>
      </c>
      <c r="P82" s="3" t="str">
        <f ca="1">IFERROR(__xludf.DUMMYFUNCTION("""COMPUTED_VALUE"""),"2055-06-01T20:42:27.253365Z")</f>
        <v>2055-06-01T20:42:27.253365Z</v>
      </c>
      <c r="Q82" s="3">
        <f ca="1">IFERROR(__xludf.DUMMYFUNCTION("""COMPUTED_VALUE"""),0)</f>
        <v>0</v>
      </c>
      <c r="R82" s="3" t="str">
        <f ca="1">IFERROR(__xludf.DUMMYFUNCTION("""COMPUTED_VALUE"""),"2055-06-01T20:42:33.476748Z")</f>
        <v>2055-06-01T20:42:33.476748Z</v>
      </c>
      <c r="S82" s="3" t="str">
        <f ca="1">IFERROR(__xludf.DUMMYFUNCTION("""COMPUTED_VALUE"""),"2055-06-01T20:51:35.758237Z")</f>
        <v>2055-06-01T20:51:35.758237Z</v>
      </c>
      <c r="T82" s="3"/>
      <c r="U82" s="4">
        <f ca="1">IFERROR(__xludf.DUMMYFUNCTION("""COMPUTED_VALUE"""),56766)</f>
        <v>56766</v>
      </c>
      <c r="V82" s="3">
        <f ca="1">IFERROR(__xludf.DUMMYFUNCTION("""COMPUTED_VALUE"""),4.5)</f>
        <v>4.5</v>
      </c>
      <c r="W82" s="3">
        <f ca="1">IFERROR(__xludf.DUMMYFUNCTION("""COMPUTED_VALUE"""),5500)</f>
        <v>5500</v>
      </c>
      <c r="X82" s="3">
        <f ca="1">IFERROR(__xludf.DUMMYFUNCTION("""COMPUTED_VALUE"""),1935)</f>
        <v>1935</v>
      </c>
      <c r="Y82" s="3">
        <f ca="1">IFERROR(__xludf.DUMMYFUNCTION("""COMPUTED_VALUE"""),542)</f>
        <v>542</v>
      </c>
      <c r="Z82" s="3">
        <f ca="1">IFERROR(__xludf.DUMMYFUNCTION("""COMPUTED_VALUE"""),723)</f>
        <v>723</v>
      </c>
      <c r="AA82" s="3">
        <f ca="1">IFERROR(__xludf.DUMMYFUNCTION("""COMPUTED_VALUE"""),670)</f>
        <v>670</v>
      </c>
      <c r="AB82" s="3">
        <f ca="1">IFERROR(__xludf.DUMMYFUNCTION("""COMPUTED_VALUE"""),0)</f>
        <v>0</v>
      </c>
      <c r="AC82" s="3">
        <f ca="1">IFERROR(__xludf.DUMMYFUNCTION("""COMPUTED_VALUE"""),25)</f>
        <v>25</v>
      </c>
      <c r="AD82" s="3" t="str">
        <f ca="1">IFERROR(__xludf.DUMMYFUNCTION("""COMPUTED_VALUE"""),"late")</f>
        <v>late</v>
      </c>
      <c r="AE82" s="3" t="str">
        <f ca="1">IFERROR(__xludf.DUMMYFUNCTION("""COMPUTED_VALUE"""),"2055-06-01T17:03:38.050259Z")</f>
        <v>2055-06-01T17:03:38.050259Z</v>
      </c>
      <c r="AF82" s="3" t="str">
        <f ca="1">IFERROR(__xludf.DUMMYFUNCTION("""COMPUTED_VALUE"""),"2055-06-01T17:14:48.736467Z")</f>
        <v>2055-06-01T17:14:48.736467Z</v>
      </c>
      <c r="AG82" s="3" t="str">
        <f ca="1">IFERROR(__xludf.DUMMYFUNCTION("""COMPUTED_VALUE"""),"2055-06-01T16:42:27.253365Z")</f>
        <v>2055-06-01T16:42:27.253365Z</v>
      </c>
      <c r="AH82" s="3" t="str">
        <f ca="1">IFERROR(__xludf.DUMMYFUNCTION("""COMPUTED_VALUE"""),"2055-06-01T16:51:35.758237Z")</f>
        <v>2055-06-01T16:51:35.758237Z</v>
      </c>
      <c r="AI82" s="3">
        <f ca="1">IFERROR(__xludf.DUMMYFUNCTION("""COMPUTED_VALUE"""),4.89)</f>
        <v>4.8899999999999997</v>
      </c>
      <c r="AJ82" s="3">
        <f ca="1">IFERROR(__xludf.DUMMYFUNCTION("""COMPUTED_VALUE"""),1778)</f>
        <v>1778</v>
      </c>
      <c r="AK82" s="3">
        <f ca="1">IFERROR(__xludf.DUMMYFUNCTION("""COMPUTED_VALUE"""),5138)</f>
        <v>5138</v>
      </c>
      <c r="AL82" s="3">
        <f ca="1">IFERROR(__xludf.DUMMYFUNCTION("""COMPUTED_VALUE"""),314)</f>
        <v>314</v>
      </c>
    </row>
    <row r="83" spans="1:38" ht="13">
      <c r="A83" s="3">
        <f ca="1">IFERROR(__xludf.DUMMYFUNCTION("""COMPUTED_VALUE"""),416)</f>
        <v>416</v>
      </c>
      <c r="B83" s="3">
        <f ca="1">IFERROR(__xludf.DUMMYFUNCTION("""COMPUTED_VALUE"""),5)</f>
        <v>5</v>
      </c>
      <c r="C83" s="3">
        <f ca="1">IFERROR(__xludf.DUMMYFUNCTION("""COMPUTED_VALUE"""),4050)</f>
        <v>4050</v>
      </c>
      <c r="D83" s="3" t="str">
        <f ca="1">IFERROR(__xludf.DUMMYFUNCTION("""COMPUTED_VALUE"""),"Doorlanta")</f>
        <v>Doorlanta</v>
      </c>
      <c r="E83" s="3" t="str">
        <f ca="1">IFERROR(__xludf.DUMMYFUNCTION("""COMPUTED_VALUE"""),"Galaxy A")</f>
        <v>Galaxy A</v>
      </c>
      <c r="F83" s="3" t="str">
        <f ca="1">IFERROR(__xludf.DUMMYFUNCTION("""COMPUTED_VALUE"""),"Josh")</f>
        <v>Josh</v>
      </c>
      <c r="G83" s="3">
        <f ca="1">IFERROR(__xludf.DUMMYFUNCTION("""COMPUTED_VALUE"""),0)</f>
        <v>0</v>
      </c>
      <c r="H83" s="3" t="str">
        <f ca="1">IFERROR(__xludf.DUMMYFUNCTION("""COMPUTED_VALUE"""),"car")</f>
        <v>car</v>
      </c>
      <c r="I83" s="3" t="str">
        <f ca="1">IFERROR(__xludf.DUMMYFUNCTION("""COMPUTED_VALUE"""),"2055-06-04T16:43:25.725311Z")</f>
        <v>2055-06-04T16:43:25.725311Z</v>
      </c>
      <c r="J83" s="3" t="str">
        <f ca="1">IFERROR(__xludf.DUMMYFUNCTION("""COMPUTED_VALUE"""),"2055-06-04T17:38:25.807Z")</f>
        <v>2055-06-04T17:38:25.807Z</v>
      </c>
      <c r="K83" s="3" t="str">
        <f ca="1">IFERROR(__xludf.DUMMYFUNCTION("""COMPUTED_VALUE"""),"2055-06-04T17:15:11.807Z")</f>
        <v>2055-06-04T17:15:11.807Z</v>
      </c>
      <c r="L83" s="3">
        <f ca="1">IFERROR(__xludf.DUMMYFUNCTION("""COMPUTED_VALUE"""),1)</f>
        <v>1</v>
      </c>
      <c r="M83" s="3">
        <f ca="1">IFERROR(__xludf.DUMMYFUNCTION("""COMPUTED_VALUE"""),0)</f>
        <v>0</v>
      </c>
      <c r="N83" s="3" t="str">
        <f ca="1">IFERROR(__xludf.DUMMYFUNCTION("""COMPUTED_VALUE"""),"2055-06-04T17:24:50.579363Z")</f>
        <v>2055-06-04T17:24:50.579363Z</v>
      </c>
      <c r="O83" s="3" t="str">
        <f ca="1">IFERROR(__xludf.DUMMYFUNCTION("""COMPUTED_VALUE"""),"2055-06-04T17:30:54.998668Z")</f>
        <v>2055-06-04T17:30:54.998668Z</v>
      </c>
      <c r="P83" s="3" t="str">
        <f ca="1">IFERROR(__xludf.DUMMYFUNCTION("""COMPUTED_VALUE"""),"2055-06-04T16:45:07.312242Z")</f>
        <v>2055-06-04T16:45:07.312242Z</v>
      </c>
      <c r="Q83" s="3">
        <f ca="1">IFERROR(__xludf.DUMMYFUNCTION("""COMPUTED_VALUE"""),0)</f>
        <v>0</v>
      </c>
      <c r="R83" s="3" t="str">
        <f ca="1">IFERROR(__xludf.DUMMYFUNCTION("""COMPUTED_VALUE"""),"2055-06-04T16:45:17.751296Z")</f>
        <v>2055-06-04T16:45:17.751296Z</v>
      </c>
      <c r="S83" s="3" t="str">
        <f ca="1">IFERROR(__xludf.DUMMYFUNCTION("""COMPUTED_VALUE"""),"2055-06-04T16:59:42.206765Z")</f>
        <v>2055-06-04T16:59:42.206765Z</v>
      </c>
      <c r="T83" s="3"/>
      <c r="U83" s="4">
        <f ca="1">IFERROR(__xludf.DUMMYFUNCTION("""COMPUTED_VALUE"""),56769)</f>
        <v>56769</v>
      </c>
      <c r="V83" s="3">
        <f ca="1">IFERROR(__xludf.DUMMYFUNCTION("""COMPUTED_VALUE"""),4.5)</f>
        <v>4.5</v>
      </c>
      <c r="W83" s="3">
        <f ca="1">IFERROR(__xludf.DUMMYFUNCTION("""COMPUTED_VALUE"""),5500)</f>
        <v>5500</v>
      </c>
      <c r="X83" s="3">
        <f ca="1">IFERROR(__xludf.DUMMYFUNCTION("""COMPUTED_VALUE"""),2737)</f>
        <v>2737</v>
      </c>
      <c r="Y83" s="3">
        <f ca="1">IFERROR(__xludf.DUMMYFUNCTION("""COMPUTED_VALUE"""),865)</f>
        <v>865</v>
      </c>
      <c r="Z83" s="3">
        <f ca="1">IFERROR(__xludf.DUMMYFUNCTION("""COMPUTED_VALUE"""),1508)</f>
        <v>1508</v>
      </c>
      <c r="AA83" s="3">
        <f ca="1">IFERROR(__xludf.DUMMYFUNCTION("""COMPUTED_VALUE"""),364)</f>
        <v>364</v>
      </c>
      <c r="AB83" s="3">
        <f ca="1">IFERROR(__xludf.DUMMYFUNCTION("""COMPUTED_VALUE"""),0)</f>
        <v>0</v>
      </c>
      <c r="AC83" s="3">
        <f ca="1">IFERROR(__xludf.DUMMYFUNCTION("""COMPUTED_VALUE"""),7)</f>
        <v>7</v>
      </c>
      <c r="AD83" s="3" t="str">
        <f ca="1">IFERROR(__xludf.DUMMYFUNCTION("""COMPUTED_VALUE"""),"on time")</f>
        <v>on time</v>
      </c>
      <c r="AE83" s="3" t="str">
        <f ca="1">IFERROR(__xludf.DUMMYFUNCTION("""COMPUTED_VALUE"""),"2055-06-04T13:24:50.579363Z")</f>
        <v>2055-06-04T13:24:50.579363Z</v>
      </c>
      <c r="AF83" s="3" t="str">
        <f ca="1">IFERROR(__xludf.DUMMYFUNCTION("""COMPUTED_VALUE"""),"2055-06-04T13:30:54.998668Z")</f>
        <v>2055-06-04T13:30:54.998668Z</v>
      </c>
      <c r="AG83" s="3" t="str">
        <f ca="1">IFERROR(__xludf.DUMMYFUNCTION("""COMPUTED_VALUE"""),"2055-06-04T12:45:07.312242Z")</f>
        <v>2055-06-04T12:45:07.312242Z</v>
      </c>
      <c r="AH83" s="3" t="str">
        <f ca="1">IFERROR(__xludf.DUMMYFUNCTION("""COMPUTED_VALUE"""),"2055-06-04T12:59:42.206765Z")</f>
        <v>2055-06-04T12:59:42.206765Z</v>
      </c>
      <c r="AI83" s="3">
        <f ca="1">IFERROR(__xludf.DUMMYFUNCTION("""COMPUTED_VALUE"""),4.77)</f>
        <v>4.7699999999999996</v>
      </c>
      <c r="AJ83" s="3">
        <f ca="1">IFERROR(__xludf.DUMMYFUNCTION("""COMPUTED_VALUE"""),426)</f>
        <v>426</v>
      </c>
      <c r="AK83" s="3">
        <f ca="1">IFERROR(__xludf.DUMMYFUNCTION("""COMPUTED_VALUE"""),1226)</f>
        <v>1226</v>
      </c>
      <c r="AL83" s="3">
        <f ca="1">IFERROR(__xludf.DUMMYFUNCTION("""COMPUTED_VALUE"""),85)</f>
        <v>85</v>
      </c>
    </row>
    <row r="84" spans="1:38" ht="13">
      <c r="A84" s="3">
        <f ca="1">IFERROR(__xludf.DUMMYFUNCTION("""COMPUTED_VALUE"""),196)</f>
        <v>196</v>
      </c>
      <c r="B84" s="3"/>
      <c r="C84" s="3">
        <f ca="1">IFERROR(__xludf.DUMMYFUNCTION("""COMPUTED_VALUE"""),4001)</f>
        <v>4001</v>
      </c>
      <c r="D84" s="3" t="str">
        <f ca="1">IFERROR(__xludf.DUMMYFUNCTION("""COMPUTED_VALUE"""),"Dashattan")</f>
        <v>Dashattan</v>
      </c>
      <c r="E84" s="3" t="str">
        <f ca="1">IFERROR(__xludf.DUMMYFUNCTION("""COMPUTED_VALUE"""),"Galaxy A")</f>
        <v>Galaxy A</v>
      </c>
      <c r="F84" s="3" t="str">
        <f ca="1">IFERROR(__xludf.DUMMYFUNCTION("""COMPUTED_VALUE"""),"Ron")</f>
        <v>Ron</v>
      </c>
      <c r="G84" s="3">
        <f ca="1">IFERROR(__xludf.DUMMYFUNCTION("""COMPUTED_VALUE"""),0)</f>
        <v>0</v>
      </c>
      <c r="H84" s="3" t="str">
        <f ca="1">IFERROR(__xludf.DUMMYFUNCTION("""COMPUTED_VALUE"""),"bicycle")</f>
        <v>bicycle</v>
      </c>
      <c r="I84" s="3" t="str">
        <f ca="1">IFERROR(__xludf.DUMMYFUNCTION("""COMPUTED_VALUE"""),"2055-06-02T22:49:02.29243Z")</f>
        <v>2055-06-02T22:49:02.29243Z</v>
      </c>
      <c r="J84" s="3" t="str">
        <f ca="1">IFERROR(__xludf.DUMMYFUNCTION("""COMPUTED_VALUE"""),"2055-06-02T23:39:55.374Z")</f>
        <v>2055-06-02T23:39:55.374Z</v>
      </c>
      <c r="K84" s="3" t="str">
        <f ca="1">IFERROR(__xludf.DUMMYFUNCTION("""COMPUTED_VALUE"""),"2055-06-02T23:20:16.374Z")</f>
        <v>2055-06-02T23:20:16.374Z</v>
      </c>
      <c r="L84" s="3">
        <f ca="1">IFERROR(__xludf.DUMMYFUNCTION("""COMPUTED_VALUE"""),1)</f>
        <v>1</v>
      </c>
      <c r="M84" s="3">
        <f ca="1">IFERROR(__xludf.DUMMYFUNCTION("""COMPUTED_VALUE"""),0)</f>
        <v>0</v>
      </c>
      <c r="N84" s="3" t="str">
        <f ca="1">IFERROR(__xludf.DUMMYFUNCTION("""COMPUTED_VALUE"""),"2055-06-02T23:06:13.716498Z")</f>
        <v>2055-06-02T23:06:13.716498Z</v>
      </c>
      <c r="O84" s="3" t="str">
        <f ca="1">IFERROR(__xludf.DUMMYFUNCTION("""COMPUTED_VALUE"""),"2055-06-02T23:27:31.402897Z")</f>
        <v>2055-06-02T23:27:31.402897Z</v>
      </c>
      <c r="P84" s="3" t="str">
        <f ca="1">IFERROR(__xludf.DUMMYFUNCTION("""COMPUTED_VALUE"""),"2055-06-02T22:55:14.498803Z")</f>
        <v>2055-06-02T22:55:14.498803Z</v>
      </c>
      <c r="Q84" s="3">
        <f ca="1">IFERROR(__xludf.DUMMYFUNCTION("""COMPUTED_VALUE"""),0)</f>
        <v>0</v>
      </c>
      <c r="R84" s="3" t="str">
        <f ca="1">IFERROR(__xludf.DUMMYFUNCTION("""COMPUTED_VALUE"""),"2055-06-02T22:55:32.369286Z")</f>
        <v>2055-06-02T22:55:32.369286Z</v>
      </c>
      <c r="S84" s="3" t="str">
        <f ca="1">IFERROR(__xludf.DUMMYFUNCTION("""COMPUTED_VALUE"""),"2055-06-02T23:05:54.267789Z")</f>
        <v>2055-06-02T23:05:54.267789Z</v>
      </c>
      <c r="T84" s="3"/>
      <c r="U84" s="4">
        <f ca="1">IFERROR(__xludf.DUMMYFUNCTION("""COMPUTED_VALUE"""),56767)</f>
        <v>56767</v>
      </c>
      <c r="V84" s="3">
        <f ca="1">IFERROR(__xludf.DUMMYFUNCTION("""COMPUTED_VALUE"""),4.5)</f>
        <v>4.5</v>
      </c>
      <c r="W84" s="3">
        <f ca="1">IFERROR(__xludf.DUMMYFUNCTION("""COMPUTED_VALUE"""),5500)</f>
        <v>5500</v>
      </c>
      <c r="X84" s="3">
        <f ca="1">IFERROR(__xludf.DUMMYFUNCTION("""COMPUTED_VALUE"""),1919)</f>
        <v>1919</v>
      </c>
      <c r="Y84" s="3">
        <f ca="1">IFERROR(__xludf.DUMMYFUNCTION("""COMPUTED_VALUE"""),622)</f>
        <v>622</v>
      </c>
      <c r="Z84" s="3">
        <f ca="1">IFERROR(__xludf.DUMMYFUNCTION("""COMPUTED_VALUE"""),19)</f>
        <v>19</v>
      </c>
      <c r="AA84" s="3">
        <f ca="1">IFERROR(__xludf.DUMMYFUNCTION("""COMPUTED_VALUE"""),1278)</f>
        <v>1278</v>
      </c>
      <c r="AB84" s="3">
        <f ca="1">IFERROR(__xludf.DUMMYFUNCTION("""COMPUTED_VALUE"""),0)</f>
        <v>0</v>
      </c>
      <c r="AC84" s="3">
        <f ca="1">IFERROR(__xludf.DUMMYFUNCTION("""COMPUTED_VALUE"""),8)</f>
        <v>8</v>
      </c>
      <c r="AD84" s="3" t="str">
        <f ca="1">IFERROR(__xludf.DUMMYFUNCTION("""COMPUTED_VALUE"""),"late")</f>
        <v>late</v>
      </c>
      <c r="AE84" s="3" t="str">
        <f ca="1">IFERROR(__xludf.DUMMYFUNCTION("""COMPUTED_VALUE"""),"2055-06-02T19:06:13.716498Z")</f>
        <v>2055-06-02T19:06:13.716498Z</v>
      </c>
      <c r="AF84" s="3" t="str">
        <f ca="1">IFERROR(__xludf.DUMMYFUNCTION("""COMPUTED_VALUE"""),"2055-06-02T19:27:31.402897Z")</f>
        <v>2055-06-02T19:27:31.402897Z</v>
      </c>
      <c r="AG84" s="3" t="str">
        <f ca="1">IFERROR(__xludf.DUMMYFUNCTION("""COMPUTED_VALUE"""),"2055-06-02T18:55:14.498803Z")</f>
        <v>2055-06-02T18:55:14.498803Z</v>
      </c>
      <c r="AH84" s="3" t="str">
        <f ca="1">IFERROR(__xludf.DUMMYFUNCTION("""COMPUTED_VALUE"""),"2055-06-02T19:05:54.267789Z")</f>
        <v>2055-06-02T19:05:54.267789Z</v>
      </c>
      <c r="AI84" s="3">
        <f ca="1">IFERROR(__xludf.DUMMYFUNCTION("""COMPUTED_VALUE"""),4.56)</f>
        <v>4.5599999999999996</v>
      </c>
      <c r="AJ84" s="3">
        <f ca="1">IFERROR(__xludf.DUMMYFUNCTION("""COMPUTED_VALUE"""),765)</f>
        <v>765</v>
      </c>
      <c r="AK84" s="3">
        <f ca="1">IFERROR(__xludf.DUMMYFUNCTION("""COMPUTED_VALUE"""),2618)</f>
        <v>2618</v>
      </c>
      <c r="AL84" s="3"/>
    </row>
    <row r="85" spans="1:38" ht="13">
      <c r="A85" s="3">
        <f ca="1">IFERROR(__xludf.DUMMYFUNCTION("""COMPUTED_VALUE"""),998)</f>
        <v>998</v>
      </c>
      <c r="B85" s="3">
        <f ca="1">IFERROR(__xludf.DUMMYFUNCTION("""COMPUTED_VALUE"""),5)</f>
        <v>5</v>
      </c>
      <c r="C85" s="3">
        <f ca="1">IFERROR(__xludf.DUMMYFUNCTION("""COMPUTED_VALUE"""),4001)</f>
        <v>4001</v>
      </c>
      <c r="D85" s="3" t="str">
        <f ca="1">IFERROR(__xludf.DUMMYFUNCTION("""COMPUTED_VALUE"""),"Dashattan")</f>
        <v>Dashattan</v>
      </c>
      <c r="E85" s="3" t="str">
        <f ca="1">IFERROR(__xludf.DUMMYFUNCTION("""COMPUTED_VALUE"""),"Galaxy A")</f>
        <v>Galaxy A</v>
      </c>
      <c r="F85" s="3" t="str">
        <f ca="1">IFERROR(__xludf.DUMMYFUNCTION("""COMPUTED_VALUE"""),"Arya")</f>
        <v>Arya</v>
      </c>
      <c r="G85" s="3">
        <f ca="1">IFERROR(__xludf.DUMMYFUNCTION("""COMPUTED_VALUE"""),0)</f>
        <v>0</v>
      </c>
      <c r="H85" s="3" t="str">
        <f ca="1">IFERROR(__xludf.DUMMYFUNCTION("""COMPUTED_VALUE"""),"bicycle")</f>
        <v>bicycle</v>
      </c>
      <c r="I85" s="3" t="str">
        <f ca="1">IFERROR(__xludf.DUMMYFUNCTION("""COMPUTED_VALUE"""),"2055-06-09T00:47:54.354437Z")</f>
        <v>2055-06-09T00:47:54.354437Z</v>
      </c>
      <c r="J85" s="3" t="str">
        <f ca="1">IFERROR(__xludf.DUMMYFUNCTION("""COMPUTED_VALUE"""),"2055-06-09T01:51:10.41Z")</f>
        <v>2055-06-09T01:51:10.41Z</v>
      </c>
      <c r="K85" s="3" t="str">
        <f ca="1">IFERROR(__xludf.DUMMYFUNCTION("""COMPUTED_VALUE"""),"2055-06-09T01:27:52.41Z")</f>
        <v>2055-06-09T01:27:52.41Z</v>
      </c>
      <c r="L85" s="3">
        <f ca="1">IFERROR(__xludf.DUMMYFUNCTION("""COMPUTED_VALUE"""),1)</f>
        <v>1</v>
      </c>
      <c r="M85" s="3">
        <f ca="1">IFERROR(__xludf.DUMMYFUNCTION("""COMPUTED_VALUE"""),0)</f>
        <v>0</v>
      </c>
      <c r="N85" s="3" t="str">
        <f ca="1">IFERROR(__xludf.DUMMYFUNCTION("""COMPUTED_VALUE"""),"2055-06-09T01:16:48.852422Z")</f>
        <v>2055-06-09T01:16:48.852422Z</v>
      </c>
      <c r="O85" s="3" t="str">
        <f ca="1">IFERROR(__xludf.DUMMYFUNCTION("""COMPUTED_VALUE"""),"2055-06-09T01:24:38.259111Z")</f>
        <v>2055-06-09T01:24:38.259111Z</v>
      </c>
      <c r="P85" s="3" t="str">
        <f ca="1">IFERROR(__xludf.DUMMYFUNCTION("""COMPUTED_VALUE"""),"2055-06-09T00:54:14.973868Z")</f>
        <v>2055-06-09T00:54:14.973868Z</v>
      </c>
      <c r="Q85" s="3">
        <f ca="1">IFERROR(__xludf.DUMMYFUNCTION("""COMPUTED_VALUE"""),0)</f>
        <v>0</v>
      </c>
      <c r="R85" s="3" t="str">
        <f ca="1">IFERROR(__xludf.DUMMYFUNCTION("""COMPUTED_VALUE"""),"2055-06-09T00:54:21.171139Z")</f>
        <v>2055-06-09T00:54:21.171139Z</v>
      </c>
      <c r="S85" s="3" t="str">
        <f ca="1">IFERROR(__xludf.DUMMYFUNCTION("""COMPUTED_VALUE"""),"2055-06-09T00:58:55.897909Z")</f>
        <v>2055-06-09T00:58:55.897909Z</v>
      </c>
      <c r="T85" s="3"/>
      <c r="U85" s="4">
        <f ca="1">IFERROR(__xludf.DUMMYFUNCTION("""COMPUTED_VALUE"""),56773)</f>
        <v>56773</v>
      </c>
      <c r="V85" s="3">
        <f ca="1">IFERROR(__xludf.DUMMYFUNCTION("""COMPUTED_VALUE"""),2.723971422)</f>
        <v>2.723971422</v>
      </c>
      <c r="W85" s="3">
        <f ca="1">IFERROR(__xludf.DUMMYFUNCTION("""COMPUTED_VALUE"""),5500)</f>
        <v>5500</v>
      </c>
      <c r="X85" s="3">
        <f ca="1">IFERROR(__xludf.DUMMYFUNCTION("""COMPUTED_VALUE"""),1817)</f>
        <v>1817</v>
      </c>
      <c r="Y85" s="3">
        <f ca="1">IFERROR(__xludf.DUMMYFUNCTION("""COMPUTED_VALUE"""),274)</f>
        <v>274</v>
      </c>
      <c r="Z85" s="3">
        <f ca="1">IFERROR(__xludf.DUMMYFUNCTION("""COMPUTED_VALUE"""),1073)</f>
        <v>1073</v>
      </c>
      <c r="AA85" s="3">
        <f ca="1">IFERROR(__xludf.DUMMYFUNCTION("""COMPUTED_VALUE"""),470)</f>
        <v>470</v>
      </c>
      <c r="AB85" s="3">
        <f ca="1">IFERROR(__xludf.DUMMYFUNCTION("""COMPUTED_VALUE"""),0)</f>
        <v>0</v>
      </c>
      <c r="AC85" s="3">
        <f ca="1">IFERROR(__xludf.DUMMYFUNCTION("""COMPUTED_VALUE"""),3)</f>
        <v>3</v>
      </c>
      <c r="AD85" s="3" t="str">
        <f ca="1">IFERROR(__xludf.DUMMYFUNCTION("""COMPUTED_VALUE"""),"early")</f>
        <v>early</v>
      </c>
      <c r="AE85" s="3" t="str">
        <f ca="1">IFERROR(__xludf.DUMMYFUNCTION("""COMPUTED_VALUE"""),"2055-06-08T21:16:48.852422Z")</f>
        <v>2055-06-08T21:16:48.852422Z</v>
      </c>
      <c r="AF85" s="3" t="str">
        <f ca="1">IFERROR(__xludf.DUMMYFUNCTION("""COMPUTED_VALUE"""),"2055-06-08T21:24:38.259111Z")</f>
        <v>2055-06-08T21:24:38.259111Z</v>
      </c>
      <c r="AG85" s="3" t="str">
        <f ca="1">IFERROR(__xludf.DUMMYFUNCTION("""COMPUTED_VALUE"""),"2055-06-08T20:54:14.973868Z")</f>
        <v>2055-06-08T20:54:14.973868Z</v>
      </c>
      <c r="AH85" s="3" t="str">
        <f ca="1">IFERROR(__xludf.DUMMYFUNCTION("""COMPUTED_VALUE"""),"2055-06-08T20:58:55.897909Z")</f>
        <v>2055-06-08T20:58:55.897909Z</v>
      </c>
      <c r="AI85" s="3">
        <f ca="1">IFERROR(__xludf.DUMMYFUNCTION("""COMPUTED_VALUE"""),4.17)</f>
        <v>4.17</v>
      </c>
      <c r="AJ85" s="3">
        <f ca="1">IFERROR(__xludf.DUMMYFUNCTION("""COMPUTED_VALUE"""),457)</f>
        <v>457</v>
      </c>
      <c r="AK85" s="3">
        <f ca="1">IFERROR(__xludf.DUMMYFUNCTION("""COMPUTED_VALUE"""),1599)</f>
        <v>1599</v>
      </c>
      <c r="AL85" s="3"/>
    </row>
    <row r="86" spans="1:38" ht="13">
      <c r="A86" s="3">
        <f ca="1">IFERROR(__xludf.DUMMYFUNCTION("""COMPUTED_VALUE"""),1069)</f>
        <v>1069</v>
      </c>
      <c r="B86" s="3"/>
      <c r="C86" s="3">
        <f ca="1">IFERROR(__xludf.DUMMYFUNCTION("""COMPUTED_VALUE"""),4001)</f>
        <v>4001</v>
      </c>
      <c r="D86" s="3" t="str">
        <f ca="1">IFERROR(__xludf.DUMMYFUNCTION("""COMPUTED_VALUE"""),"Dashattan")</f>
        <v>Dashattan</v>
      </c>
      <c r="E86" s="3" t="str">
        <f ca="1">IFERROR(__xludf.DUMMYFUNCTION("""COMPUTED_VALUE"""),"Galaxy A")</f>
        <v>Galaxy A</v>
      </c>
      <c r="F86" s="3" t="str">
        <f ca="1">IFERROR(__xludf.DUMMYFUNCTION("""COMPUTED_VALUE"""),"Samm")</f>
        <v>Samm</v>
      </c>
      <c r="G86" s="3">
        <f ca="1">IFERROR(__xludf.DUMMYFUNCTION("""COMPUTED_VALUE"""),0)</f>
        <v>0</v>
      </c>
      <c r="H86" s="3" t="str">
        <f ca="1">IFERROR(__xludf.DUMMYFUNCTION("""COMPUTED_VALUE"""),"car")</f>
        <v>car</v>
      </c>
      <c r="I86" s="3" t="str">
        <f ca="1">IFERROR(__xludf.DUMMYFUNCTION("""COMPUTED_VALUE"""),"2055-06-09T22:20:53.356567Z")</f>
        <v>2055-06-09T22:20:53.356567Z</v>
      </c>
      <c r="J86" s="3" t="str">
        <f ca="1">IFERROR(__xludf.DUMMYFUNCTION("""COMPUTED_VALUE"""),"2055-06-09T23:07:13.422Z")</f>
        <v>2055-06-09T23:07:13.422Z</v>
      </c>
      <c r="K86" s="3" t="str">
        <f ca="1">IFERROR(__xludf.DUMMYFUNCTION("""COMPUTED_VALUE"""),"2055-06-09T22:48:20.422Z")</f>
        <v>2055-06-09T22:48:20.422Z</v>
      </c>
      <c r="L86" s="3">
        <f ca="1">IFERROR(__xludf.DUMMYFUNCTION("""COMPUTED_VALUE"""),1)</f>
        <v>1</v>
      </c>
      <c r="M86" s="3">
        <f ca="1">IFERROR(__xludf.DUMMYFUNCTION("""COMPUTED_VALUE"""),0)</f>
        <v>0</v>
      </c>
      <c r="N86" s="3" t="str">
        <f ca="1">IFERROR(__xludf.DUMMYFUNCTION("""COMPUTED_VALUE"""),"2055-06-09T23:03:33.031039Z")</f>
        <v>2055-06-09T23:03:33.031039Z</v>
      </c>
      <c r="O86" s="3" t="str">
        <f ca="1">IFERROR(__xludf.DUMMYFUNCTION("""COMPUTED_VALUE"""),"2055-06-09T23:03:48.762053Z")</f>
        <v>2055-06-09T23:03:48.762053Z</v>
      </c>
      <c r="P86" s="3" t="str">
        <f ca="1">IFERROR(__xludf.DUMMYFUNCTION("""COMPUTED_VALUE"""),"2055-06-09T22:27:14.287625Z")</f>
        <v>2055-06-09T22:27:14.287625Z</v>
      </c>
      <c r="Q86" s="3">
        <f ca="1">IFERROR(__xludf.DUMMYFUNCTION("""COMPUTED_VALUE"""),0)</f>
        <v>0</v>
      </c>
      <c r="R86" s="3" t="str">
        <f ca="1">IFERROR(__xludf.DUMMYFUNCTION("""COMPUTED_VALUE"""),"2055-06-09T22:27:21.409371Z")</f>
        <v>2055-06-09T22:27:21.409371Z</v>
      </c>
      <c r="S86" s="3" t="str">
        <f ca="1">IFERROR(__xludf.DUMMYFUNCTION("""COMPUTED_VALUE"""),"2055-06-09T22:38:29.264796Z")</f>
        <v>2055-06-09T22:38:29.264796Z</v>
      </c>
      <c r="T86" s="3"/>
      <c r="U86" s="4">
        <f ca="1">IFERROR(__xludf.DUMMYFUNCTION("""COMPUTED_VALUE"""),56774)</f>
        <v>56774</v>
      </c>
      <c r="V86" s="3">
        <f ca="1">IFERROR(__xludf.DUMMYFUNCTION("""COMPUTED_VALUE"""),4.6)</f>
        <v>4.5999999999999996</v>
      </c>
      <c r="W86" s="3">
        <f ca="1">IFERROR(__xludf.DUMMYFUNCTION("""COMPUTED_VALUE"""),5500)</f>
        <v>5500</v>
      </c>
      <c r="X86" s="3">
        <f ca="1">IFERROR(__xludf.DUMMYFUNCTION("""COMPUTED_VALUE"""),2187)</f>
        <v>2187</v>
      </c>
      <c r="Y86" s="3">
        <f ca="1">IFERROR(__xludf.DUMMYFUNCTION("""COMPUTED_VALUE"""),668)</f>
        <v>668</v>
      </c>
      <c r="Z86" s="3">
        <f ca="1">IFERROR(__xludf.DUMMYFUNCTION("""COMPUTED_VALUE"""),1504)</f>
        <v>1504</v>
      </c>
      <c r="AA86" s="3">
        <f ca="1">IFERROR(__xludf.DUMMYFUNCTION("""COMPUTED_VALUE"""),15)</f>
        <v>15</v>
      </c>
      <c r="AB86" s="3">
        <f ca="1">IFERROR(__xludf.DUMMYFUNCTION("""COMPUTED_VALUE"""),0)</f>
        <v>0</v>
      </c>
      <c r="AC86" s="3">
        <f ca="1">IFERROR(__xludf.DUMMYFUNCTION("""COMPUTED_VALUE"""),6)</f>
        <v>6</v>
      </c>
      <c r="AD86" s="3" t="str">
        <f ca="1">IFERROR(__xludf.DUMMYFUNCTION("""COMPUTED_VALUE"""),"on time")</f>
        <v>on time</v>
      </c>
      <c r="AE86" s="3" t="str">
        <f ca="1">IFERROR(__xludf.DUMMYFUNCTION("""COMPUTED_VALUE"""),"2055-06-09T19:03:33.031039Z")</f>
        <v>2055-06-09T19:03:33.031039Z</v>
      </c>
      <c r="AF86" s="3" t="str">
        <f ca="1">IFERROR(__xludf.DUMMYFUNCTION("""COMPUTED_VALUE"""),"2055-06-09T19:03:48.762053Z")</f>
        <v>2055-06-09T19:03:48.762053Z</v>
      </c>
      <c r="AG86" s="3" t="str">
        <f ca="1">IFERROR(__xludf.DUMMYFUNCTION("""COMPUTED_VALUE"""),"2055-06-09T18:27:14.287625Z")</f>
        <v>2055-06-09T18:27:14.287625Z</v>
      </c>
      <c r="AH86" s="3" t="str">
        <f ca="1">IFERROR(__xludf.DUMMYFUNCTION("""COMPUTED_VALUE"""),"2055-06-09T18:38:29.264796Z")</f>
        <v>2055-06-09T18:38:29.264796Z</v>
      </c>
      <c r="AI86" s="3">
        <f ca="1">IFERROR(__xludf.DUMMYFUNCTION("""COMPUTED_VALUE"""),4.03)</f>
        <v>4.03</v>
      </c>
      <c r="AJ86" s="3">
        <f ca="1">IFERROR(__xludf.DUMMYFUNCTION("""COMPUTED_VALUE"""),505)</f>
        <v>505</v>
      </c>
      <c r="AK86" s="3">
        <f ca="1">IFERROR(__xludf.DUMMYFUNCTION("""COMPUTED_VALUE"""),1721)</f>
        <v>1721</v>
      </c>
      <c r="AL86" s="3">
        <f ca="1">IFERROR(__xludf.DUMMYFUNCTION("""COMPUTED_VALUE"""),457)</f>
        <v>457</v>
      </c>
    </row>
    <row r="87" spans="1:38" ht="13">
      <c r="A87" s="3">
        <f ca="1">IFERROR(__xludf.DUMMYFUNCTION("""COMPUTED_VALUE"""),261)</f>
        <v>261</v>
      </c>
      <c r="B87" s="3">
        <f ca="1">IFERROR(__xludf.DUMMYFUNCTION("""COMPUTED_VALUE"""),5)</f>
        <v>5</v>
      </c>
      <c r="C87" s="3">
        <f ca="1">IFERROR(__xludf.DUMMYFUNCTION("""COMPUTED_VALUE"""),4050)</f>
        <v>4050</v>
      </c>
      <c r="D87" s="3" t="str">
        <f ca="1">IFERROR(__xludf.DUMMYFUNCTION("""COMPUTED_VALUE"""),"Doorlanta")</f>
        <v>Doorlanta</v>
      </c>
      <c r="E87" s="3" t="str">
        <f ca="1">IFERROR(__xludf.DUMMYFUNCTION("""COMPUTED_VALUE"""),"Galaxy A")</f>
        <v>Galaxy A</v>
      </c>
      <c r="F87" s="3" t="str">
        <f ca="1">IFERROR(__xludf.DUMMYFUNCTION("""COMPUTED_VALUE"""),"Ash")</f>
        <v>Ash</v>
      </c>
      <c r="G87" s="3">
        <f ca="1">IFERROR(__xludf.DUMMYFUNCTION("""COMPUTED_VALUE"""),0)</f>
        <v>0</v>
      </c>
      <c r="H87" s="3" t="str">
        <f ca="1">IFERROR(__xludf.DUMMYFUNCTION("""COMPUTED_VALUE"""),"car")</f>
        <v>car</v>
      </c>
      <c r="I87" s="3" t="str">
        <f ca="1">IFERROR(__xludf.DUMMYFUNCTION("""COMPUTED_VALUE"""),"2055-06-03T15:11:41.7242Z")</f>
        <v>2055-06-03T15:11:41.7242Z</v>
      </c>
      <c r="J87" s="3" t="str">
        <f ca="1">IFERROR(__xludf.DUMMYFUNCTION("""COMPUTED_VALUE"""),"2055-06-03T16:06:41.826Z")</f>
        <v>2055-06-03T16:06:41.826Z</v>
      </c>
      <c r="K87" s="3" t="str">
        <f ca="1">IFERROR(__xludf.DUMMYFUNCTION("""COMPUTED_VALUE"""),"2055-06-03T15:46:23.826Z")</f>
        <v>2055-06-03T15:46:23.826Z</v>
      </c>
      <c r="L87" s="3">
        <f ca="1">IFERROR(__xludf.DUMMYFUNCTION("""COMPUTED_VALUE"""),1)</f>
        <v>1</v>
      </c>
      <c r="M87" s="3">
        <f ca="1">IFERROR(__xludf.DUMMYFUNCTION("""COMPUTED_VALUE"""),0)</f>
        <v>0</v>
      </c>
      <c r="N87" s="3" t="str">
        <f ca="1">IFERROR(__xludf.DUMMYFUNCTION("""COMPUTED_VALUE"""),"2055-06-03T15:39:58.93752Z")</f>
        <v>2055-06-03T15:39:58.93752Z</v>
      </c>
      <c r="O87" s="3" t="str">
        <f ca="1">IFERROR(__xludf.DUMMYFUNCTION("""COMPUTED_VALUE"""),"2055-06-03T15:55:41.506248Z")</f>
        <v>2055-06-03T15:55:41.506248Z</v>
      </c>
      <c r="P87" s="3" t="str">
        <f ca="1">IFERROR(__xludf.DUMMYFUNCTION("""COMPUTED_VALUE"""),"2055-06-03T15:11:47.32699Z")</f>
        <v>2055-06-03T15:11:47.32699Z</v>
      </c>
      <c r="Q87" s="3">
        <f ca="1">IFERROR(__xludf.DUMMYFUNCTION("""COMPUTED_VALUE"""),0)</f>
        <v>0</v>
      </c>
      <c r="R87" s="3" t="str">
        <f ca="1">IFERROR(__xludf.DUMMYFUNCTION("""COMPUTED_VALUE"""),"2055-06-03T15:12:05.235882Z")</f>
        <v>2055-06-03T15:12:05.235882Z</v>
      </c>
      <c r="S87" s="3" t="str">
        <f ca="1">IFERROR(__xludf.DUMMYFUNCTION("""COMPUTED_VALUE"""),"2055-06-03T15:33:13.363801Z")</f>
        <v>2055-06-03T15:33:13.363801Z</v>
      </c>
      <c r="T87" s="3"/>
      <c r="U87" s="4">
        <f ca="1">IFERROR(__xludf.DUMMYFUNCTION("""COMPUTED_VALUE"""),56768)</f>
        <v>56768</v>
      </c>
      <c r="V87" s="3">
        <f ca="1">IFERROR(__xludf.DUMMYFUNCTION("""COMPUTED_VALUE"""),4.5)</f>
        <v>4.5</v>
      </c>
      <c r="W87" s="3">
        <f ca="1">IFERROR(__xludf.DUMMYFUNCTION("""COMPUTED_VALUE"""),5500)</f>
        <v>5500</v>
      </c>
      <c r="X87" s="3">
        <f ca="1">IFERROR(__xludf.DUMMYFUNCTION("""COMPUTED_VALUE"""),2616)</f>
        <v>2616</v>
      </c>
      <c r="Y87" s="3">
        <f ca="1">IFERROR(__xludf.DUMMYFUNCTION("""COMPUTED_VALUE"""),1268)</f>
        <v>1268</v>
      </c>
      <c r="Z87" s="3">
        <f ca="1">IFERROR(__xludf.DUMMYFUNCTION("""COMPUTED_VALUE"""),405)</f>
        <v>405</v>
      </c>
      <c r="AA87" s="3">
        <f ca="1">IFERROR(__xludf.DUMMYFUNCTION("""COMPUTED_VALUE"""),943)</f>
        <v>943</v>
      </c>
      <c r="AB87" s="3">
        <f ca="1">IFERROR(__xludf.DUMMYFUNCTION("""COMPUTED_VALUE"""),0)</f>
        <v>0</v>
      </c>
      <c r="AC87" s="3">
        <f ca="1">IFERROR(__xludf.DUMMYFUNCTION("""COMPUTED_VALUE"""),3)</f>
        <v>3</v>
      </c>
      <c r="AD87" s="3" t="str">
        <f ca="1">IFERROR(__xludf.DUMMYFUNCTION("""COMPUTED_VALUE"""),"late")</f>
        <v>late</v>
      </c>
      <c r="AE87" s="3" t="str">
        <f ca="1">IFERROR(__xludf.DUMMYFUNCTION("""COMPUTED_VALUE"""),"2055-06-03T11:39:58.93752Z")</f>
        <v>2055-06-03T11:39:58.93752Z</v>
      </c>
      <c r="AF87" s="3" t="str">
        <f ca="1">IFERROR(__xludf.DUMMYFUNCTION("""COMPUTED_VALUE"""),"2055-06-03T11:55:41.506248Z")</f>
        <v>2055-06-03T11:55:41.506248Z</v>
      </c>
      <c r="AG87" s="3" t="str">
        <f ca="1">IFERROR(__xludf.DUMMYFUNCTION("""COMPUTED_VALUE"""),"2055-06-03T11:11:47.32699Z")</f>
        <v>2055-06-03T11:11:47.32699Z</v>
      </c>
      <c r="AH87" s="3" t="str">
        <f ca="1">IFERROR(__xludf.DUMMYFUNCTION("""COMPUTED_VALUE"""),"2055-06-03T11:33:13.363801Z")</f>
        <v>2055-06-03T11:33:13.363801Z</v>
      </c>
      <c r="AI87" s="3">
        <f ca="1">IFERROR(__xludf.DUMMYFUNCTION("""COMPUTED_VALUE"""),4.66)</f>
        <v>4.66</v>
      </c>
      <c r="AJ87" s="3">
        <f ca="1">IFERROR(__xludf.DUMMYFUNCTION("""COMPUTED_VALUE"""),161)</f>
        <v>161</v>
      </c>
      <c r="AK87" s="3">
        <f ca="1">IFERROR(__xludf.DUMMYFUNCTION("""COMPUTED_VALUE"""),398)</f>
        <v>398</v>
      </c>
      <c r="AL87" s="3"/>
    </row>
    <row r="88" spans="1:38" ht="13">
      <c r="A88" s="3">
        <f ca="1">IFERROR(__xludf.DUMMYFUNCTION("""COMPUTED_VALUE"""),740)</f>
        <v>740</v>
      </c>
      <c r="B88" s="3">
        <f ca="1">IFERROR(__xludf.DUMMYFUNCTION("""COMPUTED_VALUE"""),5)</f>
        <v>5</v>
      </c>
      <c r="C88" s="3">
        <f ca="1">IFERROR(__xludf.DUMMYFUNCTION("""COMPUTED_VALUE"""),4050)</f>
        <v>4050</v>
      </c>
      <c r="D88" s="3" t="str">
        <f ca="1">IFERROR(__xludf.DUMMYFUNCTION("""COMPUTED_VALUE"""),"Doorlanta")</f>
        <v>Doorlanta</v>
      </c>
      <c r="E88" s="3" t="str">
        <f ca="1">IFERROR(__xludf.DUMMYFUNCTION("""COMPUTED_VALUE"""),"Galaxy A")</f>
        <v>Galaxy A</v>
      </c>
      <c r="F88" s="3" t="str">
        <f ca="1">IFERROR(__xludf.DUMMYFUNCTION("""COMPUTED_VALUE"""),"Jagar")</f>
        <v>Jagar</v>
      </c>
      <c r="G88" s="3">
        <f ca="1">IFERROR(__xludf.DUMMYFUNCTION("""COMPUTED_VALUE"""),0)</f>
        <v>0</v>
      </c>
      <c r="H88" s="3" t="str">
        <f ca="1">IFERROR(__xludf.DUMMYFUNCTION("""COMPUTED_VALUE"""),"car")</f>
        <v>car</v>
      </c>
      <c r="I88" s="3" t="str">
        <f ca="1">IFERROR(__xludf.DUMMYFUNCTION("""COMPUTED_VALUE"""),"2055-06-06T16:34:33.204977Z")</f>
        <v>2055-06-06T16:34:33.204977Z</v>
      </c>
      <c r="J88" s="3" t="str">
        <f ca="1">IFERROR(__xludf.DUMMYFUNCTION("""COMPUTED_VALUE"""),"2055-06-06T17:36:36.266Z")</f>
        <v>2055-06-06T17:36:36.266Z</v>
      </c>
      <c r="K88" s="3" t="str">
        <f ca="1">IFERROR(__xludf.DUMMYFUNCTION("""COMPUTED_VALUE"""),"2055-06-06T17:26:29.266Z")</f>
        <v>2055-06-06T17:26:29.266Z</v>
      </c>
      <c r="L88" s="3">
        <f ca="1">IFERROR(__xludf.DUMMYFUNCTION("""COMPUTED_VALUE"""),1)</f>
        <v>1</v>
      </c>
      <c r="M88" s="3">
        <f ca="1">IFERROR(__xludf.DUMMYFUNCTION("""COMPUTED_VALUE"""),0)</f>
        <v>0</v>
      </c>
      <c r="N88" s="3" t="str">
        <f ca="1">IFERROR(__xludf.DUMMYFUNCTION("""COMPUTED_VALUE"""),"2055-06-06T17:18:50.467822Z")</f>
        <v>2055-06-06T17:18:50.467822Z</v>
      </c>
      <c r="O88" s="3" t="str">
        <f ca="1">IFERROR(__xludf.DUMMYFUNCTION("""COMPUTED_VALUE"""),"2055-06-06T17:30:06.138833Z")</f>
        <v>2055-06-06T17:30:06.138833Z</v>
      </c>
      <c r="P88" s="3" t="str">
        <f ca="1">IFERROR(__xludf.DUMMYFUNCTION("""COMPUTED_VALUE"""),"2055-06-06T16:34:47.321813Z")</f>
        <v>2055-06-06T16:34:47.321813Z</v>
      </c>
      <c r="Q88" s="3">
        <f ca="1">IFERROR(__xludf.DUMMYFUNCTION("""COMPUTED_VALUE"""),0)</f>
        <v>0</v>
      </c>
      <c r="R88" s="3" t="str">
        <f ca="1">IFERROR(__xludf.DUMMYFUNCTION("""COMPUTED_VALUE"""),"2055-06-06T16:34:53.747295Z")</f>
        <v>2055-06-06T16:34:53.747295Z</v>
      </c>
      <c r="S88" s="3" t="str">
        <f ca="1">IFERROR(__xludf.DUMMYFUNCTION("""COMPUTED_VALUE"""),"2055-06-06T16:44:50.339895Z")</f>
        <v>2055-06-06T16:44:50.339895Z</v>
      </c>
      <c r="T88" s="3"/>
      <c r="U88" s="4">
        <f ca="1">IFERROR(__xludf.DUMMYFUNCTION("""COMPUTED_VALUE"""),56771)</f>
        <v>56771</v>
      </c>
      <c r="V88" s="3">
        <f ca="1">IFERROR(__xludf.DUMMYFUNCTION("""COMPUTED_VALUE"""),4.4)</f>
        <v>4.4000000000000004</v>
      </c>
      <c r="W88" s="3">
        <f ca="1">IFERROR(__xludf.DUMMYFUNCTION("""COMPUTED_VALUE"""),5500)</f>
        <v>5500</v>
      </c>
      <c r="X88" s="3">
        <f ca="1">IFERROR(__xludf.DUMMYFUNCTION("""COMPUTED_VALUE"""),3313)</f>
        <v>3313</v>
      </c>
      <c r="Y88" s="3">
        <f ca="1">IFERROR(__xludf.DUMMYFUNCTION("""COMPUTED_VALUE"""),597)</f>
        <v>597</v>
      </c>
      <c r="Z88" s="3">
        <f ca="1">IFERROR(__xludf.DUMMYFUNCTION("""COMPUTED_VALUE"""),2040)</f>
        <v>2040</v>
      </c>
      <c r="AA88" s="3">
        <f ca="1">IFERROR(__xludf.DUMMYFUNCTION("""COMPUTED_VALUE"""),676)</f>
        <v>676</v>
      </c>
      <c r="AB88" s="3">
        <f ca="1">IFERROR(__xludf.DUMMYFUNCTION("""COMPUTED_VALUE"""),1)</f>
        <v>1</v>
      </c>
      <c r="AC88" s="3">
        <f ca="1">IFERROR(__xludf.DUMMYFUNCTION("""COMPUTED_VALUE"""),4)</f>
        <v>4</v>
      </c>
      <c r="AD88" s="3"/>
      <c r="AE88" s="3" t="str">
        <f ca="1">IFERROR(__xludf.DUMMYFUNCTION("""COMPUTED_VALUE"""),"2055-06-06T13:18:50.467822Z")</f>
        <v>2055-06-06T13:18:50.467822Z</v>
      </c>
      <c r="AF88" s="3" t="str">
        <f ca="1">IFERROR(__xludf.DUMMYFUNCTION("""COMPUTED_VALUE"""),"2055-06-06T13:30:06.138833Z")</f>
        <v>2055-06-06T13:30:06.138833Z</v>
      </c>
      <c r="AG88" s="3" t="str">
        <f ca="1">IFERROR(__xludf.DUMMYFUNCTION("""COMPUTED_VALUE"""),"2055-06-06T12:34:47.321813Z")</f>
        <v>2055-06-06T12:34:47.321813Z</v>
      </c>
      <c r="AH88" s="3" t="str">
        <f ca="1">IFERROR(__xludf.DUMMYFUNCTION("""COMPUTED_VALUE"""),"2055-06-06T12:44:50.339895Z")</f>
        <v>2055-06-06T12:44:50.339895Z</v>
      </c>
      <c r="AI88" s="3">
        <f ca="1">IFERROR(__xludf.DUMMYFUNCTION("""COMPUTED_VALUE"""),4.89)</f>
        <v>4.8899999999999997</v>
      </c>
      <c r="AJ88" s="3">
        <f ca="1">IFERROR(__xludf.DUMMYFUNCTION("""COMPUTED_VALUE"""),1778)</f>
        <v>1778</v>
      </c>
      <c r="AK88" s="3">
        <f ca="1">IFERROR(__xludf.DUMMYFUNCTION("""COMPUTED_VALUE"""),5138)</f>
        <v>5138</v>
      </c>
      <c r="AL88" s="3">
        <f ca="1">IFERROR(__xludf.DUMMYFUNCTION("""COMPUTED_VALUE"""),314)</f>
        <v>314</v>
      </c>
    </row>
    <row r="89" spans="1:38" ht="13">
      <c r="A89" s="3">
        <f ca="1">IFERROR(__xludf.DUMMYFUNCTION("""COMPUTED_VALUE"""),981)</f>
        <v>981</v>
      </c>
      <c r="B89" s="3">
        <f ca="1">IFERROR(__xludf.DUMMYFUNCTION("""COMPUTED_VALUE"""),5)</f>
        <v>5</v>
      </c>
      <c r="C89" s="3">
        <f ca="1">IFERROR(__xludf.DUMMYFUNCTION("""COMPUTED_VALUE"""),4001)</f>
        <v>4001</v>
      </c>
      <c r="D89" s="3" t="str">
        <f ca="1">IFERROR(__xludf.DUMMYFUNCTION("""COMPUTED_VALUE"""),"Dashattan")</f>
        <v>Dashattan</v>
      </c>
      <c r="E89" s="3" t="str">
        <f ca="1">IFERROR(__xludf.DUMMYFUNCTION("""COMPUTED_VALUE"""),"Galaxy A")</f>
        <v>Galaxy A</v>
      </c>
      <c r="F89" s="3" t="str">
        <f ca="1">IFERROR(__xludf.DUMMYFUNCTION("""COMPUTED_VALUE"""),"Rojan")</f>
        <v>Rojan</v>
      </c>
      <c r="G89" s="3">
        <f ca="1">IFERROR(__xludf.DUMMYFUNCTION("""COMPUTED_VALUE"""),0)</f>
        <v>0</v>
      </c>
      <c r="H89" s="3" t="str">
        <f ca="1">IFERROR(__xludf.DUMMYFUNCTION("""COMPUTED_VALUE"""),"bicycle")</f>
        <v>bicycle</v>
      </c>
      <c r="I89" s="3" t="str">
        <f ca="1">IFERROR(__xludf.DUMMYFUNCTION("""COMPUTED_VALUE"""),"2055-06-08T22:50:15.85403Z")</f>
        <v>2055-06-08T22:50:15.85403Z</v>
      </c>
      <c r="J89" s="3" t="str">
        <f ca="1">IFERROR(__xludf.DUMMYFUNCTION("""COMPUTED_VALUE"""),"2055-06-08T23:39:09.92Z")</f>
        <v>2055-06-08T23:39:09.92Z</v>
      </c>
      <c r="K89" s="3" t="str">
        <f ca="1">IFERROR(__xludf.DUMMYFUNCTION("""COMPUTED_VALUE"""),"2055-06-08T23:20:16.92Z")</f>
        <v>2055-06-08T23:20:16.92Z</v>
      </c>
      <c r="L89" s="3">
        <f ca="1">IFERROR(__xludf.DUMMYFUNCTION("""COMPUTED_VALUE"""),1)</f>
        <v>1</v>
      </c>
      <c r="M89" s="3">
        <f ca="1">IFERROR(__xludf.DUMMYFUNCTION("""COMPUTED_VALUE"""),0)</f>
        <v>0</v>
      </c>
      <c r="N89" s="3" t="str">
        <f ca="1">IFERROR(__xludf.DUMMYFUNCTION("""COMPUTED_VALUE"""),"2055-06-08T23:28:44.448367Z")</f>
        <v>2055-06-08T23:28:44.448367Z</v>
      </c>
      <c r="O89" s="3" t="str">
        <f ca="1">IFERROR(__xludf.DUMMYFUNCTION("""COMPUTED_VALUE"""),"2055-06-08T23:38:00.82599Z")</f>
        <v>2055-06-08T23:38:00.82599Z</v>
      </c>
      <c r="P89" s="3" t="str">
        <f ca="1">IFERROR(__xludf.DUMMYFUNCTION("""COMPUTED_VALUE"""),"2055-06-08T22:53:34.473415Z")</f>
        <v>2055-06-08T22:53:34.473415Z</v>
      </c>
      <c r="Q89" s="3">
        <f ca="1">IFERROR(__xludf.DUMMYFUNCTION("""COMPUTED_VALUE"""),0)</f>
        <v>0</v>
      </c>
      <c r="R89" s="3" t="str">
        <f ca="1">IFERROR(__xludf.DUMMYFUNCTION("""COMPUTED_VALUE"""),"2055-06-08T22:53:47.28334Z")</f>
        <v>2055-06-08T22:53:47.28334Z</v>
      </c>
      <c r="S89" s="3" t="str">
        <f ca="1">IFERROR(__xludf.DUMMYFUNCTION("""COMPUTED_VALUE"""),"2055-06-08T23:25:49.429144Z")</f>
        <v>2055-06-08T23:25:49.429144Z</v>
      </c>
      <c r="T89" s="3"/>
      <c r="U89" s="4">
        <f ca="1">IFERROR(__xludf.DUMMYFUNCTION("""COMPUTED_VALUE"""),56773)</f>
        <v>56773</v>
      </c>
      <c r="V89" s="3">
        <f ca="1">IFERROR(__xludf.DUMMYFUNCTION("""COMPUTED_VALUE"""),4)</f>
        <v>4</v>
      </c>
      <c r="W89" s="3">
        <f ca="1">IFERROR(__xludf.DUMMYFUNCTION("""COMPUTED_VALUE"""),5500)</f>
        <v>5500</v>
      </c>
      <c r="X89" s="3">
        <f ca="1">IFERROR(__xludf.DUMMYFUNCTION("""COMPUTED_VALUE"""),2653)</f>
        <v>2653</v>
      </c>
      <c r="Y89" s="3">
        <f ca="1">IFERROR(__xludf.DUMMYFUNCTION("""COMPUTED_VALUE"""),1922)</f>
        <v>1922</v>
      </c>
      <c r="Z89" s="3">
        <f ca="1">IFERROR(__xludf.DUMMYFUNCTION("""COMPUTED_VALUE"""),175)</f>
        <v>175</v>
      </c>
      <c r="AA89" s="3">
        <f ca="1">IFERROR(__xludf.DUMMYFUNCTION("""COMPUTED_VALUE"""),556)</f>
        <v>556</v>
      </c>
      <c r="AB89" s="3">
        <f ca="1">IFERROR(__xludf.DUMMYFUNCTION("""COMPUTED_VALUE"""),0)</f>
        <v>0</v>
      </c>
      <c r="AC89" s="3">
        <f ca="1">IFERROR(__xludf.DUMMYFUNCTION("""COMPUTED_VALUE"""),6)</f>
        <v>6</v>
      </c>
      <c r="AD89" s="3" t="str">
        <f ca="1">IFERROR(__xludf.DUMMYFUNCTION("""COMPUTED_VALUE"""),"late")</f>
        <v>late</v>
      </c>
      <c r="AE89" s="3" t="str">
        <f ca="1">IFERROR(__xludf.DUMMYFUNCTION("""COMPUTED_VALUE"""),"2055-06-08T19:28:44.448367Z")</f>
        <v>2055-06-08T19:28:44.448367Z</v>
      </c>
      <c r="AF89" s="3" t="str">
        <f ca="1">IFERROR(__xludf.DUMMYFUNCTION("""COMPUTED_VALUE"""),"2055-06-08T19:38:00.82599Z")</f>
        <v>2055-06-08T19:38:00.82599Z</v>
      </c>
      <c r="AG89" s="3" t="str">
        <f ca="1">IFERROR(__xludf.DUMMYFUNCTION("""COMPUTED_VALUE"""),"2055-06-08T18:53:34.473415Z")</f>
        <v>2055-06-08T18:53:34.473415Z</v>
      </c>
      <c r="AH89" s="3" t="str">
        <f ca="1">IFERROR(__xludf.DUMMYFUNCTION("""COMPUTED_VALUE"""),"2055-06-08T19:25:49.429144Z")</f>
        <v>2055-06-08T19:25:49.429144Z</v>
      </c>
      <c r="AI89" s="3">
        <f ca="1">IFERROR(__xludf.DUMMYFUNCTION("""COMPUTED_VALUE"""),4.58)</f>
        <v>4.58</v>
      </c>
      <c r="AJ89" s="3">
        <f ca="1">IFERROR(__xludf.DUMMYFUNCTION("""COMPUTED_VALUE"""),254)</f>
        <v>254</v>
      </c>
      <c r="AK89" s="3">
        <f ca="1">IFERROR(__xludf.DUMMYFUNCTION("""COMPUTED_VALUE"""),788)</f>
        <v>788</v>
      </c>
      <c r="AL89" s="3">
        <f ca="1">IFERROR(__xludf.DUMMYFUNCTION("""COMPUTED_VALUE"""),9)</f>
        <v>9</v>
      </c>
    </row>
    <row r="90" spans="1:38" ht="13">
      <c r="A90" s="3">
        <f ca="1">IFERROR(__xludf.DUMMYFUNCTION("""COMPUTED_VALUE"""),510)</f>
        <v>510</v>
      </c>
      <c r="B90" s="3"/>
      <c r="C90" s="3">
        <f ca="1">IFERROR(__xludf.DUMMYFUNCTION("""COMPUTED_VALUE"""),4050)</f>
        <v>4050</v>
      </c>
      <c r="D90" s="3" t="str">
        <f ca="1">IFERROR(__xludf.DUMMYFUNCTION("""COMPUTED_VALUE"""),"Doorlanta")</f>
        <v>Doorlanta</v>
      </c>
      <c r="E90" s="3" t="str">
        <f ca="1">IFERROR(__xludf.DUMMYFUNCTION("""COMPUTED_VALUE"""),"Galaxy A")</f>
        <v>Galaxy A</v>
      </c>
      <c r="F90" s="3" t="str">
        <f ca="1">IFERROR(__xludf.DUMMYFUNCTION("""COMPUTED_VALUE"""),"Erinn")</f>
        <v>Erinn</v>
      </c>
      <c r="G90" s="3">
        <f ca="1">IFERROR(__xludf.DUMMYFUNCTION("""COMPUTED_VALUE"""),0)</f>
        <v>0</v>
      </c>
      <c r="H90" s="3" t="str">
        <f ca="1">IFERROR(__xludf.DUMMYFUNCTION("""COMPUTED_VALUE"""),"car")</f>
        <v>car</v>
      </c>
      <c r="I90" s="3" t="str">
        <f ca="1">IFERROR(__xludf.DUMMYFUNCTION("""COMPUTED_VALUE"""),"2055-06-05T00:24:51.482376Z")</f>
        <v>2055-06-05T00:24:51.482376Z</v>
      </c>
      <c r="J90" s="3" t="str">
        <f ca="1">IFERROR(__xludf.DUMMYFUNCTION("""COMPUTED_VALUE"""),"2055-06-05T01:30:00Z")</f>
        <v>2055-06-05T01:30:00Z</v>
      </c>
      <c r="K90" s="3" t="str">
        <f ca="1">IFERROR(__xludf.DUMMYFUNCTION("""COMPUTED_VALUE"""),"2055-06-05T01:30:00Z")</f>
        <v>2055-06-05T01:30:00Z</v>
      </c>
      <c r="L90" s="3">
        <f ca="1">IFERROR(__xludf.DUMMYFUNCTION("""COMPUTED_VALUE"""),0)</f>
        <v>0</v>
      </c>
      <c r="M90" s="3">
        <f ca="1">IFERROR(__xludf.DUMMYFUNCTION("""COMPUTED_VALUE"""),0)</f>
        <v>0</v>
      </c>
      <c r="N90" s="3" t="str">
        <f ca="1">IFERROR(__xludf.DUMMYFUNCTION("""COMPUTED_VALUE"""),"2055-06-05T00:53:17.553517Z")</f>
        <v>2055-06-05T00:53:17.553517Z</v>
      </c>
      <c r="O90" s="3" t="str">
        <f ca="1">IFERROR(__xludf.DUMMYFUNCTION("""COMPUTED_VALUE"""),"2055-06-05T01:07:54.453115Z")</f>
        <v>2055-06-05T01:07:54.453115Z</v>
      </c>
      <c r="P90" s="3" t="str">
        <f ca="1">IFERROR(__xludf.DUMMYFUNCTION("""COMPUTED_VALUE"""),"2055-06-05T00:32:07.712462Z")</f>
        <v>2055-06-05T00:32:07.712462Z</v>
      </c>
      <c r="Q90" s="3">
        <f ca="1">IFERROR(__xludf.DUMMYFUNCTION("""COMPUTED_VALUE"""),0)</f>
        <v>0</v>
      </c>
      <c r="R90" s="3" t="str">
        <f ca="1">IFERROR(__xludf.DUMMYFUNCTION("""COMPUTED_VALUE"""),"2055-06-05T00:32:14.48865Z")</f>
        <v>2055-06-05T00:32:14.48865Z</v>
      </c>
      <c r="S90" s="3" t="str">
        <f ca="1">IFERROR(__xludf.DUMMYFUNCTION("""COMPUTED_VALUE"""),"2055-06-05T00:50:48.5898Z")</f>
        <v>2055-06-05T00:50:48.5898Z</v>
      </c>
      <c r="T90" s="3"/>
      <c r="U90" s="4">
        <f ca="1">IFERROR(__xludf.DUMMYFUNCTION("""COMPUTED_VALUE"""),56769)</f>
        <v>56769</v>
      </c>
      <c r="V90" s="3">
        <f ca="1">IFERROR(__xludf.DUMMYFUNCTION("""COMPUTED_VALUE"""),5)</f>
        <v>5</v>
      </c>
      <c r="W90" s="3">
        <f ca="1">IFERROR(__xludf.DUMMYFUNCTION("""COMPUTED_VALUE"""),5500)</f>
        <v>5500</v>
      </c>
      <c r="X90" s="3">
        <f ca="1">IFERROR(__xludf.DUMMYFUNCTION("""COMPUTED_VALUE"""),2140)</f>
        <v>2140</v>
      </c>
      <c r="Y90" s="3">
        <f ca="1">IFERROR(__xludf.DUMMYFUNCTION("""COMPUTED_VALUE"""),1114)</f>
        <v>1114</v>
      </c>
      <c r="Z90" s="3">
        <f ca="1">IFERROR(__xludf.DUMMYFUNCTION("""COMPUTED_VALUE"""),149)</f>
        <v>149</v>
      </c>
      <c r="AA90" s="3">
        <f ca="1">IFERROR(__xludf.DUMMYFUNCTION("""COMPUTED_VALUE"""),877)</f>
        <v>877</v>
      </c>
      <c r="AB90" s="3">
        <f ca="1">IFERROR(__xludf.DUMMYFUNCTION("""COMPUTED_VALUE"""),0)</f>
        <v>0</v>
      </c>
      <c r="AC90" s="3">
        <f ca="1">IFERROR(__xludf.DUMMYFUNCTION("""COMPUTED_VALUE"""),5)</f>
        <v>5</v>
      </c>
      <c r="AD90" s="3" t="str">
        <f ca="1">IFERROR(__xludf.DUMMYFUNCTION("""COMPUTED_VALUE"""),"late")</f>
        <v>late</v>
      </c>
      <c r="AE90" s="3" t="str">
        <f ca="1">IFERROR(__xludf.DUMMYFUNCTION("""COMPUTED_VALUE"""),"2055-06-04T20:53:17.553517Z")</f>
        <v>2055-06-04T20:53:17.553517Z</v>
      </c>
      <c r="AF90" s="3" t="str">
        <f ca="1">IFERROR(__xludf.DUMMYFUNCTION("""COMPUTED_VALUE"""),"2055-06-04T21:07:54.453115Z")</f>
        <v>2055-06-04T21:07:54.453115Z</v>
      </c>
      <c r="AG90" s="3" t="str">
        <f ca="1">IFERROR(__xludf.DUMMYFUNCTION("""COMPUTED_VALUE"""),"2055-06-04T20:32:07.712462Z")</f>
        <v>2055-06-04T20:32:07.712462Z</v>
      </c>
      <c r="AH90" s="3" t="str">
        <f ca="1">IFERROR(__xludf.DUMMYFUNCTION("""COMPUTED_VALUE"""),"2055-06-04T20:50:48.5898Z")</f>
        <v>2055-06-04T20:50:48.5898Z</v>
      </c>
      <c r="AI90" s="3">
        <f ca="1">IFERROR(__xludf.DUMMYFUNCTION("""COMPUTED_VALUE"""),4.376470588)</f>
        <v>4.3764705880000001</v>
      </c>
      <c r="AJ90" s="3">
        <f ca="1">IFERROR(__xludf.DUMMYFUNCTION("""COMPUTED_VALUE"""),62)</f>
        <v>62</v>
      </c>
      <c r="AK90" s="3">
        <f ca="1">IFERROR(__xludf.DUMMYFUNCTION("""COMPUTED_VALUE"""),219)</f>
        <v>219</v>
      </c>
      <c r="AL90" s="3">
        <f ca="1">IFERROR(__xludf.DUMMYFUNCTION("""COMPUTED_VALUE"""),113)</f>
        <v>113</v>
      </c>
    </row>
    <row r="91" spans="1:38" ht="13">
      <c r="A91" s="3">
        <f ca="1">IFERROR(__xludf.DUMMYFUNCTION("""COMPUTED_VALUE"""),699)</f>
        <v>699</v>
      </c>
      <c r="B91" s="3">
        <f ca="1">IFERROR(__xludf.DUMMYFUNCTION("""COMPUTED_VALUE"""),5)</f>
        <v>5</v>
      </c>
      <c r="C91" s="3">
        <f ca="1">IFERROR(__xludf.DUMMYFUNCTION("""COMPUTED_VALUE"""),4001)</f>
        <v>4001</v>
      </c>
      <c r="D91" s="3" t="str">
        <f ca="1">IFERROR(__xludf.DUMMYFUNCTION("""COMPUTED_VALUE"""),"Dashattan")</f>
        <v>Dashattan</v>
      </c>
      <c r="E91" s="3" t="str">
        <f ca="1">IFERROR(__xludf.DUMMYFUNCTION("""COMPUTED_VALUE"""),"Galaxy A")</f>
        <v>Galaxy A</v>
      </c>
      <c r="F91" s="3" t="str">
        <f ca="1">IFERROR(__xludf.DUMMYFUNCTION("""COMPUTED_VALUE"""),"Bill")</f>
        <v>Bill</v>
      </c>
      <c r="G91" s="3">
        <f ca="1">IFERROR(__xludf.DUMMYFUNCTION("""COMPUTED_VALUE"""),0)</f>
        <v>0</v>
      </c>
      <c r="H91" s="3" t="str">
        <f ca="1">IFERROR(__xludf.DUMMYFUNCTION("""COMPUTED_VALUE"""),"car")</f>
        <v>car</v>
      </c>
      <c r="I91" s="3" t="str">
        <f ca="1">IFERROR(__xludf.DUMMYFUNCTION("""COMPUTED_VALUE"""),"2055-06-06T00:17:20.304922Z")</f>
        <v>2055-06-06T00:17:20.304922Z</v>
      </c>
      <c r="J91" s="3" t="str">
        <f ca="1">IFERROR(__xludf.DUMMYFUNCTION("""COMPUTED_VALUE"""),"2055-06-06T01:15:35.365Z")</f>
        <v>2055-06-06T01:15:35.365Z</v>
      </c>
      <c r="K91" s="3" t="str">
        <f ca="1">IFERROR(__xludf.DUMMYFUNCTION("""COMPUTED_VALUE"""),"2055-06-06T00:53:41.365Z")</f>
        <v>2055-06-06T00:53:41.365Z</v>
      </c>
      <c r="L91" s="3">
        <f ca="1">IFERROR(__xludf.DUMMYFUNCTION("""COMPUTED_VALUE"""),1)</f>
        <v>1</v>
      </c>
      <c r="M91" s="3">
        <f ca="1">IFERROR(__xludf.DUMMYFUNCTION("""COMPUTED_VALUE"""),0)</f>
        <v>0</v>
      </c>
      <c r="N91" s="3" t="str">
        <f ca="1">IFERROR(__xludf.DUMMYFUNCTION("""COMPUTED_VALUE"""),"2055-06-06T00:59:32.880764Z")</f>
        <v>2055-06-06T00:59:32.880764Z</v>
      </c>
      <c r="O91" s="3" t="str">
        <f ca="1">IFERROR(__xludf.DUMMYFUNCTION("""COMPUTED_VALUE"""),"2055-06-06T01:13:53.954677Z")</f>
        <v>2055-06-06T01:13:53.954677Z</v>
      </c>
      <c r="P91" s="3" t="str">
        <f ca="1">IFERROR(__xludf.DUMMYFUNCTION("""COMPUTED_VALUE"""),"2055-06-06T00:24:37.460278Z")</f>
        <v>2055-06-06T00:24:37.460278Z</v>
      </c>
      <c r="Q91" s="3">
        <f ca="1">IFERROR(__xludf.DUMMYFUNCTION("""COMPUTED_VALUE"""),0)</f>
        <v>0</v>
      </c>
      <c r="R91" s="3" t="str">
        <f ca="1">IFERROR(__xludf.DUMMYFUNCTION("""COMPUTED_VALUE"""),"2055-06-06T00:24:50.298784Z")</f>
        <v>2055-06-06T00:24:50.298784Z</v>
      </c>
      <c r="S91" s="3" t="str">
        <f ca="1">IFERROR(__xludf.DUMMYFUNCTION("""COMPUTED_VALUE"""),"2055-06-06T00:37:03.658785Z")</f>
        <v>2055-06-06T00:37:03.658785Z</v>
      </c>
      <c r="T91" s="3"/>
      <c r="U91" s="4">
        <f ca="1">IFERROR(__xludf.DUMMYFUNCTION("""COMPUTED_VALUE"""),56770)</f>
        <v>56770</v>
      </c>
      <c r="V91" s="3">
        <f ca="1">IFERROR(__xludf.DUMMYFUNCTION("""COMPUTED_VALUE"""),4.4)</f>
        <v>4.4000000000000004</v>
      </c>
      <c r="W91" s="3">
        <f ca="1">IFERROR(__xludf.DUMMYFUNCTION("""COMPUTED_VALUE"""),5500)</f>
        <v>5500</v>
      </c>
      <c r="X91" s="3">
        <f ca="1">IFERROR(__xludf.DUMMYFUNCTION("""COMPUTED_VALUE"""),2943)</f>
        <v>2943</v>
      </c>
      <c r="Y91" s="3">
        <f ca="1">IFERROR(__xludf.DUMMYFUNCTION("""COMPUTED_VALUE"""),733)</f>
        <v>733</v>
      </c>
      <c r="Z91" s="3">
        <f ca="1">IFERROR(__xludf.DUMMYFUNCTION("""COMPUTED_VALUE"""),1349)</f>
        <v>1349</v>
      </c>
      <c r="AA91" s="3">
        <f ca="1">IFERROR(__xludf.DUMMYFUNCTION("""COMPUTED_VALUE"""),861)</f>
        <v>861</v>
      </c>
      <c r="AB91" s="3">
        <f ca="1">IFERROR(__xludf.DUMMYFUNCTION("""COMPUTED_VALUE"""),0)</f>
        <v>0</v>
      </c>
      <c r="AC91" s="3">
        <f ca="1">IFERROR(__xludf.DUMMYFUNCTION("""COMPUTED_VALUE"""),3)</f>
        <v>3</v>
      </c>
      <c r="AD91" s="3" t="str">
        <f ca="1">IFERROR(__xludf.DUMMYFUNCTION("""COMPUTED_VALUE"""),"on time")</f>
        <v>on time</v>
      </c>
      <c r="AE91" s="3" t="str">
        <f ca="1">IFERROR(__xludf.DUMMYFUNCTION("""COMPUTED_VALUE"""),"2055-06-05T20:59:32.880764Z")</f>
        <v>2055-06-05T20:59:32.880764Z</v>
      </c>
      <c r="AF91" s="3" t="str">
        <f ca="1">IFERROR(__xludf.DUMMYFUNCTION("""COMPUTED_VALUE"""),"2055-06-05T21:13:53.954677Z")</f>
        <v>2055-06-05T21:13:53.954677Z</v>
      </c>
      <c r="AG91" s="3" t="str">
        <f ca="1">IFERROR(__xludf.DUMMYFUNCTION("""COMPUTED_VALUE"""),"2055-06-05T20:24:37.460278Z")</f>
        <v>2055-06-05T20:24:37.460278Z</v>
      </c>
      <c r="AH91" s="3" t="str">
        <f ca="1">IFERROR(__xludf.DUMMYFUNCTION("""COMPUTED_VALUE"""),"2055-06-05T20:37:03.658785Z")</f>
        <v>2055-06-05T20:37:03.658785Z</v>
      </c>
      <c r="AI91" s="3">
        <f ca="1">IFERROR(__xludf.DUMMYFUNCTION("""COMPUTED_VALUE"""),4.46)</f>
        <v>4.46</v>
      </c>
      <c r="AJ91" s="3">
        <f ca="1">IFERROR(__xludf.DUMMYFUNCTION("""COMPUTED_VALUE"""),148)</f>
        <v>148</v>
      </c>
      <c r="AK91" s="3">
        <f ca="1">IFERROR(__xludf.DUMMYFUNCTION("""COMPUTED_VALUE"""),435)</f>
        <v>435</v>
      </c>
      <c r="AL91" s="3"/>
    </row>
    <row r="92" spans="1:38" ht="13">
      <c r="A92" s="3">
        <f ca="1">IFERROR(__xludf.DUMMYFUNCTION("""COMPUTED_VALUE"""),549)</f>
        <v>549</v>
      </c>
      <c r="B92" s="3"/>
      <c r="C92" s="3">
        <f ca="1">IFERROR(__xludf.DUMMYFUNCTION("""COMPUTED_VALUE"""),4001)</f>
        <v>4001</v>
      </c>
      <c r="D92" s="3" t="str">
        <f ca="1">IFERROR(__xludf.DUMMYFUNCTION("""COMPUTED_VALUE"""),"Dashattan")</f>
        <v>Dashattan</v>
      </c>
      <c r="E92" s="3" t="str">
        <f ca="1">IFERROR(__xludf.DUMMYFUNCTION("""COMPUTED_VALUE"""),"Galaxy A")</f>
        <v>Galaxy A</v>
      </c>
      <c r="F92" s="3" t="str">
        <f ca="1">IFERROR(__xludf.DUMMYFUNCTION("""COMPUTED_VALUE"""),"KC")</f>
        <v>KC</v>
      </c>
      <c r="G92" s="3">
        <f ca="1">IFERROR(__xludf.DUMMYFUNCTION("""COMPUTED_VALUE"""),0)</f>
        <v>0</v>
      </c>
      <c r="H92" s="3" t="str">
        <f ca="1">IFERROR(__xludf.DUMMYFUNCTION("""COMPUTED_VALUE"""),"car")</f>
        <v>car</v>
      </c>
      <c r="I92" s="3" t="str">
        <f ca="1">IFERROR(__xludf.DUMMYFUNCTION("""COMPUTED_VALUE"""),"2055-06-05T15:16:16.291279Z")</f>
        <v>2055-06-05T15:16:16.291279Z</v>
      </c>
      <c r="J92" s="3" t="str">
        <f ca="1">IFERROR(__xludf.DUMMYFUNCTION("""COMPUTED_VALUE"""),"2055-06-05T16:05:19.359Z")</f>
        <v>2055-06-05T16:05:19.359Z</v>
      </c>
      <c r="K92" s="3" t="str">
        <f ca="1">IFERROR(__xludf.DUMMYFUNCTION("""COMPUTED_VALUE"""),"2055-06-05T15:46:26.359Z")</f>
        <v>2055-06-05T15:46:26.359Z</v>
      </c>
      <c r="L92" s="3">
        <f ca="1">IFERROR(__xludf.DUMMYFUNCTION("""COMPUTED_VALUE"""),1)</f>
        <v>1</v>
      </c>
      <c r="M92" s="3">
        <f ca="1">IFERROR(__xludf.DUMMYFUNCTION("""COMPUTED_VALUE"""),0)</f>
        <v>0</v>
      </c>
      <c r="N92" s="3" t="str">
        <f ca="1">IFERROR(__xludf.DUMMYFUNCTION("""COMPUTED_VALUE"""),"2055-06-05T15:27:31.750519Z")</f>
        <v>2055-06-05T15:27:31.750519Z</v>
      </c>
      <c r="O92" s="3" t="str">
        <f ca="1">IFERROR(__xludf.DUMMYFUNCTION("""COMPUTED_VALUE"""),"2055-06-05T15:37:25.533136Z")</f>
        <v>2055-06-05T15:37:25.533136Z</v>
      </c>
      <c r="P92" s="3" t="str">
        <f ca="1">IFERROR(__xludf.DUMMYFUNCTION("""COMPUTED_VALUE"""),"2055-06-05T15:18:54.400667Z")</f>
        <v>2055-06-05T15:18:54.400667Z</v>
      </c>
      <c r="Q92" s="3">
        <f ca="1">IFERROR(__xludf.DUMMYFUNCTION("""COMPUTED_VALUE"""),0)</f>
        <v>0</v>
      </c>
      <c r="R92" s="3" t="str">
        <f ca="1">IFERROR(__xludf.DUMMYFUNCTION("""COMPUTED_VALUE"""),"2055-06-05T15:19:34.501953Z")</f>
        <v>2055-06-05T15:19:34.501953Z</v>
      </c>
      <c r="S92" s="3" t="str">
        <f ca="1">IFERROR(__xludf.DUMMYFUNCTION("""COMPUTED_VALUE"""),"2055-06-05T15:24:59.902946Z")</f>
        <v>2055-06-05T15:24:59.902946Z</v>
      </c>
      <c r="T92" s="3"/>
      <c r="U92" s="4">
        <f ca="1">IFERROR(__xludf.DUMMYFUNCTION("""COMPUTED_VALUE"""),56770)</f>
        <v>56770</v>
      </c>
      <c r="V92" s="3">
        <f ca="1">IFERROR(__xludf.DUMMYFUNCTION("""COMPUTED_VALUE"""),3.346812872)</f>
        <v>3.3468128720000001</v>
      </c>
      <c r="W92" s="3">
        <f ca="1">IFERROR(__xludf.DUMMYFUNCTION("""COMPUTED_VALUE"""),5000)</f>
        <v>5000</v>
      </c>
      <c r="X92" s="3">
        <f ca="1">IFERROR(__xludf.DUMMYFUNCTION("""COMPUTED_VALUE"""),1071)</f>
        <v>1071</v>
      </c>
      <c r="Y92" s="3">
        <f ca="1">IFERROR(__xludf.DUMMYFUNCTION("""COMPUTED_VALUE"""),325)</f>
        <v>325</v>
      </c>
      <c r="Z92" s="3">
        <f ca="1">IFERROR(__xludf.DUMMYFUNCTION("""COMPUTED_VALUE"""),152)</f>
        <v>152</v>
      </c>
      <c r="AA92" s="3">
        <f ca="1">IFERROR(__xludf.DUMMYFUNCTION("""COMPUTED_VALUE"""),594)</f>
        <v>594</v>
      </c>
      <c r="AB92" s="3">
        <f ca="1">IFERROR(__xludf.DUMMYFUNCTION("""COMPUTED_VALUE"""),0)</f>
        <v>0</v>
      </c>
      <c r="AC92" s="3">
        <f ca="1">IFERROR(__xludf.DUMMYFUNCTION("""COMPUTED_VALUE"""),5)</f>
        <v>5</v>
      </c>
      <c r="AD92" s="3" t="str">
        <f ca="1">IFERROR(__xludf.DUMMYFUNCTION("""COMPUTED_VALUE"""),"early")</f>
        <v>early</v>
      </c>
      <c r="AE92" s="3" t="str">
        <f ca="1">IFERROR(__xludf.DUMMYFUNCTION("""COMPUTED_VALUE"""),"2055-06-05T11:27:31.750519Z")</f>
        <v>2055-06-05T11:27:31.750519Z</v>
      </c>
      <c r="AF92" s="3" t="str">
        <f ca="1">IFERROR(__xludf.DUMMYFUNCTION("""COMPUTED_VALUE"""),"2055-06-05T11:37:25.533136Z")</f>
        <v>2055-06-05T11:37:25.533136Z</v>
      </c>
      <c r="AG92" s="3" t="str">
        <f ca="1">IFERROR(__xludf.DUMMYFUNCTION("""COMPUTED_VALUE"""),"2055-06-05T11:18:54.400667Z")</f>
        <v>2055-06-05T11:18:54.400667Z</v>
      </c>
      <c r="AH92" s="3" t="str">
        <f ca="1">IFERROR(__xludf.DUMMYFUNCTION("""COMPUTED_VALUE"""),"2055-06-05T11:24:59.902946Z")</f>
        <v>2055-06-05T11:24:59.902946Z</v>
      </c>
      <c r="AI92" s="3">
        <f ca="1">IFERROR(__xludf.DUMMYFUNCTION("""COMPUTED_VALUE"""),4.54)</f>
        <v>4.54</v>
      </c>
      <c r="AJ92" s="3">
        <f ca="1">IFERROR(__xludf.DUMMYFUNCTION("""COMPUTED_VALUE"""),2229)</f>
        <v>2229</v>
      </c>
      <c r="AK92" s="3">
        <f ca="1">IFERROR(__xludf.DUMMYFUNCTION("""COMPUTED_VALUE"""),6580)</f>
        <v>6580</v>
      </c>
      <c r="AL92" s="3"/>
    </row>
    <row r="93" spans="1:38" ht="13">
      <c r="A93" s="3">
        <f ca="1">IFERROR(__xludf.DUMMYFUNCTION("""COMPUTED_VALUE"""),657)</f>
        <v>657</v>
      </c>
      <c r="B93" s="3"/>
      <c r="C93" s="3">
        <f ca="1">IFERROR(__xludf.DUMMYFUNCTION("""COMPUTED_VALUE"""),4001)</f>
        <v>4001</v>
      </c>
      <c r="D93" s="3" t="str">
        <f ca="1">IFERROR(__xludf.DUMMYFUNCTION("""COMPUTED_VALUE"""),"Dashattan")</f>
        <v>Dashattan</v>
      </c>
      <c r="E93" s="3" t="str">
        <f ca="1">IFERROR(__xludf.DUMMYFUNCTION("""COMPUTED_VALUE"""),"Galaxy A")</f>
        <v>Galaxy A</v>
      </c>
      <c r="F93" s="3" t="str">
        <f ca="1">IFERROR(__xludf.DUMMYFUNCTION("""COMPUTED_VALUE"""),"Bunje")</f>
        <v>Bunje</v>
      </c>
      <c r="G93" s="3">
        <f ca="1">IFERROR(__xludf.DUMMYFUNCTION("""COMPUTED_VALUE"""),0)</f>
        <v>0</v>
      </c>
      <c r="H93" s="3" t="str">
        <f ca="1">IFERROR(__xludf.DUMMYFUNCTION("""COMPUTED_VALUE"""),"bicycle")</f>
        <v>bicycle</v>
      </c>
      <c r="I93" s="3" t="str">
        <f ca="1">IFERROR(__xludf.DUMMYFUNCTION("""COMPUTED_VALUE"""),"2055-06-05T22:42:09.977528Z")</f>
        <v>2055-06-05T22:42:09.977528Z</v>
      </c>
      <c r="J93" s="3" t="str">
        <f ca="1">IFERROR(__xludf.DUMMYFUNCTION("""COMPUTED_VALUE"""),"2055-06-05T23:39:49.076Z")</f>
        <v>2055-06-05T23:39:49.076Z</v>
      </c>
      <c r="K93" s="3" t="str">
        <f ca="1">IFERROR(__xludf.DUMMYFUNCTION("""COMPUTED_VALUE"""),"2055-06-05T23:21:31.076Z")</f>
        <v>2055-06-05T23:21:31.076Z</v>
      </c>
      <c r="L93" s="3">
        <f ca="1">IFERROR(__xludf.DUMMYFUNCTION("""COMPUTED_VALUE"""),1)</f>
        <v>1</v>
      </c>
      <c r="M93" s="3">
        <f ca="1">IFERROR(__xludf.DUMMYFUNCTION("""COMPUTED_VALUE"""),0)</f>
        <v>0</v>
      </c>
      <c r="N93" s="3" t="str">
        <f ca="1">IFERROR(__xludf.DUMMYFUNCTION("""COMPUTED_VALUE"""),"2055-06-05T23:54:11.488914Z")</f>
        <v>2055-06-05T23:54:11.488914Z</v>
      </c>
      <c r="O93" s="3" t="str">
        <f ca="1">IFERROR(__xludf.DUMMYFUNCTION("""COMPUTED_VALUE"""),"2055-06-06T00:08:28.058072Z")</f>
        <v>2055-06-06T00:08:28.058072Z</v>
      </c>
      <c r="P93" s="3" t="str">
        <f ca="1">IFERROR(__xludf.DUMMYFUNCTION("""COMPUTED_VALUE"""),"2055-06-05T23:06:18.463116Z")</f>
        <v>2055-06-05T23:06:18.463116Z</v>
      </c>
      <c r="Q93" s="3">
        <f ca="1">IFERROR(__xludf.DUMMYFUNCTION("""COMPUTED_VALUE"""),0)</f>
        <v>0</v>
      </c>
      <c r="R93" s="3" t="str">
        <f ca="1">IFERROR(__xludf.DUMMYFUNCTION("""COMPUTED_VALUE"""),"2055-06-05T23:06:46.682488Z")</f>
        <v>2055-06-05T23:06:46.682488Z</v>
      </c>
      <c r="S93" s="3" t="str">
        <f ca="1">IFERROR(__xludf.DUMMYFUNCTION("""COMPUTED_VALUE"""),"2055-06-05T23:18:34.340609Z")</f>
        <v>2055-06-05T23:18:34.340609Z</v>
      </c>
      <c r="T93" s="3"/>
      <c r="U93" s="4">
        <f ca="1">IFERROR(__xludf.DUMMYFUNCTION("""COMPUTED_VALUE"""),56770)</f>
        <v>56770</v>
      </c>
      <c r="V93" s="3">
        <f ca="1">IFERROR(__xludf.DUMMYFUNCTION("""COMPUTED_VALUE"""),3.534688848)</f>
        <v>3.534688848</v>
      </c>
      <c r="W93" s="3">
        <f ca="1">IFERROR(__xludf.DUMMYFUNCTION("""COMPUTED_VALUE"""),5000)</f>
        <v>5000</v>
      </c>
      <c r="X93" s="3">
        <f ca="1">IFERROR(__xludf.DUMMYFUNCTION("""COMPUTED_VALUE"""),3702)</f>
        <v>3702</v>
      </c>
      <c r="Y93" s="3">
        <f ca="1">IFERROR(__xludf.DUMMYFUNCTION("""COMPUTED_VALUE"""),708)</f>
        <v>708</v>
      </c>
      <c r="Z93" s="3">
        <f ca="1">IFERROR(__xludf.DUMMYFUNCTION("""COMPUTED_VALUE"""),2137)</f>
        <v>2137</v>
      </c>
      <c r="AA93" s="3">
        <f ca="1">IFERROR(__xludf.DUMMYFUNCTION("""COMPUTED_VALUE"""),857)</f>
        <v>857</v>
      </c>
      <c r="AB93" s="3">
        <f ca="1">IFERROR(__xludf.DUMMYFUNCTION("""COMPUTED_VALUE"""),0)</f>
        <v>0</v>
      </c>
      <c r="AC93" s="3">
        <f ca="1">IFERROR(__xludf.DUMMYFUNCTION("""COMPUTED_VALUE"""),2)</f>
        <v>2</v>
      </c>
      <c r="AD93" s="3" t="str">
        <f ca="1">IFERROR(__xludf.DUMMYFUNCTION("""COMPUTED_VALUE"""),"late")</f>
        <v>late</v>
      </c>
      <c r="AE93" s="3" t="str">
        <f ca="1">IFERROR(__xludf.DUMMYFUNCTION("""COMPUTED_VALUE"""),"2055-06-05T19:54:11.488914Z")</f>
        <v>2055-06-05T19:54:11.488914Z</v>
      </c>
      <c r="AF93" s="3" t="str">
        <f ca="1">IFERROR(__xludf.DUMMYFUNCTION("""COMPUTED_VALUE"""),"2055-06-05T20:08:28.058072Z")</f>
        <v>2055-06-05T20:08:28.058072Z</v>
      </c>
      <c r="AG93" s="3" t="str">
        <f ca="1">IFERROR(__xludf.DUMMYFUNCTION("""COMPUTED_VALUE"""),"2055-06-05T19:06:18.463116Z")</f>
        <v>2055-06-05T19:06:18.463116Z</v>
      </c>
      <c r="AH93" s="3" t="str">
        <f ca="1">IFERROR(__xludf.DUMMYFUNCTION("""COMPUTED_VALUE"""),"2055-06-05T19:18:34.340609Z")</f>
        <v>2055-06-05T19:18:34.340609Z</v>
      </c>
      <c r="AI93" s="3">
        <f ca="1">IFERROR(__xludf.DUMMYFUNCTION("""COMPUTED_VALUE"""),4.7)</f>
        <v>4.7</v>
      </c>
      <c r="AJ93" s="3">
        <f ca="1">IFERROR(__xludf.DUMMYFUNCTION("""COMPUTED_VALUE"""),443)</f>
        <v>443</v>
      </c>
      <c r="AK93" s="3">
        <f ca="1">IFERROR(__xludf.DUMMYFUNCTION("""COMPUTED_VALUE"""),1579)</f>
        <v>1579</v>
      </c>
      <c r="AL93" s="3"/>
    </row>
    <row r="94" spans="1:38" ht="13">
      <c r="A94" s="3">
        <f ca="1">IFERROR(__xludf.DUMMYFUNCTION("""COMPUTED_VALUE"""),492)</f>
        <v>492</v>
      </c>
      <c r="B94" s="3"/>
      <c r="C94" s="3">
        <f ca="1">IFERROR(__xludf.DUMMYFUNCTION("""COMPUTED_VALUE"""),4050)</f>
        <v>4050</v>
      </c>
      <c r="D94" s="3" t="str">
        <f ca="1">IFERROR(__xludf.DUMMYFUNCTION("""COMPUTED_VALUE"""),"Doorlanta")</f>
        <v>Doorlanta</v>
      </c>
      <c r="E94" s="3" t="str">
        <f ca="1">IFERROR(__xludf.DUMMYFUNCTION("""COMPUTED_VALUE"""),"Galaxy A")</f>
        <v>Galaxy A</v>
      </c>
      <c r="F94" s="3" t="str">
        <f ca="1">IFERROR(__xludf.DUMMYFUNCTION("""COMPUTED_VALUE"""),"Abhai")</f>
        <v>Abhai</v>
      </c>
      <c r="G94" s="3">
        <f ca="1">IFERROR(__xludf.DUMMYFUNCTION("""COMPUTED_VALUE"""),0)</f>
        <v>0</v>
      </c>
      <c r="H94" s="3" t="str">
        <f ca="1">IFERROR(__xludf.DUMMYFUNCTION("""COMPUTED_VALUE"""),"car")</f>
        <v>car</v>
      </c>
      <c r="I94" s="3" t="str">
        <f ca="1">IFERROR(__xludf.DUMMYFUNCTION("""COMPUTED_VALUE"""),"2055-06-04T23:36:11.850948Z")</f>
        <v>2055-06-04T23:36:11.850948Z</v>
      </c>
      <c r="J94" s="3" t="str">
        <f ca="1">IFERROR(__xludf.DUMMYFUNCTION("""COMPUTED_VALUE"""),"2055-06-05T00:17:26.913Z")</f>
        <v>2055-06-05T00:17:26.913Z</v>
      </c>
      <c r="K94" s="3" t="str">
        <f ca="1">IFERROR(__xludf.DUMMYFUNCTION("""COMPUTED_VALUE"""),"2055-06-05T00:13:33.913Z")</f>
        <v>2055-06-05T00:13:33.913Z</v>
      </c>
      <c r="L94" s="3">
        <f ca="1">IFERROR(__xludf.DUMMYFUNCTION("""COMPUTED_VALUE"""),1)</f>
        <v>1</v>
      </c>
      <c r="M94" s="3">
        <f ca="1">IFERROR(__xludf.DUMMYFUNCTION("""COMPUTED_VALUE"""),0)</f>
        <v>0</v>
      </c>
      <c r="N94" s="3" t="str">
        <f ca="1">IFERROR(__xludf.DUMMYFUNCTION("""COMPUTED_VALUE"""),"2055-06-04T23:57:32.195833Z")</f>
        <v>2055-06-04T23:57:32.195833Z</v>
      </c>
      <c r="O94" s="3" t="str">
        <f ca="1">IFERROR(__xludf.DUMMYFUNCTION("""COMPUTED_VALUE"""),"2055-06-05T00:06:08.639866Z")</f>
        <v>2055-06-05T00:06:08.639866Z</v>
      </c>
      <c r="P94" s="3" t="str">
        <f ca="1">IFERROR(__xludf.DUMMYFUNCTION("""COMPUTED_VALUE"""),"2055-06-04T23:36:27.64622Z")</f>
        <v>2055-06-04T23:36:27.64622Z</v>
      </c>
      <c r="Q94" s="3">
        <f ca="1">IFERROR(__xludf.DUMMYFUNCTION("""COMPUTED_VALUE"""),0)</f>
        <v>0</v>
      </c>
      <c r="R94" s="3" t="str">
        <f ca="1">IFERROR(__xludf.DUMMYFUNCTION("""COMPUTED_VALUE"""),"2055-06-04T23:36:32.116005Z")</f>
        <v>2055-06-04T23:36:32.116005Z</v>
      </c>
      <c r="S94" s="3" t="str">
        <f ca="1">IFERROR(__xludf.DUMMYFUNCTION("""COMPUTED_VALUE"""),"2055-06-04T23:39:41.777001Z")</f>
        <v>2055-06-04T23:39:41.777001Z</v>
      </c>
      <c r="T94" s="3"/>
      <c r="U94" s="4">
        <f ca="1">IFERROR(__xludf.DUMMYFUNCTION("""COMPUTED_VALUE"""),56769)</f>
        <v>56769</v>
      </c>
      <c r="V94" s="3">
        <f ca="1">IFERROR(__xludf.DUMMYFUNCTION("""COMPUTED_VALUE"""),4.8)</f>
        <v>4.8</v>
      </c>
      <c r="W94" s="3">
        <f ca="1">IFERROR(__xludf.DUMMYFUNCTION("""COMPUTED_VALUE"""),5000)</f>
        <v>5000</v>
      </c>
      <c r="X94" s="3">
        <f ca="1">IFERROR(__xludf.DUMMYFUNCTION("""COMPUTED_VALUE"""),1776)</f>
        <v>1776</v>
      </c>
      <c r="Y94" s="3">
        <f ca="1">IFERROR(__xludf.DUMMYFUNCTION("""COMPUTED_VALUE"""),189)</f>
        <v>189</v>
      </c>
      <c r="Z94" s="3">
        <f ca="1">IFERROR(__xludf.DUMMYFUNCTION("""COMPUTED_VALUE"""),1071)</f>
        <v>1071</v>
      </c>
      <c r="AA94" s="3">
        <f ca="1">IFERROR(__xludf.DUMMYFUNCTION("""COMPUTED_VALUE"""),516)</f>
        <v>516</v>
      </c>
      <c r="AB94" s="3">
        <f ca="1">IFERROR(__xludf.DUMMYFUNCTION("""COMPUTED_VALUE"""),0)</f>
        <v>0</v>
      </c>
      <c r="AC94" s="3">
        <f ca="1">IFERROR(__xludf.DUMMYFUNCTION("""COMPUTED_VALUE"""),6)</f>
        <v>6</v>
      </c>
      <c r="AD94" s="3" t="str">
        <f ca="1">IFERROR(__xludf.DUMMYFUNCTION("""COMPUTED_VALUE"""),"early")</f>
        <v>early</v>
      </c>
      <c r="AE94" s="3" t="str">
        <f ca="1">IFERROR(__xludf.DUMMYFUNCTION("""COMPUTED_VALUE"""),"2055-06-04T19:57:32.195833Z")</f>
        <v>2055-06-04T19:57:32.195833Z</v>
      </c>
      <c r="AF94" s="3" t="str">
        <f ca="1">IFERROR(__xludf.DUMMYFUNCTION("""COMPUTED_VALUE"""),"2055-06-04T20:06:08.639866Z")</f>
        <v>2055-06-04T20:06:08.639866Z</v>
      </c>
      <c r="AG94" s="3" t="str">
        <f ca="1">IFERROR(__xludf.DUMMYFUNCTION("""COMPUTED_VALUE"""),"2055-06-04T19:36:27.64622Z")</f>
        <v>2055-06-04T19:36:27.64622Z</v>
      </c>
      <c r="AH94" s="3" t="str">
        <f ca="1">IFERROR(__xludf.DUMMYFUNCTION("""COMPUTED_VALUE"""),"2055-06-04T19:39:41.777001Z")</f>
        <v>2055-06-04T19:39:41.777001Z</v>
      </c>
      <c r="AI94" s="3">
        <f ca="1">IFERROR(__xludf.DUMMYFUNCTION("""COMPUTED_VALUE"""),4.56)</f>
        <v>4.5599999999999996</v>
      </c>
      <c r="AJ94" s="3">
        <f ca="1">IFERROR(__xludf.DUMMYFUNCTION("""COMPUTED_VALUE"""),344)</f>
        <v>344</v>
      </c>
      <c r="AK94" s="3">
        <f ca="1">IFERROR(__xludf.DUMMYFUNCTION("""COMPUTED_VALUE"""),947)</f>
        <v>947</v>
      </c>
      <c r="AL94" s="3">
        <f ca="1">IFERROR(__xludf.DUMMYFUNCTION("""COMPUTED_VALUE"""),22)</f>
        <v>22</v>
      </c>
    </row>
    <row r="95" spans="1:38" ht="13">
      <c r="A95" s="3">
        <f ca="1">IFERROR(__xludf.DUMMYFUNCTION("""COMPUTED_VALUE"""),629)</f>
        <v>629</v>
      </c>
      <c r="B95" s="3"/>
      <c r="C95" s="3">
        <f ca="1">IFERROR(__xludf.DUMMYFUNCTION("""COMPUTED_VALUE"""),4050)</f>
        <v>4050</v>
      </c>
      <c r="D95" s="3" t="str">
        <f ca="1">IFERROR(__xludf.DUMMYFUNCTION("""COMPUTED_VALUE"""),"Doorlanta")</f>
        <v>Doorlanta</v>
      </c>
      <c r="E95" s="3" t="str">
        <f ca="1">IFERROR(__xludf.DUMMYFUNCTION("""COMPUTED_VALUE"""),"Galaxy A")</f>
        <v>Galaxy A</v>
      </c>
      <c r="F95" s="3" t="str">
        <f ca="1">IFERROR(__xludf.DUMMYFUNCTION("""COMPUTED_VALUE"""),"Merissa")</f>
        <v>Merissa</v>
      </c>
      <c r="G95" s="3">
        <f ca="1">IFERROR(__xludf.DUMMYFUNCTION("""COMPUTED_VALUE"""),0)</f>
        <v>0</v>
      </c>
      <c r="H95" s="3" t="str">
        <f ca="1">IFERROR(__xludf.DUMMYFUNCTION("""COMPUTED_VALUE"""),"car")</f>
        <v>car</v>
      </c>
      <c r="I95" s="3" t="str">
        <f ca="1">IFERROR(__xludf.DUMMYFUNCTION("""COMPUTED_VALUE"""),"2055-06-05T21:46:35.68882Z")</f>
        <v>2055-06-05T21:46:35.68882Z</v>
      </c>
      <c r="J95" s="3" t="str">
        <f ca="1">IFERROR(__xludf.DUMMYFUNCTION("""COMPUTED_VALUE"""),"2055-06-05T23:12:17.762Z")</f>
        <v>2055-06-05T23:12:17.762Z</v>
      </c>
      <c r="K95" s="3" t="str">
        <f ca="1">IFERROR(__xludf.DUMMYFUNCTION("""COMPUTED_VALUE"""),"2055-06-05T22:53:24.762Z")</f>
        <v>2055-06-05T22:53:24.762Z</v>
      </c>
      <c r="L95" s="3">
        <f ca="1">IFERROR(__xludf.DUMMYFUNCTION("""COMPUTED_VALUE"""),1)</f>
        <v>1</v>
      </c>
      <c r="M95" s="3">
        <f ca="1">IFERROR(__xludf.DUMMYFUNCTION("""COMPUTED_VALUE"""),0)</f>
        <v>0</v>
      </c>
      <c r="N95" s="3" t="str">
        <f ca="1">IFERROR(__xludf.DUMMYFUNCTION("""COMPUTED_VALUE"""),"2055-06-05T23:11:57.011055Z")</f>
        <v>2055-06-05T23:11:57.011055Z</v>
      </c>
      <c r="O95" s="3" t="str">
        <f ca="1">IFERROR(__xludf.DUMMYFUNCTION("""COMPUTED_VALUE"""),"2055-06-05T23:32:07.935291Z")</f>
        <v>2055-06-05T23:32:07.935291Z</v>
      </c>
      <c r="P95" s="3" t="str">
        <f ca="1">IFERROR(__xludf.DUMMYFUNCTION("""COMPUTED_VALUE"""),"2055-06-05T21:53:27.301059Z")</f>
        <v>2055-06-05T21:53:27.301059Z</v>
      </c>
      <c r="Q95" s="3">
        <f ca="1">IFERROR(__xludf.DUMMYFUNCTION("""COMPUTED_VALUE"""),0)</f>
        <v>0</v>
      </c>
      <c r="R95" s="3" t="str">
        <f ca="1">IFERROR(__xludf.DUMMYFUNCTION("""COMPUTED_VALUE"""),"2055-06-05T21:53:31.781651Z")</f>
        <v>2055-06-05T21:53:31.781651Z</v>
      </c>
      <c r="S95" s="3" t="str">
        <f ca="1">IFERROR(__xludf.DUMMYFUNCTION("""COMPUTED_VALUE"""),"2055-06-05T21:55:30.592296Z")</f>
        <v>2055-06-05T21:55:30.592296Z</v>
      </c>
      <c r="T95" s="3"/>
      <c r="U95" s="4">
        <f ca="1">IFERROR(__xludf.DUMMYFUNCTION("""COMPUTED_VALUE"""),56770)</f>
        <v>56770</v>
      </c>
      <c r="V95" s="3">
        <f ca="1">IFERROR(__xludf.DUMMYFUNCTION("""COMPUTED_VALUE"""),4.2)</f>
        <v>4.2</v>
      </c>
      <c r="W95" s="3">
        <f ca="1">IFERROR(__xludf.DUMMYFUNCTION("""COMPUTED_VALUE"""),5000)</f>
        <v>5000</v>
      </c>
      <c r="X95" s="3">
        <f ca="1">IFERROR(__xludf.DUMMYFUNCTION("""COMPUTED_VALUE"""),5916)</f>
        <v>5916</v>
      </c>
      <c r="Y95" s="3">
        <f ca="1">IFERROR(__xludf.DUMMYFUNCTION("""COMPUTED_VALUE"""),119)</f>
        <v>119</v>
      </c>
      <c r="Z95" s="3">
        <f ca="1">IFERROR(__xludf.DUMMYFUNCTION("""COMPUTED_VALUE"""),4587)</f>
        <v>4587</v>
      </c>
      <c r="AA95" s="3">
        <f ca="1">IFERROR(__xludf.DUMMYFUNCTION("""COMPUTED_VALUE"""),1210)</f>
        <v>1210</v>
      </c>
      <c r="AB95" s="3">
        <f ca="1">IFERROR(__xludf.DUMMYFUNCTION("""COMPUTED_VALUE"""),0)</f>
        <v>0</v>
      </c>
      <c r="AC95" s="3">
        <f ca="1">IFERROR(__xludf.DUMMYFUNCTION("""COMPUTED_VALUE"""),6)</f>
        <v>6</v>
      </c>
      <c r="AD95" s="3" t="str">
        <f ca="1">IFERROR(__xludf.DUMMYFUNCTION("""COMPUTED_VALUE"""),"early")</f>
        <v>early</v>
      </c>
      <c r="AE95" s="3" t="str">
        <f ca="1">IFERROR(__xludf.DUMMYFUNCTION("""COMPUTED_VALUE"""),"2055-06-05T19:11:57.011055Z")</f>
        <v>2055-06-05T19:11:57.011055Z</v>
      </c>
      <c r="AF95" s="3" t="str">
        <f ca="1">IFERROR(__xludf.DUMMYFUNCTION("""COMPUTED_VALUE"""),"2055-06-05T19:32:07.935291Z")</f>
        <v>2055-06-05T19:32:07.935291Z</v>
      </c>
      <c r="AG95" s="3" t="str">
        <f ca="1">IFERROR(__xludf.DUMMYFUNCTION("""COMPUTED_VALUE"""),"2055-06-05T17:53:27.301059Z")</f>
        <v>2055-06-05T17:53:27.301059Z</v>
      </c>
      <c r="AH95" s="3" t="str">
        <f ca="1">IFERROR(__xludf.DUMMYFUNCTION("""COMPUTED_VALUE"""),"2055-06-05T17:55:30.592296Z")</f>
        <v>2055-06-05T17:55:30.592296Z</v>
      </c>
      <c r="AI95" s="3">
        <f ca="1">IFERROR(__xludf.DUMMYFUNCTION("""COMPUTED_VALUE"""),4.58)</f>
        <v>4.58</v>
      </c>
      <c r="AJ95" s="3">
        <f ca="1">IFERROR(__xludf.DUMMYFUNCTION("""COMPUTED_VALUE"""),679)</f>
        <v>679</v>
      </c>
      <c r="AK95" s="3">
        <f ca="1">IFERROR(__xludf.DUMMYFUNCTION("""COMPUTED_VALUE"""),2371)</f>
        <v>2371</v>
      </c>
      <c r="AL95" s="3">
        <f ca="1">IFERROR(__xludf.DUMMYFUNCTION("""COMPUTED_VALUE"""),1830)</f>
        <v>1830</v>
      </c>
    </row>
    <row r="96" spans="1:38" ht="13">
      <c r="A96" s="3">
        <f ca="1">IFERROR(__xludf.DUMMYFUNCTION("""COMPUTED_VALUE"""),448)</f>
        <v>448</v>
      </c>
      <c r="B96" s="3"/>
      <c r="C96" s="3">
        <f ca="1">IFERROR(__xludf.DUMMYFUNCTION("""COMPUTED_VALUE"""),4050)</f>
        <v>4050</v>
      </c>
      <c r="D96" s="3" t="str">
        <f ca="1">IFERROR(__xludf.DUMMYFUNCTION("""COMPUTED_VALUE"""),"Doorlanta")</f>
        <v>Doorlanta</v>
      </c>
      <c r="E96" s="3" t="str">
        <f ca="1">IFERROR(__xludf.DUMMYFUNCTION("""COMPUTED_VALUE"""),"Galaxy A")</f>
        <v>Galaxy A</v>
      </c>
      <c r="F96" s="3" t="str">
        <f ca="1">IFERROR(__xludf.DUMMYFUNCTION("""COMPUTED_VALUE"""),"Elon")</f>
        <v>Elon</v>
      </c>
      <c r="G96" s="3">
        <f ca="1">IFERROR(__xludf.DUMMYFUNCTION("""COMPUTED_VALUE"""),0)</f>
        <v>0</v>
      </c>
      <c r="H96" s="3" t="str">
        <f ca="1">IFERROR(__xludf.DUMMYFUNCTION("""COMPUTED_VALUE"""),"car")</f>
        <v>car</v>
      </c>
      <c r="I96" s="3" t="str">
        <f ca="1">IFERROR(__xludf.DUMMYFUNCTION("""COMPUTED_VALUE"""),"2055-06-04T21:24:01.912783Z")</f>
        <v>2055-06-04T21:24:01.912783Z</v>
      </c>
      <c r="J96" s="3" t="str">
        <f ca="1">IFERROR(__xludf.DUMMYFUNCTION("""COMPUTED_VALUE"""),"2055-06-04T22:37:13.985Z")</f>
        <v>2055-06-04T22:37:13.985Z</v>
      </c>
      <c r="K96" s="3" t="str">
        <f ca="1">IFERROR(__xludf.DUMMYFUNCTION("""COMPUTED_VALUE"""),"2055-06-04T22:12:32.985Z")</f>
        <v>2055-06-04T22:12:32.985Z</v>
      </c>
      <c r="L96" s="3">
        <f ca="1">IFERROR(__xludf.DUMMYFUNCTION("""COMPUTED_VALUE"""),1)</f>
        <v>1</v>
      </c>
      <c r="M96" s="3">
        <f ca="1">IFERROR(__xludf.DUMMYFUNCTION("""COMPUTED_VALUE"""),0)</f>
        <v>0</v>
      </c>
      <c r="N96" s="3" t="str">
        <f ca="1">IFERROR(__xludf.DUMMYFUNCTION("""COMPUTED_VALUE"""),"2055-06-04T21:45:19.004385Z")</f>
        <v>2055-06-04T21:45:19.004385Z</v>
      </c>
      <c r="O96" s="3" t="str">
        <f ca="1">IFERROR(__xludf.DUMMYFUNCTION("""COMPUTED_VALUE"""),"2055-06-04T22:05:44.06585Z")</f>
        <v>2055-06-04T22:05:44.06585Z</v>
      </c>
      <c r="P96" s="3" t="str">
        <f ca="1">IFERROR(__xludf.DUMMYFUNCTION("""COMPUTED_VALUE"""),"2055-06-04T21:30:07.513155Z")</f>
        <v>2055-06-04T21:30:07.513155Z</v>
      </c>
      <c r="Q96" s="3">
        <f ca="1">IFERROR(__xludf.DUMMYFUNCTION("""COMPUTED_VALUE"""),0)</f>
        <v>0</v>
      </c>
      <c r="R96" s="3" t="str">
        <f ca="1">IFERROR(__xludf.DUMMYFUNCTION("""COMPUTED_VALUE"""),"2055-06-04T21:30:23.037129Z")</f>
        <v>2055-06-04T21:30:23.037129Z</v>
      </c>
      <c r="S96" s="3" t="str">
        <f ca="1">IFERROR(__xludf.DUMMYFUNCTION("""COMPUTED_VALUE"""),"2055-06-04T21:41:44.412595Z")</f>
        <v>2055-06-04T21:41:44.412595Z</v>
      </c>
      <c r="T96" s="3"/>
      <c r="U96" s="4">
        <f ca="1">IFERROR(__xludf.DUMMYFUNCTION("""COMPUTED_VALUE"""),56769)</f>
        <v>56769</v>
      </c>
      <c r="V96" s="3">
        <f ca="1">IFERROR(__xludf.DUMMYFUNCTION("""COMPUTED_VALUE"""),4.6)</f>
        <v>4.5999999999999996</v>
      </c>
      <c r="W96" s="3">
        <f ca="1">IFERROR(__xludf.DUMMYFUNCTION("""COMPUTED_VALUE"""),5000)</f>
        <v>5000</v>
      </c>
      <c r="X96" s="3">
        <f ca="1">IFERROR(__xludf.DUMMYFUNCTION("""COMPUTED_VALUE"""),2121)</f>
        <v>2121</v>
      </c>
      <c r="Y96" s="3">
        <f ca="1">IFERROR(__xludf.DUMMYFUNCTION("""COMPUTED_VALUE"""),681)</f>
        <v>681</v>
      </c>
      <c r="Z96" s="3">
        <f ca="1">IFERROR(__xludf.DUMMYFUNCTION("""COMPUTED_VALUE"""),215)</f>
        <v>215</v>
      </c>
      <c r="AA96" s="3">
        <f ca="1">IFERROR(__xludf.DUMMYFUNCTION("""COMPUTED_VALUE"""),1225)</f>
        <v>1225</v>
      </c>
      <c r="AB96" s="3">
        <f ca="1">IFERROR(__xludf.DUMMYFUNCTION("""COMPUTED_VALUE"""),0)</f>
        <v>0</v>
      </c>
      <c r="AC96" s="3">
        <f ca="1">IFERROR(__xludf.DUMMYFUNCTION("""COMPUTED_VALUE"""),7)</f>
        <v>7</v>
      </c>
      <c r="AD96" s="3" t="str">
        <f ca="1">IFERROR(__xludf.DUMMYFUNCTION("""COMPUTED_VALUE"""),"late")</f>
        <v>late</v>
      </c>
      <c r="AE96" s="3" t="str">
        <f ca="1">IFERROR(__xludf.DUMMYFUNCTION("""COMPUTED_VALUE"""),"2055-06-04T17:45:19.004385Z")</f>
        <v>2055-06-04T17:45:19.004385Z</v>
      </c>
      <c r="AF96" s="3" t="str">
        <f ca="1">IFERROR(__xludf.DUMMYFUNCTION("""COMPUTED_VALUE"""),"2055-06-04T18:05:44.06585Z")</f>
        <v>2055-06-04T18:05:44.06585Z</v>
      </c>
      <c r="AG96" s="3" t="str">
        <f ca="1">IFERROR(__xludf.DUMMYFUNCTION("""COMPUTED_VALUE"""),"2055-06-04T17:30:07.513155Z")</f>
        <v>2055-06-04T17:30:07.513155Z</v>
      </c>
      <c r="AH96" s="3" t="str">
        <f ca="1">IFERROR(__xludf.DUMMYFUNCTION("""COMPUTED_VALUE"""),"2055-06-04T17:41:44.412595Z")</f>
        <v>2055-06-04T17:41:44.412595Z</v>
      </c>
      <c r="AI96" s="3">
        <f ca="1">IFERROR(__xludf.DUMMYFUNCTION("""COMPUTED_VALUE"""),4.62)</f>
        <v>4.62</v>
      </c>
      <c r="AJ96" s="3">
        <f ca="1">IFERROR(__xludf.DUMMYFUNCTION("""COMPUTED_VALUE"""),259)</f>
        <v>259</v>
      </c>
      <c r="AK96" s="3">
        <f ca="1">IFERROR(__xludf.DUMMYFUNCTION("""COMPUTED_VALUE"""),604)</f>
        <v>604</v>
      </c>
      <c r="AL96" s="3">
        <f ca="1">IFERROR(__xludf.DUMMYFUNCTION("""COMPUTED_VALUE"""),21)</f>
        <v>21</v>
      </c>
    </row>
    <row r="97" spans="1:38" ht="13">
      <c r="A97" s="3">
        <f ca="1">IFERROR(__xludf.DUMMYFUNCTION("""COMPUTED_VALUE"""),497)</f>
        <v>497</v>
      </c>
      <c r="B97" s="3">
        <f ca="1">IFERROR(__xludf.DUMMYFUNCTION("""COMPUTED_VALUE"""),1)</f>
        <v>1</v>
      </c>
      <c r="C97" s="3">
        <f ca="1">IFERROR(__xludf.DUMMYFUNCTION("""COMPUTED_VALUE"""),4050)</f>
        <v>4050</v>
      </c>
      <c r="D97" s="3" t="str">
        <f ca="1">IFERROR(__xludf.DUMMYFUNCTION("""COMPUTED_VALUE"""),"Doorlanta")</f>
        <v>Doorlanta</v>
      </c>
      <c r="E97" s="3" t="str">
        <f ca="1">IFERROR(__xludf.DUMMYFUNCTION("""COMPUTED_VALUE"""),"Galaxy A")</f>
        <v>Galaxy A</v>
      </c>
      <c r="F97" s="3" t="str">
        <f ca="1">IFERROR(__xludf.DUMMYFUNCTION("""COMPUTED_VALUE"""),"Josh")</f>
        <v>Josh</v>
      </c>
      <c r="G97" s="3">
        <f ca="1">IFERROR(__xludf.DUMMYFUNCTION("""COMPUTED_VALUE"""),0)</f>
        <v>0</v>
      </c>
      <c r="H97" s="3" t="str">
        <f ca="1">IFERROR(__xludf.DUMMYFUNCTION("""COMPUTED_VALUE"""),"car")</f>
        <v>car</v>
      </c>
      <c r="I97" s="3" t="str">
        <f ca="1">IFERROR(__xludf.DUMMYFUNCTION("""COMPUTED_VALUE"""),"2055-06-04T23:53:23.568025Z")</f>
        <v>2055-06-04T23:53:23.568025Z</v>
      </c>
      <c r="J97" s="3" t="str">
        <f ca="1">IFERROR(__xludf.DUMMYFUNCTION("""COMPUTED_VALUE"""),"2055-06-05T00:54:30.647Z")</f>
        <v>2055-06-05T00:54:30.647Z</v>
      </c>
      <c r="K97" s="3" t="str">
        <f ca="1">IFERROR(__xludf.DUMMYFUNCTION("""COMPUTED_VALUE"""),"2055-06-05T00:34:49.647Z")</f>
        <v>2055-06-05T00:34:49.647Z</v>
      </c>
      <c r="L97" s="3">
        <f ca="1">IFERROR(__xludf.DUMMYFUNCTION("""COMPUTED_VALUE"""),1)</f>
        <v>1</v>
      </c>
      <c r="M97" s="3">
        <f ca="1">IFERROR(__xludf.DUMMYFUNCTION("""COMPUTED_VALUE"""),0)</f>
        <v>0</v>
      </c>
      <c r="N97" s="3" t="str">
        <f ca="1">IFERROR(__xludf.DUMMYFUNCTION("""COMPUTED_VALUE"""),"2055-06-05T00:26:25.216Z")</f>
        <v>2055-06-05T00:26:25.216Z</v>
      </c>
      <c r="O97" s="3" t="str">
        <f ca="1">IFERROR(__xludf.DUMMYFUNCTION("""COMPUTED_VALUE"""),"2055-06-05T00:48:56.183332Z")</f>
        <v>2055-06-05T00:48:56.183332Z</v>
      </c>
      <c r="P97" s="3" t="str">
        <f ca="1">IFERROR(__xludf.DUMMYFUNCTION("""COMPUTED_VALUE"""),"2055-06-05T00:05:47.464463Z")</f>
        <v>2055-06-05T00:05:47.464463Z</v>
      </c>
      <c r="Q97" s="3">
        <f ca="1">IFERROR(__xludf.DUMMYFUNCTION("""COMPUTED_VALUE"""),0)</f>
        <v>0</v>
      </c>
      <c r="R97" s="3" t="str">
        <f ca="1">IFERROR(__xludf.DUMMYFUNCTION("""COMPUTED_VALUE"""),"2055-06-05T00:06:14.668705Z")</f>
        <v>2055-06-05T00:06:14.668705Z</v>
      </c>
      <c r="S97" s="3" t="str">
        <f ca="1">IFERROR(__xludf.DUMMYFUNCTION("""COMPUTED_VALUE"""),"2055-06-05T00:14:41.553427Z")</f>
        <v>2055-06-05T00:14:41.553427Z</v>
      </c>
      <c r="T97" s="3"/>
      <c r="U97" s="4">
        <f ca="1">IFERROR(__xludf.DUMMYFUNCTION("""COMPUTED_VALUE"""),56769)</f>
        <v>56769</v>
      </c>
      <c r="V97" s="3">
        <f ca="1">IFERROR(__xludf.DUMMYFUNCTION("""COMPUTED_VALUE"""),3.431783289)</f>
        <v>3.4317832890000002</v>
      </c>
      <c r="W97" s="3">
        <f ca="1">IFERROR(__xludf.DUMMYFUNCTION("""COMPUTED_VALUE"""),5000)</f>
        <v>5000</v>
      </c>
      <c r="X97" s="3">
        <f ca="1">IFERROR(__xludf.DUMMYFUNCTION("""COMPUTED_VALUE"""),2562)</f>
        <v>2562</v>
      </c>
      <c r="Y97" s="3">
        <f ca="1">IFERROR(__xludf.DUMMYFUNCTION("""COMPUTED_VALUE"""),507)</f>
        <v>507</v>
      </c>
      <c r="Z97" s="3">
        <f ca="1">IFERROR(__xludf.DUMMYFUNCTION("""COMPUTED_VALUE"""),704)</f>
        <v>704</v>
      </c>
      <c r="AA97" s="3">
        <f ca="1">IFERROR(__xludf.DUMMYFUNCTION("""COMPUTED_VALUE"""),1351)</f>
        <v>1351</v>
      </c>
      <c r="AB97" s="3">
        <f ca="1">IFERROR(__xludf.DUMMYFUNCTION("""COMPUTED_VALUE"""),1)</f>
        <v>1</v>
      </c>
      <c r="AC97" s="3">
        <f ca="1">IFERROR(__xludf.DUMMYFUNCTION("""COMPUTED_VALUE"""),5)</f>
        <v>5</v>
      </c>
      <c r="AD97" s="3"/>
      <c r="AE97" s="3" t="str">
        <f ca="1">IFERROR(__xludf.DUMMYFUNCTION("""COMPUTED_VALUE"""),"2055-06-04T20:26:25.216Z")</f>
        <v>2055-06-04T20:26:25.216Z</v>
      </c>
      <c r="AF97" s="3" t="str">
        <f ca="1">IFERROR(__xludf.DUMMYFUNCTION("""COMPUTED_VALUE"""),"2055-06-04T20:48:56.183332Z")</f>
        <v>2055-06-04T20:48:56.183332Z</v>
      </c>
      <c r="AG97" s="3" t="str">
        <f ca="1">IFERROR(__xludf.DUMMYFUNCTION("""COMPUTED_VALUE"""),"2055-06-04T20:05:47.464463Z")</f>
        <v>2055-06-04T20:05:47.464463Z</v>
      </c>
      <c r="AH97" s="3" t="str">
        <f ca="1">IFERROR(__xludf.DUMMYFUNCTION("""COMPUTED_VALUE"""),"2055-06-04T20:14:41.553427Z")</f>
        <v>2055-06-04T20:14:41.553427Z</v>
      </c>
      <c r="AI97" s="3">
        <f ca="1">IFERROR(__xludf.DUMMYFUNCTION("""COMPUTED_VALUE"""),4.77)</f>
        <v>4.7699999999999996</v>
      </c>
      <c r="AJ97" s="3">
        <f ca="1">IFERROR(__xludf.DUMMYFUNCTION("""COMPUTED_VALUE"""),426)</f>
        <v>426</v>
      </c>
      <c r="AK97" s="3">
        <f ca="1">IFERROR(__xludf.DUMMYFUNCTION("""COMPUTED_VALUE"""),1226)</f>
        <v>1226</v>
      </c>
      <c r="AL97" s="3">
        <f ca="1">IFERROR(__xludf.DUMMYFUNCTION("""COMPUTED_VALUE"""),85)</f>
        <v>85</v>
      </c>
    </row>
    <row r="98" spans="1:38" ht="13">
      <c r="A98" s="3">
        <f ca="1">IFERROR(__xludf.DUMMYFUNCTION("""COMPUTED_VALUE"""),304)</f>
        <v>304</v>
      </c>
      <c r="B98" s="3">
        <f ca="1">IFERROR(__xludf.DUMMYFUNCTION("""COMPUTED_VALUE"""),1)</f>
        <v>1</v>
      </c>
      <c r="C98" s="3">
        <f ca="1">IFERROR(__xludf.DUMMYFUNCTION("""COMPUTED_VALUE"""),4050)</f>
        <v>4050</v>
      </c>
      <c r="D98" s="3" t="str">
        <f ca="1">IFERROR(__xludf.DUMMYFUNCTION("""COMPUTED_VALUE"""),"Doorlanta")</f>
        <v>Doorlanta</v>
      </c>
      <c r="E98" s="3" t="str">
        <f ca="1">IFERROR(__xludf.DUMMYFUNCTION("""COMPUTED_VALUE"""),"Galaxy A")</f>
        <v>Galaxy A</v>
      </c>
      <c r="F98" s="3" t="str">
        <f ca="1">IFERROR(__xludf.DUMMYFUNCTION("""COMPUTED_VALUE"""),"Jagar")</f>
        <v>Jagar</v>
      </c>
      <c r="G98" s="3">
        <f ca="1">IFERROR(__xludf.DUMMYFUNCTION("""COMPUTED_VALUE"""),0)</f>
        <v>0</v>
      </c>
      <c r="H98" s="3" t="str">
        <f ca="1">IFERROR(__xludf.DUMMYFUNCTION("""COMPUTED_VALUE"""),"car")</f>
        <v>car</v>
      </c>
      <c r="I98" s="3" t="str">
        <f ca="1">IFERROR(__xludf.DUMMYFUNCTION("""COMPUTED_VALUE"""),"2055-06-03T17:59:38.163232Z")</f>
        <v>2055-06-03T17:59:38.163232Z</v>
      </c>
      <c r="J98" s="3" t="str">
        <f ca="1">IFERROR(__xludf.DUMMYFUNCTION("""COMPUTED_VALUE"""),"2055-06-03T18:47:03.33Z")</f>
        <v>2055-06-03T18:47:03.33Z</v>
      </c>
      <c r="K98" s="3" t="str">
        <f ca="1">IFERROR(__xludf.DUMMYFUNCTION("""COMPUTED_VALUE"""),"2055-06-03T18:37:24.33Z")</f>
        <v>2055-06-03T18:37:24.33Z</v>
      </c>
      <c r="L98" s="3">
        <f ca="1">IFERROR(__xludf.DUMMYFUNCTION("""COMPUTED_VALUE"""),1)</f>
        <v>1</v>
      </c>
      <c r="M98" s="3">
        <f ca="1">IFERROR(__xludf.DUMMYFUNCTION("""COMPUTED_VALUE"""),0)</f>
        <v>0</v>
      </c>
      <c r="N98" s="3" t="str">
        <f ca="1">IFERROR(__xludf.DUMMYFUNCTION("""COMPUTED_VALUE"""),"2055-06-03T18:33:05.396005Z")</f>
        <v>2055-06-03T18:33:05.396005Z</v>
      </c>
      <c r="O98" s="3" t="str">
        <f ca="1">IFERROR(__xludf.DUMMYFUNCTION("""COMPUTED_VALUE"""),"2055-06-03T18:44:08.741925Z")</f>
        <v>2055-06-03T18:44:08.741925Z</v>
      </c>
      <c r="P98" s="3" t="str">
        <f ca="1">IFERROR(__xludf.DUMMYFUNCTION("""COMPUTED_VALUE"""),"2055-06-03T17:59:47.279147Z")</f>
        <v>2055-06-03T17:59:47.279147Z</v>
      </c>
      <c r="Q98" s="3">
        <f ca="1">IFERROR(__xludf.DUMMYFUNCTION("""COMPUTED_VALUE"""),0)</f>
        <v>0</v>
      </c>
      <c r="R98" s="3" t="str">
        <f ca="1">IFERROR(__xludf.DUMMYFUNCTION("""COMPUTED_VALUE"""),"2055-06-03T17:59:53.741557Z")</f>
        <v>2055-06-03T17:59:53.741557Z</v>
      </c>
      <c r="S98" s="3" t="str">
        <f ca="1">IFERROR(__xludf.DUMMYFUNCTION("""COMPUTED_VALUE"""),"2055-06-03T18:11:09.271521Z")</f>
        <v>2055-06-03T18:11:09.271521Z</v>
      </c>
      <c r="T98" s="3"/>
      <c r="U98" s="4">
        <f ca="1">IFERROR(__xludf.DUMMYFUNCTION("""COMPUTED_VALUE"""),56768)</f>
        <v>56768</v>
      </c>
      <c r="V98" s="3">
        <f ca="1">IFERROR(__xludf.DUMMYFUNCTION("""COMPUTED_VALUE"""),4.2)</f>
        <v>4.2</v>
      </c>
      <c r="W98" s="3">
        <f ca="1">IFERROR(__xludf.DUMMYFUNCTION("""COMPUTED_VALUE"""),5000)</f>
        <v>5000</v>
      </c>
      <c r="X98" s="3">
        <f ca="1">IFERROR(__xludf.DUMMYFUNCTION("""COMPUTED_VALUE"""),2655)</f>
        <v>2655</v>
      </c>
      <c r="Y98" s="3">
        <f ca="1">IFERROR(__xludf.DUMMYFUNCTION("""COMPUTED_VALUE"""),676)</f>
        <v>676</v>
      </c>
      <c r="Z98" s="3">
        <f ca="1">IFERROR(__xludf.DUMMYFUNCTION("""COMPUTED_VALUE"""),1316)</f>
        <v>1316</v>
      </c>
      <c r="AA98" s="3">
        <f ca="1">IFERROR(__xludf.DUMMYFUNCTION("""COMPUTED_VALUE"""),663)</f>
        <v>663</v>
      </c>
      <c r="AB98" s="3">
        <f ca="1">IFERROR(__xludf.DUMMYFUNCTION("""COMPUTED_VALUE"""),0)</f>
        <v>0</v>
      </c>
      <c r="AC98" s="3">
        <f ca="1">IFERROR(__xludf.DUMMYFUNCTION("""COMPUTED_VALUE"""),3)</f>
        <v>3</v>
      </c>
      <c r="AD98" s="3" t="str">
        <f ca="1">IFERROR(__xludf.DUMMYFUNCTION("""COMPUTED_VALUE"""),"early")</f>
        <v>early</v>
      </c>
      <c r="AE98" s="3" t="str">
        <f ca="1">IFERROR(__xludf.DUMMYFUNCTION("""COMPUTED_VALUE"""),"2055-06-03T14:33:05.396005Z")</f>
        <v>2055-06-03T14:33:05.396005Z</v>
      </c>
      <c r="AF98" s="3" t="str">
        <f ca="1">IFERROR(__xludf.DUMMYFUNCTION("""COMPUTED_VALUE"""),"2055-06-03T14:44:08.741925Z")</f>
        <v>2055-06-03T14:44:08.741925Z</v>
      </c>
      <c r="AG98" s="3" t="str">
        <f ca="1">IFERROR(__xludf.DUMMYFUNCTION("""COMPUTED_VALUE"""),"2055-06-03T13:59:47.279147Z")</f>
        <v>2055-06-03T13:59:47.279147Z</v>
      </c>
      <c r="AH98" s="3" t="str">
        <f ca="1">IFERROR(__xludf.DUMMYFUNCTION("""COMPUTED_VALUE"""),"2055-06-03T14:11:09.271521Z")</f>
        <v>2055-06-03T14:11:09.271521Z</v>
      </c>
      <c r="AI98" s="3">
        <f ca="1">IFERROR(__xludf.DUMMYFUNCTION("""COMPUTED_VALUE"""),4.89)</f>
        <v>4.8899999999999997</v>
      </c>
      <c r="AJ98" s="3">
        <f ca="1">IFERROR(__xludf.DUMMYFUNCTION("""COMPUTED_VALUE"""),1778)</f>
        <v>1778</v>
      </c>
      <c r="AK98" s="3">
        <f ca="1">IFERROR(__xludf.DUMMYFUNCTION("""COMPUTED_VALUE"""),5138)</f>
        <v>5138</v>
      </c>
      <c r="AL98" s="3">
        <f ca="1">IFERROR(__xludf.DUMMYFUNCTION("""COMPUTED_VALUE"""),314)</f>
        <v>314</v>
      </c>
    </row>
    <row r="99" spans="1:38" ht="13">
      <c r="A99" s="3">
        <f ca="1">IFERROR(__xludf.DUMMYFUNCTION("""COMPUTED_VALUE"""),231)</f>
        <v>231</v>
      </c>
      <c r="B99" s="3">
        <f ca="1">IFERROR(__xludf.DUMMYFUNCTION("""COMPUTED_VALUE"""),5)</f>
        <v>5</v>
      </c>
      <c r="C99" s="3">
        <f ca="1">IFERROR(__xludf.DUMMYFUNCTION("""COMPUTED_VALUE"""),4050)</f>
        <v>4050</v>
      </c>
      <c r="D99" s="3" t="str">
        <f ca="1">IFERROR(__xludf.DUMMYFUNCTION("""COMPUTED_VALUE"""),"Doorlanta")</f>
        <v>Doorlanta</v>
      </c>
      <c r="E99" s="3" t="str">
        <f ca="1">IFERROR(__xludf.DUMMYFUNCTION("""COMPUTED_VALUE"""),"Galaxy A")</f>
        <v>Galaxy A</v>
      </c>
      <c r="F99" s="3" t="str">
        <f ca="1">IFERROR(__xludf.DUMMYFUNCTION("""COMPUTED_VALUE"""),"Hersh")</f>
        <v>Hersh</v>
      </c>
      <c r="G99" s="3">
        <f ca="1">IFERROR(__xludf.DUMMYFUNCTION("""COMPUTED_VALUE"""),0)</f>
        <v>0</v>
      </c>
      <c r="H99" s="3" t="str">
        <f ca="1">IFERROR(__xludf.DUMMYFUNCTION("""COMPUTED_VALUE"""),"car")</f>
        <v>car</v>
      </c>
      <c r="I99" s="3" t="str">
        <f ca="1">IFERROR(__xludf.DUMMYFUNCTION("""COMPUTED_VALUE"""),"2055-06-03T00:44:46.91976Z")</f>
        <v>2055-06-03T00:44:46.91976Z</v>
      </c>
      <c r="J99" s="3" t="str">
        <f ca="1">IFERROR(__xludf.DUMMYFUNCTION("""COMPUTED_VALUE"""),"2055-06-03T01:39:47.005Z")</f>
        <v>2055-06-03T01:39:47.005Z</v>
      </c>
      <c r="K99" s="3" t="str">
        <f ca="1">IFERROR(__xludf.DUMMYFUNCTION("""COMPUTED_VALUE"""),"2055-06-03T01:12:35.005Z")</f>
        <v>2055-06-03T01:12:35.005Z</v>
      </c>
      <c r="L99" s="3">
        <f ca="1">IFERROR(__xludf.DUMMYFUNCTION("""COMPUTED_VALUE"""),1)</f>
        <v>1</v>
      </c>
      <c r="M99" s="3">
        <f ca="1">IFERROR(__xludf.DUMMYFUNCTION("""COMPUTED_VALUE"""),0)</f>
        <v>0</v>
      </c>
      <c r="N99" s="3" t="str">
        <f ca="1">IFERROR(__xludf.DUMMYFUNCTION("""COMPUTED_VALUE"""),"2055-06-03T01:05:37.118816Z")</f>
        <v>2055-06-03T01:05:37.118816Z</v>
      </c>
      <c r="O99" s="3" t="str">
        <f ca="1">IFERROR(__xludf.DUMMYFUNCTION("""COMPUTED_VALUE"""),"2055-06-03T01:11:32.534821Z")</f>
        <v>2055-06-03T01:11:32.534821Z</v>
      </c>
      <c r="P99" s="3" t="str">
        <f ca="1">IFERROR(__xludf.DUMMYFUNCTION("""COMPUTED_VALUE"""),"2055-06-03T00:45:07.366353Z")</f>
        <v>2055-06-03T00:45:07.366353Z</v>
      </c>
      <c r="Q99" s="3">
        <f ca="1">IFERROR(__xludf.DUMMYFUNCTION("""COMPUTED_VALUE"""),0)</f>
        <v>0</v>
      </c>
      <c r="R99" s="3" t="str">
        <f ca="1">IFERROR(__xludf.DUMMYFUNCTION("""COMPUTED_VALUE"""),"2055-06-03T00:45:19.597136Z")</f>
        <v>2055-06-03T00:45:19.597136Z</v>
      </c>
      <c r="S99" s="3" t="str">
        <f ca="1">IFERROR(__xludf.DUMMYFUNCTION("""COMPUTED_VALUE"""),"2055-06-03T00:51:51.409094Z")</f>
        <v>2055-06-03T00:51:51.409094Z</v>
      </c>
      <c r="T99" s="3"/>
      <c r="U99" s="4">
        <f ca="1">IFERROR(__xludf.DUMMYFUNCTION("""COMPUTED_VALUE"""),56767)</f>
        <v>56767</v>
      </c>
      <c r="V99" s="3">
        <f ca="1">IFERROR(__xludf.DUMMYFUNCTION("""COMPUTED_VALUE"""),4.6)</f>
        <v>4.5999999999999996</v>
      </c>
      <c r="W99" s="3">
        <f ca="1">IFERROR(__xludf.DUMMYFUNCTION("""COMPUTED_VALUE"""),5000)</f>
        <v>5000</v>
      </c>
      <c r="X99" s="3">
        <f ca="1">IFERROR(__xludf.DUMMYFUNCTION("""COMPUTED_VALUE"""),1573)</f>
        <v>1573</v>
      </c>
      <c r="Y99" s="3">
        <f ca="1">IFERROR(__xludf.DUMMYFUNCTION("""COMPUTED_VALUE"""),392)</f>
        <v>392</v>
      </c>
      <c r="Z99" s="3">
        <f ca="1">IFERROR(__xludf.DUMMYFUNCTION("""COMPUTED_VALUE"""),826)</f>
        <v>826</v>
      </c>
      <c r="AA99" s="3">
        <f ca="1">IFERROR(__xludf.DUMMYFUNCTION("""COMPUTED_VALUE"""),355)</f>
        <v>355</v>
      </c>
      <c r="AB99" s="3">
        <f ca="1">IFERROR(__xludf.DUMMYFUNCTION("""COMPUTED_VALUE"""),0)</f>
        <v>0</v>
      </c>
      <c r="AC99" s="3">
        <f ca="1">IFERROR(__xludf.DUMMYFUNCTION("""COMPUTED_VALUE"""),6)</f>
        <v>6</v>
      </c>
      <c r="AD99" s="3" t="str">
        <f ca="1">IFERROR(__xludf.DUMMYFUNCTION("""COMPUTED_VALUE"""),"early")</f>
        <v>early</v>
      </c>
      <c r="AE99" s="3" t="str">
        <f ca="1">IFERROR(__xludf.DUMMYFUNCTION("""COMPUTED_VALUE"""),"2055-06-02T21:05:37.118816Z")</f>
        <v>2055-06-02T21:05:37.118816Z</v>
      </c>
      <c r="AF99" s="3" t="str">
        <f ca="1">IFERROR(__xludf.DUMMYFUNCTION("""COMPUTED_VALUE"""),"2055-06-02T21:11:32.534821Z")</f>
        <v>2055-06-02T21:11:32.534821Z</v>
      </c>
      <c r="AG99" s="3" t="str">
        <f ca="1">IFERROR(__xludf.DUMMYFUNCTION("""COMPUTED_VALUE"""),"2055-06-02T20:45:07.366353Z")</f>
        <v>2055-06-02T20:45:07.366353Z</v>
      </c>
      <c r="AH99" s="3" t="str">
        <f ca="1">IFERROR(__xludf.DUMMYFUNCTION("""COMPUTED_VALUE"""),"2055-06-02T20:51:51.409094Z")</f>
        <v>2055-06-02T20:51:51.409094Z</v>
      </c>
      <c r="AI99" s="3">
        <f ca="1">IFERROR(__xludf.DUMMYFUNCTION("""COMPUTED_VALUE"""),4.7)</f>
        <v>4.7</v>
      </c>
      <c r="AJ99" s="3">
        <f ca="1">IFERROR(__xludf.DUMMYFUNCTION("""COMPUTED_VALUE"""),212)</f>
        <v>212</v>
      </c>
      <c r="AK99" s="3">
        <f ca="1">IFERROR(__xludf.DUMMYFUNCTION("""COMPUTED_VALUE"""),624)</f>
        <v>624</v>
      </c>
      <c r="AL99" s="3">
        <f ca="1">IFERROR(__xludf.DUMMYFUNCTION("""COMPUTED_VALUE"""),347)</f>
        <v>347</v>
      </c>
    </row>
    <row r="100" spans="1:38" ht="13">
      <c r="A100" s="3">
        <f ca="1">IFERROR(__xludf.DUMMYFUNCTION("""COMPUTED_VALUE"""),443)</f>
        <v>443</v>
      </c>
      <c r="B100" s="3">
        <f ca="1">IFERROR(__xludf.DUMMYFUNCTION("""COMPUTED_VALUE"""),5)</f>
        <v>5</v>
      </c>
      <c r="C100" s="3">
        <f ca="1">IFERROR(__xludf.DUMMYFUNCTION("""COMPUTED_VALUE"""),4050)</f>
        <v>4050</v>
      </c>
      <c r="D100" s="3" t="str">
        <f ca="1">IFERROR(__xludf.DUMMYFUNCTION("""COMPUTED_VALUE"""),"Doorlanta")</f>
        <v>Doorlanta</v>
      </c>
      <c r="E100" s="3" t="str">
        <f ca="1">IFERROR(__xludf.DUMMYFUNCTION("""COMPUTED_VALUE"""),"Galaxy A")</f>
        <v>Galaxy A</v>
      </c>
      <c r="F100" s="3" t="str">
        <f ca="1">IFERROR(__xludf.DUMMYFUNCTION("""COMPUTED_VALUE"""),"Cate")</f>
        <v>Cate</v>
      </c>
      <c r="G100" s="3">
        <f ca="1">IFERROR(__xludf.DUMMYFUNCTION("""COMPUTED_VALUE"""),0)</f>
        <v>0</v>
      </c>
      <c r="H100" s="3" t="str">
        <f ca="1">IFERROR(__xludf.DUMMYFUNCTION("""COMPUTED_VALUE"""),"car")</f>
        <v>car</v>
      </c>
      <c r="I100" s="3" t="str">
        <f ca="1">IFERROR(__xludf.DUMMYFUNCTION("""COMPUTED_VALUE"""),"2055-06-04T20:38:49.347697Z")</f>
        <v>2055-06-04T20:38:49.347697Z</v>
      </c>
      <c r="J100" s="3" t="str">
        <f ca="1">IFERROR(__xludf.DUMMYFUNCTION("""COMPUTED_VALUE"""),"2055-06-04T21:37:40.426Z")</f>
        <v>2055-06-04T21:37:40.426Z</v>
      </c>
      <c r="K100" s="3" t="str">
        <f ca="1">IFERROR(__xludf.DUMMYFUNCTION("""COMPUTED_VALUE"""),"2055-06-04T21:17:33.426Z")</f>
        <v>2055-06-04T21:17:33.426Z</v>
      </c>
      <c r="L100" s="3">
        <f ca="1">IFERROR(__xludf.DUMMYFUNCTION("""COMPUTED_VALUE"""),1)</f>
        <v>1</v>
      </c>
      <c r="M100" s="3">
        <f ca="1">IFERROR(__xludf.DUMMYFUNCTION("""COMPUTED_VALUE"""),0)</f>
        <v>0</v>
      </c>
      <c r="N100" s="3" t="str">
        <f ca="1">IFERROR(__xludf.DUMMYFUNCTION("""COMPUTED_VALUE"""),"2055-06-04T21:17:33.589932Z")</f>
        <v>2055-06-04T21:17:33.589932Z</v>
      </c>
      <c r="O100" s="3" t="str">
        <f ca="1">IFERROR(__xludf.DUMMYFUNCTION("""COMPUTED_VALUE"""),"2055-06-04T21:26:28.313295Z")</f>
        <v>2055-06-04T21:26:28.313295Z</v>
      </c>
      <c r="P100" s="3" t="str">
        <f ca="1">IFERROR(__xludf.DUMMYFUNCTION("""COMPUTED_VALUE"""),"2055-06-04T21:00:47.291109Z")</f>
        <v>2055-06-04T21:00:47.291109Z</v>
      </c>
      <c r="Q100" s="3">
        <f ca="1">IFERROR(__xludf.DUMMYFUNCTION("""COMPUTED_VALUE"""),0)</f>
        <v>0</v>
      </c>
      <c r="R100" s="3" t="str">
        <f ca="1">IFERROR(__xludf.DUMMYFUNCTION("""COMPUTED_VALUE"""),"2055-06-04T21:00:50.343667Z")</f>
        <v>2055-06-04T21:00:50.343667Z</v>
      </c>
      <c r="S100" s="3" t="str">
        <f ca="1">IFERROR(__xludf.DUMMYFUNCTION("""COMPUTED_VALUE"""),"2055-06-04T21:17:12.02676Z")</f>
        <v>2055-06-04T21:17:12.02676Z</v>
      </c>
      <c r="T100" s="3"/>
      <c r="U100" s="4">
        <f ca="1">IFERROR(__xludf.DUMMYFUNCTION("""COMPUTED_VALUE"""),56769)</f>
        <v>56769</v>
      </c>
      <c r="V100" s="3">
        <f ca="1">IFERROR(__xludf.DUMMYFUNCTION("""COMPUTED_VALUE"""),3.224125063)</f>
        <v>3.2241250629999998</v>
      </c>
      <c r="W100" s="3">
        <f ca="1">IFERROR(__xludf.DUMMYFUNCTION("""COMPUTED_VALUE"""),5000)</f>
        <v>5000</v>
      </c>
      <c r="X100" s="3">
        <f ca="1">IFERROR(__xludf.DUMMYFUNCTION("""COMPUTED_VALUE"""),1538)</f>
        <v>1538</v>
      </c>
      <c r="Y100" s="3">
        <f ca="1">IFERROR(__xludf.DUMMYFUNCTION("""COMPUTED_VALUE"""),982)</f>
        <v>982</v>
      </c>
      <c r="Z100" s="3">
        <f ca="1">IFERROR(__xludf.DUMMYFUNCTION("""COMPUTED_VALUE"""),21)</f>
        <v>21</v>
      </c>
      <c r="AA100" s="3">
        <f ca="1">IFERROR(__xludf.DUMMYFUNCTION("""COMPUTED_VALUE"""),535)</f>
        <v>535</v>
      </c>
      <c r="AB100" s="3">
        <f ca="1">IFERROR(__xludf.DUMMYFUNCTION("""COMPUTED_VALUE"""),0)</f>
        <v>0</v>
      </c>
      <c r="AC100" s="3">
        <f ca="1">IFERROR(__xludf.DUMMYFUNCTION("""COMPUTED_VALUE"""),2)</f>
        <v>2</v>
      </c>
      <c r="AD100" s="3" t="str">
        <f ca="1">IFERROR(__xludf.DUMMYFUNCTION("""COMPUTED_VALUE"""),"late")</f>
        <v>late</v>
      </c>
      <c r="AE100" s="3" t="str">
        <f ca="1">IFERROR(__xludf.DUMMYFUNCTION("""COMPUTED_VALUE"""),"2055-06-04T17:17:33.589932Z")</f>
        <v>2055-06-04T17:17:33.589932Z</v>
      </c>
      <c r="AF100" s="3" t="str">
        <f ca="1">IFERROR(__xludf.DUMMYFUNCTION("""COMPUTED_VALUE"""),"2055-06-04T17:26:28.313295Z")</f>
        <v>2055-06-04T17:26:28.313295Z</v>
      </c>
      <c r="AG100" s="3" t="str">
        <f ca="1">IFERROR(__xludf.DUMMYFUNCTION("""COMPUTED_VALUE"""),"2055-06-04T17:00:47.291109Z")</f>
        <v>2055-06-04T17:00:47.291109Z</v>
      </c>
      <c r="AH100" s="3" t="str">
        <f ca="1">IFERROR(__xludf.DUMMYFUNCTION("""COMPUTED_VALUE"""),"2055-06-04T17:17:12.02676Z")</f>
        <v>2055-06-04T17:17:12.02676Z</v>
      </c>
      <c r="AI100" s="3">
        <f ca="1">IFERROR(__xludf.DUMMYFUNCTION("""COMPUTED_VALUE"""),4.49)</f>
        <v>4.49</v>
      </c>
      <c r="AJ100" s="3">
        <f ca="1">IFERROR(__xludf.DUMMYFUNCTION("""COMPUTED_VALUE"""),2315)</f>
        <v>2315</v>
      </c>
      <c r="AK100" s="3">
        <f ca="1">IFERROR(__xludf.DUMMYFUNCTION("""COMPUTED_VALUE"""),7039)</f>
        <v>7039</v>
      </c>
      <c r="AL100" s="3">
        <f ca="1">IFERROR(__xludf.DUMMYFUNCTION("""COMPUTED_VALUE"""),763)</f>
        <v>763</v>
      </c>
    </row>
    <row r="101" spans="1:38" ht="13">
      <c r="A101" s="3">
        <f ca="1">IFERROR(__xludf.DUMMYFUNCTION("""COMPUTED_VALUE"""),152)</f>
        <v>152</v>
      </c>
      <c r="B101" s="3"/>
      <c r="C101" s="3">
        <f ca="1">IFERROR(__xludf.DUMMYFUNCTION("""COMPUTED_VALUE"""),4050)</f>
        <v>4050</v>
      </c>
      <c r="D101" s="3" t="str">
        <f ca="1">IFERROR(__xludf.DUMMYFUNCTION("""COMPUTED_VALUE"""),"Doorlanta")</f>
        <v>Doorlanta</v>
      </c>
      <c r="E101" s="3" t="str">
        <f ca="1">IFERROR(__xludf.DUMMYFUNCTION("""COMPUTED_VALUE"""),"Galaxy A")</f>
        <v>Galaxy A</v>
      </c>
      <c r="F101" s="3" t="str">
        <f ca="1">IFERROR(__xludf.DUMMYFUNCTION("""COMPUTED_VALUE"""),"Cate")</f>
        <v>Cate</v>
      </c>
      <c r="G101" s="3">
        <f ca="1">IFERROR(__xludf.DUMMYFUNCTION("""COMPUTED_VALUE"""),0)</f>
        <v>0</v>
      </c>
      <c r="H101" s="3" t="str">
        <f ca="1">IFERROR(__xludf.DUMMYFUNCTION("""COMPUTED_VALUE"""),"car")</f>
        <v>car</v>
      </c>
      <c r="I101" s="3" t="str">
        <f ca="1">IFERROR(__xludf.DUMMYFUNCTION("""COMPUTED_VALUE"""),"2055-06-02T18:28:38.466201Z")</f>
        <v>2055-06-02T18:28:38.466201Z</v>
      </c>
      <c r="J101" s="3" t="str">
        <f ca="1">IFERROR(__xludf.DUMMYFUNCTION("""COMPUTED_VALUE"""),"2055-06-02T19:08:38.525Z")</f>
        <v>2055-06-02T19:08:38.525Z</v>
      </c>
      <c r="K101" s="3" t="str">
        <f ca="1">IFERROR(__xludf.DUMMYFUNCTION("""COMPUTED_VALUE"""),"2055-06-02T19:05:03.525Z")</f>
        <v>2055-06-02T19:05:03.525Z</v>
      </c>
      <c r="L101" s="3">
        <f ca="1">IFERROR(__xludf.DUMMYFUNCTION("""COMPUTED_VALUE"""),1)</f>
        <v>1</v>
      </c>
      <c r="M101" s="3">
        <f ca="1">IFERROR(__xludf.DUMMYFUNCTION("""COMPUTED_VALUE"""),0)</f>
        <v>0</v>
      </c>
      <c r="N101" s="3" t="str">
        <f ca="1">IFERROR(__xludf.DUMMYFUNCTION("""COMPUTED_VALUE"""),"2055-06-02T18:57:22.50192Z")</f>
        <v>2055-06-02T18:57:22.50192Z</v>
      </c>
      <c r="O101" s="3" t="str">
        <f ca="1">IFERROR(__xludf.DUMMYFUNCTION("""COMPUTED_VALUE"""),"2055-06-02T19:04:54.358644Z")</f>
        <v>2055-06-02T19:04:54.358644Z</v>
      </c>
      <c r="P101" s="3" t="str">
        <f ca="1">IFERROR(__xludf.DUMMYFUNCTION("""COMPUTED_VALUE"""),"2055-06-02T18:28:47.273227Z")</f>
        <v>2055-06-02T18:28:47.273227Z</v>
      </c>
      <c r="Q101" s="3">
        <f ca="1">IFERROR(__xludf.DUMMYFUNCTION("""COMPUTED_VALUE"""),0)</f>
        <v>0</v>
      </c>
      <c r="R101" s="3" t="str">
        <f ca="1">IFERROR(__xludf.DUMMYFUNCTION("""COMPUTED_VALUE"""),"2055-06-02T18:28:55.59378Z")</f>
        <v>2055-06-02T18:28:55.59378Z</v>
      </c>
      <c r="S101" s="3" t="str">
        <f ca="1">IFERROR(__xludf.DUMMYFUNCTION("""COMPUTED_VALUE"""),"2055-06-02T18:39:31.233195Z")</f>
        <v>2055-06-02T18:39:31.233195Z</v>
      </c>
      <c r="T101" s="3"/>
      <c r="U101" s="4">
        <f ca="1">IFERROR(__xludf.DUMMYFUNCTION("""COMPUTED_VALUE"""),56767)</f>
        <v>56767</v>
      </c>
      <c r="V101" s="3">
        <f ca="1">IFERROR(__xludf.DUMMYFUNCTION("""COMPUTED_VALUE"""),4.6)</f>
        <v>4.5999999999999996</v>
      </c>
      <c r="W101" s="3">
        <f ca="1">IFERROR(__xludf.DUMMYFUNCTION("""COMPUTED_VALUE"""),5000)</f>
        <v>5000</v>
      </c>
      <c r="X101" s="3">
        <f ca="1">IFERROR(__xludf.DUMMYFUNCTION("""COMPUTED_VALUE"""),2159)</f>
        <v>2159</v>
      </c>
      <c r="Y101" s="3">
        <f ca="1">IFERROR(__xludf.DUMMYFUNCTION("""COMPUTED_VALUE"""),636)</f>
        <v>636</v>
      </c>
      <c r="Z101" s="3">
        <f ca="1">IFERROR(__xludf.DUMMYFUNCTION("""COMPUTED_VALUE"""),1071)</f>
        <v>1071</v>
      </c>
      <c r="AA101" s="3">
        <f ca="1">IFERROR(__xludf.DUMMYFUNCTION("""COMPUTED_VALUE"""),452)</f>
        <v>452</v>
      </c>
      <c r="AB101" s="3">
        <f ca="1">IFERROR(__xludf.DUMMYFUNCTION("""COMPUTED_VALUE"""),0)</f>
        <v>0</v>
      </c>
      <c r="AC101" s="3">
        <f ca="1">IFERROR(__xludf.DUMMYFUNCTION("""COMPUTED_VALUE"""),3)</f>
        <v>3</v>
      </c>
      <c r="AD101" s="3" t="str">
        <f ca="1">IFERROR(__xludf.DUMMYFUNCTION("""COMPUTED_VALUE"""),"early")</f>
        <v>early</v>
      </c>
      <c r="AE101" s="3" t="str">
        <f ca="1">IFERROR(__xludf.DUMMYFUNCTION("""COMPUTED_VALUE"""),"2055-06-02T14:57:22.50192Z")</f>
        <v>2055-06-02T14:57:22.50192Z</v>
      </c>
      <c r="AF101" s="3" t="str">
        <f ca="1">IFERROR(__xludf.DUMMYFUNCTION("""COMPUTED_VALUE"""),"2055-06-02T15:04:54.358644Z")</f>
        <v>2055-06-02T15:04:54.358644Z</v>
      </c>
      <c r="AG101" s="3" t="str">
        <f ca="1">IFERROR(__xludf.DUMMYFUNCTION("""COMPUTED_VALUE"""),"2055-06-02T14:28:47.273227Z")</f>
        <v>2055-06-02T14:28:47.273227Z</v>
      </c>
      <c r="AH101" s="3" t="str">
        <f ca="1">IFERROR(__xludf.DUMMYFUNCTION("""COMPUTED_VALUE"""),"2055-06-02T14:39:31.233195Z")</f>
        <v>2055-06-02T14:39:31.233195Z</v>
      </c>
      <c r="AI101" s="3">
        <f ca="1">IFERROR(__xludf.DUMMYFUNCTION("""COMPUTED_VALUE"""),4.49)</f>
        <v>4.49</v>
      </c>
      <c r="AJ101" s="3">
        <f ca="1">IFERROR(__xludf.DUMMYFUNCTION("""COMPUTED_VALUE"""),2315)</f>
        <v>2315</v>
      </c>
      <c r="AK101" s="3">
        <f ca="1">IFERROR(__xludf.DUMMYFUNCTION("""COMPUTED_VALUE"""),7039)</f>
        <v>7039</v>
      </c>
      <c r="AL101" s="3">
        <f ca="1">IFERROR(__xludf.DUMMYFUNCTION("""COMPUTED_VALUE"""),763)</f>
        <v>763</v>
      </c>
    </row>
    <row r="102" spans="1:38" ht="13">
      <c r="A102" s="3">
        <f ca="1">IFERROR(__xludf.DUMMYFUNCTION("""COMPUTED_VALUE"""),354)</f>
        <v>354</v>
      </c>
      <c r="B102" s="3">
        <f ca="1">IFERROR(__xludf.DUMMYFUNCTION("""COMPUTED_VALUE"""),5)</f>
        <v>5</v>
      </c>
      <c r="C102" s="3">
        <f ca="1">IFERROR(__xludf.DUMMYFUNCTION("""COMPUTED_VALUE"""),4050)</f>
        <v>4050</v>
      </c>
      <c r="D102" s="3" t="str">
        <f ca="1">IFERROR(__xludf.DUMMYFUNCTION("""COMPUTED_VALUE"""),"Doorlanta")</f>
        <v>Doorlanta</v>
      </c>
      <c r="E102" s="3" t="str">
        <f ca="1">IFERROR(__xludf.DUMMYFUNCTION("""COMPUTED_VALUE"""),"Galaxy A")</f>
        <v>Galaxy A</v>
      </c>
      <c r="F102" s="3" t="str">
        <f ca="1">IFERROR(__xludf.DUMMYFUNCTION("""COMPUTED_VALUE"""),"Andy")</f>
        <v>Andy</v>
      </c>
      <c r="G102" s="3">
        <f ca="1">IFERROR(__xludf.DUMMYFUNCTION("""COMPUTED_VALUE"""),0)</f>
        <v>0</v>
      </c>
      <c r="H102" s="3" t="str">
        <f ca="1">IFERROR(__xludf.DUMMYFUNCTION("""COMPUTED_VALUE"""),"car")</f>
        <v>car</v>
      </c>
      <c r="I102" s="3" t="str">
        <f ca="1">IFERROR(__xludf.DUMMYFUNCTION("""COMPUTED_VALUE"""),"2055-06-03T22:53:55.29326Z")</f>
        <v>2055-06-03T22:53:55.29326Z</v>
      </c>
      <c r="J102" s="3" t="str">
        <f ca="1">IFERROR(__xludf.DUMMYFUNCTION("""COMPUTED_VALUE"""),"2055-06-03T23:45:04.375Z")</f>
        <v>2055-06-03T23:45:04.375Z</v>
      </c>
      <c r="K102" s="3" t="str">
        <f ca="1">IFERROR(__xludf.DUMMYFUNCTION("""COMPUTED_VALUE"""),"2055-06-03T23:34:25.375Z")</f>
        <v>2055-06-03T23:34:25.375Z</v>
      </c>
      <c r="L102" s="3">
        <f ca="1">IFERROR(__xludf.DUMMYFUNCTION("""COMPUTED_VALUE"""),1)</f>
        <v>1</v>
      </c>
      <c r="M102" s="3">
        <f ca="1">IFERROR(__xludf.DUMMYFUNCTION("""COMPUTED_VALUE"""),0)</f>
        <v>0</v>
      </c>
      <c r="N102" s="3" t="str">
        <f ca="1">IFERROR(__xludf.DUMMYFUNCTION("""COMPUTED_VALUE"""),"2055-06-03T23:19:44.351805Z")</f>
        <v>2055-06-03T23:19:44.351805Z</v>
      </c>
      <c r="O102" s="3" t="str">
        <f ca="1">IFERROR(__xludf.DUMMYFUNCTION("""COMPUTED_VALUE"""),"2055-06-03T23:36:37.407492Z")</f>
        <v>2055-06-03T23:36:37.407492Z</v>
      </c>
      <c r="P102" s="3" t="str">
        <f ca="1">IFERROR(__xludf.DUMMYFUNCTION("""COMPUTED_VALUE"""),"2055-06-03T22:58:47.381781Z")</f>
        <v>2055-06-03T22:58:47.381781Z</v>
      </c>
      <c r="Q102" s="3">
        <f ca="1">IFERROR(__xludf.DUMMYFUNCTION("""COMPUTED_VALUE"""),0)</f>
        <v>0</v>
      </c>
      <c r="R102" s="3" t="str">
        <f ca="1">IFERROR(__xludf.DUMMYFUNCTION("""COMPUTED_VALUE"""),"2055-06-03T22:58:54.393618Z")</f>
        <v>2055-06-03T22:58:54.393618Z</v>
      </c>
      <c r="S102" s="3" t="str">
        <f ca="1">IFERROR(__xludf.DUMMYFUNCTION("""COMPUTED_VALUE"""),"2055-06-03T23:07:34.289577Z")</f>
        <v>2055-06-03T23:07:34.289577Z</v>
      </c>
      <c r="T102" s="3"/>
      <c r="U102" s="4">
        <f ca="1">IFERROR(__xludf.DUMMYFUNCTION("""COMPUTED_VALUE"""),56768)</f>
        <v>56768</v>
      </c>
      <c r="V102" s="3">
        <f ca="1">IFERROR(__xludf.DUMMYFUNCTION("""COMPUTED_VALUE"""),4.5)</f>
        <v>4.5</v>
      </c>
      <c r="W102" s="3">
        <f ca="1">IFERROR(__xludf.DUMMYFUNCTION("""COMPUTED_VALUE"""),5000)</f>
        <v>5000</v>
      </c>
      <c r="X102" s="3">
        <f ca="1">IFERROR(__xludf.DUMMYFUNCTION("""COMPUTED_VALUE"""),2263)</f>
        <v>2263</v>
      </c>
      <c r="Y102" s="3">
        <f ca="1">IFERROR(__xludf.DUMMYFUNCTION("""COMPUTED_VALUE"""),520)</f>
        <v>520</v>
      </c>
      <c r="Z102" s="3">
        <f ca="1">IFERROR(__xludf.DUMMYFUNCTION("""COMPUTED_VALUE"""),730)</f>
        <v>730</v>
      </c>
      <c r="AA102" s="3">
        <f ca="1">IFERROR(__xludf.DUMMYFUNCTION("""COMPUTED_VALUE"""),1013)</f>
        <v>1013</v>
      </c>
      <c r="AB102" s="3">
        <f ca="1">IFERROR(__xludf.DUMMYFUNCTION("""COMPUTED_VALUE"""),0)</f>
        <v>0</v>
      </c>
      <c r="AC102" s="3">
        <f ca="1">IFERROR(__xludf.DUMMYFUNCTION("""COMPUTED_VALUE"""),6)</f>
        <v>6</v>
      </c>
      <c r="AD102" s="3" t="str">
        <f ca="1">IFERROR(__xludf.DUMMYFUNCTION("""COMPUTED_VALUE"""),"on time")</f>
        <v>on time</v>
      </c>
      <c r="AE102" s="3" t="str">
        <f ca="1">IFERROR(__xludf.DUMMYFUNCTION("""COMPUTED_VALUE"""),"2055-06-03T19:19:44.351805Z")</f>
        <v>2055-06-03T19:19:44.351805Z</v>
      </c>
      <c r="AF102" s="3" t="str">
        <f ca="1">IFERROR(__xludf.DUMMYFUNCTION("""COMPUTED_VALUE"""),"2055-06-03T19:36:37.407492Z")</f>
        <v>2055-06-03T19:36:37.407492Z</v>
      </c>
      <c r="AG102" s="3" t="str">
        <f ca="1">IFERROR(__xludf.DUMMYFUNCTION("""COMPUTED_VALUE"""),"2055-06-03T18:58:47.381781Z")</f>
        <v>2055-06-03T18:58:47.381781Z</v>
      </c>
      <c r="AH102" s="3" t="str">
        <f ca="1">IFERROR(__xludf.DUMMYFUNCTION("""COMPUTED_VALUE"""),"2055-06-03T19:07:34.289577Z")</f>
        <v>2055-06-03T19:07:34.289577Z</v>
      </c>
      <c r="AI102" s="3">
        <f ca="1">IFERROR(__xludf.DUMMYFUNCTION("""COMPUTED_VALUE"""),4.5)</f>
        <v>4.5</v>
      </c>
      <c r="AJ102" s="3">
        <f ca="1">IFERROR(__xludf.DUMMYFUNCTION("""COMPUTED_VALUE"""),55)</f>
        <v>55</v>
      </c>
      <c r="AK102" s="3">
        <f ca="1">IFERROR(__xludf.DUMMYFUNCTION("""COMPUTED_VALUE"""),211)</f>
        <v>211</v>
      </c>
      <c r="AL102" s="3">
        <f ca="1">IFERROR(__xludf.DUMMYFUNCTION("""COMPUTED_VALUE"""),6)</f>
        <v>6</v>
      </c>
    </row>
    <row r="103" spans="1:38" ht="13">
      <c r="A103" s="3">
        <f ca="1">IFERROR(__xludf.DUMMYFUNCTION("""COMPUTED_VALUE"""),1253)</f>
        <v>1253</v>
      </c>
      <c r="B103" s="3"/>
      <c r="C103" s="3">
        <f ca="1">IFERROR(__xludf.DUMMYFUNCTION("""COMPUTED_VALUE"""),4001)</f>
        <v>4001</v>
      </c>
      <c r="D103" s="3" t="str">
        <f ca="1">IFERROR(__xludf.DUMMYFUNCTION("""COMPUTED_VALUE"""),"Dashattan")</f>
        <v>Dashattan</v>
      </c>
      <c r="E103" s="3" t="str">
        <f ca="1">IFERROR(__xludf.DUMMYFUNCTION("""COMPUTED_VALUE"""),"Galaxy A")</f>
        <v>Galaxy A</v>
      </c>
      <c r="F103" s="3" t="str">
        <f ca="1">IFERROR(__xludf.DUMMYFUNCTION("""COMPUTED_VALUE"""),"Rojan")</f>
        <v>Rojan</v>
      </c>
      <c r="G103" s="3">
        <f ca="1">IFERROR(__xludf.DUMMYFUNCTION("""COMPUTED_VALUE"""),0)</f>
        <v>0</v>
      </c>
      <c r="H103" s="3" t="str">
        <f ca="1">IFERROR(__xludf.DUMMYFUNCTION("""COMPUTED_VALUE"""),"bicycle")</f>
        <v>bicycle</v>
      </c>
      <c r="I103" s="3" t="str">
        <f ca="1">IFERROR(__xludf.DUMMYFUNCTION("""COMPUTED_VALUE"""),"2055-06-11T16:14:39.024922Z")</f>
        <v>2055-06-11T16:14:39.024922Z</v>
      </c>
      <c r="J103" s="3" t="str">
        <f ca="1">IFERROR(__xludf.DUMMYFUNCTION("""COMPUTED_VALUE"""),"2055-06-11T17:10:05.089Z")</f>
        <v>2055-06-11T17:10:05.089Z</v>
      </c>
      <c r="K103" s="3" t="str">
        <f ca="1">IFERROR(__xludf.DUMMYFUNCTION("""COMPUTED_VALUE"""),"2055-06-11T16:48:11.089Z")</f>
        <v>2055-06-11T16:48:11.089Z</v>
      </c>
      <c r="L103" s="3">
        <f ca="1">IFERROR(__xludf.DUMMYFUNCTION("""COMPUTED_VALUE"""),1)</f>
        <v>1</v>
      </c>
      <c r="M103" s="3">
        <f ca="1">IFERROR(__xludf.DUMMYFUNCTION("""COMPUTED_VALUE"""),0)</f>
        <v>0</v>
      </c>
      <c r="N103" s="3" t="str">
        <f ca="1">IFERROR(__xludf.DUMMYFUNCTION("""COMPUTED_VALUE"""),"2055-06-11T16:30:03.808774Z")</f>
        <v>2055-06-11T16:30:03.808774Z</v>
      </c>
      <c r="O103" s="3" t="str">
        <f ca="1">IFERROR(__xludf.DUMMYFUNCTION("""COMPUTED_VALUE"""),"2055-06-11T16:37:42.746869Z")</f>
        <v>2055-06-11T16:37:42.746869Z</v>
      </c>
      <c r="P103" s="3" t="str">
        <f ca="1">IFERROR(__xludf.DUMMYFUNCTION("""COMPUTED_VALUE"""),"2055-06-11T16:19:34.407824Z")</f>
        <v>2055-06-11T16:19:34.407824Z</v>
      </c>
      <c r="Q103" s="3">
        <f ca="1">IFERROR(__xludf.DUMMYFUNCTION("""COMPUTED_VALUE"""),0)</f>
        <v>0</v>
      </c>
      <c r="R103" s="3" t="str">
        <f ca="1">IFERROR(__xludf.DUMMYFUNCTION("""COMPUTED_VALUE"""),"2055-06-11T16:19:39.785473Z")</f>
        <v>2055-06-11T16:19:39.785473Z</v>
      </c>
      <c r="S103" s="3" t="str">
        <f ca="1">IFERROR(__xludf.DUMMYFUNCTION("""COMPUTED_VALUE"""),"2055-06-11T16:22:15.579517Z")</f>
        <v>2055-06-11T16:22:15.579517Z</v>
      </c>
      <c r="T103" s="3"/>
      <c r="U103" s="4">
        <f ca="1">IFERROR(__xludf.DUMMYFUNCTION("""COMPUTED_VALUE"""),56776)</f>
        <v>56776</v>
      </c>
      <c r="V103" s="3">
        <f ca="1">IFERROR(__xludf.DUMMYFUNCTION("""COMPUTED_VALUE"""),3.9)</f>
        <v>3.9</v>
      </c>
      <c r="W103" s="3">
        <f ca="1">IFERROR(__xludf.DUMMYFUNCTION("""COMPUTED_VALUE"""),5000)</f>
        <v>5000</v>
      </c>
      <c r="X103" s="3">
        <f ca="1">IFERROR(__xludf.DUMMYFUNCTION("""COMPUTED_VALUE"""),1083)</f>
        <v>1083</v>
      </c>
      <c r="Y103" s="3">
        <f ca="1">IFERROR(__xludf.DUMMYFUNCTION("""COMPUTED_VALUE"""),156)</f>
        <v>156</v>
      </c>
      <c r="Z103" s="3">
        <f ca="1">IFERROR(__xludf.DUMMYFUNCTION("""COMPUTED_VALUE"""),468)</f>
        <v>468</v>
      </c>
      <c r="AA103" s="3">
        <f ca="1">IFERROR(__xludf.DUMMYFUNCTION("""COMPUTED_VALUE"""),459)</f>
        <v>459</v>
      </c>
      <c r="AB103" s="3">
        <f ca="1">IFERROR(__xludf.DUMMYFUNCTION("""COMPUTED_VALUE"""),0)</f>
        <v>0</v>
      </c>
      <c r="AC103" s="3">
        <f ca="1">IFERROR(__xludf.DUMMYFUNCTION("""COMPUTED_VALUE"""),3)</f>
        <v>3</v>
      </c>
      <c r="AD103" s="3" t="str">
        <f ca="1">IFERROR(__xludf.DUMMYFUNCTION("""COMPUTED_VALUE"""),"early")</f>
        <v>early</v>
      </c>
      <c r="AE103" s="3" t="str">
        <f ca="1">IFERROR(__xludf.DUMMYFUNCTION("""COMPUTED_VALUE"""),"2055-06-11T12:30:03.808774Z")</f>
        <v>2055-06-11T12:30:03.808774Z</v>
      </c>
      <c r="AF103" s="3" t="str">
        <f ca="1">IFERROR(__xludf.DUMMYFUNCTION("""COMPUTED_VALUE"""),"2055-06-11T12:37:42.746869Z")</f>
        <v>2055-06-11T12:37:42.746869Z</v>
      </c>
      <c r="AG103" s="3" t="str">
        <f ca="1">IFERROR(__xludf.DUMMYFUNCTION("""COMPUTED_VALUE"""),"2055-06-11T12:19:34.407824Z")</f>
        <v>2055-06-11T12:19:34.407824Z</v>
      </c>
      <c r="AH103" s="3" t="str">
        <f ca="1">IFERROR(__xludf.DUMMYFUNCTION("""COMPUTED_VALUE"""),"2055-06-11T12:22:15.579517Z")</f>
        <v>2055-06-11T12:22:15.579517Z</v>
      </c>
      <c r="AI103" s="3">
        <f ca="1">IFERROR(__xludf.DUMMYFUNCTION("""COMPUTED_VALUE"""),4.58)</f>
        <v>4.58</v>
      </c>
      <c r="AJ103" s="3">
        <f ca="1">IFERROR(__xludf.DUMMYFUNCTION("""COMPUTED_VALUE"""),254)</f>
        <v>254</v>
      </c>
      <c r="AK103" s="3">
        <f ca="1">IFERROR(__xludf.DUMMYFUNCTION("""COMPUTED_VALUE"""),788)</f>
        <v>788</v>
      </c>
      <c r="AL103" s="3">
        <f ca="1">IFERROR(__xludf.DUMMYFUNCTION("""COMPUTED_VALUE"""),9)</f>
        <v>9</v>
      </c>
    </row>
    <row r="104" spans="1:38" ht="13">
      <c r="A104" s="3">
        <f ca="1">IFERROR(__xludf.DUMMYFUNCTION("""COMPUTED_VALUE"""),174)</f>
        <v>174</v>
      </c>
      <c r="B104" s="3"/>
      <c r="C104" s="3">
        <f ca="1">IFERROR(__xludf.DUMMYFUNCTION("""COMPUTED_VALUE"""),4001)</f>
        <v>4001</v>
      </c>
      <c r="D104" s="3" t="str">
        <f ca="1">IFERROR(__xludf.DUMMYFUNCTION("""COMPUTED_VALUE"""),"Dashattan")</f>
        <v>Dashattan</v>
      </c>
      <c r="E104" s="3" t="str">
        <f ca="1">IFERROR(__xludf.DUMMYFUNCTION("""COMPUTED_VALUE"""),"Galaxy A")</f>
        <v>Galaxy A</v>
      </c>
      <c r="F104" s="3" t="str">
        <f ca="1">IFERROR(__xludf.DUMMYFUNCTION("""COMPUTED_VALUE"""),"Rojan")</f>
        <v>Rojan</v>
      </c>
      <c r="G104" s="3">
        <f ca="1">IFERROR(__xludf.DUMMYFUNCTION("""COMPUTED_VALUE"""),0)</f>
        <v>0</v>
      </c>
      <c r="H104" s="3" t="str">
        <f ca="1">IFERROR(__xludf.DUMMYFUNCTION("""COMPUTED_VALUE"""),"bicycle")</f>
        <v>bicycle</v>
      </c>
      <c r="I104" s="3" t="str">
        <f ca="1">IFERROR(__xludf.DUMMYFUNCTION("""COMPUTED_VALUE"""),"2055-06-02T21:40:29.044283Z")</f>
        <v>2055-06-02T21:40:29.044283Z</v>
      </c>
      <c r="J104" s="3" t="str">
        <f ca="1">IFERROR(__xludf.DUMMYFUNCTION("""COMPUTED_VALUE"""),"2055-06-02T22:37:04.136Z")</f>
        <v>2055-06-02T22:37:04.136Z</v>
      </c>
      <c r="K104" s="3" t="str">
        <f ca="1">IFERROR(__xludf.DUMMYFUNCTION("""COMPUTED_VALUE"""),"2055-06-02T22:21:57.136Z")</f>
        <v>2055-06-02T22:21:57.136Z</v>
      </c>
      <c r="L104" s="3">
        <f ca="1">IFERROR(__xludf.DUMMYFUNCTION("""COMPUTED_VALUE"""),1)</f>
        <v>1</v>
      </c>
      <c r="M104" s="3">
        <f ca="1">IFERROR(__xludf.DUMMYFUNCTION("""COMPUTED_VALUE"""),0)</f>
        <v>0</v>
      </c>
      <c r="N104" s="3" t="str">
        <f ca="1">IFERROR(__xludf.DUMMYFUNCTION("""COMPUTED_VALUE"""),"2055-06-02T22:03:55.702913Z")</f>
        <v>2055-06-02T22:03:55.702913Z</v>
      </c>
      <c r="O104" s="3" t="str">
        <f ca="1">IFERROR(__xludf.DUMMYFUNCTION("""COMPUTED_VALUE"""),"2055-06-02T22:19:11.091273Z")</f>
        <v>2055-06-02T22:19:11.091273Z</v>
      </c>
      <c r="P104" s="3" t="str">
        <f ca="1">IFERROR(__xludf.DUMMYFUNCTION("""COMPUTED_VALUE"""),"2055-06-02T21:44:34.301953Z")</f>
        <v>2055-06-02T21:44:34.301953Z</v>
      </c>
      <c r="Q104" s="3">
        <f ca="1">IFERROR(__xludf.DUMMYFUNCTION("""COMPUTED_VALUE"""),0)</f>
        <v>0</v>
      </c>
      <c r="R104" s="3" t="str">
        <f ca="1">IFERROR(__xludf.DUMMYFUNCTION("""COMPUTED_VALUE"""),"2055-06-02T21:44:50.641138Z")</f>
        <v>2055-06-02T21:44:50.641138Z</v>
      </c>
      <c r="S104" s="3" t="str">
        <f ca="1">IFERROR(__xludf.DUMMYFUNCTION("""COMPUTED_VALUE"""),"2055-06-02T22:03:58.519157Z")</f>
        <v>2055-06-02T22:03:58.519157Z</v>
      </c>
      <c r="T104" s="3"/>
      <c r="U104" s="4">
        <f ca="1">IFERROR(__xludf.DUMMYFUNCTION("""COMPUTED_VALUE"""),56767)</f>
        <v>56767</v>
      </c>
      <c r="V104" s="3">
        <f ca="1">IFERROR(__xludf.DUMMYFUNCTION("""COMPUTED_VALUE"""),2.971304843)</f>
        <v>2.971304843</v>
      </c>
      <c r="W104" s="3">
        <f ca="1">IFERROR(__xludf.DUMMYFUNCTION("""COMPUTED_VALUE"""),5000)</f>
        <v>5000</v>
      </c>
      <c r="X104" s="3">
        <f ca="1">IFERROR(__xludf.DUMMYFUNCTION("""COMPUTED_VALUE"""),2061)</f>
        <v>2061</v>
      </c>
      <c r="Y104" s="3">
        <f ca="1">IFERROR(__xludf.DUMMYFUNCTION("""COMPUTED_VALUE"""),1148)</f>
        <v>1148</v>
      </c>
      <c r="Z104" s="3"/>
      <c r="AA104" s="3">
        <f ca="1">IFERROR(__xludf.DUMMYFUNCTION("""COMPUTED_VALUE"""),916)</f>
        <v>916</v>
      </c>
      <c r="AB104" s="3">
        <f ca="1">IFERROR(__xludf.DUMMYFUNCTION("""COMPUTED_VALUE"""),0)</f>
        <v>0</v>
      </c>
      <c r="AC104" s="3">
        <f ca="1">IFERROR(__xludf.DUMMYFUNCTION("""COMPUTED_VALUE"""),3)</f>
        <v>3</v>
      </c>
      <c r="AD104" s="3" t="str">
        <f ca="1">IFERROR(__xludf.DUMMYFUNCTION("""COMPUTED_VALUE"""),"late")</f>
        <v>late</v>
      </c>
      <c r="AE104" s="3" t="str">
        <f ca="1">IFERROR(__xludf.DUMMYFUNCTION("""COMPUTED_VALUE"""),"2055-06-02T18:03:55.702913Z")</f>
        <v>2055-06-02T18:03:55.702913Z</v>
      </c>
      <c r="AF104" s="3" t="str">
        <f ca="1">IFERROR(__xludf.DUMMYFUNCTION("""COMPUTED_VALUE"""),"2055-06-02T18:19:11.091273Z")</f>
        <v>2055-06-02T18:19:11.091273Z</v>
      </c>
      <c r="AG104" s="3" t="str">
        <f ca="1">IFERROR(__xludf.DUMMYFUNCTION("""COMPUTED_VALUE"""),"2055-06-02T17:44:34.301953Z")</f>
        <v>2055-06-02T17:44:34.301953Z</v>
      </c>
      <c r="AH104" s="3" t="str">
        <f ca="1">IFERROR(__xludf.DUMMYFUNCTION("""COMPUTED_VALUE"""),"2055-06-02T18:03:58.519157Z")</f>
        <v>2055-06-02T18:03:58.519157Z</v>
      </c>
      <c r="AI104" s="3">
        <f ca="1">IFERROR(__xludf.DUMMYFUNCTION("""COMPUTED_VALUE"""),4.58)</f>
        <v>4.58</v>
      </c>
      <c r="AJ104" s="3">
        <f ca="1">IFERROR(__xludf.DUMMYFUNCTION("""COMPUTED_VALUE"""),254)</f>
        <v>254</v>
      </c>
      <c r="AK104" s="3">
        <f ca="1">IFERROR(__xludf.DUMMYFUNCTION("""COMPUTED_VALUE"""),788)</f>
        <v>788</v>
      </c>
      <c r="AL104" s="3">
        <f ca="1">IFERROR(__xludf.DUMMYFUNCTION("""COMPUTED_VALUE"""),9)</f>
        <v>9</v>
      </c>
    </row>
    <row r="105" spans="1:38" ht="13">
      <c r="A105" s="3">
        <f ca="1">IFERROR(__xludf.DUMMYFUNCTION("""COMPUTED_VALUE"""),111)</f>
        <v>111</v>
      </c>
      <c r="B105" s="3">
        <f ca="1">IFERROR(__xludf.DUMMYFUNCTION("""COMPUTED_VALUE"""),5)</f>
        <v>5</v>
      </c>
      <c r="C105" s="3">
        <f ca="1">IFERROR(__xludf.DUMMYFUNCTION("""COMPUTED_VALUE"""),4001)</f>
        <v>4001</v>
      </c>
      <c r="D105" s="3" t="str">
        <f ca="1">IFERROR(__xludf.DUMMYFUNCTION("""COMPUTED_VALUE"""),"Dashattan")</f>
        <v>Dashattan</v>
      </c>
      <c r="E105" s="3" t="str">
        <f ca="1">IFERROR(__xludf.DUMMYFUNCTION("""COMPUTED_VALUE"""),"Galaxy A")</f>
        <v>Galaxy A</v>
      </c>
      <c r="F105" s="3" t="str">
        <f ca="1">IFERROR(__xludf.DUMMYFUNCTION("""COMPUTED_VALUE"""),"KC")</f>
        <v>KC</v>
      </c>
      <c r="G105" s="3">
        <f ca="1">IFERROR(__xludf.DUMMYFUNCTION("""COMPUTED_VALUE"""),0)</f>
        <v>0</v>
      </c>
      <c r="H105" s="3" t="str">
        <f ca="1">IFERROR(__xludf.DUMMYFUNCTION("""COMPUTED_VALUE"""),"car")</f>
        <v>car</v>
      </c>
      <c r="I105" s="3" t="str">
        <f ca="1">IFERROR(__xludf.DUMMYFUNCTION("""COMPUTED_VALUE"""),"2055-06-02T13:38:34.480962Z")</f>
        <v>2055-06-02T13:38:34.480962Z</v>
      </c>
      <c r="J105" s="3" t="str">
        <f ca="1">IFERROR(__xludf.DUMMYFUNCTION("""COMPUTED_VALUE"""),"2055-06-02T14:40:15.583Z")</f>
        <v>2055-06-02T14:40:15.583Z</v>
      </c>
      <c r="K105" s="3" t="str">
        <f ca="1">IFERROR(__xludf.DUMMYFUNCTION("""COMPUTED_VALUE"""),"2055-06-02T14:21:22.583Z")</f>
        <v>2055-06-02T14:21:22.583Z</v>
      </c>
      <c r="L105" s="3">
        <f ca="1">IFERROR(__xludf.DUMMYFUNCTION("""COMPUTED_VALUE"""),1)</f>
        <v>1</v>
      </c>
      <c r="M105" s="3">
        <f ca="1">IFERROR(__xludf.DUMMYFUNCTION("""COMPUTED_VALUE"""),0)</f>
        <v>0</v>
      </c>
      <c r="N105" s="3" t="str">
        <f ca="1">IFERROR(__xludf.DUMMYFUNCTION("""COMPUTED_VALUE"""),"2055-06-02T13:59:12.101057Z")</f>
        <v>2055-06-02T13:59:12.101057Z</v>
      </c>
      <c r="O105" s="3" t="str">
        <f ca="1">IFERROR(__xludf.DUMMYFUNCTION("""COMPUTED_VALUE"""),"2055-06-02T14:20:13.612675Z")</f>
        <v>2055-06-02T14:20:13.612675Z</v>
      </c>
      <c r="P105" s="3" t="str">
        <f ca="1">IFERROR(__xludf.DUMMYFUNCTION("""COMPUTED_VALUE"""),"2055-06-02T13:49:54.112259Z")</f>
        <v>2055-06-02T13:49:54.112259Z</v>
      </c>
      <c r="Q105" s="3">
        <f ca="1">IFERROR(__xludf.DUMMYFUNCTION("""COMPUTED_VALUE"""),0)</f>
        <v>0</v>
      </c>
      <c r="R105" s="3" t="str">
        <f ca="1">IFERROR(__xludf.DUMMYFUNCTION("""COMPUTED_VALUE"""),"2055-06-02T13:50:05.089485Z")</f>
        <v>2055-06-02T13:50:05.089485Z</v>
      </c>
      <c r="S105" s="3" t="str">
        <f ca="1">IFERROR(__xludf.DUMMYFUNCTION("""COMPUTED_VALUE"""),"2055-06-02T13:57:01.526504Z")</f>
        <v>2055-06-02T13:57:01.526504Z</v>
      </c>
      <c r="T105" s="3"/>
      <c r="U105" s="4">
        <f ca="1">IFERROR(__xludf.DUMMYFUNCTION("""COMPUTED_VALUE"""),56767)</f>
        <v>56767</v>
      </c>
      <c r="V105" s="3">
        <f ca="1">IFERROR(__xludf.DUMMYFUNCTION("""COMPUTED_VALUE"""),4.4)</f>
        <v>4.4000000000000004</v>
      </c>
      <c r="W105" s="3">
        <f ca="1">IFERROR(__xludf.DUMMYFUNCTION("""COMPUTED_VALUE"""),5000)</f>
        <v>5000</v>
      </c>
      <c r="X105" s="3">
        <f ca="1">IFERROR(__xludf.DUMMYFUNCTION("""COMPUTED_VALUE"""),1808)</f>
        <v>1808</v>
      </c>
      <c r="Y105" s="3">
        <f ca="1">IFERROR(__xludf.DUMMYFUNCTION("""COMPUTED_VALUE"""),416)</f>
        <v>416</v>
      </c>
      <c r="Z105" s="3">
        <f ca="1">IFERROR(__xludf.DUMMYFUNCTION("""COMPUTED_VALUE"""),131)</f>
        <v>131</v>
      </c>
      <c r="AA105" s="3">
        <f ca="1">IFERROR(__xludf.DUMMYFUNCTION("""COMPUTED_VALUE"""),1261)</f>
        <v>1261</v>
      </c>
      <c r="AB105" s="3">
        <f ca="1">IFERROR(__xludf.DUMMYFUNCTION("""COMPUTED_VALUE"""),0)</f>
        <v>0</v>
      </c>
      <c r="AC105" s="3">
        <f ca="1">IFERROR(__xludf.DUMMYFUNCTION("""COMPUTED_VALUE"""),3)</f>
        <v>3</v>
      </c>
      <c r="AD105" s="3" t="str">
        <f ca="1">IFERROR(__xludf.DUMMYFUNCTION("""COMPUTED_VALUE"""),"on time")</f>
        <v>on time</v>
      </c>
      <c r="AE105" s="3" t="str">
        <f ca="1">IFERROR(__xludf.DUMMYFUNCTION("""COMPUTED_VALUE"""),"2055-06-02T09:59:12.101057Z")</f>
        <v>2055-06-02T09:59:12.101057Z</v>
      </c>
      <c r="AF105" s="3" t="str">
        <f ca="1">IFERROR(__xludf.DUMMYFUNCTION("""COMPUTED_VALUE"""),"2055-06-02T10:20:13.612675Z")</f>
        <v>2055-06-02T10:20:13.612675Z</v>
      </c>
      <c r="AG105" s="3" t="str">
        <f ca="1">IFERROR(__xludf.DUMMYFUNCTION("""COMPUTED_VALUE"""),"2055-06-02T09:49:54.112259Z")</f>
        <v>2055-06-02T09:49:54.112259Z</v>
      </c>
      <c r="AH105" s="3" t="str">
        <f ca="1">IFERROR(__xludf.DUMMYFUNCTION("""COMPUTED_VALUE"""),"2055-06-02T09:57:01.526504Z")</f>
        <v>2055-06-02T09:57:01.526504Z</v>
      </c>
      <c r="AI105" s="3">
        <f ca="1">IFERROR(__xludf.DUMMYFUNCTION("""COMPUTED_VALUE"""),4.54)</f>
        <v>4.54</v>
      </c>
      <c r="AJ105" s="3">
        <f ca="1">IFERROR(__xludf.DUMMYFUNCTION("""COMPUTED_VALUE"""),2229)</f>
        <v>2229</v>
      </c>
      <c r="AK105" s="3">
        <f ca="1">IFERROR(__xludf.DUMMYFUNCTION("""COMPUTED_VALUE"""),6580)</f>
        <v>6580</v>
      </c>
      <c r="AL105" s="3"/>
    </row>
    <row r="106" spans="1:38" ht="13">
      <c r="A106" s="3">
        <f ca="1">IFERROR(__xludf.DUMMYFUNCTION("""COMPUTED_VALUE"""),216)</f>
        <v>216</v>
      </c>
      <c r="B106" s="3"/>
      <c r="C106" s="3">
        <f ca="1">IFERROR(__xludf.DUMMYFUNCTION("""COMPUTED_VALUE"""),4050)</f>
        <v>4050</v>
      </c>
      <c r="D106" s="3" t="str">
        <f ca="1">IFERROR(__xludf.DUMMYFUNCTION("""COMPUTED_VALUE"""),"Doorlanta")</f>
        <v>Doorlanta</v>
      </c>
      <c r="E106" s="3" t="str">
        <f ca="1">IFERROR(__xludf.DUMMYFUNCTION("""COMPUTED_VALUE"""),"Galaxy A")</f>
        <v>Galaxy A</v>
      </c>
      <c r="F106" s="3" t="str">
        <f ca="1">IFERROR(__xludf.DUMMYFUNCTION("""COMPUTED_VALUE"""),"Cate")</f>
        <v>Cate</v>
      </c>
      <c r="G106" s="3">
        <f ca="1">IFERROR(__xludf.DUMMYFUNCTION("""COMPUTED_VALUE"""),0)</f>
        <v>0</v>
      </c>
      <c r="H106" s="3" t="str">
        <f ca="1">IFERROR(__xludf.DUMMYFUNCTION("""COMPUTED_VALUE"""),"car")</f>
        <v>car</v>
      </c>
      <c r="I106" s="3" t="str">
        <f ca="1">IFERROR(__xludf.DUMMYFUNCTION("""COMPUTED_VALUE"""),"2055-06-02T23:59:02.546511Z")</f>
        <v>2055-06-02T23:59:02.546511Z</v>
      </c>
      <c r="J106" s="3" t="str">
        <f ca="1">IFERROR(__xludf.DUMMYFUNCTION("""COMPUTED_VALUE"""),"2055-06-03T00:59:32.674Z")</f>
        <v>2055-06-03T00:59:32.674Z</v>
      </c>
      <c r="K106" s="3" t="str">
        <f ca="1">IFERROR(__xludf.DUMMYFUNCTION("""COMPUTED_VALUE"""),"2055-06-03T00:54:53.674Z")</f>
        <v>2055-06-03T00:54:53.674Z</v>
      </c>
      <c r="L106" s="3">
        <f ca="1">IFERROR(__xludf.DUMMYFUNCTION("""COMPUTED_VALUE"""),1)</f>
        <v>1</v>
      </c>
      <c r="M106" s="3">
        <f ca="1">IFERROR(__xludf.DUMMYFUNCTION("""COMPUTED_VALUE"""),0)</f>
        <v>0</v>
      </c>
      <c r="N106" s="3" t="str">
        <f ca="1">IFERROR(__xludf.DUMMYFUNCTION("""COMPUTED_VALUE"""),"2055-06-03T00:51:09.921502Z")</f>
        <v>2055-06-03T00:51:09.921502Z</v>
      </c>
      <c r="O106" s="3" t="str">
        <f ca="1">IFERROR(__xludf.DUMMYFUNCTION("""COMPUTED_VALUE"""),"2055-06-03T01:08:37.83528Z")</f>
        <v>2055-06-03T01:08:37.83528Z</v>
      </c>
      <c r="P106" s="3" t="str">
        <f ca="1">IFERROR(__xludf.DUMMYFUNCTION("""COMPUTED_VALUE"""),"2055-06-03T00:01:07.385929Z")</f>
        <v>2055-06-03T00:01:07.385929Z</v>
      </c>
      <c r="Q106" s="3">
        <f ca="1">IFERROR(__xludf.DUMMYFUNCTION("""COMPUTED_VALUE"""),0)</f>
        <v>0</v>
      </c>
      <c r="R106" s="3" t="str">
        <f ca="1">IFERROR(__xludf.DUMMYFUNCTION("""COMPUTED_VALUE"""),"2055-06-03T00:01:17.76054Z")</f>
        <v>2055-06-03T00:01:17.76054Z</v>
      </c>
      <c r="S106" s="3" t="str">
        <f ca="1">IFERROR(__xludf.DUMMYFUNCTION("""COMPUTED_VALUE"""),"2055-06-03T00:33:03.14056Z")</f>
        <v>2055-06-03T00:33:03.14056Z</v>
      </c>
      <c r="T106" s="3"/>
      <c r="U106" s="4">
        <f ca="1">IFERROR(__xludf.DUMMYFUNCTION("""COMPUTED_VALUE"""),56767)</f>
        <v>56767</v>
      </c>
      <c r="V106" s="3">
        <f ca="1">IFERROR(__xludf.DUMMYFUNCTION("""COMPUTED_VALUE"""),4.6)</f>
        <v>4.5999999999999996</v>
      </c>
      <c r="W106" s="3">
        <f ca="1">IFERROR(__xludf.DUMMYFUNCTION("""COMPUTED_VALUE"""),5000)</f>
        <v>5000</v>
      </c>
      <c r="X106" s="3">
        <f ca="1">IFERROR(__xludf.DUMMYFUNCTION("""COMPUTED_VALUE"""),4040)</f>
        <v>4040</v>
      </c>
      <c r="Y106" s="3">
        <f ca="1">IFERROR(__xludf.DUMMYFUNCTION("""COMPUTED_VALUE"""),1906)</f>
        <v>1906</v>
      </c>
      <c r="Z106" s="3">
        <f ca="1">IFERROR(__xludf.DUMMYFUNCTION("""COMPUTED_VALUE"""),1086)</f>
        <v>1086</v>
      </c>
      <c r="AA106" s="3">
        <f ca="1">IFERROR(__xludf.DUMMYFUNCTION("""COMPUTED_VALUE"""),1048)</f>
        <v>1048</v>
      </c>
      <c r="AB106" s="3">
        <f ca="1">IFERROR(__xludf.DUMMYFUNCTION("""COMPUTED_VALUE"""),0)</f>
        <v>0</v>
      </c>
      <c r="AC106" s="3">
        <f ca="1">IFERROR(__xludf.DUMMYFUNCTION("""COMPUTED_VALUE"""),12)</f>
        <v>12</v>
      </c>
      <c r="AD106" s="3" t="str">
        <f ca="1">IFERROR(__xludf.DUMMYFUNCTION("""COMPUTED_VALUE"""),"early")</f>
        <v>early</v>
      </c>
      <c r="AE106" s="3" t="str">
        <f ca="1">IFERROR(__xludf.DUMMYFUNCTION("""COMPUTED_VALUE"""),"2055-06-02T20:51:09.921502Z")</f>
        <v>2055-06-02T20:51:09.921502Z</v>
      </c>
      <c r="AF106" s="3" t="str">
        <f ca="1">IFERROR(__xludf.DUMMYFUNCTION("""COMPUTED_VALUE"""),"2055-06-02T21:08:37.83528Z")</f>
        <v>2055-06-02T21:08:37.83528Z</v>
      </c>
      <c r="AG106" s="3" t="str">
        <f ca="1">IFERROR(__xludf.DUMMYFUNCTION("""COMPUTED_VALUE"""),"2055-06-02T20:01:07.385929Z")</f>
        <v>2055-06-02T20:01:07.385929Z</v>
      </c>
      <c r="AH106" s="3" t="str">
        <f ca="1">IFERROR(__xludf.DUMMYFUNCTION("""COMPUTED_VALUE"""),"2055-06-02T20:33:03.14056Z")</f>
        <v>2055-06-02T20:33:03.14056Z</v>
      </c>
      <c r="AI106" s="3">
        <f ca="1">IFERROR(__xludf.DUMMYFUNCTION("""COMPUTED_VALUE"""),4.49)</f>
        <v>4.49</v>
      </c>
      <c r="AJ106" s="3">
        <f ca="1">IFERROR(__xludf.DUMMYFUNCTION("""COMPUTED_VALUE"""),2315)</f>
        <v>2315</v>
      </c>
      <c r="AK106" s="3">
        <f ca="1">IFERROR(__xludf.DUMMYFUNCTION("""COMPUTED_VALUE"""),7039)</f>
        <v>7039</v>
      </c>
      <c r="AL106" s="3">
        <f ca="1">IFERROR(__xludf.DUMMYFUNCTION("""COMPUTED_VALUE"""),763)</f>
        <v>763</v>
      </c>
    </row>
    <row r="107" spans="1:38" ht="13">
      <c r="A107" s="3">
        <f ca="1">IFERROR(__xludf.DUMMYFUNCTION("""COMPUTED_VALUE"""),1423)</f>
        <v>1423</v>
      </c>
      <c r="B107" s="3"/>
      <c r="C107" s="3">
        <f ca="1">IFERROR(__xludf.DUMMYFUNCTION("""COMPUTED_VALUE"""),4001)</f>
        <v>4001</v>
      </c>
      <c r="D107" s="3" t="str">
        <f ca="1">IFERROR(__xludf.DUMMYFUNCTION("""COMPUTED_VALUE"""),"Dashattan")</f>
        <v>Dashattan</v>
      </c>
      <c r="E107" s="3" t="str">
        <f ca="1">IFERROR(__xludf.DUMMYFUNCTION("""COMPUTED_VALUE"""),"Galaxy A")</f>
        <v>Galaxy A</v>
      </c>
      <c r="F107" s="3" t="str">
        <f ca="1">IFERROR(__xludf.DUMMYFUNCTION("""COMPUTED_VALUE"""),"Carlee")</f>
        <v>Carlee</v>
      </c>
      <c r="G107" s="3">
        <f ca="1">IFERROR(__xludf.DUMMYFUNCTION("""COMPUTED_VALUE"""),0)</f>
        <v>0</v>
      </c>
      <c r="H107" s="3" t="str">
        <f ca="1">IFERROR(__xludf.DUMMYFUNCTION("""COMPUTED_VALUE"""),"car")</f>
        <v>car</v>
      </c>
      <c r="I107" s="3" t="str">
        <f ca="1">IFERROR(__xludf.DUMMYFUNCTION("""COMPUTED_VALUE"""),"2055-06-12T18:05:20.961202Z")</f>
        <v>2055-06-12T18:05:20.961202Z</v>
      </c>
      <c r="J107" s="3" t="str">
        <f ca="1">IFERROR(__xludf.DUMMYFUNCTION("""COMPUTED_VALUE"""),"2055-06-12T18:56:20.034Z")</f>
        <v>2055-06-12T18:56:20.034Z</v>
      </c>
      <c r="K107" s="3" t="str">
        <f ca="1">IFERROR(__xludf.DUMMYFUNCTION("""COMPUTED_VALUE"""),"2055-06-12T18:47:27.034Z")</f>
        <v>2055-06-12T18:47:27.034Z</v>
      </c>
      <c r="L107" s="3">
        <f ca="1">IFERROR(__xludf.DUMMYFUNCTION("""COMPUTED_VALUE"""),1)</f>
        <v>1</v>
      </c>
      <c r="M107" s="3">
        <f ca="1">IFERROR(__xludf.DUMMYFUNCTION("""COMPUTED_VALUE"""),0)</f>
        <v>0</v>
      </c>
      <c r="N107" s="3" t="str">
        <f ca="1">IFERROR(__xludf.DUMMYFUNCTION("""COMPUTED_VALUE"""),"2055-06-12T18:30:16.691753Z")</f>
        <v>2055-06-12T18:30:16.691753Z</v>
      </c>
      <c r="O107" s="3" t="str">
        <f ca="1">IFERROR(__xludf.DUMMYFUNCTION("""COMPUTED_VALUE"""),"2055-06-12T18:44:24.47304Z")</f>
        <v>2055-06-12T18:44:24.47304Z</v>
      </c>
      <c r="P107" s="3" t="str">
        <f ca="1">IFERROR(__xludf.DUMMYFUNCTION("""COMPUTED_VALUE"""),"2055-06-12T18:12:14.233469Z")</f>
        <v>2055-06-12T18:12:14.233469Z</v>
      </c>
      <c r="Q107" s="3">
        <f ca="1">IFERROR(__xludf.DUMMYFUNCTION("""COMPUTED_VALUE"""),0)</f>
        <v>0</v>
      </c>
      <c r="R107" s="3" t="str">
        <f ca="1">IFERROR(__xludf.DUMMYFUNCTION("""COMPUTED_VALUE"""),"2055-06-12T18:12:17.737959Z")</f>
        <v>2055-06-12T18:12:17.737959Z</v>
      </c>
      <c r="S107" s="3" t="str">
        <f ca="1">IFERROR(__xludf.DUMMYFUNCTION("""COMPUTED_VALUE"""),"2055-06-12T18:17:56.270282Z")</f>
        <v>2055-06-12T18:17:56.270282Z</v>
      </c>
      <c r="T107" s="3"/>
      <c r="U107" s="4">
        <f ca="1">IFERROR(__xludf.DUMMYFUNCTION("""COMPUTED_VALUE"""),56777)</f>
        <v>56777</v>
      </c>
      <c r="V107" s="3">
        <f ca="1">IFERROR(__xludf.DUMMYFUNCTION("""COMPUTED_VALUE"""),4.5)</f>
        <v>4.5</v>
      </c>
      <c r="W107" s="3">
        <f ca="1">IFERROR(__xludf.DUMMYFUNCTION("""COMPUTED_VALUE"""),5000)</f>
        <v>5000</v>
      </c>
      <c r="X107" s="3">
        <f ca="1">IFERROR(__xludf.DUMMYFUNCTION("""COMPUTED_VALUE"""),1927)</f>
        <v>1927</v>
      </c>
      <c r="Y107" s="3">
        <f ca="1">IFERROR(__xludf.DUMMYFUNCTION("""COMPUTED_VALUE"""),339)</f>
        <v>339</v>
      </c>
      <c r="Z107" s="3">
        <f ca="1">IFERROR(__xludf.DUMMYFUNCTION("""COMPUTED_VALUE"""),740)</f>
        <v>740</v>
      </c>
      <c r="AA107" s="3">
        <f ca="1">IFERROR(__xludf.DUMMYFUNCTION("""COMPUTED_VALUE"""),848)</f>
        <v>848</v>
      </c>
      <c r="AB107" s="3">
        <f ca="1">IFERROR(__xludf.DUMMYFUNCTION("""COMPUTED_VALUE"""),0)</f>
        <v>0</v>
      </c>
      <c r="AC107" s="3">
        <f ca="1">IFERROR(__xludf.DUMMYFUNCTION("""COMPUTED_VALUE"""),3)</f>
        <v>3</v>
      </c>
      <c r="AD107" s="3" t="str">
        <f ca="1">IFERROR(__xludf.DUMMYFUNCTION("""COMPUTED_VALUE"""),"early")</f>
        <v>early</v>
      </c>
      <c r="AE107" s="3" t="str">
        <f ca="1">IFERROR(__xludf.DUMMYFUNCTION("""COMPUTED_VALUE"""),"2055-06-12T14:30:16.691753Z")</f>
        <v>2055-06-12T14:30:16.691753Z</v>
      </c>
      <c r="AF107" s="3" t="str">
        <f ca="1">IFERROR(__xludf.DUMMYFUNCTION("""COMPUTED_VALUE"""),"2055-06-12T14:44:24.47304Z")</f>
        <v>2055-06-12T14:44:24.47304Z</v>
      </c>
      <c r="AG107" s="3" t="str">
        <f ca="1">IFERROR(__xludf.DUMMYFUNCTION("""COMPUTED_VALUE"""),"2055-06-12T14:12:14.233469Z")</f>
        <v>2055-06-12T14:12:14.233469Z</v>
      </c>
      <c r="AH107" s="3" t="str">
        <f ca="1">IFERROR(__xludf.DUMMYFUNCTION("""COMPUTED_VALUE"""),"2055-06-12T14:17:56.270282Z")</f>
        <v>2055-06-12T14:17:56.270282Z</v>
      </c>
      <c r="AI107" s="3">
        <f ca="1">IFERROR(__xludf.DUMMYFUNCTION("""COMPUTED_VALUE"""),4.52)</f>
        <v>4.5199999999999996</v>
      </c>
      <c r="AJ107" s="3">
        <f ca="1">IFERROR(__xludf.DUMMYFUNCTION("""COMPUTED_VALUE"""),269)</f>
        <v>269</v>
      </c>
      <c r="AK107" s="3">
        <f ca="1">IFERROR(__xludf.DUMMYFUNCTION("""COMPUTED_VALUE"""),895)</f>
        <v>895</v>
      </c>
      <c r="AL107" s="3">
        <f ca="1">IFERROR(__xludf.DUMMYFUNCTION("""COMPUTED_VALUE"""),23)</f>
        <v>23</v>
      </c>
    </row>
    <row r="108" spans="1:38" ht="13">
      <c r="A108" s="3">
        <f ca="1">IFERROR(__xludf.DUMMYFUNCTION("""COMPUTED_VALUE"""),80)</f>
        <v>80</v>
      </c>
      <c r="B108" s="3">
        <f ca="1">IFERROR(__xludf.DUMMYFUNCTION("""COMPUTED_VALUE"""),5)</f>
        <v>5</v>
      </c>
      <c r="C108" s="3">
        <f ca="1">IFERROR(__xludf.DUMMYFUNCTION("""COMPUTED_VALUE"""),4001)</f>
        <v>4001</v>
      </c>
      <c r="D108" s="3" t="str">
        <f ca="1">IFERROR(__xludf.DUMMYFUNCTION("""COMPUTED_VALUE"""),"Dashattan")</f>
        <v>Dashattan</v>
      </c>
      <c r="E108" s="3" t="str">
        <f ca="1">IFERROR(__xludf.DUMMYFUNCTION("""COMPUTED_VALUE"""),"Galaxy A")</f>
        <v>Galaxy A</v>
      </c>
      <c r="F108" s="3" t="str">
        <f ca="1">IFERROR(__xludf.DUMMYFUNCTION("""COMPUTED_VALUE"""),"Bunje")</f>
        <v>Bunje</v>
      </c>
      <c r="G108" s="3">
        <f ca="1">IFERROR(__xludf.DUMMYFUNCTION("""COMPUTED_VALUE"""),0)</f>
        <v>0</v>
      </c>
      <c r="H108" s="3" t="str">
        <f ca="1">IFERROR(__xludf.DUMMYFUNCTION("""COMPUTED_VALUE"""),"bicycle")</f>
        <v>bicycle</v>
      </c>
      <c r="I108" s="3" t="str">
        <f ca="1">IFERROR(__xludf.DUMMYFUNCTION("""COMPUTED_VALUE"""),"2055-06-01T23:22:37.160415Z")</f>
        <v>2055-06-01T23:22:37.160415Z</v>
      </c>
      <c r="J108" s="3" t="str">
        <f ca="1">IFERROR(__xludf.DUMMYFUNCTION("""COMPUTED_VALUE"""),"2055-06-02T00:14:33.223Z")</f>
        <v>2055-06-02T00:14:33.223Z</v>
      </c>
      <c r="K108" s="3" t="str">
        <f ca="1">IFERROR(__xludf.DUMMYFUNCTION("""COMPUTED_VALUE"""),"2055-06-01T23:54:26.223Z")</f>
        <v>2055-06-01T23:54:26.223Z</v>
      </c>
      <c r="L108" s="3">
        <f ca="1">IFERROR(__xludf.DUMMYFUNCTION("""COMPUTED_VALUE"""),1)</f>
        <v>1</v>
      </c>
      <c r="M108" s="3">
        <f ca="1">IFERROR(__xludf.DUMMYFUNCTION("""COMPUTED_VALUE"""),0)</f>
        <v>0</v>
      </c>
      <c r="N108" s="3" t="str">
        <f ca="1">IFERROR(__xludf.DUMMYFUNCTION("""COMPUTED_VALUE"""),"2055-06-01T23:43:55.835768Z")</f>
        <v>2055-06-01T23:43:55.835768Z</v>
      </c>
      <c r="O108" s="3" t="str">
        <f ca="1">IFERROR(__xludf.DUMMYFUNCTION("""COMPUTED_VALUE"""),"2055-06-01T23:59:29.623061Z")</f>
        <v>2055-06-01T23:59:29.623061Z</v>
      </c>
      <c r="P108" s="3" t="str">
        <f ca="1">IFERROR(__xludf.DUMMYFUNCTION("""COMPUTED_VALUE"""),"2055-06-01T23:28:55.348492Z")</f>
        <v>2055-06-01T23:28:55.348492Z</v>
      </c>
      <c r="Q108" s="3">
        <f ca="1">IFERROR(__xludf.DUMMYFUNCTION("""COMPUTED_VALUE"""),0)</f>
        <v>0</v>
      </c>
      <c r="R108" s="3" t="str">
        <f ca="1">IFERROR(__xludf.DUMMYFUNCTION("""COMPUTED_VALUE"""),"2055-06-01T23:29:03.530428Z")</f>
        <v>2055-06-01T23:29:03.530428Z</v>
      </c>
      <c r="S108" s="3" t="str">
        <f ca="1">IFERROR(__xludf.DUMMYFUNCTION("""COMPUTED_VALUE"""),"2055-06-01T23:33:25.917072Z")</f>
        <v>2055-06-01T23:33:25.917072Z</v>
      </c>
      <c r="T108" s="3"/>
      <c r="U108" s="4">
        <f ca="1">IFERROR(__xludf.DUMMYFUNCTION("""COMPUTED_VALUE"""),56766)</f>
        <v>56766</v>
      </c>
      <c r="V108" s="3">
        <f ca="1">IFERROR(__xludf.DUMMYFUNCTION("""COMPUTED_VALUE"""),4.5)</f>
        <v>4.5</v>
      </c>
      <c r="W108" s="3">
        <f ca="1">IFERROR(__xludf.DUMMYFUNCTION("""COMPUTED_VALUE"""),5000)</f>
        <v>5000</v>
      </c>
      <c r="X108" s="3">
        <f ca="1">IFERROR(__xludf.DUMMYFUNCTION("""COMPUTED_VALUE"""),1826)</f>
        <v>1826</v>
      </c>
      <c r="Y108" s="3">
        <f ca="1">IFERROR(__xludf.DUMMYFUNCTION("""COMPUTED_VALUE"""),262)</f>
        <v>262</v>
      </c>
      <c r="Z108" s="3">
        <f ca="1">IFERROR(__xludf.DUMMYFUNCTION("""COMPUTED_VALUE"""),630)</f>
        <v>630</v>
      </c>
      <c r="AA108" s="3">
        <f ca="1">IFERROR(__xludf.DUMMYFUNCTION("""COMPUTED_VALUE"""),934)</f>
        <v>934</v>
      </c>
      <c r="AB108" s="3">
        <f ca="1">IFERROR(__xludf.DUMMYFUNCTION("""COMPUTED_VALUE"""),0)</f>
        <v>0</v>
      </c>
      <c r="AC108" s="3">
        <f ca="1">IFERROR(__xludf.DUMMYFUNCTION("""COMPUTED_VALUE"""),4)</f>
        <v>4</v>
      </c>
      <c r="AD108" s="3" t="str">
        <f ca="1">IFERROR(__xludf.DUMMYFUNCTION("""COMPUTED_VALUE"""),"early")</f>
        <v>early</v>
      </c>
      <c r="AE108" s="3" t="str">
        <f ca="1">IFERROR(__xludf.DUMMYFUNCTION("""COMPUTED_VALUE"""),"2055-06-01T19:43:55.835768Z")</f>
        <v>2055-06-01T19:43:55.835768Z</v>
      </c>
      <c r="AF108" s="3" t="str">
        <f ca="1">IFERROR(__xludf.DUMMYFUNCTION("""COMPUTED_VALUE"""),"2055-06-01T19:59:29.623061Z")</f>
        <v>2055-06-01T19:59:29.623061Z</v>
      </c>
      <c r="AG108" s="3" t="str">
        <f ca="1">IFERROR(__xludf.DUMMYFUNCTION("""COMPUTED_VALUE"""),"2055-06-01T19:28:55.348492Z")</f>
        <v>2055-06-01T19:28:55.348492Z</v>
      </c>
      <c r="AH108" s="3" t="str">
        <f ca="1">IFERROR(__xludf.DUMMYFUNCTION("""COMPUTED_VALUE"""),"2055-06-01T19:33:25.917072Z")</f>
        <v>2055-06-01T19:33:25.917072Z</v>
      </c>
      <c r="AI108" s="3">
        <f ca="1">IFERROR(__xludf.DUMMYFUNCTION("""COMPUTED_VALUE"""),4.7)</f>
        <v>4.7</v>
      </c>
      <c r="AJ108" s="3">
        <f ca="1">IFERROR(__xludf.DUMMYFUNCTION("""COMPUTED_VALUE"""),443)</f>
        <v>443</v>
      </c>
      <c r="AK108" s="3">
        <f ca="1">IFERROR(__xludf.DUMMYFUNCTION("""COMPUTED_VALUE"""),1579)</f>
        <v>1579</v>
      </c>
      <c r="AL108" s="3"/>
    </row>
    <row r="109" spans="1:38" ht="13">
      <c r="A109" s="3">
        <f ca="1">IFERROR(__xludf.DUMMYFUNCTION("""COMPUTED_VALUE"""),683)</f>
        <v>683</v>
      </c>
      <c r="B109" s="3">
        <f ca="1">IFERROR(__xludf.DUMMYFUNCTION("""COMPUTED_VALUE"""),5)</f>
        <v>5</v>
      </c>
      <c r="C109" s="3">
        <f ca="1">IFERROR(__xludf.DUMMYFUNCTION("""COMPUTED_VALUE"""),4050)</f>
        <v>4050</v>
      </c>
      <c r="D109" s="3" t="str">
        <f ca="1">IFERROR(__xludf.DUMMYFUNCTION("""COMPUTED_VALUE"""),"Doorlanta")</f>
        <v>Doorlanta</v>
      </c>
      <c r="E109" s="3" t="str">
        <f ca="1">IFERROR(__xludf.DUMMYFUNCTION("""COMPUTED_VALUE"""),"Galaxy A")</f>
        <v>Galaxy A</v>
      </c>
      <c r="F109" s="3" t="str">
        <f ca="1">IFERROR(__xludf.DUMMYFUNCTION("""COMPUTED_VALUE"""),"Ajay")</f>
        <v>Ajay</v>
      </c>
      <c r="G109" s="3">
        <f ca="1">IFERROR(__xludf.DUMMYFUNCTION("""COMPUTED_VALUE"""),0)</f>
        <v>0</v>
      </c>
      <c r="H109" s="3" t="str">
        <f ca="1">IFERROR(__xludf.DUMMYFUNCTION("""COMPUTED_VALUE"""),"car")</f>
        <v>car</v>
      </c>
      <c r="I109" s="3" t="str">
        <f ca="1">IFERROR(__xludf.DUMMYFUNCTION("""COMPUTED_VALUE"""),"2055-06-05T23:39:02.892585Z")</f>
        <v>2055-06-05T23:39:02.892585Z</v>
      </c>
      <c r="J109" s="3" t="str">
        <f ca="1">IFERROR(__xludf.DUMMYFUNCTION("""COMPUTED_VALUE"""),"2055-06-06T00:29:08.965Z")</f>
        <v>2055-06-06T00:29:08.965Z</v>
      </c>
      <c r="K109" s="3" t="str">
        <f ca="1">IFERROR(__xludf.DUMMYFUNCTION("""COMPUTED_VALUE"""),"2055-06-06T00:19:01.965Z")</f>
        <v>2055-06-06T00:19:01.965Z</v>
      </c>
      <c r="L109" s="3">
        <f ca="1">IFERROR(__xludf.DUMMYFUNCTION("""COMPUTED_VALUE"""),1)</f>
        <v>1</v>
      </c>
      <c r="M109" s="3">
        <f ca="1">IFERROR(__xludf.DUMMYFUNCTION("""COMPUTED_VALUE"""),0)</f>
        <v>0</v>
      </c>
      <c r="N109" s="3" t="str">
        <f ca="1">IFERROR(__xludf.DUMMYFUNCTION("""COMPUTED_VALUE"""),"2055-06-06T00:04:16.218247Z")</f>
        <v>2055-06-06T00:04:16.218247Z</v>
      </c>
      <c r="O109" s="3" t="str">
        <f ca="1">IFERROR(__xludf.DUMMYFUNCTION("""COMPUTED_VALUE"""),"2055-06-06T00:22:25.736405Z")</f>
        <v>2055-06-06T00:22:25.736405Z</v>
      </c>
      <c r="P109" s="3" t="str">
        <f ca="1">IFERROR(__xludf.DUMMYFUNCTION("""COMPUTED_VALUE"""),"2055-06-05T23:50:47.366859Z")</f>
        <v>2055-06-05T23:50:47.366859Z</v>
      </c>
      <c r="Q109" s="3">
        <f ca="1">IFERROR(__xludf.DUMMYFUNCTION("""COMPUTED_VALUE"""),0)</f>
        <v>0</v>
      </c>
      <c r="R109" s="3" t="str">
        <f ca="1">IFERROR(__xludf.DUMMYFUNCTION("""COMPUTED_VALUE"""),"2055-06-05T23:50:50.939241Z")</f>
        <v>2055-06-05T23:50:50.939241Z</v>
      </c>
      <c r="S109" s="3" t="str">
        <f ca="1">IFERROR(__xludf.DUMMYFUNCTION("""COMPUTED_VALUE"""),"2055-06-05T23:58:18.378145Z")</f>
        <v>2055-06-05T23:58:18.378145Z</v>
      </c>
      <c r="T109" s="3"/>
      <c r="U109" s="4">
        <f ca="1">IFERROR(__xludf.DUMMYFUNCTION("""COMPUTED_VALUE"""),56770)</f>
        <v>56770</v>
      </c>
      <c r="V109" s="3">
        <f ca="1">IFERROR(__xludf.DUMMYFUNCTION("""COMPUTED_VALUE"""),4.5)</f>
        <v>4.5</v>
      </c>
      <c r="W109" s="3">
        <f ca="1">IFERROR(__xludf.DUMMYFUNCTION("""COMPUTED_VALUE"""),5000)</f>
        <v>5000</v>
      </c>
      <c r="X109" s="3">
        <f ca="1">IFERROR(__xludf.DUMMYFUNCTION("""COMPUTED_VALUE"""),1895)</f>
        <v>1895</v>
      </c>
      <c r="Y109" s="3">
        <f ca="1">IFERROR(__xludf.DUMMYFUNCTION("""COMPUTED_VALUE"""),448)</f>
        <v>448</v>
      </c>
      <c r="Z109" s="3">
        <f ca="1">IFERROR(__xludf.DUMMYFUNCTION("""COMPUTED_VALUE"""),358)</f>
        <v>358</v>
      </c>
      <c r="AA109" s="3">
        <f ca="1">IFERROR(__xludf.DUMMYFUNCTION("""COMPUTED_VALUE"""),1089)</f>
        <v>1089</v>
      </c>
      <c r="AB109" s="3">
        <f ca="1">IFERROR(__xludf.DUMMYFUNCTION("""COMPUTED_VALUE"""),0)</f>
        <v>0</v>
      </c>
      <c r="AC109" s="3">
        <f ca="1">IFERROR(__xludf.DUMMYFUNCTION("""COMPUTED_VALUE"""),6)</f>
        <v>6</v>
      </c>
      <c r="AD109" s="3" t="str">
        <f ca="1">IFERROR(__xludf.DUMMYFUNCTION("""COMPUTED_VALUE"""),"late")</f>
        <v>late</v>
      </c>
      <c r="AE109" s="3" t="str">
        <f ca="1">IFERROR(__xludf.DUMMYFUNCTION("""COMPUTED_VALUE"""),"2055-06-05T20:04:16.218247Z")</f>
        <v>2055-06-05T20:04:16.218247Z</v>
      </c>
      <c r="AF109" s="3" t="str">
        <f ca="1">IFERROR(__xludf.DUMMYFUNCTION("""COMPUTED_VALUE"""),"2055-06-05T20:22:25.736405Z")</f>
        <v>2055-06-05T20:22:25.736405Z</v>
      </c>
      <c r="AG109" s="3" t="str">
        <f ca="1">IFERROR(__xludf.DUMMYFUNCTION("""COMPUTED_VALUE"""),"2055-06-05T19:50:47.366859Z")</f>
        <v>2055-06-05T19:50:47.366859Z</v>
      </c>
      <c r="AH109" s="3" t="str">
        <f ca="1">IFERROR(__xludf.DUMMYFUNCTION("""COMPUTED_VALUE"""),"2055-06-05T19:58:18.378145Z")</f>
        <v>2055-06-05T19:58:18.378145Z</v>
      </c>
      <c r="AI109" s="3">
        <f ca="1">IFERROR(__xludf.DUMMYFUNCTION("""COMPUTED_VALUE"""),4.57)</f>
        <v>4.57</v>
      </c>
      <c r="AJ109" s="3">
        <f ca="1">IFERROR(__xludf.DUMMYFUNCTION("""COMPUTED_VALUE"""),234)</f>
        <v>234</v>
      </c>
      <c r="AK109" s="3">
        <f ca="1">IFERROR(__xludf.DUMMYFUNCTION("""COMPUTED_VALUE"""),726)</f>
        <v>726</v>
      </c>
      <c r="AL109" s="3">
        <f ca="1">IFERROR(__xludf.DUMMYFUNCTION("""COMPUTED_VALUE"""),99)</f>
        <v>99</v>
      </c>
    </row>
    <row r="110" spans="1:38" ht="13">
      <c r="A110" s="3">
        <f ca="1">IFERROR(__xludf.DUMMYFUNCTION("""COMPUTED_VALUE"""),1123)</f>
        <v>1123</v>
      </c>
      <c r="B110" s="3"/>
      <c r="C110" s="3">
        <f ca="1">IFERROR(__xludf.DUMMYFUNCTION("""COMPUTED_VALUE"""),4001)</f>
        <v>4001</v>
      </c>
      <c r="D110" s="3" t="str">
        <f ca="1">IFERROR(__xludf.DUMMYFUNCTION("""COMPUTED_VALUE"""),"Dashattan")</f>
        <v>Dashattan</v>
      </c>
      <c r="E110" s="3" t="str">
        <f ca="1">IFERROR(__xludf.DUMMYFUNCTION("""COMPUTED_VALUE"""),"Galaxy A")</f>
        <v>Galaxy A</v>
      </c>
      <c r="F110" s="3" t="str">
        <f ca="1">IFERROR(__xludf.DUMMYFUNCTION("""COMPUTED_VALUE"""),"KC")</f>
        <v>KC</v>
      </c>
      <c r="G110" s="3">
        <f ca="1">IFERROR(__xludf.DUMMYFUNCTION("""COMPUTED_VALUE"""),0)</f>
        <v>0</v>
      </c>
      <c r="H110" s="3" t="str">
        <f ca="1">IFERROR(__xludf.DUMMYFUNCTION("""COMPUTED_VALUE"""),"car")</f>
        <v>car</v>
      </c>
      <c r="I110" s="3" t="str">
        <f ca="1">IFERROR(__xludf.DUMMYFUNCTION("""COMPUTED_VALUE"""),"2055-06-10T15:45:04.740467Z")</f>
        <v>2055-06-10T15:45:04.740467Z</v>
      </c>
      <c r="J110" s="3" t="str">
        <f ca="1">IFERROR(__xludf.DUMMYFUNCTION("""COMPUTED_VALUE"""),"2055-06-10T16:29:14.806Z")</f>
        <v>2055-06-10T16:29:14.806Z</v>
      </c>
      <c r="K110" s="3" t="str">
        <f ca="1">IFERROR(__xludf.DUMMYFUNCTION("""COMPUTED_VALUE"""),"2055-06-10T16:10:21.806Z")</f>
        <v>2055-06-10T16:10:21.806Z</v>
      </c>
      <c r="L110" s="3">
        <f ca="1">IFERROR(__xludf.DUMMYFUNCTION("""COMPUTED_VALUE"""),1)</f>
        <v>1</v>
      </c>
      <c r="M110" s="3">
        <f ca="1">IFERROR(__xludf.DUMMYFUNCTION("""COMPUTED_VALUE"""),0)</f>
        <v>0</v>
      </c>
      <c r="N110" s="3" t="str">
        <f ca="1">IFERROR(__xludf.DUMMYFUNCTION("""COMPUTED_VALUE"""),"2055-06-10T16:01:28.911579Z")</f>
        <v>2055-06-10T16:01:28.911579Z</v>
      </c>
      <c r="O110" s="3" t="str">
        <f ca="1">IFERROR(__xludf.DUMMYFUNCTION("""COMPUTED_VALUE"""),"2055-06-10T16:20:04.794772Z")</f>
        <v>2055-06-10T16:20:04.794772Z</v>
      </c>
      <c r="P110" s="3" t="str">
        <f ca="1">IFERROR(__xludf.DUMMYFUNCTION("""COMPUTED_VALUE"""),"2055-06-10T15:51:14.509363Z")</f>
        <v>2055-06-10T15:51:14.509363Z</v>
      </c>
      <c r="Q110" s="3">
        <f ca="1">IFERROR(__xludf.DUMMYFUNCTION("""COMPUTED_VALUE"""),0)</f>
        <v>0</v>
      </c>
      <c r="R110" s="3" t="str">
        <f ca="1">IFERROR(__xludf.DUMMYFUNCTION("""COMPUTED_VALUE"""),"2055-06-10T15:51:27.279258Z")</f>
        <v>2055-06-10T15:51:27.279258Z</v>
      </c>
      <c r="S110" s="3" t="str">
        <f ca="1">IFERROR(__xludf.DUMMYFUNCTION("""COMPUTED_VALUE"""),"2055-06-10T15:51:33.584112Z")</f>
        <v>2055-06-10T15:51:33.584112Z</v>
      </c>
      <c r="T110" s="3"/>
      <c r="U110" s="4">
        <f ca="1">IFERROR(__xludf.DUMMYFUNCTION("""COMPUTED_VALUE"""),56775)</f>
        <v>56775</v>
      </c>
      <c r="V110" s="3">
        <f ca="1">IFERROR(__xludf.DUMMYFUNCTION("""COMPUTED_VALUE"""),4.4)</f>
        <v>4.4000000000000004</v>
      </c>
      <c r="W110" s="3">
        <f ca="1">IFERROR(__xludf.DUMMYFUNCTION("""COMPUTED_VALUE"""),5000)</f>
        <v>5000</v>
      </c>
      <c r="X110" s="3">
        <f ca="1">IFERROR(__xludf.DUMMYFUNCTION("""COMPUTED_VALUE"""),1717)</f>
        <v>1717</v>
      </c>
      <c r="Y110" s="3">
        <f ca="1">IFERROR(__xludf.DUMMYFUNCTION("""COMPUTED_VALUE"""),6)</f>
        <v>6</v>
      </c>
      <c r="Z110" s="3">
        <f ca="1">IFERROR(__xludf.DUMMYFUNCTION("""COMPUTED_VALUE"""),595)</f>
        <v>595</v>
      </c>
      <c r="AA110" s="3">
        <f ca="1">IFERROR(__xludf.DUMMYFUNCTION("""COMPUTED_VALUE"""),1116)</f>
        <v>1116</v>
      </c>
      <c r="AB110" s="3">
        <f ca="1">IFERROR(__xludf.DUMMYFUNCTION("""COMPUTED_VALUE"""),1)</f>
        <v>1</v>
      </c>
      <c r="AC110" s="3">
        <f ca="1">IFERROR(__xludf.DUMMYFUNCTION("""COMPUTED_VALUE"""),4)</f>
        <v>4</v>
      </c>
      <c r="AD110" s="3"/>
      <c r="AE110" s="3" t="str">
        <f ca="1">IFERROR(__xludf.DUMMYFUNCTION("""COMPUTED_VALUE"""),"2055-06-10T12:01:28.911579Z")</f>
        <v>2055-06-10T12:01:28.911579Z</v>
      </c>
      <c r="AF110" s="3" t="str">
        <f ca="1">IFERROR(__xludf.DUMMYFUNCTION("""COMPUTED_VALUE"""),"2055-06-10T12:20:04.794772Z")</f>
        <v>2055-06-10T12:20:04.794772Z</v>
      </c>
      <c r="AG110" s="3" t="str">
        <f ca="1">IFERROR(__xludf.DUMMYFUNCTION("""COMPUTED_VALUE"""),"2055-06-10T11:51:14.509363Z")</f>
        <v>2055-06-10T11:51:14.509363Z</v>
      </c>
      <c r="AH110" s="3" t="str">
        <f ca="1">IFERROR(__xludf.DUMMYFUNCTION("""COMPUTED_VALUE"""),"2055-06-10T11:51:33.584112Z")</f>
        <v>2055-06-10T11:51:33.584112Z</v>
      </c>
      <c r="AI110" s="3">
        <f ca="1">IFERROR(__xludf.DUMMYFUNCTION("""COMPUTED_VALUE"""),4.54)</f>
        <v>4.54</v>
      </c>
      <c r="AJ110" s="3">
        <f ca="1">IFERROR(__xludf.DUMMYFUNCTION("""COMPUTED_VALUE"""),2229)</f>
        <v>2229</v>
      </c>
      <c r="AK110" s="3">
        <f ca="1">IFERROR(__xludf.DUMMYFUNCTION("""COMPUTED_VALUE"""),6580)</f>
        <v>6580</v>
      </c>
      <c r="AL110" s="3"/>
    </row>
    <row r="111" spans="1:38" ht="13">
      <c r="A111" s="3">
        <f ca="1">IFERROR(__xludf.DUMMYFUNCTION("""COMPUTED_VALUE"""),931)</f>
        <v>931</v>
      </c>
      <c r="B111" s="3">
        <f ca="1">IFERROR(__xludf.DUMMYFUNCTION("""COMPUTED_VALUE"""),5)</f>
        <v>5</v>
      </c>
      <c r="C111" s="3">
        <f ca="1">IFERROR(__xludf.DUMMYFUNCTION("""COMPUTED_VALUE"""),4050)</f>
        <v>4050</v>
      </c>
      <c r="D111" s="3" t="str">
        <f ca="1">IFERROR(__xludf.DUMMYFUNCTION("""COMPUTED_VALUE"""),"Doorlanta")</f>
        <v>Doorlanta</v>
      </c>
      <c r="E111" s="3" t="str">
        <f ca="1">IFERROR(__xludf.DUMMYFUNCTION("""COMPUTED_VALUE"""),"Galaxy A")</f>
        <v>Galaxy A</v>
      </c>
      <c r="F111" s="3" t="str">
        <f ca="1">IFERROR(__xludf.DUMMYFUNCTION("""COMPUTED_VALUE"""),"Hanna")</f>
        <v>Hanna</v>
      </c>
      <c r="G111" s="3">
        <f ca="1">IFERROR(__xludf.DUMMYFUNCTION("""COMPUTED_VALUE"""),0)</f>
        <v>0</v>
      </c>
      <c r="H111" s="3" t="str">
        <f ca="1">IFERROR(__xludf.DUMMYFUNCTION("""COMPUTED_VALUE"""),"car")</f>
        <v>car</v>
      </c>
      <c r="I111" s="3" t="str">
        <f ca="1">IFERROR(__xludf.DUMMYFUNCTION("""COMPUTED_VALUE"""),"2055-06-08T14:43:35.234473Z")</f>
        <v>2055-06-08T14:43:35.234473Z</v>
      </c>
      <c r="J111" s="3" t="str">
        <f ca="1">IFERROR(__xludf.DUMMYFUNCTION("""COMPUTED_VALUE"""),"2055-06-08T15:45:00Z")</f>
        <v>2055-06-08T15:45:00Z</v>
      </c>
      <c r="K111" s="3" t="str">
        <f ca="1">IFERROR(__xludf.DUMMYFUNCTION("""COMPUTED_VALUE"""),"2055-06-08T15:45:00Z")</f>
        <v>2055-06-08T15:45:00Z</v>
      </c>
      <c r="L111" s="3">
        <f ca="1">IFERROR(__xludf.DUMMYFUNCTION("""COMPUTED_VALUE"""),0)</f>
        <v>0</v>
      </c>
      <c r="M111" s="3">
        <f ca="1">IFERROR(__xludf.DUMMYFUNCTION("""COMPUTED_VALUE"""),0)</f>
        <v>0</v>
      </c>
      <c r="N111" s="3" t="str">
        <f ca="1">IFERROR(__xludf.DUMMYFUNCTION("""COMPUTED_VALUE"""),"2055-06-08T15:16:42.36028Z")</f>
        <v>2055-06-08T15:16:42.36028Z</v>
      </c>
      <c r="O111" s="3" t="str">
        <f ca="1">IFERROR(__xludf.DUMMYFUNCTION("""COMPUTED_VALUE"""),"2055-06-08T15:26:51.366311Z")</f>
        <v>2055-06-08T15:26:51.366311Z</v>
      </c>
      <c r="P111" s="3" t="str">
        <f ca="1">IFERROR(__xludf.DUMMYFUNCTION("""COMPUTED_VALUE"""),"2055-06-08T14:46:47.338362Z")</f>
        <v>2055-06-08T14:46:47.338362Z</v>
      </c>
      <c r="Q111" s="3">
        <f ca="1">IFERROR(__xludf.DUMMYFUNCTION("""COMPUTED_VALUE"""),0)</f>
        <v>0</v>
      </c>
      <c r="R111" s="3" t="str">
        <f ca="1">IFERROR(__xludf.DUMMYFUNCTION("""COMPUTED_VALUE"""),"2055-06-08T14:47:08.358794Z")</f>
        <v>2055-06-08T14:47:08.358794Z</v>
      </c>
      <c r="S111" s="3" t="str">
        <f ca="1">IFERROR(__xludf.DUMMYFUNCTION("""COMPUTED_VALUE"""),"2055-06-08T14:51:54.546552Z")</f>
        <v>2055-06-08T14:51:54.546552Z</v>
      </c>
      <c r="T111" s="3"/>
      <c r="U111" s="4">
        <f ca="1">IFERROR(__xludf.DUMMYFUNCTION("""COMPUTED_VALUE"""),56773)</f>
        <v>56773</v>
      </c>
      <c r="V111" s="3">
        <f ca="1">IFERROR(__xludf.DUMMYFUNCTION("""COMPUTED_VALUE"""),4.6)</f>
        <v>4.5999999999999996</v>
      </c>
      <c r="W111" s="3">
        <f ca="1">IFERROR(__xludf.DUMMYFUNCTION("""COMPUTED_VALUE"""),5000)</f>
        <v>5000</v>
      </c>
      <c r="X111" s="3">
        <f ca="1">IFERROR(__xludf.DUMMYFUNCTION("""COMPUTED_VALUE"""),2383)</f>
        <v>2383</v>
      </c>
      <c r="Y111" s="3">
        <f ca="1">IFERROR(__xludf.DUMMYFUNCTION("""COMPUTED_VALUE"""),286)</f>
        <v>286</v>
      </c>
      <c r="Z111" s="3">
        <f ca="1">IFERROR(__xludf.DUMMYFUNCTION("""COMPUTED_VALUE"""),1488)</f>
        <v>1488</v>
      </c>
      <c r="AA111" s="3">
        <f ca="1">IFERROR(__xludf.DUMMYFUNCTION("""COMPUTED_VALUE"""),609)</f>
        <v>609</v>
      </c>
      <c r="AB111" s="3">
        <f ca="1">IFERROR(__xludf.DUMMYFUNCTION("""COMPUTED_VALUE"""),0)</f>
        <v>0</v>
      </c>
      <c r="AC111" s="3">
        <f ca="1">IFERROR(__xludf.DUMMYFUNCTION("""COMPUTED_VALUE"""),5)</f>
        <v>5</v>
      </c>
      <c r="AD111" s="3" t="str">
        <f ca="1">IFERROR(__xludf.DUMMYFUNCTION("""COMPUTED_VALUE"""),"early")</f>
        <v>early</v>
      </c>
      <c r="AE111" s="3" t="str">
        <f ca="1">IFERROR(__xludf.DUMMYFUNCTION("""COMPUTED_VALUE"""),"2055-06-08T11:16:42.36028Z")</f>
        <v>2055-06-08T11:16:42.36028Z</v>
      </c>
      <c r="AF111" s="3" t="str">
        <f ca="1">IFERROR(__xludf.DUMMYFUNCTION("""COMPUTED_VALUE"""),"2055-06-08T11:26:51.366311Z")</f>
        <v>2055-06-08T11:26:51.366311Z</v>
      </c>
      <c r="AG111" s="3" t="str">
        <f ca="1">IFERROR(__xludf.DUMMYFUNCTION("""COMPUTED_VALUE"""),"2055-06-08T10:46:47.338362Z")</f>
        <v>2055-06-08T10:46:47.338362Z</v>
      </c>
      <c r="AH111" s="3" t="str">
        <f ca="1">IFERROR(__xludf.DUMMYFUNCTION("""COMPUTED_VALUE"""),"2055-06-08T10:51:54.546552Z")</f>
        <v>2055-06-08T10:51:54.546552Z</v>
      </c>
      <c r="AI111" s="3">
        <f ca="1">IFERROR(__xludf.DUMMYFUNCTION("""COMPUTED_VALUE"""),4.79)</f>
        <v>4.79</v>
      </c>
      <c r="AJ111" s="3">
        <f ca="1">IFERROR(__xludf.DUMMYFUNCTION("""COMPUTED_VALUE"""),1007)</f>
        <v>1007</v>
      </c>
      <c r="AK111" s="3">
        <f ca="1">IFERROR(__xludf.DUMMYFUNCTION("""COMPUTED_VALUE"""),2899)</f>
        <v>2899</v>
      </c>
      <c r="AL111" s="3">
        <f ca="1">IFERROR(__xludf.DUMMYFUNCTION("""COMPUTED_VALUE"""),1301)</f>
        <v>1301</v>
      </c>
    </row>
    <row r="112" spans="1:38" ht="13">
      <c r="A112" s="3">
        <f ca="1">IFERROR(__xludf.DUMMYFUNCTION("""COMPUTED_VALUE"""),645)</f>
        <v>645</v>
      </c>
      <c r="B112" s="3"/>
      <c r="C112" s="3">
        <f ca="1">IFERROR(__xludf.DUMMYFUNCTION("""COMPUTED_VALUE"""),4001)</f>
        <v>4001</v>
      </c>
      <c r="D112" s="3" t="str">
        <f ca="1">IFERROR(__xludf.DUMMYFUNCTION("""COMPUTED_VALUE"""),"Dashattan")</f>
        <v>Dashattan</v>
      </c>
      <c r="E112" s="3" t="str">
        <f ca="1">IFERROR(__xludf.DUMMYFUNCTION("""COMPUTED_VALUE"""),"Galaxy A")</f>
        <v>Galaxy A</v>
      </c>
      <c r="F112" s="3" t="str">
        <f ca="1">IFERROR(__xludf.DUMMYFUNCTION("""COMPUTED_VALUE"""),"KC")</f>
        <v>KC</v>
      </c>
      <c r="G112" s="3">
        <f ca="1">IFERROR(__xludf.DUMMYFUNCTION("""COMPUTED_VALUE"""),0)</f>
        <v>0</v>
      </c>
      <c r="H112" s="3" t="str">
        <f ca="1">IFERROR(__xludf.DUMMYFUNCTION("""COMPUTED_VALUE"""),"car")</f>
        <v>car</v>
      </c>
      <c r="I112" s="3" t="str">
        <f ca="1">IFERROR(__xludf.DUMMYFUNCTION("""COMPUTED_VALUE"""),"2055-06-05T22:19:31.807132Z")</f>
        <v>2055-06-05T22:19:31.807132Z</v>
      </c>
      <c r="J112" s="3" t="str">
        <f ca="1">IFERROR(__xludf.DUMMYFUNCTION("""COMPUTED_VALUE"""),"2055-06-05T23:07:32.857Z")</f>
        <v>2055-06-05T23:07:32.857Z</v>
      </c>
      <c r="K112" s="3" t="str">
        <f ca="1">IFERROR(__xludf.DUMMYFUNCTION("""COMPUTED_VALUE"""),"2055-06-05T22:47:25.857Z")</f>
        <v>2055-06-05T22:47:25.857Z</v>
      </c>
      <c r="L112" s="3">
        <f ca="1">IFERROR(__xludf.DUMMYFUNCTION("""COMPUTED_VALUE"""),1)</f>
        <v>1</v>
      </c>
      <c r="M112" s="3">
        <f ca="1">IFERROR(__xludf.DUMMYFUNCTION("""COMPUTED_VALUE"""),0)</f>
        <v>0</v>
      </c>
      <c r="N112" s="3" t="str">
        <f ca="1">IFERROR(__xludf.DUMMYFUNCTION("""COMPUTED_VALUE"""),"2055-06-05T22:38:05.050297Z")</f>
        <v>2055-06-05T22:38:05.050297Z</v>
      </c>
      <c r="O112" s="3" t="str">
        <f ca="1">IFERROR(__xludf.DUMMYFUNCTION("""COMPUTED_VALUE"""),"2055-06-05T22:49:11.993844Z")</f>
        <v>2055-06-05T22:49:11.993844Z</v>
      </c>
      <c r="P112" s="3" t="str">
        <f ca="1">IFERROR(__xludf.DUMMYFUNCTION("""COMPUTED_VALUE"""),"2055-06-05T22:25:35.987127Z")</f>
        <v>2055-06-05T22:25:35.987127Z</v>
      </c>
      <c r="Q112" s="3">
        <f ca="1">IFERROR(__xludf.DUMMYFUNCTION("""COMPUTED_VALUE"""),0)</f>
        <v>0</v>
      </c>
      <c r="R112" s="3" t="str">
        <f ca="1">IFERROR(__xludf.DUMMYFUNCTION("""COMPUTED_VALUE"""),"2055-06-05T22:25:55.44397Z")</f>
        <v>2055-06-05T22:25:55.44397Z</v>
      </c>
      <c r="S112" s="3" t="str">
        <f ca="1">IFERROR(__xludf.DUMMYFUNCTION("""COMPUTED_VALUE"""),"2055-06-05T22:30:38.362566Z")</f>
        <v>2055-06-05T22:30:38.362566Z</v>
      </c>
      <c r="T112" s="3"/>
      <c r="U112" s="4">
        <f ca="1">IFERROR(__xludf.DUMMYFUNCTION("""COMPUTED_VALUE"""),56770)</f>
        <v>56770</v>
      </c>
      <c r="V112" s="3">
        <f ca="1">IFERROR(__xludf.DUMMYFUNCTION("""COMPUTED_VALUE"""),4.403890435)</f>
        <v>4.4038904350000001</v>
      </c>
      <c r="W112" s="3">
        <f ca="1">IFERROR(__xludf.DUMMYFUNCTION("""COMPUTED_VALUE"""),5000)</f>
        <v>5000</v>
      </c>
      <c r="X112" s="3">
        <f ca="1">IFERROR(__xludf.DUMMYFUNCTION("""COMPUTED_VALUE"""),1396)</f>
        <v>1396</v>
      </c>
      <c r="Y112" s="3">
        <f ca="1">IFERROR(__xludf.DUMMYFUNCTION("""COMPUTED_VALUE"""),283)</f>
        <v>283</v>
      </c>
      <c r="Z112" s="3">
        <f ca="1">IFERROR(__xludf.DUMMYFUNCTION("""COMPUTED_VALUE"""),447)</f>
        <v>447</v>
      </c>
      <c r="AA112" s="3">
        <f ca="1">IFERROR(__xludf.DUMMYFUNCTION("""COMPUTED_VALUE"""),666)</f>
        <v>666</v>
      </c>
      <c r="AB112" s="3">
        <f ca="1">IFERROR(__xludf.DUMMYFUNCTION("""COMPUTED_VALUE"""),0)</f>
        <v>0</v>
      </c>
      <c r="AC112" s="3">
        <f ca="1">IFERROR(__xludf.DUMMYFUNCTION("""COMPUTED_VALUE"""),5)</f>
        <v>5</v>
      </c>
      <c r="AD112" s="3" t="str">
        <f ca="1">IFERROR(__xludf.DUMMYFUNCTION("""COMPUTED_VALUE"""),"early")</f>
        <v>early</v>
      </c>
      <c r="AE112" s="3" t="str">
        <f ca="1">IFERROR(__xludf.DUMMYFUNCTION("""COMPUTED_VALUE"""),"2055-06-05T18:38:05.050297Z")</f>
        <v>2055-06-05T18:38:05.050297Z</v>
      </c>
      <c r="AF112" s="3" t="str">
        <f ca="1">IFERROR(__xludf.DUMMYFUNCTION("""COMPUTED_VALUE"""),"2055-06-05T18:49:11.993844Z")</f>
        <v>2055-06-05T18:49:11.993844Z</v>
      </c>
      <c r="AG112" s="3" t="str">
        <f ca="1">IFERROR(__xludf.DUMMYFUNCTION("""COMPUTED_VALUE"""),"2055-06-05T18:25:35.987127Z")</f>
        <v>2055-06-05T18:25:35.987127Z</v>
      </c>
      <c r="AH112" s="3" t="str">
        <f ca="1">IFERROR(__xludf.DUMMYFUNCTION("""COMPUTED_VALUE"""),"2055-06-05T18:30:38.362566Z")</f>
        <v>2055-06-05T18:30:38.362566Z</v>
      </c>
      <c r="AI112" s="3">
        <f ca="1">IFERROR(__xludf.DUMMYFUNCTION("""COMPUTED_VALUE"""),4.54)</f>
        <v>4.54</v>
      </c>
      <c r="AJ112" s="3">
        <f ca="1">IFERROR(__xludf.DUMMYFUNCTION("""COMPUTED_VALUE"""),2229)</f>
        <v>2229</v>
      </c>
      <c r="AK112" s="3">
        <f ca="1">IFERROR(__xludf.DUMMYFUNCTION("""COMPUTED_VALUE"""),6580)</f>
        <v>6580</v>
      </c>
      <c r="AL112" s="3"/>
    </row>
    <row r="113" spans="1:38" ht="13">
      <c r="A113" s="3">
        <f ca="1">IFERROR(__xludf.DUMMYFUNCTION("""COMPUTED_VALUE"""),788)</f>
        <v>788</v>
      </c>
      <c r="B113" s="3"/>
      <c r="C113" s="3">
        <f ca="1">IFERROR(__xludf.DUMMYFUNCTION("""COMPUTED_VALUE"""),4050)</f>
        <v>4050</v>
      </c>
      <c r="D113" s="3" t="str">
        <f ca="1">IFERROR(__xludf.DUMMYFUNCTION("""COMPUTED_VALUE"""),"Doorlanta")</f>
        <v>Doorlanta</v>
      </c>
      <c r="E113" s="3" t="str">
        <f ca="1">IFERROR(__xludf.DUMMYFUNCTION("""COMPUTED_VALUE"""),"Galaxy A")</f>
        <v>Galaxy A</v>
      </c>
      <c r="F113" s="3" t="str">
        <f ca="1">IFERROR(__xludf.DUMMYFUNCTION("""COMPUTED_VALUE"""),"Matthew")</f>
        <v>Matthew</v>
      </c>
      <c r="G113" s="3">
        <f ca="1">IFERROR(__xludf.DUMMYFUNCTION("""COMPUTED_VALUE"""),0)</f>
        <v>0</v>
      </c>
      <c r="H113" s="3" t="str">
        <f ca="1">IFERROR(__xludf.DUMMYFUNCTION("""COMPUTED_VALUE"""),"car")</f>
        <v>car</v>
      </c>
      <c r="I113" s="3" t="str">
        <f ca="1">IFERROR(__xludf.DUMMYFUNCTION("""COMPUTED_VALUE"""),"2055-06-06T23:14:53.630933Z")</f>
        <v>2055-06-06T23:14:53.630933Z</v>
      </c>
      <c r="J113" s="3" t="str">
        <f ca="1">IFERROR(__xludf.DUMMYFUNCTION("""COMPUTED_VALUE"""),"2055-06-07T00:16:48.714Z")</f>
        <v>2055-06-07T00:16:48.714Z</v>
      </c>
      <c r="K113" s="3" t="str">
        <f ca="1">IFERROR(__xludf.DUMMYFUNCTION("""COMPUTED_VALUE"""),"2055-06-06T23:57:09.714Z")</f>
        <v>2055-06-06T23:57:09.714Z</v>
      </c>
      <c r="L113" s="3">
        <f ca="1">IFERROR(__xludf.DUMMYFUNCTION("""COMPUTED_VALUE"""),1)</f>
        <v>1</v>
      </c>
      <c r="M113" s="3">
        <f ca="1">IFERROR(__xludf.DUMMYFUNCTION("""COMPUTED_VALUE"""),0)</f>
        <v>0</v>
      </c>
      <c r="N113" s="3" t="str">
        <f ca="1">IFERROR(__xludf.DUMMYFUNCTION("""COMPUTED_VALUE"""),"2055-06-07T00:16:48.356958Z")</f>
        <v>2055-06-07T00:16:48.356958Z</v>
      </c>
      <c r="O113" s="3" t="str">
        <f ca="1">IFERROR(__xludf.DUMMYFUNCTION("""COMPUTED_VALUE"""),"2055-06-07T00:37:15.078507Z")</f>
        <v>2055-06-07T00:37:15.078507Z</v>
      </c>
      <c r="P113" s="3" t="str">
        <f ca="1">IFERROR(__xludf.DUMMYFUNCTION("""COMPUTED_VALUE"""),"2055-06-06T23:15:07.371846Z")</f>
        <v>2055-06-06T23:15:07.371846Z</v>
      </c>
      <c r="Q113" s="3">
        <f ca="1">IFERROR(__xludf.DUMMYFUNCTION("""COMPUTED_VALUE"""),0)</f>
        <v>0</v>
      </c>
      <c r="R113" s="3" t="str">
        <f ca="1">IFERROR(__xludf.DUMMYFUNCTION("""COMPUTED_VALUE"""),"2055-06-06T23:16:29.905633Z")</f>
        <v>2055-06-06T23:16:29.905633Z</v>
      </c>
      <c r="S113" s="3" t="str">
        <f ca="1">IFERROR(__xludf.DUMMYFUNCTION("""COMPUTED_VALUE"""),"2055-06-07T00:13:31.714778Z")</f>
        <v>2055-06-07T00:13:31.714778Z</v>
      </c>
      <c r="T113" s="3"/>
      <c r="U113" s="4">
        <f ca="1">IFERROR(__xludf.DUMMYFUNCTION("""COMPUTED_VALUE"""),56771)</f>
        <v>56771</v>
      </c>
      <c r="V113" s="3">
        <f ca="1">IFERROR(__xludf.DUMMYFUNCTION("""COMPUTED_VALUE"""),4.7)</f>
        <v>4.7</v>
      </c>
      <c r="W113" s="3">
        <f ca="1">IFERROR(__xludf.DUMMYFUNCTION("""COMPUTED_VALUE"""),5000)</f>
        <v>5000</v>
      </c>
      <c r="X113" s="3">
        <f ca="1">IFERROR(__xludf.DUMMYFUNCTION("""COMPUTED_VALUE"""),4846)</f>
        <v>4846</v>
      </c>
      <c r="Y113" s="3">
        <f ca="1">IFERROR(__xludf.DUMMYFUNCTION("""COMPUTED_VALUE"""),3422)</f>
        <v>3422</v>
      </c>
      <c r="Z113" s="3">
        <f ca="1">IFERROR(__xludf.DUMMYFUNCTION("""COMPUTED_VALUE"""),197)</f>
        <v>197</v>
      </c>
      <c r="AA113" s="3">
        <f ca="1">IFERROR(__xludf.DUMMYFUNCTION("""COMPUTED_VALUE"""),1227)</f>
        <v>1227</v>
      </c>
      <c r="AB113" s="3">
        <f ca="1">IFERROR(__xludf.DUMMYFUNCTION("""COMPUTED_VALUE"""),0)</f>
        <v>0</v>
      </c>
      <c r="AC113" s="3">
        <f ca="1">IFERROR(__xludf.DUMMYFUNCTION("""COMPUTED_VALUE"""),5)</f>
        <v>5</v>
      </c>
      <c r="AD113" s="3" t="str">
        <f ca="1">IFERROR(__xludf.DUMMYFUNCTION("""COMPUTED_VALUE"""),"late")</f>
        <v>late</v>
      </c>
      <c r="AE113" s="3" t="str">
        <f ca="1">IFERROR(__xludf.DUMMYFUNCTION("""COMPUTED_VALUE"""),"2055-06-06T20:16:48.356958Z")</f>
        <v>2055-06-06T20:16:48.356958Z</v>
      </c>
      <c r="AF113" s="3" t="str">
        <f ca="1">IFERROR(__xludf.DUMMYFUNCTION("""COMPUTED_VALUE"""),"2055-06-06T20:37:15.078507Z")</f>
        <v>2055-06-06T20:37:15.078507Z</v>
      </c>
      <c r="AG113" s="3" t="str">
        <f ca="1">IFERROR(__xludf.DUMMYFUNCTION("""COMPUTED_VALUE"""),"2055-06-06T19:15:07.371846Z")</f>
        <v>2055-06-06T19:15:07.371846Z</v>
      </c>
      <c r="AH113" s="3" t="str">
        <f ca="1">IFERROR(__xludf.DUMMYFUNCTION("""COMPUTED_VALUE"""),"2055-06-06T20:13:31.714778Z")</f>
        <v>2055-06-06T20:13:31.714778Z</v>
      </c>
      <c r="AI113" s="3">
        <f ca="1">IFERROR(__xludf.DUMMYFUNCTION("""COMPUTED_VALUE"""),4.411111111)</f>
        <v>4.4111111110000003</v>
      </c>
      <c r="AJ113" s="3">
        <f ca="1">IFERROR(__xludf.DUMMYFUNCTION("""COMPUTED_VALUE"""),68)</f>
        <v>68</v>
      </c>
      <c r="AK113" s="3">
        <f ca="1">IFERROR(__xludf.DUMMYFUNCTION("""COMPUTED_VALUE"""),223)</f>
        <v>223</v>
      </c>
      <c r="AL113" s="3">
        <f ca="1">IFERROR(__xludf.DUMMYFUNCTION("""COMPUTED_VALUE"""),118)</f>
        <v>118</v>
      </c>
    </row>
    <row r="114" spans="1:38" ht="13">
      <c r="A114" s="3">
        <f ca="1">IFERROR(__xludf.DUMMYFUNCTION("""COMPUTED_VALUE"""),801)</f>
        <v>801</v>
      </c>
      <c r="B114" s="3"/>
      <c r="C114" s="3">
        <f ca="1">IFERROR(__xludf.DUMMYFUNCTION("""COMPUTED_VALUE"""),4050)</f>
        <v>4050</v>
      </c>
      <c r="D114" s="3" t="str">
        <f ca="1">IFERROR(__xludf.DUMMYFUNCTION("""COMPUTED_VALUE"""),"Doorlanta")</f>
        <v>Doorlanta</v>
      </c>
      <c r="E114" s="3" t="str">
        <f ca="1">IFERROR(__xludf.DUMMYFUNCTION("""COMPUTED_VALUE"""),"Galaxy A")</f>
        <v>Galaxy A</v>
      </c>
      <c r="F114" s="3" t="str">
        <f ca="1">IFERROR(__xludf.DUMMYFUNCTION("""COMPUTED_VALUE"""),"Hanna")</f>
        <v>Hanna</v>
      </c>
      <c r="G114" s="3">
        <f ca="1">IFERROR(__xludf.DUMMYFUNCTION("""COMPUTED_VALUE"""),0)</f>
        <v>0</v>
      </c>
      <c r="H114" s="3" t="str">
        <f ca="1">IFERROR(__xludf.DUMMYFUNCTION("""COMPUTED_VALUE"""),"car")</f>
        <v>car</v>
      </c>
      <c r="I114" s="3" t="str">
        <f ca="1">IFERROR(__xludf.DUMMYFUNCTION("""COMPUTED_VALUE"""),"2055-06-06T23:55:58.592694Z")</f>
        <v>2055-06-06T23:55:58.592694Z</v>
      </c>
      <c r="J114" s="3" t="str">
        <f ca="1">IFERROR(__xludf.DUMMYFUNCTION("""COMPUTED_VALUE"""),"2055-06-07T01:02:00.681Z")</f>
        <v>2055-06-07T01:02:00.681Z</v>
      </c>
      <c r="K114" s="3" t="str">
        <f ca="1">IFERROR(__xludf.DUMMYFUNCTION("""COMPUTED_VALUE"""),"2055-06-07T00:40:06.681Z")</f>
        <v>2055-06-07T00:40:06.681Z</v>
      </c>
      <c r="L114" s="3">
        <f ca="1">IFERROR(__xludf.DUMMYFUNCTION("""COMPUTED_VALUE"""),1)</f>
        <v>1</v>
      </c>
      <c r="M114" s="3">
        <f ca="1">IFERROR(__xludf.DUMMYFUNCTION("""COMPUTED_VALUE"""),0)</f>
        <v>0</v>
      </c>
      <c r="N114" s="3" t="str">
        <f ca="1">IFERROR(__xludf.DUMMYFUNCTION("""COMPUTED_VALUE"""),"2055-06-07T00:27:24.229542Z")</f>
        <v>2055-06-07T00:27:24.229542Z</v>
      </c>
      <c r="O114" s="3" t="str">
        <f ca="1">IFERROR(__xludf.DUMMYFUNCTION("""COMPUTED_VALUE"""),"2055-06-07T00:35:52.462272Z")</f>
        <v>2055-06-07T00:35:52.462272Z</v>
      </c>
      <c r="P114" s="3" t="str">
        <f ca="1">IFERROR(__xludf.DUMMYFUNCTION("""COMPUTED_VALUE"""),"2055-06-07T00:04:27.374364Z")</f>
        <v>2055-06-07T00:04:27.374364Z</v>
      </c>
      <c r="Q114" s="3">
        <f ca="1">IFERROR(__xludf.DUMMYFUNCTION("""COMPUTED_VALUE"""),0)</f>
        <v>0</v>
      </c>
      <c r="R114" s="3" t="str">
        <f ca="1">IFERROR(__xludf.DUMMYFUNCTION("""COMPUTED_VALUE"""),"2055-06-07T00:04:50.021924Z")</f>
        <v>2055-06-07T00:04:50.021924Z</v>
      </c>
      <c r="S114" s="3" t="str">
        <f ca="1">IFERROR(__xludf.DUMMYFUNCTION("""COMPUTED_VALUE"""),"2055-06-07T00:25:42.583708Z")</f>
        <v>2055-06-07T00:25:42.583708Z</v>
      </c>
      <c r="T114" s="3"/>
      <c r="U114" s="4">
        <f ca="1">IFERROR(__xludf.DUMMYFUNCTION("""COMPUTED_VALUE"""),56771)</f>
        <v>56771</v>
      </c>
      <c r="V114" s="3">
        <f ca="1">IFERROR(__xludf.DUMMYFUNCTION("""COMPUTED_VALUE"""),4.8)</f>
        <v>4.8</v>
      </c>
      <c r="W114" s="3">
        <f ca="1">IFERROR(__xludf.DUMMYFUNCTION("""COMPUTED_VALUE"""),5000)</f>
        <v>5000</v>
      </c>
      <c r="X114" s="3">
        <f ca="1">IFERROR(__xludf.DUMMYFUNCTION("""COMPUTED_VALUE"""),1862)</f>
        <v>1862</v>
      </c>
      <c r="Y114" s="3">
        <f ca="1">IFERROR(__xludf.DUMMYFUNCTION("""COMPUTED_VALUE"""),1252)</f>
        <v>1252</v>
      </c>
      <c r="Z114" s="3">
        <f ca="1">IFERROR(__xludf.DUMMYFUNCTION("""COMPUTED_VALUE"""),102)</f>
        <v>102</v>
      </c>
      <c r="AA114" s="3">
        <f ca="1">IFERROR(__xludf.DUMMYFUNCTION("""COMPUTED_VALUE"""),508)</f>
        <v>508</v>
      </c>
      <c r="AB114" s="3">
        <f ca="1">IFERROR(__xludf.DUMMYFUNCTION("""COMPUTED_VALUE"""),0)</f>
        <v>0</v>
      </c>
      <c r="AC114" s="3">
        <f ca="1">IFERROR(__xludf.DUMMYFUNCTION("""COMPUTED_VALUE"""),6)</f>
        <v>6</v>
      </c>
      <c r="AD114" s="3" t="str">
        <f ca="1">IFERROR(__xludf.DUMMYFUNCTION("""COMPUTED_VALUE"""),"late")</f>
        <v>late</v>
      </c>
      <c r="AE114" s="3" t="str">
        <f ca="1">IFERROR(__xludf.DUMMYFUNCTION("""COMPUTED_VALUE"""),"2055-06-06T20:27:24.229542Z")</f>
        <v>2055-06-06T20:27:24.229542Z</v>
      </c>
      <c r="AF114" s="3" t="str">
        <f ca="1">IFERROR(__xludf.DUMMYFUNCTION("""COMPUTED_VALUE"""),"2055-06-06T20:35:52.462272Z")</f>
        <v>2055-06-06T20:35:52.462272Z</v>
      </c>
      <c r="AG114" s="3" t="str">
        <f ca="1">IFERROR(__xludf.DUMMYFUNCTION("""COMPUTED_VALUE"""),"2055-06-06T20:04:27.374364Z")</f>
        <v>2055-06-06T20:04:27.374364Z</v>
      </c>
      <c r="AH114" s="3" t="str">
        <f ca="1">IFERROR(__xludf.DUMMYFUNCTION("""COMPUTED_VALUE"""),"2055-06-06T20:25:42.583708Z")</f>
        <v>2055-06-06T20:25:42.583708Z</v>
      </c>
      <c r="AI114" s="3">
        <f ca="1">IFERROR(__xludf.DUMMYFUNCTION("""COMPUTED_VALUE"""),4.79)</f>
        <v>4.79</v>
      </c>
      <c r="AJ114" s="3">
        <f ca="1">IFERROR(__xludf.DUMMYFUNCTION("""COMPUTED_VALUE"""),1007)</f>
        <v>1007</v>
      </c>
      <c r="AK114" s="3">
        <f ca="1">IFERROR(__xludf.DUMMYFUNCTION("""COMPUTED_VALUE"""),2899)</f>
        <v>2899</v>
      </c>
      <c r="AL114" s="3">
        <f ca="1">IFERROR(__xludf.DUMMYFUNCTION("""COMPUTED_VALUE"""),1301)</f>
        <v>1301</v>
      </c>
    </row>
    <row r="115" spans="1:38" ht="13">
      <c r="A115" s="3">
        <f ca="1">IFERROR(__xludf.DUMMYFUNCTION("""COMPUTED_VALUE"""),887)</f>
        <v>887</v>
      </c>
      <c r="B115" s="3">
        <f ca="1">IFERROR(__xludf.DUMMYFUNCTION("""COMPUTED_VALUE"""),1)</f>
        <v>1</v>
      </c>
      <c r="C115" s="3">
        <f ca="1">IFERROR(__xludf.DUMMYFUNCTION("""COMPUTED_VALUE"""),4050)</f>
        <v>4050</v>
      </c>
      <c r="D115" s="3" t="str">
        <f ca="1">IFERROR(__xludf.DUMMYFUNCTION("""COMPUTED_VALUE"""),"Doorlanta")</f>
        <v>Doorlanta</v>
      </c>
      <c r="E115" s="3" t="str">
        <f ca="1">IFERROR(__xludf.DUMMYFUNCTION("""COMPUTED_VALUE"""),"Galaxy A")</f>
        <v>Galaxy A</v>
      </c>
      <c r="F115" s="3" t="str">
        <f ca="1">IFERROR(__xludf.DUMMYFUNCTION("""COMPUTED_VALUE"""),"Cate")</f>
        <v>Cate</v>
      </c>
      <c r="G115" s="3">
        <f ca="1">IFERROR(__xludf.DUMMYFUNCTION("""COMPUTED_VALUE"""),0)</f>
        <v>0</v>
      </c>
      <c r="H115" s="3" t="str">
        <f ca="1">IFERROR(__xludf.DUMMYFUNCTION("""COMPUTED_VALUE"""),"car")</f>
        <v>car</v>
      </c>
      <c r="I115" s="3" t="str">
        <f ca="1">IFERROR(__xludf.DUMMYFUNCTION("""COMPUTED_VALUE"""),"2055-06-07T23:01:30.877878Z")</f>
        <v>2055-06-07T23:01:30.877878Z</v>
      </c>
      <c r="J115" s="3" t="str">
        <f ca="1">IFERROR(__xludf.DUMMYFUNCTION("""COMPUTED_VALUE"""),"2055-06-07T23:51:37.927Z")</f>
        <v>2055-06-07T23:51:37.927Z</v>
      </c>
      <c r="K115" s="3" t="str">
        <f ca="1">IFERROR(__xludf.DUMMYFUNCTION("""COMPUTED_VALUE"""),"2055-06-07T23:36:30.927Z")</f>
        <v>2055-06-07T23:36:30.927Z</v>
      </c>
      <c r="L115" s="3">
        <f ca="1">IFERROR(__xludf.DUMMYFUNCTION("""COMPUTED_VALUE"""),1)</f>
        <v>1</v>
      </c>
      <c r="M115" s="3">
        <f ca="1">IFERROR(__xludf.DUMMYFUNCTION("""COMPUTED_VALUE"""),0)</f>
        <v>0</v>
      </c>
      <c r="N115" s="3" t="str">
        <f ca="1">IFERROR(__xludf.DUMMYFUNCTION("""COMPUTED_VALUE"""),"2055-06-07T23:27:12.996879Z")</f>
        <v>2055-06-07T23:27:12.996879Z</v>
      </c>
      <c r="O115" s="3" t="str">
        <f ca="1">IFERROR(__xludf.DUMMYFUNCTION("""COMPUTED_VALUE"""),"2055-06-07T23:44:59.387326Z")</f>
        <v>2055-06-07T23:44:59.387326Z</v>
      </c>
      <c r="P115" s="3" t="str">
        <f ca="1">IFERROR(__xludf.DUMMYFUNCTION("""COMPUTED_VALUE"""),"2055-06-07T23:01:47.549339Z")</f>
        <v>2055-06-07T23:01:47.549339Z</v>
      </c>
      <c r="Q115" s="3">
        <f ca="1">IFERROR(__xludf.DUMMYFUNCTION("""COMPUTED_VALUE"""),0)</f>
        <v>0</v>
      </c>
      <c r="R115" s="3" t="str">
        <f ca="1">IFERROR(__xludf.DUMMYFUNCTION("""COMPUTED_VALUE"""),"2055-06-07T23:01:52.95316Z")</f>
        <v>2055-06-07T23:01:52.95316Z</v>
      </c>
      <c r="S115" s="3" t="str">
        <f ca="1">IFERROR(__xludf.DUMMYFUNCTION("""COMPUTED_VALUE"""),"2055-06-07T23:11:50.85644Z")</f>
        <v>2055-06-07T23:11:50.85644Z</v>
      </c>
      <c r="T115" s="3"/>
      <c r="U115" s="4">
        <f ca="1">IFERROR(__xludf.DUMMYFUNCTION("""COMPUTED_VALUE"""),56772)</f>
        <v>56772</v>
      </c>
      <c r="V115" s="3">
        <f ca="1">IFERROR(__xludf.DUMMYFUNCTION("""COMPUTED_VALUE"""),4.7)</f>
        <v>4.7</v>
      </c>
      <c r="W115" s="3">
        <f ca="1">IFERROR(__xludf.DUMMYFUNCTION("""COMPUTED_VALUE"""),5000)</f>
        <v>5000</v>
      </c>
      <c r="X115" s="3">
        <f ca="1">IFERROR(__xludf.DUMMYFUNCTION("""COMPUTED_VALUE"""),2587)</f>
        <v>2587</v>
      </c>
      <c r="Y115" s="3">
        <f ca="1">IFERROR(__xludf.DUMMYFUNCTION("""COMPUTED_VALUE"""),598)</f>
        <v>598</v>
      </c>
      <c r="Z115" s="3">
        <f ca="1">IFERROR(__xludf.DUMMYFUNCTION("""COMPUTED_VALUE"""),922)</f>
        <v>922</v>
      </c>
      <c r="AA115" s="3">
        <f ca="1">IFERROR(__xludf.DUMMYFUNCTION("""COMPUTED_VALUE"""),1067)</f>
        <v>1067</v>
      </c>
      <c r="AB115" s="3">
        <f ca="1">IFERROR(__xludf.DUMMYFUNCTION("""COMPUTED_VALUE"""),0)</f>
        <v>0</v>
      </c>
      <c r="AC115" s="3">
        <f ca="1">IFERROR(__xludf.DUMMYFUNCTION("""COMPUTED_VALUE"""),5)</f>
        <v>5</v>
      </c>
      <c r="AD115" s="3"/>
      <c r="AE115" s="3" t="str">
        <f ca="1">IFERROR(__xludf.DUMMYFUNCTION("""COMPUTED_VALUE"""),"2055-06-07T19:27:12.996879Z")</f>
        <v>2055-06-07T19:27:12.996879Z</v>
      </c>
      <c r="AF115" s="3" t="str">
        <f ca="1">IFERROR(__xludf.DUMMYFUNCTION("""COMPUTED_VALUE"""),"2055-06-07T19:44:59.387326Z")</f>
        <v>2055-06-07T19:44:59.387326Z</v>
      </c>
      <c r="AG115" s="3" t="str">
        <f ca="1">IFERROR(__xludf.DUMMYFUNCTION("""COMPUTED_VALUE"""),"2055-06-07T19:01:47.549339Z")</f>
        <v>2055-06-07T19:01:47.549339Z</v>
      </c>
      <c r="AH115" s="3" t="str">
        <f ca="1">IFERROR(__xludf.DUMMYFUNCTION("""COMPUTED_VALUE"""),"2055-06-07T19:11:50.85644Z")</f>
        <v>2055-06-07T19:11:50.85644Z</v>
      </c>
      <c r="AI115" s="3">
        <f ca="1">IFERROR(__xludf.DUMMYFUNCTION("""COMPUTED_VALUE"""),4.49)</f>
        <v>4.49</v>
      </c>
      <c r="AJ115" s="3">
        <f ca="1">IFERROR(__xludf.DUMMYFUNCTION("""COMPUTED_VALUE"""),2315)</f>
        <v>2315</v>
      </c>
      <c r="AK115" s="3">
        <f ca="1">IFERROR(__xludf.DUMMYFUNCTION("""COMPUTED_VALUE"""),7039)</f>
        <v>7039</v>
      </c>
      <c r="AL115" s="3">
        <f ca="1">IFERROR(__xludf.DUMMYFUNCTION("""COMPUTED_VALUE"""),763)</f>
        <v>763</v>
      </c>
    </row>
    <row r="116" spans="1:38" ht="13">
      <c r="A116" s="3">
        <f ca="1">IFERROR(__xludf.DUMMYFUNCTION("""COMPUTED_VALUE"""),802)</f>
        <v>802</v>
      </c>
      <c r="B116" s="3">
        <f ca="1">IFERROR(__xludf.DUMMYFUNCTION("""COMPUTED_VALUE"""),5)</f>
        <v>5</v>
      </c>
      <c r="C116" s="3">
        <f ca="1">IFERROR(__xludf.DUMMYFUNCTION("""COMPUTED_VALUE"""),4050)</f>
        <v>4050</v>
      </c>
      <c r="D116" s="3" t="str">
        <f ca="1">IFERROR(__xludf.DUMMYFUNCTION("""COMPUTED_VALUE"""),"Doorlanta")</f>
        <v>Doorlanta</v>
      </c>
      <c r="E116" s="3" t="str">
        <f ca="1">IFERROR(__xludf.DUMMYFUNCTION("""COMPUTED_VALUE"""),"Galaxy A")</f>
        <v>Galaxy A</v>
      </c>
      <c r="F116" s="3" t="str">
        <f ca="1">IFERROR(__xludf.DUMMYFUNCTION("""COMPUTED_VALUE"""),"Katelynn")</f>
        <v>Katelynn</v>
      </c>
      <c r="G116" s="3">
        <f ca="1">IFERROR(__xludf.DUMMYFUNCTION("""COMPUTED_VALUE"""),0)</f>
        <v>0</v>
      </c>
      <c r="H116" s="3" t="str">
        <f ca="1">IFERROR(__xludf.DUMMYFUNCTION("""COMPUTED_VALUE"""),"car")</f>
        <v>car</v>
      </c>
      <c r="I116" s="3" t="str">
        <f ca="1">IFERROR(__xludf.DUMMYFUNCTION("""COMPUTED_VALUE"""),"2055-06-06T23:59:40.103801Z")</f>
        <v>2055-06-06T23:59:40.103801Z</v>
      </c>
      <c r="J116" s="3" t="str">
        <f ca="1">IFERROR(__xludf.DUMMYFUNCTION("""COMPUTED_VALUE"""),"2055-06-07T01:04:48.184Z")</f>
        <v>2055-06-07T01:04:48.184Z</v>
      </c>
      <c r="K116" s="3" t="str">
        <f ca="1">IFERROR(__xludf.DUMMYFUNCTION("""COMPUTED_VALUE"""),"2055-06-07T00:44:41.184Z")</f>
        <v>2055-06-07T00:44:41.184Z</v>
      </c>
      <c r="L116" s="3">
        <f ca="1">IFERROR(__xludf.DUMMYFUNCTION("""COMPUTED_VALUE"""),1)</f>
        <v>1</v>
      </c>
      <c r="M116" s="3">
        <f ca="1">IFERROR(__xludf.DUMMYFUNCTION("""COMPUTED_VALUE"""),0)</f>
        <v>0</v>
      </c>
      <c r="N116" s="3" t="str">
        <f ca="1">IFERROR(__xludf.DUMMYFUNCTION("""COMPUTED_VALUE"""),"2055-06-07T00:29:45.861828Z")</f>
        <v>2055-06-07T00:29:45.861828Z</v>
      </c>
      <c r="O116" s="3" t="str">
        <f ca="1">IFERROR(__xludf.DUMMYFUNCTION("""COMPUTED_VALUE"""),"2055-06-07T00:44:04.795501Z")</f>
        <v>2055-06-07T00:44:04.795501Z</v>
      </c>
      <c r="P116" s="3" t="str">
        <f ca="1">IFERROR(__xludf.DUMMYFUNCTION("""COMPUTED_VALUE"""),"2055-06-07T00:05:07.295934Z")</f>
        <v>2055-06-07T00:05:07.295934Z</v>
      </c>
      <c r="Q116" s="3">
        <f ca="1">IFERROR(__xludf.DUMMYFUNCTION("""COMPUTED_VALUE"""),0)</f>
        <v>0</v>
      </c>
      <c r="R116" s="3" t="str">
        <f ca="1">IFERROR(__xludf.DUMMYFUNCTION("""COMPUTED_VALUE"""),"2055-06-07T00:05:25.49283Z")</f>
        <v>2055-06-07T00:05:25.49283Z</v>
      </c>
      <c r="S116" s="3" t="str">
        <f ca="1">IFERROR(__xludf.DUMMYFUNCTION("""COMPUTED_VALUE"""),"2055-06-07T00:18:32.725815Z")</f>
        <v>2055-06-07T00:18:32.725815Z</v>
      </c>
      <c r="T116" s="3"/>
      <c r="U116" s="4">
        <f ca="1">IFERROR(__xludf.DUMMYFUNCTION("""COMPUTED_VALUE"""),56771)</f>
        <v>56771</v>
      </c>
      <c r="V116" s="3">
        <f ca="1">IFERROR(__xludf.DUMMYFUNCTION("""COMPUTED_VALUE"""),2.84311728)</f>
        <v>2.84311728</v>
      </c>
      <c r="W116" s="3">
        <f ca="1">IFERROR(__xludf.DUMMYFUNCTION("""COMPUTED_VALUE"""),5000)</f>
        <v>5000</v>
      </c>
      <c r="X116" s="3">
        <f ca="1">IFERROR(__xludf.DUMMYFUNCTION("""COMPUTED_VALUE"""),2319)</f>
        <v>2319</v>
      </c>
      <c r="Y116" s="3">
        <f ca="1">IFERROR(__xludf.DUMMYFUNCTION("""COMPUTED_VALUE"""),787)</f>
        <v>787</v>
      </c>
      <c r="Z116" s="3">
        <f ca="1">IFERROR(__xludf.DUMMYFUNCTION("""COMPUTED_VALUE"""),673)</f>
        <v>673</v>
      </c>
      <c r="AA116" s="3">
        <f ca="1">IFERROR(__xludf.DUMMYFUNCTION("""COMPUTED_VALUE"""),859)</f>
        <v>859</v>
      </c>
      <c r="AB116" s="3">
        <f ca="1">IFERROR(__xludf.DUMMYFUNCTION("""COMPUTED_VALUE"""),0)</f>
        <v>0</v>
      </c>
      <c r="AC116" s="3">
        <f ca="1">IFERROR(__xludf.DUMMYFUNCTION("""COMPUTED_VALUE"""),8)</f>
        <v>8</v>
      </c>
      <c r="AD116" s="3" t="str">
        <f ca="1">IFERROR(__xludf.DUMMYFUNCTION("""COMPUTED_VALUE"""),"on time")</f>
        <v>on time</v>
      </c>
      <c r="AE116" s="3" t="str">
        <f ca="1">IFERROR(__xludf.DUMMYFUNCTION("""COMPUTED_VALUE"""),"2055-06-06T20:29:45.861828Z")</f>
        <v>2055-06-06T20:29:45.861828Z</v>
      </c>
      <c r="AF116" s="3" t="str">
        <f ca="1">IFERROR(__xludf.DUMMYFUNCTION("""COMPUTED_VALUE"""),"2055-06-06T20:44:04.795501Z")</f>
        <v>2055-06-06T20:44:04.795501Z</v>
      </c>
      <c r="AG116" s="3" t="str">
        <f ca="1">IFERROR(__xludf.DUMMYFUNCTION("""COMPUTED_VALUE"""),"2055-06-06T20:05:07.295934Z")</f>
        <v>2055-06-06T20:05:07.295934Z</v>
      </c>
      <c r="AH116" s="3" t="str">
        <f ca="1">IFERROR(__xludf.DUMMYFUNCTION("""COMPUTED_VALUE"""),"2055-06-06T20:18:32.725815Z")</f>
        <v>2055-06-06T20:18:32.725815Z</v>
      </c>
      <c r="AI116" s="3">
        <f ca="1">IFERROR(__xludf.DUMMYFUNCTION("""COMPUTED_VALUE"""),4.7)</f>
        <v>4.7</v>
      </c>
      <c r="AJ116" s="3">
        <f ca="1">IFERROR(__xludf.DUMMYFUNCTION("""COMPUTED_VALUE"""),1261)</f>
        <v>1261</v>
      </c>
      <c r="AK116" s="3">
        <f ca="1">IFERROR(__xludf.DUMMYFUNCTION("""COMPUTED_VALUE"""),3264)</f>
        <v>3264</v>
      </c>
      <c r="AL116" s="3">
        <f ca="1">IFERROR(__xludf.DUMMYFUNCTION("""COMPUTED_VALUE"""),232)</f>
        <v>232</v>
      </c>
    </row>
    <row r="117" spans="1:38" ht="13">
      <c r="A117" s="3">
        <f ca="1">IFERROR(__xludf.DUMMYFUNCTION("""COMPUTED_VALUE"""),786)</f>
        <v>786</v>
      </c>
      <c r="B117" s="3">
        <f ca="1">IFERROR(__xludf.DUMMYFUNCTION("""COMPUTED_VALUE"""),5)</f>
        <v>5</v>
      </c>
      <c r="C117" s="3">
        <f ca="1">IFERROR(__xludf.DUMMYFUNCTION("""COMPUTED_VALUE"""),4050)</f>
        <v>4050</v>
      </c>
      <c r="D117" s="3" t="str">
        <f ca="1">IFERROR(__xludf.DUMMYFUNCTION("""COMPUTED_VALUE"""),"Doorlanta")</f>
        <v>Doorlanta</v>
      </c>
      <c r="E117" s="3" t="str">
        <f ca="1">IFERROR(__xludf.DUMMYFUNCTION("""COMPUTED_VALUE"""),"Galaxy A")</f>
        <v>Galaxy A</v>
      </c>
      <c r="F117" s="3" t="str">
        <f ca="1">IFERROR(__xludf.DUMMYFUNCTION("""COMPUTED_VALUE"""),"Katelynn")</f>
        <v>Katelynn</v>
      </c>
      <c r="G117" s="3">
        <f ca="1">IFERROR(__xludf.DUMMYFUNCTION("""COMPUTED_VALUE"""),0)</f>
        <v>0</v>
      </c>
      <c r="H117" s="3" t="str">
        <f ca="1">IFERROR(__xludf.DUMMYFUNCTION("""COMPUTED_VALUE"""),"car")</f>
        <v>car</v>
      </c>
      <c r="I117" s="3" t="str">
        <f ca="1">IFERROR(__xludf.DUMMYFUNCTION("""COMPUTED_VALUE"""),"2055-06-06T23:10:17.57477Z")</f>
        <v>2055-06-06T23:10:17.57477Z</v>
      </c>
      <c r="J117" s="3" t="str">
        <f ca="1">IFERROR(__xludf.DUMMYFUNCTION("""COMPUTED_VALUE"""),"2055-06-07T00:11:33.659Z")</f>
        <v>2055-06-07T00:11:33.659Z</v>
      </c>
      <c r="K117" s="3" t="str">
        <f ca="1">IFERROR(__xludf.DUMMYFUNCTION("""COMPUTED_VALUE"""),"2055-06-06T23:52:40.659Z")</f>
        <v>2055-06-06T23:52:40.659Z</v>
      </c>
      <c r="L117" s="3">
        <f ca="1">IFERROR(__xludf.DUMMYFUNCTION("""COMPUTED_VALUE"""),1)</f>
        <v>1</v>
      </c>
      <c r="M117" s="3">
        <f ca="1">IFERROR(__xludf.DUMMYFUNCTION("""COMPUTED_VALUE"""),0)</f>
        <v>0</v>
      </c>
      <c r="N117" s="3" t="str">
        <f ca="1">IFERROR(__xludf.DUMMYFUNCTION("""COMPUTED_VALUE"""),"2055-06-06T23:38:59.681758Z")</f>
        <v>2055-06-06T23:38:59.681758Z</v>
      </c>
      <c r="O117" s="3" t="str">
        <f ca="1">IFERROR(__xludf.DUMMYFUNCTION("""COMPUTED_VALUE"""),"2055-06-06T23:57:19.738379Z")</f>
        <v>2055-06-06T23:57:19.738379Z</v>
      </c>
      <c r="P117" s="3" t="str">
        <f ca="1">IFERROR(__xludf.DUMMYFUNCTION("""COMPUTED_VALUE"""),"2055-06-06T23:10:27.333043Z")</f>
        <v>2055-06-06T23:10:27.333043Z</v>
      </c>
      <c r="Q117" s="3">
        <f ca="1">IFERROR(__xludf.DUMMYFUNCTION("""COMPUTED_VALUE"""),0)</f>
        <v>0</v>
      </c>
      <c r="R117" s="3" t="str">
        <f ca="1">IFERROR(__xludf.DUMMYFUNCTION("""COMPUTED_VALUE"""),"2055-06-06T23:10:31.184767Z")</f>
        <v>2055-06-06T23:10:31.184767Z</v>
      </c>
      <c r="S117" s="3" t="str">
        <f ca="1">IFERROR(__xludf.DUMMYFUNCTION("""COMPUTED_VALUE"""),"2055-06-06T23:18:32.590449Z")</f>
        <v>2055-06-06T23:18:32.590449Z</v>
      </c>
      <c r="T117" s="3"/>
      <c r="U117" s="4">
        <f ca="1">IFERROR(__xludf.DUMMYFUNCTION("""COMPUTED_VALUE"""),56771)</f>
        <v>56771</v>
      </c>
      <c r="V117" s="3">
        <f ca="1">IFERROR(__xludf.DUMMYFUNCTION("""COMPUTED_VALUE"""),4.7)</f>
        <v>4.7</v>
      </c>
      <c r="W117" s="3">
        <f ca="1">IFERROR(__xludf.DUMMYFUNCTION("""COMPUTED_VALUE"""),5000)</f>
        <v>5000</v>
      </c>
      <c r="X117" s="3">
        <f ca="1">IFERROR(__xludf.DUMMYFUNCTION("""COMPUTED_VALUE"""),2808)</f>
        <v>2808</v>
      </c>
      <c r="Y117" s="3">
        <f ca="1">IFERROR(__xludf.DUMMYFUNCTION("""COMPUTED_VALUE"""),481)</f>
        <v>481</v>
      </c>
      <c r="Z117" s="3">
        <f ca="1">IFERROR(__xludf.DUMMYFUNCTION("""COMPUTED_VALUE"""),1227)</f>
        <v>1227</v>
      </c>
      <c r="AA117" s="3">
        <f ca="1">IFERROR(__xludf.DUMMYFUNCTION("""COMPUTED_VALUE"""),1100)</f>
        <v>1100</v>
      </c>
      <c r="AB117" s="3">
        <f ca="1">IFERROR(__xludf.DUMMYFUNCTION("""COMPUTED_VALUE"""),0)</f>
        <v>0</v>
      </c>
      <c r="AC117" s="3">
        <f ca="1">IFERROR(__xludf.DUMMYFUNCTION("""COMPUTED_VALUE"""),4)</f>
        <v>4</v>
      </c>
      <c r="AD117" s="3" t="str">
        <f ca="1">IFERROR(__xludf.DUMMYFUNCTION("""COMPUTED_VALUE"""),"early")</f>
        <v>early</v>
      </c>
      <c r="AE117" s="3" t="str">
        <f ca="1">IFERROR(__xludf.DUMMYFUNCTION("""COMPUTED_VALUE"""),"2055-06-06T19:38:59.681758Z")</f>
        <v>2055-06-06T19:38:59.681758Z</v>
      </c>
      <c r="AF117" s="3" t="str">
        <f ca="1">IFERROR(__xludf.DUMMYFUNCTION("""COMPUTED_VALUE"""),"2055-06-06T19:57:19.738379Z")</f>
        <v>2055-06-06T19:57:19.738379Z</v>
      </c>
      <c r="AG117" s="3" t="str">
        <f ca="1">IFERROR(__xludf.DUMMYFUNCTION("""COMPUTED_VALUE"""),"2055-06-06T19:10:27.333043Z")</f>
        <v>2055-06-06T19:10:27.333043Z</v>
      </c>
      <c r="AH117" s="3" t="str">
        <f ca="1">IFERROR(__xludf.DUMMYFUNCTION("""COMPUTED_VALUE"""),"2055-06-06T19:18:32.590449Z")</f>
        <v>2055-06-06T19:18:32.590449Z</v>
      </c>
      <c r="AI117" s="3">
        <f ca="1">IFERROR(__xludf.DUMMYFUNCTION("""COMPUTED_VALUE"""),4.7)</f>
        <v>4.7</v>
      </c>
      <c r="AJ117" s="3">
        <f ca="1">IFERROR(__xludf.DUMMYFUNCTION("""COMPUTED_VALUE"""),1261)</f>
        <v>1261</v>
      </c>
      <c r="AK117" s="3">
        <f ca="1">IFERROR(__xludf.DUMMYFUNCTION("""COMPUTED_VALUE"""),3264)</f>
        <v>3264</v>
      </c>
      <c r="AL117" s="3">
        <f ca="1">IFERROR(__xludf.DUMMYFUNCTION("""COMPUTED_VALUE"""),232)</f>
        <v>232</v>
      </c>
    </row>
    <row r="118" spans="1:38" ht="13">
      <c r="A118" s="3">
        <f ca="1">IFERROR(__xludf.DUMMYFUNCTION("""COMPUTED_VALUE"""),395)</f>
        <v>395</v>
      </c>
      <c r="B118" s="3">
        <f ca="1">IFERROR(__xludf.DUMMYFUNCTION("""COMPUTED_VALUE"""),5)</f>
        <v>5</v>
      </c>
      <c r="C118" s="3">
        <f ca="1">IFERROR(__xludf.DUMMYFUNCTION("""COMPUTED_VALUE"""),4050)</f>
        <v>4050</v>
      </c>
      <c r="D118" s="3" t="str">
        <f ca="1">IFERROR(__xludf.DUMMYFUNCTION("""COMPUTED_VALUE"""),"Doorlanta")</f>
        <v>Doorlanta</v>
      </c>
      <c r="E118" s="3" t="str">
        <f ca="1">IFERROR(__xludf.DUMMYFUNCTION("""COMPUTED_VALUE"""),"Galaxy A")</f>
        <v>Galaxy A</v>
      </c>
      <c r="F118" s="3" t="str">
        <f ca="1">IFERROR(__xludf.DUMMYFUNCTION("""COMPUTED_VALUE"""),"Matthew")</f>
        <v>Matthew</v>
      </c>
      <c r="G118" s="3">
        <f ca="1">IFERROR(__xludf.DUMMYFUNCTION("""COMPUTED_VALUE"""),0)</f>
        <v>0</v>
      </c>
      <c r="H118" s="3" t="str">
        <f ca="1">IFERROR(__xludf.DUMMYFUNCTION("""COMPUTED_VALUE"""),"car")</f>
        <v>car</v>
      </c>
      <c r="I118" s="3" t="str">
        <f ca="1">IFERROR(__xludf.DUMMYFUNCTION("""COMPUTED_VALUE"""),"2055-06-04T04:14:19.119065Z")</f>
        <v>2055-06-04T04:14:19.119065Z</v>
      </c>
      <c r="J118" s="3" t="str">
        <f ca="1">IFERROR(__xludf.DUMMYFUNCTION("""COMPUTED_VALUE"""),"2055-06-04T16:00:00Z")</f>
        <v>2055-06-04T16:00:00Z</v>
      </c>
      <c r="K118" s="3" t="str">
        <f ca="1">IFERROR(__xludf.DUMMYFUNCTION("""COMPUTED_VALUE"""),"2055-06-04T16:00:00Z")</f>
        <v>2055-06-04T16:00:00Z</v>
      </c>
      <c r="L118" s="3">
        <f ca="1">IFERROR(__xludf.DUMMYFUNCTION("""COMPUTED_VALUE"""),0)</f>
        <v>0</v>
      </c>
      <c r="M118" s="3">
        <f ca="1">IFERROR(__xludf.DUMMYFUNCTION("""COMPUTED_VALUE"""),0)</f>
        <v>0</v>
      </c>
      <c r="N118" s="3" t="str">
        <f ca="1">IFERROR(__xludf.DUMMYFUNCTION("""COMPUTED_VALUE"""),"2055-06-04T15:29:53.363701Z")</f>
        <v>2055-06-04T15:29:53.363701Z</v>
      </c>
      <c r="O118" s="3" t="str">
        <f ca="1">IFERROR(__xludf.DUMMYFUNCTION("""COMPUTED_VALUE"""),"2055-06-04T15:39:30.545189Z")</f>
        <v>2055-06-04T15:39:30.545189Z</v>
      </c>
      <c r="P118" s="3" t="str">
        <f ca="1">IFERROR(__xludf.DUMMYFUNCTION("""COMPUTED_VALUE"""),"2055-06-04T15:00:07.430829Z")</f>
        <v>2055-06-04T15:00:07.430829Z</v>
      </c>
      <c r="Q118" s="3">
        <f ca="1">IFERROR(__xludf.DUMMYFUNCTION("""COMPUTED_VALUE"""),0)</f>
        <v>0</v>
      </c>
      <c r="R118" s="3" t="str">
        <f ca="1">IFERROR(__xludf.DUMMYFUNCTION("""COMPUTED_VALUE"""),"2055-06-04T15:00:41.844795Z")</f>
        <v>2055-06-04T15:00:41.844795Z</v>
      </c>
      <c r="S118" s="3" t="str">
        <f ca="1">IFERROR(__xludf.DUMMYFUNCTION("""COMPUTED_VALUE"""),"2055-06-04T15:25:06.151403Z")</f>
        <v>2055-06-04T15:25:06.151403Z</v>
      </c>
      <c r="T118" s="3"/>
      <c r="U118" s="4">
        <f ca="1">IFERROR(__xludf.DUMMYFUNCTION("""COMPUTED_VALUE"""),56769)</f>
        <v>56769</v>
      </c>
      <c r="V118" s="3">
        <f ca="1">IFERROR(__xludf.DUMMYFUNCTION("""COMPUTED_VALUE"""),4.5)</f>
        <v>4.5</v>
      </c>
      <c r="W118" s="3">
        <f ca="1">IFERROR(__xludf.DUMMYFUNCTION("""COMPUTED_VALUE"""),5000)</f>
        <v>5000</v>
      </c>
      <c r="X118" s="3">
        <f ca="1">IFERROR(__xludf.DUMMYFUNCTION("""COMPUTED_VALUE"""),2329)</f>
        <v>2329</v>
      </c>
      <c r="Y118" s="3">
        <f ca="1">IFERROR(__xludf.DUMMYFUNCTION("""COMPUTED_VALUE"""),1465)</f>
        <v>1465</v>
      </c>
      <c r="Z118" s="3">
        <f ca="1">IFERROR(__xludf.DUMMYFUNCTION("""COMPUTED_VALUE"""),287)</f>
        <v>287</v>
      </c>
      <c r="AA118" s="3">
        <f ca="1">IFERROR(__xludf.DUMMYFUNCTION("""COMPUTED_VALUE"""),577)</f>
        <v>577</v>
      </c>
      <c r="AB118" s="3">
        <f ca="1">IFERROR(__xludf.DUMMYFUNCTION("""COMPUTED_VALUE"""),0)</f>
        <v>0</v>
      </c>
      <c r="AC118" s="3">
        <f ca="1">IFERROR(__xludf.DUMMYFUNCTION("""COMPUTED_VALUE"""),3)</f>
        <v>3</v>
      </c>
      <c r="AD118" s="3" t="str">
        <f ca="1">IFERROR(__xludf.DUMMYFUNCTION("""COMPUTED_VALUE"""),"late")</f>
        <v>late</v>
      </c>
      <c r="AE118" s="3" t="str">
        <f ca="1">IFERROR(__xludf.DUMMYFUNCTION("""COMPUTED_VALUE"""),"2055-06-04T11:29:53.363701Z")</f>
        <v>2055-06-04T11:29:53.363701Z</v>
      </c>
      <c r="AF118" s="3" t="str">
        <f ca="1">IFERROR(__xludf.DUMMYFUNCTION("""COMPUTED_VALUE"""),"2055-06-04T11:39:30.545189Z")</f>
        <v>2055-06-04T11:39:30.545189Z</v>
      </c>
      <c r="AG118" s="3" t="str">
        <f ca="1">IFERROR(__xludf.DUMMYFUNCTION("""COMPUTED_VALUE"""),"2055-06-04T11:00:07.430829Z")</f>
        <v>2055-06-04T11:00:07.430829Z</v>
      </c>
      <c r="AH118" s="3" t="str">
        <f ca="1">IFERROR(__xludf.DUMMYFUNCTION("""COMPUTED_VALUE"""),"2055-06-04T11:25:06.151403Z")</f>
        <v>2055-06-04T11:25:06.151403Z</v>
      </c>
      <c r="AI118" s="3">
        <f ca="1">IFERROR(__xludf.DUMMYFUNCTION("""COMPUTED_VALUE"""),4.411111111)</f>
        <v>4.4111111110000003</v>
      </c>
      <c r="AJ118" s="3">
        <f ca="1">IFERROR(__xludf.DUMMYFUNCTION("""COMPUTED_VALUE"""),68)</f>
        <v>68</v>
      </c>
      <c r="AK118" s="3">
        <f ca="1">IFERROR(__xludf.DUMMYFUNCTION("""COMPUTED_VALUE"""),223)</f>
        <v>223</v>
      </c>
      <c r="AL118" s="3">
        <f ca="1">IFERROR(__xludf.DUMMYFUNCTION("""COMPUTED_VALUE"""),118)</f>
        <v>118</v>
      </c>
    </row>
    <row r="119" spans="1:38" ht="13">
      <c r="A119" s="3">
        <f ca="1">IFERROR(__xludf.DUMMYFUNCTION("""COMPUTED_VALUE"""),236)</f>
        <v>236</v>
      </c>
      <c r="B119" s="3">
        <f ca="1">IFERROR(__xludf.DUMMYFUNCTION("""COMPUTED_VALUE"""),5)</f>
        <v>5</v>
      </c>
      <c r="C119" s="3">
        <f ca="1">IFERROR(__xludf.DUMMYFUNCTION("""COMPUTED_VALUE"""),4050)</f>
        <v>4050</v>
      </c>
      <c r="D119" s="3" t="str">
        <f ca="1">IFERROR(__xludf.DUMMYFUNCTION("""COMPUTED_VALUE"""),"Doorlanta")</f>
        <v>Doorlanta</v>
      </c>
      <c r="E119" s="3" t="str">
        <f ca="1">IFERROR(__xludf.DUMMYFUNCTION("""COMPUTED_VALUE"""),"Galaxy A")</f>
        <v>Galaxy A</v>
      </c>
      <c r="F119" s="3" t="str">
        <f ca="1">IFERROR(__xludf.DUMMYFUNCTION("""COMPUTED_VALUE"""),"Joe")</f>
        <v>Joe</v>
      </c>
      <c r="G119" s="3">
        <f ca="1">IFERROR(__xludf.DUMMYFUNCTION("""COMPUTED_VALUE"""),0)</f>
        <v>0</v>
      </c>
      <c r="H119" s="3" t="str">
        <f ca="1">IFERROR(__xludf.DUMMYFUNCTION("""COMPUTED_VALUE"""),"car")</f>
        <v>car</v>
      </c>
      <c r="I119" s="3" t="str">
        <f ca="1">IFERROR(__xludf.DUMMYFUNCTION("""COMPUTED_VALUE"""),"2055-06-03T00:59:16.332188Z")</f>
        <v>2055-06-03T00:59:16.332188Z</v>
      </c>
      <c r="J119" s="3" t="str">
        <f ca="1">IFERROR(__xludf.DUMMYFUNCTION("""COMPUTED_VALUE"""),"2055-06-03T01:54:16.43Z")</f>
        <v>2055-06-03T01:54:16.43Z</v>
      </c>
      <c r="K119" s="3" t="str">
        <f ca="1">IFERROR(__xludf.DUMMYFUNCTION("""COMPUTED_VALUE"""),"2055-06-03T01:30:09.43Z")</f>
        <v>2055-06-03T01:30:09.43Z</v>
      </c>
      <c r="L119" s="3">
        <f ca="1">IFERROR(__xludf.DUMMYFUNCTION("""COMPUTED_VALUE"""),1)</f>
        <v>1</v>
      </c>
      <c r="M119" s="3">
        <f ca="1">IFERROR(__xludf.DUMMYFUNCTION("""COMPUTED_VALUE"""),0)</f>
        <v>0</v>
      </c>
      <c r="N119" s="3" t="str">
        <f ca="1">IFERROR(__xludf.DUMMYFUNCTION("""COMPUTED_VALUE"""),"2055-06-03T01:35:57.067667Z")</f>
        <v>2055-06-03T01:35:57.067667Z</v>
      </c>
      <c r="O119" s="3" t="str">
        <f ca="1">IFERROR(__xludf.DUMMYFUNCTION("""COMPUTED_VALUE"""),"2055-06-03T01:51:05.949171Z")</f>
        <v>2055-06-03T01:51:05.949171Z</v>
      </c>
      <c r="P119" s="3" t="str">
        <f ca="1">IFERROR(__xludf.DUMMYFUNCTION("""COMPUTED_VALUE"""),"2055-06-03T01:00:47.39877Z")</f>
        <v>2055-06-03T01:00:47.39877Z</v>
      </c>
      <c r="Q119" s="3">
        <f ca="1">IFERROR(__xludf.DUMMYFUNCTION("""COMPUTED_VALUE"""),0)</f>
        <v>0</v>
      </c>
      <c r="R119" s="3" t="str">
        <f ca="1">IFERROR(__xludf.DUMMYFUNCTION("""COMPUTED_VALUE"""),"2055-06-03T01:01:35.261272Z")</f>
        <v>2055-06-03T01:01:35.261272Z</v>
      </c>
      <c r="S119" s="3" t="str">
        <f ca="1">IFERROR(__xludf.DUMMYFUNCTION("""COMPUTED_VALUE"""),"2055-06-03T01:34:51.912926Z")</f>
        <v>2055-06-03T01:34:51.912926Z</v>
      </c>
      <c r="T119" s="3"/>
      <c r="U119" s="4">
        <f ca="1">IFERROR(__xludf.DUMMYFUNCTION("""COMPUTED_VALUE"""),56767)</f>
        <v>56767</v>
      </c>
      <c r="V119" s="3">
        <f ca="1">IFERROR(__xludf.DUMMYFUNCTION("""COMPUTED_VALUE"""),4.7)</f>
        <v>4.7</v>
      </c>
      <c r="W119" s="3">
        <f ca="1">IFERROR(__xludf.DUMMYFUNCTION("""COMPUTED_VALUE"""),5000)</f>
        <v>5000</v>
      </c>
      <c r="X119" s="3">
        <f ca="1">IFERROR(__xludf.DUMMYFUNCTION("""COMPUTED_VALUE"""),2970)</f>
        <v>2970</v>
      </c>
      <c r="Y119" s="3">
        <f ca="1">IFERROR(__xludf.DUMMYFUNCTION("""COMPUTED_VALUE"""),1996)</f>
        <v>1996</v>
      </c>
      <c r="Z119" s="3">
        <f ca="1">IFERROR(__xludf.DUMMYFUNCTION("""COMPUTED_VALUE"""),66)</f>
        <v>66</v>
      </c>
      <c r="AA119" s="3">
        <f ca="1">IFERROR(__xludf.DUMMYFUNCTION("""COMPUTED_VALUE"""),908)</f>
        <v>908</v>
      </c>
      <c r="AB119" s="3">
        <f ca="1">IFERROR(__xludf.DUMMYFUNCTION("""COMPUTED_VALUE"""),0)</f>
        <v>0</v>
      </c>
      <c r="AC119" s="3">
        <f ca="1">IFERROR(__xludf.DUMMYFUNCTION("""COMPUTED_VALUE"""),4)</f>
        <v>4</v>
      </c>
      <c r="AD119" s="3" t="str">
        <f ca="1">IFERROR(__xludf.DUMMYFUNCTION("""COMPUTED_VALUE"""),"late")</f>
        <v>late</v>
      </c>
      <c r="AE119" s="3" t="str">
        <f ca="1">IFERROR(__xludf.DUMMYFUNCTION("""COMPUTED_VALUE"""),"2055-06-02T21:35:57.067667Z")</f>
        <v>2055-06-02T21:35:57.067667Z</v>
      </c>
      <c r="AF119" s="3" t="str">
        <f ca="1">IFERROR(__xludf.DUMMYFUNCTION("""COMPUTED_VALUE"""),"2055-06-02T21:51:05.949171Z")</f>
        <v>2055-06-02T21:51:05.949171Z</v>
      </c>
      <c r="AG119" s="3" t="str">
        <f ca="1">IFERROR(__xludf.DUMMYFUNCTION("""COMPUTED_VALUE"""),"2055-06-02T21:00:47.39877Z")</f>
        <v>2055-06-02T21:00:47.39877Z</v>
      </c>
      <c r="AH119" s="3" t="str">
        <f ca="1">IFERROR(__xludf.DUMMYFUNCTION("""COMPUTED_VALUE"""),"2055-06-02T21:34:51.912926Z")</f>
        <v>2055-06-02T21:34:51.912926Z</v>
      </c>
      <c r="AI119" s="3">
        <f ca="1">IFERROR(__xludf.DUMMYFUNCTION("""COMPUTED_VALUE"""),4.38)</f>
        <v>4.38</v>
      </c>
      <c r="AJ119" s="3">
        <f ca="1">IFERROR(__xludf.DUMMYFUNCTION("""COMPUTED_VALUE"""),196)</f>
        <v>196</v>
      </c>
      <c r="AK119" s="3">
        <f ca="1">IFERROR(__xludf.DUMMYFUNCTION("""COMPUTED_VALUE"""),626)</f>
        <v>626</v>
      </c>
      <c r="AL119" s="3"/>
    </row>
    <row r="120" spans="1:38" ht="13">
      <c r="A120" s="3">
        <f ca="1">IFERROR(__xludf.DUMMYFUNCTION("""COMPUTED_VALUE"""),1369)</f>
        <v>1369</v>
      </c>
      <c r="B120" s="3"/>
      <c r="C120" s="3">
        <f ca="1">IFERROR(__xludf.DUMMYFUNCTION("""COMPUTED_VALUE"""),4001)</f>
        <v>4001</v>
      </c>
      <c r="D120" s="3" t="str">
        <f ca="1">IFERROR(__xludf.DUMMYFUNCTION("""COMPUTED_VALUE"""),"Dashattan")</f>
        <v>Dashattan</v>
      </c>
      <c r="E120" s="3" t="str">
        <f ca="1">IFERROR(__xludf.DUMMYFUNCTION("""COMPUTED_VALUE"""),"Galaxy A")</f>
        <v>Galaxy A</v>
      </c>
      <c r="F120" s="3" t="str">
        <f ca="1">IFERROR(__xludf.DUMMYFUNCTION("""COMPUTED_VALUE"""),"Awstin")</f>
        <v>Awstin</v>
      </c>
      <c r="G120" s="3">
        <f ca="1">IFERROR(__xludf.DUMMYFUNCTION("""COMPUTED_VALUE"""),0)</f>
        <v>0</v>
      </c>
      <c r="H120" s="3" t="str">
        <f ca="1">IFERROR(__xludf.DUMMYFUNCTION("""COMPUTED_VALUE"""),"bicycle")</f>
        <v>bicycle</v>
      </c>
      <c r="I120" s="3" t="str">
        <f ca="1">IFERROR(__xludf.DUMMYFUNCTION("""COMPUTED_VALUE"""),"2055-06-12T01:32:09.41571Z")</f>
        <v>2055-06-12T01:32:09.41571Z</v>
      </c>
      <c r="J120" s="3" t="str">
        <f ca="1">IFERROR(__xludf.DUMMYFUNCTION("""COMPUTED_VALUE"""),"2055-06-12T02:31:39.477Z")</f>
        <v>2055-06-12T02:31:39.477Z</v>
      </c>
      <c r="K120" s="3" t="str">
        <f ca="1">IFERROR(__xludf.DUMMYFUNCTION("""COMPUTED_VALUE"""),"2055-06-12T02:08:21.477Z")</f>
        <v>2055-06-12T02:08:21.477Z</v>
      </c>
      <c r="L120" s="3">
        <f ca="1">IFERROR(__xludf.DUMMYFUNCTION("""COMPUTED_VALUE"""),1)</f>
        <v>1</v>
      </c>
      <c r="M120" s="3">
        <f ca="1">IFERROR(__xludf.DUMMYFUNCTION("""COMPUTED_VALUE"""),0)</f>
        <v>0</v>
      </c>
      <c r="N120" s="3" t="str">
        <f ca="1">IFERROR(__xludf.DUMMYFUNCTION("""COMPUTED_VALUE"""),"2055-06-12T01:50:07.203776Z")</f>
        <v>2055-06-12T01:50:07.203776Z</v>
      </c>
      <c r="O120" s="3" t="str">
        <f ca="1">IFERROR(__xludf.DUMMYFUNCTION("""COMPUTED_VALUE"""),"2055-06-12T01:54:03.299579Z")</f>
        <v>2055-06-12T01:54:03.299579Z</v>
      </c>
      <c r="P120" s="3" t="str">
        <f ca="1">IFERROR(__xludf.DUMMYFUNCTION("""COMPUTED_VALUE"""),"2055-06-12T01:38:14.359511Z")</f>
        <v>2055-06-12T01:38:14.359511Z</v>
      </c>
      <c r="Q120" s="3">
        <f ca="1">IFERROR(__xludf.DUMMYFUNCTION("""COMPUTED_VALUE"""),0)</f>
        <v>0</v>
      </c>
      <c r="R120" s="3" t="str">
        <f ca="1">IFERROR(__xludf.DUMMYFUNCTION("""COMPUTED_VALUE"""),"2055-06-12T01:38:24.336727Z")</f>
        <v>2055-06-12T01:38:24.336727Z</v>
      </c>
      <c r="S120" s="3" t="str">
        <f ca="1">IFERROR(__xludf.DUMMYFUNCTION("""COMPUTED_VALUE"""),"2055-06-12T01:48:15.971687Z")</f>
        <v>2055-06-12T01:48:15.971687Z</v>
      </c>
      <c r="T120" s="3"/>
      <c r="U120" s="4">
        <f ca="1">IFERROR(__xludf.DUMMYFUNCTION("""COMPUTED_VALUE"""),56776)</f>
        <v>56776</v>
      </c>
      <c r="V120" s="3">
        <f ca="1">IFERROR(__xludf.DUMMYFUNCTION("""COMPUTED_VALUE"""),4.5)</f>
        <v>4.5</v>
      </c>
      <c r="W120" s="3">
        <f ca="1">IFERROR(__xludf.DUMMYFUNCTION("""COMPUTED_VALUE"""),5000)</f>
        <v>5000</v>
      </c>
      <c r="X120" s="3">
        <f ca="1">IFERROR(__xludf.DUMMYFUNCTION("""COMPUTED_VALUE"""),939)</f>
        <v>939</v>
      </c>
      <c r="Y120" s="3">
        <f ca="1">IFERROR(__xludf.DUMMYFUNCTION("""COMPUTED_VALUE"""),591)</f>
        <v>591</v>
      </c>
      <c r="Z120" s="3">
        <f ca="1">IFERROR(__xludf.DUMMYFUNCTION("""COMPUTED_VALUE"""),112)</f>
        <v>112</v>
      </c>
      <c r="AA120" s="3">
        <f ca="1">IFERROR(__xludf.DUMMYFUNCTION("""COMPUTED_VALUE"""),236)</f>
        <v>236</v>
      </c>
      <c r="AB120" s="3">
        <f ca="1">IFERROR(__xludf.DUMMYFUNCTION("""COMPUTED_VALUE"""),0)</f>
        <v>0</v>
      </c>
      <c r="AC120" s="3">
        <f ca="1">IFERROR(__xludf.DUMMYFUNCTION("""COMPUTED_VALUE"""),4)</f>
        <v>4</v>
      </c>
      <c r="AD120" s="3" t="str">
        <f ca="1">IFERROR(__xludf.DUMMYFUNCTION("""COMPUTED_VALUE"""),"on time")</f>
        <v>on time</v>
      </c>
      <c r="AE120" s="3" t="str">
        <f ca="1">IFERROR(__xludf.DUMMYFUNCTION("""COMPUTED_VALUE"""),"2055-06-11T21:50:07.203776Z")</f>
        <v>2055-06-11T21:50:07.203776Z</v>
      </c>
      <c r="AF120" s="3" t="str">
        <f ca="1">IFERROR(__xludf.DUMMYFUNCTION("""COMPUTED_VALUE"""),"2055-06-11T21:54:03.299579Z")</f>
        <v>2055-06-11T21:54:03.299579Z</v>
      </c>
      <c r="AG120" s="3" t="str">
        <f ca="1">IFERROR(__xludf.DUMMYFUNCTION("""COMPUTED_VALUE"""),"2055-06-11T21:38:14.359511Z")</f>
        <v>2055-06-11T21:38:14.359511Z</v>
      </c>
      <c r="AH120" s="3" t="str">
        <f ca="1">IFERROR(__xludf.DUMMYFUNCTION("""COMPUTED_VALUE"""),"2055-06-11T21:48:15.971687Z")</f>
        <v>2055-06-11T21:48:15.971687Z</v>
      </c>
      <c r="AI120" s="3">
        <f ca="1">IFERROR(__xludf.DUMMYFUNCTION("""COMPUTED_VALUE"""),4.5)</f>
        <v>4.5</v>
      </c>
      <c r="AJ120" s="3">
        <f ca="1">IFERROR(__xludf.DUMMYFUNCTION("""COMPUTED_VALUE"""),394)</f>
        <v>394</v>
      </c>
      <c r="AK120" s="3">
        <f ca="1">IFERROR(__xludf.DUMMYFUNCTION("""COMPUTED_VALUE"""),1403)</f>
        <v>1403</v>
      </c>
      <c r="AL120" s="3"/>
    </row>
    <row r="121" spans="1:38" ht="13">
      <c r="A121" s="3">
        <f ca="1">IFERROR(__xludf.DUMMYFUNCTION("""COMPUTED_VALUE"""),986)</f>
        <v>986</v>
      </c>
      <c r="B121" s="3"/>
      <c r="C121" s="3">
        <f ca="1">IFERROR(__xludf.DUMMYFUNCTION("""COMPUTED_VALUE"""),4001)</f>
        <v>4001</v>
      </c>
      <c r="D121" s="3" t="str">
        <f ca="1">IFERROR(__xludf.DUMMYFUNCTION("""COMPUTED_VALUE"""),"Dashattan")</f>
        <v>Dashattan</v>
      </c>
      <c r="E121" s="3" t="str">
        <f ca="1">IFERROR(__xludf.DUMMYFUNCTION("""COMPUTED_VALUE"""),"Galaxy A")</f>
        <v>Galaxy A</v>
      </c>
      <c r="F121" s="3" t="str">
        <f ca="1">IFERROR(__xludf.DUMMYFUNCTION("""COMPUTED_VALUE"""),"J")</f>
        <v>J</v>
      </c>
      <c r="G121" s="3">
        <f ca="1">IFERROR(__xludf.DUMMYFUNCTION("""COMPUTED_VALUE"""),0)</f>
        <v>0</v>
      </c>
      <c r="H121" s="3" t="str">
        <f ca="1">IFERROR(__xludf.DUMMYFUNCTION("""COMPUTED_VALUE"""),"bicycle")</f>
        <v>bicycle</v>
      </c>
      <c r="I121" s="3" t="str">
        <f ca="1">IFERROR(__xludf.DUMMYFUNCTION("""COMPUTED_VALUE"""),"2055-06-08T23:17:56.381692Z")</f>
        <v>2055-06-08T23:17:56.381692Z</v>
      </c>
      <c r="J121" s="3" t="str">
        <f ca="1">IFERROR(__xludf.DUMMYFUNCTION("""COMPUTED_VALUE"""),"2055-06-09T00:03:10.466Z")</f>
        <v>2055-06-09T00:03:10.466Z</v>
      </c>
      <c r="K121" s="3" t="str">
        <f ca="1">IFERROR(__xludf.DUMMYFUNCTION("""COMPUTED_VALUE"""),"2055-06-08T23:58:03.466Z")</f>
        <v>2055-06-08T23:58:03.466Z</v>
      </c>
      <c r="L121" s="3">
        <f ca="1">IFERROR(__xludf.DUMMYFUNCTION("""COMPUTED_VALUE"""),1)</f>
        <v>1</v>
      </c>
      <c r="M121" s="3">
        <f ca="1">IFERROR(__xludf.DUMMYFUNCTION("""COMPUTED_VALUE"""),0)</f>
        <v>0</v>
      </c>
      <c r="N121" s="3" t="str">
        <f ca="1">IFERROR(__xludf.DUMMYFUNCTION("""COMPUTED_VALUE"""),"2055-06-08T23:59:56.999794Z")</f>
        <v>2055-06-08T23:59:56.999794Z</v>
      </c>
      <c r="O121" s="3" t="str">
        <f ca="1">IFERROR(__xludf.DUMMYFUNCTION("""COMPUTED_VALUE"""),"2055-06-09T00:16:57.327592Z")</f>
        <v>2055-06-09T00:16:57.327592Z</v>
      </c>
      <c r="P121" s="3" t="str">
        <f ca="1">IFERROR(__xludf.DUMMYFUNCTION("""COMPUTED_VALUE"""),"2055-06-08T23:34:14.457198Z")</f>
        <v>2055-06-08T23:34:14.457198Z</v>
      </c>
      <c r="Q121" s="3">
        <f ca="1">IFERROR(__xludf.DUMMYFUNCTION("""COMPUTED_VALUE"""),0)</f>
        <v>0</v>
      </c>
      <c r="R121" s="3" t="str">
        <f ca="1">IFERROR(__xludf.DUMMYFUNCTION("""COMPUTED_VALUE"""),"2055-06-08T23:34:34.769418Z")</f>
        <v>2055-06-08T23:34:34.769418Z</v>
      </c>
      <c r="S121" s="3" t="str">
        <f ca="1">IFERROR(__xludf.DUMMYFUNCTION("""COMPUTED_VALUE"""),"2055-06-08T23:50:31.221136Z")</f>
        <v>2055-06-08T23:50:31.221136Z</v>
      </c>
      <c r="T121" s="3"/>
      <c r="U121" s="4">
        <f ca="1">IFERROR(__xludf.DUMMYFUNCTION("""COMPUTED_VALUE"""),56773)</f>
        <v>56773</v>
      </c>
      <c r="V121" s="3">
        <f ca="1">IFERROR(__xludf.DUMMYFUNCTION("""COMPUTED_VALUE"""),4.190212638)</f>
        <v>4.1902126380000002</v>
      </c>
      <c r="W121" s="3">
        <f ca="1">IFERROR(__xludf.DUMMYFUNCTION("""COMPUTED_VALUE"""),5000)</f>
        <v>5000</v>
      </c>
      <c r="X121" s="3">
        <f ca="1">IFERROR(__xludf.DUMMYFUNCTION("""COMPUTED_VALUE"""),2543)</f>
        <v>2543</v>
      </c>
      <c r="Y121" s="3">
        <f ca="1">IFERROR(__xludf.DUMMYFUNCTION("""COMPUTED_VALUE"""),957)</f>
        <v>957</v>
      </c>
      <c r="Z121" s="3">
        <f ca="1">IFERROR(__xludf.DUMMYFUNCTION("""COMPUTED_VALUE"""),565)</f>
        <v>565</v>
      </c>
      <c r="AA121" s="3">
        <f ca="1">IFERROR(__xludf.DUMMYFUNCTION("""COMPUTED_VALUE"""),1021)</f>
        <v>1021</v>
      </c>
      <c r="AB121" s="3">
        <f ca="1">IFERROR(__xludf.DUMMYFUNCTION("""COMPUTED_VALUE"""),0)</f>
        <v>0</v>
      </c>
      <c r="AC121" s="3">
        <f ca="1">IFERROR(__xludf.DUMMYFUNCTION("""COMPUTED_VALUE"""),4)</f>
        <v>4</v>
      </c>
      <c r="AD121" s="3" t="str">
        <f ca="1">IFERROR(__xludf.DUMMYFUNCTION("""COMPUTED_VALUE"""),"late")</f>
        <v>late</v>
      </c>
      <c r="AE121" s="3" t="str">
        <f ca="1">IFERROR(__xludf.DUMMYFUNCTION("""COMPUTED_VALUE"""),"2055-06-08T19:59:56.999794Z")</f>
        <v>2055-06-08T19:59:56.999794Z</v>
      </c>
      <c r="AF121" s="3" t="str">
        <f ca="1">IFERROR(__xludf.DUMMYFUNCTION("""COMPUTED_VALUE"""),"2055-06-08T20:16:57.327592Z")</f>
        <v>2055-06-08T20:16:57.327592Z</v>
      </c>
      <c r="AG121" s="3" t="str">
        <f ca="1">IFERROR(__xludf.DUMMYFUNCTION("""COMPUTED_VALUE"""),"2055-06-08T19:34:14.457198Z")</f>
        <v>2055-06-08T19:34:14.457198Z</v>
      </c>
      <c r="AH121" s="3" t="str">
        <f ca="1">IFERROR(__xludf.DUMMYFUNCTION("""COMPUTED_VALUE"""),"2055-06-08T19:50:31.221136Z")</f>
        <v>2055-06-08T19:50:31.221136Z</v>
      </c>
      <c r="AI121" s="3">
        <f ca="1">IFERROR(__xludf.DUMMYFUNCTION("""COMPUTED_VALUE"""),4.6)</f>
        <v>4.5999999999999996</v>
      </c>
      <c r="AJ121" s="3">
        <f ca="1">IFERROR(__xludf.DUMMYFUNCTION("""COMPUTED_VALUE"""),292)</f>
        <v>292</v>
      </c>
      <c r="AK121" s="3">
        <f ca="1">IFERROR(__xludf.DUMMYFUNCTION("""COMPUTED_VALUE"""),1027)</f>
        <v>1027</v>
      </c>
      <c r="AL121" s="3">
        <f ca="1">IFERROR(__xludf.DUMMYFUNCTION("""COMPUTED_VALUE"""),26)</f>
        <v>26</v>
      </c>
    </row>
    <row r="122" spans="1:38" ht="13">
      <c r="A122" s="3">
        <f ca="1">IFERROR(__xludf.DUMMYFUNCTION("""COMPUTED_VALUE"""),478)</f>
        <v>478</v>
      </c>
      <c r="B122" s="3">
        <f ca="1">IFERROR(__xludf.DUMMYFUNCTION("""COMPUTED_VALUE"""),5)</f>
        <v>5</v>
      </c>
      <c r="C122" s="3">
        <f ca="1">IFERROR(__xludf.DUMMYFUNCTION("""COMPUTED_VALUE"""),4050)</f>
        <v>4050</v>
      </c>
      <c r="D122" s="3" t="str">
        <f ca="1">IFERROR(__xludf.DUMMYFUNCTION("""COMPUTED_VALUE"""),"Doorlanta")</f>
        <v>Doorlanta</v>
      </c>
      <c r="E122" s="3" t="str">
        <f ca="1">IFERROR(__xludf.DUMMYFUNCTION("""COMPUTED_VALUE"""),"Galaxy A")</f>
        <v>Galaxy A</v>
      </c>
      <c r="F122" s="3" t="str">
        <f ca="1">IFERROR(__xludf.DUMMYFUNCTION("""COMPUTED_VALUE"""),"Cate")</f>
        <v>Cate</v>
      </c>
      <c r="G122" s="3">
        <f ca="1">IFERROR(__xludf.DUMMYFUNCTION("""COMPUTED_VALUE"""),0)</f>
        <v>0</v>
      </c>
      <c r="H122" s="3" t="str">
        <f ca="1">IFERROR(__xludf.DUMMYFUNCTION("""COMPUTED_VALUE"""),"car")</f>
        <v>car</v>
      </c>
      <c r="I122" s="3" t="str">
        <f ca="1">IFERROR(__xludf.DUMMYFUNCTION("""COMPUTED_VALUE"""),"2055-06-04T22:53:29.225936Z")</f>
        <v>2055-06-04T22:53:29.225936Z</v>
      </c>
      <c r="J122" s="3" t="str">
        <f ca="1">IFERROR(__xludf.DUMMYFUNCTION("""COMPUTED_VALUE"""),"2055-06-04T23:45:24.291Z")</f>
        <v>2055-06-04T23:45:24.291Z</v>
      </c>
      <c r="K122" s="3" t="str">
        <f ca="1">IFERROR(__xludf.DUMMYFUNCTION("""COMPUTED_VALUE"""),"2055-06-04T23:35:17.291Z")</f>
        <v>2055-06-04T23:35:17.291Z</v>
      </c>
      <c r="L122" s="3">
        <f ca="1">IFERROR(__xludf.DUMMYFUNCTION("""COMPUTED_VALUE"""),1)</f>
        <v>1</v>
      </c>
      <c r="M122" s="3">
        <f ca="1">IFERROR(__xludf.DUMMYFUNCTION("""COMPUTED_VALUE"""),0)</f>
        <v>0</v>
      </c>
      <c r="N122" s="3" t="str">
        <f ca="1">IFERROR(__xludf.DUMMYFUNCTION("""COMPUTED_VALUE"""),"2055-06-04T23:22:14.224408Z")</f>
        <v>2055-06-04T23:22:14.224408Z</v>
      </c>
      <c r="O122" s="3" t="str">
        <f ca="1">IFERROR(__xludf.DUMMYFUNCTION("""COMPUTED_VALUE"""),"2055-06-04T23:38:15.879127Z")</f>
        <v>2055-06-04T23:38:15.879127Z</v>
      </c>
      <c r="P122" s="3" t="str">
        <f ca="1">IFERROR(__xludf.DUMMYFUNCTION("""COMPUTED_VALUE"""),"2055-06-04T22:53:47.380088Z")</f>
        <v>2055-06-04T22:53:47.380088Z</v>
      </c>
      <c r="Q122" s="3">
        <f ca="1">IFERROR(__xludf.DUMMYFUNCTION("""COMPUTED_VALUE"""),0)</f>
        <v>0</v>
      </c>
      <c r="R122" s="3" t="str">
        <f ca="1">IFERROR(__xludf.DUMMYFUNCTION("""COMPUTED_VALUE"""),"2055-06-04T22:53:56.138205Z")</f>
        <v>2055-06-04T22:53:56.138205Z</v>
      </c>
      <c r="S122" s="3"/>
      <c r="T122" s="3"/>
      <c r="U122" s="4">
        <f ca="1">IFERROR(__xludf.DUMMYFUNCTION("""COMPUTED_VALUE"""),56769)</f>
        <v>56769</v>
      </c>
      <c r="V122" s="3">
        <f ca="1">IFERROR(__xludf.DUMMYFUNCTION("""COMPUTED_VALUE"""),4.4)</f>
        <v>4.4000000000000004</v>
      </c>
      <c r="W122" s="3">
        <f ca="1">IFERROR(__xludf.DUMMYFUNCTION("""COMPUTED_VALUE"""),5000)</f>
        <v>5000</v>
      </c>
      <c r="X122" s="3">
        <f ca="1">IFERROR(__xludf.DUMMYFUNCTION("""COMPUTED_VALUE"""),2659)</f>
        <v>2659</v>
      </c>
      <c r="Y122" s="3"/>
      <c r="Z122" s="3"/>
      <c r="AA122" s="3">
        <f ca="1">IFERROR(__xludf.DUMMYFUNCTION("""COMPUTED_VALUE"""),961)</f>
        <v>961</v>
      </c>
      <c r="AB122" s="3">
        <f ca="1">IFERROR(__xludf.DUMMYFUNCTION("""COMPUTED_VALUE"""),1)</f>
        <v>1</v>
      </c>
      <c r="AC122" s="3">
        <f ca="1">IFERROR(__xludf.DUMMYFUNCTION("""COMPUTED_VALUE"""),3)</f>
        <v>3</v>
      </c>
      <c r="AD122" s="3"/>
      <c r="AE122" s="3" t="str">
        <f ca="1">IFERROR(__xludf.DUMMYFUNCTION("""COMPUTED_VALUE"""),"2055-06-04T19:22:14.224408Z")</f>
        <v>2055-06-04T19:22:14.224408Z</v>
      </c>
      <c r="AF122" s="3" t="str">
        <f ca="1">IFERROR(__xludf.DUMMYFUNCTION("""COMPUTED_VALUE"""),"2055-06-04T19:38:15.879127Z")</f>
        <v>2055-06-04T19:38:15.879127Z</v>
      </c>
      <c r="AG122" s="3" t="str">
        <f ca="1">IFERROR(__xludf.DUMMYFUNCTION("""COMPUTED_VALUE"""),"2055-06-04T18:53:47.380088Z")</f>
        <v>2055-06-04T18:53:47.380088Z</v>
      </c>
      <c r="AH122" s="3"/>
      <c r="AI122" s="3">
        <f ca="1">IFERROR(__xludf.DUMMYFUNCTION("""COMPUTED_VALUE"""),4.49)</f>
        <v>4.49</v>
      </c>
      <c r="AJ122" s="3">
        <f ca="1">IFERROR(__xludf.DUMMYFUNCTION("""COMPUTED_VALUE"""),2315)</f>
        <v>2315</v>
      </c>
      <c r="AK122" s="3">
        <f ca="1">IFERROR(__xludf.DUMMYFUNCTION("""COMPUTED_VALUE"""),7039)</f>
        <v>7039</v>
      </c>
      <c r="AL122" s="3">
        <f ca="1">IFERROR(__xludf.DUMMYFUNCTION("""COMPUTED_VALUE"""),763)</f>
        <v>763</v>
      </c>
    </row>
    <row r="123" spans="1:38" ht="13">
      <c r="A123" s="3">
        <f ca="1">IFERROR(__xludf.DUMMYFUNCTION("""COMPUTED_VALUE"""),60)</f>
        <v>60</v>
      </c>
      <c r="B123" s="3">
        <f ca="1">IFERROR(__xludf.DUMMYFUNCTION("""COMPUTED_VALUE"""),5)</f>
        <v>5</v>
      </c>
      <c r="C123" s="3">
        <f ca="1">IFERROR(__xludf.DUMMYFUNCTION("""COMPUTED_VALUE"""),4001)</f>
        <v>4001</v>
      </c>
      <c r="D123" s="3" t="str">
        <f ca="1">IFERROR(__xludf.DUMMYFUNCTION("""COMPUTED_VALUE"""),"Dashattan")</f>
        <v>Dashattan</v>
      </c>
      <c r="E123" s="3" t="str">
        <f ca="1">IFERROR(__xludf.DUMMYFUNCTION("""COMPUTED_VALUE"""),"Galaxy A")</f>
        <v>Galaxy A</v>
      </c>
      <c r="F123" s="3" t="str">
        <f ca="1">IFERROR(__xludf.DUMMYFUNCTION("""COMPUTED_VALUE"""),"Bunje")</f>
        <v>Bunje</v>
      </c>
      <c r="G123" s="3">
        <f ca="1">IFERROR(__xludf.DUMMYFUNCTION("""COMPUTED_VALUE"""),0)</f>
        <v>0</v>
      </c>
      <c r="H123" s="3" t="str">
        <f ca="1">IFERROR(__xludf.DUMMYFUNCTION("""COMPUTED_VALUE"""),"bicycle")</f>
        <v>bicycle</v>
      </c>
      <c r="I123" s="3" t="str">
        <f ca="1">IFERROR(__xludf.DUMMYFUNCTION("""COMPUTED_VALUE"""),"2055-06-01T22:18:14.72359Z")</f>
        <v>2055-06-01T22:18:14.72359Z</v>
      </c>
      <c r="J123" s="3" t="str">
        <f ca="1">IFERROR(__xludf.DUMMYFUNCTION("""COMPUTED_VALUE"""),"2055-06-01T23:21:17.8Z")</f>
        <v>2055-06-01T23:21:17.8Z</v>
      </c>
      <c r="K123" s="3" t="str">
        <f ca="1">IFERROR(__xludf.DUMMYFUNCTION("""COMPUTED_VALUE"""),"2055-06-01T23:01:10.8Z")</f>
        <v>2055-06-01T23:01:10.8Z</v>
      </c>
      <c r="L123" s="3">
        <f ca="1">IFERROR(__xludf.DUMMYFUNCTION("""COMPUTED_VALUE"""),1)</f>
        <v>1</v>
      </c>
      <c r="M123" s="3">
        <f ca="1">IFERROR(__xludf.DUMMYFUNCTION("""COMPUTED_VALUE"""),0)</f>
        <v>0</v>
      </c>
      <c r="N123" s="3" t="str">
        <f ca="1">IFERROR(__xludf.DUMMYFUNCTION("""COMPUTED_VALUE"""),"2055-06-01T22:37:34.648046Z")</f>
        <v>2055-06-01T22:37:34.648046Z</v>
      </c>
      <c r="O123" s="3" t="str">
        <f ca="1">IFERROR(__xludf.DUMMYFUNCTION("""COMPUTED_VALUE"""),"2055-06-01T23:01:00.181728Z")</f>
        <v>2055-06-01T23:01:00.181728Z</v>
      </c>
      <c r="P123" s="3" t="str">
        <f ca="1">IFERROR(__xludf.DUMMYFUNCTION("""COMPUTED_VALUE"""),"2055-06-01T22:23:14.377826Z")</f>
        <v>2055-06-01T22:23:14.377826Z</v>
      </c>
      <c r="Q123" s="3">
        <f ca="1">IFERROR(__xludf.DUMMYFUNCTION("""COMPUTED_VALUE"""),0)</f>
        <v>0</v>
      </c>
      <c r="R123" s="3" t="str">
        <f ca="1">IFERROR(__xludf.DUMMYFUNCTION("""COMPUTED_VALUE"""),"2055-06-01T22:23:27.250147Z")</f>
        <v>2055-06-01T22:23:27.250147Z</v>
      </c>
      <c r="S123" s="3" t="str">
        <f ca="1">IFERROR(__xludf.DUMMYFUNCTION("""COMPUTED_VALUE"""),"2055-06-01T22:32:47.224811Z")</f>
        <v>2055-06-01T22:32:47.224811Z</v>
      </c>
      <c r="T123" s="3"/>
      <c r="U123" s="4">
        <f ca="1">IFERROR(__xludf.DUMMYFUNCTION("""COMPUTED_VALUE"""),56766)</f>
        <v>56766</v>
      </c>
      <c r="V123" s="3">
        <f ca="1">IFERROR(__xludf.DUMMYFUNCTION("""COMPUTED_VALUE"""),2.943033048)</f>
        <v>2.9430330480000002</v>
      </c>
      <c r="W123" s="3">
        <f ca="1">IFERROR(__xludf.DUMMYFUNCTION("""COMPUTED_VALUE"""),4500)</f>
        <v>4500</v>
      </c>
      <c r="X123" s="3">
        <f ca="1">IFERROR(__xludf.DUMMYFUNCTION("""COMPUTED_VALUE"""),2253)</f>
        <v>2253</v>
      </c>
      <c r="Y123" s="3">
        <f ca="1">IFERROR(__xludf.DUMMYFUNCTION("""COMPUTED_VALUE"""),560)</f>
        <v>560</v>
      </c>
      <c r="Z123" s="3">
        <f ca="1">IFERROR(__xludf.DUMMYFUNCTION("""COMPUTED_VALUE"""),287)</f>
        <v>287</v>
      </c>
      <c r="AA123" s="3">
        <f ca="1">IFERROR(__xludf.DUMMYFUNCTION("""COMPUTED_VALUE"""),1406)</f>
        <v>1406</v>
      </c>
      <c r="AB123" s="3">
        <f ca="1">IFERROR(__xludf.DUMMYFUNCTION("""COMPUTED_VALUE"""),0)</f>
        <v>0</v>
      </c>
      <c r="AC123" s="3">
        <f ca="1">IFERROR(__xludf.DUMMYFUNCTION("""COMPUTED_VALUE"""),6)</f>
        <v>6</v>
      </c>
      <c r="AD123" s="3" t="str">
        <f ca="1">IFERROR(__xludf.DUMMYFUNCTION("""COMPUTED_VALUE"""),"early")</f>
        <v>early</v>
      </c>
      <c r="AE123" s="3" t="str">
        <f ca="1">IFERROR(__xludf.DUMMYFUNCTION("""COMPUTED_VALUE"""),"2055-06-01T18:37:34.648046Z")</f>
        <v>2055-06-01T18:37:34.648046Z</v>
      </c>
      <c r="AF123" s="3" t="str">
        <f ca="1">IFERROR(__xludf.DUMMYFUNCTION("""COMPUTED_VALUE"""),"2055-06-01T19:01:00.181728Z")</f>
        <v>2055-06-01T19:01:00.181728Z</v>
      </c>
      <c r="AG123" s="3" t="str">
        <f ca="1">IFERROR(__xludf.DUMMYFUNCTION("""COMPUTED_VALUE"""),"2055-06-01T18:23:14.377826Z")</f>
        <v>2055-06-01T18:23:14.377826Z</v>
      </c>
      <c r="AH123" s="3" t="str">
        <f ca="1">IFERROR(__xludf.DUMMYFUNCTION("""COMPUTED_VALUE"""),"2055-06-01T18:32:47.224811Z")</f>
        <v>2055-06-01T18:32:47.224811Z</v>
      </c>
      <c r="AI123" s="3">
        <f ca="1">IFERROR(__xludf.DUMMYFUNCTION("""COMPUTED_VALUE"""),4.7)</f>
        <v>4.7</v>
      </c>
      <c r="AJ123" s="3">
        <f ca="1">IFERROR(__xludf.DUMMYFUNCTION("""COMPUTED_VALUE"""),443)</f>
        <v>443</v>
      </c>
      <c r="AK123" s="3">
        <f ca="1">IFERROR(__xludf.DUMMYFUNCTION("""COMPUTED_VALUE"""),1579)</f>
        <v>1579</v>
      </c>
      <c r="AL123" s="3"/>
    </row>
    <row r="124" spans="1:38" ht="13">
      <c r="A124" s="3">
        <f ca="1">IFERROR(__xludf.DUMMYFUNCTION("""COMPUTED_VALUE"""),1413)</f>
        <v>1413</v>
      </c>
      <c r="B124" s="3"/>
      <c r="C124" s="3">
        <f ca="1">IFERROR(__xludf.DUMMYFUNCTION("""COMPUTED_VALUE"""),4001)</f>
        <v>4001</v>
      </c>
      <c r="D124" s="3" t="str">
        <f ca="1">IFERROR(__xludf.DUMMYFUNCTION("""COMPUTED_VALUE"""),"Dashattan")</f>
        <v>Dashattan</v>
      </c>
      <c r="E124" s="3" t="str">
        <f ca="1">IFERROR(__xludf.DUMMYFUNCTION("""COMPUTED_VALUE"""),"Galaxy A")</f>
        <v>Galaxy A</v>
      </c>
      <c r="F124" s="3" t="str">
        <f ca="1">IFERROR(__xludf.DUMMYFUNCTION("""COMPUTED_VALUE"""),"KC")</f>
        <v>KC</v>
      </c>
      <c r="G124" s="3">
        <f ca="1">IFERROR(__xludf.DUMMYFUNCTION("""COMPUTED_VALUE"""),0)</f>
        <v>0</v>
      </c>
      <c r="H124" s="3" t="str">
        <f ca="1">IFERROR(__xludf.DUMMYFUNCTION("""COMPUTED_VALUE"""),"car")</f>
        <v>car</v>
      </c>
      <c r="I124" s="3" t="str">
        <f ca="1">IFERROR(__xludf.DUMMYFUNCTION("""COMPUTED_VALUE"""),"2055-06-12T17:32:29.140132Z")</f>
        <v>2055-06-12T17:32:29.140132Z</v>
      </c>
      <c r="J124" s="3" t="str">
        <f ca="1">IFERROR(__xludf.DUMMYFUNCTION("""COMPUTED_VALUE"""),"2055-06-12T18:06:40.213Z")</f>
        <v>2055-06-12T18:06:40.213Z</v>
      </c>
      <c r="K124" s="3" t="str">
        <f ca="1">IFERROR(__xludf.DUMMYFUNCTION("""COMPUTED_VALUE"""),"2055-06-12T17:57:47.213Z")</f>
        <v>2055-06-12T17:57:47.213Z</v>
      </c>
      <c r="L124" s="3">
        <f ca="1">IFERROR(__xludf.DUMMYFUNCTION("""COMPUTED_VALUE"""),1)</f>
        <v>1</v>
      </c>
      <c r="M124" s="3">
        <f ca="1">IFERROR(__xludf.DUMMYFUNCTION("""COMPUTED_VALUE"""),0)</f>
        <v>0</v>
      </c>
      <c r="N124" s="3" t="str">
        <f ca="1">IFERROR(__xludf.DUMMYFUNCTION("""COMPUTED_VALUE"""),"2055-06-12T17:49:08.462134Z")</f>
        <v>2055-06-12T17:49:08.462134Z</v>
      </c>
      <c r="O124" s="3" t="str">
        <f ca="1">IFERROR(__xludf.DUMMYFUNCTION("""COMPUTED_VALUE"""),"2055-06-12T17:55:44.881132Z")</f>
        <v>2055-06-12T17:55:44.881132Z</v>
      </c>
      <c r="P124" s="3" t="str">
        <f ca="1">IFERROR(__xludf.DUMMYFUNCTION("""COMPUTED_VALUE"""),"2055-06-12T17:38:54.358352Z")</f>
        <v>2055-06-12T17:38:54.358352Z</v>
      </c>
      <c r="Q124" s="3">
        <f ca="1">IFERROR(__xludf.DUMMYFUNCTION("""COMPUTED_VALUE"""),0)</f>
        <v>0</v>
      </c>
      <c r="R124" s="3" t="str">
        <f ca="1">IFERROR(__xludf.DUMMYFUNCTION("""COMPUTED_VALUE"""),"2055-06-12T17:39:08.545274Z")</f>
        <v>2055-06-12T17:39:08.545274Z</v>
      </c>
      <c r="S124" s="3" t="str">
        <f ca="1">IFERROR(__xludf.DUMMYFUNCTION("""COMPUTED_VALUE"""),"2055-06-12T17:39:16.468648Z")</f>
        <v>2055-06-12T17:39:16.468648Z</v>
      </c>
      <c r="T124" s="3"/>
      <c r="U124" s="4">
        <f ca="1">IFERROR(__xludf.DUMMYFUNCTION("""COMPUTED_VALUE"""),56777)</f>
        <v>56777</v>
      </c>
      <c r="V124" s="3">
        <f ca="1">IFERROR(__xludf.DUMMYFUNCTION("""COMPUTED_VALUE"""),3.024036945)</f>
        <v>3.0240369450000002</v>
      </c>
      <c r="W124" s="3">
        <f ca="1">IFERROR(__xludf.DUMMYFUNCTION("""COMPUTED_VALUE"""),4500)</f>
        <v>4500</v>
      </c>
      <c r="X124" s="3">
        <f ca="1">IFERROR(__xludf.DUMMYFUNCTION("""COMPUTED_VALUE"""),996)</f>
        <v>996</v>
      </c>
      <c r="Y124" s="3">
        <f ca="1">IFERROR(__xludf.DUMMYFUNCTION("""COMPUTED_VALUE"""),8)</f>
        <v>8</v>
      </c>
      <c r="Z124" s="3">
        <f ca="1">IFERROR(__xludf.DUMMYFUNCTION("""COMPUTED_VALUE"""),592)</f>
        <v>592</v>
      </c>
      <c r="AA124" s="3">
        <f ca="1">IFERROR(__xludf.DUMMYFUNCTION("""COMPUTED_VALUE"""),396)</f>
        <v>396</v>
      </c>
      <c r="AB124" s="3">
        <f ca="1">IFERROR(__xludf.DUMMYFUNCTION("""COMPUTED_VALUE"""),0)</f>
        <v>0</v>
      </c>
      <c r="AC124" s="3">
        <f ca="1">IFERROR(__xludf.DUMMYFUNCTION("""COMPUTED_VALUE"""),6)</f>
        <v>6</v>
      </c>
      <c r="AD124" s="3" t="str">
        <f ca="1">IFERROR(__xludf.DUMMYFUNCTION("""COMPUTED_VALUE"""),"early")</f>
        <v>early</v>
      </c>
      <c r="AE124" s="3" t="str">
        <f ca="1">IFERROR(__xludf.DUMMYFUNCTION("""COMPUTED_VALUE"""),"2055-06-12T13:49:08.462134Z")</f>
        <v>2055-06-12T13:49:08.462134Z</v>
      </c>
      <c r="AF124" s="3" t="str">
        <f ca="1">IFERROR(__xludf.DUMMYFUNCTION("""COMPUTED_VALUE"""),"2055-06-12T13:55:44.881132Z")</f>
        <v>2055-06-12T13:55:44.881132Z</v>
      </c>
      <c r="AG124" s="3" t="str">
        <f ca="1">IFERROR(__xludf.DUMMYFUNCTION("""COMPUTED_VALUE"""),"2055-06-12T13:38:54.358352Z")</f>
        <v>2055-06-12T13:38:54.358352Z</v>
      </c>
      <c r="AH124" s="3" t="str">
        <f ca="1">IFERROR(__xludf.DUMMYFUNCTION("""COMPUTED_VALUE"""),"2055-06-12T13:39:16.468648Z")</f>
        <v>2055-06-12T13:39:16.468648Z</v>
      </c>
      <c r="AI124" s="3">
        <f ca="1">IFERROR(__xludf.DUMMYFUNCTION("""COMPUTED_VALUE"""),4.54)</f>
        <v>4.54</v>
      </c>
      <c r="AJ124" s="3">
        <f ca="1">IFERROR(__xludf.DUMMYFUNCTION("""COMPUTED_VALUE"""),2229)</f>
        <v>2229</v>
      </c>
      <c r="AK124" s="3">
        <f ca="1">IFERROR(__xludf.DUMMYFUNCTION("""COMPUTED_VALUE"""),6580)</f>
        <v>6580</v>
      </c>
      <c r="AL124" s="3"/>
    </row>
    <row r="125" spans="1:38" ht="13">
      <c r="A125" s="3">
        <f ca="1">IFERROR(__xludf.DUMMYFUNCTION("""COMPUTED_VALUE"""),512)</f>
        <v>512</v>
      </c>
      <c r="B125" s="3">
        <f ca="1">IFERROR(__xludf.DUMMYFUNCTION("""COMPUTED_VALUE"""),2)</f>
        <v>2</v>
      </c>
      <c r="C125" s="3">
        <f ca="1">IFERROR(__xludf.DUMMYFUNCTION("""COMPUTED_VALUE"""),4050)</f>
        <v>4050</v>
      </c>
      <c r="D125" s="3" t="str">
        <f ca="1">IFERROR(__xludf.DUMMYFUNCTION("""COMPUTED_VALUE"""),"Doorlanta")</f>
        <v>Doorlanta</v>
      </c>
      <c r="E125" s="3" t="str">
        <f ca="1">IFERROR(__xludf.DUMMYFUNCTION("""COMPUTED_VALUE"""),"Galaxy A")</f>
        <v>Galaxy A</v>
      </c>
      <c r="F125" s="3" t="str">
        <f ca="1">IFERROR(__xludf.DUMMYFUNCTION("""COMPUTED_VALUE"""),"Matt")</f>
        <v>Matt</v>
      </c>
      <c r="G125" s="3">
        <f ca="1">IFERROR(__xludf.DUMMYFUNCTION("""COMPUTED_VALUE"""),0)</f>
        <v>0</v>
      </c>
      <c r="H125" s="3" t="str">
        <f ca="1">IFERROR(__xludf.DUMMYFUNCTION("""COMPUTED_VALUE"""),"car")</f>
        <v>car</v>
      </c>
      <c r="I125" s="3" t="str">
        <f ca="1">IFERROR(__xludf.DUMMYFUNCTION("""COMPUTED_VALUE"""),"2055-06-05T00:35:53.178014Z")</f>
        <v>2055-06-05T00:35:53.178014Z</v>
      </c>
      <c r="J125" s="3" t="str">
        <f ca="1">IFERROR(__xludf.DUMMYFUNCTION("""COMPUTED_VALUE"""),"2055-06-05T01:36:32.256Z")</f>
        <v>2055-06-05T01:36:32.256Z</v>
      </c>
      <c r="K125" s="3" t="str">
        <f ca="1">IFERROR(__xludf.DUMMYFUNCTION("""COMPUTED_VALUE"""),"2055-06-05T01:14:38.256Z")</f>
        <v>2055-06-05T01:14:38.256Z</v>
      </c>
      <c r="L125" s="3">
        <f ca="1">IFERROR(__xludf.DUMMYFUNCTION("""COMPUTED_VALUE"""),1)</f>
        <v>1</v>
      </c>
      <c r="M125" s="3">
        <f ca="1">IFERROR(__xludf.DUMMYFUNCTION("""COMPUTED_VALUE"""),0)</f>
        <v>0</v>
      </c>
      <c r="N125" s="3" t="str">
        <f ca="1">IFERROR(__xludf.DUMMYFUNCTION("""COMPUTED_VALUE"""),"2055-06-05T01:17:07.016412Z")</f>
        <v>2055-06-05T01:17:07.016412Z</v>
      </c>
      <c r="O125" s="3" t="str">
        <f ca="1">IFERROR(__xludf.DUMMYFUNCTION("""COMPUTED_VALUE"""),"2055-06-05T01:28:27.924183Z")</f>
        <v>2055-06-05T01:28:27.924183Z</v>
      </c>
      <c r="P125" s="3" t="str">
        <f ca="1">IFERROR(__xludf.DUMMYFUNCTION("""COMPUTED_VALUE"""),"2055-06-05T00:47:07.387014Z")</f>
        <v>2055-06-05T00:47:07.387014Z</v>
      </c>
      <c r="Q125" s="3">
        <f ca="1">IFERROR(__xludf.DUMMYFUNCTION("""COMPUTED_VALUE"""),0)</f>
        <v>0</v>
      </c>
      <c r="R125" s="3" t="str">
        <f ca="1">IFERROR(__xludf.DUMMYFUNCTION("""COMPUTED_VALUE"""),"2055-06-05T00:47:10.715512Z")</f>
        <v>2055-06-05T00:47:10.715512Z</v>
      </c>
      <c r="S125" s="3" t="str">
        <f ca="1">IFERROR(__xludf.DUMMYFUNCTION("""COMPUTED_VALUE"""),"2055-06-05T01:17:51.509643Z")</f>
        <v>2055-06-05T01:17:51.509643Z</v>
      </c>
      <c r="T125" s="3"/>
      <c r="U125" s="4">
        <f ca="1">IFERROR(__xludf.DUMMYFUNCTION("""COMPUTED_VALUE"""),56769)</f>
        <v>56769</v>
      </c>
      <c r="V125" s="3">
        <f ca="1">IFERROR(__xludf.DUMMYFUNCTION("""COMPUTED_VALUE"""),3.853649317)</f>
        <v>3.8536493169999999</v>
      </c>
      <c r="W125" s="3">
        <f ca="1">IFERROR(__xludf.DUMMYFUNCTION("""COMPUTED_VALUE"""),4500)</f>
        <v>4500</v>
      </c>
      <c r="X125" s="3">
        <f ca="1">IFERROR(__xludf.DUMMYFUNCTION("""COMPUTED_VALUE"""),2477)</f>
        <v>2477</v>
      </c>
      <c r="Y125" s="3">
        <f ca="1">IFERROR(__xludf.DUMMYFUNCTION("""COMPUTED_VALUE"""),1841)</f>
        <v>1841</v>
      </c>
      <c r="Z125" s="3"/>
      <c r="AA125" s="3">
        <f ca="1">IFERROR(__xludf.DUMMYFUNCTION("""COMPUTED_VALUE"""),680)</f>
        <v>680</v>
      </c>
      <c r="AB125" s="3">
        <f ca="1">IFERROR(__xludf.DUMMYFUNCTION("""COMPUTED_VALUE"""),0)</f>
        <v>0</v>
      </c>
      <c r="AC125" s="3">
        <f ca="1">IFERROR(__xludf.DUMMYFUNCTION("""COMPUTED_VALUE"""),8)</f>
        <v>8</v>
      </c>
      <c r="AD125" s="3" t="str">
        <f ca="1">IFERROR(__xludf.DUMMYFUNCTION("""COMPUTED_VALUE"""),"late")</f>
        <v>late</v>
      </c>
      <c r="AE125" s="3" t="str">
        <f ca="1">IFERROR(__xludf.DUMMYFUNCTION("""COMPUTED_VALUE"""),"2055-06-04T21:17:07.016412Z")</f>
        <v>2055-06-04T21:17:07.016412Z</v>
      </c>
      <c r="AF125" s="3" t="str">
        <f ca="1">IFERROR(__xludf.DUMMYFUNCTION("""COMPUTED_VALUE"""),"2055-06-04T21:28:27.924183Z")</f>
        <v>2055-06-04T21:28:27.924183Z</v>
      </c>
      <c r="AG125" s="3" t="str">
        <f ca="1">IFERROR(__xludf.DUMMYFUNCTION("""COMPUTED_VALUE"""),"2055-06-04T20:47:07.387014Z")</f>
        <v>2055-06-04T20:47:07.387014Z</v>
      </c>
      <c r="AH125" s="3" t="str">
        <f ca="1">IFERROR(__xludf.DUMMYFUNCTION("""COMPUTED_VALUE"""),"2055-06-04T21:17:51.509643Z")</f>
        <v>2055-06-04T21:17:51.509643Z</v>
      </c>
      <c r="AI125" s="3">
        <f ca="1">IFERROR(__xludf.DUMMYFUNCTION("""COMPUTED_VALUE"""),4.22)</f>
        <v>4.22</v>
      </c>
      <c r="AJ125" s="3">
        <f ca="1">IFERROR(__xludf.DUMMYFUNCTION("""COMPUTED_VALUE"""),1551)</f>
        <v>1551</v>
      </c>
      <c r="AK125" s="3">
        <f ca="1">IFERROR(__xludf.DUMMYFUNCTION("""COMPUTED_VALUE"""),4625)</f>
        <v>4625</v>
      </c>
      <c r="AL125" s="3"/>
    </row>
    <row r="126" spans="1:38" ht="13">
      <c r="A126" s="3">
        <f ca="1">IFERROR(__xludf.DUMMYFUNCTION("""COMPUTED_VALUE"""),38)</f>
        <v>38</v>
      </c>
      <c r="B126" s="3">
        <f ca="1">IFERROR(__xludf.DUMMYFUNCTION("""COMPUTED_VALUE"""),4)</f>
        <v>4</v>
      </c>
      <c r="C126" s="3">
        <f ca="1">IFERROR(__xludf.DUMMYFUNCTION("""COMPUTED_VALUE"""),4001)</f>
        <v>4001</v>
      </c>
      <c r="D126" s="3" t="str">
        <f ca="1">IFERROR(__xludf.DUMMYFUNCTION("""COMPUTED_VALUE"""),"Dashattan")</f>
        <v>Dashattan</v>
      </c>
      <c r="E126" s="3" t="str">
        <f ca="1">IFERROR(__xludf.DUMMYFUNCTION("""COMPUTED_VALUE"""),"Galaxy A")</f>
        <v>Galaxy A</v>
      </c>
      <c r="F126" s="3" t="str">
        <f ca="1">IFERROR(__xludf.DUMMYFUNCTION("""COMPUTED_VALUE"""),"Samm")</f>
        <v>Samm</v>
      </c>
      <c r="G126" s="3">
        <f ca="1">IFERROR(__xludf.DUMMYFUNCTION("""COMPUTED_VALUE"""),0)</f>
        <v>0</v>
      </c>
      <c r="H126" s="3" t="str">
        <f ca="1">IFERROR(__xludf.DUMMYFUNCTION("""COMPUTED_VALUE"""),"car")</f>
        <v>car</v>
      </c>
      <c r="I126" s="3" t="str">
        <f ca="1">IFERROR(__xludf.DUMMYFUNCTION("""COMPUTED_VALUE"""),"2055-06-01T21:12:34.704997Z")</f>
        <v>2055-06-01T21:12:34.704997Z</v>
      </c>
      <c r="J126" s="3" t="str">
        <f ca="1">IFERROR(__xludf.DUMMYFUNCTION("""COMPUTED_VALUE"""),"2055-06-01T22:22:30.807Z")</f>
        <v>2055-06-01T22:22:30.807Z</v>
      </c>
      <c r="K126" s="3" t="str">
        <f ca="1">IFERROR(__xludf.DUMMYFUNCTION("""COMPUTED_VALUE"""),"2055-06-01T22:01:41.807Z")</f>
        <v>2055-06-01T22:01:41.807Z</v>
      </c>
      <c r="L126" s="3">
        <f ca="1">IFERROR(__xludf.DUMMYFUNCTION("""COMPUTED_VALUE"""),1)</f>
        <v>1</v>
      </c>
      <c r="M126" s="3">
        <f ca="1">IFERROR(__xludf.DUMMYFUNCTION("""COMPUTED_VALUE"""),0)</f>
        <v>0</v>
      </c>
      <c r="N126" s="3" t="str">
        <f ca="1">IFERROR(__xludf.DUMMYFUNCTION("""COMPUTED_VALUE"""),"2055-06-01T21:35:07.849071Z")</f>
        <v>2055-06-01T21:35:07.849071Z</v>
      </c>
      <c r="O126" s="3" t="str">
        <f ca="1">IFERROR(__xludf.DUMMYFUNCTION("""COMPUTED_VALUE"""),"2055-06-01T22:10:38.281827Z")</f>
        <v>2055-06-01T22:10:38.281827Z</v>
      </c>
      <c r="P126" s="3" t="str">
        <f ca="1">IFERROR(__xludf.DUMMYFUNCTION("""COMPUTED_VALUE"""),"2055-06-01T21:15:54.04816Z")</f>
        <v>2055-06-01T21:15:54.04816Z</v>
      </c>
      <c r="Q126" s="3">
        <f ca="1">IFERROR(__xludf.DUMMYFUNCTION("""COMPUTED_VALUE"""),0)</f>
        <v>0</v>
      </c>
      <c r="R126" s="3" t="str">
        <f ca="1">IFERROR(__xludf.DUMMYFUNCTION("""COMPUTED_VALUE"""),"2055-06-01T21:15:55.819564Z")</f>
        <v>2055-06-01T21:15:55.819564Z</v>
      </c>
      <c r="S126" s="3" t="str">
        <f ca="1">IFERROR(__xludf.DUMMYFUNCTION("""COMPUTED_VALUE"""),"2055-06-01T21:30:27.382546Z")</f>
        <v>2055-06-01T21:30:27.382546Z</v>
      </c>
      <c r="T126" s="3"/>
      <c r="U126" s="4">
        <f ca="1">IFERROR(__xludf.DUMMYFUNCTION("""COMPUTED_VALUE"""),56766)</f>
        <v>56766</v>
      </c>
      <c r="V126" s="3">
        <f ca="1">IFERROR(__xludf.DUMMYFUNCTION("""COMPUTED_VALUE"""),4.8)</f>
        <v>4.8</v>
      </c>
      <c r="W126" s="3">
        <f ca="1">IFERROR(__xludf.DUMMYFUNCTION("""COMPUTED_VALUE"""),4500)</f>
        <v>4500</v>
      </c>
      <c r="X126" s="3">
        <f ca="1">IFERROR(__xludf.DUMMYFUNCTION("""COMPUTED_VALUE"""),3283)</f>
        <v>3283</v>
      </c>
      <c r="Y126" s="3">
        <f ca="1">IFERROR(__xludf.DUMMYFUNCTION("""COMPUTED_VALUE"""),872)</f>
        <v>872</v>
      </c>
      <c r="Z126" s="3">
        <f ca="1">IFERROR(__xludf.DUMMYFUNCTION("""COMPUTED_VALUE"""),280)</f>
        <v>280</v>
      </c>
      <c r="AA126" s="3">
        <f ca="1">IFERROR(__xludf.DUMMYFUNCTION("""COMPUTED_VALUE"""),2131)</f>
        <v>2131</v>
      </c>
      <c r="AB126" s="3">
        <f ca="1">IFERROR(__xludf.DUMMYFUNCTION("""COMPUTED_VALUE"""),0)</f>
        <v>0</v>
      </c>
      <c r="AC126" s="3">
        <f ca="1">IFERROR(__xludf.DUMMYFUNCTION("""COMPUTED_VALUE"""),5)</f>
        <v>5</v>
      </c>
      <c r="AD126" s="3" t="str">
        <f ca="1">IFERROR(__xludf.DUMMYFUNCTION("""COMPUTED_VALUE"""),"late")</f>
        <v>late</v>
      </c>
      <c r="AE126" s="3" t="str">
        <f ca="1">IFERROR(__xludf.DUMMYFUNCTION("""COMPUTED_VALUE"""),"2055-06-01T17:35:07.849071Z")</f>
        <v>2055-06-01T17:35:07.849071Z</v>
      </c>
      <c r="AF126" s="3" t="str">
        <f ca="1">IFERROR(__xludf.DUMMYFUNCTION("""COMPUTED_VALUE"""),"2055-06-01T18:10:38.281827Z")</f>
        <v>2055-06-01T18:10:38.281827Z</v>
      </c>
      <c r="AG126" s="3" t="str">
        <f ca="1">IFERROR(__xludf.DUMMYFUNCTION("""COMPUTED_VALUE"""),"2055-06-01T17:15:54.04816Z")</f>
        <v>2055-06-01T17:15:54.04816Z</v>
      </c>
      <c r="AH126" s="3" t="str">
        <f ca="1">IFERROR(__xludf.DUMMYFUNCTION("""COMPUTED_VALUE"""),"2055-06-01T17:30:27.382546Z")</f>
        <v>2055-06-01T17:30:27.382546Z</v>
      </c>
      <c r="AI126" s="3">
        <f ca="1">IFERROR(__xludf.DUMMYFUNCTION("""COMPUTED_VALUE"""),4.03)</f>
        <v>4.03</v>
      </c>
      <c r="AJ126" s="3">
        <f ca="1">IFERROR(__xludf.DUMMYFUNCTION("""COMPUTED_VALUE"""),505)</f>
        <v>505</v>
      </c>
      <c r="AK126" s="3">
        <f ca="1">IFERROR(__xludf.DUMMYFUNCTION("""COMPUTED_VALUE"""),1721)</f>
        <v>1721</v>
      </c>
      <c r="AL126" s="3">
        <f ca="1">IFERROR(__xludf.DUMMYFUNCTION("""COMPUTED_VALUE"""),457)</f>
        <v>457</v>
      </c>
    </row>
    <row r="127" spans="1:38" ht="13">
      <c r="A127" s="3">
        <f ca="1">IFERROR(__xludf.DUMMYFUNCTION("""COMPUTED_VALUE"""),939)</f>
        <v>939</v>
      </c>
      <c r="B127" s="3">
        <f ca="1">IFERROR(__xludf.DUMMYFUNCTION("""COMPUTED_VALUE"""),1)</f>
        <v>1</v>
      </c>
      <c r="C127" s="3">
        <f ca="1">IFERROR(__xludf.DUMMYFUNCTION("""COMPUTED_VALUE"""),4050)</f>
        <v>4050</v>
      </c>
      <c r="D127" s="3" t="str">
        <f ca="1">IFERROR(__xludf.DUMMYFUNCTION("""COMPUTED_VALUE"""),"Doorlanta")</f>
        <v>Doorlanta</v>
      </c>
      <c r="E127" s="3" t="str">
        <f ca="1">IFERROR(__xludf.DUMMYFUNCTION("""COMPUTED_VALUE"""),"Galaxy A")</f>
        <v>Galaxy A</v>
      </c>
      <c r="F127" s="3" t="str">
        <f ca="1">IFERROR(__xludf.DUMMYFUNCTION("""COMPUTED_VALUE"""),"Jagar")</f>
        <v>Jagar</v>
      </c>
      <c r="G127" s="3">
        <f ca="1">IFERROR(__xludf.DUMMYFUNCTION("""COMPUTED_VALUE"""),0)</f>
        <v>0</v>
      </c>
      <c r="H127" s="3" t="str">
        <f ca="1">IFERROR(__xludf.DUMMYFUNCTION("""COMPUTED_VALUE"""),"car")</f>
        <v>car</v>
      </c>
      <c r="I127" s="3" t="str">
        <f ca="1">IFERROR(__xludf.DUMMYFUNCTION("""COMPUTED_VALUE"""),"2055-06-08T16:05:12.398211Z")</f>
        <v>2055-06-08T16:05:12.398211Z</v>
      </c>
      <c r="J127" s="3" t="str">
        <f ca="1">IFERROR(__xludf.DUMMYFUNCTION("""COMPUTED_VALUE"""),"2055-06-08T16:56:32.484Z")</f>
        <v>2055-06-08T16:56:32.484Z</v>
      </c>
      <c r="K127" s="3" t="str">
        <f ca="1">IFERROR(__xludf.DUMMYFUNCTION("""COMPUTED_VALUE"""),"2055-06-08T16:46:25.484Z")</f>
        <v>2055-06-08T16:46:25.484Z</v>
      </c>
      <c r="L127" s="3">
        <f ca="1">IFERROR(__xludf.DUMMYFUNCTION("""COMPUTED_VALUE"""),1)</f>
        <v>1</v>
      </c>
      <c r="M127" s="3">
        <f ca="1">IFERROR(__xludf.DUMMYFUNCTION("""COMPUTED_VALUE"""),0)</f>
        <v>0</v>
      </c>
      <c r="N127" s="3" t="str">
        <f ca="1">IFERROR(__xludf.DUMMYFUNCTION("""COMPUTED_VALUE"""),"2055-06-08T16:39:49.471617Z")</f>
        <v>2055-06-08T16:39:49.471617Z</v>
      </c>
      <c r="O127" s="3" t="str">
        <f ca="1">IFERROR(__xludf.DUMMYFUNCTION("""COMPUTED_VALUE"""),"2055-06-08T16:45:36.198414Z")</f>
        <v>2055-06-08T16:45:36.198414Z</v>
      </c>
      <c r="P127" s="3" t="str">
        <f ca="1">IFERROR(__xludf.DUMMYFUNCTION("""COMPUTED_VALUE"""),"2055-06-08T16:11:47.317244Z")</f>
        <v>2055-06-08T16:11:47.317244Z</v>
      </c>
      <c r="Q127" s="3">
        <f ca="1">IFERROR(__xludf.DUMMYFUNCTION("""COMPUTED_VALUE"""),0)</f>
        <v>0</v>
      </c>
      <c r="R127" s="3" t="str">
        <f ca="1">IFERROR(__xludf.DUMMYFUNCTION("""COMPUTED_VALUE"""),"2055-06-08T16:12:08.042968Z")</f>
        <v>2055-06-08T16:12:08.042968Z</v>
      </c>
      <c r="S127" s="3" t="str">
        <f ca="1">IFERROR(__xludf.DUMMYFUNCTION("""COMPUTED_VALUE"""),"2055-06-08T16:26:56.444938Z")</f>
        <v>2055-06-08T16:26:56.444938Z</v>
      </c>
      <c r="T127" s="3"/>
      <c r="U127" s="4">
        <f ca="1">IFERROR(__xludf.DUMMYFUNCTION("""COMPUTED_VALUE"""),56773)</f>
        <v>56773</v>
      </c>
      <c r="V127" s="3">
        <f ca="1">IFERROR(__xludf.DUMMYFUNCTION("""COMPUTED_VALUE"""),3.995599356)</f>
        <v>3.995599356</v>
      </c>
      <c r="W127" s="3">
        <f ca="1">IFERROR(__xludf.DUMMYFUNCTION("""COMPUTED_VALUE"""),4500)</f>
        <v>4500</v>
      </c>
      <c r="X127" s="3">
        <f ca="1">IFERROR(__xludf.DUMMYFUNCTION("""COMPUTED_VALUE"""),2008)</f>
        <v>2008</v>
      </c>
      <c r="Y127" s="3">
        <f ca="1">IFERROR(__xludf.DUMMYFUNCTION("""COMPUTED_VALUE"""),888)</f>
        <v>888</v>
      </c>
      <c r="Z127" s="3">
        <f ca="1">IFERROR(__xludf.DUMMYFUNCTION("""COMPUTED_VALUE"""),773)</f>
        <v>773</v>
      </c>
      <c r="AA127" s="3">
        <f ca="1">IFERROR(__xludf.DUMMYFUNCTION("""COMPUTED_VALUE"""),347)</f>
        <v>347</v>
      </c>
      <c r="AB127" s="3">
        <f ca="1">IFERROR(__xludf.DUMMYFUNCTION("""COMPUTED_VALUE"""),0)</f>
        <v>0</v>
      </c>
      <c r="AC127" s="3">
        <f ca="1">IFERROR(__xludf.DUMMYFUNCTION("""COMPUTED_VALUE"""),7)</f>
        <v>7</v>
      </c>
      <c r="AD127" s="3" t="str">
        <f ca="1">IFERROR(__xludf.DUMMYFUNCTION("""COMPUTED_VALUE"""),"late")</f>
        <v>late</v>
      </c>
      <c r="AE127" s="3" t="str">
        <f ca="1">IFERROR(__xludf.DUMMYFUNCTION("""COMPUTED_VALUE"""),"2055-06-08T12:39:49.471617Z")</f>
        <v>2055-06-08T12:39:49.471617Z</v>
      </c>
      <c r="AF127" s="3" t="str">
        <f ca="1">IFERROR(__xludf.DUMMYFUNCTION("""COMPUTED_VALUE"""),"2055-06-08T12:45:36.198414Z")</f>
        <v>2055-06-08T12:45:36.198414Z</v>
      </c>
      <c r="AG127" s="3" t="str">
        <f ca="1">IFERROR(__xludf.DUMMYFUNCTION("""COMPUTED_VALUE"""),"2055-06-08T12:11:47.317244Z")</f>
        <v>2055-06-08T12:11:47.317244Z</v>
      </c>
      <c r="AH127" s="3" t="str">
        <f ca="1">IFERROR(__xludf.DUMMYFUNCTION("""COMPUTED_VALUE"""),"2055-06-08T12:26:56.444938Z")</f>
        <v>2055-06-08T12:26:56.444938Z</v>
      </c>
      <c r="AI127" s="3">
        <f ca="1">IFERROR(__xludf.DUMMYFUNCTION("""COMPUTED_VALUE"""),4.89)</f>
        <v>4.8899999999999997</v>
      </c>
      <c r="AJ127" s="3">
        <f ca="1">IFERROR(__xludf.DUMMYFUNCTION("""COMPUTED_VALUE"""),1778)</f>
        <v>1778</v>
      </c>
      <c r="AK127" s="3">
        <f ca="1">IFERROR(__xludf.DUMMYFUNCTION("""COMPUTED_VALUE"""),5138)</f>
        <v>5138</v>
      </c>
      <c r="AL127" s="3">
        <f ca="1">IFERROR(__xludf.DUMMYFUNCTION("""COMPUTED_VALUE"""),314)</f>
        <v>314</v>
      </c>
    </row>
    <row r="128" spans="1:38" ht="13">
      <c r="A128" s="3">
        <f ca="1">IFERROR(__xludf.DUMMYFUNCTION("""COMPUTED_VALUE"""),465)</f>
        <v>465</v>
      </c>
      <c r="B128" s="3"/>
      <c r="C128" s="3">
        <f ca="1">IFERROR(__xludf.DUMMYFUNCTION("""COMPUTED_VALUE"""),4050)</f>
        <v>4050</v>
      </c>
      <c r="D128" s="3" t="str">
        <f ca="1">IFERROR(__xludf.DUMMYFUNCTION("""COMPUTED_VALUE"""),"Doorlanta")</f>
        <v>Doorlanta</v>
      </c>
      <c r="E128" s="3" t="str">
        <f ca="1">IFERROR(__xludf.DUMMYFUNCTION("""COMPUTED_VALUE"""),"Galaxy A")</f>
        <v>Galaxy A</v>
      </c>
      <c r="F128" s="3" t="str">
        <f ca="1">IFERROR(__xludf.DUMMYFUNCTION("""COMPUTED_VALUE"""),"Matthew")</f>
        <v>Matthew</v>
      </c>
      <c r="G128" s="3">
        <f ca="1">IFERROR(__xludf.DUMMYFUNCTION("""COMPUTED_VALUE"""),0)</f>
        <v>0</v>
      </c>
      <c r="H128" s="3" t="str">
        <f ca="1">IFERROR(__xludf.DUMMYFUNCTION("""COMPUTED_VALUE"""),"car")</f>
        <v>car</v>
      </c>
      <c r="I128" s="3" t="str">
        <f ca="1">IFERROR(__xludf.DUMMYFUNCTION("""COMPUTED_VALUE"""),"2055-06-04T22:30:55.594678Z")</f>
        <v>2055-06-04T22:30:55.594678Z</v>
      </c>
      <c r="J128" s="3" t="str">
        <f ca="1">IFERROR(__xludf.DUMMYFUNCTION("""COMPUTED_VALUE"""),"2055-06-04T23:33:01.672Z")</f>
        <v>2055-06-04T23:33:01.672Z</v>
      </c>
      <c r="K128" s="3" t="str">
        <f ca="1">IFERROR(__xludf.DUMMYFUNCTION("""COMPUTED_VALUE"""),"2055-06-04T23:11:07.672Z")</f>
        <v>2055-06-04T23:11:07.672Z</v>
      </c>
      <c r="L128" s="3">
        <f ca="1">IFERROR(__xludf.DUMMYFUNCTION("""COMPUTED_VALUE"""),1)</f>
        <v>1</v>
      </c>
      <c r="M128" s="3">
        <f ca="1">IFERROR(__xludf.DUMMYFUNCTION("""COMPUTED_VALUE"""),0)</f>
        <v>0</v>
      </c>
      <c r="N128" s="3" t="str">
        <f ca="1">IFERROR(__xludf.DUMMYFUNCTION("""COMPUTED_VALUE"""),"2055-06-04T22:48:44.140573Z")</f>
        <v>2055-06-04T22:48:44.140573Z</v>
      </c>
      <c r="O128" s="3" t="str">
        <f ca="1">IFERROR(__xludf.DUMMYFUNCTION("""COMPUTED_VALUE"""),"2055-06-04T22:59:13.786789Z")</f>
        <v>2055-06-04T22:59:13.786789Z</v>
      </c>
      <c r="P128" s="3" t="str">
        <f ca="1">IFERROR(__xludf.DUMMYFUNCTION("""COMPUTED_VALUE"""),"2055-06-04T22:31:47.337954Z")</f>
        <v>2055-06-04T22:31:47.337954Z</v>
      </c>
      <c r="Q128" s="3">
        <f ca="1">IFERROR(__xludf.DUMMYFUNCTION("""COMPUTED_VALUE"""),0)</f>
        <v>0</v>
      </c>
      <c r="R128" s="3" t="str">
        <f ca="1">IFERROR(__xludf.DUMMYFUNCTION("""COMPUTED_VALUE"""),"2055-06-04T22:31:51.299566Z")</f>
        <v>2055-06-04T22:31:51.299566Z</v>
      </c>
      <c r="S128" s="3" t="str">
        <f ca="1">IFERROR(__xludf.DUMMYFUNCTION("""COMPUTED_VALUE"""),"2055-06-04T22:45:59.130279Z")</f>
        <v>2055-06-04T22:45:59.130279Z</v>
      </c>
      <c r="T128" s="3"/>
      <c r="U128" s="4">
        <f ca="1">IFERROR(__xludf.DUMMYFUNCTION("""COMPUTED_VALUE"""),56769)</f>
        <v>56769</v>
      </c>
      <c r="V128" s="3">
        <f ca="1">IFERROR(__xludf.DUMMYFUNCTION("""COMPUTED_VALUE"""),4.7)</f>
        <v>4.7</v>
      </c>
      <c r="W128" s="3">
        <f ca="1">IFERROR(__xludf.DUMMYFUNCTION("""COMPUTED_VALUE"""),4500)</f>
        <v>4500</v>
      </c>
      <c r="X128" s="3">
        <f ca="1">IFERROR(__xludf.DUMMYFUNCTION("""COMPUTED_VALUE"""),1642)</f>
        <v>1642</v>
      </c>
      <c r="Y128" s="3">
        <f ca="1">IFERROR(__xludf.DUMMYFUNCTION("""COMPUTED_VALUE"""),848)</f>
        <v>848</v>
      </c>
      <c r="Z128" s="3">
        <f ca="1">IFERROR(__xludf.DUMMYFUNCTION("""COMPUTED_VALUE"""),165)</f>
        <v>165</v>
      </c>
      <c r="AA128" s="3">
        <f ca="1">IFERROR(__xludf.DUMMYFUNCTION("""COMPUTED_VALUE"""),629)</f>
        <v>629</v>
      </c>
      <c r="AB128" s="3">
        <f ca="1">IFERROR(__xludf.DUMMYFUNCTION("""COMPUTED_VALUE"""),0)</f>
        <v>0</v>
      </c>
      <c r="AC128" s="3">
        <f ca="1">IFERROR(__xludf.DUMMYFUNCTION("""COMPUTED_VALUE"""),8)</f>
        <v>8</v>
      </c>
      <c r="AD128" s="3" t="str">
        <f ca="1">IFERROR(__xludf.DUMMYFUNCTION("""COMPUTED_VALUE"""),"on time")</f>
        <v>on time</v>
      </c>
      <c r="AE128" s="3" t="str">
        <f ca="1">IFERROR(__xludf.DUMMYFUNCTION("""COMPUTED_VALUE"""),"2055-06-04T18:48:44.140573Z")</f>
        <v>2055-06-04T18:48:44.140573Z</v>
      </c>
      <c r="AF128" s="3" t="str">
        <f ca="1">IFERROR(__xludf.DUMMYFUNCTION("""COMPUTED_VALUE"""),"2055-06-04T18:59:13.786789Z")</f>
        <v>2055-06-04T18:59:13.786789Z</v>
      </c>
      <c r="AG128" s="3" t="str">
        <f ca="1">IFERROR(__xludf.DUMMYFUNCTION("""COMPUTED_VALUE"""),"2055-06-04T18:31:47.337954Z")</f>
        <v>2055-06-04T18:31:47.337954Z</v>
      </c>
      <c r="AH128" s="3" t="str">
        <f ca="1">IFERROR(__xludf.DUMMYFUNCTION("""COMPUTED_VALUE"""),"2055-06-04T18:45:59.130279Z")</f>
        <v>2055-06-04T18:45:59.130279Z</v>
      </c>
      <c r="AI128" s="3">
        <f ca="1">IFERROR(__xludf.DUMMYFUNCTION("""COMPUTED_VALUE"""),4.411111111)</f>
        <v>4.4111111110000003</v>
      </c>
      <c r="AJ128" s="3">
        <f ca="1">IFERROR(__xludf.DUMMYFUNCTION("""COMPUTED_VALUE"""),68)</f>
        <v>68</v>
      </c>
      <c r="AK128" s="3">
        <f ca="1">IFERROR(__xludf.DUMMYFUNCTION("""COMPUTED_VALUE"""),223)</f>
        <v>223</v>
      </c>
      <c r="AL128" s="3">
        <f ca="1">IFERROR(__xludf.DUMMYFUNCTION("""COMPUTED_VALUE"""),118)</f>
        <v>118</v>
      </c>
    </row>
    <row r="129" spans="1:38" ht="13">
      <c r="A129" s="3">
        <f ca="1">IFERROR(__xludf.DUMMYFUNCTION("""COMPUTED_VALUE"""),161)</f>
        <v>161</v>
      </c>
      <c r="B129" s="3"/>
      <c r="C129" s="3">
        <f ca="1">IFERROR(__xludf.DUMMYFUNCTION("""COMPUTED_VALUE"""),4050)</f>
        <v>4050</v>
      </c>
      <c r="D129" s="3" t="str">
        <f ca="1">IFERROR(__xludf.DUMMYFUNCTION("""COMPUTED_VALUE"""),"Doorlanta")</f>
        <v>Doorlanta</v>
      </c>
      <c r="E129" s="3" t="str">
        <f ca="1">IFERROR(__xludf.DUMMYFUNCTION("""COMPUTED_VALUE"""),"Galaxy A")</f>
        <v>Galaxy A</v>
      </c>
      <c r="F129" s="3" t="str">
        <f ca="1">IFERROR(__xludf.DUMMYFUNCTION("""COMPUTED_VALUE"""),"Sal")</f>
        <v>Sal</v>
      </c>
      <c r="G129" s="3">
        <f ca="1">IFERROR(__xludf.DUMMYFUNCTION("""COMPUTED_VALUE"""),0)</f>
        <v>0</v>
      </c>
      <c r="H129" s="3" t="str">
        <f ca="1">IFERROR(__xludf.DUMMYFUNCTION("""COMPUTED_VALUE"""),"car")</f>
        <v>car</v>
      </c>
      <c r="I129" s="3" t="str">
        <f ca="1">IFERROR(__xludf.DUMMYFUNCTION("""COMPUTED_VALUE"""),"2055-06-02T20:27:41.166275Z")</f>
        <v>2055-06-02T20:27:41.166275Z</v>
      </c>
      <c r="J129" s="3" t="str">
        <f ca="1">IFERROR(__xludf.DUMMYFUNCTION("""COMPUTED_VALUE"""),"2055-06-02T21:07:41.229Z")</f>
        <v>2055-06-02T21:07:41.229Z</v>
      </c>
      <c r="K129" s="3" t="str">
        <f ca="1">IFERROR(__xludf.DUMMYFUNCTION("""COMPUTED_VALUE"""),"2055-06-02T21:02:42.229Z")</f>
        <v>2055-06-02T21:02:42.229Z</v>
      </c>
      <c r="L129" s="3">
        <f ca="1">IFERROR(__xludf.DUMMYFUNCTION("""COMPUTED_VALUE"""),1)</f>
        <v>1</v>
      </c>
      <c r="M129" s="3">
        <f ca="1">IFERROR(__xludf.DUMMYFUNCTION("""COMPUTED_VALUE"""),0)</f>
        <v>0</v>
      </c>
      <c r="N129" s="3" t="str">
        <f ca="1">IFERROR(__xludf.DUMMYFUNCTION("""COMPUTED_VALUE"""),"2055-06-02T20:52:04.850587Z")</f>
        <v>2055-06-02T20:52:04.850587Z</v>
      </c>
      <c r="O129" s="3" t="str">
        <f ca="1">IFERROR(__xludf.DUMMYFUNCTION("""COMPUTED_VALUE"""),"2055-06-02T21:38:21.260721Z")</f>
        <v>2055-06-02T21:38:21.260721Z</v>
      </c>
      <c r="P129" s="3" t="str">
        <f ca="1">IFERROR(__xludf.DUMMYFUNCTION("""COMPUTED_VALUE"""),"2055-06-02T20:27:47.332342Z")</f>
        <v>2055-06-02T20:27:47.332342Z</v>
      </c>
      <c r="Q129" s="3">
        <f ca="1">IFERROR(__xludf.DUMMYFUNCTION("""COMPUTED_VALUE"""),0)</f>
        <v>0</v>
      </c>
      <c r="R129" s="3" t="str">
        <f ca="1">IFERROR(__xludf.DUMMYFUNCTION("""COMPUTED_VALUE"""),"2055-06-02T20:27:52.903462Z")</f>
        <v>2055-06-02T20:27:52.903462Z</v>
      </c>
      <c r="S129" s="3" t="str">
        <f ca="1">IFERROR(__xludf.DUMMYFUNCTION("""COMPUTED_VALUE"""),"2055-06-02T20:47:05.207423Z")</f>
        <v>2055-06-02T20:47:05.207423Z</v>
      </c>
      <c r="T129" s="3"/>
      <c r="U129" s="4">
        <f ca="1">IFERROR(__xludf.DUMMYFUNCTION("""COMPUTED_VALUE"""),56767)</f>
        <v>56767</v>
      </c>
      <c r="V129" s="3">
        <f ca="1">IFERROR(__xludf.DUMMYFUNCTION("""COMPUTED_VALUE"""),4.5)</f>
        <v>4.5</v>
      </c>
      <c r="W129" s="3">
        <f ca="1">IFERROR(__xludf.DUMMYFUNCTION("""COMPUTED_VALUE"""),4500)</f>
        <v>4500</v>
      </c>
      <c r="X129" s="3">
        <f ca="1">IFERROR(__xludf.DUMMYFUNCTION("""COMPUTED_VALUE"""),4229)</f>
        <v>4229</v>
      </c>
      <c r="Y129" s="3">
        <f ca="1">IFERROR(__xludf.DUMMYFUNCTION("""COMPUTED_VALUE"""),1153)</f>
        <v>1153</v>
      </c>
      <c r="Z129" s="3">
        <f ca="1">IFERROR(__xludf.DUMMYFUNCTION("""COMPUTED_VALUE"""),299)</f>
        <v>299</v>
      </c>
      <c r="AA129" s="3">
        <f ca="1">IFERROR(__xludf.DUMMYFUNCTION("""COMPUTED_VALUE"""),2777)</f>
        <v>2777</v>
      </c>
      <c r="AB129" s="3">
        <f ca="1">IFERROR(__xludf.DUMMYFUNCTION("""COMPUTED_VALUE"""),0)</f>
        <v>0</v>
      </c>
      <c r="AC129" s="3">
        <f ca="1">IFERROR(__xludf.DUMMYFUNCTION("""COMPUTED_VALUE"""),4)</f>
        <v>4</v>
      </c>
      <c r="AD129" s="3" t="str">
        <f ca="1">IFERROR(__xludf.DUMMYFUNCTION("""COMPUTED_VALUE"""),"on time")</f>
        <v>on time</v>
      </c>
      <c r="AE129" s="3" t="str">
        <f ca="1">IFERROR(__xludf.DUMMYFUNCTION("""COMPUTED_VALUE"""),"2055-06-02T16:52:04.850587Z")</f>
        <v>2055-06-02T16:52:04.850587Z</v>
      </c>
      <c r="AF129" s="3" t="str">
        <f ca="1">IFERROR(__xludf.DUMMYFUNCTION("""COMPUTED_VALUE"""),"2055-06-02T17:38:21.260721Z")</f>
        <v>2055-06-02T17:38:21.260721Z</v>
      </c>
      <c r="AG129" s="3" t="str">
        <f ca="1">IFERROR(__xludf.DUMMYFUNCTION("""COMPUTED_VALUE"""),"2055-06-02T16:27:47.332342Z")</f>
        <v>2055-06-02T16:27:47.332342Z</v>
      </c>
      <c r="AH129" s="3" t="str">
        <f ca="1">IFERROR(__xludf.DUMMYFUNCTION("""COMPUTED_VALUE"""),"2055-06-02T16:47:05.207423Z")</f>
        <v>2055-06-02T16:47:05.207423Z</v>
      </c>
      <c r="AI129" s="3">
        <f ca="1">IFERROR(__xludf.DUMMYFUNCTION("""COMPUTED_VALUE"""),4.46)</f>
        <v>4.46</v>
      </c>
      <c r="AJ129" s="3">
        <f ca="1">IFERROR(__xludf.DUMMYFUNCTION("""COMPUTED_VALUE"""),349)</f>
        <v>349</v>
      </c>
      <c r="AK129" s="3">
        <f ca="1">IFERROR(__xludf.DUMMYFUNCTION("""COMPUTED_VALUE"""),779)</f>
        <v>779</v>
      </c>
      <c r="AL129" s="3"/>
    </row>
    <row r="130" spans="1:38" ht="13">
      <c r="A130" s="3">
        <f ca="1">IFERROR(__xludf.DUMMYFUNCTION("""COMPUTED_VALUE"""),343)</f>
        <v>343</v>
      </c>
      <c r="B130" s="3">
        <f ca="1">IFERROR(__xludf.DUMMYFUNCTION("""COMPUTED_VALUE"""),5)</f>
        <v>5</v>
      </c>
      <c r="C130" s="3">
        <f ca="1">IFERROR(__xludf.DUMMYFUNCTION("""COMPUTED_VALUE"""),4050)</f>
        <v>4050</v>
      </c>
      <c r="D130" s="3" t="str">
        <f ca="1">IFERROR(__xludf.DUMMYFUNCTION("""COMPUTED_VALUE"""),"Doorlanta")</f>
        <v>Doorlanta</v>
      </c>
      <c r="E130" s="3" t="str">
        <f ca="1">IFERROR(__xludf.DUMMYFUNCTION("""COMPUTED_VALUE"""),"Galaxy A")</f>
        <v>Galaxy A</v>
      </c>
      <c r="F130" s="3" t="str">
        <f ca="1">IFERROR(__xludf.DUMMYFUNCTION("""COMPUTED_VALUE"""),"Cate")</f>
        <v>Cate</v>
      </c>
      <c r="G130" s="3">
        <f ca="1">IFERROR(__xludf.DUMMYFUNCTION("""COMPUTED_VALUE"""),0)</f>
        <v>0</v>
      </c>
      <c r="H130" s="3" t="str">
        <f ca="1">IFERROR(__xludf.DUMMYFUNCTION("""COMPUTED_VALUE"""),"car")</f>
        <v>car</v>
      </c>
      <c r="I130" s="3" t="str">
        <f ca="1">IFERROR(__xludf.DUMMYFUNCTION("""COMPUTED_VALUE"""),"2055-06-03T22:07:23.027045Z")</f>
        <v>2055-06-03T22:07:23.027045Z</v>
      </c>
      <c r="J130" s="3" t="str">
        <f ca="1">IFERROR(__xludf.DUMMYFUNCTION("""COMPUTED_VALUE"""),"2055-06-03T23:03:42.116Z")</f>
        <v>2055-06-03T23:03:42.116Z</v>
      </c>
      <c r="K130" s="3" t="str">
        <f ca="1">IFERROR(__xludf.DUMMYFUNCTION("""COMPUTED_VALUE"""),"2055-06-03T22:44:49.116Z")</f>
        <v>2055-06-03T22:44:49.116Z</v>
      </c>
      <c r="L130" s="3">
        <f ca="1">IFERROR(__xludf.DUMMYFUNCTION("""COMPUTED_VALUE"""),1)</f>
        <v>1</v>
      </c>
      <c r="M130" s="3">
        <f ca="1">IFERROR(__xludf.DUMMYFUNCTION("""COMPUTED_VALUE"""),0)</f>
        <v>0</v>
      </c>
      <c r="N130" s="3" t="str">
        <f ca="1">IFERROR(__xludf.DUMMYFUNCTION("""COMPUTED_VALUE"""),"2055-06-03T22:31:57.427375Z")</f>
        <v>2055-06-03T22:31:57.427375Z</v>
      </c>
      <c r="O130" s="3" t="str">
        <f ca="1">IFERROR(__xludf.DUMMYFUNCTION("""COMPUTED_VALUE"""),"2055-06-03T22:41:58.713808Z")</f>
        <v>2055-06-03T22:41:58.713808Z</v>
      </c>
      <c r="P130" s="3" t="str">
        <f ca="1">IFERROR(__xludf.DUMMYFUNCTION("""COMPUTED_VALUE"""),"2055-06-03T22:07:27.376705Z")</f>
        <v>2055-06-03T22:07:27.376705Z</v>
      </c>
      <c r="Q130" s="3">
        <f ca="1">IFERROR(__xludf.DUMMYFUNCTION("""COMPUTED_VALUE"""),0)</f>
        <v>0</v>
      </c>
      <c r="R130" s="3" t="str">
        <f ca="1">IFERROR(__xludf.DUMMYFUNCTION("""COMPUTED_VALUE"""),"2055-06-03T22:07:33.185312Z")</f>
        <v>2055-06-03T22:07:33.185312Z</v>
      </c>
      <c r="S130" s="3" t="str">
        <f ca="1">IFERROR(__xludf.DUMMYFUNCTION("""COMPUTED_VALUE"""),"2055-06-03T22:31:52.45887Z")</f>
        <v>2055-06-03T22:31:52.45887Z</v>
      </c>
      <c r="T130" s="3"/>
      <c r="U130" s="4">
        <f ca="1">IFERROR(__xludf.DUMMYFUNCTION("""COMPUTED_VALUE"""),56768)</f>
        <v>56768</v>
      </c>
      <c r="V130" s="3">
        <f ca="1">IFERROR(__xludf.DUMMYFUNCTION("""COMPUTED_VALUE"""),4.7)</f>
        <v>4.7</v>
      </c>
      <c r="W130" s="3">
        <f ca="1">IFERROR(__xludf.DUMMYFUNCTION("""COMPUTED_VALUE"""),4500)</f>
        <v>4500</v>
      </c>
      <c r="X130" s="3">
        <f ca="1">IFERROR(__xludf.DUMMYFUNCTION("""COMPUTED_VALUE"""),2065)</f>
        <v>2065</v>
      </c>
      <c r="Y130" s="3">
        <f ca="1">IFERROR(__xludf.DUMMYFUNCTION("""COMPUTED_VALUE"""),1459)</f>
        <v>1459</v>
      </c>
      <c r="Z130" s="3">
        <f ca="1">IFERROR(__xludf.DUMMYFUNCTION("""COMPUTED_VALUE"""),5)</f>
        <v>5</v>
      </c>
      <c r="AA130" s="3">
        <f ca="1">IFERROR(__xludf.DUMMYFUNCTION("""COMPUTED_VALUE"""),601)</f>
        <v>601</v>
      </c>
      <c r="AB130" s="3">
        <f ca="1">IFERROR(__xludf.DUMMYFUNCTION("""COMPUTED_VALUE"""),0)</f>
        <v>0</v>
      </c>
      <c r="AC130" s="3">
        <f ca="1">IFERROR(__xludf.DUMMYFUNCTION("""COMPUTED_VALUE"""),3)</f>
        <v>3</v>
      </c>
      <c r="AD130" s="3" t="str">
        <f ca="1">IFERROR(__xludf.DUMMYFUNCTION("""COMPUTED_VALUE"""),"on time")</f>
        <v>on time</v>
      </c>
      <c r="AE130" s="3" t="str">
        <f ca="1">IFERROR(__xludf.DUMMYFUNCTION("""COMPUTED_VALUE"""),"2055-06-03T18:31:57.427375Z")</f>
        <v>2055-06-03T18:31:57.427375Z</v>
      </c>
      <c r="AF130" s="3" t="str">
        <f ca="1">IFERROR(__xludf.DUMMYFUNCTION("""COMPUTED_VALUE"""),"2055-06-03T18:41:58.713808Z")</f>
        <v>2055-06-03T18:41:58.713808Z</v>
      </c>
      <c r="AG130" s="3" t="str">
        <f ca="1">IFERROR(__xludf.DUMMYFUNCTION("""COMPUTED_VALUE"""),"2055-06-03T18:07:27.376705Z")</f>
        <v>2055-06-03T18:07:27.376705Z</v>
      </c>
      <c r="AH130" s="3" t="str">
        <f ca="1">IFERROR(__xludf.DUMMYFUNCTION("""COMPUTED_VALUE"""),"2055-06-03T18:31:52.45887Z")</f>
        <v>2055-06-03T18:31:52.45887Z</v>
      </c>
      <c r="AI130" s="3">
        <f ca="1">IFERROR(__xludf.DUMMYFUNCTION("""COMPUTED_VALUE"""),4.49)</f>
        <v>4.49</v>
      </c>
      <c r="AJ130" s="3">
        <f ca="1">IFERROR(__xludf.DUMMYFUNCTION("""COMPUTED_VALUE"""),2315)</f>
        <v>2315</v>
      </c>
      <c r="AK130" s="3">
        <f ca="1">IFERROR(__xludf.DUMMYFUNCTION("""COMPUTED_VALUE"""),7039)</f>
        <v>7039</v>
      </c>
      <c r="AL130" s="3">
        <f ca="1">IFERROR(__xludf.DUMMYFUNCTION("""COMPUTED_VALUE"""),763)</f>
        <v>763</v>
      </c>
    </row>
    <row r="131" spans="1:38" ht="13">
      <c r="A131" s="3">
        <f ca="1">IFERROR(__xludf.DUMMYFUNCTION("""COMPUTED_VALUE"""),1414)</f>
        <v>1414</v>
      </c>
      <c r="B131" s="3"/>
      <c r="C131" s="3">
        <f ca="1">IFERROR(__xludf.DUMMYFUNCTION("""COMPUTED_VALUE"""),4001)</f>
        <v>4001</v>
      </c>
      <c r="D131" s="3" t="str">
        <f ca="1">IFERROR(__xludf.DUMMYFUNCTION("""COMPUTED_VALUE"""),"Dashattan")</f>
        <v>Dashattan</v>
      </c>
      <c r="E131" s="3" t="str">
        <f ca="1">IFERROR(__xludf.DUMMYFUNCTION("""COMPUTED_VALUE"""),"Galaxy A")</f>
        <v>Galaxy A</v>
      </c>
      <c r="F131" s="3" t="str">
        <f ca="1">IFERROR(__xludf.DUMMYFUNCTION("""COMPUTED_VALUE"""),"Carlee")</f>
        <v>Carlee</v>
      </c>
      <c r="G131" s="3">
        <f ca="1">IFERROR(__xludf.DUMMYFUNCTION("""COMPUTED_VALUE"""),0)</f>
        <v>0</v>
      </c>
      <c r="H131" s="3" t="str">
        <f ca="1">IFERROR(__xludf.DUMMYFUNCTION("""COMPUTED_VALUE"""),"car")</f>
        <v>car</v>
      </c>
      <c r="I131" s="3" t="str">
        <f ca="1">IFERROR(__xludf.DUMMYFUNCTION("""COMPUTED_VALUE"""),"2055-06-12T17:34:49.153437Z")</f>
        <v>2055-06-12T17:34:49.153437Z</v>
      </c>
      <c r="J131" s="3" t="str">
        <f ca="1">IFERROR(__xludf.DUMMYFUNCTION("""COMPUTED_VALUE"""),"2055-06-12T18:29:28.217Z")</f>
        <v>2055-06-12T18:29:28.217Z</v>
      </c>
      <c r="K131" s="3" t="str">
        <f ca="1">IFERROR(__xludf.DUMMYFUNCTION("""COMPUTED_VALUE"""),"2055-06-12T18:10:35.217Z")</f>
        <v>2055-06-12T18:10:35.217Z</v>
      </c>
      <c r="L131" s="3">
        <f ca="1">IFERROR(__xludf.DUMMYFUNCTION("""COMPUTED_VALUE"""),1)</f>
        <v>1</v>
      </c>
      <c r="M131" s="3">
        <f ca="1">IFERROR(__xludf.DUMMYFUNCTION("""COMPUTED_VALUE"""),0)</f>
        <v>0</v>
      </c>
      <c r="N131" s="3" t="str">
        <f ca="1">IFERROR(__xludf.DUMMYFUNCTION("""COMPUTED_VALUE"""),"2055-06-12T18:01:06.988272Z")</f>
        <v>2055-06-12T18:01:06.988272Z</v>
      </c>
      <c r="O131" s="3" t="str">
        <f ca="1">IFERROR(__xludf.DUMMYFUNCTION("""COMPUTED_VALUE"""),"2055-06-12T18:11:55.114734Z")</f>
        <v>2055-06-12T18:11:55.114734Z</v>
      </c>
      <c r="P131" s="3" t="str">
        <f ca="1">IFERROR(__xludf.DUMMYFUNCTION("""COMPUTED_VALUE"""),"2055-06-12T17:40:34.251282Z")</f>
        <v>2055-06-12T17:40:34.251282Z</v>
      </c>
      <c r="Q131" s="3">
        <f ca="1">IFERROR(__xludf.DUMMYFUNCTION("""COMPUTED_VALUE"""),0)</f>
        <v>0</v>
      </c>
      <c r="R131" s="3" t="str">
        <f ca="1">IFERROR(__xludf.DUMMYFUNCTION("""COMPUTED_VALUE"""),"2055-06-12T17:40:40.764267Z")</f>
        <v>2055-06-12T17:40:40.764267Z</v>
      </c>
      <c r="S131" s="3" t="str">
        <f ca="1">IFERROR(__xludf.DUMMYFUNCTION("""COMPUTED_VALUE"""),"2055-06-12T17:58:31.345996Z")</f>
        <v>2055-06-12T17:58:31.345996Z</v>
      </c>
      <c r="T131" s="3"/>
      <c r="U131" s="4">
        <f ca="1">IFERROR(__xludf.DUMMYFUNCTION("""COMPUTED_VALUE"""),56777)</f>
        <v>56777</v>
      </c>
      <c r="V131" s="3">
        <f ca="1">IFERROR(__xludf.DUMMYFUNCTION("""COMPUTED_VALUE"""),4.417617764)</f>
        <v>4.4176177640000001</v>
      </c>
      <c r="W131" s="3">
        <f ca="1">IFERROR(__xludf.DUMMYFUNCTION("""COMPUTED_VALUE"""),4500)</f>
        <v>4500</v>
      </c>
      <c r="X131" s="3">
        <f ca="1">IFERROR(__xludf.DUMMYFUNCTION("""COMPUTED_VALUE"""),1875)</f>
        <v>1875</v>
      </c>
      <c r="Y131" s="3">
        <f ca="1">IFERROR(__xludf.DUMMYFUNCTION("""COMPUTED_VALUE"""),1071)</f>
        <v>1071</v>
      </c>
      <c r="Z131" s="3">
        <f ca="1">IFERROR(__xludf.DUMMYFUNCTION("""COMPUTED_VALUE"""),155)</f>
        <v>155</v>
      </c>
      <c r="AA131" s="3">
        <f ca="1">IFERROR(__xludf.DUMMYFUNCTION("""COMPUTED_VALUE"""),649)</f>
        <v>649</v>
      </c>
      <c r="AB131" s="3">
        <f ca="1">IFERROR(__xludf.DUMMYFUNCTION("""COMPUTED_VALUE"""),0)</f>
        <v>0</v>
      </c>
      <c r="AC131" s="3">
        <f ca="1">IFERROR(__xludf.DUMMYFUNCTION("""COMPUTED_VALUE"""),6)</f>
        <v>6</v>
      </c>
      <c r="AD131" s="3" t="str">
        <f ca="1">IFERROR(__xludf.DUMMYFUNCTION("""COMPUTED_VALUE"""),"late")</f>
        <v>late</v>
      </c>
      <c r="AE131" s="3" t="str">
        <f ca="1">IFERROR(__xludf.DUMMYFUNCTION("""COMPUTED_VALUE"""),"2055-06-12T14:01:06.988272Z")</f>
        <v>2055-06-12T14:01:06.988272Z</v>
      </c>
      <c r="AF131" s="3" t="str">
        <f ca="1">IFERROR(__xludf.DUMMYFUNCTION("""COMPUTED_VALUE"""),"2055-06-12T14:11:55.114734Z")</f>
        <v>2055-06-12T14:11:55.114734Z</v>
      </c>
      <c r="AG131" s="3" t="str">
        <f ca="1">IFERROR(__xludf.DUMMYFUNCTION("""COMPUTED_VALUE"""),"2055-06-12T13:40:34.251282Z")</f>
        <v>2055-06-12T13:40:34.251282Z</v>
      </c>
      <c r="AH131" s="3" t="str">
        <f ca="1">IFERROR(__xludf.DUMMYFUNCTION("""COMPUTED_VALUE"""),"2055-06-12T13:58:31.345996Z")</f>
        <v>2055-06-12T13:58:31.345996Z</v>
      </c>
      <c r="AI131" s="3">
        <f ca="1">IFERROR(__xludf.DUMMYFUNCTION("""COMPUTED_VALUE"""),4.52)</f>
        <v>4.5199999999999996</v>
      </c>
      <c r="AJ131" s="3">
        <f ca="1">IFERROR(__xludf.DUMMYFUNCTION("""COMPUTED_VALUE"""),269)</f>
        <v>269</v>
      </c>
      <c r="AK131" s="3">
        <f ca="1">IFERROR(__xludf.DUMMYFUNCTION("""COMPUTED_VALUE"""),895)</f>
        <v>895</v>
      </c>
      <c r="AL131" s="3">
        <f ca="1">IFERROR(__xludf.DUMMYFUNCTION("""COMPUTED_VALUE"""),23)</f>
        <v>23</v>
      </c>
    </row>
    <row r="132" spans="1:38" ht="13">
      <c r="A132" s="3">
        <f ca="1">IFERROR(__xludf.DUMMYFUNCTION("""COMPUTED_VALUE"""),1600)</f>
        <v>1600</v>
      </c>
      <c r="B132" s="3"/>
      <c r="C132" s="3">
        <f ca="1">IFERROR(__xludf.DUMMYFUNCTION("""COMPUTED_VALUE"""),4001)</f>
        <v>4001</v>
      </c>
      <c r="D132" s="3" t="str">
        <f ca="1">IFERROR(__xludf.DUMMYFUNCTION("""COMPUTED_VALUE"""),"Dashattan")</f>
        <v>Dashattan</v>
      </c>
      <c r="E132" s="3" t="str">
        <f ca="1">IFERROR(__xludf.DUMMYFUNCTION("""COMPUTED_VALUE"""),"Galaxy A")</f>
        <v>Galaxy A</v>
      </c>
      <c r="F132" s="3" t="str">
        <f ca="1">IFERROR(__xludf.DUMMYFUNCTION("""COMPUTED_VALUE"""),"KC")</f>
        <v>KC</v>
      </c>
      <c r="G132" s="3">
        <f ca="1">IFERROR(__xludf.DUMMYFUNCTION("""COMPUTED_VALUE"""),0)</f>
        <v>0</v>
      </c>
      <c r="H132" s="3" t="str">
        <f ca="1">IFERROR(__xludf.DUMMYFUNCTION("""COMPUTED_VALUE"""),"car")</f>
        <v>car</v>
      </c>
      <c r="I132" s="3" t="str">
        <f ca="1">IFERROR(__xludf.DUMMYFUNCTION("""COMPUTED_VALUE"""),"2055-06-13T21:32:39.591796Z")</f>
        <v>2055-06-13T21:32:39.591796Z</v>
      </c>
      <c r="J132" s="3" t="str">
        <f ca="1">IFERROR(__xludf.DUMMYFUNCTION("""COMPUTED_VALUE"""),"2055-06-13T22:20:43.643Z")</f>
        <v>2055-06-13T22:20:43.643Z</v>
      </c>
      <c r="K132" s="3" t="str">
        <f ca="1">IFERROR(__xludf.DUMMYFUNCTION("""COMPUTED_VALUE"""),"2055-06-13T22:01:50.643Z")</f>
        <v>2055-06-13T22:01:50.643Z</v>
      </c>
      <c r="L132" s="3">
        <f ca="1">IFERROR(__xludf.DUMMYFUNCTION("""COMPUTED_VALUE"""),1)</f>
        <v>1</v>
      </c>
      <c r="M132" s="3">
        <f ca="1">IFERROR(__xludf.DUMMYFUNCTION("""COMPUTED_VALUE"""),0)</f>
        <v>0</v>
      </c>
      <c r="N132" s="3" t="str">
        <f ca="1">IFERROR(__xludf.DUMMYFUNCTION("""COMPUTED_VALUE"""),"2055-06-13T21:50:33.065565Z")</f>
        <v>2055-06-13T21:50:33.065565Z</v>
      </c>
      <c r="O132" s="3" t="str">
        <f ca="1">IFERROR(__xludf.DUMMYFUNCTION("""COMPUTED_VALUE"""),"2055-06-13T22:00:51.85847Z")</f>
        <v>2055-06-13T22:00:51.85847Z</v>
      </c>
      <c r="P132" s="3" t="str">
        <f ca="1">IFERROR(__xludf.DUMMYFUNCTION("""COMPUTED_VALUE"""),"2055-06-13T21:40:48.23442Z")</f>
        <v>2055-06-13T21:40:48.23442Z</v>
      </c>
      <c r="Q132" s="3">
        <f ca="1">IFERROR(__xludf.DUMMYFUNCTION("""COMPUTED_VALUE"""),0)</f>
        <v>0</v>
      </c>
      <c r="R132" s="3" t="str">
        <f ca="1">IFERROR(__xludf.DUMMYFUNCTION("""COMPUTED_VALUE"""),"2055-06-13T21:41:03.534355Z")</f>
        <v>2055-06-13T21:41:03.534355Z</v>
      </c>
      <c r="S132" s="3" t="str">
        <f ca="1">IFERROR(__xludf.DUMMYFUNCTION("""COMPUTED_VALUE"""),"2055-06-13T21:42:44.988343Z")</f>
        <v>2055-06-13T21:42:44.988343Z</v>
      </c>
      <c r="T132" s="3"/>
      <c r="U132" s="4">
        <f ca="1">IFERROR(__xludf.DUMMYFUNCTION("""COMPUTED_VALUE"""),56778)</f>
        <v>56778</v>
      </c>
      <c r="V132" s="3">
        <f ca="1">IFERROR(__xludf.DUMMYFUNCTION("""COMPUTED_VALUE"""),3.897026173)</f>
        <v>3.897026173</v>
      </c>
      <c r="W132" s="3">
        <f ca="1">IFERROR(__xludf.DUMMYFUNCTION("""COMPUTED_VALUE"""),4500)</f>
        <v>4500</v>
      </c>
      <c r="X132" s="3">
        <f ca="1">IFERROR(__xludf.DUMMYFUNCTION("""COMPUTED_VALUE"""),1188)</f>
        <v>1188</v>
      </c>
      <c r="Y132" s="3">
        <f ca="1">IFERROR(__xludf.DUMMYFUNCTION("""COMPUTED_VALUE"""),101)</f>
        <v>101</v>
      </c>
      <c r="Z132" s="3">
        <f ca="1">IFERROR(__xludf.DUMMYFUNCTION("""COMPUTED_VALUE"""),469)</f>
        <v>469</v>
      </c>
      <c r="AA132" s="3">
        <f ca="1">IFERROR(__xludf.DUMMYFUNCTION("""COMPUTED_VALUE"""),618)</f>
        <v>618</v>
      </c>
      <c r="AB132" s="3">
        <f ca="1">IFERROR(__xludf.DUMMYFUNCTION("""COMPUTED_VALUE"""),0)</f>
        <v>0</v>
      </c>
      <c r="AC132" s="3">
        <f ca="1">IFERROR(__xludf.DUMMYFUNCTION("""COMPUTED_VALUE"""),6)</f>
        <v>6</v>
      </c>
      <c r="AD132" s="3" t="str">
        <f ca="1">IFERROR(__xludf.DUMMYFUNCTION("""COMPUTED_VALUE"""),"on time")</f>
        <v>on time</v>
      </c>
      <c r="AE132" s="3" t="str">
        <f ca="1">IFERROR(__xludf.DUMMYFUNCTION("""COMPUTED_VALUE"""),"2055-06-13T17:50:33.065565Z")</f>
        <v>2055-06-13T17:50:33.065565Z</v>
      </c>
      <c r="AF132" s="3" t="str">
        <f ca="1">IFERROR(__xludf.DUMMYFUNCTION("""COMPUTED_VALUE"""),"2055-06-13T18:00:51.85847Z")</f>
        <v>2055-06-13T18:00:51.85847Z</v>
      </c>
      <c r="AG132" s="3" t="str">
        <f ca="1">IFERROR(__xludf.DUMMYFUNCTION("""COMPUTED_VALUE"""),"2055-06-13T17:40:48.23442Z")</f>
        <v>2055-06-13T17:40:48.23442Z</v>
      </c>
      <c r="AH132" s="3" t="str">
        <f ca="1">IFERROR(__xludf.DUMMYFUNCTION("""COMPUTED_VALUE"""),"2055-06-13T17:42:44.988343Z")</f>
        <v>2055-06-13T17:42:44.988343Z</v>
      </c>
      <c r="AI132" s="3">
        <f ca="1">IFERROR(__xludf.DUMMYFUNCTION("""COMPUTED_VALUE"""),4.54)</f>
        <v>4.54</v>
      </c>
      <c r="AJ132" s="3">
        <f ca="1">IFERROR(__xludf.DUMMYFUNCTION("""COMPUTED_VALUE"""),2229)</f>
        <v>2229</v>
      </c>
      <c r="AK132" s="3">
        <f ca="1">IFERROR(__xludf.DUMMYFUNCTION("""COMPUTED_VALUE"""),6580)</f>
        <v>6580</v>
      </c>
      <c r="AL132" s="3"/>
    </row>
    <row r="133" spans="1:38" ht="13">
      <c r="A133" s="3">
        <f ca="1">IFERROR(__xludf.DUMMYFUNCTION("""COMPUTED_VALUE"""),319)</f>
        <v>319</v>
      </c>
      <c r="B133" s="3">
        <f ca="1">IFERROR(__xludf.DUMMYFUNCTION("""COMPUTED_VALUE"""),5)</f>
        <v>5</v>
      </c>
      <c r="C133" s="3">
        <f ca="1">IFERROR(__xludf.DUMMYFUNCTION("""COMPUTED_VALUE"""),4001)</f>
        <v>4001</v>
      </c>
      <c r="D133" s="3" t="str">
        <f ca="1">IFERROR(__xludf.DUMMYFUNCTION("""COMPUTED_VALUE"""),"Dashattan")</f>
        <v>Dashattan</v>
      </c>
      <c r="E133" s="3" t="str">
        <f ca="1">IFERROR(__xludf.DUMMYFUNCTION("""COMPUTED_VALUE"""),"Galaxy A")</f>
        <v>Galaxy A</v>
      </c>
      <c r="F133" s="3" t="str">
        <f ca="1">IFERROR(__xludf.DUMMYFUNCTION("""COMPUTED_VALUE"""),"Arya")</f>
        <v>Arya</v>
      </c>
      <c r="G133" s="3">
        <f ca="1">IFERROR(__xludf.DUMMYFUNCTION("""COMPUTED_VALUE"""),0)</f>
        <v>0</v>
      </c>
      <c r="H133" s="3" t="str">
        <f ca="1">IFERROR(__xludf.DUMMYFUNCTION("""COMPUTED_VALUE"""),"bicycle")</f>
        <v>bicycle</v>
      </c>
      <c r="I133" s="3" t="str">
        <f ca="1">IFERROR(__xludf.DUMMYFUNCTION("""COMPUTED_VALUE"""),"2055-06-03T19:18:51.471314Z")</f>
        <v>2055-06-03T19:18:51.471314Z</v>
      </c>
      <c r="J133" s="3" t="str">
        <f ca="1">IFERROR(__xludf.DUMMYFUNCTION("""COMPUTED_VALUE"""),"2055-06-03T20:29:30.561Z")</f>
        <v>2055-06-03T20:29:30.561Z</v>
      </c>
      <c r="K133" s="3" t="str">
        <f ca="1">IFERROR(__xludf.DUMMYFUNCTION("""COMPUTED_VALUE"""),"2055-06-03T20:09:23.561Z")</f>
        <v>2055-06-03T20:09:23.561Z</v>
      </c>
      <c r="L133" s="3">
        <f ca="1">IFERROR(__xludf.DUMMYFUNCTION("""COMPUTED_VALUE"""),1)</f>
        <v>1</v>
      </c>
      <c r="M133" s="3">
        <f ca="1">IFERROR(__xludf.DUMMYFUNCTION("""COMPUTED_VALUE"""),0)</f>
        <v>0</v>
      </c>
      <c r="N133" s="3" t="str">
        <f ca="1">IFERROR(__xludf.DUMMYFUNCTION("""COMPUTED_VALUE"""),"2055-06-03T20:21:16.827955Z")</f>
        <v>2055-06-03T20:21:16.827955Z</v>
      </c>
      <c r="O133" s="3" t="str">
        <f ca="1">IFERROR(__xludf.DUMMYFUNCTION("""COMPUTED_VALUE"""),"2055-06-03T20:50:10.3197Z")</f>
        <v>2055-06-03T20:50:10.3197Z</v>
      </c>
      <c r="P133" s="3" t="str">
        <f ca="1">IFERROR(__xludf.DUMMYFUNCTION("""COMPUTED_VALUE"""),"2055-06-03T19:18:54.181212Z")</f>
        <v>2055-06-03T19:18:54.181212Z</v>
      </c>
      <c r="Q133" s="3">
        <f ca="1">IFERROR(__xludf.DUMMYFUNCTION("""COMPUTED_VALUE"""),0)</f>
        <v>0</v>
      </c>
      <c r="R133" s="3" t="str">
        <f ca="1">IFERROR(__xludf.DUMMYFUNCTION("""COMPUTED_VALUE"""),"2055-06-03T19:19:47.009645Z")</f>
        <v>2055-06-03T19:19:47.009645Z</v>
      </c>
      <c r="S133" s="3"/>
      <c r="T133" s="3"/>
      <c r="U133" s="4">
        <f ca="1">IFERROR(__xludf.DUMMYFUNCTION("""COMPUTED_VALUE"""),56768)</f>
        <v>56768</v>
      </c>
      <c r="V133" s="3">
        <f ca="1">IFERROR(__xludf.DUMMYFUNCTION("""COMPUTED_VALUE"""),4.2)</f>
        <v>4.2</v>
      </c>
      <c r="W133" s="3">
        <f ca="1">IFERROR(__xludf.DUMMYFUNCTION("""COMPUTED_VALUE"""),4500)</f>
        <v>4500</v>
      </c>
      <c r="X133" s="3">
        <f ca="1">IFERROR(__xludf.DUMMYFUNCTION("""COMPUTED_VALUE"""),5423)</f>
        <v>5423</v>
      </c>
      <c r="Y133" s="3"/>
      <c r="Z133" s="3"/>
      <c r="AA133" s="3">
        <f ca="1">IFERROR(__xludf.DUMMYFUNCTION("""COMPUTED_VALUE"""),1734)</f>
        <v>1734</v>
      </c>
      <c r="AB133" s="3">
        <f ca="1">IFERROR(__xludf.DUMMYFUNCTION("""COMPUTED_VALUE"""),0)</f>
        <v>0</v>
      </c>
      <c r="AC133" s="3">
        <f ca="1">IFERROR(__xludf.DUMMYFUNCTION("""COMPUTED_VALUE"""),8)</f>
        <v>8</v>
      </c>
      <c r="AD133" s="3"/>
      <c r="AE133" s="3" t="str">
        <f ca="1">IFERROR(__xludf.DUMMYFUNCTION("""COMPUTED_VALUE"""),"2055-06-03T16:21:16.827955Z")</f>
        <v>2055-06-03T16:21:16.827955Z</v>
      </c>
      <c r="AF133" s="3" t="str">
        <f ca="1">IFERROR(__xludf.DUMMYFUNCTION("""COMPUTED_VALUE"""),"2055-06-03T16:50:10.3197Z")</f>
        <v>2055-06-03T16:50:10.3197Z</v>
      </c>
      <c r="AG133" s="3" t="str">
        <f ca="1">IFERROR(__xludf.DUMMYFUNCTION("""COMPUTED_VALUE"""),"2055-06-03T15:18:54.181212Z")</f>
        <v>2055-06-03T15:18:54.181212Z</v>
      </c>
      <c r="AH133" s="3"/>
      <c r="AI133" s="3">
        <f ca="1">IFERROR(__xludf.DUMMYFUNCTION("""COMPUTED_VALUE"""),4.17)</f>
        <v>4.17</v>
      </c>
      <c r="AJ133" s="3">
        <f ca="1">IFERROR(__xludf.DUMMYFUNCTION("""COMPUTED_VALUE"""),457)</f>
        <v>457</v>
      </c>
      <c r="AK133" s="3">
        <f ca="1">IFERROR(__xludf.DUMMYFUNCTION("""COMPUTED_VALUE"""),1599)</f>
        <v>1599</v>
      </c>
      <c r="AL133" s="3"/>
    </row>
    <row r="134" spans="1:38" ht="13">
      <c r="A134" s="3">
        <f ca="1">IFERROR(__xludf.DUMMYFUNCTION("""COMPUTED_VALUE"""),63)</f>
        <v>63</v>
      </c>
      <c r="B134" s="3">
        <f ca="1">IFERROR(__xludf.DUMMYFUNCTION("""COMPUTED_VALUE"""),5)</f>
        <v>5</v>
      </c>
      <c r="C134" s="3">
        <f ca="1">IFERROR(__xludf.DUMMYFUNCTION("""COMPUTED_VALUE"""),4050)</f>
        <v>4050</v>
      </c>
      <c r="D134" s="3" t="str">
        <f ca="1">IFERROR(__xludf.DUMMYFUNCTION("""COMPUTED_VALUE"""),"Doorlanta")</f>
        <v>Doorlanta</v>
      </c>
      <c r="E134" s="3" t="str">
        <f ca="1">IFERROR(__xludf.DUMMYFUNCTION("""COMPUTED_VALUE"""),"Galaxy A")</f>
        <v>Galaxy A</v>
      </c>
      <c r="F134" s="3" t="str">
        <f ca="1">IFERROR(__xludf.DUMMYFUNCTION("""COMPUTED_VALUE"""),"Merissa")</f>
        <v>Merissa</v>
      </c>
      <c r="G134" s="3">
        <f ca="1">IFERROR(__xludf.DUMMYFUNCTION("""COMPUTED_VALUE"""),0)</f>
        <v>0</v>
      </c>
      <c r="H134" s="3" t="str">
        <f ca="1">IFERROR(__xludf.DUMMYFUNCTION("""COMPUTED_VALUE"""),"car")</f>
        <v>car</v>
      </c>
      <c r="I134" s="3" t="str">
        <f ca="1">IFERROR(__xludf.DUMMYFUNCTION("""COMPUTED_VALUE"""),"2055-06-01T22:27:22.174359Z")</f>
        <v>2055-06-01T22:27:22.174359Z</v>
      </c>
      <c r="J134" s="3" t="str">
        <f ca="1">IFERROR(__xludf.DUMMYFUNCTION("""COMPUTED_VALUE"""),"2055-06-01T23:36:23.243Z")</f>
        <v>2055-06-01T23:36:23.243Z</v>
      </c>
      <c r="K134" s="3" t="str">
        <f ca="1">IFERROR(__xludf.DUMMYFUNCTION("""COMPUTED_VALUE"""),"2055-06-01T23:14:29.243Z")</f>
        <v>2055-06-01T23:14:29.243Z</v>
      </c>
      <c r="L134" s="3">
        <f ca="1">IFERROR(__xludf.DUMMYFUNCTION("""COMPUTED_VALUE"""),1)</f>
        <v>1</v>
      </c>
      <c r="M134" s="3">
        <f ca="1">IFERROR(__xludf.DUMMYFUNCTION("""COMPUTED_VALUE"""),0)</f>
        <v>0</v>
      </c>
      <c r="N134" s="3" t="str">
        <f ca="1">IFERROR(__xludf.DUMMYFUNCTION("""COMPUTED_VALUE"""),"2055-06-01T22:47:40.503343Z")</f>
        <v>2055-06-01T22:47:40.503343Z</v>
      </c>
      <c r="O134" s="3" t="str">
        <f ca="1">IFERROR(__xludf.DUMMYFUNCTION("""COMPUTED_VALUE"""),"2055-06-01T23:12:02.310003Z")</f>
        <v>2055-06-01T23:12:02.310003Z</v>
      </c>
      <c r="P134" s="3" t="str">
        <f ca="1">IFERROR(__xludf.DUMMYFUNCTION("""COMPUTED_VALUE"""),"2055-06-01T22:33:47.404847Z")</f>
        <v>2055-06-01T22:33:47.404847Z</v>
      </c>
      <c r="Q134" s="3">
        <f ca="1">IFERROR(__xludf.DUMMYFUNCTION("""COMPUTED_VALUE"""),0)</f>
        <v>0</v>
      </c>
      <c r="R134" s="3" t="str">
        <f ca="1">IFERROR(__xludf.DUMMYFUNCTION("""COMPUTED_VALUE"""),"2055-06-01T22:33:52.65142Z")</f>
        <v>2055-06-01T22:33:52.65142Z</v>
      </c>
      <c r="S134" s="3" t="str">
        <f ca="1">IFERROR(__xludf.DUMMYFUNCTION("""COMPUTED_VALUE"""),"2055-06-01T22:41:43.184987Z")</f>
        <v>2055-06-01T22:41:43.184987Z</v>
      </c>
      <c r="T134" s="3"/>
      <c r="U134" s="4">
        <f ca="1">IFERROR(__xludf.DUMMYFUNCTION("""COMPUTED_VALUE"""),56766)</f>
        <v>56766</v>
      </c>
      <c r="V134" s="3">
        <f ca="1">IFERROR(__xludf.DUMMYFUNCTION("""COMPUTED_VALUE"""),4.5)</f>
        <v>4.5</v>
      </c>
      <c r="W134" s="3">
        <f ca="1">IFERROR(__xludf.DUMMYFUNCTION("""COMPUTED_VALUE"""),4500)</f>
        <v>4500</v>
      </c>
      <c r="X134" s="3">
        <f ca="1">IFERROR(__xludf.DUMMYFUNCTION("""COMPUTED_VALUE"""),2290)</f>
        <v>2290</v>
      </c>
      <c r="Y134" s="3">
        <f ca="1">IFERROR(__xludf.DUMMYFUNCTION("""COMPUTED_VALUE"""),471)</f>
        <v>471</v>
      </c>
      <c r="Z134" s="3">
        <f ca="1">IFERROR(__xludf.DUMMYFUNCTION("""COMPUTED_VALUE"""),357)</f>
        <v>357</v>
      </c>
      <c r="AA134" s="3">
        <f ca="1">IFERROR(__xludf.DUMMYFUNCTION("""COMPUTED_VALUE"""),1462)</f>
        <v>1462</v>
      </c>
      <c r="AB134" s="3">
        <f ca="1">IFERROR(__xludf.DUMMYFUNCTION("""COMPUTED_VALUE"""),0)</f>
        <v>0</v>
      </c>
      <c r="AC134" s="3">
        <f ca="1">IFERROR(__xludf.DUMMYFUNCTION("""COMPUTED_VALUE"""),3)</f>
        <v>3</v>
      </c>
      <c r="AD134" s="3" t="str">
        <f ca="1">IFERROR(__xludf.DUMMYFUNCTION("""COMPUTED_VALUE"""),"on time")</f>
        <v>on time</v>
      </c>
      <c r="AE134" s="3" t="str">
        <f ca="1">IFERROR(__xludf.DUMMYFUNCTION("""COMPUTED_VALUE"""),"2055-06-01T18:47:40.503343Z")</f>
        <v>2055-06-01T18:47:40.503343Z</v>
      </c>
      <c r="AF134" s="3" t="str">
        <f ca="1">IFERROR(__xludf.DUMMYFUNCTION("""COMPUTED_VALUE"""),"2055-06-01T19:12:02.310003Z")</f>
        <v>2055-06-01T19:12:02.310003Z</v>
      </c>
      <c r="AG134" s="3" t="str">
        <f ca="1">IFERROR(__xludf.DUMMYFUNCTION("""COMPUTED_VALUE"""),"2055-06-01T18:33:47.404847Z")</f>
        <v>2055-06-01T18:33:47.404847Z</v>
      </c>
      <c r="AH134" s="3" t="str">
        <f ca="1">IFERROR(__xludf.DUMMYFUNCTION("""COMPUTED_VALUE"""),"2055-06-01T18:41:43.184987Z")</f>
        <v>2055-06-01T18:41:43.184987Z</v>
      </c>
      <c r="AI134" s="3">
        <f ca="1">IFERROR(__xludf.DUMMYFUNCTION("""COMPUTED_VALUE"""),4.58)</f>
        <v>4.58</v>
      </c>
      <c r="AJ134" s="3">
        <f ca="1">IFERROR(__xludf.DUMMYFUNCTION("""COMPUTED_VALUE"""),679)</f>
        <v>679</v>
      </c>
      <c r="AK134" s="3">
        <f ca="1">IFERROR(__xludf.DUMMYFUNCTION("""COMPUTED_VALUE"""),2371)</f>
        <v>2371</v>
      </c>
      <c r="AL134" s="3">
        <f ca="1">IFERROR(__xludf.DUMMYFUNCTION("""COMPUTED_VALUE"""),1830)</f>
        <v>1830</v>
      </c>
    </row>
    <row r="135" spans="1:38" ht="13">
      <c r="A135" s="3">
        <f ca="1">IFERROR(__xludf.DUMMYFUNCTION("""COMPUTED_VALUE"""),526)</f>
        <v>526</v>
      </c>
      <c r="B135" s="3">
        <f ca="1">IFERROR(__xludf.DUMMYFUNCTION("""COMPUTED_VALUE"""),5)</f>
        <v>5</v>
      </c>
      <c r="C135" s="3">
        <f ca="1">IFERROR(__xludf.DUMMYFUNCTION("""COMPUTED_VALUE"""),4001)</f>
        <v>4001</v>
      </c>
      <c r="D135" s="3" t="str">
        <f ca="1">IFERROR(__xludf.DUMMYFUNCTION("""COMPUTED_VALUE"""),"Dashattan")</f>
        <v>Dashattan</v>
      </c>
      <c r="E135" s="3" t="str">
        <f ca="1">IFERROR(__xludf.DUMMYFUNCTION("""COMPUTED_VALUE"""),"Galaxy A")</f>
        <v>Galaxy A</v>
      </c>
      <c r="F135" s="3" t="str">
        <f ca="1">IFERROR(__xludf.DUMMYFUNCTION("""COMPUTED_VALUE"""),"Arya")</f>
        <v>Arya</v>
      </c>
      <c r="G135" s="3">
        <f ca="1">IFERROR(__xludf.DUMMYFUNCTION("""COMPUTED_VALUE"""),0)</f>
        <v>0</v>
      </c>
      <c r="H135" s="3" t="str">
        <f ca="1">IFERROR(__xludf.DUMMYFUNCTION("""COMPUTED_VALUE"""),"bicycle")</f>
        <v>bicycle</v>
      </c>
      <c r="I135" s="3" t="str">
        <f ca="1">IFERROR(__xludf.DUMMYFUNCTION("""COMPUTED_VALUE"""),"2055-06-05T01:25:32.02938Z")</f>
        <v>2055-06-05T01:25:32.02938Z</v>
      </c>
      <c r="J135" s="3" t="str">
        <f ca="1">IFERROR(__xludf.DUMMYFUNCTION("""COMPUTED_VALUE"""),"2055-06-05T02:17:09.092Z")</f>
        <v>2055-06-05T02:17:09.092Z</v>
      </c>
      <c r="K135" s="3" t="str">
        <f ca="1">IFERROR(__xludf.DUMMYFUNCTION("""COMPUTED_VALUE"""),"2055-06-05T01:57:30.092Z")</f>
        <v>2055-06-05T01:57:30.092Z</v>
      </c>
      <c r="L135" s="3">
        <f ca="1">IFERROR(__xludf.DUMMYFUNCTION("""COMPUTED_VALUE"""),1)</f>
        <v>1</v>
      </c>
      <c r="M135" s="3">
        <f ca="1">IFERROR(__xludf.DUMMYFUNCTION("""COMPUTED_VALUE"""),0)</f>
        <v>0</v>
      </c>
      <c r="N135" s="3" t="str">
        <f ca="1">IFERROR(__xludf.DUMMYFUNCTION("""COMPUTED_VALUE"""),"2055-06-05T01:44:14.360138Z")</f>
        <v>2055-06-05T01:44:14.360138Z</v>
      </c>
      <c r="O135" s="3" t="str">
        <f ca="1">IFERROR(__xludf.DUMMYFUNCTION("""COMPUTED_VALUE"""),"2055-06-05T01:52:48.979231Z")</f>
        <v>2055-06-05T01:52:48.979231Z</v>
      </c>
      <c r="P135" s="3" t="str">
        <f ca="1">IFERROR(__xludf.DUMMYFUNCTION("""COMPUTED_VALUE"""),"2055-06-05T01:27:34.823698Z")</f>
        <v>2055-06-05T01:27:34.823698Z</v>
      </c>
      <c r="Q135" s="3">
        <f ca="1">IFERROR(__xludf.DUMMYFUNCTION("""COMPUTED_VALUE"""),0)</f>
        <v>0</v>
      </c>
      <c r="R135" s="3" t="str">
        <f ca="1">IFERROR(__xludf.DUMMYFUNCTION("""COMPUTED_VALUE"""),"2055-06-05T01:27:47.209116Z")</f>
        <v>2055-06-05T01:27:47.209116Z</v>
      </c>
      <c r="S135" s="3" t="str">
        <f ca="1">IFERROR(__xludf.DUMMYFUNCTION("""COMPUTED_VALUE"""),"2055-06-05T01:44:56.118198Z")</f>
        <v>2055-06-05T01:44:56.118198Z</v>
      </c>
      <c r="T135" s="3"/>
      <c r="U135" s="4">
        <f ca="1">IFERROR(__xludf.DUMMYFUNCTION("""COMPUTED_VALUE"""),56769)</f>
        <v>56769</v>
      </c>
      <c r="V135" s="3">
        <f ca="1">IFERROR(__xludf.DUMMYFUNCTION("""COMPUTED_VALUE"""),4.649691893)</f>
        <v>4.649691893</v>
      </c>
      <c r="W135" s="3">
        <f ca="1">IFERROR(__xludf.DUMMYFUNCTION("""COMPUTED_VALUE"""),4500)</f>
        <v>4500</v>
      </c>
      <c r="X135" s="3">
        <f ca="1">IFERROR(__xludf.DUMMYFUNCTION("""COMPUTED_VALUE"""),1501)</f>
        <v>1501</v>
      </c>
      <c r="Y135" s="3">
        <f ca="1">IFERROR(__xludf.DUMMYFUNCTION("""COMPUTED_VALUE"""),1029)</f>
        <v>1029</v>
      </c>
      <c r="Z135" s="3"/>
      <c r="AA135" s="3">
        <f ca="1">IFERROR(__xludf.DUMMYFUNCTION("""COMPUTED_VALUE"""),514)</f>
        <v>514</v>
      </c>
      <c r="AB135" s="3">
        <f ca="1">IFERROR(__xludf.DUMMYFUNCTION("""COMPUTED_VALUE"""),1)</f>
        <v>1</v>
      </c>
      <c r="AC135" s="3">
        <f ca="1">IFERROR(__xludf.DUMMYFUNCTION("""COMPUTED_VALUE"""),14)</f>
        <v>14</v>
      </c>
      <c r="AD135" s="3"/>
      <c r="AE135" s="3" t="str">
        <f ca="1">IFERROR(__xludf.DUMMYFUNCTION("""COMPUTED_VALUE"""),"2055-06-04T21:44:14.360138Z")</f>
        <v>2055-06-04T21:44:14.360138Z</v>
      </c>
      <c r="AF135" s="3" t="str">
        <f ca="1">IFERROR(__xludf.DUMMYFUNCTION("""COMPUTED_VALUE"""),"2055-06-04T21:52:48.979231Z")</f>
        <v>2055-06-04T21:52:48.979231Z</v>
      </c>
      <c r="AG135" s="3" t="str">
        <f ca="1">IFERROR(__xludf.DUMMYFUNCTION("""COMPUTED_VALUE"""),"2055-06-04T21:27:34.823698Z")</f>
        <v>2055-06-04T21:27:34.823698Z</v>
      </c>
      <c r="AH135" s="3" t="str">
        <f ca="1">IFERROR(__xludf.DUMMYFUNCTION("""COMPUTED_VALUE"""),"2055-06-04T21:44:56.118198Z")</f>
        <v>2055-06-04T21:44:56.118198Z</v>
      </c>
      <c r="AI135" s="3">
        <f ca="1">IFERROR(__xludf.DUMMYFUNCTION("""COMPUTED_VALUE"""),4.17)</f>
        <v>4.17</v>
      </c>
      <c r="AJ135" s="3">
        <f ca="1">IFERROR(__xludf.DUMMYFUNCTION("""COMPUTED_VALUE"""),457)</f>
        <v>457</v>
      </c>
      <c r="AK135" s="3">
        <f ca="1">IFERROR(__xludf.DUMMYFUNCTION("""COMPUTED_VALUE"""),1599)</f>
        <v>1599</v>
      </c>
      <c r="AL135" s="3"/>
    </row>
    <row r="136" spans="1:38" ht="13">
      <c r="A136" s="3">
        <f ca="1">IFERROR(__xludf.DUMMYFUNCTION("""COMPUTED_VALUE"""),768)</f>
        <v>768</v>
      </c>
      <c r="B136" s="3">
        <f ca="1">IFERROR(__xludf.DUMMYFUNCTION("""COMPUTED_VALUE"""),5)</f>
        <v>5</v>
      </c>
      <c r="C136" s="3">
        <f ca="1">IFERROR(__xludf.DUMMYFUNCTION("""COMPUTED_VALUE"""),4050)</f>
        <v>4050</v>
      </c>
      <c r="D136" s="3" t="str">
        <f ca="1">IFERROR(__xludf.DUMMYFUNCTION("""COMPUTED_VALUE"""),"Doorlanta")</f>
        <v>Doorlanta</v>
      </c>
      <c r="E136" s="3" t="str">
        <f ca="1">IFERROR(__xludf.DUMMYFUNCTION("""COMPUTED_VALUE"""),"Galaxy A")</f>
        <v>Galaxy A</v>
      </c>
      <c r="F136" s="3" t="str">
        <f ca="1">IFERROR(__xludf.DUMMYFUNCTION("""COMPUTED_VALUE"""),"Carol")</f>
        <v>Carol</v>
      </c>
      <c r="G136" s="3">
        <f ca="1">IFERROR(__xludf.DUMMYFUNCTION("""COMPUTED_VALUE"""),0)</f>
        <v>0</v>
      </c>
      <c r="H136" s="3" t="str">
        <f ca="1">IFERROR(__xludf.DUMMYFUNCTION("""COMPUTED_VALUE"""),"car")</f>
        <v>car</v>
      </c>
      <c r="I136" s="3" t="str">
        <f ca="1">IFERROR(__xludf.DUMMYFUNCTION("""COMPUTED_VALUE"""),"2055-06-06T21:41:20.893105Z")</f>
        <v>2055-06-06T21:41:20.893105Z</v>
      </c>
      <c r="J136" s="3" t="str">
        <f ca="1">IFERROR(__xludf.DUMMYFUNCTION("""COMPUTED_VALUE"""),"2055-06-06T22:36:34.994Z")</f>
        <v>2055-06-06T22:36:34.994Z</v>
      </c>
      <c r="K136" s="3" t="str">
        <f ca="1">IFERROR(__xludf.DUMMYFUNCTION("""COMPUTED_VALUE"""),"2055-06-06T22:16:27.994Z")</f>
        <v>2055-06-06T22:16:27.994Z</v>
      </c>
      <c r="L136" s="3">
        <f ca="1">IFERROR(__xludf.DUMMYFUNCTION("""COMPUTED_VALUE"""),1)</f>
        <v>1</v>
      </c>
      <c r="M136" s="3">
        <f ca="1">IFERROR(__xludf.DUMMYFUNCTION("""COMPUTED_VALUE"""),0)</f>
        <v>0</v>
      </c>
      <c r="N136" s="3" t="str">
        <f ca="1">IFERROR(__xludf.DUMMYFUNCTION("""COMPUTED_VALUE"""),"2055-06-06T22:00:56.927065Z")</f>
        <v>2055-06-06T22:00:56.927065Z</v>
      </c>
      <c r="O136" s="3" t="str">
        <f ca="1">IFERROR(__xludf.DUMMYFUNCTION("""COMPUTED_VALUE"""),"2055-06-06T22:24:58.856514Z")</f>
        <v>2055-06-06T22:24:58.856514Z</v>
      </c>
      <c r="P136" s="3" t="str">
        <f ca="1">IFERROR(__xludf.DUMMYFUNCTION("""COMPUTED_VALUE"""),"2055-06-06T21:41:47.286967Z")</f>
        <v>2055-06-06T21:41:47.286967Z</v>
      </c>
      <c r="Q136" s="3">
        <f ca="1">IFERROR(__xludf.DUMMYFUNCTION("""COMPUTED_VALUE"""),0)</f>
        <v>0</v>
      </c>
      <c r="R136" s="3" t="str">
        <f ca="1">IFERROR(__xludf.DUMMYFUNCTION("""COMPUTED_VALUE"""),"2055-06-06T21:42:08.477491Z")</f>
        <v>2055-06-06T21:42:08.477491Z</v>
      </c>
      <c r="S136" s="3" t="str">
        <f ca="1">IFERROR(__xludf.DUMMYFUNCTION("""COMPUTED_VALUE"""),"2055-06-06T21:56:26.027149Z")</f>
        <v>2055-06-06T21:56:26.027149Z</v>
      </c>
      <c r="T136" s="3"/>
      <c r="U136" s="4">
        <f ca="1">IFERROR(__xludf.DUMMYFUNCTION("""COMPUTED_VALUE"""),56771)</f>
        <v>56771</v>
      </c>
      <c r="V136" s="3">
        <f ca="1">IFERROR(__xludf.DUMMYFUNCTION("""COMPUTED_VALUE"""),4.7)</f>
        <v>4.7</v>
      </c>
      <c r="W136" s="3">
        <f ca="1">IFERROR(__xludf.DUMMYFUNCTION("""COMPUTED_VALUE"""),4500)</f>
        <v>4500</v>
      </c>
      <c r="X136" s="3">
        <f ca="1">IFERROR(__xludf.DUMMYFUNCTION("""COMPUTED_VALUE"""),2570)</f>
        <v>2570</v>
      </c>
      <c r="Y136" s="3">
        <f ca="1">IFERROR(__xludf.DUMMYFUNCTION("""COMPUTED_VALUE"""),858)</f>
        <v>858</v>
      </c>
      <c r="Z136" s="3">
        <f ca="1">IFERROR(__xludf.DUMMYFUNCTION("""COMPUTED_VALUE"""),270)</f>
        <v>270</v>
      </c>
      <c r="AA136" s="3">
        <f ca="1">IFERROR(__xludf.DUMMYFUNCTION("""COMPUTED_VALUE"""),1442)</f>
        <v>1442</v>
      </c>
      <c r="AB136" s="3">
        <f ca="1">IFERROR(__xludf.DUMMYFUNCTION("""COMPUTED_VALUE"""),1)</f>
        <v>1</v>
      </c>
      <c r="AC136" s="3">
        <f ca="1">IFERROR(__xludf.DUMMYFUNCTION("""COMPUTED_VALUE"""),4)</f>
        <v>4</v>
      </c>
      <c r="AD136" s="3"/>
      <c r="AE136" s="3" t="str">
        <f ca="1">IFERROR(__xludf.DUMMYFUNCTION("""COMPUTED_VALUE"""),"2055-06-06T18:00:56.927065Z")</f>
        <v>2055-06-06T18:00:56.927065Z</v>
      </c>
      <c r="AF136" s="3" t="str">
        <f ca="1">IFERROR(__xludf.DUMMYFUNCTION("""COMPUTED_VALUE"""),"2055-06-06T18:24:58.856514Z")</f>
        <v>2055-06-06T18:24:58.856514Z</v>
      </c>
      <c r="AG136" s="3" t="str">
        <f ca="1">IFERROR(__xludf.DUMMYFUNCTION("""COMPUTED_VALUE"""),"2055-06-06T17:41:47.286967Z")</f>
        <v>2055-06-06T17:41:47.286967Z</v>
      </c>
      <c r="AH136" s="3" t="str">
        <f ca="1">IFERROR(__xludf.DUMMYFUNCTION("""COMPUTED_VALUE"""),"2055-06-06T17:56:26.027149Z")</f>
        <v>2055-06-06T17:56:26.027149Z</v>
      </c>
      <c r="AI136" s="3">
        <f ca="1">IFERROR(__xludf.DUMMYFUNCTION("""COMPUTED_VALUE"""),4.452054795)</f>
        <v>4.4520547949999996</v>
      </c>
      <c r="AJ136" s="3">
        <f ca="1">IFERROR(__xludf.DUMMYFUNCTION("""COMPUTED_VALUE"""),59)</f>
        <v>59</v>
      </c>
      <c r="AK136" s="3">
        <f ca="1">IFERROR(__xludf.DUMMYFUNCTION("""COMPUTED_VALUE"""),171)</f>
        <v>171</v>
      </c>
      <c r="AL136" s="3">
        <f ca="1">IFERROR(__xludf.DUMMYFUNCTION("""COMPUTED_VALUE"""),52)</f>
        <v>52</v>
      </c>
    </row>
    <row r="137" spans="1:38" ht="13">
      <c r="A137" s="3">
        <f ca="1">IFERROR(__xludf.DUMMYFUNCTION("""COMPUTED_VALUE"""),844)</f>
        <v>844</v>
      </c>
      <c r="B137" s="3"/>
      <c r="C137" s="3">
        <f ca="1">IFERROR(__xludf.DUMMYFUNCTION("""COMPUTED_VALUE"""),4050)</f>
        <v>4050</v>
      </c>
      <c r="D137" s="3" t="str">
        <f ca="1">IFERROR(__xludf.DUMMYFUNCTION("""COMPUTED_VALUE"""),"Doorlanta")</f>
        <v>Doorlanta</v>
      </c>
      <c r="E137" s="3" t="str">
        <f ca="1">IFERROR(__xludf.DUMMYFUNCTION("""COMPUTED_VALUE"""),"Galaxy A")</f>
        <v>Galaxy A</v>
      </c>
      <c r="F137" s="3" t="str">
        <f ca="1">IFERROR(__xludf.DUMMYFUNCTION("""COMPUTED_VALUE"""),"Jagar")</f>
        <v>Jagar</v>
      </c>
      <c r="G137" s="3">
        <f ca="1">IFERROR(__xludf.DUMMYFUNCTION("""COMPUTED_VALUE"""),0)</f>
        <v>0</v>
      </c>
      <c r="H137" s="3" t="str">
        <f ca="1">IFERROR(__xludf.DUMMYFUNCTION("""COMPUTED_VALUE"""),"car")</f>
        <v>car</v>
      </c>
      <c r="I137" s="3" t="str">
        <f ca="1">IFERROR(__xludf.DUMMYFUNCTION("""COMPUTED_VALUE"""),"2055-06-07T16:35:15.931339Z")</f>
        <v>2055-06-07T16:35:15.931339Z</v>
      </c>
      <c r="J137" s="3" t="str">
        <f ca="1">IFERROR(__xludf.DUMMYFUNCTION("""COMPUTED_VALUE"""),"2055-06-07T17:30:16.001Z")</f>
        <v>2055-06-07T17:30:16.001Z</v>
      </c>
      <c r="K137" s="3" t="str">
        <f ca="1">IFERROR(__xludf.DUMMYFUNCTION("""COMPUTED_VALUE"""),"2055-06-07T17:08:16.001Z")</f>
        <v>2055-06-07T17:08:16.001Z</v>
      </c>
      <c r="L137" s="3">
        <f ca="1">IFERROR(__xludf.DUMMYFUNCTION("""COMPUTED_VALUE"""),1)</f>
        <v>1</v>
      </c>
      <c r="M137" s="3">
        <f ca="1">IFERROR(__xludf.DUMMYFUNCTION("""COMPUTED_VALUE"""),0)</f>
        <v>0</v>
      </c>
      <c r="N137" s="3" t="str">
        <f ca="1">IFERROR(__xludf.DUMMYFUNCTION("""COMPUTED_VALUE"""),"2055-06-07T16:55:02.387867Z")</f>
        <v>2055-06-07T16:55:02.387867Z</v>
      </c>
      <c r="O137" s="3" t="str">
        <f ca="1">IFERROR(__xludf.DUMMYFUNCTION("""COMPUTED_VALUE"""),"2055-06-07T17:10:56.83812Z")</f>
        <v>2055-06-07T17:10:56.83812Z</v>
      </c>
      <c r="P137" s="3" t="str">
        <f ca="1">IFERROR(__xludf.DUMMYFUNCTION("""COMPUTED_VALUE"""),"2055-06-07T16:35:27.297231Z")</f>
        <v>2055-06-07T16:35:27.297231Z</v>
      </c>
      <c r="Q137" s="3">
        <f ca="1">IFERROR(__xludf.DUMMYFUNCTION("""COMPUTED_VALUE"""),0)</f>
        <v>0</v>
      </c>
      <c r="R137" s="3" t="str">
        <f ca="1">IFERROR(__xludf.DUMMYFUNCTION("""COMPUTED_VALUE"""),"2055-06-07T16:36:02.974803Z")</f>
        <v>2055-06-07T16:36:02.974803Z</v>
      </c>
      <c r="S137" s="3" t="str">
        <f ca="1">IFERROR(__xludf.DUMMYFUNCTION("""COMPUTED_VALUE"""),"2055-06-07T16:48:50.315804Z")</f>
        <v>2055-06-07T16:48:50.315804Z</v>
      </c>
      <c r="T137" s="3"/>
      <c r="U137" s="4">
        <f ca="1">IFERROR(__xludf.DUMMYFUNCTION("""COMPUTED_VALUE"""),56772)</f>
        <v>56772</v>
      </c>
      <c r="V137" s="3">
        <f ca="1">IFERROR(__xludf.DUMMYFUNCTION("""COMPUTED_VALUE"""),4.8)</f>
        <v>4.8</v>
      </c>
      <c r="W137" s="3">
        <f ca="1">IFERROR(__xludf.DUMMYFUNCTION("""COMPUTED_VALUE"""),4500)</f>
        <v>4500</v>
      </c>
      <c r="X137" s="3">
        <f ca="1">IFERROR(__xludf.DUMMYFUNCTION("""COMPUTED_VALUE"""),2094)</f>
        <v>2094</v>
      </c>
      <c r="Y137" s="3">
        <f ca="1">IFERROR(__xludf.DUMMYFUNCTION("""COMPUTED_VALUE"""),768)</f>
        <v>768</v>
      </c>
      <c r="Z137" s="3">
        <f ca="1">IFERROR(__xludf.DUMMYFUNCTION("""COMPUTED_VALUE"""),372)</f>
        <v>372</v>
      </c>
      <c r="AA137" s="3">
        <f ca="1">IFERROR(__xludf.DUMMYFUNCTION("""COMPUTED_VALUE"""),954)</f>
        <v>954</v>
      </c>
      <c r="AB137" s="3">
        <f ca="1">IFERROR(__xludf.DUMMYFUNCTION("""COMPUTED_VALUE"""),0)</f>
        <v>0</v>
      </c>
      <c r="AC137" s="3">
        <f ca="1">IFERROR(__xludf.DUMMYFUNCTION("""COMPUTED_VALUE"""),6)</f>
        <v>6</v>
      </c>
      <c r="AD137" s="3" t="str">
        <f ca="1">IFERROR(__xludf.DUMMYFUNCTION("""COMPUTED_VALUE"""),"early")</f>
        <v>early</v>
      </c>
      <c r="AE137" s="3" t="str">
        <f ca="1">IFERROR(__xludf.DUMMYFUNCTION("""COMPUTED_VALUE"""),"2055-06-07T12:55:02.387867Z")</f>
        <v>2055-06-07T12:55:02.387867Z</v>
      </c>
      <c r="AF137" s="3" t="str">
        <f ca="1">IFERROR(__xludf.DUMMYFUNCTION("""COMPUTED_VALUE"""),"2055-06-07T13:10:56.83812Z")</f>
        <v>2055-06-07T13:10:56.83812Z</v>
      </c>
      <c r="AG137" s="3" t="str">
        <f ca="1">IFERROR(__xludf.DUMMYFUNCTION("""COMPUTED_VALUE"""),"2055-06-07T12:35:27.297231Z")</f>
        <v>2055-06-07T12:35:27.297231Z</v>
      </c>
      <c r="AH137" s="3" t="str">
        <f ca="1">IFERROR(__xludf.DUMMYFUNCTION("""COMPUTED_VALUE"""),"2055-06-07T12:48:50.315804Z")</f>
        <v>2055-06-07T12:48:50.315804Z</v>
      </c>
      <c r="AI137" s="3">
        <f ca="1">IFERROR(__xludf.DUMMYFUNCTION("""COMPUTED_VALUE"""),4.89)</f>
        <v>4.8899999999999997</v>
      </c>
      <c r="AJ137" s="3">
        <f ca="1">IFERROR(__xludf.DUMMYFUNCTION("""COMPUTED_VALUE"""),1778)</f>
        <v>1778</v>
      </c>
      <c r="AK137" s="3">
        <f ca="1">IFERROR(__xludf.DUMMYFUNCTION("""COMPUTED_VALUE"""),5138)</f>
        <v>5138</v>
      </c>
      <c r="AL137" s="3">
        <f ca="1">IFERROR(__xludf.DUMMYFUNCTION("""COMPUTED_VALUE"""),314)</f>
        <v>314</v>
      </c>
    </row>
    <row r="138" spans="1:38" ht="13">
      <c r="A138" s="3">
        <f ca="1">IFERROR(__xludf.DUMMYFUNCTION("""COMPUTED_VALUE"""),1471)</f>
        <v>1471</v>
      </c>
      <c r="B138" s="3"/>
      <c r="C138" s="3">
        <f ca="1">IFERROR(__xludf.DUMMYFUNCTION("""COMPUTED_VALUE"""),4001)</f>
        <v>4001</v>
      </c>
      <c r="D138" s="3" t="str">
        <f ca="1">IFERROR(__xludf.DUMMYFUNCTION("""COMPUTED_VALUE"""),"Dashattan")</f>
        <v>Dashattan</v>
      </c>
      <c r="E138" s="3" t="str">
        <f ca="1">IFERROR(__xludf.DUMMYFUNCTION("""COMPUTED_VALUE"""),"Galaxy A")</f>
        <v>Galaxy A</v>
      </c>
      <c r="F138" s="3" t="str">
        <f ca="1">IFERROR(__xludf.DUMMYFUNCTION("""COMPUTED_VALUE"""),"Rojan")</f>
        <v>Rojan</v>
      </c>
      <c r="G138" s="3">
        <f ca="1">IFERROR(__xludf.DUMMYFUNCTION("""COMPUTED_VALUE"""),0)</f>
        <v>0</v>
      </c>
      <c r="H138" s="3" t="str">
        <f ca="1">IFERROR(__xludf.DUMMYFUNCTION("""COMPUTED_VALUE"""),"bicycle")</f>
        <v>bicycle</v>
      </c>
      <c r="I138" s="3" t="str">
        <f ca="1">IFERROR(__xludf.DUMMYFUNCTION("""COMPUTED_VALUE"""),"2055-06-12T22:13:15.79647Z")</f>
        <v>2055-06-12T22:13:15.79647Z</v>
      </c>
      <c r="J138" s="3" t="str">
        <f ca="1">IFERROR(__xludf.DUMMYFUNCTION("""COMPUTED_VALUE"""),"2055-06-12T23:03:28.843Z")</f>
        <v>2055-06-12T23:03:28.843Z</v>
      </c>
      <c r="K138" s="3" t="str">
        <f ca="1">IFERROR(__xludf.DUMMYFUNCTION("""COMPUTED_VALUE"""),"2055-06-12T22:43:49.843Z")</f>
        <v>2055-06-12T22:43:49.843Z</v>
      </c>
      <c r="L138" s="3">
        <f ca="1">IFERROR(__xludf.DUMMYFUNCTION("""COMPUTED_VALUE"""),1)</f>
        <v>1</v>
      </c>
      <c r="M138" s="3">
        <f ca="1">IFERROR(__xludf.DUMMYFUNCTION("""COMPUTED_VALUE"""),0)</f>
        <v>0</v>
      </c>
      <c r="N138" s="3" t="str">
        <f ca="1">IFERROR(__xludf.DUMMYFUNCTION("""COMPUTED_VALUE"""),"2055-06-12T22:38:59.252077Z")</f>
        <v>2055-06-12T22:38:59.252077Z</v>
      </c>
      <c r="O138" s="3" t="str">
        <f ca="1">IFERROR(__xludf.DUMMYFUNCTION("""COMPUTED_VALUE"""),"2055-06-12T22:45:31.018348Z")</f>
        <v>2055-06-12T22:45:31.018348Z</v>
      </c>
      <c r="P138" s="3" t="str">
        <f ca="1">IFERROR(__xludf.DUMMYFUNCTION("""COMPUTED_VALUE"""),"2055-06-12T22:24:34.730032Z")</f>
        <v>2055-06-12T22:24:34.730032Z</v>
      </c>
      <c r="Q138" s="3">
        <f ca="1">IFERROR(__xludf.DUMMYFUNCTION("""COMPUTED_VALUE"""),0)</f>
        <v>0</v>
      </c>
      <c r="R138" s="3" t="str">
        <f ca="1">IFERROR(__xludf.DUMMYFUNCTION("""COMPUTED_VALUE"""),"2055-06-12T22:24:52.003448Z")</f>
        <v>2055-06-12T22:24:52.003448Z</v>
      </c>
      <c r="S138" s="3"/>
      <c r="T138" s="3"/>
      <c r="U138" s="4">
        <f ca="1">IFERROR(__xludf.DUMMYFUNCTION("""COMPUTED_VALUE"""),56777)</f>
        <v>56777</v>
      </c>
      <c r="V138" s="3">
        <f ca="1">IFERROR(__xludf.DUMMYFUNCTION("""COMPUTED_VALUE"""),2.474148612)</f>
        <v>2.474148612</v>
      </c>
      <c r="W138" s="3">
        <f ca="1">IFERROR(__xludf.DUMMYFUNCTION("""COMPUTED_VALUE"""),4500)</f>
        <v>4500</v>
      </c>
      <c r="X138" s="3">
        <f ca="1">IFERROR(__xludf.DUMMYFUNCTION("""COMPUTED_VALUE"""),1239)</f>
        <v>1239</v>
      </c>
      <c r="Y138" s="3"/>
      <c r="Z138" s="3"/>
      <c r="AA138" s="3">
        <f ca="1">IFERROR(__xludf.DUMMYFUNCTION("""COMPUTED_VALUE"""),392)</f>
        <v>392</v>
      </c>
      <c r="AB138" s="3">
        <f ca="1">IFERROR(__xludf.DUMMYFUNCTION("""COMPUTED_VALUE"""),0)</f>
        <v>0</v>
      </c>
      <c r="AC138" s="3">
        <f ca="1">IFERROR(__xludf.DUMMYFUNCTION("""COMPUTED_VALUE"""),6)</f>
        <v>6</v>
      </c>
      <c r="AD138" s="3"/>
      <c r="AE138" s="3" t="str">
        <f ca="1">IFERROR(__xludf.DUMMYFUNCTION("""COMPUTED_VALUE"""),"2055-06-12T18:38:59.252077Z")</f>
        <v>2055-06-12T18:38:59.252077Z</v>
      </c>
      <c r="AF138" s="3" t="str">
        <f ca="1">IFERROR(__xludf.DUMMYFUNCTION("""COMPUTED_VALUE"""),"2055-06-12T18:45:31.018348Z")</f>
        <v>2055-06-12T18:45:31.018348Z</v>
      </c>
      <c r="AG138" s="3" t="str">
        <f ca="1">IFERROR(__xludf.DUMMYFUNCTION("""COMPUTED_VALUE"""),"2055-06-12T18:24:34.730032Z")</f>
        <v>2055-06-12T18:24:34.730032Z</v>
      </c>
      <c r="AH138" s="3"/>
      <c r="AI138" s="3">
        <f ca="1">IFERROR(__xludf.DUMMYFUNCTION("""COMPUTED_VALUE"""),4.58)</f>
        <v>4.58</v>
      </c>
      <c r="AJ138" s="3">
        <f ca="1">IFERROR(__xludf.DUMMYFUNCTION("""COMPUTED_VALUE"""),254)</f>
        <v>254</v>
      </c>
      <c r="AK138" s="3">
        <f ca="1">IFERROR(__xludf.DUMMYFUNCTION("""COMPUTED_VALUE"""),788)</f>
        <v>788</v>
      </c>
      <c r="AL138" s="3">
        <f ca="1">IFERROR(__xludf.DUMMYFUNCTION("""COMPUTED_VALUE"""),9)</f>
        <v>9</v>
      </c>
    </row>
    <row r="139" spans="1:38" ht="13">
      <c r="A139" s="3">
        <f ca="1">IFERROR(__xludf.DUMMYFUNCTION("""COMPUTED_VALUE"""),563)</f>
        <v>563</v>
      </c>
      <c r="B139" s="3">
        <f ca="1">IFERROR(__xludf.DUMMYFUNCTION("""COMPUTED_VALUE"""),5)</f>
        <v>5</v>
      </c>
      <c r="C139" s="3">
        <f ca="1">IFERROR(__xludf.DUMMYFUNCTION("""COMPUTED_VALUE"""),4001)</f>
        <v>4001</v>
      </c>
      <c r="D139" s="3" t="str">
        <f ca="1">IFERROR(__xludf.DUMMYFUNCTION("""COMPUTED_VALUE"""),"Dashattan")</f>
        <v>Dashattan</v>
      </c>
      <c r="E139" s="3" t="str">
        <f ca="1">IFERROR(__xludf.DUMMYFUNCTION("""COMPUTED_VALUE"""),"Galaxy A")</f>
        <v>Galaxy A</v>
      </c>
      <c r="F139" s="3" t="str">
        <f ca="1">IFERROR(__xludf.DUMMYFUNCTION("""COMPUTED_VALUE"""),"Bret")</f>
        <v>Bret</v>
      </c>
      <c r="G139" s="3">
        <f ca="1">IFERROR(__xludf.DUMMYFUNCTION("""COMPUTED_VALUE"""),0)</f>
        <v>0</v>
      </c>
      <c r="H139" s="3" t="str">
        <f ca="1">IFERROR(__xludf.DUMMYFUNCTION("""COMPUTED_VALUE"""),"car")</f>
        <v>car</v>
      </c>
      <c r="I139" s="3" t="str">
        <f ca="1">IFERROR(__xludf.DUMMYFUNCTION("""COMPUTED_VALUE"""),"2055-06-05T16:18:06.274036Z")</f>
        <v>2055-06-05T16:18:06.274036Z</v>
      </c>
      <c r="J139" s="3" t="str">
        <f ca="1">IFERROR(__xludf.DUMMYFUNCTION("""COMPUTED_VALUE"""),"2055-06-05T17:18:52.335Z")</f>
        <v>2055-06-05T17:18:52.335Z</v>
      </c>
      <c r="K139" s="3" t="str">
        <f ca="1">IFERROR(__xludf.DUMMYFUNCTION("""COMPUTED_VALUE"""),"2055-06-05T16:56:58.335Z")</f>
        <v>2055-06-05T16:56:58.335Z</v>
      </c>
      <c r="L139" s="3">
        <f ca="1">IFERROR(__xludf.DUMMYFUNCTION("""COMPUTED_VALUE"""),1)</f>
        <v>1</v>
      </c>
      <c r="M139" s="3">
        <f ca="1">IFERROR(__xludf.DUMMYFUNCTION("""COMPUTED_VALUE"""),0)</f>
        <v>0</v>
      </c>
      <c r="N139" s="3" t="str">
        <f ca="1">IFERROR(__xludf.DUMMYFUNCTION("""COMPUTED_VALUE"""),"2055-06-05T16:43:24.244488Z")</f>
        <v>2055-06-05T16:43:24.244488Z</v>
      </c>
      <c r="O139" s="3" t="str">
        <f ca="1">IFERROR(__xludf.DUMMYFUNCTION("""COMPUTED_VALUE"""),"2055-06-05T17:04:41.858754Z")</f>
        <v>2055-06-05T17:04:41.858754Z</v>
      </c>
      <c r="P139" s="3" t="str">
        <f ca="1">IFERROR(__xludf.DUMMYFUNCTION("""COMPUTED_VALUE"""),"2055-06-05T16:21:54.864511Z")</f>
        <v>2055-06-05T16:21:54.864511Z</v>
      </c>
      <c r="Q139" s="3">
        <f ca="1">IFERROR(__xludf.DUMMYFUNCTION("""COMPUTED_VALUE"""),0)</f>
        <v>0</v>
      </c>
      <c r="R139" s="3" t="str">
        <f ca="1">IFERROR(__xludf.DUMMYFUNCTION("""COMPUTED_VALUE"""),"2055-06-05T16:22:13.349567Z")</f>
        <v>2055-06-05T16:22:13.349567Z</v>
      </c>
      <c r="S139" s="3" t="str">
        <f ca="1">IFERROR(__xludf.DUMMYFUNCTION("""COMPUTED_VALUE"""),"2055-06-05T16:34:19.380507Z")</f>
        <v>2055-06-05T16:34:19.380507Z</v>
      </c>
      <c r="T139" s="3"/>
      <c r="U139" s="4">
        <f ca="1">IFERROR(__xludf.DUMMYFUNCTION("""COMPUTED_VALUE"""),56770)</f>
        <v>56770</v>
      </c>
      <c r="V139" s="3">
        <f ca="1">IFERROR(__xludf.DUMMYFUNCTION("""COMPUTED_VALUE"""),4.6)</f>
        <v>4.5999999999999996</v>
      </c>
      <c r="W139" s="3">
        <f ca="1">IFERROR(__xludf.DUMMYFUNCTION("""COMPUTED_VALUE"""),4500)</f>
        <v>4500</v>
      </c>
      <c r="X139" s="3">
        <f ca="1">IFERROR(__xludf.DUMMYFUNCTION("""COMPUTED_VALUE"""),2548)</f>
        <v>2548</v>
      </c>
      <c r="Y139" s="3">
        <f ca="1">IFERROR(__xludf.DUMMYFUNCTION("""COMPUTED_VALUE"""),726)</f>
        <v>726</v>
      </c>
      <c r="Z139" s="3">
        <f ca="1">IFERROR(__xludf.DUMMYFUNCTION("""COMPUTED_VALUE"""),545)</f>
        <v>545</v>
      </c>
      <c r="AA139" s="3">
        <f ca="1">IFERROR(__xludf.DUMMYFUNCTION("""COMPUTED_VALUE"""),1277)</f>
        <v>1277</v>
      </c>
      <c r="AB139" s="3">
        <f ca="1">IFERROR(__xludf.DUMMYFUNCTION("""COMPUTED_VALUE"""),0)</f>
        <v>0</v>
      </c>
      <c r="AC139" s="3">
        <f ca="1">IFERROR(__xludf.DUMMYFUNCTION("""COMPUTED_VALUE"""),7)</f>
        <v>7</v>
      </c>
      <c r="AD139" s="3" t="str">
        <f ca="1">IFERROR(__xludf.DUMMYFUNCTION("""COMPUTED_VALUE"""),"on time")</f>
        <v>on time</v>
      </c>
      <c r="AE139" s="3" t="str">
        <f ca="1">IFERROR(__xludf.DUMMYFUNCTION("""COMPUTED_VALUE"""),"2055-06-05T12:43:24.244488Z")</f>
        <v>2055-06-05T12:43:24.244488Z</v>
      </c>
      <c r="AF139" s="3" t="str">
        <f ca="1">IFERROR(__xludf.DUMMYFUNCTION("""COMPUTED_VALUE"""),"2055-06-05T13:04:41.858754Z")</f>
        <v>2055-06-05T13:04:41.858754Z</v>
      </c>
      <c r="AG139" s="3" t="str">
        <f ca="1">IFERROR(__xludf.DUMMYFUNCTION("""COMPUTED_VALUE"""),"2055-06-05T12:21:54.864511Z")</f>
        <v>2055-06-05T12:21:54.864511Z</v>
      </c>
      <c r="AH139" s="3" t="str">
        <f ca="1">IFERROR(__xludf.DUMMYFUNCTION("""COMPUTED_VALUE"""),"2055-06-05T12:34:19.380507Z")</f>
        <v>2055-06-05T12:34:19.380507Z</v>
      </c>
      <c r="AI139" s="3">
        <f ca="1">IFERROR(__xludf.DUMMYFUNCTION("""COMPUTED_VALUE"""),3.82)</f>
        <v>3.82</v>
      </c>
      <c r="AJ139" s="3">
        <f ca="1">IFERROR(__xludf.DUMMYFUNCTION("""COMPUTED_VALUE"""),174)</f>
        <v>174</v>
      </c>
      <c r="AK139" s="3">
        <f ca="1">IFERROR(__xludf.DUMMYFUNCTION("""COMPUTED_VALUE"""),773)</f>
        <v>773</v>
      </c>
      <c r="AL139" s="3"/>
    </row>
    <row r="140" spans="1:38" ht="13">
      <c r="A140" s="3">
        <f ca="1">IFERROR(__xludf.DUMMYFUNCTION("""COMPUTED_VALUE"""),1404)</f>
        <v>1404</v>
      </c>
      <c r="B140" s="3"/>
      <c r="C140" s="3">
        <f ca="1">IFERROR(__xludf.DUMMYFUNCTION("""COMPUTED_VALUE"""),4001)</f>
        <v>4001</v>
      </c>
      <c r="D140" s="3" t="str">
        <f ca="1">IFERROR(__xludf.DUMMYFUNCTION("""COMPUTED_VALUE"""),"Dashattan")</f>
        <v>Dashattan</v>
      </c>
      <c r="E140" s="3" t="str">
        <f ca="1">IFERROR(__xludf.DUMMYFUNCTION("""COMPUTED_VALUE"""),"Galaxy A")</f>
        <v>Galaxy A</v>
      </c>
      <c r="F140" s="3" t="str">
        <f ca="1">IFERROR(__xludf.DUMMYFUNCTION("""COMPUTED_VALUE"""),"Carlee")</f>
        <v>Carlee</v>
      </c>
      <c r="G140" s="3">
        <f ca="1">IFERROR(__xludf.DUMMYFUNCTION("""COMPUTED_VALUE"""),0)</f>
        <v>0</v>
      </c>
      <c r="H140" s="3" t="str">
        <f ca="1">IFERROR(__xludf.DUMMYFUNCTION("""COMPUTED_VALUE"""),"car")</f>
        <v>car</v>
      </c>
      <c r="I140" s="3" t="str">
        <f ca="1">IFERROR(__xludf.DUMMYFUNCTION("""COMPUTED_VALUE"""),"2055-06-12T16:52:20.90734Z")</f>
        <v>2055-06-12T16:52:20.90734Z</v>
      </c>
      <c r="J140" s="3" t="str">
        <f ca="1">IFERROR(__xludf.DUMMYFUNCTION("""COMPUTED_VALUE"""),"2055-06-12T17:32:19.966Z")</f>
        <v>2055-06-12T17:32:19.966Z</v>
      </c>
      <c r="K140" s="3" t="str">
        <f ca="1">IFERROR(__xludf.DUMMYFUNCTION("""COMPUTED_VALUE"""),"2055-06-12T17:28:26.966Z")</f>
        <v>2055-06-12T17:28:26.966Z</v>
      </c>
      <c r="L140" s="3">
        <f ca="1">IFERROR(__xludf.DUMMYFUNCTION("""COMPUTED_VALUE"""),1)</f>
        <v>1</v>
      </c>
      <c r="M140" s="3">
        <f ca="1">IFERROR(__xludf.DUMMYFUNCTION("""COMPUTED_VALUE"""),0)</f>
        <v>0</v>
      </c>
      <c r="N140" s="3" t="str">
        <f ca="1">IFERROR(__xludf.DUMMYFUNCTION("""COMPUTED_VALUE"""),"2055-06-12T17:12:37.396089Z")</f>
        <v>2055-06-12T17:12:37.396089Z</v>
      </c>
      <c r="O140" s="3" t="str">
        <f ca="1">IFERROR(__xludf.DUMMYFUNCTION("""COMPUTED_VALUE"""),"2055-06-12T17:35:10.912325Z")</f>
        <v>2055-06-12T17:35:10.912325Z</v>
      </c>
      <c r="P140" s="3" t="str">
        <f ca="1">IFERROR(__xludf.DUMMYFUNCTION("""COMPUTED_VALUE"""),"2055-06-12T16:54:54.277069Z")</f>
        <v>2055-06-12T16:54:54.277069Z</v>
      </c>
      <c r="Q140" s="3">
        <f ca="1">IFERROR(__xludf.DUMMYFUNCTION("""COMPUTED_VALUE"""),0)</f>
        <v>0</v>
      </c>
      <c r="R140" s="3" t="str">
        <f ca="1">IFERROR(__xludf.DUMMYFUNCTION("""COMPUTED_VALUE"""),"2055-06-12T16:55:02.856939Z")</f>
        <v>2055-06-12T16:55:02.856939Z</v>
      </c>
      <c r="S140" s="3" t="str">
        <f ca="1">IFERROR(__xludf.DUMMYFUNCTION("""COMPUTED_VALUE"""),"2055-06-12T17:06:00.622776Z")</f>
        <v>2055-06-12T17:06:00.622776Z</v>
      </c>
      <c r="T140" s="3"/>
      <c r="U140" s="4">
        <f ca="1">IFERROR(__xludf.DUMMYFUNCTION("""COMPUTED_VALUE"""),56777)</f>
        <v>56777</v>
      </c>
      <c r="V140" s="3">
        <f ca="1">IFERROR(__xludf.DUMMYFUNCTION("""COMPUTED_VALUE"""),4.5)</f>
        <v>4.5</v>
      </c>
      <c r="W140" s="3">
        <f ca="1">IFERROR(__xludf.DUMMYFUNCTION("""COMPUTED_VALUE"""),4500)</f>
        <v>4500</v>
      </c>
      <c r="X140" s="3">
        <f ca="1">IFERROR(__xludf.DUMMYFUNCTION("""COMPUTED_VALUE"""),2408)</f>
        <v>2408</v>
      </c>
      <c r="Y140" s="3">
        <f ca="1">IFERROR(__xludf.DUMMYFUNCTION("""COMPUTED_VALUE"""),658)</f>
        <v>658</v>
      </c>
      <c r="Z140" s="3">
        <f ca="1">IFERROR(__xludf.DUMMYFUNCTION("""COMPUTED_VALUE"""),397)</f>
        <v>397</v>
      </c>
      <c r="AA140" s="3">
        <f ca="1">IFERROR(__xludf.DUMMYFUNCTION("""COMPUTED_VALUE"""),1353)</f>
        <v>1353</v>
      </c>
      <c r="AB140" s="3">
        <f ca="1">IFERROR(__xludf.DUMMYFUNCTION("""COMPUTED_VALUE"""),0)</f>
        <v>0</v>
      </c>
      <c r="AC140" s="3">
        <f ca="1">IFERROR(__xludf.DUMMYFUNCTION("""COMPUTED_VALUE"""),3)</f>
        <v>3</v>
      </c>
      <c r="AD140" s="3" t="str">
        <f ca="1">IFERROR(__xludf.DUMMYFUNCTION("""COMPUTED_VALUE"""),"on time")</f>
        <v>on time</v>
      </c>
      <c r="AE140" s="3" t="str">
        <f ca="1">IFERROR(__xludf.DUMMYFUNCTION("""COMPUTED_VALUE"""),"2055-06-12T13:12:37.396089Z")</f>
        <v>2055-06-12T13:12:37.396089Z</v>
      </c>
      <c r="AF140" s="3" t="str">
        <f ca="1">IFERROR(__xludf.DUMMYFUNCTION("""COMPUTED_VALUE"""),"2055-06-12T13:35:10.912325Z")</f>
        <v>2055-06-12T13:35:10.912325Z</v>
      </c>
      <c r="AG140" s="3" t="str">
        <f ca="1">IFERROR(__xludf.DUMMYFUNCTION("""COMPUTED_VALUE"""),"2055-06-12T12:54:54.277069Z")</f>
        <v>2055-06-12T12:54:54.277069Z</v>
      </c>
      <c r="AH140" s="3" t="str">
        <f ca="1">IFERROR(__xludf.DUMMYFUNCTION("""COMPUTED_VALUE"""),"2055-06-12T13:06:00.622776Z")</f>
        <v>2055-06-12T13:06:00.622776Z</v>
      </c>
      <c r="AI140" s="3">
        <f ca="1">IFERROR(__xludf.DUMMYFUNCTION("""COMPUTED_VALUE"""),4.52)</f>
        <v>4.5199999999999996</v>
      </c>
      <c r="AJ140" s="3">
        <f ca="1">IFERROR(__xludf.DUMMYFUNCTION("""COMPUTED_VALUE"""),269)</f>
        <v>269</v>
      </c>
      <c r="AK140" s="3">
        <f ca="1">IFERROR(__xludf.DUMMYFUNCTION("""COMPUTED_VALUE"""),895)</f>
        <v>895</v>
      </c>
      <c r="AL140" s="3">
        <f ca="1">IFERROR(__xludf.DUMMYFUNCTION("""COMPUTED_VALUE"""),23)</f>
        <v>23</v>
      </c>
    </row>
    <row r="141" spans="1:38" ht="13">
      <c r="A141" s="3">
        <f ca="1">IFERROR(__xludf.DUMMYFUNCTION("""COMPUTED_VALUE"""),1386)</f>
        <v>1386</v>
      </c>
      <c r="B141" s="3"/>
      <c r="C141" s="3">
        <f ca="1">IFERROR(__xludf.DUMMYFUNCTION("""COMPUTED_VALUE"""),4001)</f>
        <v>4001</v>
      </c>
      <c r="D141" s="3" t="str">
        <f ca="1">IFERROR(__xludf.DUMMYFUNCTION("""COMPUTED_VALUE"""),"Dashattan")</f>
        <v>Dashattan</v>
      </c>
      <c r="E141" s="3" t="str">
        <f ca="1">IFERROR(__xludf.DUMMYFUNCTION("""COMPUTED_VALUE"""),"Galaxy A")</f>
        <v>Galaxy A</v>
      </c>
      <c r="F141" s="3" t="str">
        <f ca="1">IFERROR(__xludf.DUMMYFUNCTION("""COMPUTED_VALUE"""),"Awstin")</f>
        <v>Awstin</v>
      </c>
      <c r="G141" s="3">
        <f ca="1">IFERROR(__xludf.DUMMYFUNCTION("""COMPUTED_VALUE"""),0)</f>
        <v>0</v>
      </c>
      <c r="H141" s="3" t="str">
        <f ca="1">IFERROR(__xludf.DUMMYFUNCTION("""COMPUTED_VALUE"""),"bicycle")</f>
        <v>bicycle</v>
      </c>
      <c r="I141" s="3" t="str">
        <f ca="1">IFERROR(__xludf.DUMMYFUNCTION("""COMPUTED_VALUE"""),"2055-06-12T14:32:56.739136Z")</f>
        <v>2055-06-12T14:32:56.739136Z</v>
      </c>
      <c r="J141" s="3" t="str">
        <f ca="1">IFERROR(__xludf.DUMMYFUNCTION("""COMPUTED_VALUE"""),"2055-06-12T15:20:36.812Z")</f>
        <v>2055-06-12T15:20:36.812Z</v>
      </c>
      <c r="K141" s="3" t="str">
        <f ca="1">IFERROR(__xludf.DUMMYFUNCTION("""COMPUTED_VALUE"""),"2055-06-12T15:06:43.812Z")</f>
        <v>2055-06-12T15:06:43.812Z</v>
      </c>
      <c r="L141" s="3">
        <f ca="1">IFERROR(__xludf.DUMMYFUNCTION("""COMPUTED_VALUE"""),1)</f>
        <v>1</v>
      </c>
      <c r="M141" s="3">
        <f ca="1">IFERROR(__xludf.DUMMYFUNCTION("""COMPUTED_VALUE"""),0)</f>
        <v>0</v>
      </c>
      <c r="N141" s="3" t="str">
        <f ca="1">IFERROR(__xludf.DUMMYFUNCTION("""COMPUTED_VALUE"""),"2055-06-12T15:07:00.649274Z")</f>
        <v>2055-06-12T15:07:00.649274Z</v>
      </c>
      <c r="O141" s="3" t="str">
        <f ca="1">IFERROR(__xludf.DUMMYFUNCTION("""COMPUTED_VALUE"""),"2055-06-12T15:20:15.28935Z")</f>
        <v>2055-06-12T15:20:15.28935Z</v>
      </c>
      <c r="P141" s="3" t="str">
        <f ca="1">IFERROR(__xludf.DUMMYFUNCTION("""COMPUTED_VALUE"""),"2055-06-12T14:39:14.089991Z")</f>
        <v>2055-06-12T14:39:14.089991Z</v>
      </c>
      <c r="Q141" s="3">
        <f ca="1">IFERROR(__xludf.DUMMYFUNCTION("""COMPUTED_VALUE"""),0)</f>
        <v>0</v>
      </c>
      <c r="R141" s="3" t="str">
        <f ca="1">IFERROR(__xludf.DUMMYFUNCTION("""COMPUTED_VALUE"""),"2055-06-12T14:39:38.197956Z")</f>
        <v>2055-06-12T14:39:38.197956Z</v>
      </c>
      <c r="S141" s="3" t="str">
        <f ca="1">IFERROR(__xludf.DUMMYFUNCTION("""COMPUTED_VALUE"""),"2055-06-12T15:05:17.070539Z")</f>
        <v>2055-06-12T15:05:17.070539Z</v>
      </c>
      <c r="T141" s="3"/>
      <c r="U141" s="4">
        <f ca="1">IFERROR(__xludf.DUMMYFUNCTION("""COMPUTED_VALUE"""),56777)</f>
        <v>56777</v>
      </c>
      <c r="V141" s="3">
        <f ca="1">IFERROR(__xludf.DUMMYFUNCTION("""COMPUTED_VALUE"""),3.03856296)</f>
        <v>3.0385629600000001</v>
      </c>
      <c r="W141" s="3">
        <f ca="1">IFERROR(__xludf.DUMMYFUNCTION("""COMPUTED_VALUE"""),4500)</f>
        <v>4500</v>
      </c>
      <c r="X141" s="3">
        <f ca="1">IFERROR(__xludf.DUMMYFUNCTION("""COMPUTED_VALUE"""),2437)</f>
        <v>2437</v>
      </c>
      <c r="Y141" s="3">
        <f ca="1">IFERROR(__xludf.DUMMYFUNCTION("""COMPUTED_VALUE"""),1539)</f>
        <v>1539</v>
      </c>
      <c r="Z141" s="3">
        <f ca="1">IFERROR(__xludf.DUMMYFUNCTION("""COMPUTED_VALUE"""),103)</f>
        <v>103</v>
      </c>
      <c r="AA141" s="3">
        <f ca="1">IFERROR(__xludf.DUMMYFUNCTION("""COMPUTED_VALUE"""),795)</f>
        <v>795</v>
      </c>
      <c r="AB141" s="3">
        <f ca="1">IFERROR(__xludf.DUMMYFUNCTION("""COMPUTED_VALUE"""),0)</f>
        <v>0</v>
      </c>
      <c r="AC141" s="3">
        <f ca="1">IFERROR(__xludf.DUMMYFUNCTION("""COMPUTED_VALUE"""),5)</f>
        <v>5</v>
      </c>
      <c r="AD141" s="3" t="str">
        <f ca="1">IFERROR(__xludf.DUMMYFUNCTION("""COMPUTED_VALUE"""),"late")</f>
        <v>late</v>
      </c>
      <c r="AE141" s="3" t="str">
        <f ca="1">IFERROR(__xludf.DUMMYFUNCTION("""COMPUTED_VALUE"""),"2055-06-12T11:07:00.649274Z")</f>
        <v>2055-06-12T11:07:00.649274Z</v>
      </c>
      <c r="AF141" s="3" t="str">
        <f ca="1">IFERROR(__xludf.DUMMYFUNCTION("""COMPUTED_VALUE"""),"2055-06-12T11:20:15.28935Z")</f>
        <v>2055-06-12T11:20:15.28935Z</v>
      </c>
      <c r="AG141" s="3" t="str">
        <f ca="1">IFERROR(__xludf.DUMMYFUNCTION("""COMPUTED_VALUE"""),"2055-06-12T10:39:14.089991Z")</f>
        <v>2055-06-12T10:39:14.089991Z</v>
      </c>
      <c r="AH141" s="3" t="str">
        <f ca="1">IFERROR(__xludf.DUMMYFUNCTION("""COMPUTED_VALUE"""),"2055-06-12T11:05:17.070539Z")</f>
        <v>2055-06-12T11:05:17.070539Z</v>
      </c>
      <c r="AI141" s="3">
        <f ca="1">IFERROR(__xludf.DUMMYFUNCTION("""COMPUTED_VALUE"""),4.5)</f>
        <v>4.5</v>
      </c>
      <c r="AJ141" s="3">
        <f ca="1">IFERROR(__xludf.DUMMYFUNCTION("""COMPUTED_VALUE"""),394)</f>
        <v>394</v>
      </c>
      <c r="AK141" s="3">
        <f ca="1">IFERROR(__xludf.DUMMYFUNCTION("""COMPUTED_VALUE"""),1403)</f>
        <v>1403</v>
      </c>
      <c r="AL141" s="3"/>
    </row>
    <row r="142" spans="1:38" ht="13">
      <c r="A142" s="3">
        <f ca="1">IFERROR(__xludf.DUMMYFUNCTION("""COMPUTED_VALUE"""),177)</f>
        <v>177</v>
      </c>
      <c r="B142" s="3"/>
      <c r="C142" s="3">
        <f ca="1">IFERROR(__xludf.DUMMYFUNCTION("""COMPUTED_VALUE"""),4050)</f>
        <v>4050</v>
      </c>
      <c r="D142" s="3" t="str">
        <f ca="1">IFERROR(__xludf.DUMMYFUNCTION("""COMPUTED_VALUE"""),"Doorlanta")</f>
        <v>Doorlanta</v>
      </c>
      <c r="E142" s="3" t="str">
        <f ca="1">IFERROR(__xludf.DUMMYFUNCTION("""COMPUTED_VALUE"""),"Galaxy A")</f>
        <v>Galaxy A</v>
      </c>
      <c r="F142" s="3" t="str">
        <f ca="1">IFERROR(__xludf.DUMMYFUNCTION("""COMPUTED_VALUE"""),"Josh")</f>
        <v>Josh</v>
      </c>
      <c r="G142" s="3">
        <f ca="1">IFERROR(__xludf.DUMMYFUNCTION("""COMPUTED_VALUE"""),0)</f>
        <v>0</v>
      </c>
      <c r="H142" s="3" t="str">
        <f ca="1">IFERROR(__xludf.DUMMYFUNCTION("""COMPUTED_VALUE"""),"car")</f>
        <v>car</v>
      </c>
      <c r="I142" s="3" t="str">
        <f ca="1">IFERROR(__xludf.DUMMYFUNCTION("""COMPUTED_VALUE"""),"2055-06-02T21:53:46.844142Z")</f>
        <v>2055-06-02T21:53:46.844142Z</v>
      </c>
      <c r="J142" s="3" t="str">
        <f ca="1">IFERROR(__xludf.DUMMYFUNCTION("""COMPUTED_VALUE"""),"2055-06-02T22:36:02.903Z")</f>
        <v>2055-06-02T22:36:02.903Z</v>
      </c>
      <c r="K142" s="3" t="str">
        <f ca="1">IFERROR(__xludf.DUMMYFUNCTION("""COMPUTED_VALUE"""),"2055-06-02T22:32:09.903Z")</f>
        <v>2055-06-02T22:32:09.903Z</v>
      </c>
      <c r="L142" s="3">
        <f ca="1">IFERROR(__xludf.DUMMYFUNCTION("""COMPUTED_VALUE"""),1)</f>
        <v>1</v>
      </c>
      <c r="M142" s="3">
        <f ca="1">IFERROR(__xludf.DUMMYFUNCTION("""COMPUTED_VALUE"""),0)</f>
        <v>0</v>
      </c>
      <c r="N142" s="3" t="str">
        <f ca="1">IFERROR(__xludf.DUMMYFUNCTION("""COMPUTED_VALUE"""),"2055-06-02T22:18:18.957629Z")</f>
        <v>2055-06-02T22:18:18.957629Z</v>
      </c>
      <c r="O142" s="3" t="str">
        <f ca="1">IFERROR(__xludf.DUMMYFUNCTION("""COMPUTED_VALUE"""),"2055-06-02T22:46:01.613718Z")</f>
        <v>2055-06-02T22:46:01.613718Z</v>
      </c>
      <c r="P142" s="3" t="str">
        <f ca="1">IFERROR(__xludf.DUMMYFUNCTION("""COMPUTED_VALUE"""),"2055-06-02T21:54:07.31181Z")</f>
        <v>2055-06-02T21:54:07.31181Z</v>
      </c>
      <c r="Q142" s="3">
        <f ca="1">IFERROR(__xludf.DUMMYFUNCTION("""COMPUTED_VALUE"""),0)</f>
        <v>0</v>
      </c>
      <c r="R142" s="3" t="str">
        <f ca="1">IFERROR(__xludf.DUMMYFUNCTION("""COMPUTED_VALUE"""),"2055-06-02T21:54:21.113222Z")</f>
        <v>2055-06-02T21:54:21.113222Z</v>
      </c>
      <c r="S142" s="3" t="str">
        <f ca="1">IFERROR(__xludf.DUMMYFUNCTION("""COMPUTED_VALUE"""),"2055-06-02T22:14:02.38284Z")</f>
        <v>2055-06-02T22:14:02.38284Z</v>
      </c>
      <c r="T142" s="3"/>
      <c r="U142" s="4">
        <f ca="1">IFERROR(__xludf.DUMMYFUNCTION("""COMPUTED_VALUE"""),56767)</f>
        <v>56767</v>
      </c>
      <c r="V142" s="3">
        <f ca="1">IFERROR(__xludf.DUMMYFUNCTION("""COMPUTED_VALUE"""),4.7)</f>
        <v>4.7</v>
      </c>
      <c r="W142" s="3">
        <f ca="1">IFERROR(__xludf.DUMMYFUNCTION("""COMPUTED_VALUE"""),4500)</f>
        <v>4500</v>
      </c>
      <c r="X142" s="3">
        <f ca="1">IFERROR(__xludf.DUMMYFUNCTION("""COMPUTED_VALUE"""),3100)</f>
        <v>3100</v>
      </c>
      <c r="Y142" s="3">
        <f ca="1">IFERROR(__xludf.DUMMYFUNCTION("""COMPUTED_VALUE"""),1181)</f>
        <v>1181</v>
      </c>
      <c r="Z142" s="3">
        <f ca="1">IFERROR(__xludf.DUMMYFUNCTION("""COMPUTED_VALUE"""),256)</f>
        <v>256</v>
      </c>
      <c r="AA142" s="3">
        <f ca="1">IFERROR(__xludf.DUMMYFUNCTION("""COMPUTED_VALUE"""),1663)</f>
        <v>1663</v>
      </c>
      <c r="AB142" s="3">
        <f ca="1">IFERROR(__xludf.DUMMYFUNCTION("""COMPUTED_VALUE"""),0)</f>
        <v>0</v>
      </c>
      <c r="AC142" s="3">
        <f ca="1">IFERROR(__xludf.DUMMYFUNCTION("""COMPUTED_VALUE"""),4)</f>
        <v>4</v>
      </c>
      <c r="AD142" s="3" t="str">
        <f ca="1">IFERROR(__xludf.DUMMYFUNCTION("""COMPUTED_VALUE"""),"late")</f>
        <v>late</v>
      </c>
      <c r="AE142" s="3" t="str">
        <f ca="1">IFERROR(__xludf.DUMMYFUNCTION("""COMPUTED_VALUE"""),"2055-06-02T18:18:18.957629Z")</f>
        <v>2055-06-02T18:18:18.957629Z</v>
      </c>
      <c r="AF142" s="3" t="str">
        <f ca="1">IFERROR(__xludf.DUMMYFUNCTION("""COMPUTED_VALUE"""),"2055-06-02T18:46:01.613718Z")</f>
        <v>2055-06-02T18:46:01.613718Z</v>
      </c>
      <c r="AG142" s="3" t="str">
        <f ca="1">IFERROR(__xludf.DUMMYFUNCTION("""COMPUTED_VALUE"""),"2055-06-02T17:54:07.31181Z")</f>
        <v>2055-06-02T17:54:07.31181Z</v>
      </c>
      <c r="AH142" s="3" t="str">
        <f ca="1">IFERROR(__xludf.DUMMYFUNCTION("""COMPUTED_VALUE"""),"2055-06-02T18:14:02.38284Z")</f>
        <v>2055-06-02T18:14:02.38284Z</v>
      </c>
      <c r="AI142" s="3">
        <f ca="1">IFERROR(__xludf.DUMMYFUNCTION("""COMPUTED_VALUE"""),4.77)</f>
        <v>4.7699999999999996</v>
      </c>
      <c r="AJ142" s="3">
        <f ca="1">IFERROR(__xludf.DUMMYFUNCTION("""COMPUTED_VALUE"""),426)</f>
        <v>426</v>
      </c>
      <c r="AK142" s="3">
        <f ca="1">IFERROR(__xludf.DUMMYFUNCTION("""COMPUTED_VALUE"""),1226)</f>
        <v>1226</v>
      </c>
      <c r="AL142" s="3">
        <f ca="1">IFERROR(__xludf.DUMMYFUNCTION("""COMPUTED_VALUE"""),85)</f>
        <v>85</v>
      </c>
    </row>
    <row r="143" spans="1:38" ht="13">
      <c r="A143" s="3">
        <f ca="1">IFERROR(__xludf.DUMMYFUNCTION("""COMPUTED_VALUE"""),212)</f>
        <v>212</v>
      </c>
      <c r="B143" s="3">
        <f ca="1">IFERROR(__xludf.DUMMYFUNCTION("""COMPUTED_VALUE"""),5)</f>
        <v>5</v>
      </c>
      <c r="C143" s="3">
        <f ca="1">IFERROR(__xludf.DUMMYFUNCTION("""COMPUTED_VALUE"""),4050)</f>
        <v>4050</v>
      </c>
      <c r="D143" s="3" t="str">
        <f ca="1">IFERROR(__xludf.DUMMYFUNCTION("""COMPUTED_VALUE"""),"Doorlanta")</f>
        <v>Doorlanta</v>
      </c>
      <c r="E143" s="3" t="str">
        <f ca="1">IFERROR(__xludf.DUMMYFUNCTION("""COMPUTED_VALUE"""),"Galaxy A")</f>
        <v>Galaxy A</v>
      </c>
      <c r="F143" s="3" t="str">
        <f ca="1">IFERROR(__xludf.DUMMYFUNCTION("""COMPUTED_VALUE"""),"Jagar")</f>
        <v>Jagar</v>
      </c>
      <c r="G143" s="3">
        <f ca="1">IFERROR(__xludf.DUMMYFUNCTION("""COMPUTED_VALUE"""),0)</f>
        <v>0</v>
      </c>
      <c r="H143" s="3" t="str">
        <f ca="1">IFERROR(__xludf.DUMMYFUNCTION("""COMPUTED_VALUE"""),"car")</f>
        <v>car</v>
      </c>
      <c r="I143" s="3" t="str">
        <f ca="1">IFERROR(__xludf.DUMMYFUNCTION("""COMPUTED_VALUE"""),"2055-06-02T23:43:39.359167Z")</f>
        <v>2055-06-02T23:43:39.359167Z</v>
      </c>
      <c r="J143" s="3" t="str">
        <f ca="1">IFERROR(__xludf.DUMMYFUNCTION("""COMPUTED_VALUE"""),"2055-06-03T00:38:39.434Z")</f>
        <v>2055-06-03T00:38:39.434Z</v>
      </c>
      <c r="K143" s="3" t="str">
        <f ca="1">IFERROR(__xludf.DUMMYFUNCTION("""COMPUTED_VALUE"""),"2055-06-03T00:18:13.434Z")</f>
        <v>2055-06-03T00:18:13.434Z</v>
      </c>
      <c r="L143" s="3">
        <f ca="1">IFERROR(__xludf.DUMMYFUNCTION("""COMPUTED_VALUE"""),1)</f>
        <v>1</v>
      </c>
      <c r="M143" s="3">
        <f ca="1">IFERROR(__xludf.DUMMYFUNCTION("""COMPUTED_VALUE"""),0)</f>
        <v>0</v>
      </c>
      <c r="N143" s="3" t="str">
        <f ca="1">IFERROR(__xludf.DUMMYFUNCTION("""COMPUTED_VALUE"""),"2055-06-03T00:14:45.439258Z")</f>
        <v>2055-06-03T00:14:45.439258Z</v>
      </c>
      <c r="O143" s="3" t="str">
        <f ca="1">IFERROR(__xludf.DUMMYFUNCTION("""COMPUTED_VALUE"""),"2055-06-03T00:26:18.67637Z")</f>
        <v>2055-06-03T00:26:18.67637Z</v>
      </c>
      <c r="P143" s="3" t="str">
        <f ca="1">IFERROR(__xludf.DUMMYFUNCTION("""COMPUTED_VALUE"""),"2055-06-02T23:43:47.664537Z")</f>
        <v>2055-06-02T23:43:47.664537Z</v>
      </c>
      <c r="Q143" s="3">
        <f ca="1">IFERROR(__xludf.DUMMYFUNCTION("""COMPUTED_VALUE"""),0)</f>
        <v>0</v>
      </c>
      <c r="R143" s="3" t="str">
        <f ca="1">IFERROR(__xludf.DUMMYFUNCTION("""COMPUTED_VALUE"""),"2055-06-02T23:44:00.766459Z")</f>
        <v>2055-06-02T23:44:00.766459Z</v>
      </c>
      <c r="S143" s="3"/>
      <c r="T143" s="3"/>
      <c r="U143" s="4">
        <f ca="1">IFERROR(__xludf.DUMMYFUNCTION("""COMPUTED_VALUE"""),56767)</f>
        <v>56767</v>
      </c>
      <c r="V143" s="3">
        <f ca="1">IFERROR(__xludf.DUMMYFUNCTION("""COMPUTED_VALUE"""),4.5)</f>
        <v>4.5</v>
      </c>
      <c r="W143" s="3">
        <f ca="1">IFERROR(__xludf.DUMMYFUNCTION("""COMPUTED_VALUE"""),4500)</f>
        <v>4500</v>
      </c>
      <c r="X143" s="3">
        <f ca="1">IFERROR(__xludf.DUMMYFUNCTION("""COMPUTED_VALUE"""),2538)</f>
        <v>2538</v>
      </c>
      <c r="Y143" s="3"/>
      <c r="Z143" s="3"/>
      <c r="AA143" s="3">
        <f ca="1">IFERROR(__xludf.DUMMYFUNCTION("""COMPUTED_VALUE"""),693)</f>
        <v>693</v>
      </c>
      <c r="AB143" s="3">
        <f ca="1">IFERROR(__xludf.DUMMYFUNCTION("""COMPUTED_VALUE"""),0)</f>
        <v>0</v>
      </c>
      <c r="AC143" s="3">
        <f ca="1">IFERROR(__xludf.DUMMYFUNCTION("""COMPUTED_VALUE"""),3)</f>
        <v>3</v>
      </c>
      <c r="AD143" s="3"/>
      <c r="AE143" s="3" t="str">
        <f ca="1">IFERROR(__xludf.DUMMYFUNCTION("""COMPUTED_VALUE"""),"2055-06-02T20:14:45.439258Z")</f>
        <v>2055-06-02T20:14:45.439258Z</v>
      </c>
      <c r="AF143" s="3" t="str">
        <f ca="1">IFERROR(__xludf.DUMMYFUNCTION("""COMPUTED_VALUE"""),"2055-06-02T20:26:18.67637Z")</f>
        <v>2055-06-02T20:26:18.67637Z</v>
      </c>
      <c r="AG143" s="3" t="str">
        <f ca="1">IFERROR(__xludf.DUMMYFUNCTION("""COMPUTED_VALUE"""),"2055-06-02T19:43:47.664537Z")</f>
        <v>2055-06-02T19:43:47.664537Z</v>
      </c>
      <c r="AH143" s="3"/>
      <c r="AI143" s="3">
        <f ca="1">IFERROR(__xludf.DUMMYFUNCTION("""COMPUTED_VALUE"""),4.89)</f>
        <v>4.8899999999999997</v>
      </c>
      <c r="AJ143" s="3">
        <f ca="1">IFERROR(__xludf.DUMMYFUNCTION("""COMPUTED_VALUE"""),1778)</f>
        <v>1778</v>
      </c>
      <c r="AK143" s="3">
        <f ca="1">IFERROR(__xludf.DUMMYFUNCTION("""COMPUTED_VALUE"""),5138)</f>
        <v>5138</v>
      </c>
      <c r="AL143" s="3">
        <f ca="1">IFERROR(__xludf.DUMMYFUNCTION("""COMPUTED_VALUE"""),314)</f>
        <v>314</v>
      </c>
    </row>
    <row r="144" spans="1:38" ht="13">
      <c r="A144" s="3">
        <f ca="1">IFERROR(__xludf.DUMMYFUNCTION("""COMPUTED_VALUE"""),375)</f>
        <v>375</v>
      </c>
      <c r="B144" s="3"/>
      <c r="C144" s="3">
        <f ca="1">IFERROR(__xludf.DUMMYFUNCTION("""COMPUTED_VALUE"""),4050)</f>
        <v>4050</v>
      </c>
      <c r="D144" s="3" t="str">
        <f ca="1">IFERROR(__xludf.DUMMYFUNCTION("""COMPUTED_VALUE"""),"Doorlanta")</f>
        <v>Doorlanta</v>
      </c>
      <c r="E144" s="3" t="str">
        <f ca="1">IFERROR(__xludf.DUMMYFUNCTION("""COMPUTED_VALUE"""),"Galaxy A")</f>
        <v>Galaxy A</v>
      </c>
      <c r="F144" s="3" t="str">
        <f ca="1">IFERROR(__xludf.DUMMYFUNCTION("""COMPUTED_VALUE"""),"Andy")</f>
        <v>Andy</v>
      </c>
      <c r="G144" s="3">
        <f ca="1">IFERROR(__xludf.DUMMYFUNCTION("""COMPUTED_VALUE"""),0)</f>
        <v>0</v>
      </c>
      <c r="H144" s="3" t="str">
        <f ca="1">IFERROR(__xludf.DUMMYFUNCTION("""COMPUTED_VALUE"""),"car")</f>
        <v>car</v>
      </c>
      <c r="I144" s="3" t="str">
        <f ca="1">IFERROR(__xludf.DUMMYFUNCTION("""COMPUTED_VALUE"""),"2055-06-04T00:00:34.390859Z")</f>
        <v>2055-06-04T00:00:34.390859Z</v>
      </c>
      <c r="J144" s="3" t="str">
        <f ca="1">IFERROR(__xludf.DUMMYFUNCTION("""COMPUTED_VALUE"""),"2055-06-04T01:11:08.474Z")</f>
        <v>2055-06-04T01:11:08.474Z</v>
      </c>
      <c r="K144" s="3" t="str">
        <f ca="1">IFERROR(__xludf.DUMMYFUNCTION("""COMPUTED_VALUE"""),"2055-06-04T00:52:15.474Z")</f>
        <v>2055-06-04T00:52:15.474Z</v>
      </c>
      <c r="L144" s="3">
        <f ca="1">IFERROR(__xludf.DUMMYFUNCTION("""COMPUTED_VALUE"""),1)</f>
        <v>1</v>
      </c>
      <c r="M144" s="3">
        <f ca="1">IFERROR(__xludf.DUMMYFUNCTION("""COMPUTED_VALUE"""),0)</f>
        <v>0</v>
      </c>
      <c r="N144" s="3" t="str">
        <f ca="1">IFERROR(__xludf.DUMMYFUNCTION("""COMPUTED_VALUE"""),"2055-06-04T00:22:25.575344Z")</f>
        <v>2055-06-04T00:22:25.575344Z</v>
      </c>
      <c r="O144" s="3" t="str">
        <f ca="1">IFERROR(__xludf.DUMMYFUNCTION("""COMPUTED_VALUE"""),"2055-06-04T00:37:16.838747Z")</f>
        <v>2055-06-04T00:37:16.838747Z</v>
      </c>
      <c r="P144" s="3" t="str">
        <f ca="1">IFERROR(__xludf.DUMMYFUNCTION("""COMPUTED_VALUE"""),"2055-06-04T00:00:47.43531Z")</f>
        <v>2055-06-04T00:00:47.43531Z</v>
      </c>
      <c r="Q144" s="3">
        <f ca="1">IFERROR(__xludf.DUMMYFUNCTION("""COMPUTED_VALUE"""),0)</f>
        <v>0</v>
      </c>
      <c r="R144" s="3" t="str">
        <f ca="1">IFERROR(__xludf.DUMMYFUNCTION("""COMPUTED_VALUE"""),"2055-06-04T00:00:52.871705Z")</f>
        <v>2055-06-04T00:00:52.871705Z</v>
      </c>
      <c r="S144" s="3" t="str">
        <f ca="1">IFERROR(__xludf.DUMMYFUNCTION("""COMPUTED_VALUE"""),"2055-06-04T00:13:57.279699Z")</f>
        <v>2055-06-04T00:13:57.279699Z</v>
      </c>
      <c r="T144" s="3"/>
      <c r="U144" s="4">
        <f ca="1">IFERROR(__xludf.DUMMYFUNCTION("""COMPUTED_VALUE"""),56768)</f>
        <v>56768</v>
      </c>
      <c r="V144" s="3">
        <f ca="1">IFERROR(__xludf.DUMMYFUNCTION("""COMPUTED_VALUE"""),4.3)</f>
        <v>4.3</v>
      </c>
      <c r="W144" s="3">
        <f ca="1">IFERROR(__xludf.DUMMYFUNCTION("""COMPUTED_VALUE"""),4500)</f>
        <v>4500</v>
      </c>
      <c r="X144" s="3">
        <f ca="1">IFERROR(__xludf.DUMMYFUNCTION("""COMPUTED_VALUE"""),2184)</f>
        <v>2184</v>
      </c>
      <c r="Y144" s="3">
        <f ca="1">IFERROR(__xludf.DUMMYFUNCTION("""COMPUTED_VALUE"""),785)</f>
        <v>785</v>
      </c>
      <c r="Z144" s="3">
        <f ca="1">IFERROR(__xludf.DUMMYFUNCTION("""COMPUTED_VALUE"""),508)</f>
        <v>508</v>
      </c>
      <c r="AA144" s="3">
        <f ca="1">IFERROR(__xludf.DUMMYFUNCTION("""COMPUTED_VALUE"""),891)</f>
        <v>891</v>
      </c>
      <c r="AB144" s="3">
        <f ca="1">IFERROR(__xludf.DUMMYFUNCTION("""COMPUTED_VALUE"""),0)</f>
        <v>0</v>
      </c>
      <c r="AC144" s="3">
        <f ca="1">IFERROR(__xludf.DUMMYFUNCTION("""COMPUTED_VALUE"""),3)</f>
        <v>3</v>
      </c>
      <c r="AD144" s="3" t="str">
        <f ca="1">IFERROR(__xludf.DUMMYFUNCTION("""COMPUTED_VALUE"""),"on time")</f>
        <v>on time</v>
      </c>
      <c r="AE144" s="3" t="str">
        <f ca="1">IFERROR(__xludf.DUMMYFUNCTION("""COMPUTED_VALUE"""),"2055-06-03T20:22:25.575344Z")</f>
        <v>2055-06-03T20:22:25.575344Z</v>
      </c>
      <c r="AF144" s="3" t="str">
        <f ca="1">IFERROR(__xludf.DUMMYFUNCTION("""COMPUTED_VALUE"""),"2055-06-03T20:37:16.838747Z")</f>
        <v>2055-06-03T20:37:16.838747Z</v>
      </c>
      <c r="AG144" s="3" t="str">
        <f ca="1">IFERROR(__xludf.DUMMYFUNCTION("""COMPUTED_VALUE"""),"2055-06-03T20:00:47.43531Z")</f>
        <v>2055-06-03T20:00:47.43531Z</v>
      </c>
      <c r="AH144" s="3" t="str">
        <f ca="1">IFERROR(__xludf.DUMMYFUNCTION("""COMPUTED_VALUE"""),"2055-06-03T20:13:57.279699Z")</f>
        <v>2055-06-03T20:13:57.279699Z</v>
      </c>
      <c r="AI144" s="3">
        <f ca="1">IFERROR(__xludf.DUMMYFUNCTION("""COMPUTED_VALUE"""),4.5)</f>
        <v>4.5</v>
      </c>
      <c r="AJ144" s="3">
        <f ca="1">IFERROR(__xludf.DUMMYFUNCTION("""COMPUTED_VALUE"""),55)</f>
        <v>55</v>
      </c>
      <c r="AK144" s="3">
        <f ca="1">IFERROR(__xludf.DUMMYFUNCTION("""COMPUTED_VALUE"""),211)</f>
        <v>211</v>
      </c>
      <c r="AL144" s="3">
        <f ca="1">IFERROR(__xludf.DUMMYFUNCTION("""COMPUTED_VALUE"""),6)</f>
        <v>6</v>
      </c>
    </row>
    <row r="145" spans="1:38" ht="13">
      <c r="A145" s="3">
        <f ca="1">IFERROR(__xludf.DUMMYFUNCTION("""COMPUTED_VALUE"""),698)</f>
        <v>698</v>
      </c>
      <c r="B145" s="3">
        <f ca="1">IFERROR(__xludf.DUMMYFUNCTION("""COMPUTED_VALUE"""),4)</f>
        <v>4</v>
      </c>
      <c r="C145" s="3">
        <f ca="1">IFERROR(__xludf.DUMMYFUNCTION("""COMPUTED_VALUE"""),4001)</f>
        <v>4001</v>
      </c>
      <c r="D145" s="3" t="str">
        <f ca="1">IFERROR(__xludf.DUMMYFUNCTION("""COMPUTED_VALUE"""),"Dashattan")</f>
        <v>Dashattan</v>
      </c>
      <c r="E145" s="3" t="str">
        <f ca="1">IFERROR(__xludf.DUMMYFUNCTION("""COMPUTED_VALUE"""),"Galaxy A")</f>
        <v>Galaxy A</v>
      </c>
      <c r="F145" s="3" t="str">
        <f ca="1">IFERROR(__xludf.DUMMYFUNCTION("""COMPUTED_VALUE"""),"Arya")</f>
        <v>Arya</v>
      </c>
      <c r="G145" s="3">
        <f ca="1">IFERROR(__xludf.DUMMYFUNCTION("""COMPUTED_VALUE"""),0)</f>
        <v>0</v>
      </c>
      <c r="H145" s="3" t="str">
        <f ca="1">IFERROR(__xludf.DUMMYFUNCTION("""COMPUTED_VALUE"""),"bicycle")</f>
        <v>bicycle</v>
      </c>
      <c r="I145" s="3" t="str">
        <f ca="1">IFERROR(__xludf.DUMMYFUNCTION("""COMPUTED_VALUE"""),"2055-06-06T00:17:09.405718Z")</f>
        <v>2055-06-06T00:17:09.405718Z</v>
      </c>
      <c r="J145" s="3" t="str">
        <f ca="1">IFERROR(__xludf.DUMMYFUNCTION("""COMPUTED_VALUE"""),"2055-06-06T01:18:27.476Z")</f>
        <v>2055-06-06T01:18:27.476Z</v>
      </c>
      <c r="K145" s="3" t="str">
        <f ca="1">IFERROR(__xludf.DUMMYFUNCTION("""COMPUTED_VALUE"""),"2055-06-06T00:56:33.476Z")</f>
        <v>2055-06-06T00:56:33.476Z</v>
      </c>
      <c r="L145" s="3">
        <f ca="1">IFERROR(__xludf.DUMMYFUNCTION("""COMPUTED_VALUE"""),1)</f>
        <v>1</v>
      </c>
      <c r="M145" s="3">
        <f ca="1">IFERROR(__xludf.DUMMYFUNCTION("""COMPUTED_VALUE"""),0)</f>
        <v>0</v>
      </c>
      <c r="N145" s="3" t="str">
        <f ca="1">IFERROR(__xludf.DUMMYFUNCTION("""COMPUTED_VALUE"""),"2055-06-06T00:42:49.051784Z")</f>
        <v>2055-06-06T00:42:49.051784Z</v>
      </c>
      <c r="O145" s="3" t="str">
        <f ca="1">IFERROR(__xludf.DUMMYFUNCTION("""COMPUTED_VALUE"""),"2055-06-06T01:16:37.71517Z")</f>
        <v>2055-06-06T01:16:37.71517Z</v>
      </c>
      <c r="P145" s="3" t="str">
        <f ca="1">IFERROR(__xludf.DUMMYFUNCTION("""COMPUTED_VALUE"""),"2055-06-06T00:22:57.226149Z")</f>
        <v>2055-06-06T00:22:57.226149Z</v>
      </c>
      <c r="Q145" s="3">
        <f ca="1">IFERROR(__xludf.DUMMYFUNCTION("""COMPUTED_VALUE"""),0)</f>
        <v>0</v>
      </c>
      <c r="R145" s="3" t="str">
        <f ca="1">IFERROR(__xludf.DUMMYFUNCTION("""COMPUTED_VALUE"""),"2055-06-06T00:23:09.382285Z")</f>
        <v>2055-06-06T00:23:09.382285Z</v>
      </c>
      <c r="S145" s="3" t="str">
        <f ca="1">IFERROR(__xludf.DUMMYFUNCTION("""COMPUTED_VALUE"""),"2055-06-06T00:31:37.9543Z")</f>
        <v>2055-06-06T00:31:37.9543Z</v>
      </c>
      <c r="T145" s="3"/>
      <c r="U145" s="4">
        <f ca="1">IFERROR(__xludf.DUMMYFUNCTION("""COMPUTED_VALUE"""),56770)</f>
        <v>56770</v>
      </c>
      <c r="V145" s="3">
        <f ca="1">IFERROR(__xludf.DUMMYFUNCTION("""COMPUTED_VALUE"""),4.6)</f>
        <v>4.5999999999999996</v>
      </c>
      <c r="W145" s="3">
        <f ca="1">IFERROR(__xludf.DUMMYFUNCTION("""COMPUTED_VALUE"""),4500)</f>
        <v>4500</v>
      </c>
      <c r="X145" s="3">
        <f ca="1">IFERROR(__xludf.DUMMYFUNCTION("""COMPUTED_VALUE"""),3208)</f>
        <v>3208</v>
      </c>
      <c r="Y145" s="3">
        <f ca="1">IFERROR(__xludf.DUMMYFUNCTION("""COMPUTED_VALUE"""),508)</f>
        <v>508</v>
      </c>
      <c r="Z145" s="3">
        <f ca="1">IFERROR(__xludf.DUMMYFUNCTION("""COMPUTED_VALUE"""),672)</f>
        <v>672</v>
      </c>
      <c r="AA145" s="3">
        <f ca="1">IFERROR(__xludf.DUMMYFUNCTION("""COMPUTED_VALUE"""),2028)</f>
        <v>2028</v>
      </c>
      <c r="AB145" s="3">
        <f ca="1">IFERROR(__xludf.DUMMYFUNCTION("""COMPUTED_VALUE"""),0)</f>
        <v>0</v>
      </c>
      <c r="AC145" s="3">
        <f ca="1">IFERROR(__xludf.DUMMYFUNCTION("""COMPUTED_VALUE"""),4)</f>
        <v>4</v>
      </c>
      <c r="AD145" s="3" t="str">
        <f ca="1">IFERROR(__xludf.DUMMYFUNCTION("""COMPUTED_VALUE"""),"on time")</f>
        <v>on time</v>
      </c>
      <c r="AE145" s="3" t="str">
        <f ca="1">IFERROR(__xludf.DUMMYFUNCTION("""COMPUTED_VALUE"""),"2055-06-05T20:42:49.051784Z")</f>
        <v>2055-06-05T20:42:49.051784Z</v>
      </c>
      <c r="AF145" s="3" t="str">
        <f ca="1">IFERROR(__xludf.DUMMYFUNCTION("""COMPUTED_VALUE"""),"2055-06-05T21:16:37.71517Z")</f>
        <v>2055-06-05T21:16:37.71517Z</v>
      </c>
      <c r="AG145" s="3" t="str">
        <f ca="1">IFERROR(__xludf.DUMMYFUNCTION("""COMPUTED_VALUE"""),"2055-06-05T20:22:57.226149Z")</f>
        <v>2055-06-05T20:22:57.226149Z</v>
      </c>
      <c r="AH145" s="3" t="str">
        <f ca="1">IFERROR(__xludf.DUMMYFUNCTION("""COMPUTED_VALUE"""),"2055-06-05T20:31:37.9543Z")</f>
        <v>2055-06-05T20:31:37.9543Z</v>
      </c>
      <c r="AI145" s="3">
        <f ca="1">IFERROR(__xludf.DUMMYFUNCTION("""COMPUTED_VALUE"""),4.17)</f>
        <v>4.17</v>
      </c>
      <c r="AJ145" s="3">
        <f ca="1">IFERROR(__xludf.DUMMYFUNCTION("""COMPUTED_VALUE"""),457)</f>
        <v>457</v>
      </c>
      <c r="AK145" s="3">
        <f ca="1">IFERROR(__xludf.DUMMYFUNCTION("""COMPUTED_VALUE"""),1599)</f>
        <v>1599</v>
      </c>
      <c r="AL145" s="3"/>
    </row>
    <row r="146" spans="1:38" ht="13">
      <c r="A146" s="3">
        <f ca="1">IFERROR(__xludf.DUMMYFUNCTION("""COMPUTED_VALUE"""),381)</f>
        <v>381</v>
      </c>
      <c r="B146" s="3">
        <f ca="1">IFERROR(__xludf.DUMMYFUNCTION("""COMPUTED_VALUE"""),5)</f>
        <v>5</v>
      </c>
      <c r="C146" s="3">
        <f ca="1">IFERROR(__xludf.DUMMYFUNCTION("""COMPUTED_VALUE"""),4001)</f>
        <v>4001</v>
      </c>
      <c r="D146" s="3" t="str">
        <f ca="1">IFERROR(__xludf.DUMMYFUNCTION("""COMPUTED_VALUE"""),"Dashattan")</f>
        <v>Dashattan</v>
      </c>
      <c r="E146" s="3" t="str">
        <f ca="1">IFERROR(__xludf.DUMMYFUNCTION("""COMPUTED_VALUE"""),"Galaxy A")</f>
        <v>Galaxy A</v>
      </c>
      <c r="F146" s="3" t="str">
        <f ca="1">IFERROR(__xludf.DUMMYFUNCTION("""COMPUTED_VALUE"""),"KC")</f>
        <v>KC</v>
      </c>
      <c r="G146" s="3">
        <f ca="1">IFERROR(__xludf.DUMMYFUNCTION("""COMPUTED_VALUE"""),0)</f>
        <v>0</v>
      </c>
      <c r="H146" s="3" t="str">
        <f ca="1">IFERROR(__xludf.DUMMYFUNCTION("""COMPUTED_VALUE"""),"car")</f>
        <v>car</v>
      </c>
      <c r="I146" s="3" t="str">
        <f ca="1">IFERROR(__xludf.DUMMYFUNCTION("""COMPUTED_VALUE"""),"2055-06-04T00:29:20.954285Z")</f>
        <v>2055-06-04T00:29:20.954285Z</v>
      </c>
      <c r="J146" s="3" t="str">
        <f ca="1">IFERROR(__xludf.DUMMYFUNCTION("""COMPUTED_VALUE"""),"2055-06-04T01:29:51.012Z")</f>
        <v>2055-06-04T01:29:51.012Z</v>
      </c>
      <c r="K146" s="3" t="str">
        <f ca="1">IFERROR(__xludf.DUMMYFUNCTION("""COMPUTED_VALUE"""),"2055-06-04T01:07:57.012Z")</f>
        <v>2055-06-04T01:07:57.012Z</v>
      </c>
      <c r="L146" s="3">
        <f ca="1">IFERROR(__xludf.DUMMYFUNCTION("""COMPUTED_VALUE"""),1)</f>
        <v>1</v>
      </c>
      <c r="M146" s="3">
        <f ca="1">IFERROR(__xludf.DUMMYFUNCTION("""COMPUTED_VALUE"""),0)</f>
        <v>0</v>
      </c>
      <c r="N146" s="3" t="str">
        <f ca="1">IFERROR(__xludf.DUMMYFUNCTION("""COMPUTED_VALUE"""),"2055-06-04T01:02:26.087062Z")</f>
        <v>2055-06-04T01:02:26.087062Z</v>
      </c>
      <c r="O146" s="3" t="str">
        <f ca="1">IFERROR(__xludf.DUMMYFUNCTION("""COMPUTED_VALUE"""),"2055-06-04T01:19:17.722925Z")</f>
        <v>2055-06-04T01:19:17.722925Z</v>
      </c>
      <c r="P146" s="3" t="str">
        <f ca="1">IFERROR(__xludf.DUMMYFUNCTION("""COMPUTED_VALUE"""),"2055-06-04T00:37:55.439245Z")</f>
        <v>2055-06-04T00:37:55.439245Z</v>
      </c>
      <c r="Q146" s="3">
        <f ca="1">IFERROR(__xludf.DUMMYFUNCTION("""COMPUTED_VALUE"""),0)</f>
        <v>0</v>
      </c>
      <c r="R146" s="3" t="str">
        <f ca="1">IFERROR(__xludf.DUMMYFUNCTION("""COMPUTED_VALUE"""),"2055-06-04T00:38:05.619008Z")</f>
        <v>2055-06-04T00:38:05.619008Z</v>
      </c>
      <c r="S146" s="3" t="str">
        <f ca="1">IFERROR(__xludf.DUMMYFUNCTION("""COMPUTED_VALUE"""),"2055-06-04T00:59:38.54369Z")</f>
        <v>2055-06-04T00:59:38.54369Z</v>
      </c>
      <c r="T146" s="3"/>
      <c r="U146" s="4">
        <f ca="1">IFERROR(__xludf.DUMMYFUNCTION("""COMPUTED_VALUE"""),56768)</f>
        <v>56768</v>
      </c>
      <c r="V146" s="3">
        <f ca="1">IFERROR(__xludf.DUMMYFUNCTION("""COMPUTED_VALUE"""),4.5)</f>
        <v>4.5</v>
      </c>
      <c r="W146" s="3">
        <f ca="1">IFERROR(__xludf.DUMMYFUNCTION("""COMPUTED_VALUE"""),4500)</f>
        <v>4500</v>
      </c>
      <c r="X146" s="3">
        <f ca="1">IFERROR(__xludf.DUMMYFUNCTION("""COMPUTED_VALUE"""),2472)</f>
        <v>2472</v>
      </c>
      <c r="Y146" s="3">
        <f ca="1">IFERROR(__xludf.DUMMYFUNCTION("""COMPUTED_VALUE"""),1293)</f>
        <v>1293</v>
      </c>
      <c r="Z146" s="3">
        <f ca="1">IFERROR(__xludf.DUMMYFUNCTION("""COMPUTED_VALUE"""),168)</f>
        <v>168</v>
      </c>
      <c r="AA146" s="3">
        <f ca="1">IFERROR(__xludf.DUMMYFUNCTION("""COMPUTED_VALUE"""),1011)</f>
        <v>1011</v>
      </c>
      <c r="AB146" s="3">
        <f ca="1">IFERROR(__xludf.DUMMYFUNCTION("""COMPUTED_VALUE"""),0)</f>
        <v>0</v>
      </c>
      <c r="AC146" s="3">
        <f ca="1">IFERROR(__xludf.DUMMYFUNCTION("""COMPUTED_VALUE"""),5)</f>
        <v>5</v>
      </c>
      <c r="AD146" s="3" t="str">
        <f ca="1">IFERROR(__xludf.DUMMYFUNCTION("""COMPUTED_VALUE"""),"late")</f>
        <v>late</v>
      </c>
      <c r="AE146" s="3" t="str">
        <f ca="1">IFERROR(__xludf.DUMMYFUNCTION("""COMPUTED_VALUE"""),"2055-06-03T21:02:26.087062Z")</f>
        <v>2055-06-03T21:02:26.087062Z</v>
      </c>
      <c r="AF146" s="3" t="str">
        <f ca="1">IFERROR(__xludf.DUMMYFUNCTION("""COMPUTED_VALUE"""),"2055-06-03T21:19:17.722925Z")</f>
        <v>2055-06-03T21:19:17.722925Z</v>
      </c>
      <c r="AG146" s="3" t="str">
        <f ca="1">IFERROR(__xludf.DUMMYFUNCTION("""COMPUTED_VALUE"""),"2055-06-03T20:37:55.439245Z")</f>
        <v>2055-06-03T20:37:55.439245Z</v>
      </c>
      <c r="AH146" s="3" t="str">
        <f ca="1">IFERROR(__xludf.DUMMYFUNCTION("""COMPUTED_VALUE"""),"2055-06-03T20:59:38.54369Z")</f>
        <v>2055-06-03T20:59:38.54369Z</v>
      </c>
      <c r="AI146" s="3">
        <f ca="1">IFERROR(__xludf.DUMMYFUNCTION("""COMPUTED_VALUE"""),4.54)</f>
        <v>4.54</v>
      </c>
      <c r="AJ146" s="3">
        <f ca="1">IFERROR(__xludf.DUMMYFUNCTION("""COMPUTED_VALUE"""),2229)</f>
        <v>2229</v>
      </c>
      <c r="AK146" s="3">
        <f ca="1">IFERROR(__xludf.DUMMYFUNCTION("""COMPUTED_VALUE"""),6580)</f>
        <v>6580</v>
      </c>
      <c r="AL146" s="3"/>
    </row>
    <row r="147" spans="1:38" ht="13">
      <c r="A147" s="3">
        <f ca="1">IFERROR(__xludf.DUMMYFUNCTION("""COMPUTED_VALUE"""),35)</f>
        <v>35</v>
      </c>
      <c r="B147" s="3">
        <f ca="1">IFERROR(__xludf.DUMMYFUNCTION("""COMPUTED_VALUE"""),5)</f>
        <v>5</v>
      </c>
      <c r="C147" s="3">
        <f ca="1">IFERROR(__xludf.DUMMYFUNCTION("""COMPUTED_VALUE"""),4050)</f>
        <v>4050</v>
      </c>
      <c r="D147" s="3" t="str">
        <f ca="1">IFERROR(__xludf.DUMMYFUNCTION("""COMPUTED_VALUE"""),"Doorlanta")</f>
        <v>Doorlanta</v>
      </c>
      <c r="E147" s="3" t="str">
        <f ca="1">IFERROR(__xludf.DUMMYFUNCTION("""COMPUTED_VALUE"""),"Galaxy A")</f>
        <v>Galaxy A</v>
      </c>
      <c r="F147" s="3" t="str">
        <f ca="1">IFERROR(__xludf.DUMMYFUNCTION("""COMPUTED_VALUE"""),"Merissa")</f>
        <v>Merissa</v>
      </c>
      <c r="G147" s="3">
        <f ca="1">IFERROR(__xludf.DUMMYFUNCTION("""COMPUTED_VALUE"""),0)</f>
        <v>0</v>
      </c>
      <c r="H147" s="3" t="str">
        <f ca="1">IFERROR(__xludf.DUMMYFUNCTION("""COMPUTED_VALUE"""),"car")</f>
        <v>car</v>
      </c>
      <c r="I147" s="3" t="str">
        <f ca="1">IFERROR(__xludf.DUMMYFUNCTION("""COMPUTED_VALUE"""),"2055-06-01T20:52:36.8623Z")</f>
        <v>2055-06-01T20:52:36.8623Z</v>
      </c>
      <c r="J147" s="3" t="str">
        <f ca="1">IFERROR(__xludf.DUMMYFUNCTION("""COMPUTED_VALUE"""),"2055-06-01T21:52:45.93Z")</f>
        <v>2055-06-01T21:52:45.93Z</v>
      </c>
      <c r="K147" s="3" t="str">
        <f ca="1">IFERROR(__xludf.DUMMYFUNCTION("""COMPUTED_VALUE"""),"2055-06-01T21:33:06.93Z")</f>
        <v>2055-06-01T21:33:06.93Z</v>
      </c>
      <c r="L147" s="3">
        <f ca="1">IFERROR(__xludf.DUMMYFUNCTION("""COMPUTED_VALUE"""),1)</f>
        <v>1</v>
      </c>
      <c r="M147" s="3">
        <f ca="1">IFERROR(__xludf.DUMMYFUNCTION("""COMPUTED_VALUE"""),0)</f>
        <v>0</v>
      </c>
      <c r="N147" s="3" t="str">
        <f ca="1">IFERROR(__xludf.DUMMYFUNCTION("""COMPUTED_VALUE"""),"2055-06-01T21:36:51.26082Z")</f>
        <v>2055-06-01T21:36:51.26082Z</v>
      </c>
      <c r="O147" s="3" t="str">
        <f ca="1">IFERROR(__xludf.DUMMYFUNCTION("""COMPUTED_VALUE"""),"2055-06-01T21:58:29.394955Z")</f>
        <v>2055-06-01T21:58:29.394955Z</v>
      </c>
      <c r="P147" s="3" t="str">
        <f ca="1">IFERROR(__xludf.DUMMYFUNCTION("""COMPUTED_VALUE"""),"2055-06-01T20:58:27.360986Z")</f>
        <v>2055-06-01T20:58:27.360986Z</v>
      </c>
      <c r="Q147" s="3">
        <f ca="1">IFERROR(__xludf.DUMMYFUNCTION("""COMPUTED_VALUE"""),0)</f>
        <v>0</v>
      </c>
      <c r="R147" s="3" t="str">
        <f ca="1">IFERROR(__xludf.DUMMYFUNCTION("""COMPUTED_VALUE"""),"2055-06-01T20:58:37.166417Z")</f>
        <v>2055-06-01T20:58:37.166417Z</v>
      </c>
      <c r="S147" s="3" t="str">
        <f ca="1">IFERROR(__xludf.DUMMYFUNCTION("""COMPUTED_VALUE"""),"2055-06-01T21:14:10.007988Z")</f>
        <v>2055-06-01T21:14:10.007988Z</v>
      </c>
      <c r="T147" s="3"/>
      <c r="U147" s="4">
        <f ca="1">IFERROR(__xludf.DUMMYFUNCTION("""COMPUTED_VALUE"""),56766)</f>
        <v>56766</v>
      </c>
      <c r="V147" s="3">
        <f ca="1">IFERROR(__xludf.DUMMYFUNCTION("""COMPUTED_VALUE"""),4.6)</f>
        <v>4.5999999999999996</v>
      </c>
      <c r="W147" s="3">
        <f ca="1">IFERROR(__xludf.DUMMYFUNCTION("""COMPUTED_VALUE"""),4500)</f>
        <v>4500</v>
      </c>
      <c r="X147" s="3">
        <f ca="1">IFERROR(__xludf.DUMMYFUNCTION("""COMPUTED_VALUE"""),3592)</f>
        <v>3592</v>
      </c>
      <c r="Y147" s="3">
        <f ca="1">IFERROR(__xludf.DUMMYFUNCTION("""COMPUTED_VALUE"""),933)</f>
        <v>933</v>
      </c>
      <c r="Z147" s="3">
        <f ca="1">IFERROR(__xludf.DUMMYFUNCTION("""COMPUTED_VALUE"""),1361)</f>
        <v>1361</v>
      </c>
      <c r="AA147" s="3">
        <f ca="1">IFERROR(__xludf.DUMMYFUNCTION("""COMPUTED_VALUE"""),1298)</f>
        <v>1298</v>
      </c>
      <c r="AB147" s="3">
        <f ca="1">IFERROR(__xludf.DUMMYFUNCTION("""COMPUTED_VALUE"""),0)</f>
        <v>0</v>
      </c>
      <c r="AC147" s="3">
        <f ca="1">IFERROR(__xludf.DUMMYFUNCTION("""COMPUTED_VALUE"""),3)</f>
        <v>3</v>
      </c>
      <c r="AD147" s="3" t="str">
        <f ca="1">IFERROR(__xludf.DUMMYFUNCTION("""COMPUTED_VALUE"""),"on time")</f>
        <v>on time</v>
      </c>
      <c r="AE147" s="3" t="str">
        <f ca="1">IFERROR(__xludf.DUMMYFUNCTION("""COMPUTED_VALUE"""),"2055-06-01T17:36:51.26082Z")</f>
        <v>2055-06-01T17:36:51.26082Z</v>
      </c>
      <c r="AF147" s="3" t="str">
        <f ca="1">IFERROR(__xludf.DUMMYFUNCTION("""COMPUTED_VALUE"""),"2055-06-01T17:58:29.394955Z")</f>
        <v>2055-06-01T17:58:29.394955Z</v>
      </c>
      <c r="AG147" s="3" t="str">
        <f ca="1">IFERROR(__xludf.DUMMYFUNCTION("""COMPUTED_VALUE"""),"2055-06-01T16:58:27.360986Z")</f>
        <v>2055-06-01T16:58:27.360986Z</v>
      </c>
      <c r="AH147" s="3" t="str">
        <f ca="1">IFERROR(__xludf.DUMMYFUNCTION("""COMPUTED_VALUE"""),"2055-06-01T17:14:10.007988Z")</f>
        <v>2055-06-01T17:14:10.007988Z</v>
      </c>
      <c r="AI147" s="3">
        <f ca="1">IFERROR(__xludf.DUMMYFUNCTION("""COMPUTED_VALUE"""),4.58)</f>
        <v>4.58</v>
      </c>
      <c r="AJ147" s="3">
        <f ca="1">IFERROR(__xludf.DUMMYFUNCTION("""COMPUTED_VALUE"""),679)</f>
        <v>679</v>
      </c>
      <c r="AK147" s="3">
        <f ca="1">IFERROR(__xludf.DUMMYFUNCTION("""COMPUTED_VALUE"""),2371)</f>
        <v>2371</v>
      </c>
      <c r="AL147" s="3">
        <f ca="1">IFERROR(__xludf.DUMMYFUNCTION("""COMPUTED_VALUE"""),1830)</f>
        <v>1830</v>
      </c>
    </row>
    <row r="148" spans="1:38" ht="13">
      <c r="A148" s="3">
        <f ca="1">IFERROR(__xludf.DUMMYFUNCTION("""COMPUTED_VALUE"""),180)</f>
        <v>180</v>
      </c>
      <c r="B148" s="3">
        <f ca="1">IFERROR(__xludf.DUMMYFUNCTION("""COMPUTED_VALUE"""),3)</f>
        <v>3</v>
      </c>
      <c r="C148" s="3">
        <f ca="1">IFERROR(__xludf.DUMMYFUNCTION("""COMPUTED_VALUE"""),4050)</f>
        <v>4050</v>
      </c>
      <c r="D148" s="3" t="str">
        <f ca="1">IFERROR(__xludf.DUMMYFUNCTION("""COMPUTED_VALUE"""),"Doorlanta")</f>
        <v>Doorlanta</v>
      </c>
      <c r="E148" s="3" t="str">
        <f ca="1">IFERROR(__xludf.DUMMYFUNCTION("""COMPUTED_VALUE"""),"Galaxy A")</f>
        <v>Galaxy A</v>
      </c>
      <c r="F148" s="3" t="str">
        <f ca="1">IFERROR(__xludf.DUMMYFUNCTION("""COMPUTED_VALUE"""),"Katelynn")</f>
        <v>Katelynn</v>
      </c>
      <c r="G148" s="3">
        <f ca="1">IFERROR(__xludf.DUMMYFUNCTION("""COMPUTED_VALUE"""),0)</f>
        <v>0</v>
      </c>
      <c r="H148" s="3" t="str">
        <f ca="1">IFERROR(__xludf.DUMMYFUNCTION("""COMPUTED_VALUE"""),"car")</f>
        <v>car</v>
      </c>
      <c r="I148" s="3" t="str">
        <f ca="1">IFERROR(__xludf.DUMMYFUNCTION("""COMPUTED_VALUE"""),"2055-06-02T22:10:11.433447Z")</f>
        <v>2055-06-02T22:10:11.433447Z</v>
      </c>
      <c r="J148" s="3" t="str">
        <f ca="1">IFERROR(__xludf.DUMMYFUNCTION("""COMPUTED_VALUE"""),"2055-06-02T23:18:20.498Z")</f>
        <v>2055-06-02T23:18:20.498Z</v>
      </c>
      <c r="K148" s="3" t="str">
        <f ca="1">IFERROR(__xludf.DUMMYFUNCTION("""COMPUTED_VALUE"""),"2055-06-02T22:59:27.498Z")</f>
        <v>2055-06-02T22:59:27.498Z</v>
      </c>
      <c r="L148" s="3">
        <f ca="1">IFERROR(__xludf.DUMMYFUNCTION("""COMPUTED_VALUE"""),1)</f>
        <v>1</v>
      </c>
      <c r="M148" s="3">
        <f ca="1">IFERROR(__xludf.DUMMYFUNCTION("""COMPUTED_VALUE"""),0)</f>
        <v>0</v>
      </c>
      <c r="N148" s="3" t="str">
        <f ca="1">IFERROR(__xludf.DUMMYFUNCTION("""COMPUTED_VALUE"""),"2055-06-02T22:30:35.102851Z")</f>
        <v>2055-06-02T22:30:35.102851Z</v>
      </c>
      <c r="O148" s="3" t="str">
        <f ca="1">IFERROR(__xludf.DUMMYFUNCTION("""COMPUTED_VALUE"""),"2055-06-02T22:38:13.852392Z")</f>
        <v>2055-06-02T22:38:13.852392Z</v>
      </c>
      <c r="P148" s="3" t="str">
        <f ca="1">IFERROR(__xludf.DUMMYFUNCTION("""COMPUTED_VALUE"""),"2055-06-02T22:10:27.321439Z")</f>
        <v>2055-06-02T22:10:27.321439Z</v>
      </c>
      <c r="Q148" s="3">
        <f ca="1">IFERROR(__xludf.DUMMYFUNCTION("""COMPUTED_VALUE"""),0)</f>
        <v>0</v>
      </c>
      <c r="R148" s="3" t="str">
        <f ca="1">IFERROR(__xludf.DUMMYFUNCTION("""COMPUTED_VALUE"""),"2055-06-02T22:10:54.753006Z")</f>
        <v>2055-06-02T22:10:54.753006Z</v>
      </c>
      <c r="S148" s="3"/>
      <c r="T148" s="3"/>
      <c r="U148" s="4">
        <f ca="1">IFERROR(__xludf.DUMMYFUNCTION("""COMPUTED_VALUE"""),56767)</f>
        <v>56767</v>
      </c>
      <c r="V148" s="3">
        <f ca="1">IFERROR(__xludf.DUMMYFUNCTION("""COMPUTED_VALUE"""),4.4)</f>
        <v>4.4000000000000004</v>
      </c>
      <c r="W148" s="3">
        <f ca="1">IFERROR(__xludf.DUMMYFUNCTION("""COMPUTED_VALUE"""),4500)</f>
        <v>4500</v>
      </c>
      <c r="X148" s="3">
        <f ca="1">IFERROR(__xludf.DUMMYFUNCTION("""COMPUTED_VALUE"""),1639)</f>
        <v>1639</v>
      </c>
      <c r="Y148" s="3"/>
      <c r="Z148" s="3"/>
      <c r="AA148" s="3">
        <f ca="1">IFERROR(__xludf.DUMMYFUNCTION("""COMPUTED_VALUE"""),458)</f>
        <v>458</v>
      </c>
      <c r="AB148" s="3">
        <f ca="1">IFERROR(__xludf.DUMMYFUNCTION("""COMPUTED_VALUE"""),0)</f>
        <v>0</v>
      </c>
      <c r="AC148" s="3">
        <f ca="1">IFERROR(__xludf.DUMMYFUNCTION("""COMPUTED_VALUE"""),6)</f>
        <v>6</v>
      </c>
      <c r="AD148" s="3"/>
      <c r="AE148" s="3" t="str">
        <f ca="1">IFERROR(__xludf.DUMMYFUNCTION("""COMPUTED_VALUE"""),"2055-06-02T18:30:35.102851Z")</f>
        <v>2055-06-02T18:30:35.102851Z</v>
      </c>
      <c r="AF148" s="3" t="str">
        <f ca="1">IFERROR(__xludf.DUMMYFUNCTION("""COMPUTED_VALUE"""),"2055-06-02T18:38:13.852392Z")</f>
        <v>2055-06-02T18:38:13.852392Z</v>
      </c>
      <c r="AG148" s="3" t="str">
        <f ca="1">IFERROR(__xludf.DUMMYFUNCTION("""COMPUTED_VALUE"""),"2055-06-02T18:10:27.321439Z")</f>
        <v>2055-06-02T18:10:27.321439Z</v>
      </c>
      <c r="AH148" s="3"/>
      <c r="AI148" s="3">
        <f ca="1">IFERROR(__xludf.DUMMYFUNCTION("""COMPUTED_VALUE"""),4.7)</f>
        <v>4.7</v>
      </c>
      <c r="AJ148" s="3">
        <f ca="1">IFERROR(__xludf.DUMMYFUNCTION("""COMPUTED_VALUE"""),1261)</f>
        <v>1261</v>
      </c>
      <c r="AK148" s="3">
        <f ca="1">IFERROR(__xludf.DUMMYFUNCTION("""COMPUTED_VALUE"""),3264)</f>
        <v>3264</v>
      </c>
      <c r="AL148" s="3">
        <f ca="1">IFERROR(__xludf.DUMMYFUNCTION("""COMPUTED_VALUE"""),232)</f>
        <v>232</v>
      </c>
    </row>
    <row r="149" spans="1:38" ht="13">
      <c r="A149" s="3">
        <f ca="1">IFERROR(__xludf.DUMMYFUNCTION("""COMPUTED_VALUE"""),641)</f>
        <v>641</v>
      </c>
      <c r="B149" s="3"/>
      <c r="C149" s="3">
        <f ca="1">IFERROR(__xludf.DUMMYFUNCTION("""COMPUTED_VALUE"""),4001)</f>
        <v>4001</v>
      </c>
      <c r="D149" s="3" t="str">
        <f ca="1">IFERROR(__xludf.DUMMYFUNCTION("""COMPUTED_VALUE"""),"Dashattan")</f>
        <v>Dashattan</v>
      </c>
      <c r="E149" s="3" t="str">
        <f ca="1">IFERROR(__xludf.DUMMYFUNCTION("""COMPUTED_VALUE"""),"Galaxy A")</f>
        <v>Galaxy A</v>
      </c>
      <c r="F149" s="3" t="str">
        <f ca="1">IFERROR(__xludf.DUMMYFUNCTION("""COMPUTED_VALUE"""),"Bill")</f>
        <v>Bill</v>
      </c>
      <c r="G149" s="3">
        <f ca="1">IFERROR(__xludf.DUMMYFUNCTION("""COMPUTED_VALUE"""),0)</f>
        <v>0</v>
      </c>
      <c r="H149" s="3" t="str">
        <f ca="1">IFERROR(__xludf.DUMMYFUNCTION("""COMPUTED_VALUE"""),"car")</f>
        <v>car</v>
      </c>
      <c r="I149" s="3" t="str">
        <f ca="1">IFERROR(__xludf.DUMMYFUNCTION("""COMPUTED_VALUE"""),"2055-06-05T22:09:02.652408Z")</f>
        <v>2055-06-05T22:09:02.652408Z</v>
      </c>
      <c r="J149" s="3" t="str">
        <f ca="1">IFERROR(__xludf.DUMMYFUNCTION("""COMPUTED_VALUE"""),"2055-06-05T23:19:49.71Z")</f>
        <v>2055-06-05T23:19:49.71Z</v>
      </c>
      <c r="K149" s="3" t="str">
        <f ca="1">IFERROR(__xludf.DUMMYFUNCTION("""COMPUTED_VALUE"""),"2055-06-05T23:00:10.71Z")</f>
        <v>2055-06-05T23:00:10.71Z</v>
      </c>
      <c r="L149" s="3">
        <f ca="1">IFERROR(__xludf.DUMMYFUNCTION("""COMPUTED_VALUE"""),1)</f>
        <v>1</v>
      </c>
      <c r="M149" s="3">
        <f ca="1">IFERROR(__xludf.DUMMYFUNCTION("""COMPUTED_VALUE"""),0)</f>
        <v>0</v>
      </c>
      <c r="N149" s="3" t="str">
        <f ca="1">IFERROR(__xludf.DUMMYFUNCTION("""COMPUTED_VALUE"""),"2055-06-05T22:52:49.92834Z")</f>
        <v>2055-06-05T22:52:49.92834Z</v>
      </c>
      <c r="O149" s="3" t="str">
        <f ca="1">IFERROR(__xludf.DUMMYFUNCTION("""COMPUTED_VALUE"""),"2055-06-05T23:21:53.526598Z")</f>
        <v>2055-06-05T23:21:53.526598Z</v>
      </c>
      <c r="P149" s="3" t="str">
        <f ca="1">IFERROR(__xludf.DUMMYFUNCTION("""COMPUTED_VALUE"""),"2055-06-05T22:11:55.060906Z")</f>
        <v>2055-06-05T22:11:55.060906Z</v>
      </c>
      <c r="Q149" s="3">
        <f ca="1">IFERROR(__xludf.DUMMYFUNCTION("""COMPUTED_VALUE"""),0)</f>
        <v>0</v>
      </c>
      <c r="R149" s="3" t="str">
        <f ca="1">IFERROR(__xludf.DUMMYFUNCTION("""COMPUTED_VALUE"""),"2055-06-05T22:11:58.755251Z")</f>
        <v>2055-06-05T22:11:58.755251Z</v>
      </c>
      <c r="S149" s="3" t="str">
        <f ca="1">IFERROR(__xludf.DUMMYFUNCTION("""COMPUTED_VALUE"""),"2055-06-05T22:35:00.995703Z")</f>
        <v>2055-06-05T22:35:00.995703Z</v>
      </c>
      <c r="T149" s="3"/>
      <c r="U149" s="4">
        <f ca="1">IFERROR(__xludf.DUMMYFUNCTION("""COMPUTED_VALUE"""),56770)</f>
        <v>56770</v>
      </c>
      <c r="V149" s="3">
        <f ca="1">IFERROR(__xludf.DUMMYFUNCTION("""COMPUTED_VALUE"""),4.4)</f>
        <v>4.4000000000000004</v>
      </c>
      <c r="W149" s="3">
        <f ca="1">IFERROR(__xludf.DUMMYFUNCTION("""COMPUTED_VALUE"""),4500)</f>
        <v>4500</v>
      </c>
      <c r="X149" s="3">
        <f ca="1">IFERROR(__xludf.DUMMYFUNCTION("""COMPUTED_VALUE"""),4195)</f>
        <v>4195</v>
      </c>
      <c r="Y149" s="3">
        <f ca="1">IFERROR(__xludf.DUMMYFUNCTION("""COMPUTED_VALUE"""),1382)</f>
        <v>1382</v>
      </c>
      <c r="Z149" s="3">
        <f ca="1">IFERROR(__xludf.DUMMYFUNCTION("""COMPUTED_VALUE"""),1069)</f>
        <v>1069</v>
      </c>
      <c r="AA149" s="3">
        <f ca="1">IFERROR(__xludf.DUMMYFUNCTION("""COMPUTED_VALUE"""),1744)</f>
        <v>1744</v>
      </c>
      <c r="AB149" s="3">
        <f ca="1">IFERROR(__xludf.DUMMYFUNCTION("""COMPUTED_VALUE"""),1)</f>
        <v>1</v>
      </c>
      <c r="AC149" s="3">
        <f ca="1">IFERROR(__xludf.DUMMYFUNCTION("""COMPUTED_VALUE"""),4)</f>
        <v>4</v>
      </c>
      <c r="AD149" s="3"/>
      <c r="AE149" s="3" t="str">
        <f ca="1">IFERROR(__xludf.DUMMYFUNCTION("""COMPUTED_VALUE"""),"2055-06-05T18:52:49.92834Z")</f>
        <v>2055-06-05T18:52:49.92834Z</v>
      </c>
      <c r="AF149" s="3" t="str">
        <f ca="1">IFERROR(__xludf.DUMMYFUNCTION("""COMPUTED_VALUE"""),"2055-06-05T19:21:53.526598Z")</f>
        <v>2055-06-05T19:21:53.526598Z</v>
      </c>
      <c r="AG149" s="3" t="str">
        <f ca="1">IFERROR(__xludf.DUMMYFUNCTION("""COMPUTED_VALUE"""),"2055-06-05T18:11:55.060906Z")</f>
        <v>2055-06-05T18:11:55.060906Z</v>
      </c>
      <c r="AH149" s="3" t="str">
        <f ca="1">IFERROR(__xludf.DUMMYFUNCTION("""COMPUTED_VALUE"""),"2055-06-05T18:35:00.995703Z")</f>
        <v>2055-06-05T18:35:00.995703Z</v>
      </c>
      <c r="AI149" s="3">
        <f ca="1">IFERROR(__xludf.DUMMYFUNCTION("""COMPUTED_VALUE"""),4.46)</f>
        <v>4.46</v>
      </c>
      <c r="AJ149" s="3">
        <f ca="1">IFERROR(__xludf.DUMMYFUNCTION("""COMPUTED_VALUE"""),148)</f>
        <v>148</v>
      </c>
      <c r="AK149" s="3">
        <f ca="1">IFERROR(__xludf.DUMMYFUNCTION("""COMPUTED_VALUE"""),435)</f>
        <v>435</v>
      </c>
      <c r="AL149" s="3"/>
    </row>
    <row r="150" spans="1:38" ht="13">
      <c r="A150" s="3">
        <f ca="1">IFERROR(__xludf.DUMMYFUNCTION("""COMPUTED_VALUE"""),377)</f>
        <v>377</v>
      </c>
      <c r="B150" s="3">
        <f ca="1">IFERROR(__xludf.DUMMYFUNCTION("""COMPUTED_VALUE"""),5)</f>
        <v>5</v>
      </c>
      <c r="C150" s="3">
        <f ca="1">IFERROR(__xludf.DUMMYFUNCTION("""COMPUTED_VALUE"""),4050)</f>
        <v>4050</v>
      </c>
      <c r="D150" s="3" t="str">
        <f ca="1">IFERROR(__xludf.DUMMYFUNCTION("""COMPUTED_VALUE"""),"Doorlanta")</f>
        <v>Doorlanta</v>
      </c>
      <c r="E150" s="3" t="str">
        <f ca="1">IFERROR(__xludf.DUMMYFUNCTION("""COMPUTED_VALUE"""),"Galaxy A")</f>
        <v>Galaxy A</v>
      </c>
      <c r="F150" s="3" t="str">
        <f ca="1">IFERROR(__xludf.DUMMYFUNCTION("""COMPUTED_VALUE"""),"Josh")</f>
        <v>Josh</v>
      </c>
      <c r="G150" s="3">
        <f ca="1">IFERROR(__xludf.DUMMYFUNCTION("""COMPUTED_VALUE"""),0)</f>
        <v>0</v>
      </c>
      <c r="H150" s="3" t="str">
        <f ca="1">IFERROR(__xludf.DUMMYFUNCTION("""COMPUTED_VALUE"""),"car")</f>
        <v>car</v>
      </c>
      <c r="I150" s="3" t="str">
        <f ca="1">IFERROR(__xludf.DUMMYFUNCTION("""COMPUTED_VALUE"""),"2055-06-04T00:11:26.704933Z")</f>
        <v>2055-06-04T00:11:26.704933Z</v>
      </c>
      <c r="J150" s="3" t="str">
        <f ca="1">IFERROR(__xludf.DUMMYFUNCTION("""COMPUTED_VALUE"""),"2055-06-04T01:07:18.778Z")</f>
        <v>2055-06-04T01:07:18.778Z</v>
      </c>
      <c r="K150" s="3" t="str">
        <f ca="1">IFERROR(__xludf.DUMMYFUNCTION("""COMPUTED_VALUE"""),"2055-06-04T00:47:11.778Z")</f>
        <v>2055-06-04T00:47:11.778Z</v>
      </c>
      <c r="L150" s="3">
        <f ca="1">IFERROR(__xludf.DUMMYFUNCTION("""COMPUTED_VALUE"""),1)</f>
        <v>1</v>
      </c>
      <c r="M150" s="3">
        <f ca="1">IFERROR(__xludf.DUMMYFUNCTION("""COMPUTED_VALUE"""),0)</f>
        <v>0</v>
      </c>
      <c r="N150" s="3" t="str">
        <f ca="1">IFERROR(__xludf.DUMMYFUNCTION("""COMPUTED_VALUE"""),"2055-06-04T00:38:25.465336Z")</f>
        <v>2055-06-04T00:38:25.465336Z</v>
      </c>
      <c r="O150" s="3" t="str">
        <f ca="1">IFERROR(__xludf.DUMMYFUNCTION("""COMPUTED_VALUE"""),"2055-06-04T00:44:27.896551Z")</f>
        <v>2055-06-04T00:44:27.896551Z</v>
      </c>
      <c r="P150" s="3" t="str">
        <f ca="1">IFERROR(__xludf.DUMMYFUNCTION("""COMPUTED_VALUE"""),"2055-06-04T00:11:47.401089Z")</f>
        <v>2055-06-04T00:11:47.401089Z</v>
      </c>
      <c r="Q150" s="3">
        <f ca="1">IFERROR(__xludf.DUMMYFUNCTION("""COMPUTED_VALUE"""),0)</f>
        <v>0</v>
      </c>
      <c r="R150" s="3" t="str">
        <f ca="1">IFERROR(__xludf.DUMMYFUNCTION("""COMPUTED_VALUE"""),"2055-06-04T00:12:01.775115Z")</f>
        <v>2055-06-04T00:12:01.775115Z</v>
      </c>
      <c r="S150" s="3" t="str">
        <f ca="1">IFERROR(__xludf.DUMMYFUNCTION("""COMPUTED_VALUE"""),"2055-06-04T00:19:45.636197Z")</f>
        <v>2055-06-04T00:19:45.636197Z</v>
      </c>
      <c r="T150" s="3"/>
      <c r="U150" s="4">
        <f ca="1">IFERROR(__xludf.DUMMYFUNCTION("""COMPUTED_VALUE"""),56768)</f>
        <v>56768</v>
      </c>
      <c r="V150" s="3">
        <f ca="1">IFERROR(__xludf.DUMMYFUNCTION("""COMPUTED_VALUE"""),4.5)</f>
        <v>4.5</v>
      </c>
      <c r="W150" s="3">
        <f ca="1">IFERROR(__xludf.DUMMYFUNCTION("""COMPUTED_VALUE"""),4500)</f>
        <v>4500</v>
      </c>
      <c r="X150" s="3">
        <f ca="1">IFERROR(__xludf.DUMMYFUNCTION("""COMPUTED_VALUE"""),1946)</f>
        <v>1946</v>
      </c>
      <c r="Y150" s="3">
        <f ca="1">IFERROR(__xludf.DUMMYFUNCTION("""COMPUTED_VALUE"""),464)</f>
        <v>464</v>
      </c>
      <c r="Z150" s="3">
        <f ca="1">IFERROR(__xludf.DUMMYFUNCTION("""COMPUTED_VALUE"""),1120)</f>
        <v>1120</v>
      </c>
      <c r="AA150" s="3">
        <f ca="1">IFERROR(__xludf.DUMMYFUNCTION("""COMPUTED_VALUE"""),362)</f>
        <v>362</v>
      </c>
      <c r="AB150" s="3">
        <f ca="1">IFERROR(__xludf.DUMMYFUNCTION("""COMPUTED_VALUE"""),0)</f>
        <v>0</v>
      </c>
      <c r="AC150" s="3">
        <f ca="1">IFERROR(__xludf.DUMMYFUNCTION("""COMPUTED_VALUE"""),4)</f>
        <v>4</v>
      </c>
      <c r="AD150" s="3" t="str">
        <f ca="1">IFERROR(__xludf.DUMMYFUNCTION("""COMPUTED_VALUE"""),"early")</f>
        <v>early</v>
      </c>
      <c r="AE150" s="3" t="str">
        <f ca="1">IFERROR(__xludf.DUMMYFUNCTION("""COMPUTED_VALUE"""),"2055-06-03T20:38:25.465336Z")</f>
        <v>2055-06-03T20:38:25.465336Z</v>
      </c>
      <c r="AF150" s="3" t="str">
        <f ca="1">IFERROR(__xludf.DUMMYFUNCTION("""COMPUTED_VALUE"""),"2055-06-03T20:44:27.896551Z")</f>
        <v>2055-06-03T20:44:27.896551Z</v>
      </c>
      <c r="AG150" s="3" t="str">
        <f ca="1">IFERROR(__xludf.DUMMYFUNCTION("""COMPUTED_VALUE"""),"2055-06-03T20:11:47.401089Z")</f>
        <v>2055-06-03T20:11:47.401089Z</v>
      </c>
      <c r="AH150" s="3" t="str">
        <f ca="1">IFERROR(__xludf.DUMMYFUNCTION("""COMPUTED_VALUE"""),"2055-06-03T20:19:45.636197Z")</f>
        <v>2055-06-03T20:19:45.636197Z</v>
      </c>
      <c r="AI150" s="3">
        <f ca="1">IFERROR(__xludf.DUMMYFUNCTION("""COMPUTED_VALUE"""),4.77)</f>
        <v>4.7699999999999996</v>
      </c>
      <c r="AJ150" s="3">
        <f ca="1">IFERROR(__xludf.DUMMYFUNCTION("""COMPUTED_VALUE"""),426)</f>
        <v>426</v>
      </c>
      <c r="AK150" s="3">
        <f ca="1">IFERROR(__xludf.DUMMYFUNCTION("""COMPUTED_VALUE"""),1226)</f>
        <v>1226</v>
      </c>
      <c r="AL150" s="3">
        <f ca="1">IFERROR(__xludf.DUMMYFUNCTION("""COMPUTED_VALUE"""),85)</f>
        <v>85</v>
      </c>
    </row>
    <row r="151" spans="1:38" ht="13">
      <c r="A151" s="3">
        <f ca="1">IFERROR(__xludf.DUMMYFUNCTION("""COMPUTED_VALUE"""),660)</f>
        <v>660</v>
      </c>
      <c r="B151" s="3">
        <f ca="1">IFERROR(__xludf.DUMMYFUNCTION("""COMPUTED_VALUE"""),5)</f>
        <v>5</v>
      </c>
      <c r="C151" s="3">
        <f ca="1">IFERROR(__xludf.DUMMYFUNCTION("""COMPUTED_VALUE"""),4001)</f>
        <v>4001</v>
      </c>
      <c r="D151" s="3" t="str">
        <f ca="1">IFERROR(__xludf.DUMMYFUNCTION("""COMPUTED_VALUE"""),"Dashattan")</f>
        <v>Dashattan</v>
      </c>
      <c r="E151" s="3" t="str">
        <f ca="1">IFERROR(__xludf.DUMMYFUNCTION("""COMPUTED_VALUE"""),"Galaxy A")</f>
        <v>Galaxy A</v>
      </c>
      <c r="F151" s="3" t="str">
        <f ca="1">IFERROR(__xludf.DUMMYFUNCTION("""COMPUTED_VALUE"""),"Jennifer")</f>
        <v>Jennifer</v>
      </c>
      <c r="G151" s="3">
        <f ca="1">IFERROR(__xludf.DUMMYFUNCTION("""COMPUTED_VALUE"""),0)</f>
        <v>0</v>
      </c>
      <c r="H151" s="3" t="str">
        <f ca="1">IFERROR(__xludf.DUMMYFUNCTION("""COMPUTED_VALUE"""),"car")</f>
        <v>car</v>
      </c>
      <c r="I151" s="3" t="str">
        <f ca="1">IFERROR(__xludf.DUMMYFUNCTION("""COMPUTED_VALUE"""),"2055-06-05T22:52:48.930813Z")</f>
        <v>2055-06-05T22:52:48.930813Z</v>
      </c>
      <c r="J151" s="3" t="str">
        <f ca="1">IFERROR(__xludf.DUMMYFUNCTION("""COMPUTED_VALUE"""),"2055-06-06T00:10:54.001Z")</f>
        <v>2055-06-06T00:10:54.001Z</v>
      </c>
      <c r="K151" s="3" t="str">
        <f ca="1">IFERROR(__xludf.DUMMYFUNCTION("""COMPUTED_VALUE"""),"2055-06-05T23:47:36.001Z")</f>
        <v>2055-06-05T23:47:36.001Z</v>
      </c>
      <c r="L151" s="3">
        <f ca="1">IFERROR(__xludf.DUMMYFUNCTION("""COMPUTED_VALUE"""),1)</f>
        <v>1</v>
      </c>
      <c r="M151" s="3">
        <f ca="1">IFERROR(__xludf.DUMMYFUNCTION("""COMPUTED_VALUE"""),0)</f>
        <v>0</v>
      </c>
      <c r="N151" s="3" t="str">
        <f ca="1">IFERROR(__xludf.DUMMYFUNCTION("""COMPUTED_VALUE"""),"2055-06-06T01:19:21.984574Z")</f>
        <v>2055-06-06T01:19:21.984574Z</v>
      </c>
      <c r="O151" s="3" t="str">
        <f ca="1">IFERROR(__xludf.DUMMYFUNCTION("""COMPUTED_VALUE"""),"2055-06-06T01:54:11.943306Z")</f>
        <v>2055-06-06T01:54:11.943306Z</v>
      </c>
      <c r="P151" s="3" t="str">
        <f ca="1">IFERROR(__xludf.DUMMYFUNCTION("""COMPUTED_VALUE"""),"2055-06-06T01:03:50.45395Z")</f>
        <v>2055-06-06T01:03:50.45395Z</v>
      </c>
      <c r="Q151" s="3">
        <f ca="1">IFERROR(__xludf.DUMMYFUNCTION("""COMPUTED_VALUE"""),1)</f>
        <v>1</v>
      </c>
      <c r="R151" s="3" t="str">
        <f ca="1">IFERROR(__xludf.DUMMYFUNCTION("""COMPUTED_VALUE"""),"2055-06-06T01:04:04.876412Z")</f>
        <v>2055-06-06T01:04:04.876412Z</v>
      </c>
      <c r="S151" s="3"/>
      <c r="T151" s="3"/>
      <c r="U151" s="4">
        <f ca="1">IFERROR(__xludf.DUMMYFUNCTION("""COMPUTED_VALUE"""),56770)</f>
        <v>56770</v>
      </c>
      <c r="V151" s="3">
        <f ca="1">IFERROR(__xludf.DUMMYFUNCTION("""COMPUTED_VALUE"""),4.2)</f>
        <v>4.2</v>
      </c>
      <c r="W151" s="3">
        <f ca="1">IFERROR(__xludf.DUMMYFUNCTION("""COMPUTED_VALUE"""),4500)</f>
        <v>4500</v>
      </c>
      <c r="X151" s="3">
        <f ca="1">IFERROR(__xludf.DUMMYFUNCTION("""COMPUTED_VALUE"""),3007)</f>
        <v>3007</v>
      </c>
      <c r="Y151" s="3"/>
      <c r="Z151" s="3"/>
      <c r="AA151" s="3">
        <f ca="1">IFERROR(__xludf.DUMMYFUNCTION("""COMPUTED_VALUE"""),2090)</f>
        <v>2090</v>
      </c>
      <c r="AB151" s="3">
        <f ca="1">IFERROR(__xludf.DUMMYFUNCTION("""COMPUTED_VALUE"""),0)</f>
        <v>0</v>
      </c>
      <c r="AC151" s="3">
        <f ca="1">IFERROR(__xludf.DUMMYFUNCTION("""COMPUTED_VALUE"""),9)</f>
        <v>9</v>
      </c>
      <c r="AD151" s="3"/>
      <c r="AE151" s="3" t="str">
        <f ca="1">IFERROR(__xludf.DUMMYFUNCTION("""COMPUTED_VALUE"""),"2055-06-05T21:19:21.984574Z")</f>
        <v>2055-06-05T21:19:21.984574Z</v>
      </c>
      <c r="AF151" s="3" t="str">
        <f ca="1">IFERROR(__xludf.DUMMYFUNCTION("""COMPUTED_VALUE"""),"2055-06-05T21:54:11.943306Z")</f>
        <v>2055-06-05T21:54:11.943306Z</v>
      </c>
      <c r="AG151" s="3" t="str">
        <f ca="1">IFERROR(__xludf.DUMMYFUNCTION("""COMPUTED_VALUE"""),"2055-06-05T21:03:50.45395Z")</f>
        <v>2055-06-05T21:03:50.45395Z</v>
      </c>
      <c r="AH151" s="3"/>
      <c r="AI151" s="3">
        <f ca="1">IFERROR(__xludf.DUMMYFUNCTION("""COMPUTED_VALUE"""),4.53)</f>
        <v>4.53</v>
      </c>
      <c r="AJ151" s="3">
        <f ca="1">IFERROR(__xludf.DUMMYFUNCTION("""COMPUTED_VALUE"""),148)</f>
        <v>148</v>
      </c>
      <c r="AK151" s="3">
        <f ca="1">IFERROR(__xludf.DUMMYFUNCTION("""COMPUTED_VALUE"""),435)</f>
        <v>435</v>
      </c>
      <c r="AL151" s="3"/>
    </row>
    <row r="152" spans="1:38" ht="13">
      <c r="A152" s="3">
        <f ca="1">IFERROR(__xludf.DUMMYFUNCTION("""COMPUTED_VALUE"""),798)</f>
        <v>798</v>
      </c>
      <c r="B152" s="3">
        <f ca="1">IFERROR(__xludf.DUMMYFUNCTION("""COMPUTED_VALUE"""),5)</f>
        <v>5</v>
      </c>
      <c r="C152" s="3">
        <f ca="1">IFERROR(__xludf.DUMMYFUNCTION("""COMPUTED_VALUE"""),4001)</f>
        <v>4001</v>
      </c>
      <c r="D152" s="3" t="str">
        <f ca="1">IFERROR(__xludf.DUMMYFUNCTION("""COMPUTED_VALUE"""),"Dashattan")</f>
        <v>Dashattan</v>
      </c>
      <c r="E152" s="3" t="str">
        <f ca="1">IFERROR(__xludf.DUMMYFUNCTION("""COMPUTED_VALUE"""),"Galaxy A")</f>
        <v>Galaxy A</v>
      </c>
      <c r="F152" s="3" t="str">
        <f ca="1">IFERROR(__xludf.DUMMYFUNCTION("""COMPUTED_VALUE"""),"KC")</f>
        <v>KC</v>
      </c>
      <c r="G152" s="3">
        <f ca="1">IFERROR(__xludf.DUMMYFUNCTION("""COMPUTED_VALUE"""),0)</f>
        <v>0</v>
      </c>
      <c r="H152" s="3" t="str">
        <f ca="1">IFERROR(__xludf.DUMMYFUNCTION("""COMPUTED_VALUE"""),"car")</f>
        <v>car</v>
      </c>
      <c r="I152" s="3" t="str">
        <f ca="1">IFERROR(__xludf.DUMMYFUNCTION("""COMPUTED_VALUE"""),"2055-06-06T23:51:20.552149Z")</f>
        <v>2055-06-06T23:51:20.552149Z</v>
      </c>
      <c r="J152" s="3" t="str">
        <f ca="1">IFERROR(__xludf.DUMMYFUNCTION("""COMPUTED_VALUE"""),"2055-06-07T00:45:05.601Z")</f>
        <v>2055-06-07T00:45:05.601Z</v>
      </c>
      <c r="K152" s="3" t="str">
        <f ca="1">IFERROR(__xludf.DUMMYFUNCTION("""COMPUTED_VALUE"""),"2055-06-07T00:25:26.601Z")</f>
        <v>2055-06-07T00:25:26.601Z</v>
      </c>
      <c r="L152" s="3">
        <f ca="1">IFERROR(__xludf.DUMMYFUNCTION("""COMPUTED_VALUE"""),1)</f>
        <v>1</v>
      </c>
      <c r="M152" s="3">
        <f ca="1">IFERROR(__xludf.DUMMYFUNCTION("""COMPUTED_VALUE"""),0)</f>
        <v>0</v>
      </c>
      <c r="N152" s="3" t="str">
        <f ca="1">IFERROR(__xludf.DUMMYFUNCTION("""COMPUTED_VALUE"""),"2055-06-07T00:24:29.933159Z")</f>
        <v>2055-06-07T00:24:29.933159Z</v>
      </c>
      <c r="O152" s="3" t="str">
        <f ca="1">IFERROR(__xludf.DUMMYFUNCTION("""COMPUTED_VALUE"""),"2055-06-07T00:34:14.869277Z")</f>
        <v>2055-06-07T00:34:14.869277Z</v>
      </c>
      <c r="P152" s="3" t="str">
        <f ca="1">IFERROR(__xludf.DUMMYFUNCTION("""COMPUTED_VALUE"""),"2055-06-06T23:53:54.766513Z")</f>
        <v>2055-06-06T23:53:54.766513Z</v>
      </c>
      <c r="Q152" s="3">
        <f ca="1">IFERROR(__xludf.DUMMYFUNCTION("""COMPUTED_VALUE"""),0)</f>
        <v>0</v>
      </c>
      <c r="R152" s="3" t="str">
        <f ca="1">IFERROR(__xludf.DUMMYFUNCTION("""COMPUTED_VALUE"""),"2055-06-06T23:54:21.688571Z")</f>
        <v>2055-06-06T23:54:21.688571Z</v>
      </c>
      <c r="S152" s="3" t="str">
        <f ca="1">IFERROR(__xludf.DUMMYFUNCTION("""COMPUTED_VALUE"""),"2055-06-07T00:01:28.077074Z")</f>
        <v>2055-06-07T00:01:28.077074Z</v>
      </c>
      <c r="T152" s="3"/>
      <c r="U152" s="4">
        <f ca="1">IFERROR(__xludf.DUMMYFUNCTION("""COMPUTED_VALUE"""),56771)</f>
        <v>56771</v>
      </c>
      <c r="V152" s="3">
        <f ca="1">IFERROR(__xludf.DUMMYFUNCTION("""COMPUTED_VALUE"""),4.5)</f>
        <v>4.5</v>
      </c>
      <c r="W152" s="3">
        <f ca="1">IFERROR(__xludf.DUMMYFUNCTION("""COMPUTED_VALUE"""),4500)</f>
        <v>4500</v>
      </c>
      <c r="X152" s="3">
        <f ca="1">IFERROR(__xludf.DUMMYFUNCTION("""COMPUTED_VALUE"""),2393)</f>
        <v>2393</v>
      </c>
      <c r="Y152" s="3">
        <f ca="1">IFERROR(__xludf.DUMMYFUNCTION("""COMPUTED_VALUE"""),427)</f>
        <v>427</v>
      </c>
      <c r="Z152" s="3">
        <f ca="1">IFERROR(__xludf.DUMMYFUNCTION("""COMPUTED_VALUE"""),1381)</f>
        <v>1381</v>
      </c>
      <c r="AA152" s="3">
        <f ca="1">IFERROR(__xludf.DUMMYFUNCTION("""COMPUTED_VALUE"""),585)</f>
        <v>585</v>
      </c>
      <c r="AB152" s="3">
        <f ca="1">IFERROR(__xludf.DUMMYFUNCTION("""COMPUTED_VALUE"""),0)</f>
        <v>0</v>
      </c>
      <c r="AC152" s="3">
        <f ca="1">IFERROR(__xludf.DUMMYFUNCTION("""COMPUTED_VALUE"""),4)</f>
        <v>4</v>
      </c>
      <c r="AD152" s="3" t="str">
        <f ca="1">IFERROR(__xludf.DUMMYFUNCTION("""COMPUTED_VALUE"""),"on time")</f>
        <v>on time</v>
      </c>
      <c r="AE152" s="3" t="str">
        <f ca="1">IFERROR(__xludf.DUMMYFUNCTION("""COMPUTED_VALUE"""),"2055-06-06T20:24:29.933159Z")</f>
        <v>2055-06-06T20:24:29.933159Z</v>
      </c>
      <c r="AF152" s="3" t="str">
        <f ca="1">IFERROR(__xludf.DUMMYFUNCTION("""COMPUTED_VALUE"""),"2055-06-06T20:34:14.869277Z")</f>
        <v>2055-06-06T20:34:14.869277Z</v>
      </c>
      <c r="AG152" s="3" t="str">
        <f ca="1">IFERROR(__xludf.DUMMYFUNCTION("""COMPUTED_VALUE"""),"2055-06-06T19:53:54.766513Z")</f>
        <v>2055-06-06T19:53:54.766513Z</v>
      </c>
      <c r="AH152" s="3" t="str">
        <f ca="1">IFERROR(__xludf.DUMMYFUNCTION("""COMPUTED_VALUE"""),"2055-06-06T20:01:28.077074Z")</f>
        <v>2055-06-06T20:01:28.077074Z</v>
      </c>
      <c r="AI152" s="3">
        <f ca="1">IFERROR(__xludf.DUMMYFUNCTION("""COMPUTED_VALUE"""),4.54)</f>
        <v>4.54</v>
      </c>
      <c r="AJ152" s="3">
        <f ca="1">IFERROR(__xludf.DUMMYFUNCTION("""COMPUTED_VALUE"""),2229)</f>
        <v>2229</v>
      </c>
      <c r="AK152" s="3">
        <f ca="1">IFERROR(__xludf.DUMMYFUNCTION("""COMPUTED_VALUE"""),6580)</f>
        <v>6580</v>
      </c>
      <c r="AL152" s="3"/>
    </row>
    <row r="153" spans="1:38" ht="13">
      <c r="A153" s="3">
        <f ca="1">IFERROR(__xludf.DUMMYFUNCTION("""COMPUTED_VALUE"""),82)</f>
        <v>82</v>
      </c>
      <c r="B153" s="3"/>
      <c r="C153" s="3">
        <f ca="1">IFERROR(__xludf.DUMMYFUNCTION("""COMPUTED_VALUE"""),4050)</f>
        <v>4050</v>
      </c>
      <c r="D153" s="3" t="str">
        <f ca="1">IFERROR(__xludf.DUMMYFUNCTION("""COMPUTED_VALUE"""),"Doorlanta")</f>
        <v>Doorlanta</v>
      </c>
      <c r="E153" s="3" t="str">
        <f ca="1">IFERROR(__xludf.DUMMYFUNCTION("""COMPUTED_VALUE"""),"Galaxy A")</f>
        <v>Galaxy A</v>
      </c>
      <c r="F153" s="3" t="str">
        <f ca="1">IFERROR(__xludf.DUMMYFUNCTION("""COMPUTED_VALUE"""),"Katelynn")</f>
        <v>Katelynn</v>
      </c>
      <c r="G153" s="3">
        <f ca="1">IFERROR(__xludf.DUMMYFUNCTION("""COMPUTED_VALUE"""),0)</f>
        <v>0</v>
      </c>
      <c r="H153" s="3" t="str">
        <f ca="1">IFERROR(__xludf.DUMMYFUNCTION("""COMPUTED_VALUE"""),"car")</f>
        <v>car</v>
      </c>
      <c r="I153" s="3" t="str">
        <f ca="1">IFERROR(__xludf.DUMMYFUNCTION("""COMPUTED_VALUE"""),"2055-06-01T23:37:21.476602Z")</f>
        <v>2055-06-01T23:37:21.476602Z</v>
      </c>
      <c r="J153" s="3" t="str">
        <f ca="1">IFERROR(__xludf.DUMMYFUNCTION("""COMPUTED_VALUE"""),"2055-06-02T00:22:21.546Z")</f>
        <v>2055-06-02T00:22:21.546Z</v>
      </c>
      <c r="K153" s="3" t="str">
        <f ca="1">IFERROR(__xludf.DUMMYFUNCTION("""COMPUTED_VALUE"""),"2055-06-02T00:12:55.546Z")</f>
        <v>2055-06-02T00:12:55.546Z</v>
      </c>
      <c r="L153" s="3">
        <f ca="1">IFERROR(__xludf.DUMMYFUNCTION("""COMPUTED_VALUE"""),1)</f>
        <v>1</v>
      </c>
      <c r="M153" s="3">
        <f ca="1">IFERROR(__xludf.DUMMYFUNCTION("""COMPUTED_VALUE"""),0)</f>
        <v>0</v>
      </c>
      <c r="N153" s="3" t="str">
        <f ca="1">IFERROR(__xludf.DUMMYFUNCTION("""COMPUTED_VALUE"""),"2055-06-01T23:58:25.85892Z")</f>
        <v>2055-06-01T23:58:25.85892Z</v>
      </c>
      <c r="O153" s="3" t="str">
        <f ca="1">IFERROR(__xludf.DUMMYFUNCTION("""COMPUTED_VALUE"""),"2055-06-02T00:08:25.649919Z")</f>
        <v>2055-06-02T00:08:25.649919Z</v>
      </c>
      <c r="P153" s="3" t="str">
        <f ca="1">IFERROR(__xludf.DUMMYFUNCTION("""COMPUTED_VALUE"""),"2055-06-01T23:37:27.417405Z")</f>
        <v>2055-06-01T23:37:27.417405Z</v>
      </c>
      <c r="Q153" s="3">
        <f ca="1">IFERROR(__xludf.DUMMYFUNCTION("""COMPUTED_VALUE"""),0)</f>
        <v>0</v>
      </c>
      <c r="R153" s="3" t="str">
        <f ca="1">IFERROR(__xludf.DUMMYFUNCTION("""COMPUTED_VALUE"""),"2055-06-01T23:38:07.327977Z")</f>
        <v>2055-06-01T23:38:07.327977Z</v>
      </c>
      <c r="S153" s="3" t="str">
        <f ca="1">IFERROR(__xludf.DUMMYFUNCTION("""COMPUTED_VALUE"""),"2055-06-01T23:52:45.890645Z")</f>
        <v>2055-06-01T23:52:45.890645Z</v>
      </c>
      <c r="T153" s="3"/>
      <c r="U153" s="4">
        <f ca="1">IFERROR(__xludf.DUMMYFUNCTION("""COMPUTED_VALUE"""),56766)</f>
        <v>56766</v>
      </c>
      <c r="V153" s="3">
        <f ca="1">IFERROR(__xludf.DUMMYFUNCTION("""COMPUTED_VALUE"""),4.8)</f>
        <v>4.8</v>
      </c>
      <c r="W153" s="3">
        <f ca="1">IFERROR(__xludf.DUMMYFUNCTION("""COMPUTED_VALUE"""),4500)</f>
        <v>4500</v>
      </c>
      <c r="X153" s="3">
        <f ca="1">IFERROR(__xludf.DUMMYFUNCTION("""COMPUTED_VALUE"""),1818)</f>
        <v>1818</v>
      </c>
      <c r="Y153" s="3">
        <f ca="1">IFERROR(__xludf.DUMMYFUNCTION("""COMPUTED_VALUE"""),878)</f>
        <v>878</v>
      </c>
      <c r="Z153" s="3">
        <f ca="1">IFERROR(__xludf.DUMMYFUNCTION("""COMPUTED_VALUE"""),340)</f>
        <v>340</v>
      </c>
      <c r="AA153" s="3">
        <f ca="1">IFERROR(__xludf.DUMMYFUNCTION("""COMPUTED_VALUE"""),600)</f>
        <v>600</v>
      </c>
      <c r="AB153" s="3">
        <f ca="1">IFERROR(__xludf.DUMMYFUNCTION("""COMPUTED_VALUE"""),0)</f>
        <v>0</v>
      </c>
      <c r="AC153" s="3">
        <f ca="1">IFERROR(__xludf.DUMMYFUNCTION("""COMPUTED_VALUE"""),6)</f>
        <v>6</v>
      </c>
      <c r="AD153" s="3" t="str">
        <f ca="1">IFERROR(__xludf.DUMMYFUNCTION("""COMPUTED_VALUE"""),"on time")</f>
        <v>on time</v>
      </c>
      <c r="AE153" s="3" t="str">
        <f ca="1">IFERROR(__xludf.DUMMYFUNCTION("""COMPUTED_VALUE"""),"2055-06-01T19:58:25.85892Z")</f>
        <v>2055-06-01T19:58:25.85892Z</v>
      </c>
      <c r="AF153" s="3" t="str">
        <f ca="1">IFERROR(__xludf.DUMMYFUNCTION("""COMPUTED_VALUE"""),"2055-06-01T20:08:25.649919Z")</f>
        <v>2055-06-01T20:08:25.649919Z</v>
      </c>
      <c r="AG153" s="3" t="str">
        <f ca="1">IFERROR(__xludf.DUMMYFUNCTION("""COMPUTED_VALUE"""),"2055-06-01T19:37:27.417405Z")</f>
        <v>2055-06-01T19:37:27.417405Z</v>
      </c>
      <c r="AH153" s="3" t="str">
        <f ca="1">IFERROR(__xludf.DUMMYFUNCTION("""COMPUTED_VALUE"""),"2055-06-01T19:52:45.890645Z")</f>
        <v>2055-06-01T19:52:45.890645Z</v>
      </c>
      <c r="AI153" s="3">
        <f ca="1">IFERROR(__xludf.DUMMYFUNCTION("""COMPUTED_VALUE"""),4.7)</f>
        <v>4.7</v>
      </c>
      <c r="AJ153" s="3">
        <f ca="1">IFERROR(__xludf.DUMMYFUNCTION("""COMPUTED_VALUE"""),1261)</f>
        <v>1261</v>
      </c>
      <c r="AK153" s="3">
        <f ca="1">IFERROR(__xludf.DUMMYFUNCTION("""COMPUTED_VALUE"""),3264)</f>
        <v>3264</v>
      </c>
      <c r="AL153" s="3">
        <f ca="1">IFERROR(__xludf.DUMMYFUNCTION("""COMPUTED_VALUE"""),232)</f>
        <v>232</v>
      </c>
    </row>
    <row r="154" spans="1:38" ht="13">
      <c r="A154" s="3">
        <f ca="1">IFERROR(__xludf.DUMMYFUNCTION("""COMPUTED_VALUE"""),590)</f>
        <v>590</v>
      </c>
      <c r="B154" s="3"/>
      <c r="C154" s="3">
        <f ca="1">IFERROR(__xludf.DUMMYFUNCTION("""COMPUTED_VALUE"""),4001)</f>
        <v>4001</v>
      </c>
      <c r="D154" s="3" t="str">
        <f ca="1">IFERROR(__xludf.DUMMYFUNCTION("""COMPUTED_VALUE"""),"Dashattan")</f>
        <v>Dashattan</v>
      </c>
      <c r="E154" s="3" t="str">
        <f ca="1">IFERROR(__xludf.DUMMYFUNCTION("""COMPUTED_VALUE"""),"Galaxy A")</f>
        <v>Galaxy A</v>
      </c>
      <c r="F154" s="3" t="str">
        <f ca="1">IFERROR(__xludf.DUMMYFUNCTION("""COMPUTED_VALUE"""),"Samm")</f>
        <v>Samm</v>
      </c>
      <c r="G154" s="3">
        <f ca="1">IFERROR(__xludf.DUMMYFUNCTION("""COMPUTED_VALUE"""),0)</f>
        <v>0</v>
      </c>
      <c r="H154" s="3" t="str">
        <f ca="1">IFERROR(__xludf.DUMMYFUNCTION("""COMPUTED_VALUE"""),"car")</f>
        <v>car</v>
      </c>
      <c r="I154" s="3" t="str">
        <f ca="1">IFERROR(__xludf.DUMMYFUNCTION("""COMPUTED_VALUE"""),"2055-06-05T18:34:42.825111Z")</f>
        <v>2055-06-05T18:34:42.825111Z</v>
      </c>
      <c r="J154" s="3" t="str">
        <f ca="1">IFERROR(__xludf.DUMMYFUNCTION("""COMPUTED_VALUE"""),"2055-06-05T19:28:38.882Z")</f>
        <v>2055-06-05T19:28:38.882Z</v>
      </c>
      <c r="K154" s="3" t="str">
        <f ca="1">IFERROR(__xludf.DUMMYFUNCTION("""COMPUTED_VALUE"""),"2055-06-05T19:08:31.882Z")</f>
        <v>2055-06-05T19:08:31.882Z</v>
      </c>
      <c r="L154" s="3">
        <f ca="1">IFERROR(__xludf.DUMMYFUNCTION("""COMPUTED_VALUE"""),1)</f>
        <v>1</v>
      </c>
      <c r="M154" s="3">
        <f ca="1">IFERROR(__xludf.DUMMYFUNCTION("""COMPUTED_VALUE"""),0)</f>
        <v>0</v>
      </c>
      <c r="N154" s="3" t="str">
        <f ca="1">IFERROR(__xludf.DUMMYFUNCTION("""COMPUTED_VALUE"""),"2055-06-05T18:47:49.632506Z")</f>
        <v>2055-06-05T18:47:49.632506Z</v>
      </c>
      <c r="O154" s="3" t="str">
        <f ca="1">IFERROR(__xludf.DUMMYFUNCTION("""COMPUTED_VALUE"""),"2055-06-05T19:13:30.66343Z")</f>
        <v>2055-06-05T19:13:30.66343Z</v>
      </c>
      <c r="P154" s="3" t="str">
        <f ca="1">IFERROR(__xludf.DUMMYFUNCTION("""COMPUTED_VALUE"""),"2055-06-05T18:40:54.288491Z")</f>
        <v>2055-06-05T18:40:54.288491Z</v>
      </c>
      <c r="Q154" s="3">
        <f ca="1">IFERROR(__xludf.DUMMYFUNCTION("""COMPUTED_VALUE"""),0)</f>
        <v>0</v>
      </c>
      <c r="R154" s="3" t="str">
        <f ca="1">IFERROR(__xludf.DUMMYFUNCTION("""COMPUTED_VALUE"""),"2055-06-05T18:40:59.270453Z")</f>
        <v>2055-06-05T18:40:59.270453Z</v>
      </c>
      <c r="S154" s="3" t="str">
        <f ca="1">IFERROR(__xludf.DUMMYFUNCTION("""COMPUTED_VALUE"""),"2055-06-05T18:43:40.298087Z")</f>
        <v>2055-06-05T18:43:40.298087Z</v>
      </c>
      <c r="T154" s="3"/>
      <c r="U154" s="4">
        <f ca="1">IFERROR(__xludf.DUMMYFUNCTION("""COMPUTED_VALUE"""),56770)</f>
        <v>56770</v>
      </c>
      <c r="V154" s="3">
        <f ca="1">IFERROR(__xludf.DUMMYFUNCTION("""COMPUTED_VALUE"""),2.955938667)</f>
        <v>2.9559386669999999</v>
      </c>
      <c r="W154" s="3">
        <f ca="1">IFERROR(__xludf.DUMMYFUNCTION("""COMPUTED_VALUE"""),4500)</f>
        <v>4500</v>
      </c>
      <c r="X154" s="3">
        <f ca="1">IFERROR(__xludf.DUMMYFUNCTION("""COMPUTED_VALUE"""),1951)</f>
        <v>1951</v>
      </c>
      <c r="Y154" s="3">
        <f ca="1">IFERROR(__xludf.DUMMYFUNCTION("""COMPUTED_VALUE"""),161)</f>
        <v>161</v>
      </c>
      <c r="Z154" s="3">
        <f ca="1">IFERROR(__xludf.DUMMYFUNCTION("""COMPUTED_VALUE"""),249)</f>
        <v>249</v>
      </c>
      <c r="AA154" s="3">
        <f ca="1">IFERROR(__xludf.DUMMYFUNCTION("""COMPUTED_VALUE"""),1541)</f>
        <v>1541</v>
      </c>
      <c r="AB154" s="3">
        <f ca="1">IFERROR(__xludf.DUMMYFUNCTION("""COMPUTED_VALUE"""),0)</f>
        <v>0</v>
      </c>
      <c r="AC154" s="3">
        <f ca="1">IFERROR(__xludf.DUMMYFUNCTION("""COMPUTED_VALUE"""),4)</f>
        <v>4</v>
      </c>
      <c r="AD154" s="3" t="str">
        <f ca="1">IFERROR(__xludf.DUMMYFUNCTION("""COMPUTED_VALUE"""),"early")</f>
        <v>early</v>
      </c>
      <c r="AE154" s="3" t="str">
        <f ca="1">IFERROR(__xludf.DUMMYFUNCTION("""COMPUTED_VALUE"""),"2055-06-05T14:47:49.632506Z")</f>
        <v>2055-06-05T14:47:49.632506Z</v>
      </c>
      <c r="AF154" s="3" t="str">
        <f ca="1">IFERROR(__xludf.DUMMYFUNCTION("""COMPUTED_VALUE"""),"2055-06-05T15:13:30.66343Z")</f>
        <v>2055-06-05T15:13:30.66343Z</v>
      </c>
      <c r="AG154" s="3" t="str">
        <f ca="1">IFERROR(__xludf.DUMMYFUNCTION("""COMPUTED_VALUE"""),"2055-06-05T14:40:54.288491Z")</f>
        <v>2055-06-05T14:40:54.288491Z</v>
      </c>
      <c r="AH154" s="3" t="str">
        <f ca="1">IFERROR(__xludf.DUMMYFUNCTION("""COMPUTED_VALUE"""),"2055-06-05T14:43:40.298087Z")</f>
        <v>2055-06-05T14:43:40.298087Z</v>
      </c>
      <c r="AI154" s="3">
        <f ca="1">IFERROR(__xludf.DUMMYFUNCTION("""COMPUTED_VALUE"""),4.03)</f>
        <v>4.03</v>
      </c>
      <c r="AJ154" s="3">
        <f ca="1">IFERROR(__xludf.DUMMYFUNCTION("""COMPUTED_VALUE"""),505)</f>
        <v>505</v>
      </c>
      <c r="AK154" s="3">
        <f ca="1">IFERROR(__xludf.DUMMYFUNCTION("""COMPUTED_VALUE"""),1721)</f>
        <v>1721</v>
      </c>
      <c r="AL154" s="3">
        <f ca="1">IFERROR(__xludf.DUMMYFUNCTION("""COMPUTED_VALUE"""),457)</f>
        <v>457</v>
      </c>
    </row>
    <row r="155" spans="1:38" ht="13">
      <c r="A155" s="3">
        <f ca="1">IFERROR(__xludf.DUMMYFUNCTION("""COMPUTED_VALUE"""),461)</f>
        <v>461</v>
      </c>
      <c r="B155" s="3"/>
      <c r="C155" s="3">
        <f ca="1">IFERROR(__xludf.DUMMYFUNCTION("""COMPUTED_VALUE"""),4050)</f>
        <v>4050</v>
      </c>
      <c r="D155" s="3" t="str">
        <f ca="1">IFERROR(__xludf.DUMMYFUNCTION("""COMPUTED_VALUE"""),"Doorlanta")</f>
        <v>Doorlanta</v>
      </c>
      <c r="E155" s="3" t="str">
        <f ca="1">IFERROR(__xludf.DUMMYFUNCTION("""COMPUTED_VALUE"""),"Galaxy A")</f>
        <v>Galaxy A</v>
      </c>
      <c r="F155" s="3" t="str">
        <f ca="1">IFERROR(__xludf.DUMMYFUNCTION("""COMPUTED_VALUE"""),"Hanna")</f>
        <v>Hanna</v>
      </c>
      <c r="G155" s="3">
        <f ca="1">IFERROR(__xludf.DUMMYFUNCTION("""COMPUTED_VALUE"""),0)</f>
        <v>0</v>
      </c>
      <c r="H155" s="3" t="str">
        <f ca="1">IFERROR(__xludf.DUMMYFUNCTION("""COMPUTED_VALUE"""),"car")</f>
        <v>car</v>
      </c>
      <c r="I155" s="3" t="str">
        <f ca="1">IFERROR(__xludf.DUMMYFUNCTION("""COMPUTED_VALUE"""),"2055-06-04T22:23:31.23013Z")</f>
        <v>2055-06-04T22:23:31.23013Z</v>
      </c>
      <c r="J155" s="3" t="str">
        <f ca="1">IFERROR(__xludf.DUMMYFUNCTION("""COMPUTED_VALUE"""),"2055-06-04T23:23:46.306Z")</f>
        <v>2055-06-04T23:23:46.306Z</v>
      </c>
      <c r="K155" s="3" t="str">
        <f ca="1">IFERROR(__xludf.DUMMYFUNCTION("""COMPUTED_VALUE"""),"2055-06-04T23:03:39.306Z")</f>
        <v>2055-06-04T23:03:39.306Z</v>
      </c>
      <c r="L155" s="3">
        <f ca="1">IFERROR(__xludf.DUMMYFUNCTION("""COMPUTED_VALUE"""),1)</f>
        <v>1</v>
      </c>
      <c r="M155" s="3">
        <f ca="1">IFERROR(__xludf.DUMMYFUNCTION("""COMPUTED_VALUE"""),0)</f>
        <v>0</v>
      </c>
      <c r="N155" s="3" t="str">
        <f ca="1">IFERROR(__xludf.DUMMYFUNCTION("""COMPUTED_VALUE"""),"2055-06-04T22:52:55.404084Z")</f>
        <v>2055-06-04T22:52:55.404084Z</v>
      </c>
      <c r="O155" s="3" t="str">
        <f ca="1">IFERROR(__xludf.DUMMYFUNCTION("""COMPUTED_VALUE"""),"2055-06-04T22:53:05.507053Z")</f>
        <v>2055-06-04T22:53:05.507053Z</v>
      </c>
      <c r="P155" s="3" t="str">
        <f ca="1">IFERROR(__xludf.DUMMYFUNCTION("""COMPUTED_VALUE"""),"2055-06-04T22:24:07.574621Z")</f>
        <v>2055-06-04T22:24:07.574621Z</v>
      </c>
      <c r="Q155" s="3">
        <f ca="1">IFERROR(__xludf.DUMMYFUNCTION("""COMPUTED_VALUE"""),0)</f>
        <v>0</v>
      </c>
      <c r="R155" s="3" t="str">
        <f ca="1">IFERROR(__xludf.DUMMYFUNCTION("""COMPUTED_VALUE"""),"2055-06-04T22:24:17.77765Z")</f>
        <v>2055-06-04T22:24:17.77765Z</v>
      </c>
      <c r="S155" s="3" t="str">
        <f ca="1">IFERROR(__xludf.DUMMYFUNCTION("""COMPUTED_VALUE"""),"2055-06-04T22:31:27.625913Z")</f>
        <v>2055-06-04T22:31:27.625913Z</v>
      </c>
      <c r="T155" s="3"/>
      <c r="U155" s="4">
        <f ca="1">IFERROR(__xludf.DUMMYFUNCTION("""COMPUTED_VALUE"""),56769)</f>
        <v>56769</v>
      </c>
      <c r="V155" s="3">
        <f ca="1">IFERROR(__xludf.DUMMYFUNCTION("""COMPUTED_VALUE"""),4.7)</f>
        <v>4.7</v>
      </c>
      <c r="W155" s="3">
        <f ca="1">IFERROR(__xludf.DUMMYFUNCTION("""COMPUTED_VALUE"""),4500)</f>
        <v>4500</v>
      </c>
      <c r="X155" s="3">
        <f ca="1">IFERROR(__xludf.DUMMYFUNCTION("""COMPUTED_VALUE"""),1728)</f>
        <v>1728</v>
      </c>
      <c r="Y155" s="3">
        <f ca="1">IFERROR(__xludf.DUMMYFUNCTION("""COMPUTED_VALUE"""),430)</f>
        <v>430</v>
      </c>
      <c r="Z155" s="3">
        <f ca="1">IFERROR(__xludf.DUMMYFUNCTION("""COMPUTED_VALUE"""),1288)</f>
        <v>1288</v>
      </c>
      <c r="AA155" s="3">
        <f ca="1">IFERROR(__xludf.DUMMYFUNCTION("""COMPUTED_VALUE"""),10)</f>
        <v>10</v>
      </c>
      <c r="AB155" s="3">
        <f ca="1">IFERROR(__xludf.DUMMYFUNCTION("""COMPUTED_VALUE"""),0)</f>
        <v>0</v>
      </c>
      <c r="AC155" s="3">
        <f ca="1">IFERROR(__xludf.DUMMYFUNCTION("""COMPUTED_VALUE"""),5)</f>
        <v>5</v>
      </c>
      <c r="AD155" s="3" t="str">
        <f ca="1">IFERROR(__xludf.DUMMYFUNCTION("""COMPUTED_VALUE"""),"early")</f>
        <v>early</v>
      </c>
      <c r="AE155" s="3" t="str">
        <f ca="1">IFERROR(__xludf.DUMMYFUNCTION("""COMPUTED_VALUE"""),"2055-06-04T18:52:55.404084Z")</f>
        <v>2055-06-04T18:52:55.404084Z</v>
      </c>
      <c r="AF155" s="3" t="str">
        <f ca="1">IFERROR(__xludf.DUMMYFUNCTION("""COMPUTED_VALUE"""),"2055-06-04T18:53:05.507053Z")</f>
        <v>2055-06-04T18:53:05.507053Z</v>
      </c>
      <c r="AG155" s="3" t="str">
        <f ca="1">IFERROR(__xludf.DUMMYFUNCTION("""COMPUTED_VALUE"""),"2055-06-04T18:24:07.574621Z")</f>
        <v>2055-06-04T18:24:07.574621Z</v>
      </c>
      <c r="AH155" s="3" t="str">
        <f ca="1">IFERROR(__xludf.DUMMYFUNCTION("""COMPUTED_VALUE"""),"2055-06-04T18:31:27.625913Z")</f>
        <v>2055-06-04T18:31:27.625913Z</v>
      </c>
      <c r="AI155" s="3">
        <f ca="1">IFERROR(__xludf.DUMMYFUNCTION("""COMPUTED_VALUE"""),4.79)</f>
        <v>4.79</v>
      </c>
      <c r="AJ155" s="3">
        <f ca="1">IFERROR(__xludf.DUMMYFUNCTION("""COMPUTED_VALUE"""),1007)</f>
        <v>1007</v>
      </c>
      <c r="AK155" s="3">
        <f ca="1">IFERROR(__xludf.DUMMYFUNCTION("""COMPUTED_VALUE"""),2899)</f>
        <v>2899</v>
      </c>
      <c r="AL155" s="3">
        <f ca="1">IFERROR(__xludf.DUMMYFUNCTION("""COMPUTED_VALUE"""),1301)</f>
        <v>1301</v>
      </c>
    </row>
    <row r="156" spans="1:38" ht="13">
      <c r="A156" s="3">
        <f ca="1">IFERROR(__xludf.DUMMYFUNCTION("""COMPUTED_VALUE"""),489)</f>
        <v>489</v>
      </c>
      <c r="B156" s="3"/>
      <c r="C156" s="3">
        <f ca="1">IFERROR(__xludf.DUMMYFUNCTION("""COMPUTED_VALUE"""),4050)</f>
        <v>4050</v>
      </c>
      <c r="D156" s="3" t="str">
        <f ca="1">IFERROR(__xludf.DUMMYFUNCTION("""COMPUTED_VALUE"""),"Doorlanta")</f>
        <v>Doorlanta</v>
      </c>
      <c r="E156" s="3" t="str">
        <f ca="1">IFERROR(__xludf.DUMMYFUNCTION("""COMPUTED_VALUE"""),"Galaxy A")</f>
        <v>Galaxy A</v>
      </c>
      <c r="F156" s="3" t="str">
        <f ca="1">IFERROR(__xludf.DUMMYFUNCTION("""COMPUTED_VALUE"""),"Joe")</f>
        <v>Joe</v>
      </c>
      <c r="G156" s="3">
        <f ca="1">IFERROR(__xludf.DUMMYFUNCTION("""COMPUTED_VALUE"""),0)</f>
        <v>0</v>
      </c>
      <c r="H156" s="3" t="str">
        <f ca="1">IFERROR(__xludf.DUMMYFUNCTION("""COMPUTED_VALUE"""),"car")</f>
        <v>car</v>
      </c>
      <c r="I156" s="3" t="str">
        <f ca="1">IFERROR(__xludf.DUMMYFUNCTION("""COMPUTED_VALUE"""),"2055-06-04T23:29:09.776389Z")</f>
        <v>2055-06-04T23:29:09.776389Z</v>
      </c>
      <c r="J156" s="3" t="str">
        <f ca="1">IFERROR(__xludf.DUMMYFUNCTION("""COMPUTED_VALUE"""),"2055-06-05T00:41:47.834Z")</f>
        <v>2055-06-05T00:41:47.834Z</v>
      </c>
      <c r="K156" s="3" t="str">
        <f ca="1">IFERROR(__xludf.DUMMYFUNCTION("""COMPUTED_VALUE"""),"2055-06-05T00:18:29.834Z")</f>
        <v>2055-06-05T00:18:29.834Z</v>
      </c>
      <c r="L156" s="3">
        <f ca="1">IFERROR(__xludf.DUMMYFUNCTION("""COMPUTED_VALUE"""),1)</f>
        <v>1</v>
      </c>
      <c r="M156" s="3">
        <f ca="1">IFERROR(__xludf.DUMMYFUNCTION("""COMPUTED_VALUE"""),0)</f>
        <v>0</v>
      </c>
      <c r="N156" s="3" t="str">
        <f ca="1">IFERROR(__xludf.DUMMYFUNCTION("""COMPUTED_VALUE"""),"2055-06-04T23:52:33.481934Z")</f>
        <v>2055-06-04T23:52:33.481934Z</v>
      </c>
      <c r="O156" s="3" t="str">
        <f ca="1">IFERROR(__xludf.DUMMYFUNCTION("""COMPUTED_VALUE"""),"2055-06-05T00:14:06.223098Z")</f>
        <v>2055-06-05T00:14:06.223098Z</v>
      </c>
      <c r="P156" s="3" t="str">
        <f ca="1">IFERROR(__xludf.DUMMYFUNCTION("""COMPUTED_VALUE"""),"2055-06-04T23:33:47.784786Z")</f>
        <v>2055-06-04T23:33:47.784786Z</v>
      </c>
      <c r="Q156" s="3">
        <f ca="1">IFERROR(__xludf.DUMMYFUNCTION("""COMPUTED_VALUE"""),0)</f>
        <v>0</v>
      </c>
      <c r="R156" s="3" t="str">
        <f ca="1">IFERROR(__xludf.DUMMYFUNCTION("""COMPUTED_VALUE"""),"2055-06-04T23:34:00.615757Z")</f>
        <v>2055-06-04T23:34:00.615757Z</v>
      </c>
      <c r="S156" s="3" t="str">
        <f ca="1">IFERROR(__xludf.DUMMYFUNCTION("""COMPUTED_VALUE"""),"2055-06-04T23:52:29.891106Z")</f>
        <v>2055-06-04T23:52:29.891106Z</v>
      </c>
      <c r="T156" s="3"/>
      <c r="U156" s="4">
        <f ca="1">IFERROR(__xludf.DUMMYFUNCTION("""COMPUTED_VALUE"""),56769)</f>
        <v>56769</v>
      </c>
      <c r="V156" s="3">
        <f ca="1">IFERROR(__xludf.DUMMYFUNCTION("""COMPUTED_VALUE"""),4.8)</f>
        <v>4.8</v>
      </c>
      <c r="W156" s="3">
        <f ca="1">IFERROR(__xludf.DUMMYFUNCTION("""COMPUTED_VALUE"""),4500)</f>
        <v>4500</v>
      </c>
      <c r="X156" s="3">
        <f ca="1">IFERROR(__xludf.DUMMYFUNCTION("""COMPUTED_VALUE"""),2406)</f>
        <v>2406</v>
      </c>
      <c r="Y156" s="3">
        <f ca="1">IFERROR(__xludf.DUMMYFUNCTION("""COMPUTED_VALUE"""),1109)</f>
        <v>1109</v>
      </c>
      <c r="Z156" s="3">
        <f ca="1">IFERROR(__xludf.DUMMYFUNCTION("""COMPUTED_VALUE"""),4)</f>
        <v>4</v>
      </c>
      <c r="AA156" s="3">
        <f ca="1">IFERROR(__xludf.DUMMYFUNCTION("""COMPUTED_VALUE"""),1293)</f>
        <v>1293</v>
      </c>
      <c r="AB156" s="3">
        <f ca="1">IFERROR(__xludf.DUMMYFUNCTION("""COMPUTED_VALUE"""),0)</f>
        <v>0</v>
      </c>
      <c r="AC156" s="3">
        <f ca="1">IFERROR(__xludf.DUMMYFUNCTION("""COMPUTED_VALUE"""),6)</f>
        <v>6</v>
      </c>
      <c r="AD156" s="3" t="str">
        <f ca="1">IFERROR(__xludf.DUMMYFUNCTION("""COMPUTED_VALUE"""),"late")</f>
        <v>late</v>
      </c>
      <c r="AE156" s="3" t="str">
        <f ca="1">IFERROR(__xludf.DUMMYFUNCTION("""COMPUTED_VALUE"""),"2055-06-04T19:52:33.481934Z")</f>
        <v>2055-06-04T19:52:33.481934Z</v>
      </c>
      <c r="AF156" s="3" t="str">
        <f ca="1">IFERROR(__xludf.DUMMYFUNCTION("""COMPUTED_VALUE"""),"2055-06-04T20:14:06.223098Z")</f>
        <v>2055-06-04T20:14:06.223098Z</v>
      </c>
      <c r="AG156" s="3" t="str">
        <f ca="1">IFERROR(__xludf.DUMMYFUNCTION("""COMPUTED_VALUE"""),"2055-06-04T19:33:47.784786Z")</f>
        <v>2055-06-04T19:33:47.784786Z</v>
      </c>
      <c r="AH156" s="3" t="str">
        <f ca="1">IFERROR(__xludf.DUMMYFUNCTION("""COMPUTED_VALUE"""),"2055-06-04T19:52:29.891106Z")</f>
        <v>2055-06-04T19:52:29.891106Z</v>
      </c>
      <c r="AI156" s="3">
        <f ca="1">IFERROR(__xludf.DUMMYFUNCTION("""COMPUTED_VALUE"""),4.38)</f>
        <v>4.38</v>
      </c>
      <c r="AJ156" s="3">
        <f ca="1">IFERROR(__xludf.DUMMYFUNCTION("""COMPUTED_VALUE"""),196)</f>
        <v>196</v>
      </c>
      <c r="AK156" s="3">
        <f ca="1">IFERROR(__xludf.DUMMYFUNCTION("""COMPUTED_VALUE"""),626)</f>
        <v>626</v>
      </c>
      <c r="AL156" s="3"/>
    </row>
    <row r="157" spans="1:38" ht="13">
      <c r="A157" s="3">
        <f ca="1">IFERROR(__xludf.DUMMYFUNCTION("""COMPUTED_VALUE"""),109)</f>
        <v>109</v>
      </c>
      <c r="B157" s="3"/>
      <c r="C157" s="3">
        <f ca="1">IFERROR(__xludf.DUMMYFUNCTION("""COMPUTED_VALUE"""),4001)</f>
        <v>4001</v>
      </c>
      <c r="D157" s="3" t="str">
        <f ca="1">IFERROR(__xludf.DUMMYFUNCTION("""COMPUTED_VALUE"""),"Dashattan")</f>
        <v>Dashattan</v>
      </c>
      <c r="E157" s="3" t="str">
        <f ca="1">IFERROR(__xludf.DUMMYFUNCTION("""COMPUTED_VALUE"""),"Galaxy A")</f>
        <v>Galaxy A</v>
      </c>
      <c r="F157" s="3" t="str">
        <f ca="1">IFERROR(__xludf.DUMMYFUNCTION("""COMPUTED_VALUE"""),"J")</f>
        <v>J</v>
      </c>
      <c r="G157" s="3">
        <f ca="1">IFERROR(__xludf.DUMMYFUNCTION("""COMPUTED_VALUE"""),0)</f>
        <v>0</v>
      </c>
      <c r="H157" s="3" t="str">
        <f ca="1">IFERROR(__xludf.DUMMYFUNCTION("""COMPUTED_VALUE"""),"bicycle")</f>
        <v>bicycle</v>
      </c>
      <c r="I157" s="3" t="str">
        <f ca="1">IFERROR(__xludf.DUMMYFUNCTION("""COMPUTED_VALUE"""),"2055-06-02T02:13:26.470287Z")</f>
        <v>2055-06-02T02:13:26.470287Z</v>
      </c>
      <c r="J157" s="3" t="str">
        <f ca="1">IFERROR(__xludf.DUMMYFUNCTION("""COMPUTED_VALUE"""),"2055-06-02T03:10:20.528Z")</f>
        <v>2055-06-02T03:10:20.528Z</v>
      </c>
      <c r="K157" s="3" t="str">
        <f ca="1">IFERROR(__xludf.DUMMYFUNCTION("""COMPUTED_VALUE"""),"2055-06-02T02:58:26.528Z")</f>
        <v>2055-06-02T02:58:26.528Z</v>
      </c>
      <c r="L157" s="3">
        <f ca="1">IFERROR(__xludf.DUMMYFUNCTION("""COMPUTED_VALUE"""),1)</f>
        <v>1</v>
      </c>
      <c r="M157" s="3">
        <f ca="1">IFERROR(__xludf.DUMMYFUNCTION("""COMPUTED_VALUE"""),0)</f>
        <v>0</v>
      </c>
      <c r="N157" s="3" t="str">
        <f ca="1">IFERROR(__xludf.DUMMYFUNCTION("""COMPUTED_VALUE"""),"2055-06-02T02:34:52.305949Z")</f>
        <v>2055-06-02T02:34:52.305949Z</v>
      </c>
      <c r="O157" s="3" t="str">
        <f ca="1">IFERROR(__xludf.DUMMYFUNCTION("""COMPUTED_VALUE"""),"2055-06-02T02:51:01.580607Z")</f>
        <v>2055-06-02T02:51:01.580607Z</v>
      </c>
      <c r="P157" s="3" t="str">
        <f ca="1">IFERROR(__xludf.DUMMYFUNCTION("""COMPUTED_VALUE"""),"2055-06-02T02:19:54.18257Z")</f>
        <v>2055-06-02T02:19:54.18257Z</v>
      </c>
      <c r="Q157" s="3">
        <f ca="1">IFERROR(__xludf.DUMMYFUNCTION("""COMPUTED_VALUE"""),0)</f>
        <v>0</v>
      </c>
      <c r="R157" s="3" t="str">
        <f ca="1">IFERROR(__xludf.DUMMYFUNCTION("""COMPUTED_VALUE"""),"2055-06-02T02:19:57.383246Z")</f>
        <v>2055-06-02T02:19:57.383246Z</v>
      </c>
      <c r="S157" s="3" t="str">
        <f ca="1">IFERROR(__xludf.DUMMYFUNCTION("""COMPUTED_VALUE"""),"2055-06-02T02:30:51.679098Z")</f>
        <v>2055-06-02T02:30:51.679098Z</v>
      </c>
      <c r="T157" s="3"/>
      <c r="U157" s="4">
        <f ca="1">IFERROR(__xludf.DUMMYFUNCTION("""COMPUTED_VALUE"""),56766)</f>
        <v>56766</v>
      </c>
      <c r="V157" s="3">
        <f ca="1">IFERROR(__xludf.DUMMYFUNCTION("""COMPUTED_VALUE"""),4.440426299)</f>
        <v>4.4404262990000003</v>
      </c>
      <c r="W157" s="3">
        <f ca="1">IFERROR(__xludf.DUMMYFUNCTION("""COMPUTED_VALUE"""),4500)</f>
        <v>4500</v>
      </c>
      <c r="X157" s="3">
        <f ca="1">IFERROR(__xludf.DUMMYFUNCTION("""COMPUTED_VALUE"""),1864)</f>
        <v>1864</v>
      </c>
      <c r="Y157" s="3">
        <f ca="1">IFERROR(__xludf.DUMMYFUNCTION("""COMPUTED_VALUE"""),654)</f>
        <v>654</v>
      </c>
      <c r="Z157" s="3">
        <f ca="1">IFERROR(__xludf.DUMMYFUNCTION("""COMPUTED_VALUE"""),241)</f>
        <v>241</v>
      </c>
      <c r="AA157" s="3">
        <f ca="1">IFERROR(__xludf.DUMMYFUNCTION("""COMPUTED_VALUE"""),969)</f>
        <v>969</v>
      </c>
      <c r="AB157" s="3">
        <f ca="1">IFERROR(__xludf.DUMMYFUNCTION("""COMPUTED_VALUE"""),0)</f>
        <v>0</v>
      </c>
      <c r="AC157" s="3">
        <f ca="1">IFERROR(__xludf.DUMMYFUNCTION("""COMPUTED_VALUE"""),7)</f>
        <v>7</v>
      </c>
      <c r="AD157" s="3" t="str">
        <f ca="1">IFERROR(__xludf.DUMMYFUNCTION("""COMPUTED_VALUE"""),"late")</f>
        <v>late</v>
      </c>
      <c r="AE157" s="3" t="str">
        <f ca="1">IFERROR(__xludf.DUMMYFUNCTION("""COMPUTED_VALUE"""),"2055-06-01T22:34:52.305949Z")</f>
        <v>2055-06-01T22:34:52.305949Z</v>
      </c>
      <c r="AF157" s="3" t="str">
        <f ca="1">IFERROR(__xludf.DUMMYFUNCTION("""COMPUTED_VALUE"""),"2055-06-01T22:51:01.580607Z")</f>
        <v>2055-06-01T22:51:01.580607Z</v>
      </c>
      <c r="AG157" s="3" t="str">
        <f ca="1">IFERROR(__xludf.DUMMYFUNCTION("""COMPUTED_VALUE"""),"2055-06-01T22:19:54.18257Z")</f>
        <v>2055-06-01T22:19:54.18257Z</v>
      </c>
      <c r="AH157" s="3" t="str">
        <f ca="1">IFERROR(__xludf.DUMMYFUNCTION("""COMPUTED_VALUE"""),"2055-06-01T22:30:51.679098Z")</f>
        <v>2055-06-01T22:30:51.679098Z</v>
      </c>
      <c r="AI157" s="3">
        <f ca="1">IFERROR(__xludf.DUMMYFUNCTION("""COMPUTED_VALUE"""),4.6)</f>
        <v>4.5999999999999996</v>
      </c>
      <c r="AJ157" s="3">
        <f ca="1">IFERROR(__xludf.DUMMYFUNCTION("""COMPUTED_VALUE"""),292)</f>
        <v>292</v>
      </c>
      <c r="AK157" s="3">
        <f ca="1">IFERROR(__xludf.DUMMYFUNCTION("""COMPUTED_VALUE"""),1027)</f>
        <v>1027</v>
      </c>
      <c r="AL157" s="3">
        <f ca="1">IFERROR(__xludf.DUMMYFUNCTION("""COMPUTED_VALUE"""),26)</f>
        <v>26</v>
      </c>
    </row>
    <row r="158" spans="1:38" ht="13">
      <c r="A158" s="3">
        <f ca="1">IFERROR(__xludf.DUMMYFUNCTION("""COMPUTED_VALUE"""),578)</f>
        <v>578</v>
      </c>
      <c r="B158" s="3">
        <f ca="1">IFERROR(__xludf.DUMMYFUNCTION("""COMPUTED_VALUE"""),1)</f>
        <v>1</v>
      </c>
      <c r="C158" s="3">
        <f ca="1">IFERROR(__xludf.DUMMYFUNCTION("""COMPUTED_VALUE"""),4001)</f>
        <v>4001</v>
      </c>
      <c r="D158" s="3" t="str">
        <f ca="1">IFERROR(__xludf.DUMMYFUNCTION("""COMPUTED_VALUE"""),"Dashattan")</f>
        <v>Dashattan</v>
      </c>
      <c r="E158" s="3" t="str">
        <f ca="1">IFERROR(__xludf.DUMMYFUNCTION("""COMPUTED_VALUE"""),"Galaxy A")</f>
        <v>Galaxy A</v>
      </c>
      <c r="F158" s="3" t="str">
        <f ca="1">IFERROR(__xludf.DUMMYFUNCTION("""COMPUTED_VALUE"""),"Samm")</f>
        <v>Samm</v>
      </c>
      <c r="G158" s="3">
        <f ca="1">IFERROR(__xludf.DUMMYFUNCTION("""COMPUTED_VALUE"""),0)</f>
        <v>0</v>
      </c>
      <c r="H158" s="3" t="str">
        <f ca="1">IFERROR(__xludf.DUMMYFUNCTION("""COMPUTED_VALUE"""),"car")</f>
        <v>car</v>
      </c>
      <c r="I158" s="3" t="str">
        <f ca="1">IFERROR(__xludf.DUMMYFUNCTION("""COMPUTED_VALUE"""),"2055-06-05T17:36:45.11646Z")</f>
        <v>2055-06-05T17:36:45.11646Z</v>
      </c>
      <c r="J158" s="3" t="str">
        <f ca="1">IFERROR(__xludf.DUMMYFUNCTION("""COMPUTED_VALUE"""),"2055-06-05T18:36:18.174Z")</f>
        <v>2055-06-05T18:36:18.174Z</v>
      </c>
      <c r="K158" s="3" t="str">
        <f ca="1">IFERROR(__xludf.DUMMYFUNCTION("""COMPUTED_VALUE"""),"2055-06-05T18:13:00.174Z")</f>
        <v>2055-06-05T18:13:00.174Z</v>
      </c>
      <c r="L158" s="3">
        <f ca="1">IFERROR(__xludf.DUMMYFUNCTION("""COMPUTED_VALUE"""),1)</f>
        <v>1</v>
      </c>
      <c r="M158" s="3">
        <f ca="1">IFERROR(__xludf.DUMMYFUNCTION("""COMPUTED_VALUE"""),0)</f>
        <v>0</v>
      </c>
      <c r="N158" s="3" t="str">
        <f ca="1">IFERROR(__xludf.DUMMYFUNCTION("""COMPUTED_VALUE"""),"2055-06-05T18:06:28.594642Z")</f>
        <v>2055-06-05T18:06:28.594642Z</v>
      </c>
      <c r="O158" s="3" t="str">
        <f ca="1">IFERROR(__xludf.DUMMYFUNCTION("""COMPUTED_VALUE"""),"2055-06-05T18:10:50.354877Z")</f>
        <v>2055-06-05T18:10:50.354877Z</v>
      </c>
      <c r="P158" s="3" t="str">
        <f ca="1">IFERROR(__xludf.DUMMYFUNCTION("""COMPUTED_VALUE"""),"2055-06-05T17:42:54.878381Z")</f>
        <v>2055-06-05T17:42:54.878381Z</v>
      </c>
      <c r="Q158" s="3">
        <f ca="1">IFERROR(__xludf.DUMMYFUNCTION("""COMPUTED_VALUE"""),0)</f>
        <v>0</v>
      </c>
      <c r="R158" s="3" t="str">
        <f ca="1">IFERROR(__xludf.DUMMYFUNCTION("""COMPUTED_VALUE"""),"2055-06-05T17:42:59.053343Z")</f>
        <v>2055-06-05T17:42:59.053343Z</v>
      </c>
      <c r="S158" s="3" t="str">
        <f ca="1">IFERROR(__xludf.DUMMYFUNCTION("""COMPUTED_VALUE"""),"2055-06-05T17:50:13.313036Z")</f>
        <v>2055-06-05T17:50:13.313036Z</v>
      </c>
      <c r="T158" s="3"/>
      <c r="U158" s="4">
        <f ca="1">IFERROR(__xludf.DUMMYFUNCTION("""COMPUTED_VALUE"""),56770)</f>
        <v>56770</v>
      </c>
      <c r="V158" s="3">
        <f ca="1">IFERROR(__xludf.DUMMYFUNCTION("""COMPUTED_VALUE"""),2.945113004)</f>
        <v>2.945113004</v>
      </c>
      <c r="W158" s="3">
        <f ca="1">IFERROR(__xludf.DUMMYFUNCTION("""COMPUTED_VALUE"""),4500)</f>
        <v>4500</v>
      </c>
      <c r="X158" s="3">
        <f ca="1">IFERROR(__xludf.DUMMYFUNCTION("""COMPUTED_VALUE"""),1671)</f>
        <v>1671</v>
      </c>
      <c r="Y158" s="3">
        <f ca="1">IFERROR(__xludf.DUMMYFUNCTION("""COMPUTED_VALUE"""),434)</f>
        <v>434</v>
      </c>
      <c r="Z158" s="3">
        <f ca="1">IFERROR(__xludf.DUMMYFUNCTION("""COMPUTED_VALUE"""),975)</f>
        <v>975</v>
      </c>
      <c r="AA158" s="3">
        <f ca="1">IFERROR(__xludf.DUMMYFUNCTION("""COMPUTED_VALUE"""),262)</f>
        <v>262</v>
      </c>
      <c r="AB158" s="3">
        <f ca="1">IFERROR(__xludf.DUMMYFUNCTION("""COMPUTED_VALUE"""),0)</f>
        <v>0</v>
      </c>
      <c r="AC158" s="3">
        <f ca="1">IFERROR(__xludf.DUMMYFUNCTION("""COMPUTED_VALUE"""),5)</f>
        <v>5</v>
      </c>
      <c r="AD158" s="3" t="str">
        <f ca="1">IFERROR(__xludf.DUMMYFUNCTION("""COMPUTED_VALUE"""),"early")</f>
        <v>early</v>
      </c>
      <c r="AE158" s="3" t="str">
        <f ca="1">IFERROR(__xludf.DUMMYFUNCTION("""COMPUTED_VALUE"""),"2055-06-05T14:06:28.594642Z")</f>
        <v>2055-06-05T14:06:28.594642Z</v>
      </c>
      <c r="AF158" s="3" t="str">
        <f ca="1">IFERROR(__xludf.DUMMYFUNCTION("""COMPUTED_VALUE"""),"2055-06-05T14:10:50.354877Z")</f>
        <v>2055-06-05T14:10:50.354877Z</v>
      </c>
      <c r="AG158" s="3" t="str">
        <f ca="1">IFERROR(__xludf.DUMMYFUNCTION("""COMPUTED_VALUE"""),"2055-06-05T13:42:54.878381Z")</f>
        <v>2055-06-05T13:42:54.878381Z</v>
      </c>
      <c r="AH158" s="3" t="str">
        <f ca="1">IFERROR(__xludf.DUMMYFUNCTION("""COMPUTED_VALUE"""),"2055-06-05T13:50:13.313036Z")</f>
        <v>2055-06-05T13:50:13.313036Z</v>
      </c>
      <c r="AI158" s="3">
        <f ca="1">IFERROR(__xludf.DUMMYFUNCTION("""COMPUTED_VALUE"""),4.03)</f>
        <v>4.03</v>
      </c>
      <c r="AJ158" s="3">
        <f ca="1">IFERROR(__xludf.DUMMYFUNCTION("""COMPUTED_VALUE"""),505)</f>
        <v>505</v>
      </c>
      <c r="AK158" s="3">
        <f ca="1">IFERROR(__xludf.DUMMYFUNCTION("""COMPUTED_VALUE"""),1721)</f>
        <v>1721</v>
      </c>
      <c r="AL158" s="3">
        <f ca="1">IFERROR(__xludf.DUMMYFUNCTION("""COMPUTED_VALUE"""),457)</f>
        <v>457</v>
      </c>
    </row>
    <row r="159" spans="1:38" ht="13">
      <c r="A159" s="3">
        <f ca="1">IFERROR(__xludf.DUMMYFUNCTION("""COMPUTED_VALUE"""),1597)</f>
        <v>1597</v>
      </c>
      <c r="B159" s="3">
        <f ca="1">IFERROR(__xludf.DUMMYFUNCTION("""COMPUTED_VALUE"""),5)</f>
        <v>5</v>
      </c>
      <c r="C159" s="3">
        <f ca="1">IFERROR(__xludf.DUMMYFUNCTION("""COMPUTED_VALUE"""),4001)</f>
        <v>4001</v>
      </c>
      <c r="D159" s="3" t="str">
        <f ca="1">IFERROR(__xludf.DUMMYFUNCTION("""COMPUTED_VALUE"""),"Dashattan")</f>
        <v>Dashattan</v>
      </c>
      <c r="E159" s="3" t="str">
        <f ca="1">IFERROR(__xludf.DUMMYFUNCTION("""COMPUTED_VALUE"""),"Galaxy A")</f>
        <v>Galaxy A</v>
      </c>
      <c r="F159" s="3" t="str">
        <f ca="1">IFERROR(__xludf.DUMMYFUNCTION("""COMPUTED_VALUE"""),"Mike")</f>
        <v>Mike</v>
      </c>
      <c r="G159" s="3">
        <f ca="1">IFERROR(__xludf.DUMMYFUNCTION("""COMPUTED_VALUE"""),0)</f>
        <v>0</v>
      </c>
      <c r="H159" s="3" t="str">
        <f ca="1">IFERROR(__xludf.DUMMYFUNCTION("""COMPUTED_VALUE"""),"bicycle")</f>
        <v>bicycle</v>
      </c>
      <c r="I159" s="3" t="str">
        <f ca="1">IFERROR(__xludf.DUMMYFUNCTION("""COMPUTED_VALUE"""),"2055-06-13T21:09:17.819341Z")</f>
        <v>2055-06-13T21:09:17.819341Z</v>
      </c>
      <c r="J159" s="3" t="str">
        <f ca="1">IFERROR(__xludf.DUMMYFUNCTION("""COMPUTED_VALUE"""),"2055-06-13T21:51:59.899Z")</f>
        <v>2055-06-13T21:51:59.899Z</v>
      </c>
      <c r="K159" s="3" t="str">
        <f ca="1">IFERROR(__xludf.DUMMYFUNCTION("""COMPUTED_VALUE"""),"2055-06-13T21:51:20.899Z")</f>
        <v>2055-06-13T21:51:20.899Z</v>
      </c>
      <c r="L159" s="3">
        <f ca="1">IFERROR(__xludf.DUMMYFUNCTION("""COMPUTED_VALUE"""),1)</f>
        <v>1</v>
      </c>
      <c r="M159" s="3">
        <f ca="1">IFERROR(__xludf.DUMMYFUNCTION("""COMPUTED_VALUE"""),0)</f>
        <v>0</v>
      </c>
      <c r="N159" s="3" t="str">
        <f ca="1">IFERROR(__xludf.DUMMYFUNCTION("""COMPUTED_VALUE"""),"2055-06-13T21:32:47.186976Z")</f>
        <v>2055-06-13T21:32:47.186976Z</v>
      </c>
      <c r="O159" s="3" t="str">
        <f ca="1">IFERROR(__xludf.DUMMYFUNCTION("""COMPUTED_VALUE"""),"2055-06-13T21:38:15.122516Z")</f>
        <v>2055-06-13T21:38:15.122516Z</v>
      </c>
      <c r="P159" s="3" t="str">
        <f ca="1">IFERROR(__xludf.DUMMYFUNCTION("""COMPUTED_VALUE"""),"2055-06-13T21:09:28.147694Z")</f>
        <v>2055-06-13T21:09:28.147694Z</v>
      </c>
      <c r="Q159" s="3">
        <f ca="1">IFERROR(__xludf.DUMMYFUNCTION("""COMPUTED_VALUE"""),0)</f>
        <v>0</v>
      </c>
      <c r="R159" s="3" t="str">
        <f ca="1">IFERROR(__xludf.DUMMYFUNCTION("""COMPUTED_VALUE"""),"2055-06-13T21:09:38.945981Z")</f>
        <v>2055-06-13T21:09:38.945981Z</v>
      </c>
      <c r="S159" s="3" t="str">
        <f ca="1">IFERROR(__xludf.DUMMYFUNCTION("""COMPUTED_VALUE"""),"2055-06-13T21:17:31.483455Z")</f>
        <v>2055-06-13T21:17:31.483455Z</v>
      </c>
      <c r="T159" s="3"/>
      <c r="U159" s="4">
        <f ca="1">IFERROR(__xludf.DUMMYFUNCTION("""COMPUTED_VALUE"""),56778)</f>
        <v>56778</v>
      </c>
      <c r="V159" s="3">
        <f ca="1">IFERROR(__xludf.DUMMYFUNCTION("""COMPUTED_VALUE"""),4.4)</f>
        <v>4.4000000000000004</v>
      </c>
      <c r="W159" s="3">
        <f ca="1">IFERROR(__xludf.DUMMYFUNCTION("""COMPUTED_VALUE"""),4500)</f>
        <v>4500</v>
      </c>
      <c r="X159" s="3">
        <f ca="1">IFERROR(__xludf.DUMMYFUNCTION("""COMPUTED_VALUE"""),1717)</f>
        <v>1717</v>
      </c>
      <c r="Y159" s="3">
        <f ca="1">IFERROR(__xludf.DUMMYFUNCTION("""COMPUTED_VALUE"""),473)</f>
        <v>473</v>
      </c>
      <c r="Z159" s="3">
        <f ca="1">IFERROR(__xludf.DUMMYFUNCTION("""COMPUTED_VALUE"""),916)</f>
        <v>916</v>
      </c>
      <c r="AA159" s="3">
        <f ca="1">IFERROR(__xludf.DUMMYFUNCTION("""COMPUTED_VALUE"""),328)</f>
        <v>328</v>
      </c>
      <c r="AB159" s="3">
        <f ca="1">IFERROR(__xludf.DUMMYFUNCTION("""COMPUTED_VALUE"""),0)</f>
        <v>0</v>
      </c>
      <c r="AC159" s="3">
        <f ca="1">IFERROR(__xludf.DUMMYFUNCTION("""COMPUTED_VALUE"""),4)</f>
        <v>4</v>
      </c>
      <c r="AD159" s="3" t="str">
        <f ca="1">IFERROR(__xludf.DUMMYFUNCTION("""COMPUTED_VALUE"""),"early")</f>
        <v>early</v>
      </c>
      <c r="AE159" s="3" t="str">
        <f ca="1">IFERROR(__xludf.DUMMYFUNCTION("""COMPUTED_VALUE"""),"2055-06-13T17:32:47.186976Z")</f>
        <v>2055-06-13T17:32:47.186976Z</v>
      </c>
      <c r="AF159" s="3" t="str">
        <f ca="1">IFERROR(__xludf.DUMMYFUNCTION("""COMPUTED_VALUE"""),"2055-06-13T17:38:15.122516Z")</f>
        <v>2055-06-13T17:38:15.122516Z</v>
      </c>
      <c r="AG159" s="3" t="str">
        <f ca="1">IFERROR(__xludf.DUMMYFUNCTION("""COMPUTED_VALUE"""),"2055-06-13T17:09:28.147694Z")</f>
        <v>2055-06-13T17:09:28.147694Z</v>
      </c>
      <c r="AH159" s="3" t="str">
        <f ca="1">IFERROR(__xludf.DUMMYFUNCTION("""COMPUTED_VALUE"""),"2055-06-13T17:17:31.483455Z")</f>
        <v>2055-06-13T17:17:31.483455Z</v>
      </c>
      <c r="AI159" s="3">
        <f ca="1">IFERROR(__xludf.DUMMYFUNCTION("""COMPUTED_VALUE"""),4.63)</f>
        <v>4.63</v>
      </c>
      <c r="AJ159" s="3">
        <f ca="1">IFERROR(__xludf.DUMMYFUNCTION("""COMPUTED_VALUE"""),242)</f>
        <v>242</v>
      </c>
      <c r="AK159" s="3">
        <f ca="1">IFERROR(__xludf.DUMMYFUNCTION("""COMPUTED_VALUE"""),736)</f>
        <v>736</v>
      </c>
      <c r="AL159" s="3"/>
    </row>
    <row r="160" spans="1:38" ht="13">
      <c r="A160" s="3">
        <f ca="1">IFERROR(__xludf.DUMMYFUNCTION("""COMPUTED_VALUE"""),146)</f>
        <v>146</v>
      </c>
      <c r="B160" s="3">
        <f ca="1">IFERROR(__xludf.DUMMYFUNCTION("""COMPUTED_VALUE"""),5)</f>
        <v>5</v>
      </c>
      <c r="C160" s="3">
        <f ca="1">IFERROR(__xludf.DUMMYFUNCTION("""COMPUTED_VALUE"""),4050)</f>
        <v>4050</v>
      </c>
      <c r="D160" s="3" t="str">
        <f ca="1">IFERROR(__xludf.DUMMYFUNCTION("""COMPUTED_VALUE"""),"Doorlanta")</f>
        <v>Doorlanta</v>
      </c>
      <c r="E160" s="3" t="str">
        <f ca="1">IFERROR(__xludf.DUMMYFUNCTION("""COMPUTED_VALUE"""),"Galaxy A")</f>
        <v>Galaxy A</v>
      </c>
      <c r="F160" s="3" t="str">
        <f ca="1">IFERROR(__xludf.DUMMYFUNCTION("""COMPUTED_VALUE"""),"Cate")</f>
        <v>Cate</v>
      </c>
      <c r="G160" s="3">
        <f ca="1">IFERROR(__xludf.DUMMYFUNCTION("""COMPUTED_VALUE"""),0)</f>
        <v>0</v>
      </c>
      <c r="H160" s="3" t="str">
        <f ca="1">IFERROR(__xludf.DUMMYFUNCTION("""COMPUTED_VALUE"""),"car")</f>
        <v>car</v>
      </c>
      <c r="I160" s="3" t="str">
        <f ca="1">IFERROR(__xludf.DUMMYFUNCTION("""COMPUTED_VALUE"""),"2055-06-02T17:21:07.142098Z")</f>
        <v>2055-06-02T17:21:07.142098Z</v>
      </c>
      <c r="J160" s="3" t="str">
        <f ca="1">IFERROR(__xludf.DUMMYFUNCTION("""COMPUTED_VALUE"""),"2055-06-02T18:06:07.209Z")</f>
        <v>2055-06-02T18:06:07.209Z</v>
      </c>
      <c r="K160" s="3" t="str">
        <f ca="1">IFERROR(__xludf.DUMMYFUNCTION("""COMPUTED_VALUE"""),"2055-06-02T17:51:32.209Z")</f>
        <v>2055-06-02T17:51:32.209Z</v>
      </c>
      <c r="L160" s="3">
        <f ca="1">IFERROR(__xludf.DUMMYFUNCTION("""COMPUTED_VALUE"""),1)</f>
        <v>1</v>
      </c>
      <c r="M160" s="3">
        <f ca="1">IFERROR(__xludf.DUMMYFUNCTION("""COMPUTED_VALUE"""),0)</f>
        <v>0</v>
      </c>
      <c r="N160" s="3" t="str">
        <f ca="1">IFERROR(__xludf.DUMMYFUNCTION("""COMPUTED_VALUE"""),"2055-06-02T17:53:29.994526Z")</f>
        <v>2055-06-02T17:53:29.994526Z</v>
      </c>
      <c r="O160" s="3" t="str">
        <f ca="1">IFERROR(__xludf.DUMMYFUNCTION("""COMPUTED_VALUE"""),"2055-06-02T18:23:38.560853Z")</f>
        <v>2055-06-02T18:23:38.560853Z</v>
      </c>
      <c r="P160" s="3" t="str">
        <f ca="1">IFERROR(__xludf.DUMMYFUNCTION("""COMPUTED_VALUE"""),"2055-06-02T17:27:27.273062Z")</f>
        <v>2055-06-02T17:27:27.273062Z</v>
      </c>
      <c r="Q160" s="3">
        <f ca="1">IFERROR(__xludf.DUMMYFUNCTION("""COMPUTED_VALUE"""),0)</f>
        <v>0</v>
      </c>
      <c r="R160" s="3" t="str">
        <f ca="1">IFERROR(__xludf.DUMMYFUNCTION("""COMPUTED_VALUE"""),"2055-06-02T17:28:11.062933Z")</f>
        <v>2055-06-02T17:28:11.062933Z</v>
      </c>
      <c r="S160" s="3"/>
      <c r="T160" s="3"/>
      <c r="U160" s="4">
        <f ca="1">IFERROR(__xludf.DUMMYFUNCTION("""COMPUTED_VALUE"""),56767)</f>
        <v>56767</v>
      </c>
      <c r="V160" s="3">
        <f ca="1">IFERROR(__xludf.DUMMYFUNCTION("""COMPUTED_VALUE"""),4.7)</f>
        <v>4.7</v>
      </c>
      <c r="W160" s="3">
        <f ca="1">IFERROR(__xludf.DUMMYFUNCTION("""COMPUTED_VALUE"""),4500)</f>
        <v>4500</v>
      </c>
      <c r="X160" s="3">
        <f ca="1">IFERROR(__xludf.DUMMYFUNCTION("""COMPUTED_VALUE"""),3327)</f>
        <v>3327</v>
      </c>
      <c r="Y160" s="3"/>
      <c r="Z160" s="3"/>
      <c r="AA160" s="3">
        <f ca="1">IFERROR(__xludf.DUMMYFUNCTION("""COMPUTED_VALUE"""),1809)</f>
        <v>1809</v>
      </c>
      <c r="AB160" s="3">
        <f ca="1">IFERROR(__xludf.DUMMYFUNCTION("""COMPUTED_VALUE"""),0)</f>
        <v>0</v>
      </c>
      <c r="AC160" s="3">
        <f ca="1">IFERROR(__xludf.DUMMYFUNCTION("""COMPUTED_VALUE"""),5)</f>
        <v>5</v>
      </c>
      <c r="AD160" s="3"/>
      <c r="AE160" s="3" t="str">
        <f ca="1">IFERROR(__xludf.DUMMYFUNCTION("""COMPUTED_VALUE"""),"2055-06-02T13:53:29.994526Z")</f>
        <v>2055-06-02T13:53:29.994526Z</v>
      </c>
      <c r="AF160" s="3" t="str">
        <f ca="1">IFERROR(__xludf.DUMMYFUNCTION("""COMPUTED_VALUE"""),"2055-06-02T14:23:38.560853Z")</f>
        <v>2055-06-02T14:23:38.560853Z</v>
      </c>
      <c r="AG160" s="3" t="str">
        <f ca="1">IFERROR(__xludf.DUMMYFUNCTION("""COMPUTED_VALUE"""),"2055-06-02T13:27:27.273062Z")</f>
        <v>2055-06-02T13:27:27.273062Z</v>
      </c>
      <c r="AH160" s="3"/>
      <c r="AI160" s="3">
        <f ca="1">IFERROR(__xludf.DUMMYFUNCTION("""COMPUTED_VALUE"""),4.49)</f>
        <v>4.49</v>
      </c>
      <c r="AJ160" s="3">
        <f ca="1">IFERROR(__xludf.DUMMYFUNCTION("""COMPUTED_VALUE"""),2315)</f>
        <v>2315</v>
      </c>
      <c r="AK160" s="3">
        <f ca="1">IFERROR(__xludf.DUMMYFUNCTION("""COMPUTED_VALUE"""),7039)</f>
        <v>7039</v>
      </c>
      <c r="AL160" s="3">
        <f ca="1">IFERROR(__xludf.DUMMYFUNCTION("""COMPUTED_VALUE"""),763)</f>
        <v>763</v>
      </c>
    </row>
    <row r="161" spans="1:38" ht="13">
      <c r="A161" s="3">
        <f ca="1">IFERROR(__xludf.DUMMYFUNCTION("""COMPUTED_VALUE"""),831)</f>
        <v>831</v>
      </c>
      <c r="B161" s="3"/>
      <c r="C161" s="3">
        <f ca="1">IFERROR(__xludf.DUMMYFUNCTION("""COMPUTED_VALUE"""),4050)</f>
        <v>4050</v>
      </c>
      <c r="D161" s="3" t="str">
        <f ca="1">IFERROR(__xludf.DUMMYFUNCTION("""COMPUTED_VALUE"""),"Doorlanta")</f>
        <v>Doorlanta</v>
      </c>
      <c r="E161" s="3" t="str">
        <f ca="1">IFERROR(__xludf.DUMMYFUNCTION("""COMPUTED_VALUE"""),"Galaxy A")</f>
        <v>Galaxy A</v>
      </c>
      <c r="F161" s="3" t="str">
        <f ca="1">IFERROR(__xludf.DUMMYFUNCTION("""COMPUTED_VALUE"""),"Cate")</f>
        <v>Cate</v>
      </c>
      <c r="G161" s="3">
        <f ca="1">IFERROR(__xludf.DUMMYFUNCTION("""COMPUTED_VALUE"""),0)</f>
        <v>0</v>
      </c>
      <c r="H161" s="3" t="str">
        <f ca="1">IFERROR(__xludf.DUMMYFUNCTION("""COMPUTED_VALUE"""),"car")</f>
        <v>car</v>
      </c>
      <c r="I161" s="3" t="str">
        <f ca="1">IFERROR(__xludf.DUMMYFUNCTION("""COMPUTED_VALUE"""),"2055-06-07T15:16:17.569626Z")</f>
        <v>2055-06-07T15:16:17.569626Z</v>
      </c>
      <c r="J161" s="3" t="str">
        <f ca="1">IFERROR(__xludf.DUMMYFUNCTION("""COMPUTED_VALUE"""),"2055-06-07T16:11:17.67Z")</f>
        <v>2055-06-07T16:11:17.67Z</v>
      </c>
      <c r="K161" s="3" t="str">
        <f ca="1">IFERROR(__xludf.DUMMYFUNCTION("""COMPUTED_VALUE"""),"2055-06-07T15:50:04.67Z")</f>
        <v>2055-06-07T15:50:04.67Z</v>
      </c>
      <c r="L161" s="3">
        <f ca="1">IFERROR(__xludf.DUMMYFUNCTION("""COMPUTED_VALUE"""),1)</f>
        <v>1</v>
      </c>
      <c r="M161" s="3">
        <f ca="1">IFERROR(__xludf.DUMMYFUNCTION("""COMPUTED_VALUE"""),0)</f>
        <v>0</v>
      </c>
      <c r="N161" s="3" t="str">
        <f ca="1">IFERROR(__xludf.DUMMYFUNCTION("""COMPUTED_VALUE"""),"2055-06-07T15:33:51.08942Z")</f>
        <v>2055-06-07T15:33:51.08942Z</v>
      </c>
      <c r="O161" s="3" t="str">
        <f ca="1">IFERROR(__xludf.DUMMYFUNCTION("""COMPUTED_VALUE"""),"2055-06-07T15:45:07.100776Z")</f>
        <v>2055-06-07T15:45:07.100776Z</v>
      </c>
      <c r="P161" s="3" t="str">
        <f ca="1">IFERROR(__xludf.DUMMYFUNCTION("""COMPUTED_VALUE"""),"2055-06-07T15:17:27.261082Z")</f>
        <v>2055-06-07T15:17:27.261082Z</v>
      </c>
      <c r="Q161" s="3">
        <f ca="1">IFERROR(__xludf.DUMMYFUNCTION("""COMPUTED_VALUE"""),0)</f>
        <v>0</v>
      </c>
      <c r="R161" s="3" t="str">
        <f ca="1">IFERROR(__xludf.DUMMYFUNCTION("""COMPUTED_VALUE"""),"2055-06-07T15:17:30.499734Z")</f>
        <v>2055-06-07T15:17:30.499734Z</v>
      </c>
      <c r="S161" s="3" t="str">
        <f ca="1">IFERROR(__xludf.DUMMYFUNCTION("""COMPUTED_VALUE"""),"2055-06-07T15:27:45.184659Z")</f>
        <v>2055-06-07T15:27:45.184659Z</v>
      </c>
      <c r="T161" s="3"/>
      <c r="U161" s="4">
        <f ca="1">IFERROR(__xludf.DUMMYFUNCTION("""COMPUTED_VALUE"""),56772)</f>
        <v>56772</v>
      </c>
      <c r="V161" s="3">
        <f ca="1">IFERROR(__xludf.DUMMYFUNCTION("""COMPUTED_VALUE"""),4.8)</f>
        <v>4.8</v>
      </c>
      <c r="W161" s="3">
        <f ca="1">IFERROR(__xludf.DUMMYFUNCTION("""COMPUTED_VALUE"""),4500)</f>
        <v>4500</v>
      </c>
      <c r="X161" s="3">
        <f ca="1">IFERROR(__xludf.DUMMYFUNCTION("""COMPUTED_VALUE"""),1657)</f>
        <v>1657</v>
      </c>
      <c r="Y161" s="3">
        <f ca="1">IFERROR(__xludf.DUMMYFUNCTION("""COMPUTED_VALUE"""),615)</f>
        <v>615</v>
      </c>
      <c r="Z161" s="3">
        <f ca="1">IFERROR(__xludf.DUMMYFUNCTION("""COMPUTED_VALUE"""),366)</f>
        <v>366</v>
      </c>
      <c r="AA161" s="3">
        <f ca="1">IFERROR(__xludf.DUMMYFUNCTION("""COMPUTED_VALUE"""),676)</f>
        <v>676</v>
      </c>
      <c r="AB161" s="3">
        <f ca="1">IFERROR(__xludf.DUMMYFUNCTION("""COMPUTED_VALUE"""),0)</f>
        <v>0</v>
      </c>
      <c r="AC161" s="3">
        <f ca="1">IFERROR(__xludf.DUMMYFUNCTION("""COMPUTED_VALUE"""),10)</f>
        <v>10</v>
      </c>
      <c r="AD161" s="3" t="str">
        <f ca="1">IFERROR(__xludf.DUMMYFUNCTION("""COMPUTED_VALUE"""),"on time")</f>
        <v>on time</v>
      </c>
      <c r="AE161" s="3" t="str">
        <f ca="1">IFERROR(__xludf.DUMMYFUNCTION("""COMPUTED_VALUE"""),"2055-06-07T11:33:51.08942Z")</f>
        <v>2055-06-07T11:33:51.08942Z</v>
      </c>
      <c r="AF161" s="3" t="str">
        <f ca="1">IFERROR(__xludf.DUMMYFUNCTION("""COMPUTED_VALUE"""),"2055-06-07T11:45:07.100776Z")</f>
        <v>2055-06-07T11:45:07.100776Z</v>
      </c>
      <c r="AG161" s="3" t="str">
        <f ca="1">IFERROR(__xludf.DUMMYFUNCTION("""COMPUTED_VALUE"""),"2055-06-07T11:17:27.261082Z")</f>
        <v>2055-06-07T11:17:27.261082Z</v>
      </c>
      <c r="AH161" s="3" t="str">
        <f ca="1">IFERROR(__xludf.DUMMYFUNCTION("""COMPUTED_VALUE"""),"2055-06-07T11:27:45.184659Z")</f>
        <v>2055-06-07T11:27:45.184659Z</v>
      </c>
      <c r="AI161" s="3">
        <f ca="1">IFERROR(__xludf.DUMMYFUNCTION("""COMPUTED_VALUE"""),4.49)</f>
        <v>4.49</v>
      </c>
      <c r="AJ161" s="3">
        <f ca="1">IFERROR(__xludf.DUMMYFUNCTION("""COMPUTED_VALUE"""),2315)</f>
        <v>2315</v>
      </c>
      <c r="AK161" s="3">
        <f ca="1">IFERROR(__xludf.DUMMYFUNCTION("""COMPUTED_VALUE"""),7039)</f>
        <v>7039</v>
      </c>
      <c r="AL161" s="3">
        <f ca="1">IFERROR(__xludf.DUMMYFUNCTION("""COMPUTED_VALUE"""),763)</f>
        <v>763</v>
      </c>
    </row>
    <row r="162" spans="1:38" ht="13">
      <c r="A162" s="3">
        <f ca="1">IFERROR(__xludf.DUMMYFUNCTION("""COMPUTED_VALUE"""),595)</f>
        <v>595</v>
      </c>
      <c r="B162" s="3">
        <f ca="1">IFERROR(__xludf.DUMMYFUNCTION("""COMPUTED_VALUE"""),5)</f>
        <v>5</v>
      </c>
      <c r="C162" s="3">
        <f ca="1">IFERROR(__xludf.DUMMYFUNCTION("""COMPUTED_VALUE"""),4001)</f>
        <v>4001</v>
      </c>
      <c r="D162" s="3" t="str">
        <f ca="1">IFERROR(__xludf.DUMMYFUNCTION("""COMPUTED_VALUE"""),"Dashattan")</f>
        <v>Dashattan</v>
      </c>
      <c r="E162" s="3" t="str">
        <f ca="1">IFERROR(__xludf.DUMMYFUNCTION("""COMPUTED_VALUE"""),"Galaxy A")</f>
        <v>Galaxy A</v>
      </c>
      <c r="F162" s="3" t="str">
        <f ca="1">IFERROR(__xludf.DUMMYFUNCTION("""COMPUTED_VALUE"""),"KC")</f>
        <v>KC</v>
      </c>
      <c r="G162" s="3">
        <f ca="1">IFERROR(__xludf.DUMMYFUNCTION("""COMPUTED_VALUE"""),0)</f>
        <v>0</v>
      </c>
      <c r="H162" s="3" t="str">
        <f ca="1">IFERROR(__xludf.DUMMYFUNCTION("""COMPUTED_VALUE"""),"car")</f>
        <v>car</v>
      </c>
      <c r="I162" s="3" t="str">
        <f ca="1">IFERROR(__xludf.DUMMYFUNCTION("""COMPUTED_VALUE"""),"2055-06-05T19:03:20.736629Z")</f>
        <v>2055-06-05T19:03:20.736629Z</v>
      </c>
      <c r="J162" s="3" t="str">
        <f ca="1">IFERROR(__xludf.DUMMYFUNCTION("""COMPUTED_VALUE"""),"2055-06-05T19:48:34.873Z")</f>
        <v>2055-06-05T19:48:34.873Z</v>
      </c>
      <c r="K162" s="3" t="str">
        <f ca="1">IFERROR(__xludf.DUMMYFUNCTION("""COMPUTED_VALUE"""),"2055-06-05T19:33:55.873Z")</f>
        <v>2055-06-05T19:33:55.873Z</v>
      </c>
      <c r="L162" s="3">
        <f ca="1">IFERROR(__xludf.DUMMYFUNCTION("""COMPUTED_VALUE"""),1)</f>
        <v>1</v>
      </c>
      <c r="M162" s="3">
        <f ca="1">IFERROR(__xludf.DUMMYFUNCTION("""COMPUTED_VALUE"""),0)</f>
        <v>0</v>
      </c>
      <c r="N162" s="3" t="str">
        <f ca="1">IFERROR(__xludf.DUMMYFUNCTION("""COMPUTED_VALUE"""),"2055-06-05T19:29:48.363318Z")</f>
        <v>2055-06-05T19:29:48.363318Z</v>
      </c>
      <c r="O162" s="3" t="str">
        <f ca="1">IFERROR(__xludf.DUMMYFUNCTION("""COMPUTED_VALUE"""),"2055-06-05T19:38:30.404643Z")</f>
        <v>2055-06-05T19:38:30.404643Z</v>
      </c>
      <c r="P162" s="3" t="str">
        <f ca="1">IFERROR(__xludf.DUMMYFUNCTION("""COMPUTED_VALUE"""),"2055-06-05T19:04:54.553602Z")</f>
        <v>2055-06-05T19:04:54.553602Z</v>
      </c>
      <c r="Q162" s="3">
        <f ca="1">IFERROR(__xludf.DUMMYFUNCTION("""COMPUTED_VALUE"""),0)</f>
        <v>0</v>
      </c>
      <c r="R162" s="3" t="str">
        <f ca="1">IFERROR(__xludf.DUMMYFUNCTION("""COMPUTED_VALUE"""),"2055-06-05T19:05:05.747226Z")</f>
        <v>2055-06-05T19:05:05.747226Z</v>
      </c>
      <c r="S162" s="3" t="str">
        <f ca="1">IFERROR(__xludf.DUMMYFUNCTION("""COMPUTED_VALUE"""),"2055-06-05T19:13:55.504618Z")</f>
        <v>2055-06-05T19:13:55.504618Z</v>
      </c>
      <c r="T162" s="3"/>
      <c r="U162" s="4">
        <f ca="1">IFERROR(__xludf.DUMMYFUNCTION("""COMPUTED_VALUE"""),56770)</f>
        <v>56770</v>
      </c>
      <c r="V162" s="3">
        <f ca="1">IFERROR(__xludf.DUMMYFUNCTION("""COMPUTED_VALUE"""),4.7)</f>
        <v>4.7</v>
      </c>
      <c r="W162" s="3">
        <f ca="1">IFERROR(__xludf.DUMMYFUNCTION("""COMPUTED_VALUE"""),4500)</f>
        <v>4500</v>
      </c>
      <c r="X162" s="3">
        <f ca="1">IFERROR(__xludf.DUMMYFUNCTION("""COMPUTED_VALUE"""),2005)</f>
        <v>2005</v>
      </c>
      <c r="Y162" s="3">
        <f ca="1">IFERROR(__xludf.DUMMYFUNCTION("""COMPUTED_VALUE"""),530)</f>
        <v>530</v>
      </c>
      <c r="Z162" s="3">
        <f ca="1">IFERROR(__xludf.DUMMYFUNCTION("""COMPUTED_VALUE"""),953)</f>
        <v>953</v>
      </c>
      <c r="AA162" s="3">
        <f ca="1">IFERROR(__xludf.DUMMYFUNCTION("""COMPUTED_VALUE"""),522)</f>
        <v>522</v>
      </c>
      <c r="AB162" s="3">
        <f ca="1">IFERROR(__xludf.DUMMYFUNCTION("""COMPUTED_VALUE"""),0)</f>
        <v>0</v>
      </c>
      <c r="AC162" s="3">
        <f ca="1">IFERROR(__xludf.DUMMYFUNCTION("""COMPUTED_VALUE"""),4)</f>
        <v>4</v>
      </c>
      <c r="AD162" s="3" t="str">
        <f ca="1">IFERROR(__xludf.DUMMYFUNCTION("""COMPUTED_VALUE"""),"on time")</f>
        <v>on time</v>
      </c>
      <c r="AE162" s="3" t="str">
        <f ca="1">IFERROR(__xludf.DUMMYFUNCTION("""COMPUTED_VALUE"""),"2055-06-05T15:29:48.363318Z")</f>
        <v>2055-06-05T15:29:48.363318Z</v>
      </c>
      <c r="AF162" s="3" t="str">
        <f ca="1">IFERROR(__xludf.DUMMYFUNCTION("""COMPUTED_VALUE"""),"2055-06-05T15:38:30.404643Z")</f>
        <v>2055-06-05T15:38:30.404643Z</v>
      </c>
      <c r="AG162" s="3" t="str">
        <f ca="1">IFERROR(__xludf.DUMMYFUNCTION("""COMPUTED_VALUE"""),"2055-06-05T15:04:54.553602Z")</f>
        <v>2055-06-05T15:04:54.553602Z</v>
      </c>
      <c r="AH162" s="3" t="str">
        <f ca="1">IFERROR(__xludf.DUMMYFUNCTION("""COMPUTED_VALUE"""),"2055-06-05T15:13:55.504618Z")</f>
        <v>2055-06-05T15:13:55.504618Z</v>
      </c>
      <c r="AI162" s="3">
        <f ca="1">IFERROR(__xludf.DUMMYFUNCTION("""COMPUTED_VALUE"""),4.54)</f>
        <v>4.54</v>
      </c>
      <c r="AJ162" s="3">
        <f ca="1">IFERROR(__xludf.DUMMYFUNCTION("""COMPUTED_VALUE"""),2229)</f>
        <v>2229</v>
      </c>
      <c r="AK162" s="3">
        <f ca="1">IFERROR(__xludf.DUMMYFUNCTION("""COMPUTED_VALUE"""),6580)</f>
        <v>6580</v>
      </c>
      <c r="AL162" s="3"/>
    </row>
    <row r="163" spans="1:38" ht="13">
      <c r="A163" s="3">
        <f ca="1">IFERROR(__xludf.DUMMYFUNCTION("""COMPUTED_VALUE"""),334)</f>
        <v>334</v>
      </c>
      <c r="B163" s="3"/>
      <c r="C163" s="3">
        <f ca="1">IFERROR(__xludf.DUMMYFUNCTION("""COMPUTED_VALUE"""),4050)</f>
        <v>4050</v>
      </c>
      <c r="D163" s="3" t="str">
        <f ca="1">IFERROR(__xludf.DUMMYFUNCTION("""COMPUTED_VALUE"""),"Doorlanta")</f>
        <v>Doorlanta</v>
      </c>
      <c r="E163" s="3" t="str">
        <f ca="1">IFERROR(__xludf.DUMMYFUNCTION("""COMPUTED_VALUE"""),"Galaxy A")</f>
        <v>Galaxy A</v>
      </c>
      <c r="F163" s="3" t="str">
        <f ca="1">IFERROR(__xludf.DUMMYFUNCTION("""COMPUTED_VALUE"""),"Katelynn")</f>
        <v>Katelynn</v>
      </c>
      <c r="G163" s="3">
        <f ca="1">IFERROR(__xludf.DUMMYFUNCTION("""COMPUTED_VALUE"""),0)</f>
        <v>0</v>
      </c>
      <c r="H163" s="3" t="str">
        <f ca="1">IFERROR(__xludf.DUMMYFUNCTION("""COMPUTED_VALUE"""),"car")</f>
        <v>car</v>
      </c>
      <c r="I163" s="3" t="str">
        <f ca="1">IFERROR(__xludf.DUMMYFUNCTION("""COMPUTED_VALUE"""),"2055-06-03T21:18:05.159562Z")</f>
        <v>2055-06-03T21:18:05.159562Z</v>
      </c>
      <c r="J163" s="3" t="str">
        <f ca="1">IFERROR(__xludf.DUMMYFUNCTION("""COMPUTED_VALUE"""),"2055-06-03T22:20:57.23Z")</f>
        <v>2055-06-03T22:20:57.23Z</v>
      </c>
      <c r="K163" s="3" t="str">
        <f ca="1">IFERROR(__xludf.DUMMYFUNCTION("""COMPUTED_VALUE"""),"2055-06-03T22:01:18.23Z")</f>
        <v>2055-06-03T22:01:18.23Z</v>
      </c>
      <c r="L163" s="3">
        <f ca="1">IFERROR(__xludf.DUMMYFUNCTION("""COMPUTED_VALUE"""),1)</f>
        <v>1</v>
      </c>
      <c r="M163" s="3">
        <f ca="1">IFERROR(__xludf.DUMMYFUNCTION("""COMPUTED_VALUE"""),0)</f>
        <v>0</v>
      </c>
      <c r="N163" s="3" t="str">
        <f ca="1">IFERROR(__xludf.DUMMYFUNCTION("""COMPUTED_VALUE"""),"2055-06-03T22:00:25.650703Z")</f>
        <v>2055-06-03T22:00:25.650703Z</v>
      </c>
      <c r="O163" s="3" t="str">
        <f ca="1">IFERROR(__xludf.DUMMYFUNCTION("""COMPUTED_VALUE"""),"2055-06-03T22:16:54.922052Z")</f>
        <v>2055-06-03T22:16:54.922052Z</v>
      </c>
      <c r="P163" s="3" t="str">
        <f ca="1">IFERROR(__xludf.DUMMYFUNCTION("""COMPUTED_VALUE"""),"2055-06-03T21:18:27.328168Z")</f>
        <v>2055-06-03T21:18:27.328168Z</v>
      </c>
      <c r="Q163" s="3">
        <f ca="1">IFERROR(__xludf.DUMMYFUNCTION("""COMPUTED_VALUE"""),0)</f>
        <v>0</v>
      </c>
      <c r="R163" s="3" t="str">
        <f ca="1">IFERROR(__xludf.DUMMYFUNCTION("""COMPUTED_VALUE"""),"2055-06-03T21:18:35.337604Z")</f>
        <v>2055-06-03T21:18:35.337604Z</v>
      </c>
      <c r="S163" s="3" t="str">
        <f ca="1">IFERROR(__xludf.DUMMYFUNCTION("""COMPUTED_VALUE"""),"2055-06-03T21:40:00.248518Z")</f>
        <v>2055-06-03T21:40:00.248518Z</v>
      </c>
      <c r="T163" s="3"/>
      <c r="U163" s="4">
        <f ca="1">IFERROR(__xludf.DUMMYFUNCTION("""COMPUTED_VALUE"""),56768)</f>
        <v>56768</v>
      </c>
      <c r="V163" s="3">
        <f ca="1">IFERROR(__xludf.DUMMYFUNCTION("""COMPUTED_VALUE"""),4.2)</f>
        <v>4.2</v>
      </c>
      <c r="W163" s="3">
        <f ca="1">IFERROR(__xludf.DUMMYFUNCTION("""COMPUTED_VALUE"""),4500)</f>
        <v>4500</v>
      </c>
      <c r="X163" s="3">
        <f ca="1">IFERROR(__xludf.DUMMYFUNCTION("""COMPUTED_VALUE"""),3499)</f>
        <v>3499</v>
      </c>
      <c r="Y163" s="3">
        <f ca="1">IFERROR(__xludf.DUMMYFUNCTION("""COMPUTED_VALUE"""),1285)</f>
        <v>1285</v>
      </c>
      <c r="Z163" s="3">
        <f ca="1">IFERROR(__xludf.DUMMYFUNCTION("""COMPUTED_VALUE"""),1225)</f>
        <v>1225</v>
      </c>
      <c r="AA163" s="3">
        <f ca="1">IFERROR(__xludf.DUMMYFUNCTION("""COMPUTED_VALUE"""),989)</f>
        <v>989</v>
      </c>
      <c r="AB163" s="3">
        <f ca="1">IFERROR(__xludf.DUMMYFUNCTION("""COMPUTED_VALUE"""),0)</f>
        <v>0</v>
      </c>
      <c r="AC163" s="3">
        <f ca="1">IFERROR(__xludf.DUMMYFUNCTION("""COMPUTED_VALUE"""),2)</f>
        <v>2</v>
      </c>
      <c r="AD163" s="3"/>
      <c r="AE163" s="3" t="str">
        <f ca="1">IFERROR(__xludf.DUMMYFUNCTION("""COMPUTED_VALUE"""),"2055-06-03T18:00:25.650703Z")</f>
        <v>2055-06-03T18:00:25.650703Z</v>
      </c>
      <c r="AF163" s="3" t="str">
        <f ca="1">IFERROR(__xludf.DUMMYFUNCTION("""COMPUTED_VALUE"""),"2055-06-03T18:16:54.922052Z")</f>
        <v>2055-06-03T18:16:54.922052Z</v>
      </c>
      <c r="AG163" s="3" t="str">
        <f ca="1">IFERROR(__xludf.DUMMYFUNCTION("""COMPUTED_VALUE"""),"2055-06-03T17:18:27.328168Z")</f>
        <v>2055-06-03T17:18:27.328168Z</v>
      </c>
      <c r="AH163" s="3" t="str">
        <f ca="1">IFERROR(__xludf.DUMMYFUNCTION("""COMPUTED_VALUE"""),"2055-06-03T17:40:00.248518Z")</f>
        <v>2055-06-03T17:40:00.248518Z</v>
      </c>
      <c r="AI163" s="3">
        <f ca="1">IFERROR(__xludf.DUMMYFUNCTION("""COMPUTED_VALUE"""),4.7)</f>
        <v>4.7</v>
      </c>
      <c r="AJ163" s="3">
        <f ca="1">IFERROR(__xludf.DUMMYFUNCTION("""COMPUTED_VALUE"""),1261)</f>
        <v>1261</v>
      </c>
      <c r="AK163" s="3">
        <f ca="1">IFERROR(__xludf.DUMMYFUNCTION("""COMPUTED_VALUE"""),3264)</f>
        <v>3264</v>
      </c>
      <c r="AL163" s="3">
        <f ca="1">IFERROR(__xludf.DUMMYFUNCTION("""COMPUTED_VALUE"""),232)</f>
        <v>232</v>
      </c>
    </row>
    <row r="164" spans="1:38" ht="13">
      <c r="A164" s="3">
        <f ca="1">IFERROR(__xludf.DUMMYFUNCTION("""COMPUTED_VALUE"""),889)</f>
        <v>889</v>
      </c>
      <c r="B164" s="3">
        <f ca="1">IFERROR(__xludf.DUMMYFUNCTION("""COMPUTED_VALUE"""),2)</f>
        <v>2</v>
      </c>
      <c r="C164" s="3">
        <f ca="1">IFERROR(__xludf.DUMMYFUNCTION("""COMPUTED_VALUE"""),4001)</f>
        <v>4001</v>
      </c>
      <c r="D164" s="3" t="str">
        <f ca="1">IFERROR(__xludf.DUMMYFUNCTION("""COMPUTED_VALUE"""),"Dashattan")</f>
        <v>Dashattan</v>
      </c>
      <c r="E164" s="3" t="str">
        <f ca="1">IFERROR(__xludf.DUMMYFUNCTION("""COMPUTED_VALUE"""),"Galaxy A")</f>
        <v>Galaxy A</v>
      </c>
      <c r="F164" s="3" t="str">
        <f ca="1">IFERROR(__xludf.DUMMYFUNCTION("""COMPUTED_VALUE"""),"Arya")</f>
        <v>Arya</v>
      </c>
      <c r="G164" s="3">
        <f ca="1">IFERROR(__xludf.DUMMYFUNCTION("""COMPUTED_VALUE"""),0)</f>
        <v>0</v>
      </c>
      <c r="H164" s="3" t="str">
        <f ca="1">IFERROR(__xludf.DUMMYFUNCTION("""COMPUTED_VALUE"""),"bicycle")</f>
        <v>bicycle</v>
      </c>
      <c r="I164" s="3" t="str">
        <f ca="1">IFERROR(__xludf.DUMMYFUNCTION("""COMPUTED_VALUE"""),"2055-06-07T23:15:13.435981Z")</f>
        <v>2055-06-07T23:15:13.435981Z</v>
      </c>
      <c r="J164" s="3" t="str">
        <f ca="1">IFERROR(__xludf.DUMMYFUNCTION("""COMPUTED_VALUE"""),"2055-06-08T00:15:00Z")</f>
        <v>2055-06-08T00:15:00Z</v>
      </c>
      <c r="K164" s="3" t="str">
        <f ca="1">IFERROR(__xludf.DUMMYFUNCTION("""COMPUTED_VALUE"""),"2055-06-08T00:15:00Z")</f>
        <v>2055-06-08T00:15:00Z</v>
      </c>
      <c r="L164" s="3">
        <f ca="1">IFERROR(__xludf.DUMMYFUNCTION("""COMPUTED_VALUE"""),0)</f>
        <v>0</v>
      </c>
      <c r="M164" s="3">
        <f ca="1">IFERROR(__xludf.DUMMYFUNCTION("""COMPUTED_VALUE"""),0)</f>
        <v>0</v>
      </c>
      <c r="N164" s="3" t="str">
        <f ca="1">IFERROR(__xludf.DUMMYFUNCTION("""COMPUTED_VALUE"""),"2055-06-07T23:39:32.95327Z")</f>
        <v>2055-06-07T23:39:32.95327Z</v>
      </c>
      <c r="O164" s="3" t="str">
        <f ca="1">IFERROR(__xludf.DUMMYFUNCTION("""COMPUTED_VALUE"""),"2055-06-07T23:50:17.061408Z")</f>
        <v>2055-06-07T23:50:17.061408Z</v>
      </c>
      <c r="P164" s="3" t="str">
        <f ca="1">IFERROR(__xludf.DUMMYFUNCTION("""COMPUTED_VALUE"""),"2055-06-07T23:23:54.617263Z")</f>
        <v>2055-06-07T23:23:54.617263Z</v>
      </c>
      <c r="Q164" s="3">
        <f ca="1">IFERROR(__xludf.DUMMYFUNCTION("""COMPUTED_VALUE"""),0)</f>
        <v>0</v>
      </c>
      <c r="R164" s="3" t="str">
        <f ca="1">IFERROR(__xludf.DUMMYFUNCTION("""COMPUTED_VALUE"""),"2055-06-07T23:24:10.241573Z")</f>
        <v>2055-06-07T23:24:10.241573Z</v>
      </c>
      <c r="S164" s="3" t="str">
        <f ca="1">IFERROR(__xludf.DUMMYFUNCTION("""COMPUTED_VALUE"""),"2055-06-07T23:38:14.141784Z")</f>
        <v>2055-06-07T23:38:14.141784Z</v>
      </c>
      <c r="T164" s="3"/>
      <c r="U164" s="4">
        <f ca="1">IFERROR(__xludf.DUMMYFUNCTION("""COMPUTED_VALUE"""),56772)</f>
        <v>56772</v>
      </c>
      <c r="V164" s="3">
        <f ca="1">IFERROR(__xludf.DUMMYFUNCTION("""COMPUTED_VALUE"""),3.575960322)</f>
        <v>3.5759603219999998</v>
      </c>
      <c r="W164" s="3">
        <f ca="1">IFERROR(__xludf.DUMMYFUNCTION("""COMPUTED_VALUE"""),4500)</f>
        <v>4500</v>
      </c>
      <c r="X164" s="3">
        <f ca="1">IFERROR(__xludf.DUMMYFUNCTION("""COMPUTED_VALUE"""),1567)</f>
        <v>1567</v>
      </c>
      <c r="Y164" s="3">
        <f ca="1">IFERROR(__xludf.DUMMYFUNCTION("""COMPUTED_VALUE"""),844)</f>
        <v>844</v>
      </c>
      <c r="Z164" s="3">
        <f ca="1">IFERROR(__xludf.DUMMYFUNCTION("""COMPUTED_VALUE"""),78)</f>
        <v>78</v>
      </c>
      <c r="AA164" s="3">
        <f ca="1">IFERROR(__xludf.DUMMYFUNCTION("""COMPUTED_VALUE"""),645)</f>
        <v>645</v>
      </c>
      <c r="AB164" s="3">
        <f ca="1">IFERROR(__xludf.DUMMYFUNCTION("""COMPUTED_VALUE"""),0)</f>
        <v>0</v>
      </c>
      <c r="AC164" s="3">
        <f ca="1">IFERROR(__xludf.DUMMYFUNCTION("""COMPUTED_VALUE"""),4)</f>
        <v>4</v>
      </c>
      <c r="AD164" s="3" t="str">
        <f ca="1">IFERROR(__xludf.DUMMYFUNCTION("""COMPUTED_VALUE"""),"late")</f>
        <v>late</v>
      </c>
      <c r="AE164" s="3" t="str">
        <f ca="1">IFERROR(__xludf.DUMMYFUNCTION("""COMPUTED_VALUE"""),"2055-06-07T19:39:32.95327Z")</f>
        <v>2055-06-07T19:39:32.95327Z</v>
      </c>
      <c r="AF164" s="3" t="str">
        <f ca="1">IFERROR(__xludf.DUMMYFUNCTION("""COMPUTED_VALUE"""),"2055-06-07T19:50:17.061408Z")</f>
        <v>2055-06-07T19:50:17.061408Z</v>
      </c>
      <c r="AG164" s="3" t="str">
        <f ca="1">IFERROR(__xludf.DUMMYFUNCTION("""COMPUTED_VALUE"""),"2055-06-07T19:23:54.617263Z")</f>
        <v>2055-06-07T19:23:54.617263Z</v>
      </c>
      <c r="AH164" s="3" t="str">
        <f ca="1">IFERROR(__xludf.DUMMYFUNCTION("""COMPUTED_VALUE"""),"2055-06-07T19:38:14.141784Z")</f>
        <v>2055-06-07T19:38:14.141784Z</v>
      </c>
      <c r="AI164" s="3">
        <f ca="1">IFERROR(__xludf.DUMMYFUNCTION("""COMPUTED_VALUE"""),4.17)</f>
        <v>4.17</v>
      </c>
      <c r="AJ164" s="3">
        <f ca="1">IFERROR(__xludf.DUMMYFUNCTION("""COMPUTED_VALUE"""),457)</f>
        <v>457</v>
      </c>
      <c r="AK164" s="3">
        <f ca="1">IFERROR(__xludf.DUMMYFUNCTION("""COMPUTED_VALUE"""),1599)</f>
        <v>1599</v>
      </c>
      <c r="AL164" s="3"/>
    </row>
    <row r="165" spans="1:38" ht="13">
      <c r="A165" s="3">
        <f ca="1">IFERROR(__xludf.DUMMYFUNCTION("""COMPUTED_VALUE"""),935)</f>
        <v>935</v>
      </c>
      <c r="B165" s="3"/>
      <c r="C165" s="3">
        <f ca="1">IFERROR(__xludf.DUMMYFUNCTION("""COMPUTED_VALUE"""),4001)</f>
        <v>4001</v>
      </c>
      <c r="D165" s="3" t="str">
        <f ca="1">IFERROR(__xludf.DUMMYFUNCTION("""COMPUTED_VALUE"""),"Dashattan")</f>
        <v>Dashattan</v>
      </c>
      <c r="E165" s="3" t="str">
        <f ca="1">IFERROR(__xludf.DUMMYFUNCTION("""COMPUTED_VALUE"""),"Galaxy A")</f>
        <v>Galaxy A</v>
      </c>
      <c r="F165" s="3" t="str">
        <f ca="1">IFERROR(__xludf.DUMMYFUNCTION("""COMPUTED_VALUE"""),"Sean")</f>
        <v>Sean</v>
      </c>
      <c r="G165" s="3">
        <f ca="1">IFERROR(__xludf.DUMMYFUNCTION("""COMPUTED_VALUE"""),0)</f>
        <v>0</v>
      </c>
      <c r="H165" s="3" t="str">
        <f ca="1">IFERROR(__xludf.DUMMYFUNCTION("""COMPUTED_VALUE"""),"bicycle")</f>
        <v>bicycle</v>
      </c>
      <c r="I165" s="3" t="str">
        <f ca="1">IFERROR(__xludf.DUMMYFUNCTION("""COMPUTED_VALUE"""),"2055-06-08T15:35:12.497742Z")</f>
        <v>2055-06-08T15:35:12.497742Z</v>
      </c>
      <c r="J165" s="3" t="str">
        <f ca="1">IFERROR(__xludf.DUMMYFUNCTION("""COMPUTED_VALUE"""),"2055-06-08T16:25:58.557Z")</f>
        <v>2055-06-08T16:25:58.557Z</v>
      </c>
      <c r="K165" s="3" t="str">
        <f ca="1">IFERROR(__xludf.DUMMYFUNCTION("""COMPUTED_VALUE"""),"2055-06-08T16:07:05.557Z")</f>
        <v>2055-06-08T16:07:05.557Z</v>
      </c>
      <c r="L165" s="3">
        <f ca="1">IFERROR(__xludf.DUMMYFUNCTION("""COMPUTED_VALUE"""),1)</f>
        <v>1</v>
      </c>
      <c r="M165" s="3">
        <f ca="1">IFERROR(__xludf.DUMMYFUNCTION("""COMPUTED_VALUE"""),0)</f>
        <v>0</v>
      </c>
      <c r="N165" s="3" t="str">
        <f ca="1">IFERROR(__xludf.DUMMYFUNCTION("""COMPUTED_VALUE"""),"2055-06-08T15:59:11.025351Z")</f>
        <v>2055-06-08T15:59:11.025351Z</v>
      </c>
      <c r="O165" s="3" t="str">
        <f ca="1">IFERROR(__xludf.DUMMYFUNCTION("""COMPUTED_VALUE"""),"2055-06-08T16:05:12.575524Z")</f>
        <v>2055-06-08T16:05:12.575524Z</v>
      </c>
      <c r="P165" s="3" t="str">
        <f ca="1">IFERROR(__xludf.DUMMYFUNCTION("""COMPUTED_VALUE"""),"2055-06-08T15:35:34.108354Z")</f>
        <v>2055-06-08T15:35:34.108354Z</v>
      </c>
      <c r="Q165" s="3">
        <f ca="1">IFERROR(__xludf.DUMMYFUNCTION("""COMPUTED_VALUE"""),0)</f>
        <v>0</v>
      </c>
      <c r="R165" s="3" t="str">
        <f ca="1">IFERROR(__xludf.DUMMYFUNCTION("""COMPUTED_VALUE"""),"2055-06-08T15:35:40.490152Z")</f>
        <v>2055-06-08T15:35:40.490152Z</v>
      </c>
      <c r="S165" s="3" t="str">
        <f ca="1">IFERROR(__xludf.DUMMYFUNCTION("""COMPUTED_VALUE"""),"2055-06-08T15:42:42.527216Z")</f>
        <v>2055-06-08T15:42:42.527216Z</v>
      </c>
      <c r="T165" s="3"/>
      <c r="U165" s="4">
        <f ca="1">IFERROR(__xludf.DUMMYFUNCTION("""COMPUTED_VALUE"""),56773)</f>
        <v>56773</v>
      </c>
      <c r="V165" s="3">
        <f ca="1">IFERROR(__xludf.DUMMYFUNCTION("""COMPUTED_VALUE"""),3.497406132)</f>
        <v>3.4974061320000001</v>
      </c>
      <c r="W165" s="3">
        <f ca="1">IFERROR(__xludf.DUMMYFUNCTION("""COMPUTED_VALUE"""),4500)</f>
        <v>4500</v>
      </c>
      <c r="X165" s="3">
        <f ca="1">IFERROR(__xludf.DUMMYFUNCTION("""COMPUTED_VALUE"""),1772)</f>
        <v>1772</v>
      </c>
      <c r="Y165" s="3">
        <f ca="1">IFERROR(__xludf.DUMMYFUNCTION("""COMPUTED_VALUE"""),422)</f>
        <v>422</v>
      </c>
      <c r="Z165" s="3">
        <f ca="1">IFERROR(__xludf.DUMMYFUNCTION("""COMPUTED_VALUE"""),989)</f>
        <v>989</v>
      </c>
      <c r="AA165" s="3">
        <f ca="1">IFERROR(__xludf.DUMMYFUNCTION("""COMPUTED_VALUE"""),361)</f>
        <v>361</v>
      </c>
      <c r="AB165" s="3">
        <f ca="1">IFERROR(__xludf.DUMMYFUNCTION("""COMPUTED_VALUE"""),1)</f>
        <v>1</v>
      </c>
      <c r="AC165" s="3">
        <f ca="1">IFERROR(__xludf.DUMMYFUNCTION("""COMPUTED_VALUE"""),3)</f>
        <v>3</v>
      </c>
      <c r="AD165" s="3"/>
      <c r="AE165" s="3" t="str">
        <f ca="1">IFERROR(__xludf.DUMMYFUNCTION("""COMPUTED_VALUE"""),"2055-06-08T11:59:11.025351Z")</f>
        <v>2055-06-08T11:59:11.025351Z</v>
      </c>
      <c r="AF165" s="3" t="str">
        <f ca="1">IFERROR(__xludf.DUMMYFUNCTION("""COMPUTED_VALUE"""),"2055-06-08T12:05:12.575524Z")</f>
        <v>2055-06-08T12:05:12.575524Z</v>
      </c>
      <c r="AG165" s="3" t="str">
        <f ca="1">IFERROR(__xludf.DUMMYFUNCTION("""COMPUTED_VALUE"""),"2055-06-08T11:35:34.108354Z")</f>
        <v>2055-06-08T11:35:34.108354Z</v>
      </c>
      <c r="AH165" s="3" t="str">
        <f ca="1">IFERROR(__xludf.DUMMYFUNCTION("""COMPUTED_VALUE"""),"2055-06-08T11:42:42.527216Z")</f>
        <v>2055-06-08T11:42:42.527216Z</v>
      </c>
      <c r="AI165" s="3">
        <f ca="1">IFERROR(__xludf.DUMMYFUNCTION("""COMPUTED_VALUE"""),4.52)</f>
        <v>4.5199999999999996</v>
      </c>
      <c r="AJ165" s="3">
        <f ca="1">IFERROR(__xludf.DUMMYFUNCTION("""COMPUTED_VALUE"""),183)</f>
        <v>183</v>
      </c>
      <c r="AK165" s="3">
        <f ca="1">IFERROR(__xludf.DUMMYFUNCTION("""COMPUTED_VALUE"""),522)</f>
        <v>522</v>
      </c>
      <c r="AL165" s="3"/>
    </row>
    <row r="166" spans="1:38" ht="13">
      <c r="A166" s="3">
        <f ca="1">IFERROR(__xludf.DUMMYFUNCTION("""COMPUTED_VALUE"""),820)</f>
        <v>820</v>
      </c>
      <c r="B166" s="3"/>
      <c r="C166" s="3">
        <f ca="1">IFERROR(__xludf.DUMMYFUNCTION("""COMPUTED_VALUE"""),4050)</f>
        <v>4050</v>
      </c>
      <c r="D166" s="3" t="str">
        <f ca="1">IFERROR(__xludf.DUMMYFUNCTION("""COMPUTED_VALUE"""),"Doorlanta")</f>
        <v>Doorlanta</v>
      </c>
      <c r="E166" s="3" t="str">
        <f ca="1">IFERROR(__xludf.DUMMYFUNCTION("""COMPUTED_VALUE"""),"Galaxy A")</f>
        <v>Galaxy A</v>
      </c>
      <c r="F166" s="3" t="str">
        <f ca="1">IFERROR(__xludf.DUMMYFUNCTION("""COMPUTED_VALUE"""),"Hanna")</f>
        <v>Hanna</v>
      </c>
      <c r="G166" s="3">
        <f ca="1">IFERROR(__xludf.DUMMYFUNCTION("""COMPUTED_VALUE"""),0)</f>
        <v>0</v>
      </c>
      <c r="H166" s="3" t="str">
        <f ca="1">IFERROR(__xludf.DUMMYFUNCTION("""COMPUTED_VALUE"""),"car")</f>
        <v>car</v>
      </c>
      <c r="I166" s="3" t="str">
        <f ca="1">IFERROR(__xludf.DUMMYFUNCTION("""COMPUTED_VALUE"""),"2055-06-07T02:26:47.267824Z")</f>
        <v>2055-06-07T02:26:47.267824Z</v>
      </c>
      <c r="J166" s="3" t="str">
        <f ca="1">IFERROR(__xludf.DUMMYFUNCTION("""COMPUTED_VALUE"""),"2055-06-07T03:28:05.451Z")</f>
        <v>2055-06-07T03:28:05.451Z</v>
      </c>
      <c r="K166" s="3" t="str">
        <f ca="1">IFERROR(__xludf.DUMMYFUNCTION("""COMPUTED_VALUE"""),"2055-06-07T03:11:11.451Z")</f>
        <v>2055-06-07T03:11:11.451Z</v>
      </c>
      <c r="L166" s="3">
        <f ca="1">IFERROR(__xludf.DUMMYFUNCTION("""COMPUTED_VALUE"""),1)</f>
        <v>1</v>
      </c>
      <c r="M166" s="3">
        <f ca="1">IFERROR(__xludf.DUMMYFUNCTION("""COMPUTED_VALUE"""),0)</f>
        <v>0</v>
      </c>
      <c r="N166" s="3" t="str">
        <f ca="1">IFERROR(__xludf.DUMMYFUNCTION("""COMPUTED_VALUE"""),"2055-06-07T03:03:51.859455Z")</f>
        <v>2055-06-07T03:03:51.859455Z</v>
      </c>
      <c r="O166" s="3" t="str">
        <f ca="1">IFERROR(__xludf.DUMMYFUNCTION("""COMPUTED_VALUE"""),"2055-06-07T03:13:21.900223Z")</f>
        <v>2055-06-07T03:13:21.900223Z</v>
      </c>
      <c r="P166" s="3" t="str">
        <f ca="1">IFERROR(__xludf.DUMMYFUNCTION("""COMPUTED_VALUE"""),"2055-06-07T02:27:07.294282Z")</f>
        <v>2055-06-07T02:27:07.294282Z</v>
      </c>
      <c r="Q166" s="3">
        <f ca="1">IFERROR(__xludf.DUMMYFUNCTION("""COMPUTED_VALUE"""),0)</f>
        <v>0</v>
      </c>
      <c r="R166" s="3" t="str">
        <f ca="1">IFERROR(__xludf.DUMMYFUNCTION("""COMPUTED_VALUE"""),"2055-06-07T02:27:27.755622Z")</f>
        <v>2055-06-07T02:27:27.755622Z</v>
      </c>
      <c r="S166" s="3" t="str">
        <f ca="1">IFERROR(__xludf.DUMMYFUNCTION("""COMPUTED_VALUE"""),"2055-06-07T02:39:07.846755Z")</f>
        <v>2055-06-07T02:39:07.846755Z</v>
      </c>
      <c r="T166" s="3"/>
      <c r="U166" s="4">
        <f ca="1">IFERROR(__xludf.DUMMYFUNCTION("""COMPUTED_VALUE"""),56771)</f>
        <v>56771</v>
      </c>
      <c r="V166" s="3">
        <f ca="1">IFERROR(__xludf.DUMMYFUNCTION("""COMPUTED_VALUE"""),4.4)</f>
        <v>4.4000000000000004</v>
      </c>
      <c r="W166" s="3">
        <f ca="1">IFERROR(__xludf.DUMMYFUNCTION("""COMPUTED_VALUE"""),4500)</f>
        <v>4500</v>
      </c>
      <c r="X166" s="3">
        <f ca="1">IFERROR(__xludf.DUMMYFUNCTION("""COMPUTED_VALUE"""),2754)</f>
        <v>2754</v>
      </c>
      <c r="Y166" s="3">
        <f ca="1">IFERROR(__xludf.DUMMYFUNCTION("""COMPUTED_VALUE"""),700)</f>
        <v>700</v>
      </c>
      <c r="Z166" s="3">
        <f ca="1">IFERROR(__xludf.DUMMYFUNCTION("""COMPUTED_VALUE"""),1484)</f>
        <v>1484</v>
      </c>
      <c r="AA166" s="3">
        <f ca="1">IFERROR(__xludf.DUMMYFUNCTION("""COMPUTED_VALUE"""),570)</f>
        <v>570</v>
      </c>
      <c r="AB166" s="3">
        <f ca="1">IFERROR(__xludf.DUMMYFUNCTION("""COMPUTED_VALUE"""),0)</f>
        <v>0</v>
      </c>
      <c r="AC166" s="3">
        <f ca="1">IFERROR(__xludf.DUMMYFUNCTION("""COMPUTED_VALUE"""),17)</f>
        <v>17</v>
      </c>
      <c r="AD166" s="3" t="str">
        <f ca="1">IFERROR(__xludf.DUMMYFUNCTION("""COMPUTED_VALUE"""),"early")</f>
        <v>early</v>
      </c>
      <c r="AE166" s="3" t="str">
        <f ca="1">IFERROR(__xludf.DUMMYFUNCTION("""COMPUTED_VALUE"""),"2055-06-06T23:03:51.859455Z")</f>
        <v>2055-06-06T23:03:51.859455Z</v>
      </c>
      <c r="AF166" s="3" t="str">
        <f ca="1">IFERROR(__xludf.DUMMYFUNCTION("""COMPUTED_VALUE"""),"2055-06-06T23:13:21.900223Z")</f>
        <v>2055-06-06T23:13:21.900223Z</v>
      </c>
      <c r="AG166" s="3" t="str">
        <f ca="1">IFERROR(__xludf.DUMMYFUNCTION("""COMPUTED_VALUE"""),"2055-06-06T22:27:07.294282Z")</f>
        <v>2055-06-06T22:27:07.294282Z</v>
      </c>
      <c r="AH166" s="3" t="str">
        <f ca="1">IFERROR(__xludf.DUMMYFUNCTION("""COMPUTED_VALUE"""),"2055-06-06T22:39:07.846755Z")</f>
        <v>2055-06-06T22:39:07.846755Z</v>
      </c>
      <c r="AI166" s="3">
        <f ca="1">IFERROR(__xludf.DUMMYFUNCTION("""COMPUTED_VALUE"""),4.79)</f>
        <v>4.79</v>
      </c>
      <c r="AJ166" s="3">
        <f ca="1">IFERROR(__xludf.DUMMYFUNCTION("""COMPUTED_VALUE"""),1007)</f>
        <v>1007</v>
      </c>
      <c r="AK166" s="3">
        <f ca="1">IFERROR(__xludf.DUMMYFUNCTION("""COMPUTED_VALUE"""),2899)</f>
        <v>2899</v>
      </c>
      <c r="AL166" s="3">
        <f ca="1">IFERROR(__xludf.DUMMYFUNCTION("""COMPUTED_VALUE"""),1301)</f>
        <v>1301</v>
      </c>
    </row>
    <row r="167" spans="1:38" ht="13">
      <c r="A167" s="3">
        <f ca="1">IFERROR(__xludf.DUMMYFUNCTION("""COMPUTED_VALUE"""),484)</f>
        <v>484</v>
      </c>
      <c r="B167" s="3">
        <f ca="1">IFERROR(__xludf.DUMMYFUNCTION("""COMPUTED_VALUE"""),5)</f>
        <v>5</v>
      </c>
      <c r="C167" s="3">
        <f ca="1">IFERROR(__xludf.DUMMYFUNCTION("""COMPUTED_VALUE"""),4050)</f>
        <v>4050</v>
      </c>
      <c r="D167" s="3" t="str">
        <f ca="1">IFERROR(__xludf.DUMMYFUNCTION("""COMPUTED_VALUE"""),"Doorlanta")</f>
        <v>Doorlanta</v>
      </c>
      <c r="E167" s="3" t="str">
        <f ca="1">IFERROR(__xludf.DUMMYFUNCTION("""COMPUTED_VALUE"""),"Galaxy A")</f>
        <v>Galaxy A</v>
      </c>
      <c r="F167" s="3" t="str">
        <f ca="1">IFERROR(__xludf.DUMMYFUNCTION("""COMPUTED_VALUE"""),"Josh")</f>
        <v>Josh</v>
      </c>
      <c r="G167" s="3">
        <f ca="1">IFERROR(__xludf.DUMMYFUNCTION("""COMPUTED_VALUE"""),0)</f>
        <v>0</v>
      </c>
      <c r="H167" s="3" t="str">
        <f ca="1">IFERROR(__xludf.DUMMYFUNCTION("""COMPUTED_VALUE"""),"car")</f>
        <v>car</v>
      </c>
      <c r="I167" s="3" t="str">
        <f ca="1">IFERROR(__xludf.DUMMYFUNCTION("""COMPUTED_VALUE"""),"2055-06-04T23:14:19.545968Z")</f>
        <v>2055-06-04T23:14:19.545968Z</v>
      </c>
      <c r="J167" s="3" t="str">
        <f ca="1">IFERROR(__xludf.DUMMYFUNCTION("""COMPUTED_VALUE"""),"2055-06-05T00:21:34.615Z")</f>
        <v>2055-06-05T00:21:34.615Z</v>
      </c>
      <c r="K167" s="3" t="str">
        <f ca="1">IFERROR(__xludf.DUMMYFUNCTION("""COMPUTED_VALUE"""),"2055-06-04T23:58:16.615Z")</f>
        <v>2055-06-04T23:58:16.615Z</v>
      </c>
      <c r="L167" s="3">
        <f ca="1">IFERROR(__xludf.DUMMYFUNCTION("""COMPUTED_VALUE"""),1)</f>
        <v>1</v>
      </c>
      <c r="M167" s="3">
        <f ca="1">IFERROR(__xludf.DUMMYFUNCTION("""COMPUTED_VALUE"""),0)</f>
        <v>0</v>
      </c>
      <c r="N167" s="3" t="str">
        <f ca="1">IFERROR(__xludf.DUMMYFUNCTION("""COMPUTED_VALUE"""),"2055-06-04T23:53:24.362371Z")</f>
        <v>2055-06-04T23:53:24.362371Z</v>
      </c>
      <c r="O167" s="3" t="str">
        <f ca="1">IFERROR(__xludf.DUMMYFUNCTION("""COMPUTED_VALUE"""),"2055-06-05T00:05:34.353727Z")</f>
        <v>2055-06-05T00:05:34.353727Z</v>
      </c>
      <c r="P167" s="3" t="str">
        <f ca="1">IFERROR(__xludf.DUMMYFUNCTION("""COMPUTED_VALUE"""),"2055-06-04T23:35:07.380196Z")</f>
        <v>2055-06-04T23:35:07.380196Z</v>
      </c>
      <c r="Q167" s="3">
        <f ca="1">IFERROR(__xludf.DUMMYFUNCTION("""COMPUTED_VALUE"""),0)</f>
        <v>0</v>
      </c>
      <c r="R167" s="3" t="str">
        <f ca="1">IFERROR(__xludf.DUMMYFUNCTION("""COMPUTED_VALUE"""),"2055-06-04T23:35:37.422605Z")</f>
        <v>2055-06-04T23:35:37.422605Z</v>
      </c>
      <c r="S167" s="3" t="str">
        <f ca="1">IFERROR(__xludf.DUMMYFUNCTION("""COMPUTED_VALUE"""),"2055-06-04T23:49:41.996776Z")</f>
        <v>2055-06-04T23:49:41.996776Z</v>
      </c>
      <c r="T167" s="3"/>
      <c r="U167" s="4">
        <f ca="1">IFERROR(__xludf.DUMMYFUNCTION("""COMPUTED_VALUE"""),56769)</f>
        <v>56769</v>
      </c>
      <c r="V167" s="3">
        <f ca="1">IFERROR(__xludf.DUMMYFUNCTION("""COMPUTED_VALUE"""),4.7)</f>
        <v>4.7</v>
      </c>
      <c r="W167" s="3">
        <f ca="1">IFERROR(__xludf.DUMMYFUNCTION("""COMPUTED_VALUE"""),4500)</f>
        <v>4500</v>
      </c>
      <c r="X167" s="3">
        <f ca="1">IFERROR(__xludf.DUMMYFUNCTION("""COMPUTED_VALUE"""),1797)</f>
        <v>1797</v>
      </c>
      <c r="Y167" s="3">
        <f ca="1">IFERROR(__xludf.DUMMYFUNCTION("""COMPUTED_VALUE"""),844)</f>
        <v>844</v>
      </c>
      <c r="Z167" s="3">
        <f ca="1">IFERROR(__xludf.DUMMYFUNCTION("""COMPUTED_VALUE"""),223)</f>
        <v>223</v>
      </c>
      <c r="AA167" s="3">
        <f ca="1">IFERROR(__xludf.DUMMYFUNCTION("""COMPUTED_VALUE"""),730)</f>
        <v>730</v>
      </c>
      <c r="AB167" s="3">
        <f ca="1">IFERROR(__xludf.DUMMYFUNCTION("""COMPUTED_VALUE"""),0)</f>
        <v>0</v>
      </c>
      <c r="AC167" s="3">
        <f ca="1">IFERROR(__xludf.DUMMYFUNCTION("""COMPUTED_VALUE"""),2)</f>
        <v>2</v>
      </c>
      <c r="AD167" s="3" t="str">
        <f ca="1">IFERROR(__xludf.DUMMYFUNCTION("""COMPUTED_VALUE"""),"late")</f>
        <v>late</v>
      </c>
      <c r="AE167" s="3" t="str">
        <f ca="1">IFERROR(__xludf.DUMMYFUNCTION("""COMPUTED_VALUE"""),"2055-06-04T19:53:24.362371Z")</f>
        <v>2055-06-04T19:53:24.362371Z</v>
      </c>
      <c r="AF167" s="3" t="str">
        <f ca="1">IFERROR(__xludf.DUMMYFUNCTION("""COMPUTED_VALUE"""),"2055-06-04T20:05:34.353727Z")</f>
        <v>2055-06-04T20:05:34.353727Z</v>
      </c>
      <c r="AG167" s="3" t="str">
        <f ca="1">IFERROR(__xludf.DUMMYFUNCTION("""COMPUTED_VALUE"""),"2055-06-04T19:35:07.380196Z")</f>
        <v>2055-06-04T19:35:07.380196Z</v>
      </c>
      <c r="AH167" s="3" t="str">
        <f ca="1">IFERROR(__xludf.DUMMYFUNCTION("""COMPUTED_VALUE"""),"2055-06-04T19:49:41.996776Z")</f>
        <v>2055-06-04T19:49:41.996776Z</v>
      </c>
      <c r="AI167" s="3">
        <f ca="1">IFERROR(__xludf.DUMMYFUNCTION("""COMPUTED_VALUE"""),4.77)</f>
        <v>4.7699999999999996</v>
      </c>
      <c r="AJ167" s="3">
        <f ca="1">IFERROR(__xludf.DUMMYFUNCTION("""COMPUTED_VALUE"""),426)</f>
        <v>426</v>
      </c>
      <c r="AK167" s="3">
        <f ca="1">IFERROR(__xludf.DUMMYFUNCTION("""COMPUTED_VALUE"""),1226)</f>
        <v>1226</v>
      </c>
      <c r="AL167" s="3">
        <f ca="1">IFERROR(__xludf.DUMMYFUNCTION("""COMPUTED_VALUE"""),85)</f>
        <v>85</v>
      </c>
    </row>
    <row r="168" spans="1:38" ht="13">
      <c r="A168" s="3">
        <f ca="1">IFERROR(__xludf.DUMMYFUNCTION("""COMPUTED_VALUE"""),270)</f>
        <v>270</v>
      </c>
      <c r="B168" s="3">
        <f ca="1">IFERROR(__xludf.DUMMYFUNCTION("""COMPUTED_VALUE"""),5)</f>
        <v>5</v>
      </c>
      <c r="C168" s="3">
        <f ca="1">IFERROR(__xludf.DUMMYFUNCTION("""COMPUTED_VALUE"""),4001)</f>
        <v>4001</v>
      </c>
      <c r="D168" s="3" t="str">
        <f ca="1">IFERROR(__xludf.DUMMYFUNCTION("""COMPUTED_VALUE"""),"Dashattan")</f>
        <v>Dashattan</v>
      </c>
      <c r="E168" s="3" t="str">
        <f ca="1">IFERROR(__xludf.DUMMYFUNCTION("""COMPUTED_VALUE"""),"Galaxy A")</f>
        <v>Galaxy A</v>
      </c>
      <c r="F168" s="3" t="str">
        <f ca="1">IFERROR(__xludf.DUMMYFUNCTION("""COMPUTED_VALUE"""),"Brian")</f>
        <v>Brian</v>
      </c>
      <c r="G168" s="3">
        <f ca="1">IFERROR(__xludf.DUMMYFUNCTION("""COMPUTED_VALUE"""),0)</f>
        <v>0</v>
      </c>
      <c r="H168" s="3" t="str">
        <f ca="1">IFERROR(__xludf.DUMMYFUNCTION("""COMPUTED_VALUE"""),"bicycle")</f>
        <v>bicycle</v>
      </c>
      <c r="I168" s="3" t="str">
        <f ca="1">IFERROR(__xludf.DUMMYFUNCTION("""COMPUTED_VALUE"""),"2055-06-03T15:42:25.841232Z")</f>
        <v>2055-06-03T15:42:25.841232Z</v>
      </c>
      <c r="J168" s="3" t="str">
        <f ca="1">IFERROR(__xludf.DUMMYFUNCTION("""COMPUTED_VALUE"""),"2055-06-03T16:52:26.904Z")</f>
        <v>2055-06-03T16:52:26.904Z</v>
      </c>
      <c r="K168" s="3" t="str">
        <f ca="1">IFERROR(__xludf.DUMMYFUNCTION("""COMPUTED_VALUE"""),"2055-06-03T16:33:33.904Z")</f>
        <v>2055-06-03T16:33:33.904Z</v>
      </c>
      <c r="L168" s="3">
        <f ca="1">IFERROR(__xludf.DUMMYFUNCTION("""COMPUTED_VALUE"""),1)</f>
        <v>1</v>
      </c>
      <c r="M168" s="3">
        <f ca="1">IFERROR(__xludf.DUMMYFUNCTION("""COMPUTED_VALUE"""),0)</f>
        <v>0</v>
      </c>
      <c r="N168" s="3" t="str">
        <f ca="1">IFERROR(__xludf.DUMMYFUNCTION("""COMPUTED_VALUE"""),"2055-06-03T15:48:43.340588Z")</f>
        <v>2055-06-03T15:48:43.340588Z</v>
      </c>
      <c r="O168" s="3" t="str">
        <f ca="1">IFERROR(__xludf.DUMMYFUNCTION("""COMPUTED_VALUE"""),"2055-06-03T16:17:52.626691Z")</f>
        <v>2055-06-03T16:17:52.626691Z</v>
      </c>
      <c r="P168" s="3" t="str">
        <f ca="1">IFERROR(__xludf.DUMMYFUNCTION("""COMPUTED_VALUE"""),"2055-06-03T15:43:34.706469Z")</f>
        <v>2055-06-03T15:43:34.706469Z</v>
      </c>
      <c r="Q168" s="3">
        <f ca="1">IFERROR(__xludf.DUMMYFUNCTION("""COMPUTED_VALUE"""),0)</f>
        <v>0</v>
      </c>
      <c r="R168" s="3" t="str">
        <f ca="1">IFERROR(__xludf.DUMMYFUNCTION("""COMPUTED_VALUE"""),"2055-06-03T15:43:53.226426Z")</f>
        <v>2055-06-03T15:43:53.226426Z</v>
      </c>
      <c r="S168" s="3"/>
      <c r="T168" s="3"/>
      <c r="U168" s="4">
        <f ca="1">IFERROR(__xludf.DUMMYFUNCTION("""COMPUTED_VALUE"""),56768)</f>
        <v>56768</v>
      </c>
      <c r="V168" s="3">
        <f ca="1">IFERROR(__xludf.DUMMYFUNCTION("""COMPUTED_VALUE"""),4.4)</f>
        <v>4.4000000000000004</v>
      </c>
      <c r="W168" s="3">
        <f ca="1">IFERROR(__xludf.DUMMYFUNCTION("""COMPUTED_VALUE"""),4500)</f>
        <v>4500</v>
      </c>
      <c r="X168" s="3">
        <f ca="1">IFERROR(__xludf.DUMMYFUNCTION("""COMPUTED_VALUE"""),2039)</f>
        <v>2039</v>
      </c>
      <c r="Y168" s="3"/>
      <c r="Z168" s="3"/>
      <c r="AA168" s="3">
        <f ca="1">IFERROR(__xludf.DUMMYFUNCTION("""COMPUTED_VALUE"""),1749)</f>
        <v>1749</v>
      </c>
      <c r="AB168" s="3">
        <f ca="1">IFERROR(__xludf.DUMMYFUNCTION("""COMPUTED_VALUE"""),0)</f>
        <v>0</v>
      </c>
      <c r="AC168" s="3">
        <f ca="1">IFERROR(__xludf.DUMMYFUNCTION("""COMPUTED_VALUE"""),9)</f>
        <v>9</v>
      </c>
      <c r="AD168" s="3"/>
      <c r="AE168" s="3" t="str">
        <f ca="1">IFERROR(__xludf.DUMMYFUNCTION("""COMPUTED_VALUE"""),"2055-06-03T11:48:43.340588Z")</f>
        <v>2055-06-03T11:48:43.340588Z</v>
      </c>
      <c r="AF168" s="3" t="str">
        <f ca="1">IFERROR(__xludf.DUMMYFUNCTION("""COMPUTED_VALUE"""),"2055-06-03T12:17:52.626691Z")</f>
        <v>2055-06-03T12:17:52.626691Z</v>
      </c>
      <c r="AG168" s="3" t="str">
        <f ca="1">IFERROR(__xludf.DUMMYFUNCTION("""COMPUTED_VALUE"""),"2055-06-03T11:43:34.706469Z")</f>
        <v>2055-06-03T11:43:34.706469Z</v>
      </c>
      <c r="AH168" s="3"/>
      <c r="AI168" s="3">
        <f ca="1">IFERROR(__xludf.DUMMYFUNCTION("""COMPUTED_VALUE"""),4.81)</f>
        <v>4.8099999999999996</v>
      </c>
      <c r="AJ168" s="3">
        <f ca="1">IFERROR(__xludf.DUMMYFUNCTION("""COMPUTED_VALUE"""),747)</f>
        <v>747</v>
      </c>
      <c r="AK168" s="3">
        <f ca="1">IFERROR(__xludf.DUMMYFUNCTION("""COMPUTED_VALUE"""),2902)</f>
        <v>2902</v>
      </c>
      <c r="AL168" s="3">
        <f ca="1">IFERROR(__xludf.DUMMYFUNCTION("""COMPUTED_VALUE"""),484)</f>
        <v>484</v>
      </c>
    </row>
    <row r="169" spans="1:38" ht="13">
      <c r="A169" s="3">
        <f ca="1">IFERROR(__xludf.DUMMYFUNCTION("""COMPUTED_VALUE"""),202)</f>
        <v>202</v>
      </c>
      <c r="B169" s="3"/>
      <c r="C169" s="3">
        <f ca="1">IFERROR(__xludf.DUMMYFUNCTION("""COMPUTED_VALUE"""),4001)</f>
        <v>4001</v>
      </c>
      <c r="D169" s="3" t="str">
        <f ca="1">IFERROR(__xludf.DUMMYFUNCTION("""COMPUTED_VALUE"""),"Dashattan")</f>
        <v>Dashattan</v>
      </c>
      <c r="E169" s="3" t="str">
        <f ca="1">IFERROR(__xludf.DUMMYFUNCTION("""COMPUTED_VALUE"""),"Galaxy A")</f>
        <v>Galaxy A</v>
      </c>
      <c r="F169" s="3" t="str">
        <f ca="1">IFERROR(__xludf.DUMMYFUNCTION("""COMPUTED_VALUE"""),"Samm")</f>
        <v>Samm</v>
      </c>
      <c r="G169" s="3">
        <f ca="1">IFERROR(__xludf.DUMMYFUNCTION("""COMPUTED_VALUE"""),0)</f>
        <v>0</v>
      </c>
      <c r="H169" s="3" t="str">
        <f ca="1">IFERROR(__xludf.DUMMYFUNCTION("""COMPUTED_VALUE"""),"car")</f>
        <v>car</v>
      </c>
      <c r="I169" s="3" t="str">
        <f ca="1">IFERROR(__xludf.DUMMYFUNCTION("""COMPUTED_VALUE"""),"2055-06-02T23:10:05.78682Z")</f>
        <v>2055-06-02T23:10:05.78682Z</v>
      </c>
      <c r="J169" s="3" t="str">
        <f ca="1">IFERROR(__xludf.DUMMYFUNCTION("""COMPUTED_VALUE"""),"2055-06-02T23:58:07.86Z")</f>
        <v>2055-06-02T23:58:07.86Z</v>
      </c>
      <c r="K169" s="3" t="str">
        <f ca="1">IFERROR(__xludf.DUMMYFUNCTION("""COMPUTED_VALUE"""),"2055-06-02T23:48:28.86Z")</f>
        <v>2055-06-02T23:48:28.86Z</v>
      </c>
      <c r="L169" s="3">
        <f ca="1">IFERROR(__xludf.DUMMYFUNCTION("""COMPUTED_VALUE"""),1)</f>
        <v>1</v>
      </c>
      <c r="M169" s="3">
        <f ca="1">IFERROR(__xludf.DUMMYFUNCTION("""COMPUTED_VALUE"""),0)</f>
        <v>0</v>
      </c>
      <c r="N169" s="3" t="str">
        <f ca="1">IFERROR(__xludf.DUMMYFUNCTION("""COMPUTED_VALUE"""),"2055-06-02T23:50:49.366139Z")</f>
        <v>2055-06-02T23:50:49.366139Z</v>
      </c>
      <c r="O169" s="3" t="str">
        <f ca="1">IFERROR(__xludf.DUMMYFUNCTION("""COMPUTED_VALUE"""),"2055-06-03T00:06:14.133836Z")</f>
        <v>2055-06-03T00:06:14.133836Z</v>
      </c>
      <c r="P169" s="3" t="str">
        <f ca="1">IFERROR(__xludf.DUMMYFUNCTION("""COMPUTED_VALUE"""),"2055-06-02T23:15:54.700665Z")</f>
        <v>2055-06-02T23:15:54.700665Z</v>
      </c>
      <c r="Q169" s="3">
        <f ca="1">IFERROR(__xludf.DUMMYFUNCTION("""COMPUTED_VALUE"""),0)</f>
        <v>0</v>
      </c>
      <c r="R169" s="3" t="str">
        <f ca="1">IFERROR(__xludf.DUMMYFUNCTION("""COMPUTED_VALUE"""),"2055-06-02T23:16:02.089989Z")</f>
        <v>2055-06-02T23:16:02.089989Z</v>
      </c>
      <c r="S169" s="3" t="str">
        <f ca="1">IFERROR(__xludf.DUMMYFUNCTION("""COMPUTED_VALUE"""),"2055-06-02T23:34:23.244792Z")</f>
        <v>2055-06-02T23:34:23.244792Z</v>
      </c>
      <c r="T169" s="3"/>
      <c r="U169" s="4">
        <f ca="1">IFERROR(__xludf.DUMMYFUNCTION("""COMPUTED_VALUE"""),56767)</f>
        <v>56767</v>
      </c>
      <c r="V169" s="3">
        <f ca="1">IFERROR(__xludf.DUMMYFUNCTION("""COMPUTED_VALUE"""),2.6)</f>
        <v>2.6</v>
      </c>
      <c r="W169" s="3">
        <f ca="1">IFERROR(__xludf.DUMMYFUNCTION("""COMPUTED_VALUE"""),4500)</f>
        <v>4500</v>
      </c>
      <c r="X169" s="3">
        <f ca="1">IFERROR(__xludf.DUMMYFUNCTION("""COMPUTED_VALUE"""),3012)</f>
        <v>3012</v>
      </c>
      <c r="Y169" s="3">
        <f ca="1">IFERROR(__xludf.DUMMYFUNCTION("""COMPUTED_VALUE"""),1101)</f>
        <v>1101</v>
      </c>
      <c r="Z169" s="3">
        <f ca="1">IFERROR(__xludf.DUMMYFUNCTION("""COMPUTED_VALUE"""),986)</f>
        <v>986</v>
      </c>
      <c r="AA169" s="3">
        <f ca="1">IFERROR(__xludf.DUMMYFUNCTION("""COMPUTED_VALUE"""),925)</f>
        <v>925</v>
      </c>
      <c r="AB169" s="3">
        <f ca="1">IFERROR(__xludf.DUMMYFUNCTION("""COMPUTED_VALUE"""),0)</f>
        <v>0</v>
      </c>
      <c r="AC169" s="3">
        <f ca="1">IFERROR(__xludf.DUMMYFUNCTION("""COMPUTED_VALUE"""),3)</f>
        <v>3</v>
      </c>
      <c r="AD169" s="3" t="str">
        <f ca="1">IFERROR(__xludf.DUMMYFUNCTION("""COMPUTED_VALUE"""),"late")</f>
        <v>late</v>
      </c>
      <c r="AE169" s="3" t="str">
        <f ca="1">IFERROR(__xludf.DUMMYFUNCTION("""COMPUTED_VALUE"""),"2055-06-02T19:50:49.366139Z")</f>
        <v>2055-06-02T19:50:49.366139Z</v>
      </c>
      <c r="AF169" s="3" t="str">
        <f ca="1">IFERROR(__xludf.DUMMYFUNCTION("""COMPUTED_VALUE"""),"2055-06-02T20:06:14.133836Z")</f>
        <v>2055-06-02T20:06:14.133836Z</v>
      </c>
      <c r="AG169" s="3" t="str">
        <f ca="1">IFERROR(__xludf.DUMMYFUNCTION("""COMPUTED_VALUE"""),"2055-06-02T19:15:54.700665Z")</f>
        <v>2055-06-02T19:15:54.700665Z</v>
      </c>
      <c r="AH169" s="3" t="str">
        <f ca="1">IFERROR(__xludf.DUMMYFUNCTION("""COMPUTED_VALUE"""),"2055-06-02T19:34:23.244792Z")</f>
        <v>2055-06-02T19:34:23.244792Z</v>
      </c>
      <c r="AI169" s="3">
        <f ca="1">IFERROR(__xludf.DUMMYFUNCTION("""COMPUTED_VALUE"""),4.03)</f>
        <v>4.03</v>
      </c>
      <c r="AJ169" s="3">
        <f ca="1">IFERROR(__xludf.DUMMYFUNCTION("""COMPUTED_VALUE"""),505)</f>
        <v>505</v>
      </c>
      <c r="AK169" s="3">
        <f ca="1">IFERROR(__xludf.DUMMYFUNCTION("""COMPUTED_VALUE"""),1721)</f>
        <v>1721</v>
      </c>
      <c r="AL169" s="3">
        <f ca="1">IFERROR(__xludf.DUMMYFUNCTION("""COMPUTED_VALUE"""),457)</f>
        <v>457</v>
      </c>
    </row>
    <row r="170" spans="1:38" ht="13">
      <c r="A170" s="3">
        <f ca="1">IFERROR(__xludf.DUMMYFUNCTION("""COMPUTED_VALUE"""),476)</f>
        <v>476</v>
      </c>
      <c r="B170" s="3"/>
      <c r="C170" s="3">
        <f ca="1">IFERROR(__xludf.DUMMYFUNCTION("""COMPUTED_VALUE"""),4001)</f>
        <v>4001</v>
      </c>
      <c r="D170" s="3" t="str">
        <f ca="1">IFERROR(__xludf.DUMMYFUNCTION("""COMPUTED_VALUE"""),"Dashattan")</f>
        <v>Dashattan</v>
      </c>
      <c r="E170" s="3" t="str">
        <f ca="1">IFERROR(__xludf.DUMMYFUNCTION("""COMPUTED_VALUE"""),"Galaxy A")</f>
        <v>Galaxy A</v>
      </c>
      <c r="F170" s="3" t="str">
        <f ca="1">IFERROR(__xludf.DUMMYFUNCTION("""COMPUTED_VALUE"""),"Zak")</f>
        <v>Zak</v>
      </c>
      <c r="G170" s="3">
        <f ca="1">IFERROR(__xludf.DUMMYFUNCTION("""COMPUTED_VALUE"""),0)</f>
        <v>0</v>
      </c>
      <c r="H170" s="3" t="str">
        <f ca="1">IFERROR(__xludf.DUMMYFUNCTION("""COMPUTED_VALUE"""),"bicycle")</f>
        <v>bicycle</v>
      </c>
      <c r="I170" s="3" t="str">
        <f ca="1">IFERROR(__xludf.DUMMYFUNCTION("""COMPUTED_VALUE"""),"2055-06-04T22:49:26.371159Z")</f>
        <v>2055-06-04T22:49:26.371159Z</v>
      </c>
      <c r="J170" s="3" t="str">
        <f ca="1">IFERROR(__xludf.DUMMYFUNCTION("""COMPUTED_VALUE"""),"2055-06-04T23:33:36.442Z")</f>
        <v>2055-06-04T23:33:36.442Z</v>
      </c>
      <c r="K170" s="3" t="str">
        <f ca="1">IFERROR(__xludf.DUMMYFUNCTION("""COMPUTED_VALUE"""),"2055-06-04T23:19:43.442Z")</f>
        <v>2055-06-04T23:19:43.442Z</v>
      </c>
      <c r="L170" s="3">
        <f ca="1">IFERROR(__xludf.DUMMYFUNCTION("""COMPUTED_VALUE"""),1)</f>
        <v>1</v>
      </c>
      <c r="M170" s="3">
        <f ca="1">IFERROR(__xludf.DUMMYFUNCTION("""COMPUTED_VALUE"""),0)</f>
        <v>0</v>
      </c>
      <c r="N170" s="3" t="str">
        <f ca="1">IFERROR(__xludf.DUMMYFUNCTION("""COMPUTED_VALUE"""),"2055-06-04T23:19:58.395826Z")</f>
        <v>2055-06-04T23:19:58.395826Z</v>
      </c>
      <c r="O170" s="3" t="str">
        <f ca="1">IFERROR(__xludf.DUMMYFUNCTION("""COMPUTED_VALUE"""),"2055-06-04T23:26:58.947702Z")</f>
        <v>2055-06-04T23:26:58.947702Z</v>
      </c>
      <c r="P170" s="3" t="str">
        <f ca="1">IFERROR(__xludf.DUMMYFUNCTION("""COMPUTED_VALUE"""),"2055-06-04T22:55:34.719091Z")</f>
        <v>2055-06-04T22:55:34.719091Z</v>
      </c>
      <c r="Q170" s="3">
        <f ca="1">IFERROR(__xludf.DUMMYFUNCTION("""COMPUTED_VALUE"""),0)</f>
        <v>0</v>
      </c>
      <c r="R170" s="3" t="str">
        <f ca="1">IFERROR(__xludf.DUMMYFUNCTION("""COMPUTED_VALUE"""),"2055-06-04T22:56:33.785415Z")</f>
        <v>2055-06-04T22:56:33.785415Z</v>
      </c>
      <c r="S170" s="3" t="str">
        <f ca="1">IFERROR(__xludf.DUMMYFUNCTION("""COMPUTED_VALUE"""),"2055-06-04T23:08:33.445459Z")</f>
        <v>2055-06-04T23:08:33.445459Z</v>
      </c>
      <c r="T170" s="3"/>
      <c r="U170" s="4">
        <f ca="1">IFERROR(__xludf.DUMMYFUNCTION("""COMPUTED_VALUE"""),56769)</f>
        <v>56769</v>
      </c>
      <c r="V170" s="3">
        <f ca="1">IFERROR(__xludf.DUMMYFUNCTION("""COMPUTED_VALUE"""),3.522353683)</f>
        <v>3.522353683</v>
      </c>
      <c r="W170" s="3">
        <f ca="1">IFERROR(__xludf.DUMMYFUNCTION("""COMPUTED_VALUE"""),4500)</f>
        <v>4500</v>
      </c>
      <c r="X170" s="3">
        <f ca="1">IFERROR(__xludf.DUMMYFUNCTION("""COMPUTED_VALUE"""),1825)</f>
        <v>1825</v>
      </c>
      <c r="Y170" s="3">
        <f ca="1">IFERROR(__xludf.DUMMYFUNCTION("""COMPUTED_VALUE"""),720)</f>
        <v>720</v>
      </c>
      <c r="Z170" s="3">
        <f ca="1">IFERROR(__xludf.DUMMYFUNCTION("""COMPUTED_VALUE"""),685)</f>
        <v>685</v>
      </c>
      <c r="AA170" s="3">
        <f ca="1">IFERROR(__xludf.DUMMYFUNCTION("""COMPUTED_VALUE"""),420)</f>
        <v>420</v>
      </c>
      <c r="AB170" s="3">
        <f ca="1">IFERROR(__xludf.DUMMYFUNCTION("""COMPUTED_VALUE"""),0)</f>
        <v>0</v>
      </c>
      <c r="AC170" s="3">
        <f ca="1">IFERROR(__xludf.DUMMYFUNCTION("""COMPUTED_VALUE"""),4)</f>
        <v>4</v>
      </c>
      <c r="AD170" s="3" t="str">
        <f ca="1">IFERROR(__xludf.DUMMYFUNCTION("""COMPUTED_VALUE"""),"late")</f>
        <v>late</v>
      </c>
      <c r="AE170" s="3" t="str">
        <f ca="1">IFERROR(__xludf.DUMMYFUNCTION("""COMPUTED_VALUE"""),"2055-06-04T19:19:58.395826Z")</f>
        <v>2055-06-04T19:19:58.395826Z</v>
      </c>
      <c r="AF170" s="3" t="str">
        <f ca="1">IFERROR(__xludf.DUMMYFUNCTION("""COMPUTED_VALUE"""),"2055-06-04T19:26:58.947702Z")</f>
        <v>2055-06-04T19:26:58.947702Z</v>
      </c>
      <c r="AG170" s="3" t="str">
        <f ca="1">IFERROR(__xludf.DUMMYFUNCTION("""COMPUTED_VALUE"""),"2055-06-04T18:55:34.719091Z")</f>
        <v>2055-06-04T18:55:34.719091Z</v>
      </c>
      <c r="AH170" s="3" t="str">
        <f ca="1">IFERROR(__xludf.DUMMYFUNCTION("""COMPUTED_VALUE"""),"2055-06-04T19:08:33.445459Z")</f>
        <v>2055-06-04T19:08:33.445459Z</v>
      </c>
      <c r="AI170" s="3">
        <f ca="1">IFERROR(__xludf.DUMMYFUNCTION("""COMPUTED_VALUE"""),4.63)</f>
        <v>4.63</v>
      </c>
      <c r="AJ170" s="3">
        <f ca="1">IFERROR(__xludf.DUMMYFUNCTION("""COMPUTED_VALUE"""),265)</f>
        <v>265</v>
      </c>
      <c r="AK170" s="3">
        <f ca="1">IFERROR(__xludf.DUMMYFUNCTION("""COMPUTED_VALUE"""),905)</f>
        <v>905</v>
      </c>
      <c r="AL170" s="3">
        <f ca="1">IFERROR(__xludf.DUMMYFUNCTION("""COMPUTED_VALUE"""),77)</f>
        <v>77</v>
      </c>
    </row>
    <row r="171" spans="1:38" ht="13">
      <c r="A171" s="3">
        <f ca="1">IFERROR(__xludf.DUMMYFUNCTION("""COMPUTED_VALUE"""),385)</f>
        <v>385</v>
      </c>
      <c r="B171" s="3">
        <f ca="1">IFERROR(__xludf.DUMMYFUNCTION("""COMPUTED_VALUE"""),4)</f>
        <v>4</v>
      </c>
      <c r="C171" s="3">
        <f ca="1">IFERROR(__xludf.DUMMYFUNCTION("""COMPUTED_VALUE"""),4050)</f>
        <v>4050</v>
      </c>
      <c r="D171" s="3" t="str">
        <f ca="1">IFERROR(__xludf.DUMMYFUNCTION("""COMPUTED_VALUE"""),"Doorlanta")</f>
        <v>Doorlanta</v>
      </c>
      <c r="E171" s="3" t="str">
        <f ca="1">IFERROR(__xludf.DUMMYFUNCTION("""COMPUTED_VALUE"""),"Galaxy A")</f>
        <v>Galaxy A</v>
      </c>
      <c r="F171" s="3" t="str">
        <f ca="1">IFERROR(__xludf.DUMMYFUNCTION("""COMPUTED_VALUE"""),"Lauran")</f>
        <v>Lauran</v>
      </c>
      <c r="G171" s="3">
        <f ca="1">IFERROR(__xludf.DUMMYFUNCTION("""COMPUTED_VALUE"""),0)</f>
        <v>0</v>
      </c>
      <c r="H171" s="3" t="str">
        <f ca="1">IFERROR(__xludf.DUMMYFUNCTION("""COMPUTED_VALUE"""),"car")</f>
        <v>car</v>
      </c>
      <c r="I171" s="3" t="str">
        <f ca="1">IFERROR(__xludf.DUMMYFUNCTION("""COMPUTED_VALUE"""),"2055-06-04T00:52:34.844936Z")</f>
        <v>2055-06-04T00:52:34.844936Z</v>
      </c>
      <c r="J171" s="3" t="str">
        <f ca="1">IFERROR(__xludf.DUMMYFUNCTION("""COMPUTED_VALUE"""),"2055-06-04T01:47:34.904Z")</f>
        <v>2055-06-04T01:47:34.904Z</v>
      </c>
      <c r="K171" s="3" t="str">
        <f ca="1">IFERROR(__xludf.DUMMYFUNCTION("""COMPUTED_VALUE"""),"2055-06-04T01:21:53.904Z")</f>
        <v>2055-06-04T01:21:53.904Z</v>
      </c>
      <c r="L171" s="3">
        <f ca="1">IFERROR(__xludf.DUMMYFUNCTION("""COMPUTED_VALUE"""),1)</f>
        <v>1</v>
      </c>
      <c r="M171" s="3">
        <f ca="1">IFERROR(__xludf.DUMMYFUNCTION("""COMPUTED_VALUE"""),0)</f>
        <v>0</v>
      </c>
      <c r="N171" s="3" t="str">
        <f ca="1">IFERROR(__xludf.DUMMYFUNCTION("""COMPUTED_VALUE"""),"2055-06-04T01:33:13.852019Z")</f>
        <v>2055-06-04T01:33:13.852019Z</v>
      </c>
      <c r="O171" s="3" t="str">
        <f ca="1">IFERROR(__xludf.DUMMYFUNCTION("""COMPUTED_VALUE"""),"2055-06-04T01:43:03.742373Z")</f>
        <v>2055-06-04T01:43:03.742373Z</v>
      </c>
      <c r="P171" s="3" t="str">
        <f ca="1">IFERROR(__xludf.DUMMYFUNCTION("""COMPUTED_VALUE"""),"2055-06-04T00:52:47.315584Z")</f>
        <v>2055-06-04T00:52:47.315584Z</v>
      </c>
      <c r="Q171" s="3">
        <f ca="1">IFERROR(__xludf.DUMMYFUNCTION("""COMPUTED_VALUE"""),0)</f>
        <v>0</v>
      </c>
      <c r="R171" s="3" t="str">
        <f ca="1">IFERROR(__xludf.DUMMYFUNCTION("""COMPUTED_VALUE"""),"2055-06-04T00:52:53.199712Z")</f>
        <v>2055-06-04T00:52:53.199712Z</v>
      </c>
      <c r="S171" s="3" t="str">
        <f ca="1">IFERROR(__xludf.DUMMYFUNCTION("""COMPUTED_VALUE"""),"2055-06-04T01:01:10.247288Z")</f>
        <v>2055-06-04T01:01:10.247288Z</v>
      </c>
      <c r="T171" s="3"/>
      <c r="U171" s="4">
        <f ca="1">IFERROR(__xludf.DUMMYFUNCTION("""COMPUTED_VALUE"""),56768)</f>
        <v>56768</v>
      </c>
      <c r="V171" s="3">
        <f ca="1">IFERROR(__xludf.DUMMYFUNCTION("""COMPUTED_VALUE"""),4.5)</f>
        <v>4.5</v>
      </c>
      <c r="W171" s="3">
        <f ca="1">IFERROR(__xludf.DUMMYFUNCTION("""COMPUTED_VALUE"""),4500)</f>
        <v>4500</v>
      </c>
      <c r="X171" s="3">
        <f ca="1">IFERROR(__xludf.DUMMYFUNCTION("""COMPUTED_VALUE"""),3010)</f>
        <v>3010</v>
      </c>
      <c r="Y171" s="3">
        <f ca="1">IFERROR(__xludf.DUMMYFUNCTION("""COMPUTED_VALUE"""),497)</f>
        <v>497</v>
      </c>
      <c r="Z171" s="3">
        <f ca="1">IFERROR(__xludf.DUMMYFUNCTION("""COMPUTED_VALUE"""),1923)</f>
        <v>1923</v>
      </c>
      <c r="AA171" s="3">
        <f ca="1">IFERROR(__xludf.DUMMYFUNCTION("""COMPUTED_VALUE"""),590)</f>
        <v>590</v>
      </c>
      <c r="AB171" s="3">
        <f ca="1">IFERROR(__xludf.DUMMYFUNCTION("""COMPUTED_VALUE"""),0)</f>
        <v>0</v>
      </c>
      <c r="AC171" s="3">
        <f ca="1">IFERROR(__xludf.DUMMYFUNCTION("""COMPUTED_VALUE"""),6)</f>
        <v>6</v>
      </c>
      <c r="AD171" s="3"/>
      <c r="AE171" s="3" t="str">
        <f ca="1">IFERROR(__xludf.DUMMYFUNCTION("""COMPUTED_VALUE"""),"2055-06-03T21:33:13.852019Z")</f>
        <v>2055-06-03T21:33:13.852019Z</v>
      </c>
      <c r="AF171" s="3" t="str">
        <f ca="1">IFERROR(__xludf.DUMMYFUNCTION("""COMPUTED_VALUE"""),"2055-06-03T21:43:03.742373Z")</f>
        <v>2055-06-03T21:43:03.742373Z</v>
      </c>
      <c r="AG171" s="3" t="str">
        <f ca="1">IFERROR(__xludf.DUMMYFUNCTION("""COMPUTED_VALUE"""),"2055-06-03T20:52:47.315584Z")</f>
        <v>2055-06-03T20:52:47.315584Z</v>
      </c>
      <c r="AH171" s="3" t="str">
        <f ca="1">IFERROR(__xludf.DUMMYFUNCTION("""COMPUTED_VALUE"""),"2055-06-03T21:01:10.247288Z")</f>
        <v>2055-06-03T21:01:10.247288Z</v>
      </c>
      <c r="AI171" s="3">
        <f ca="1">IFERROR(__xludf.DUMMYFUNCTION("""COMPUTED_VALUE"""),4.42)</f>
        <v>4.42</v>
      </c>
      <c r="AJ171" s="3">
        <f ca="1">IFERROR(__xludf.DUMMYFUNCTION("""COMPUTED_VALUE"""),1396)</f>
        <v>1396</v>
      </c>
      <c r="AK171" s="3">
        <f ca="1">IFERROR(__xludf.DUMMYFUNCTION("""COMPUTED_VALUE"""),4836)</f>
        <v>4836</v>
      </c>
      <c r="AL171" s="3">
        <f ca="1">IFERROR(__xludf.DUMMYFUNCTION("""COMPUTED_VALUE"""),1278)</f>
        <v>1278</v>
      </c>
    </row>
    <row r="172" spans="1:38" ht="13">
      <c r="A172" s="3">
        <f ca="1">IFERROR(__xludf.DUMMYFUNCTION("""COMPUTED_VALUE"""),1526)</f>
        <v>1526</v>
      </c>
      <c r="B172" s="3"/>
      <c r="C172" s="3">
        <f ca="1">IFERROR(__xludf.DUMMYFUNCTION("""COMPUTED_VALUE"""),4001)</f>
        <v>4001</v>
      </c>
      <c r="D172" s="3" t="str">
        <f ca="1">IFERROR(__xludf.DUMMYFUNCTION("""COMPUTED_VALUE"""),"Dashattan")</f>
        <v>Dashattan</v>
      </c>
      <c r="E172" s="3" t="str">
        <f ca="1">IFERROR(__xludf.DUMMYFUNCTION("""COMPUTED_VALUE"""),"Galaxy A")</f>
        <v>Galaxy A</v>
      </c>
      <c r="F172" s="3" t="str">
        <f ca="1">IFERROR(__xludf.DUMMYFUNCTION("""COMPUTED_VALUE"""),"J")</f>
        <v>J</v>
      </c>
      <c r="G172" s="3">
        <f ca="1">IFERROR(__xludf.DUMMYFUNCTION("""COMPUTED_VALUE"""),0)</f>
        <v>0</v>
      </c>
      <c r="H172" s="3" t="str">
        <f ca="1">IFERROR(__xludf.DUMMYFUNCTION("""COMPUTED_VALUE"""),"bicycle")</f>
        <v>bicycle</v>
      </c>
      <c r="I172" s="3" t="str">
        <f ca="1">IFERROR(__xludf.DUMMYFUNCTION("""COMPUTED_VALUE"""),"2055-06-13T00:37:14.658297Z")</f>
        <v>2055-06-13T00:37:14.658297Z</v>
      </c>
      <c r="J172" s="3" t="str">
        <f ca="1">IFERROR(__xludf.DUMMYFUNCTION("""COMPUTED_VALUE"""),"2055-06-13T01:35:08.72Z")</f>
        <v>2055-06-13T01:35:08.72Z</v>
      </c>
      <c r="K172" s="3" t="str">
        <f ca="1">IFERROR(__xludf.DUMMYFUNCTION("""COMPUTED_VALUE"""),"2055-06-13T01:13:14.72Z")</f>
        <v>2055-06-13T01:13:14.72Z</v>
      </c>
      <c r="L172" s="3">
        <f ca="1">IFERROR(__xludf.DUMMYFUNCTION("""COMPUTED_VALUE"""),1)</f>
        <v>1</v>
      </c>
      <c r="M172" s="3">
        <f ca="1">IFERROR(__xludf.DUMMYFUNCTION("""COMPUTED_VALUE"""),0)</f>
        <v>0</v>
      </c>
      <c r="N172" s="3" t="str">
        <f ca="1">IFERROR(__xludf.DUMMYFUNCTION("""COMPUTED_VALUE"""),"2055-06-13T01:10:54.005371Z")</f>
        <v>2055-06-13T01:10:54.005371Z</v>
      </c>
      <c r="O172" s="3" t="str">
        <f ca="1">IFERROR(__xludf.DUMMYFUNCTION("""COMPUTED_VALUE"""),"2055-06-13T01:31:27.614368Z")</f>
        <v>2055-06-13T01:31:27.614368Z</v>
      </c>
      <c r="P172" s="3" t="str">
        <f ca="1">IFERROR(__xludf.DUMMYFUNCTION("""COMPUTED_VALUE"""),"2055-06-13T00:37:55.73804Z")</f>
        <v>2055-06-13T00:37:55.73804Z</v>
      </c>
      <c r="Q172" s="3">
        <f ca="1">IFERROR(__xludf.DUMMYFUNCTION("""COMPUTED_VALUE"""),0)</f>
        <v>0</v>
      </c>
      <c r="R172" s="3" t="str">
        <f ca="1">IFERROR(__xludf.DUMMYFUNCTION("""COMPUTED_VALUE"""),"2055-06-13T00:38:46.703083Z")</f>
        <v>2055-06-13T00:38:46.703083Z</v>
      </c>
      <c r="S172" s="3" t="str">
        <f ca="1">IFERROR(__xludf.DUMMYFUNCTION("""COMPUTED_VALUE"""),"2055-06-13T01:14:26.41266Z")</f>
        <v>2055-06-13T01:14:26.41266Z</v>
      </c>
      <c r="T172" s="3"/>
      <c r="U172" s="4">
        <f ca="1">IFERROR(__xludf.DUMMYFUNCTION("""COMPUTED_VALUE"""),56777)</f>
        <v>56777</v>
      </c>
      <c r="V172" s="3">
        <f ca="1">IFERROR(__xludf.DUMMYFUNCTION("""COMPUTED_VALUE"""),4.5)</f>
        <v>4.5</v>
      </c>
      <c r="W172" s="3">
        <f ca="1">IFERROR(__xludf.DUMMYFUNCTION("""COMPUTED_VALUE"""),4500)</f>
        <v>4500</v>
      </c>
      <c r="X172" s="3">
        <f ca="1">IFERROR(__xludf.DUMMYFUNCTION("""COMPUTED_VALUE"""),3161)</f>
        <v>3161</v>
      </c>
      <c r="Y172" s="3">
        <f ca="1">IFERROR(__xludf.DUMMYFUNCTION("""COMPUTED_VALUE"""),2140)</f>
        <v>2140</v>
      </c>
      <c r="Z172" s="3"/>
      <c r="AA172" s="3">
        <f ca="1">IFERROR(__xludf.DUMMYFUNCTION("""COMPUTED_VALUE"""),1233)</f>
        <v>1233</v>
      </c>
      <c r="AB172" s="3">
        <f ca="1">IFERROR(__xludf.DUMMYFUNCTION("""COMPUTED_VALUE"""),1)</f>
        <v>1</v>
      </c>
      <c r="AC172" s="3">
        <f ca="1">IFERROR(__xludf.DUMMYFUNCTION("""COMPUTED_VALUE"""),4)</f>
        <v>4</v>
      </c>
      <c r="AD172" s="3"/>
      <c r="AE172" s="3" t="str">
        <f ca="1">IFERROR(__xludf.DUMMYFUNCTION("""COMPUTED_VALUE"""),"2055-06-12T21:10:54.005371Z")</f>
        <v>2055-06-12T21:10:54.005371Z</v>
      </c>
      <c r="AF172" s="3" t="str">
        <f ca="1">IFERROR(__xludf.DUMMYFUNCTION("""COMPUTED_VALUE"""),"2055-06-12T21:31:27.614368Z")</f>
        <v>2055-06-12T21:31:27.614368Z</v>
      </c>
      <c r="AG172" s="3" t="str">
        <f ca="1">IFERROR(__xludf.DUMMYFUNCTION("""COMPUTED_VALUE"""),"2055-06-12T20:37:55.73804Z")</f>
        <v>2055-06-12T20:37:55.73804Z</v>
      </c>
      <c r="AH172" s="3" t="str">
        <f ca="1">IFERROR(__xludf.DUMMYFUNCTION("""COMPUTED_VALUE"""),"2055-06-12T21:14:26.41266Z")</f>
        <v>2055-06-12T21:14:26.41266Z</v>
      </c>
      <c r="AI172" s="3">
        <f ca="1">IFERROR(__xludf.DUMMYFUNCTION("""COMPUTED_VALUE"""),4.6)</f>
        <v>4.5999999999999996</v>
      </c>
      <c r="AJ172" s="3">
        <f ca="1">IFERROR(__xludf.DUMMYFUNCTION("""COMPUTED_VALUE"""),292)</f>
        <v>292</v>
      </c>
      <c r="AK172" s="3">
        <f ca="1">IFERROR(__xludf.DUMMYFUNCTION("""COMPUTED_VALUE"""),1027)</f>
        <v>1027</v>
      </c>
      <c r="AL172" s="3">
        <f ca="1">IFERROR(__xludf.DUMMYFUNCTION("""COMPUTED_VALUE"""),26)</f>
        <v>26</v>
      </c>
    </row>
    <row r="173" spans="1:38" ht="13">
      <c r="A173" s="3">
        <f ca="1">IFERROR(__xludf.DUMMYFUNCTION("""COMPUTED_VALUE"""),15)</f>
        <v>15</v>
      </c>
      <c r="B173" s="3"/>
      <c r="C173" s="3">
        <f ca="1">IFERROR(__xludf.DUMMYFUNCTION("""COMPUTED_VALUE"""),4050)</f>
        <v>4050</v>
      </c>
      <c r="D173" s="3" t="str">
        <f ca="1">IFERROR(__xludf.DUMMYFUNCTION("""COMPUTED_VALUE"""),"Doorlanta")</f>
        <v>Doorlanta</v>
      </c>
      <c r="E173" s="3" t="str">
        <f ca="1">IFERROR(__xludf.DUMMYFUNCTION("""COMPUTED_VALUE"""),"Galaxy A")</f>
        <v>Galaxy A</v>
      </c>
      <c r="F173" s="3" t="str">
        <f ca="1">IFERROR(__xludf.DUMMYFUNCTION("""COMPUTED_VALUE"""),"Ash")</f>
        <v>Ash</v>
      </c>
      <c r="G173" s="3">
        <f ca="1">IFERROR(__xludf.DUMMYFUNCTION("""COMPUTED_VALUE"""),0)</f>
        <v>0</v>
      </c>
      <c r="H173" s="3" t="str">
        <f ca="1">IFERROR(__xludf.DUMMYFUNCTION("""COMPUTED_VALUE"""),"car")</f>
        <v>car</v>
      </c>
      <c r="I173" s="3" t="str">
        <f ca="1">IFERROR(__xludf.DUMMYFUNCTION("""COMPUTED_VALUE"""),"2055-06-01T16:12:35.906441Z")</f>
        <v>2055-06-01T16:12:35.906441Z</v>
      </c>
      <c r="J173" s="3" t="str">
        <f ca="1">IFERROR(__xludf.DUMMYFUNCTION("""COMPUTED_VALUE"""),"2055-06-01T17:05:37.965Z")</f>
        <v>2055-06-01T17:05:37.965Z</v>
      </c>
      <c r="K173" s="3" t="str">
        <f ca="1">IFERROR(__xludf.DUMMYFUNCTION("""COMPUTED_VALUE"""),"2055-06-01T16:55:30.965Z")</f>
        <v>2055-06-01T16:55:30.965Z</v>
      </c>
      <c r="L173" s="3">
        <f ca="1">IFERROR(__xludf.DUMMYFUNCTION("""COMPUTED_VALUE"""),1)</f>
        <v>1</v>
      </c>
      <c r="M173" s="3">
        <f ca="1">IFERROR(__xludf.DUMMYFUNCTION("""COMPUTED_VALUE"""),0)</f>
        <v>0</v>
      </c>
      <c r="N173" s="3" t="str">
        <f ca="1">IFERROR(__xludf.DUMMYFUNCTION("""COMPUTED_VALUE"""),"2055-06-01T16:50:59.012344Z")</f>
        <v>2055-06-01T16:50:59.012344Z</v>
      </c>
      <c r="O173" s="3" t="str">
        <f ca="1">IFERROR(__xludf.DUMMYFUNCTION("""COMPUTED_VALUE"""),"2055-06-01T17:06:56.585098Z")</f>
        <v>2055-06-01T17:06:56.585098Z</v>
      </c>
      <c r="P173" s="3" t="str">
        <f ca="1">IFERROR(__xludf.DUMMYFUNCTION("""COMPUTED_VALUE"""),"2055-06-01T16:33:53.578051Z")</f>
        <v>2055-06-01T16:33:53.578051Z</v>
      </c>
      <c r="Q173" s="3">
        <f ca="1">IFERROR(__xludf.DUMMYFUNCTION("""COMPUTED_VALUE"""),1)</f>
        <v>1</v>
      </c>
      <c r="R173" s="3" t="str">
        <f ca="1">IFERROR(__xludf.DUMMYFUNCTION("""COMPUTED_VALUE"""),"2055-06-01T16:33:57.910366Z")</f>
        <v>2055-06-01T16:33:57.910366Z</v>
      </c>
      <c r="S173" s="3" t="str">
        <f ca="1">IFERROR(__xludf.DUMMYFUNCTION("""COMPUTED_VALUE"""),"2055-06-01T16:46:22.546077Z")</f>
        <v>2055-06-01T16:46:22.546077Z</v>
      </c>
      <c r="T173" s="3"/>
      <c r="U173" s="4">
        <f ca="1">IFERROR(__xludf.DUMMYFUNCTION("""COMPUTED_VALUE"""),56766)</f>
        <v>56766</v>
      </c>
      <c r="V173" s="3">
        <f ca="1">IFERROR(__xludf.DUMMYFUNCTION("""COMPUTED_VALUE"""),2.848299368)</f>
        <v>2.8482993680000002</v>
      </c>
      <c r="W173" s="3">
        <f ca="1">IFERROR(__xludf.DUMMYFUNCTION("""COMPUTED_VALUE"""),4000)</f>
        <v>4000</v>
      </c>
      <c r="X173" s="3">
        <f ca="1">IFERROR(__xludf.DUMMYFUNCTION("""COMPUTED_VALUE"""),1979)</f>
        <v>1979</v>
      </c>
      <c r="Y173" s="3">
        <f ca="1">IFERROR(__xludf.DUMMYFUNCTION("""COMPUTED_VALUE"""),745)</f>
        <v>745</v>
      </c>
      <c r="Z173" s="3">
        <f ca="1">IFERROR(__xludf.DUMMYFUNCTION("""COMPUTED_VALUE"""),277)</f>
        <v>277</v>
      </c>
      <c r="AA173" s="3">
        <f ca="1">IFERROR(__xludf.DUMMYFUNCTION("""COMPUTED_VALUE"""),957)</f>
        <v>957</v>
      </c>
      <c r="AB173" s="3">
        <f ca="1">IFERROR(__xludf.DUMMYFUNCTION("""COMPUTED_VALUE"""),0)</f>
        <v>0</v>
      </c>
      <c r="AC173" s="3">
        <f ca="1">IFERROR(__xludf.DUMMYFUNCTION("""COMPUTED_VALUE"""),4)</f>
        <v>4</v>
      </c>
      <c r="AD173" s="3" t="str">
        <f ca="1">IFERROR(__xludf.DUMMYFUNCTION("""COMPUTED_VALUE"""),"late")</f>
        <v>late</v>
      </c>
      <c r="AE173" s="3" t="str">
        <f ca="1">IFERROR(__xludf.DUMMYFUNCTION("""COMPUTED_VALUE"""),"2055-06-01T12:50:59.012344Z")</f>
        <v>2055-06-01T12:50:59.012344Z</v>
      </c>
      <c r="AF173" s="3" t="str">
        <f ca="1">IFERROR(__xludf.DUMMYFUNCTION("""COMPUTED_VALUE"""),"2055-06-01T13:06:56.585098Z")</f>
        <v>2055-06-01T13:06:56.585098Z</v>
      </c>
      <c r="AG173" s="3" t="str">
        <f ca="1">IFERROR(__xludf.DUMMYFUNCTION("""COMPUTED_VALUE"""),"2055-06-01T12:33:53.578051Z")</f>
        <v>2055-06-01T12:33:53.578051Z</v>
      </c>
      <c r="AH173" s="3" t="str">
        <f ca="1">IFERROR(__xludf.DUMMYFUNCTION("""COMPUTED_VALUE"""),"2055-06-01T12:46:22.546077Z")</f>
        <v>2055-06-01T12:46:22.546077Z</v>
      </c>
      <c r="AI173" s="3">
        <f ca="1">IFERROR(__xludf.DUMMYFUNCTION("""COMPUTED_VALUE"""),4.66)</f>
        <v>4.66</v>
      </c>
      <c r="AJ173" s="3">
        <f ca="1">IFERROR(__xludf.DUMMYFUNCTION("""COMPUTED_VALUE"""),161)</f>
        <v>161</v>
      </c>
      <c r="AK173" s="3">
        <f ca="1">IFERROR(__xludf.DUMMYFUNCTION("""COMPUTED_VALUE"""),398)</f>
        <v>398</v>
      </c>
      <c r="AL173" s="3"/>
    </row>
    <row r="174" spans="1:38" ht="13">
      <c r="A174" s="3">
        <f ca="1">IFERROR(__xludf.DUMMYFUNCTION("""COMPUTED_VALUE"""),585)</f>
        <v>585</v>
      </c>
      <c r="B174" s="3">
        <f ca="1">IFERROR(__xludf.DUMMYFUNCTION("""COMPUTED_VALUE"""),5)</f>
        <v>5</v>
      </c>
      <c r="C174" s="3">
        <f ca="1">IFERROR(__xludf.DUMMYFUNCTION("""COMPUTED_VALUE"""),4050)</f>
        <v>4050</v>
      </c>
      <c r="D174" s="3" t="str">
        <f ca="1">IFERROR(__xludf.DUMMYFUNCTION("""COMPUTED_VALUE"""),"Doorlanta")</f>
        <v>Doorlanta</v>
      </c>
      <c r="E174" s="3" t="str">
        <f ca="1">IFERROR(__xludf.DUMMYFUNCTION("""COMPUTED_VALUE"""),"Galaxy A")</f>
        <v>Galaxy A</v>
      </c>
      <c r="F174" s="3" t="str">
        <f ca="1">IFERROR(__xludf.DUMMYFUNCTION("""COMPUTED_VALUE"""),"Ajay")</f>
        <v>Ajay</v>
      </c>
      <c r="G174" s="3">
        <f ca="1">IFERROR(__xludf.DUMMYFUNCTION("""COMPUTED_VALUE"""),0)</f>
        <v>0</v>
      </c>
      <c r="H174" s="3" t="str">
        <f ca="1">IFERROR(__xludf.DUMMYFUNCTION("""COMPUTED_VALUE"""),"car")</f>
        <v>car</v>
      </c>
      <c r="I174" s="3" t="str">
        <f ca="1">IFERROR(__xludf.DUMMYFUNCTION("""COMPUTED_VALUE"""),"2055-06-05T18:19:05.992221Z")</f>
        <v>2055-06-05T18:19:05.992221Z</v>
      </c>
      <c r="J174" s="3" t="str">
        <f ca="1">IFERROR(__xludf.DUMMYFUNCTION("""COMPUTED_VALUE"""),"2055-06-05T19:21:56.059Z")</f>
        <v>2055-06-05T19:21:56.059Z</v>
      </c>
      <c r="K174" s="3" t="str">
        <f ca="1">IFERROR(__xludf.DUMMYFUNCTION("""COMPUTED_VALUE"""),"2055-06-05T18:58:38.059Z")</f>
        <v>2055-06-05T18:58:38.059Z</v>
      </c>
      <c r="L174" s="3">
        <f ca="1">IFERROR(__xludf.DUMMYFUNCTION("""COMPUTED_VALUE"""),1)</f>
        <v>1</v>
      </c>
      <c r="M174" s="3">
        <f ca="1">IFERROR(__xludf.DUMMYFUNCTION("""COMPUTED_VALUE"""),0)</f>
        <v>0</v>
      </c>
      <c r="N174" s="3" t="str">
        <f ca="1">IFERROR(__xludf.DUMMYFUNCTION("""COMPUTED_VALUE"""),"2055-06-05T18:50:03.034938Z")</f>
        <v>2055-06-05T18:50:03.034938Z</v>
      </c>
      <c r="O174" s="3" t="str">
        <f ca="1">IFERROR(__xludf.DUMMYFUNCTION("""COMPUTED_VALUE"""),"2055-06-05T19:02:12.073089Z")</f>
        <v>2055-06-05T19:02:12.073089Z</v>
      </c>
      <c r="P174" s="3" t="str">
        <f ca="1">IFERROR(__xludf.DUMMYFUNCTION("""COMPUTED_VALUE"""),"2055-06-05T18:19:27.356477Z")</f>
        <v>2055-06-05T18:19:27.356477Z</v>
      </c>
      <c r="Q174" s="3">
        <f ca="1">IFERROR(__xludf.DUMMYFUNCTION("""COMPUTED_VALUE"""),0)</f>
        <v>0</v>
      </c>
      <c r="R174" s="3" t="str">
        <f ca="1">IFERROR(__xludf.DUMMYFUNCTION("""COMPUTED_VALUE"""),"2055-06-05T18:19:33.366347Z")</f>
        <v>2055-06-05T18:19:33.366347Z</v>
      </c>
      <c r="S174" s="3" t="str">
        <f ca="1">IFERROR(__xludf.DUMMYFUNCTION("""COMPUTED_VALUE"""),"2055-06-05T18:44:10.845521Z")</f>
        <v>2055-06-05T18:44:10.845521Z</v>
      </c>
      <c r="T174" s="3"/>
      <c r="U174" s="4">
        <f ca="1">IFERROR(__xludf.DUMMYFUNCTION("""COMPUTED_VALUE"""),56770)</f>
        <v>56770</v>
      </c>
      <c r="V174" s="3">
        <f ca="1">IFERROR(__xludf.DUMMYFUNCTION("""COMPUTED_VALUE"""),4.4)</f>
        <v>4.4000000000000004</v>
      </c>
      <c r="W174" s="3">
        <f ca="1">IFERROR(__xludf.DUMMYFUNCTION("""COMPUTED_VALUE"""),4000)</f>
        <v>4000</v>
      </c>
      <c r="X174" s="3">
        <f ca="1">IFERROR(__xludf.DUMMYFUNCTION("""COMPUTED_VALUE"""),2559)</f>
        <v>2559</v>
      </c>
      <c r="Y174" s="3">
        <f ca="1">IFERROR(__xludf.DUMMYFUNCTION("""COMPUTED_VALUE"""),1477)</f>
        <v>1477</v>
      </c>
      <c r="Z174" s="3">
        <f ca="1">IFERROR(__xludf.DUMMYFUNCTION("""COMPUTED_VALUE"""),353)</f>
        <v>353</v>
      </c>
      <c r="AA174" s="3">
        <f ca="1">IFERROR(__xludf.DUMMYFUNCTION("""COMPUTED_VALUE"""),729)</f>
        <v>729</v>
      </c>
      <c r="AB174" s="3">
        <f ca="1">IFERROR(__xludf.DUMMYFUNCTION("""COMPUTED_VALUE"""),0)</f>
        <v>0</v>
      </c>
      <c r="AC174" s="3">
        <f ca="1">IFERROR(__xludf.DUMMYFUNCTION("""COMPUTED_VALUE"""),4)</f>
        <v>4</v>
      </c>
      <c r="AD174" s="3" t="str">
        <f ca="1">IFERROR(__xludf.DUMMYFUNCTION("""COMPUTED_VALUE"""),"late")</f>
        <v>late</v>
      </c>
      <c r="AE174" s="3" t="str">
        <f ca="1">IFERROR(__xludf.DUMMYFUNCTION("""COMPUTED_VALUE"""),"2055-06-05T14:50:03.034938Z")</f>
        <v>2055-06-05T14:50:03.034938Z</v>
      </c>
      <c r="AF174" s="3" t="str">
        <f ca="1">IFERROR(__xludf.DUMMYFUNCTION("""COMPUTED_VALUE"""),"2055-06-05T15:02:12.073089Z")</f>
        <v>2055-06-05T15:02:12.073089Z</v>
      </c>
      <c r="AG174" s="3" t="str">
        <f ca="1">IFERROR(__xludf.DUMMYFUNCTION("""COMPUTED_VALUE"""),"2055-06-05T14:19:27.356477Z")</f>
        <v>2055-06-05T14:19:27.356477Z</v>
      </c>
      <c r="AH174" s="3" t="str">
        <f ca="1">IFERROR(__xludf.DUMMYFUNCTION("""COMPUTED_VALUE"""),"2055-06-05T14:44:10.845521Z")</f>
        <v>2055-06-05T14:44:10.845521Z</v>
      </c>
      <c r="AI174" s="3">
        <f ca="1">IFERROR(__xludf.DUMMYFUNCTION("""COMPUTED_VALUE"""),4.57)</f>
        <v>4.57</v>
      </c>
      <c r="AJ174" s="3">
        <f ca="1">IFERROR(__xludf.DUMMYFUNCTION("""COMPUTED_VALUE"""),234)</f>
        <v>234</v>
      </c>
      <c r="AK174" s="3">
        <f ca="1">IFERROR(__xludf.DUMMYFUNCTION("""COMPUTED_VALUE"""),726)</f>
        <v>726</v>
      </c>
      <c r="AL174" s="3">
        <f ca="1">IFERROR(__xludf.DUMMYFUNCTION("""COMPUTED_VALUE"""),99)</f>
        <v>99</v>
      </c>
    </row>
    <row r="175" spans="1:38" ht="13">
      <c r="A175" s="3">
        <f ca="1">IFERROR(__xludf.DUMMYFUNCTION("""COMPUTED_VALUE"""),805)</f>
        <v>805</v>
      </c>
      <c r="B175" s="3"/>
      <c r="C175" s="3">
        <f ca="1">IFERROR(__xludf.DUMMYFUNCTION("""COMPUTED_VALUE"""),4050)</f>
        <v>4050</v>
      </c>
      <c r="D175" s="3" t="str">
        <f ca="1">IFERROR(__xludf.DUMMYFUNCTION("""COMPUTED_VALUE"""),"Doorlanta")</f>
        <v>Doorlanta</v>
      </c>
      <c r="E175" s="3" t="str">
        <f ca="1">IFERROR(__xludf.DUMMYFUNCTION("""COMPUTED_VALUE"""),"Galaxy A")</f>
        <v>Galaxy A</v>
      </c>
      <c r="F175" s="3" t="str">
        <f ca="1">IFERROR(__xludf.DUMMYFUNCTION("""COMPUTED_VALUE"""),"Jagar")</f>
        <v>Jagar</v>
      </c>
      <c r="G175" s="3">
        <f ca="1">IFERROR(__xludf.DUMMYFUNCTION("""COMPUTED_VALUE"""),0)</f>
        <v>0</v>
      </c>
      <c r="H175" s="3" t="str">
        <f ca="1">IFERROR(__xludf.DUMMYFUNCTION("""COMPUTED_VALUE"""),"car")</f>
        <v>car</v>
      </c>
      <c r="I175" s="3" t="str">
        <f ca="1">IFERROR(__xludf.DUMMYFUNCTION("""COMPUTED_VALUE"""),"2055-06-07T00:20:52.450599Z")</f>
        <v>2055-06-07T00:20:52.450599Z</v>
      </c>
      <c r="J175" s="3" t="str">
        <f ca="1">IFERROR(__xludf.DUMMYFUNCTION("""COMPUTED_VALUE"""),"2055-06-07T01:24:59.526Z")</f>
        <v>2055-06-07T01:24:59.526Z</v>
      </c>
      <c r="K175" s="3" t="str">
        <f ca="1">IFERROR(__xludf.DUMMYFUNCTION("""COMPUTED_VALUE"""),"2055-06-07T01:04:52.526Z")</f>
        <v>2055-06-07T01:04:52.526Z</v>
      </c>
      <c r="L175" s="3">
        <f ca="1">IFERROR(__xludf.DUMMYFUNCTION("""COMPUTED_VALUE"""),1)</f>
        <v>1</v>
      </c>
      <c r="M175" s="3">
        <f ca="1">IFERROR(__xludf.DUMMYFUNCTION("""COMPUTED_VALUE"""),0)</f>
        <v>0</v>
      </c>
      <c r="N175" s="3" t="str">
        <f ca="1">IFERROR(__xludf.DUMMYFUNCTION("""COMPUTED_VALUE"""),"2055-06-07T00:47:51.143833Z")</f>
        <v>2055-06-07T00:47:51.143833Z</v>
      </c>
      <c r="O175" s="3" t="str">
        <f ca="1">IFERROR(__xludf.DUMMYFUNCTION("""COMPUTED_VALUE"""),"2055-06-07T01:01:01.411642Z")</f>
        <v>2055-06-07T01:01:01.411642Z</v>
      </c>
      <c r="P175" s="3" t="str">
        <f ca="1">IFERROR(__xludf.DUMMYFUNCTION("""COMPUTED_VALUE"""),"2055-06-07T00:28:07.353532Z")</f>
        <v>2055-06-07T00:28:07.353532Z</v>
      </c>
      <c r="Q175" s="3">
        <f ca="1">IFERROR(__xludf.DUMMYFUNCTION("""COMPUTED_VALUE"""),0)</f>
        <v>0</v>
      </c>
      <c r="R175" s="3" t="str">
        <f ca="1">IFERROR(__xludf.DUMMYFUNCTION("""COMPUTED_VALUE"""),"2055-06-07T00:28:33.469026Z")</f>
        <v>2055-06-07T00:28:33.469026Z</v>
      </c>
      <c r="S175" s="3" t="str">
        <f ca="1">IFERROR(__xludf.DUMMYFUNCTION("""COMPUTED_VALUE"""),"2055-06-07T00:43:02.91569Z")</f>
        <v>2055-06-07T00:43:02.91569Z</v>
      </c>
      <c r="T175" s="3"/>
      <c r="U175" s="4">
        <f ca="1">IFERROR(__xludf.DUMMYFUNCTION("""COMPUTED_VALUE"""),56771)</f>
        <v>56771</v>
      </c>
      <c r="V175" s="3">
        <f ca="1">IFERROR(__xludf.DUMMYFUNCTION("""COMPUTED_VALUE"""),3.501498169)</f>
        <v>3.501498169</v>
      </c>
      <c r="W175" s="3">
        <f ca="1">IFERROR(__xludf.DUMMYFUNCTION("""COMPUTED_VALUE"""),4000)</f>
        <v>4000</v>
      </c>
      <c r="X175" s="3">
        <f ca="1">IFERROR(__xludf.DUMMYFUNCTION("""COMPUTED_VALUE"""),1948)</f>
        <v>1948</v>
      </c>
      <c r="Y175" s="3">
        <f ca="1">IFERROR(__xludf.DUMMYFUNCTION("""COMPUTED_VALUE"""),869)</f>
        <v>869</v>
      </c>
      <c r="Z175" s="3">
        <f ca="1">IFERROR(__xludf.DUMMYFUNCTION("""COMPUTED_VALUE"""),289)</f>
        <v>289</v>
      </c>
      <c r="AA175" s="3">
        <f ca="1">IFERROR(__xludf.DUMMYFUNCTION("""COMPUTED_VALUE"""),790)</f>
        <v>790</v>
      </c>
      <c r="AB175" s="3">
        <f ca="1">IFERROR(__xludf.DUMMYFUNCTION("""COMPUTED_VALUE"""),0)</f>
        <v>0</v>
      </c>
      <c r="AC175" s="3">
        <f ca="1">IFERROR(__xludf.DUMMYFUNCTION("""COMPUTED_VALUE"""),5)</f>
        <v>5</v>
      </c>
      <c r="AD175" s="3" t="str">
        <f ca="1">IFERROR(__xludf.DUMMYFUNCTION("""COMPUTED_VALUE"""),"late")</f>
        <v>late</v>
      </c>
      <c r="AE175" s="3" t="str">
        <f ca="1">IFERROR(__xludf.DUMMYFUNCTION("""COMPUTED_VALUE"""),"2055-06-06T20:47:51.143833Z")</f>
        <v>2055-06-06T20:47:51.143833Z</v>
      </c>
      <c r="AF175" s="3" t="str">
        <f ca="1">IFERROR(__xludf.DUMMYFUNCTION("""COMPUTED_VALUE"""),"2055-06-06T21:01:01.411642Z")</f>
        <v>2055-06-06T21:01:01.411642Z</v>
      </c>
      <c r="AG175" s="3" t="str">
        <f ca="1">IFERROR(__xludf.DUMMYFUNCTION("""COMPUTED_VALUE"""),"2055-06-06T20:28:07.353532Z")</f>
        <v>2055-06-06T20:28:07.353532Z</v>
      </c>
      <c r="AH175" s="3" t="str">
        <f ca="1">IFERROR(__xludf.DUMMYFUNCTION("""COMPUTED_VALUE"""),"2055-06-06T20:43:02.91569Z")</f>
        <v>2055-06-06T20:43:02.91569Z</v>
      </c>
      <c r="AI175" s="3">
        <f ca="1">IFERROR(__xludf.DUMMYFUNCTION("""COMPUTED_VALUE"""),4.89)</f>
        <v>4.8899999999999997</v>
      </c>
      <c r="AJ175" s="3">
        <f ca="1">IFERROR(__xludf.DUMMYFUNCTION("""COMPUTED_VALUE"""),1778)</f>
        <v>1778</v>
      </c>
      <c r="AK175" s="3">
        <f ca="1">IFERROR(__xludf.DUMMYFUNCTION("""COMPUTED_VALUE"""),5138)</f>
        <v>5138</v>
      </c>
      <c r="AL175" s="3">
        <f ca="1">IFERROR(__xludf.DUMMYFUNCTION("""COMPUTED_VALUE"""),314)</f>
        <v>314</v>
      </c>
    </row>
    <row r="176" spans="1:38" ht="13">
      <c r="A176" s="3">
        <f ca="1">IFERROR(__xludf.DUMMYFUNCTION("""COMPUTED_VALUE"""),48)</f>
        <v>48</v>
      </c>
      <c r="B176" s="3"/>
      <c r="C176" s="3">
        <f ca="1">IFERROR(__xludf.DUMMYFUNCTION("""COMPUTED_VALUE"""),4001)</f>
        <v>4001</v>
      </c>
      <c r="D176" s="3" t="str">
        <f ca="1">IFERROR(__xludf.DUMMYFUNCTION("""COMPUTED_VALUE"""),"Dashattan")</f>
        <v>Dashattan</v>
      </c>
      <c r="E176" s="3" t="str">
        <f ca="1">IFERROR(__xludf.DUMMYFUNCTION("""COMPUTED_VALUE"""),"Galaxy A")</f>
        <v>Galaxy A</v>
      </c>
      <c r="F176" s="3" t="str">
        <f ca="1">IFERROR(__xludf.DUMMYFUNCTION("""COMPUTED_VALUE"""),"KC")</f>
        <v>KC</v>
      </c>
      <c r="G176" s="3">
        <f ca="1">IFERROR(__xludf.DUMMYFUNCTION("""COMPUTED_VALUE"""),0)</f>
        <v>0</v>
      </c>
      <c r="H176" s="3" t="str">
        <f ca="1">IFERROR(__xludf.DUMMYFUNCTION("""COMPUTED_VALUE"""),"car")</f>
        <v>car</v>
      </c>
      <c r="I176" s="3" t="str">
        <f ca="1">IFERROR(__xludf.DUMMYFUNCTION("""COMPUTED_VALUE"""),"2055-06-01T21:46:42.024885Z")</f>
        <v>2055-06-01T21:46:42.024885Z</v>
      </c>
      <c r="J176" s="3" t="str">
        <f ca="1">IFERROR(__xludf.DUMMYFUNCTION("""COMPUTED_VALUE"""),"2055-06-01T22:43:00.097Z")</f>
        <v>2055-06-01T22:43:00.097Z</v>
      </c>
      <c r="K176" s="3" t="str">
        <f ca="1">IFERROR(__xludf.DUMMYFUNCTION("""COMPUTED_VALUE"""),"2055-06-01T22:22:53.097Z")</f>
        <v>2055-06-01T22:22:53.097Z</v>
      </c>
      <c r="L176" s="3">
        <f ca="1">IFERROR(__xludf.DUMMYFUNCTION("""COMPUTED_VALUE"""),1)</f>
        <v>1</v>
      </c>
      <c r="M176" s="3">
        <f ca="1">IFERROR(__xludf.DUMMYFUNCTION("""COMPUTED_VALUE"""),0)</f>
        <v>0</v>
      </c>
      <c r="N176" s="3" t="str">
        <f ca="1">IFERROR(__xludf.DUMMYFUNCTION("""COMPUTED_VALUE"""),"2055-06-01T21:56:16.470266Z")</f>
        <v>2055-06-01T21:56:16.470266Z</v>
      </c>
      <c r="O176" s="3" t="str">
        <f ca="1">IFERROR(__xludf.DUMMYFUNCTION("""COMPUTED_VALUE"""),"2055-06-01T22:05:45.849704Z")</f>
        <v>2055-06-01T22:05:45.849704Z</v>
      </c>
      <c r="P176" s="3" t="str">
        <f ca="1">IFERROR(__xludf.DUMMYFUNCTION("""COMPUTED_VALUE"""),"2055-06-01T21:46:54.520486Z")</f>
        <v>2055-06-01T21:46:54.520486Z</v>
      </c>
      <c r="Q176" s="3">
        <f ca="1">IFERROR(__xludf.DUMMYFUNCTION("""COMPUTED_VALUE"""),0)</f>
        <v>0</v>
      </c>
      <c r="R176" s="3" t="str">
        <f ca="1">IFERROR(__xludf.DUMMYFUNCTION("""COMPUTED_VALUE"""),"2055-06-01T21:47:02.926561Z")</f>
        <v>2055-06-01T21:47:02.926561Z</v>
      </c>
      <c r="S176" s="3"/>
      <c r="T176" s="3"/>
      <c r="U176" s="4">
        <f ca="1">IFERROR(__xludf.DUMMYFUNCTION("""COMPUTED_VALUE"""),56766)</f>
        <v>56766</v>
      </c>
      <c r="V176" s="3">
        <f ca="1">IFERROR(__xludf.DUMMYFUNCTION("""COMPUTED_VALUE"""),5)</f>
        <v>5</v>
      </c>
      <c r="W176" s="3">
        <f ca="1">IFERROR(__xludf.DUMMYFUNCTION("""COMPUTED_VALUE"""),4000)</f>
        <v>4000</v>
      </c>
      <c r="X176" s="3">
        <f ca="1">IFERROR(__xludf.DUMMYFUNCTION("""COMPUTED_VALUE"""),1123)</f>
        <v>1123</v>
      </c>
      <c r="Y176" s="3"/>
      <c r="Z176" s="3"/>
      <c r="AA176" s="3">
        <f ca="1">IFERROR(__xludf.DUMMYFUNCTION("""COMPUTED_VALUE"""),569)</f>
        <v>569</v>
      </c>
      <c r="AB176" s="3">
        <f ca="1">IFERROR(__xludf.DUMMYFUNCTION("""COMPUTED_VALUE"""),0)</f>
        <v>0</v>
      </c>
      <c r="AC176" s="3">
        <f ca="1">IFERROR(__xludf.DUMMYFUNCTION("""COMPUTED_VALUE"""),2)</f>
        <v>2</v>
      </c>
      <c r="AD176" s="3"/>
      <c r="AE176" s="3" t="str">
        <f ca="1">IFERROR(__xludf.DUMMYFUNCTION("""COMPUTED_VALUE"""),"2055-06-01T17:56:16.470266Z")</f>
        <v>2055-06-01T17:56:16.470266Z</v>
      </c>
      <c r="AF176" s="3" t="str">
        <f ca="1">IFERROR(__xludf.DUMMYFUNCTION("""COMPUTED_VALUE"""),"2055-06-01T18:05:45.849704Z")</f>
        <v>2055-06-01T18:05:45.849704Z</v>
      </c>
      <c r="AG176" s="3" t="str">
        <f ca="1">IFERROR(__xludf.DUMMYFUNCTION("""COMPUTED_VALUE"""),"2055-06-01T17:46:54.520486Z")</f>
        <v>2055-06-01T17:46:54.520486Z</v>
      </c>
      <c r="AH176" s="3"/>
      <c r="AI176" s="3">
        <f ca="1">IFERROR(__xludf.DUMMYFUNCTION("""COMPUTED_VALUE"""),4.54)</f>
        <v>4.54</v>
      </c>
      <c r="AJ176" s="3">
        <f ca="1">IFERROR(__xludf.DUMMYFUNCTION("""COMPUTED_VALUE"""),2229)</f>
        <v>2229</v>
      </c>
      <c r="AK176" s="3">
        <f ca="1">IFERROR(__xludf.DUMMYFUNCTION("""COMPUTED_VALUE"""),6580)</f>
        <v>6580</v>
      </c>
      <c r="AL176" s="3"/>
    </row>
    <row r="177" spans="1:38" ht="13">
      <c r="A177" s="3">
        <f ca="1">IFERROR(__xludf.DUMMYFUNCTION("""COMPUTED_VALUE"""),234)</f>
        <v>234</v>
      </c>
      <c r="B177" s="3"/>
      <c r="C177" s="3">
        <f ca="1">IFERROR(__xludf.DUMMYFUNCTION("""COMPUTED_VALUE"""),4001)</f>
        <v>4001</v>
      </c>
      <c r="D177" s="3" t="str">
        <f ca="1">IFERROR(__xludf.DUMMYFUNCTION("""COMPUTED_VALUE"""),"Dashattan")</f>
        <v>Dashattan</v>
      </c>
      <c r="E177" s="3" t="str">
        <f ca="1">IFERROR(__xludf.DUMMYFUNCTION("""COMPUTED_VALUE"""),"Galaxy A")</f>
        <v>Galaxy A</v>
      </c>
      <c r="F177" s="3" t="str">
        <f ca="1">IFERROR(__xludf.DUMMYFUNCTION("""COMPUTED_VALUE"""),"Ron")</f>
        <v>Ron</v>
      </c>
      <c r="G177" s="3">
        <f ca="1">IFERROR(__xludf.DUMMYFUNCTION("""COMPUTED_VALUE"""),0)</f>
        <v>0</v>
      </c>
      <c r="H177" s="3" t="str">
        <f ca="1">IFERROR(__xludf.DUMMYFUNCTION("""COMPUTED_VALUE"""),"bicycle")</f>
        <v>bicycle</v>
      </c>
      <c r="I177" s="3" t="str">
        <f ca="1">IFERROR(__xludf.DUMMYFUNCTION("""COMPUTED_VALUE"""),"2055-06-03T00:58:43.033678Z")</f>
        <v>2055-06-03T00:58:43.033678Z</v>
      </c>
      <c r="J177" s="3" t="str">
        <f ca="1">IFERROR(__xludf.DUMMYFUNCTION("""COMPUTED_VALUE"""),"2055-06-03T01:43:24.103Z")</f>
        <v>2055-06-03T01:43:24.103Z</v>
      </c>
      <c r="K177" s="3" t="str">
        <f ca="1">IFERROR(__xludf.DUMMYFUNCTION("""COMPUTED_VALUE"""),"2055-06-03T01:23:45.103Z")</f>
        <v>2055-06-03T01:23:45.103Z</v>
      </c>
      <c r="L177" s="3">
        <f ca="1">IFERROR(__xludf.DUMMYFUNCTION("""COMPUTED_VALUE"""),1)</f>
        <v>1</v>
      </c>
      <c r="M177" s="3">
        <f ca="1">IFERROR(__xludf.DUMMYFUNCTION("""COMPUTED_VALUE"""),0)</f>
        <v>0</v>
      </c>
      <c r="N177" s="3" t="str">
        <f ca="1">IFERROR(__xludf.DUMMYFUNCTION("""COMPUTED_VALUE"""),"2055-06-03T01:16:37.062663Z")</f>
        <v>2055-06-03T01:16:37.062663Z</v>
      </c>
      <c r="O177" s="3" t="str">
        <f ca="1">IFERROR(__xludf.DUMMYFUNCTION("""COMPUTED_VALUE"""),"2055-06-03T01:24:59.139586Z")</f>
        <v>2055-06-03T01:24:59.139586Z</v>
      </c>
      <c r="P177" s="3" t="str">
        <f ca="1">IFERROR(__xludf.DUMMYFUNCTION("""COMPUTED_VALUE"""),"2055-06-03T01:02:34.783848Z")</f>
        <v>2055-06-03T01:02:34.783848Z</v>
      </c>
      <c r="Q177" s="3">
        <f ca="1">IFERROR(__xludf.DUMMYFUNCTION("""COMPUTED_VALUE"""),0)</f>
        <v>0</v>
      </c>
      <c r="R177" s="3" t="str">
        <f ca="1">IFERROR(__xludf.DUMMYFUNCTION("""COMPUTED_VALUE"""),"2055-06-03T01:03:03.385604Z")</f>
        <v>2055-06-03T01:03:03.385604Z</v>
      </c>
      <c r="S177" s="3" t="str">
        <f ca="1">IFERROR(__xludf.DUMMYFUNCTION("""COMPUTED_VALUE"""),"2055-06-03T01:20:57.18799Z")</f>
        <v>2055-06-03T01:20:57.18799Z</v>
      </c>
      <c r="T177" s="3"/>
      <c r="U177" s="4">
        <f ca="1">IFERROR(__xludf.DUMMYFUNCTION("""COMPUTED_VALUE"""),56767)</f>
        <v>56767</v>
      </c>
      <c r="V177" s="3">
        <f ca="1">IFERROR(__xludf.DUMMYFUNCTION("""COMPUTED_VALUE"""),4.6)</f>
        <v>4.5999999999999996</v>
      </c>
      <c r="W177" s="3">
        <f ca="1">IFERROR(__xludf.DUMMYFUNCTION("""COMPUTED_VALUE"""),4000)</f>
        <v>4000</v>
      </c>
      <c r="X177" s="3">
        <f ca="1">IFERROR(__xludf.DUMMYFUNCTION("""COMPUTED_VALUE"""),1316)</f>
        <v>1316</v>
      </c>
      <c r="Y177" s="3">
        <f ca="1">IFERROR(__xludf.DUMMYFUNCTION("""COMPUTED_VALUE"""),1074)</f>
        <v>1074</v>
      </c>
      <c r="Z177" s="3"/>
      <c r="AA177" s="3">
        <f ca="1">IFERROR(__xludf.DUMMYFUNCTION("""COMPUTED_VALUE"""),502)</f>
        <v>502</v>
      </c>
      <c r="AB177" s="3">
        <f ca="1">IFERROR(__xludf.DUMMYFUNCTION("""COMPUTED_VALUE"""),0)</f>
        <v>0</v>
      </c>
      <c r="AC177" s="3">
        <f ca="1">IFERROR(__xludf.DUMMYFUNCTION("""COMPUTED_VALUE"""),4)</f>
        <v>4</v>
      </c>
      <c r="AD177" s="3" t="str">
        <f ca="1">IFERROR(__xludf.DUMMYFUNCTION("""COMPUTED_VALUE"""),"late")</f>
        <v>late</v>
      </c>
      <c r="AE177" s="3" t="str">
        <f ca="1">IFERROR(__xludf.DUMMYFUNCTION("""COMPUTED_VALUE"""),"2055-06-02T21:16:37.062663Z")</f>
        <v>2055-06-02T21:16:37.062663Z</v>
      </c>
      <c r="AF177" s="3" t="str">
        <f ca="1">IFERROR(__xludf.DUMMYFUNCTION("""COMPUTED_VALUE"""),"2055-06-02T21:24:59.139586Z")</f>
        <v>2055-06-02T21:24:59.139586Z</v>
      </c>
      <c r="AG177" s="3" t="str">
        <f ca="1">IFERROR(__xludf.DUMMYFUNCTION("""COMPUTED_VALUE"""),"2055-06-02T21:02:34.783848Z")</f>
        <v>2055-06-02T21:02:34.783848Z</v>
      </c>
      <c r="AH177" s="3" t="str">
        <f ca="1">IFERROR(__xludf.DUMMYFUNCTION("""COMPUTED_VALUE"""),"2055-06-02T21:20:57.18799Z")</f>
        <v>2055-06-02T21:20:57.18799Z</v>
      </c>
      <c r="AI177" s="3">
        <f ca="1">IFERROR(__xludf.DUMMYFUNCTION("""COMPUTED_VALUE"""),4.56)</f>
        <v>4.5599999999999996</v>
      </c>
      <c r="AJ177" s="3">
        <f ca="1">IFERROR(__xludf.DUMMYFUNCTION("""COMPUTED_VALUE"""),765)</f>
        <v>765</v>
      </c>
      <c r="AK177" s="3">
        <f ca="1">IFERROR(__xludf.DUMMYFUNCTION("""COMPUTED_VALUE"""),2618)</f>
        <v>2618</v>
      </c>
      <c r="AL177" s="3"/>
    </row>
    <row r="178" spans="1:38" ht="13">
      <c r="A178" s="3">
        <f ca="1">IFERROR(__xludf.DUMMYFUNCTION("""COMPUTED_VALUE"""),907)</f>
        <v>907</v>
      </c>
      <c r="B178" s="3"/>
      <c r="C178" s="3">
        <f ca="1">IFERROR(__xludf.DUMMYFUNCTION("""COMPUTED_VALUE"""),4001)</f>
        <v>4001</v>
      </c>
      <c r="D178" s="3" t="str">
        <f ca="1">IFERROR(__xludf.DUMMYFUNCTION("""COMPUTED_VALUE"""),"Dashattan")</f>
        <v>Dashattan</v>
      </c>
      <c r="E178" s="3" t="str">
        <f ca="1">IFERROR(__xludf.DUMMYFUNCTION("""COMPUTED_VALUE"""),"Galaxy A")</f>
        <v>Galaxy A</v>
      </c>
      <c r="F178" s="3" t="str">
        <f ca="1">IFERROR(__xludf.DUMMYFUNCTION("""COMPUTED_VALUE"""),"Arya")</f>
        <v>Arya</v>
      </c>
      <c r="G178" s="3">
        <f ca="1">IFERROR(__xludf.DUMMYFUNCTION("""COMPUTED_VALUE"""),0)</f>
        <v>0</v>
      </c>
      <c r="H178" s="3" t="str">
        <f ca="1">IFERROR(__xludf.DUMMYFUNCTION("""COMPUTED_VALUE"""),"bicycle")</f>
        <v>bicycle</v>
      </c>
      <c r="I178" s="3" t="str">
        <f ca="1">IFERROR(__xludf.DUMMYFUNCTION("""COMPUTED_VALUE"""),"2055-06-08T00:58:53.987289Z")</f>
        <v>2055-06-08T00:58:53.987289Z</v>
      </c>
      <c r="J178" s="3" t="str">
        <f ca="1">IFERROR(__xludf.DUMMYFUNCTION("""COMPUTED_VALUE"""),"2055-06-08T01:49:01.048Z")</f>
        <v>2055-06-08T01:49:01.048Z</v>
      </c>
      <c r="K178" s="3" t="str">
        <f ca="1">IFERROR(__xludf.DUMMYFUNCTION("""COMPUTED_VALUE"""),"2055-06-08T01:29:22.048Z")</f>
        <v>2055-06-08T01:29:22.048Z</v>
      </c>
      <c r="L178" s="3">
        <f ca="1">IFERROR(__xludf.DUMMYFUNCTION("""COMPUTED_VALUE"""),1)</f>
        <v>1</v>
      </c>
      <c r="M178" s="3">
        <f ca="1">IFERROR(__xludf.DUMMYFUNCTION("""COMPUTED_VALUE"""),0)</f>
        <v>0</v>
      </c>
      <c r="N178" s="3" t="str">
        <f ca="1">IFERROR(__xludf.DUMMYFUNCTION("""COMPUTED_VALUE"""),"2055-06-08T01:21:10.968796Z")</f>
        <v>2055-06-08T01:21:10.968796Z</v>
      </c>
      <c r="O178" s="3" t="str">
        <f ca="1">IFERROR(__xludf.DUMMYFUNCTION("""COMPUTED_VALUE"""),"2055-06-08T01:40:24.950127Z")</f>
        <v>2055-06-08T01:40:24.950127Z</v>
      </c>
      <c r="P178" s="3" t="str">
        <f ca="1">IFERROR(__xludf.DUMMYFUNCTION("""COMPUTED_VALUE"""),"2055-06-08T01:00:34.39395Z")</f>
        <v>2055-06-08T01:00:34.39395Z</v>
      </c>
      <c r="Q178" s="3">
        <f ca="1">IFERROR(__xludf.DUMMYFUNCTION("""COMPUTED_VALUE"""),0)</f>
        <v>0</v>
      </c>
      <c r="R178" s="3" t="str">
        <f ca="1">IFERROR(__xludf.DUMMYFUNCTION("""COMPUTED_VALUE"""),"2055-06-08T01:00:44.460531Z")</f>
        <v>2055-06-08T01:00:44.460531Z</v>
      </c>
      <c r="S178" s="3" t="str">
        <f ca="1">IFERROR(__xludf.DUMMYFUNCTION("""COMPUTED_VALUE"""),"2055-06-08T01:16:09.796496Z")</f>
        <v>2055-06-08T01:16:09.796496Z</v>
      </c>
      <c r="T178" s="3"/>
      <c r="U178" s="4">
        <f ca="1">IFERROR(__xludf.DUMMYFUNCTION("""COMPUTED_VALUE"""),56772)</f>
        <v>56772</v>
      </c>
      <c r="V178" s="3">
        <f ca="1">IFERROR(__xludf.DUMMYFUNCTION("""COMPUTED_VALUE"""),3.682471608)</f>
        <v>3.6824716080000002</v>
      </c>
      <c r="W178" s="3">
        <f ca="1">IFERROR(__xludf.DUMMYFUNCTION("""COMPUTED_VALUE"""),4000)</f>
        <v>4000</v>
      </c>
      <c r="X178" s="3">
        <f ca="1">IFERROR(__xludf.DUMMYFUNCTION("""COMPUTED_VALUE"""),2380)</f>
        <v>2380</v>
      </c>
      <c r="Y178" s="3">
        <f ca="1">IFERROR(__xludf.DUMMYFUNCTION("""COMPUTED_VALUE"""),925)</f>
        <v>925</v>
      </c>
      <c r="Z178" s="3">
        <f ca="1">IFERROR(__xludf.DUMMYFUNCTION("""COMPUTED_VALUE"""),301)</f>
        <v>301</v>
      </c>
      <c r="AA178" s="3">
        <f ca="1">IFERROR(__xludf.DUMMYFUNCTION("""COMPUTED_VALUE"""),1154)</f>
        <v>1154</v>
      </c>
      <c r="AB178" s="3">
        <f ca="1">IFERROR(__xludf.DUMMYFUNCTION("""COMPUTED_VALUE"""),0)</f>
        <v>0</v>
      </c>
      <c r="AC178" s="3">
        <f ca="1">IFERROR(__xludf.DUMMYFUNCTION("""COMPUTED_VALUE"""),7)</f>
        <v>7</v>
      </c>
      <c r="AD178" s="3" t="str">
        <f ca="1">IFERROR(__xludf.DUMMYFUNCTION("""COMPUTED_VALUE"""),"late")</f>
        <v>late</v>
      </c>
      <c r="AE178" s="3" t="str">
        <f ca="1">IFERROR(__xludf.DUMMYFUNCTION("""COMPUTED_VALUE"""),"2055-06-07T21:21:10.968796Z")</f>
        <v>2055-06-07T21:21:10.968796Z</v>
      </c>
      <c r="AF178" s="3" t="str">
        <f ca="1">IFERROR(__xludf.DUMMYFUNCTION("""COMPUTED_VALUE"""),"2055-06-07T21:40:24.950127Z")</f>
        <v>2055-06-07T21:40:24.950127Z</v>
      </c>
      <c r="AG178" s="3" t="str">
        <f ca="1">IFERROR(__xludf.DUMMYFUNCTION("""COMPUTED_VALUE"""),"2055-06-07T21:00:34.39395Z")</f>
        <v>2055-06-07T21:00:34.39395Z</v>
      </c>
      <c r="AH178" s="3" t="str">
        <f ca="1">IFERROR(__xludf.DUMMYFUNCTION("""COMPUTED_VALUE"""),"2055-06-07T21:16:09.796496Z")</f>
        <v>2055-06-07T21:16:09.796496Z</v>
      </c>
      <c r="AI178" s="3">
        <f ca="1">IFERROR(__xludf.DUMMYFUNCTION("""COMPUTED_VALUE"""),4.17)</f>
        <v>4.17</v>
      </c>
      <c r="AJ178" s="3">
        <f ca="1">IFERROR(__xludf.DUMMYFUNCTION("""COMPUTED_VALUE"""),457)</f>
        <v>457</v>
      </c>
      <c r="AK178" s="3">
        <f ca="1">IFERROR(__xludf.DUMMYFUNCTION("""COMPUTED_VALUE"""),1599)</f>
        <v>1599</v>
      </c>
      <c r="AL178" s="3"/>
    </row>
    <row r="179" spans="1:38" ht="13">
      <c r="A179" s="3">
        <f ca="1">IFERROR(__xludf.DUMMYFUNCTION("""COMPUTED_VALUE"""),333)</f>
        <v>333</v>
      </c>
      <c r="B179" s="3"/>
      <c r="C179" s="3">
        <f ca="1">IFERROR(__xludf.DUMMYFUNCTION("""COMPUTED_VALUE"""),4050)</f>
        <v>4050</v>
      </c>
      <c r="D179" s="3" t="str">
        <f ca="1">IFERROR(__xludf.DUMMYFUNCTION("""COMPUTED_VALUE"""),"Doorlanta")</f>
        <v>Doorlanta</v>
      </c>
      <c r="E179" s="3" t="str">
        <f ca="1">IFERROR(__xludf.DUMMYFUNCTION("""COMPUTED_VALUE"""),"Galaxy A")</f>
        <v>Galaxy A</v>
      </c>
      <c r="F179" s="3" t="str">
        <f ca="1">IFERROR(__xludf.DUMMYFUNCTION("""COMPUTED_VALUE"""),"Anisha")</f>
        <v>Anisha</v>
      </c>
      <c r="G179" s="3">
        <f ca="1">IFERROR(__xludf.DUMMYFUNCTION("""COMPUTED_VALUE"""),0)</f>
        <v>0</v>
      </c>
      <c r="H179" s="3" t="str">
        <f ca="1">IFERROR(__xludf.DUMMYFUNCTION("""COMPUTED_VALUE"""),"car")</f>
        <v>car</v>
      </c>
      <c r="I179" s="3" t="str">
        <f ca="1">IFERROR(__xludf.DUMMYFUNCTION("""COMPUTED_VALUE"""),"2055-06-03T21:10:50.818436Z")</f>
        <v>2055-06-03T21:10:50.818436Z</v>
      </c>
      <c r="J179" s="3" t="str">
        <f ca="1">IFERROR(__xludf.DUMMYFUNCTION("""COMPUTED_VALUE"""),"2055-06-03T22:05:06.89Z")</f>
        <v>2055-06-03T22:05:06.89Z</v>
      </c>
      <c r="K179" s="3" t="str">
        <f ca="1">IFERROR(__xludf.DUMMYFUNCTION("""COMPUTED_VALUE"""),"2055-06-03T21:54:27.89Z")</f>
        <v>2055-06-03T21:54:27.89Z</v>
      </c>
      <c r="L179" s="3">
        <f ca="1">IFERROR(__xludf.DUMMYFUNCTION("""COMPUTED_VALUE"""),1)</f>
        <v>1</v>
      </c>
      <c r="M179" s="3">
        <f ca="1">IFERROR(__xludf.DUMMYFUNCTION("""COMPUTED_VALUE"""),0)</f>
        <v>0</v>
      </c>
      <c r="N179" s="3" t="str">
        <f ca="1">IFERROR(__xludf.DUMMYFUNCTION("""COMPUTED_VALUE"""),"2055-06-03T21:55:39.948738Z")</f>
        <v>2055-06-03T21:55:39.948738Z</v>
      </c>
      <c r="O179" s="3" t="str">
        <f ca="1">IFERROR(__xludf.DUMMYFUNCTION("""COMPUTED_VALUE"""),"2055-06-03T22:26:47.544651Z")</f>
        <v>2055-06-03T22:26:47.544651Z</v>
      </c>
      <c r="P179" s="3" t="str">
        <f ca="1">IFERROR(__xludf.DUMMYFUNCTION("""COMPUTED_VALUE"""),"2055-06-03T21:11:07.287588Z")</f>
        <v>2055-06-03T21:11:07.287588Z</v>
      </c>
      <c r="Q179" s="3">
        <f ca="1">IFERROR(__xludf.DUMMYFUNCTION("""COMPUTED_VALUE"""),0)</f>
        <v>0</v>
      </c>
      <c r="R179" s="3" t="str">
        <f ca="1">IFERROR(__xludf.DUMMYFUNCTION("""COMPUTED_VALUE"""),"2055-06-03T21:11:24.14929Z")</f>
        <v>2055-06-03T21:11:24.14929Z</v>
      </c>
      <c r="S179" s="3" t="str">
        <f ca="1">IFERROR(__xludf.DUMMYFUNCTION("""COMPUTED_VALUE"""),"2055-06-03T21:28:22.921888Z")</f>
        <v>2055-06-03T21:28:22.921888Z</v>
      </c>
      <c r="T179" s="3"/>
      <c r="U179" s="4">
        <f ca="1">IFERROR(__xludf.DUMMYFUNCTION("""COMPUTED_VALUE"""),56768)</f>
        <v>56768</v>
      </c>
      <c r="V179" s="3">
        <f ca="1">IFERROR(__xludf.DUMMYFUNCTION("""COMPUTED_VALUE"""),4.5)</f>
        <v>4.5</v>
      </c>
      <c r="W179" s="3">
        <f ca="1">IFERROR(__xludf.DUMMYFUNCTION("""COMPUTED_VALUE"""),4000)</f>
        <v>4000</v>
      </c>
      <c r="X179" s="3">
        <f ca="1">IFERROR(__xludf.DUMMYFUNCTION("""COMPUTED_VALUE"""),4523)</f>
        <v>4523</v>
      </c>
      <c r="Y179" s="3">
        <f ca="1">IFERROR(__xludf.DUMMYFUNCTION("""COMPUTED_VALUE"""),1018)</f>
        <v>1018</v>
      </c>
      <c r="Z179" s="3">
        <f ca="1">IFERROR(__xludf.DUMMYFUNCTION("""COMPUTED_VALUE"""),1637)</f>
        <v>1637</v>
      </c>
      <c r="AA179" s="3">
        <f ca="1">IFERROR(__xludf.DUMMYFUNCTION("""COMPUTED_VALUE"""),1868)</f>
        <v>1868</v>
      </c>
      <c r="AB179" s="3">
        <f ca="1">IFERROR(__xludf.DUMMYFUNCTION("""COMPUTED_VALUE"""),0)</f>
        <v>0</v>
      </c>
      <c r="AC179" s="3">
        <f ca="1">IFERROR(__xludf.DUMMYFUNCTION("""COMPUTED_VALUE"""),4)</f>
        <v>4</v>
      </c>
      <c r="AD179" s="3" t="str">
        <f ca="1">IFERROR(__xludf.DUMMYFUNCTION("""COMPUTED_VALUE"""),"early")</f>
        <v>early</v>
      </c>
      <c r="AE179" s="3" t="str">
        <f ca="1">IFERROR(__xludf.DUMMYFUNCTION("""COMPUTED_VALUE"""),"2055-06-03T17:55:39.948738Z")</f>
        <v>2055-06-03T17:55:39.948738Z</v>
      </c>
      <c r="AF179" s="3" t="str">
        <f ca="1">IFERROR(__xludf.DUMMYFUNCTION("""COMPUTED_VALUE"""),"2055-06-03T18:26:47.544651Z")</f>
        <v>2055-06-03T18:26:47.544651Z</v>
      </c>
      <c r="AG179" s="3" t="str">
        <f ca="1">IFERROR(__xludf.DUMMYFUNCTION("""COMPUTED_VALUE"""),"2055-06-03T17:11:07.287588Z")</f>
        <v>2055-06-03T17:11:07.287588Z</v>
      </c>
      <c r="AH179" s="3" t="str">
        <f ca="1">IFERROR(__xludf.DUMMYFUNCTION("""COMPUTED_VALUE"""),"2055-06-03T17:28:22.921888Z")</f>
        <v>2055-06-03T17:28:22.921888Z</v>
      </c>
      <c r="AI179" s="3">
        <f ca="1">IFERROR(__xludf.DUMMYFUNCTION("""COMPUTED_VALUE"""),4.7)</f>
        <v>4.7</v>
      </c>
      <c r="AJ179" s="3">
        <f ca="1">IFERROR(__xludf.DUMMYFUNCTION("""COMPUTED_VALUE"""),272)</f>
        <v>272</v>
      </c>
      <c r="AK179" s="3">
        <f ca="1">IFERROR(__xludf.DUMMYFUNCTION("""COMPUTED_VALUE"""),931)</f>
        <v>931</v>
      </c>
      <c r="AL179" s="3">
        <f ca="1">IFERROR(__xludf.DUMMYFUNCTION("""COMPUTED_VALUE"""),144)</f>
        <v>144</v>
      </c>
    </row>
    <row r="180" spans="1:38" ht="13">
      <c r="A180" s="3">
        <f ca="1">IFERROR(__xludf.DUMMYFUNCTION("""COMPUTED_VALUE"""),1167)</f>
        <v>1167</v>
      </c>
      <c r="B180" s="3"/>
      <c r="C180" s="3">
        <f ca="1">IFERROR(__xludf.DUMMYFUNCTION("""COMPUTED_VALUE"""),4001)</f>
        <v>4001</v>
      </c>
      <c r="D180" s="3" t="str">
        <f ca="1">IFERROR(__xludf.DUMMYFUNCTION("""COMPUTED_VALUE"""),"Dashattan")</f>
        <v>Dashattan</v>
      </c>
      <c r="E180" s="3" t="str">
        <f ca="1">IFERROR(__xludf.DUMMYFUNCTION("""COMPUTED_VALUE"""),"Galaxy A")</f>
        <v>Galaxy A</v>
      </c>
      <c r="F180" s="3" t="str">
        <f ca="1">IFERROR(__xludf.DUMMYFUNCTION("""COMPUTED_VALUE"""),"Mike")</f>
        <v>Mike</v>
      </c>
      <c r="G180" s="3">
        <f ca="1">IFERROR(__xludf.DUMMYFUNCTION("""COMPUTED_VALUE"""),0)</f>
        <v>0</v>
      </c>
      <c r="H180" s="3" t="str">
        <f ca="1">IFERROR(__xludf.DUMMYFUNCTION("""COMPUTED_VALUE"""),"bicycle")</f>
        <v>bicycle</v>
      </c>
      <c r="I180" s="3" t="str">
        <f ca="1">IFERROR(__xludf.DUMMYFUNCTION("""COMPUTED_VALUE"""),"2055-06-10T21:16:12.278243Z")</f>
        <v>2055-06-10T21:16:12.278243Z</v>
      </c>
      <c r="J180" s="3" t="str">
        <f ca="1">IFERROR(__xludf.DUMMYFUNCTION("""COMPUTED_VALUE"""),"2055-06-10T22:09:42.338Z")</f>
        <v>2055-06-10T22:09:42.338Z</v>
      </c>
      <c r="K180" s="3" t="str">
        <f ca="1">IFERROR(__xludf.DUMMYFUNCTION("""COMPUTED_VALUE"""),"2055-06-10T21:50:49.338Z")</f>
        <v>2055-06-10T21:50:49.338Z</v>
      </c>
      <c r="L180" s="3">
        <f ca="1">IFERROR(__xludf.DUMMYFUNCTION("""COMPUTED_VALUE"""),1)</f>
        <v>1</v>
      </c>
      <c r="M180" s="3">
        <f ca="1">IFERROR(__xludf.DUMMYFUNCTION("""COMPUTED_VALUE"""),0)</f>
        <v>0</v>
      </c>
      <c r="N180" s="3" t="str">
        <f ca="1">IFERROR(__xludf.DUMMYFUNCTION("""COMPUTED_VALUE"""),"2055-06-10T21:47:39.23088Z")</f>
        <v>2055-06-10T21:47:39.23088Z</v>
      </c>
      <c r="O180" s="3" t="str">
        <f ca="1">IFERROR(__xludf.DUMMYFUNCTION("""COMPUTED_VALUE"""),"2055-06-10T22:22:24.924126Z")</f>
        <v>2055-06-10T22:22:24.924126Z</v>
      </c>
      <c r="P180" s="3" t="str">
        <f ca="1">IFERROR(__xludf.DUMMYFUNCTION("""COMPUTED_VALUE"""),"2055-06-10T21:22:34.150414Z")</f>
        <v>2055-06-10T21:22:34.150414Z</v>
      </c>
      <c r="Q180" s="3">
        <f ca="1">IFERROR(__xludf.DUMMYFUNCTION("""COMPUTED_VALUE"""),0)</f>
        <v>0</v>
      </c>
      <c r="R180" s="3" t="str">
        <f ca="1">IFERROR(__xludf.DUMMYFUNCTION("""COMPUTED_VALUE"""),"2055-06-10T21:22:38.958877Z")</f>
        <v>2055-06-10T21:22:38.958877Z</v>
      </c>
      <c r="S180" s="3" t="str">
        <f ca="1">IFERROR(__xludf.DUMMYFUNCTION("""COMPUTED_VALUE"""),"2055-06-10T21:38:36.41471Z")</f>
        <v>2055-06-10T21:38:36.41471Z</v>
      </c>
      <c r="T180" s="3"/>
      <c r="U180" s="4">
        <f ca="1">IFERROR(__xludf.DUMMYFUNCTION("""COMPUTED_VALUE"""),56775)</f>
        <v>56775</v>
      </c>
      <c r="V180" s="3">
        <f ca="1">IFERROR(__xludf.DUMMYFUNCTION("""COMPUTED_VALUE"""),4.058452785)</f>
        <v>4.0584527850000001</v>
      </c>
      <c r="W180" s="3">
        <f ca="1">IFERROR(__xludf.DUMMYFUNCTION("""COMPUTED_VALUE"""),4000)</f>
        <v>4000</v>
      </c>
      <c r="X180" s="3">
        <f ca="1">IFERROR(__xludf.DUMMYFUNCTION("""COMPUTED_VALUE"""),3586)</f>
        <v>3586</v>
      </c>
      <c r="Y180" s="3">
        <f ca="1">IFERROR(__xludf.DUMMYFUNCTION("""COMPUTED_VALUE"""),958)</f>
        <v>958</v>
      </c>
      <c r="Z180" s="3">
        <f ca="1">IFERROR(__xludf.DUMMYFUNCTION("""COMPUTED_VALUE"""),543)</f>
        <v>543</v>
      </c>
      <c r="AA180" s="3">
        <f ca="1">IFERROR(__xludf.DUMMYFUNCTION("""COMPUTED_VALUE"""),2085)</f>
        <v>2085</v>
      </c>
      <c r="AB180" s="3">
        <f ca="1">IFERROR(__xludf.DUMMYFUNCTION("""COMPUTED_VALUE"""),0)</f>
        <v>0</v>
      </c>
      <c r="AC180" s="3">
        <f ca="1">IFERROR(__xludf.DUMMYFUNCTION("""COMPUTED_VALUE"""),2)</f>
        <v>2</v>
      </c>
      <c r="AD180" s="3" t="str">
        <f ca="1">IFERROR(__xludf.DUMMYFUNCTION("""COMPUTED_VALUE"""),"late")</f>
        <v>late</v>
      </c>
      <c r="AE180" s="3" t="str">
        <f ca="1">IFERROR(__xludf.DUMMYFUNCTION("""COMPUTED_VALUE"""),"2055-06-10T17:47:39.23088Z")</f>
        <v>2055-06-10T17:47:39.23088Z</v>
      </c>
      <c r="AF180" s="3" t="str">
        <f ca="1">IFERROR(__xludf.DUMMYFUNCTION("""COMPUTED_VALUE"""),"2055-06-10T18:22:24.924126Z")</f>
        <v>2055-06-10T18:22:24.924126Z</v>
      </c>
      <c r="AG180" s="3" t="str">
        <f ca="1">IFERROR(__xludf.DUMMYFUNCTION("""COMPUTED_VALUE"""),"2055-06-10T17:22:34.150414Z")</f>
        <v>2055-06-10T17:22:34.150414Z</v>
      </c>
      <c r="AH180" s="3" t="str">
        <f ca="1">IFERROR(__xludf.DUMMYFUNCTION("""COMPUTED_VALUE"""),"2055-06-10T17:38:36.41471Z")</f>
        <v>2055-06-10T17:38:36.41471Z</v>
      </c>
      <c r="AI180" s="3">
        <f ca="1">IFERROR(__xludf.DUMMYFUNCTION("""COMPUTED_VALUE"""),4.63)</f>
        <v>4.63</v>
      </c>
      <c r="AJ180" s="3">
        <f ca="1">IFERROR(__xludf.DUMMYFUNCTION("""COMPUTED_VALUE"""),242)</f>
        <v>242</v>
      </c>
      <c r="AK180" s="3">
        <f ca="1">IFERROR(__xludf.DUMMYFUNCTION("""COMPUTED_VALUE"""),736)</f>
        <v>736</v>
      </c>
      <c r="AL180" s="3"/>
    </row>
    <row r="181" spans="1:38" ht="13">
      <c r="A181" s="3">
        <f ca="1">IFERROR(__xludf.DUMMYFUNCTION("""COMPUTED_VALUE"""),374)</f>
        <v>374</v>
      </c>
      <c r="B181" s="3">
        <f ca="1">IFERROR(__xludf.DUMMYFUNCTION("""COMPUTED_VALUE"""),5)</f>
        <v>5</v>
      </c>
      <c r="C181" s="3">
        <f ca="1">IFERROR(__xludf.DUMMYFUNCTION("""COMPUTED_VALUE"""),4050)</f>
        <v>4050</v>
      </c>
      <c r="D181" s="3" t="str">
        <f ca="1">IFERROR(__xludf.DUMMYFUNCTION("""COMPUTED_VALUE"""),"Doorlanta")</f>
        <v>Doorlanta</v>
      </c>
      <c r="E181" s="3" t="str">
        <f ca="1">IFERROR(__xludf.DUMMYFUNCTION("""COMPUTED_VALUE"""),"Galaxy A")</f>
        <v>Galaxy A</v>
      </c>
      <c r="F181" s="3" t="str">
        <f ca="1">IFERROR(__xludf.DUMMYFUNCTION("""COMPUTED_VALUE"""),"Anisha")</f>
        <v>Anisha</v>
      </c>
      <c r="G181" s="3">
        <f ca="1">IFERROR(__xludf.DUMMYFUNCTION("""COMPUTED_VALUE"""),0)</f>
        <v>0</v>
      </c>
      <c r="H181" s="3" t="str">
        <f ca="1">IFERROR(__xludf.DUMMYFUNCTION("""COMPUTED_VALUE"""),"car")</f>
        <v>car</v>
      </c>
      <c r="I181" s="3" t="str">
        <f ca="1">IFERROR(__xludf.DUMMYFUNCTION("""COMPUTED_VALUE"""),"2055-06-04T00:00:31.067771Z")</f>
        <v>2055-06-04T00:00:31.067771Z</v>
      </c>
      <c r="J181" s="3" t="str">
        <f ca="1">IFERROR(__xludf.DUMMYFUNCTION("""COMPUTED_VALUE"""),"2055-06-04T00:40:31.132Z")</f>
        <v>2055-06-04T00:40:31.132Z</v>
      </c>
      <c r="K181" s="3" t="str">
        <f ca="1">IFERROR(__xludf.DUMMYFUNCTION("""COMPUTED_VALUE"""),"2055-06-04T00:35:05.132Z")</f>
        <v>2055-06-04T00:35:05.132Z</v>
      </c>
      <c r="L181" s="3">
        <f ca="1">IFERROR(__xludf.DUMMYFUNCTION("""COMPUTED_VALUE"""),1)</f>
        <v>1</v>
      </c>
      <c r="M181" s="3">
        <f ca="1">IFERROR(__xludf.DUMMYFUNCTION("""COMPUTED_VALUE"""),0)</f>
        <v>0</v>
      </c>
      <c r="N181" s="3" t="str">
        <f ca="1">IFERROR(__xludf.DUMMYFUNCTION("""COMPUTED_VALUE"""),"2055-06-04T00:27:50.357427Z")</f>
        <v>2055-06-04T00:27:50.357427Z</v>
      </c>
      <c r="O181" s="3" t="str">
        <f ca="1">IFERROR(__xludf.DUMMYFUNCTION("""COMPUTED_VALUE"""),"2055-06-04T00:42:56.589892Z")</f>
        <v>2055-06-04T00:42:56.589892Z</v>
      </c>
      <c r="P181" s="3" t="str">
        <f ca="1">IFERROR(__xludf.DUMMYFUNCTION("""COMPUTED_VALUE"""),"2055-06-04T00:00:47.374119Z")</f>
        <v>2055-06-04T00:00:47.374119Z</v>
      </c>
      <c r="Q181" s="3">
        <f ca="1">IFERROR(__xludf.DUMMYFUNCTION("""COMPUTED_VALUE"""),0)</f>
        <v>0</v>
      </c>
      <c r="R181" s="3" t="str">
        <f ca="1">IFERROR(__xludf.DUMMYFUNCTION("""COMPUTED_VALUE"""),"2055-06-04T00:00:59.549695Z")</f>
        <v>2055-06-04T00:00:59.549695Z</v>
      </c>
      <c r="S181" s="3" t="str">
        <f ca="1">IFERROR(__xludf.DUMMYFUNCTION("""COMPUTED_VALUE"""),"2055-06-04T00:22:26.784616Z")</f>
        <v>2055-06-04T00:22:26.784616Z</v>
      </c>
      <c r="T181" s="3"/>
      <c r="U181" s="4">
        <f ca="1">IFERROR(__xludf.DUMMYFUNCTION("""COMPUTED_VALUE"""),56768)</f>
        <v>56768</v>
      </c>
      <c r="V181" s="3">
        <f ca="1">IFERROR(__xludf.DUMMYFUNCTION("""COMPUTED_VALUE"""),2.612242183)</f>
        <v>2.6122421830000002</v>
      </c>
      <c r="W181" s="3">
        <f ca="1">IFERROR(__xludf.DUMMYFUNCTION("""COMPUTED_VALUE"""),4000)</f>
        <v>4000</v>
      </c>
      <c r="X181" s="3">
        <f ca="1">IFERROR(__xludf.DUMMYFUNCTION("""COMPUTED_VALUE"""),2517)</f>
        <v>2517</v>
      </c>
      <c r="Y181" s="3">
        <f ca="1">IFERROR(__xludf.DUMMYFUNCTION("""COMPUTED_VALUE"""),1287)</f>
        <v>1287</v>
      </c>
      <c r="Z181" s="3">
        <f ca="1">IFERROR(__xludf.DUMMYFUNCTION("""COMPUTED_VALUE"""),324)</f>
        <v>324</v>
      </c>
      <c r="AA181" s="3">
        <f ca="1">IFERROR(__xludf.DUMMYFUNCTION("""COMPUTED_VALUE"""),906)</f>
        <v>906</v>
      </c>
      <c r="AB181" s="3">
        <f ca="1">IFERROR(__xludf.DUMMYFUNCTION("""COMPUTED_VALUE"""),0)</f>
        <v>0</v>
      </c>
      <c r="AC181" s="3">
        <f ca="1">IFERROR(__xludf.DUMMYFUNCTION("""COMPUTED_VALUE"""),6)</f>
        <v>6</v>
      </c>
      <c r="AD181" s="3" t="str">
        <f ca="1">IFERROR(__xludf.DUMMYFUNCTION("""COMPUTED_VALUE"""),"on time")</f>
        <v>on time</v>
      </c>
      <c r="AE181" s="3" t="str">
        <f ca="1">IFERROR(__xludf.DUMMYFUNCTION("""COMPUTED_VALUE"""),"2055-06-03T20:27:50.357427Z")</f>
        <v>2055-06-03T20:27:50.357427Z</v>
      </c>
      <c r="AF181" s="3" t="str">
        <f ca="1">IFERROR(__xludf.DUMMYFUNCTION("""COMPUTED_VALUE"""),"2055-06-03T20:42:56.589892Z")</f>
        <v>2055-06-03T20:42:56.589892Z</v>
      </c>
      <c r="AG181" s="3" t="str">
        <f ca="1">IFERROR(__xludf.DUMMYFUNCTION("""COMPUTED_VALUE"""),"2055-06-03T20:00:47.374119Z")</f>
        <v>2055-06-03T20:00:47.374119Z</v>
      </c>
      <c r="AH181" s="3" t="str">
        <f ca="1">IFERROR(__xludf.DUMMYFUNCTION("""COMPUTED_VALUE"""),"2055-06-03T20:22:26.784616Z")</f>
        <v>2055-06-03T20:22:26.784616Z</v>
      </c>
      <c r="AI181" s="3">
        <f ca="1">IFERROR(__xludf.DUMMYFUNCTION("""COMPUTED_VALUE"""),4.7)</f>
        <v>4.7</v>
      </c>
      <c r="AJ181" s="3">
        <f ca="1">IFERROR(__xludf.DUMMYFUNCTION("""COMPUTED_VALUE"""),272)</f>
        <v>272</v>
      </c>
      <c r="AK181" s="3">
        <f ca="1">IFERROR(__xludf.DUMMYFUNCTION("""COMPUTED_VALUE"""),931)</f>
        <v>931</v>
      </c>
      <c r="AL181" s="3">
        <f ca="1">IFERROR(__xludf.DUMMYFUNCTION("""COMPUTED_VALUE"""),144)</f>
        <v>144</v>
      </c>
    </row>
    <row r="182" spans="1:38" ht="13">
      <c r="A182" s="3">
        <f ca="1">IFERROR(__xludf.DUMMYFUNCTION("""COMPUTED_VALUE"""),85)</f>
        <v>85</v>
      </c>
      <c r="B182" s="3">
        <f ca="1">IFERROR(__xludf.DUMMYFUNCTION("""COMPUTED_VALUE"""),5)</f>
        <v>5</v>
      </c>
      <c r="C182" s="3">
        <f ca="1">IFERROR(__xludf.DUMMYFUNCTION("""COMPUTED_VALUE"""),4050)</f>
        <v>4050</v>
      </c>
      <c r="D182" s="3" t="str">
        <f ca="1">IFERROR(__xludf.DUMMYFUNCTION("""COMPUTED_VALUE"""),"Doorlanta")</f>
        <v>Doorlanta</v>
      </c>
      <c r="E182" s="3" t="str">
        <f ca="1">IFERROR(__xludf.DUMMYFUNCTION("""COMPUTED_VALUE"""),"Galaxy A")</f>
        <v>Galaxy A</v>
      </c>
      <c r="F182" s="3" t="str">
        <f ca="1">IFERROR(__xludf.DUMMYFUNCTION("""COMPUTED_VALUE"""),"Cate")</f>
        <v>Cate</v>
      </c>
      <c r="G182" s="3">
        <f ca="1">IFERROR(__xludf.DUMMYFUNCTION("""COMPUTED_VALUE"""),0)</f>
        <v>0</v>
      </c>
      <c r="H182" s="3" t="str">
        <f ca="1">IFERROR(__xludf.DUMMYFUNCTION("""COMPUTED_VALUE"""),"car")</f>
        <v>car</v>
      </c>
      <c r="I182" s="3" t="str">
        <f ca="1">IFERROR(__xludf.DUMMYFUNCTION("""COMPUTED_VALUE"""),"2055-06-01T23:41:09.615506Z")</f>
        <v>2055-06-01T23:41:09.615506Z</v>
      </c>
      <c r="J182" s="3" t="str">
        <f ca="1">IFERROR(__xludf.DUMMYFUNCTION("""COMPUTED_VALUE"""),"2055-06-02T00:36:09.686Z")</f>
        <v>2055-06-02T00:36:09.686Z</v>
      </c>
      <c r="K182" s="3" t="str">
        <f ca="1">IFERROR(__xludf.DUMMYFUNCTION("""COMPUTED_VALUE"""),"2055-06-02T00:16:44.686Z")</f>
        <v>2055-06-02T00:16:44.686Z</v>
      </c>
      <c r="L182" s="3">
        <f ca="1">IFERROR(__xludf.DUMMYFUNCTION("""COMPUTED_VALUE"""),1)</f>
        <v>1</v>
      </c>
      <c r="M182" s="3">
        <f ca="1">IFERROR(__xludf.DUMMYFUNCTION("""COMPUTED_VALUE"""),0)</f>
        <v>0</v>
      </c>
      <c r="N182" s="3" t="str">
        <f ca="1">IFERROR(__xludf.DUMMYFUNCTION("""COMPUTED_VALUE"""),"2055-06-02T00:04:09.41195Z")</f>
        <v>2055-06-02T00:04:09.41195Z</v>
      </c>
      <c r="O182" s="3" t="str">
        <f ca="1">IFERROR(__xludf.DUMMYFUNCTION("""COMPUTED_VALUE"""),"2055-06-02T00:17:18.346153Z")</f>
        <v>2055-06-02T00:17:18.346153Z</v>
      </c>
      <c r="P182" s="3" t="str">
        <f ca="1">IFERROR(__xludf.DUMMYFUNCTION("""COMPUTED_VALUE"""),"2055-06-01T23:41:27.437469Z")</f>
        <v>2055-06-01T23:41:27.437469Z</v>
      </c>
      <c r="Q182" s="3">
        <f ca="1">IFERROR(__xludf.DUMMYFUNCTION("""COMPUTED_VALUE"""),0)</f>
        <v>0</v>
      </c>
      <c r="R182" s="3" t="str">
        <f ca="1">IFERROR(__xludf.DUMMYFUNCTION("""COMPUTED_VALUE"""),"2055-06-01T23:41:37.791145Z")</f>
        <v>2055-06-01T23:41:37.791145Z</v>
      </c>
      <c r="S182" s="3"/>
      <c r="T182" s="3"/>
      <c r="U182" s="4">
        <f ca="1">IFERROR(__xludf.DUMMYFUNCTION("""COMPUTED_VALUE"""),56766)</f>
        <v>56766</v>
      </c>
      <c r="V182" s="3">
        <f ca="1">IFERROR(__xludf.DUMMYFUNCTION("""COMPUTED_VALUE"""),4.6)</f>
        <v>4.5999999999999996</v>
      </c>
      <c r="W182" s="3">
        <f ca="1">IFERROR(__xludf.DUMMYFUNCTION("""COMPUTED_VALUE"""),4000)</f>
        <v>4000</v>
      </c>
      <c r="X182" s="3">
        <f ca="1">IFERROR(__xludf.DUMMYFUNCTION("""COMPUTED_VALUE"""),2141)</f>
        <v>2141</v>
      </c>
      <c r="Y182" s="3"/>
      <c r="Z182" s="3"/>
      <c r="AA182" s="3">
        <f ca="1">IFERROR(__xludf.DUMMYFUNCTION("""COMPUTED_VALUE"""),789)</f>
        <v>789</v>
      </c>
      <c r="AB182" s="3">
        <f ca="1">IFERROR(__xludf.DUMMYFUNCTION("""COMPUTED_VALUE"""),0)</f>
        <v>0</v>
      </c>
      <c r="AC182" s="3">
        <f ca="1">IFERROR(__xludf.DUMMYFUNCTION("""COMPUTED_VALUE"""),4)</f>
        <v>4</v>
      </c>
      <c r="AD182" s="3"/>
      <c r="AE182" s="3" t="str">
        <f ca="1">IFERROR(__xludf.DUMMYFUNCTION("""COMPUTED_VALUE"""),"2055-06-01T20:04:09.41195Z")</f>
        <v>2055-06-01T20:04:09.41195Z</v>
      </c>
      <c r="AF182" s="3" t="str">
        <f ca="1">IFERROR(__xludf.DUMMYFUNCTION("""COMPUTED_VALUE"""),"2055-06-01T20:17:18.346153Z")</f>
        <v>2055-06-01T20:17:18.346153Z</v>
      </c>
      <c r="AG182" s="3" t="str">
        <f ca="1">IFERROR(__xludf.DUMMYFUNCTION("""COMPUTED_VALUE"""),"2055-06-01T19:41:27.437469Z")</f>
        <v>2055-06-01T19:41:27.437469Z</v>
      </c>
      <c r="AH182" s="3"/>
      <c r="AI182" s="3">
        <f ca="1">IFERROR(__xludf.DUMMYFUNCTION("""COMPUTED_VALUE"""),4.49)</f>
        <v>4.49</v>
      </c>
      <c r="AJ182" s="3">
        <f ca="1">IFERROR(__xludf.DUMMYFUNCTION("""COMPUTED_VALUE"""),2315)</f>
        <v>2315</v>
      </c>
      <c r="AK182" s="3">
        <f ca="1">IFERROR(__xludf.DUMMYFUNCTION("""COMPUTED_VALUE"""),7039)</f>
        <v>7039</v>
      </c>
      <c r="AL182" s="3">
        <f ca="1">IFERROR(__xludf.DUMMYFUNCTION("""COMPUTED_VALUE"""),763)</f>
        <v>763</v>
      </c>
    </row>
    <row r="183" spans="1:38" ht="13">
      <c r="A183" s="3">
        <f ca="1">IFERROR(__xludf.DUMMYFUNCTION("""COMPUTED_VALUE"""),439)</f>
        <v>439</v>
      </c>
      <c r="B183" s="3">
        <f ca="1">IFERROR(__xludf.DUMMYFUNCTION("""COMPUTED_VALUE"""),5)</f>
        <v>5</v>
      </c>
      <c r="C183" s="3">
        <f ca="1">IFERROR(__xludf.DUMMYFUNCTION("""COMPUTED_VALUE"""),4050)</f>
        <v>4050</v>
      </c>
      <c r="D183" s="3" t="str">
        <f ca="1">IFERROR(__xludf.DUMMYFUNCTION("""COMPUTED_VALUE"""),"Doorlanta")</f>
        <v>Doorlanta</v>
      </c>
      <c r="E183" s="3" t="str">
        <f ca="1">IFERROR(__xludf.DUMMYFUNCTION("""COMPUTED_VALUE"""),"Galaxy A")</f>
        <v>Galaxy A</v>
      </c>
      <c r="F183" s="3" t="str">
        <f ca="1">IFERROR(__xludf.DUMMYFUNCTION("""COMPUTED_VALUE"""),"Cate")</f>
        <v>Cate</v>
      </c>
      <c r="G183" s="3">
        <f ca="1">IFERROR(__xludf.DUMMYFUNCTION("""COMPUTED_VALUE"""),0)</f>
        <v>0</v>
      </c>
      <c r="H183" s="3" t="str">
        <f ca="1">IFERROR(__xludf.DUMMYFUNCTION("""COMPUTED_VALUE"""),"car")</f>
        <v>car</v>
      </c>
      <c r="I183" s="3" t="str">
        <f ca="1">IFERROR(__xludf.DUMMYFUNCTION("""COMPUTED_VALUE"""),"2055-06-04T20:28:22.537737Z")</f>
        <v>2055-06-04T20:28:22.537737Z</v>
      </c>
      <c r="J183" s="3" t="str">
        <f ca="1">IFERROR(__xludf.DUMMYFUNCTION("""COMPUTED_VALUE"""),"2055-06-04T21:23:22.616Z")</f>
        <v>2055-06-04T21:23:22.616Z</v>
      </c>
      <c r="K183" s="3" t="str">
        <f ca="1">IFERROR(__xludf.DUMMYFUNCTION("""COMPUTED_VALUE"""),"2055-06-04T21:00:03.616Z")</f>
        <v>2055-06-04T21:00:03.616Z</v>
      </c>
      <c r="L183" s="3">
        <f ca="1">IFERROR(__xludf.DUMMYFUNCTION("""COMPUTED_VALUE"""),1)</f>
        <v>1</v>
      </c>
      <c r="M183" s="3">
        <f ca="1">IFERROR(__xludf.DUMMYFUNCTION("""COMPUTED_VALUE"""),0)</f>
        <v>0</v>
      </c>
      <c r="N183" s="3" t="str">
        <f ca="1">IFERROR(__xludf.DUMMYFUNCTION("""COMPUTED_VALUE"""),"2055-06-04T20:51:17.88171Z")</f>
        <v>2055-06-04T20:51:17.88171Z</v>
      </c>
      <c r="O183" s="3" t="str">
        <f ca="1">IFERROR(__xludf.DUMMYFUNCTION("""COMPUTED_VALUE"""),"2055-06-04T21:00:37.742035Z")</f>
        <v>2055-06-04T21:00:37.742035Z</v>
      </c>
      <c r="P183" s="3" t="str">
        <f ca="1">IFERROR(__xludf.DUMMYFUNCTION("""COMPUTED_VALUE"""),"2055-06-04T20:28:27.294513Z")</f>
        <v>2055-06-04T20:28:27.294513Z</v>
      </c>
      <c r="Q183" s="3">
        <f ca="1">IFERROR(__xludf.DUMMYFUNCTION("""COMPUTED_VALUE"""),0)</f>
        <v>0</v>
      </c>
      <c r="R183" s="3" t="str">
        <f ca="1">IFERROR(__xludf.DUMMYFUNCTION("""COMPUTED_VALUE"""),"2055-06-04T20:28:34.451737Z")</f>
        <v>2055-06-04T20:28:34.451737Z</v>
      </c>
      <c r="S183" s="3" t="str">
        <f ca="1">IFERROR(__xludf.DUMMYFUNCTION("""COMPUTED_VALUE"""),"2055-06-04T20:36:16.621487Z")</f>
        <v>2055-06-04T20:36:16.621487Z</v>
      </c>
      <c r="T183" s="3"/>
      <c r="U183" s="4">
        <f ca="1">IFERROR(__xludf.DUMMYFUNCTION("""COMPUTED_VALUE"""),56769)</f>
        <v>56769</v>
      </c>
      <c r="V183" s="3">
        <f ca="1">IFERROR(__xludf.DUMMYFUNCTION("""COMPUTED_VALUE"""),3.070691233)</f>
        <v>3.0706912329999998</v>
      </c>
      <c r="W183" s="3">
        <f ca="1">IFERROR(__xludf.DUMMYFUNCTION("""COMPUTED_VALUE"""),4000)</f>
        <v>4000</v>
      </c>
      <c r="X183" s="3">
        <f ca="1">IFERROR(__xludf.DUMMYFUNCTION("""COMPUTED_VALUE"""),1923)</f>
        <v>1923</v>
      </c>
      <c r="Y183" s="3">
        <f ca="1">IFERROR(__xludf.DUMMYFUNCTION("""COMPUTED_VALUE"""),462)</f>
        <v>462</v>
      </c>
      <c r="Z183" s="3">
        <f ca="1">IFERROR(__xludf.DUMMYFUNCTION("""COMPUTED_VALUE"""),901)</f>
        <v>901</v>
      </c>
      <c r="AA183" s="3">
        <f ca="1">IFERROR(__xludf.DUMMYFUNCTION("""COMPUTED_VALUE"""),560)</f>
        <v>560</v>
      </c>
      <c r="AB183" s="3">
        <f ca="1">IFERROR(__xludf.DUMMYFUNCTION("""COMPUTED_VALUE"""),0)</f>
        <v>0</v>
      </c>
      <c r="AC183" s="3">
        <f ca="1">IFERROR(__xludf.DUMMYFUNCTION("""COMPUTED_VALUE"""),5)</f>
        <v>5</v>
      </c>
      <c r="AD183" s="3" t="str">
        <f ca="1">IFERROR(__xludf.DUMMYFUNCTION("""COMPUTED_VALUE"""),"early")</f>
        <v>early</v>
      </c>
      <c r="AE183" s="3" t="str">
        <f ca="1">IFERROR(__xludf.DUMMYFUNCTION("""COMPUTED_VALUE"""),"2055-06-04T16:51:17.88171Z")</f>
        <v>2055-06-04T16:51:17.88171Z</v>
      </c>
      <c r="AF183" s="3" t="str">
        <f ca="1">IFERROR(__xludf.DUMMYFUNCTION("""COMPUTED_VALUE"""),"2055-06-04T17:00:37.742035Z")</f>
        <v>2055-06-04T17:00:37.742035Z</v>
      </c>
      <c r="AG183" s="3" t="str">
        <f ca="1">IFERROR(__xludf.DUMMYFUNCTION("""COMPUTED_VALUE"""),"2055-06-04T16:28:27.294513Z")</f>
        <v>2055-06-04T16:28:27.294513Z</v>
      </c>
      <c r="AH183" s="3" t="str">
        <f ca="1">IFERROR(__xludf.DUMMYFUNCTION("""COMPUTED_VALUE"""),"2055-06-04T16:36:16.621487Z")</f>
        <v>2055-06-04T16:36:16.621487Z</v>
      </c>
      <c r="AI183" s="3">
        <f ca="1">IFERROR(__xludf.DUMMYFUNCTION("""COMPUTED_VALUE"""),4.49)</f>
        <v>4.49</v>
      </c>
      <c r="AJ183" s="3">
        <f ca="1">IFERROR(__xludf.DUMMYFUNCTION("""COMPUTED_VALUE"""),2315)</f>
        <v>2315</v>
      </c>
      <c r="AK183" s="3">
        <f ca="1">IFERROR(__xludf.DUMMYFUNCTION("""COMPUTED_VALUE"""),7039)</f>
        <v>7039</v>
      </c>
      <c r="AL183" s="3">
        <f ca="1">IFERROR(__xludf.DUMMYFUNCTION("""COMPUTED_VALUE"""),763)</f>
        <v>763</v>
      </c>
    </row>
    <row r="184" spans="1:38" ht="13">
      <c r="A184" s="3">
        <f ca="1">IFERROR(__xludf.DUMMYFUNCTION("""COMPUTED_VALUE"""),851)</f>
        <v>851</v>
      </c>
      <c r="B184" s="3">
        <f ca="1">IFERROR(__xludf.DUMMYFUNCTION("""COMPUTED_VALUE"""),4)</f>
        <v>4</v>
      </c>
      <c r="C184" s="3">
        <f ca="1">IFERROR(__xludf.DUMMYFUNCTION("""COMPUTED_VALUE"""),4001)</f>
        <v>4001</v>
      </c>
      <c r="D184" s="3" t="str">
        <f ca="1">IFERROR(__xludf.DUMMYFUNCTION("""COMPUTED_VALUE"""),"Dashattan")</f>
        <v>Dashattan</v>
      </c>
      <c r="E184" s="3" t="str">
        <f ca="1">IFERROR(__xludf.DUMMYFUNCTION("""COMPUTED_VALUE"""),"Galaxy A")</f>
        <v>Galaxy A</v>
      </c>
      <c r="F184" s="3" t="str">
        <f ca="1">IFERROR(__xludf.DUMMYFUNCTION("""COMPUTED_VALUE"""),"Bret")</f>
        <v>Bret</v>
      </c>
      <c r="G184" s="3">
        <f ca="1">IFERROR(__xludf.DUMMYFUNCTION("""COMPUTED_VALUE"""),0)</f>
        <v>0</v>
      </c>
      <c r="H184" s="3" t="str">
        <f ca="1">IFERROR(__xludf.DUMMYFUNCTION("""COMPUTED_VALUE"""),"car")</f>
        <v>car</v>
      </c>
      <c r="I184" s="3" t="str">
        <f ca="1">IFERROR(__xludf.DUMMYFUNCTION("""COMPUTED_VALUE"""),"2055-06-07T17:19:34.694172Z")</f>
        <v>2055-06-07T17:19:34.694172Z</v>
      </c>
      <c r="J184" s="3" t="str">
        <f ca="1">IFERROR(__xludf.DUMMYFUNCTION("""COMPUTED_VALUE"""),"2055-06-07T18:13:10.763Z")</f>
        <v>2055-06-07T18:13:10.763Z</v>
      </c>
      <c r="K184" s="3" t="str">
        <f ca="1">IFERROR(__xludf.DUMMYFUNCTION("""COMPUTED_VALUE"""),"2055-06-07T17:54:17.763Z")</f>
        <v>2055-06-07T17:54:17.763Z</v>
      </c>
      <c r="L184" s="3">
        <f ca="1">IFERROR(__xludf.DUMMYFUNCTION("""COMPUTED_VALUE"""),1)</f>
        <v>1</v>
      </c>
      <c r="M184" s="3">
        <f ca="1">IFERROR(__xludf.DUMMYFUNCTION("""COMPUTED_VALUE"""),0)</f>
        <v>0</v>
      </c>
      <c r="N184" s="3" t="str">
        <f ca="1">IFERROR(__xludf.DUMMYFUNCTION("""COMPUTED_VALUE"""),"2055-06-07T17:55:13.164227Z")</f>
        <v>2055-06-07T17:55:13.164227Z</v>
      </c>
      <c r="O184" s="3" t="str">
        <f ca="1">IFERROR(__xludf.DUMMYFUNCTION("""COMPUTED_VALUE"""),"2055-06-07T18:18:00.90675Z")</f>
        <v>2055-06-07T18:18:00.90675Z</v>
      </c>
      <c r="P184" s="3" t="str">
        <f ca="1">IFERROR(__xludf.DUMMYFUNCTION("""COMPUTED_VALUE"""),"2055-06-07T17:25:54.285671Z")</f>
        <v>2055-06-07T17:25:54.285671Z</v>
      </c>
      <c r="Q184" s="3">
        <f ca="1">IFERROR(__xludf.DUMMYFUNCTION("""COMPUTED_VALUE"""),0)</f>
        <v>0</v>
      </c>
      <c r="R184" s="3" t="str">
        <f ca="1">IFERROR(__xludf.DUMMYFUNCTION("""COMPUTED_VALUE"""),"2055-06-07T17:26:06.886662Z")</f>
        <v>2055-06-07T17:26:06.886662Z</v>
      </c>
      <c r="S184" s="3" t="str">
        <f ca="1">IFERROR(__xludf.DUMMYFUNCTION("""COMPUTED_VALUE"""),"2055-06-07T17:37:00.553535Z")</f>
        <v>2055-06-07T17:37:00.553535Z</v>
      </c>
      <c r="T184" s="3"/>
      <c r="U184" s="4">
        <f ca="1">IFERROR(__xludf.DUMMYFUNCTION("""COMPUTED_VALUE"""),56772)</f>
        <v>56772</v>
      </c>
      <c r="V184" s="3">
        <f ca="1">IFERROR(__xludf.DUMMYFUNCTION("""COMPUTED_VALUE"""),4.4)</f>
        <v>4.4000000000000004</v>
      </c>
      <c r="W184" s="3">
        <f ca="1">IFERROR(__xludf.DUMMYFUNCTION("""COMPUTED_VALUE"""),4000)</f>
        <v>4000</v>
      </c>
      <c r="X184" s="3">
        <f ca="1">IFERROR(__xludf.DUMMYFUNCTION("""COMPUTED_VALUE"""),3114)</f>
        <v>3114</v>
      </c>
      <c r="Y184" s="3">
        <f ca="1">IFERROR(__xludf.DUMMYFUNCTION("""COMPUTED_VALUE"""),654)</f>
        <v>654</v>
      </c>
      <c r="Z184" s="3">
        <f ca="1">IFERROR(__xludf.DUMMYFUNCTION("""COMPUTED_VALUE"""),1093)</f>
        <v>1093</v>
      </c>
      <c r="AA184" s="3">
        <f ca="1">IFERROR(__xludf.DUMMYFUNCTION("""COMPUTED_VALUE"""),1367)</f>
        <v>1367</v>
      </c>
      <c r="AB184" s="3">
        <f ca="1">IFERROR(__xludf.DUMMYFUNCTION("""COMPUTED_VALUE"""),0)</f>
        <v>0</v>
      </c>
      <c r="AC184" s="3">
        <f ca="1">IFERROR(__xludf.DUMMYFUNCTION("""COMPUTED_VALUE"""),4)</f>
        <v>4</v>
      </c>
      <c r="AD184" s="3" t="str">
        <f ca="1">IFERROR(__xludf.DUMMYFUNCTION("""COMPUTED_VALUE"""),"early")</f>
        <v>early</v>
      </c>
      <c r="AE184" s="3" t="str">
        <f ca="1">IFERROR(__xludf.DUMMYFUNCTION("""COMPUTED_VALUE"""),"2055-06-07T13:55:13.164227Z")</f>
        <v>2055-06-07T13:55:13.164227Z</v>
      </c>
      <c r="AF184" s="3" t="str">
        <f ca="1">IFERROR(__xludf.DUMMYFUNCTION("""COMPUTED_VALUE"""),"2055-06-07T14:18:00.90675Z")</f>
        <v>2055-06-07T14:18:00.90675Z</v>
      </c>
      <c r="AG184" s="3" t="str">
        <f ca="1">IFERROR(__xludf.DUMMYFUNCTION("""COMPUTED_VALUE"""),"2055-06-07T13:25:54.285671Z")</f>
        <v>2055-06-07T13:25:54.285671Z</v>
      </c>
      <c r="AH184" s="3" t="str">
        <f ca="1">IFERROR(__xludf.DUMMYFUNCTION("""COMPUTED_VALUE"""),"2055-06-07T13:37:00.553535Z")</f>
        <v>2055-06-07T13:37:00.553535Z</v>
      </c>
      <c r="AI184" s="3">
        <f ca="1">IFERROR(__xludf.DUMMYFUNCTION("""COMPUTED_VALUE"""),3.82)</f>
        <v>3.82</v>
      </c>
      <c r="AJ184" s="3">
        <f ca="1">IFERROR(__xludf.DUMMYFUNCTION("""COMPUTED_VALUE"""),174)</f>
        <v>174</v>
      </c>
      <c r="AK184" s="3">
        <f ca="1">IFERROR(__xludf.DUMMYFUNCTION("""COMPUTED_VALUE"""),773)</f>
        <v>773</v>
      </c>
      <c r="AL184" s="3"/>
    </row>
    <row r="185" spans="1:38" ht="13">
      <c r="A185" s="3">
        <f ca="1">IFERROR(__xludf.DUMMYFUNCTION("""COMPUTED_VALUE"""),162)</f>
        <v>162</v>
      </c>
      <c r="B185" s="3"/>
      <c r="C185" s="3">
        <f ca="1">IFERROR(__xludf.DUMMYFUNCTION("""COMPUTED_VALUE"""),4001)</f>
        <v>4001</v>
      </c>
      <c r="D185" s="3" t="str">
        <f ca="1">IFERROR(__xludf.DUMMYFUNCTION("""COMPUTED_VALUE"""),"Dashattan")</f>
        <v>Dashattan</v>
      </c>
      <c r="E185" s="3" t="str">
        <f ca="1">IFERROR(__xludf.DUMMYFUNCTION("""COMPUTED_VALUE"""),"Galaxy A")</f>
        <v>Galaxy A</v>
      </c>
      <c r="F185" s="3" t="str">
        <f ca="1">IFERROR(__xludf.DUMMYFUNCTION("""COMPUTED_VALUE"""),"KC")</f>
        <v>KC</v>
      </c>
      <c r="G185" s="3">
        <f ca="1">IFERROR(__xludf.DUMMYFUNCTION("""COMPUTED_VALUE"""),0)</f>
        <v>0</v>
      </c>
      <c r="H185" s="3" t="str">
        <f ca="1">IFERROR(__xludf.DUMMYFUNCTION("""COMPUTED_VALUE"""),"car")</f>
        <v>car</v>
      </c>
      <c r="I185" s="3" t="str">
        <f ca="1">IFERROR(__xludf.DUMMYFUNCTION("""COMPUTED_VALUE"""),"2055-06-02T20:42:33.514222Z")</f>
        <v>2055-06-02T20:42:33.514222Z</v>
      </c>
      <c r="J185" s="3" t="str">
        <f ca="1">IFERROR(__xludf.DUMMYFUNCTION("""COMPUTED_VALUE"""),"2055-06-02T22:00:00Z")</f>
        <v>2055-06-02T22:00:00Z</v>
      </c>
      <c r="K185" s="3" t="str">
        <f ca="1">IFERROR(__xludf.DUMMYFUNCTION("""COMPUTED_VALUE"""),"2055-06-02T22:00:00Z")</f>
        <v>2055-06-02T22:00:00Z</v>
      </c>
      <c r="L185" s="3">
        <f ca="1">IFERROR(__xludf.DUMMYFUNCTION("""COMPUTED_VALUE"""),0)</f>
        <v>0</v>
      </c>
      <c r="M185" s="3">
        <f ca="1">IFERROR(__xludf.DUMMYFUNCTION("""COMPUTED_VALUE"""),0)</f>
        <v>0</v>
      </c>
      <c r="N185" s="3" t="str">
        <f ca="1">IFERROR(__xludf.DUMMYFUNCTION("""COMPUTED_VALUE"""),"2055-06-02T21:41:28.691173Z")</f>
        <v>2055-06-02T21:41:28.691173Z</v>
      </c>
      <c r="O185" s="3" t="str">
        <f ca="1">IFERROR(__xludf.DUMMYFUNCTION("""COMPUTED_VALUE"""),"2055-06-02T21:53:46.997812Z")</f>
        <v>2055-06-02T21:53:46.997812Z</v>
      </c>
      <c r="P185" s="3" t="str">
        <f ca="1">IFERROR(__xludf.DUMMYFUNCTION("""COMPUTED_VALUE"""),"2055-06-02T21:00:54.236359Z")</f>
        <v>2055-06-02T21:00:54.236359Z</v>
      </c>
      <c r="Q185" s="3">
        <f ca="1">IFERROR(__xludf.DUMMYFUNCTION("""COMPUTED_VALUE"""),0)</f>
        <v>0</v>
      </c>
      <c r="R185" s="3" t="str">
        <f ca="1">IFERROR(__xludf.DUMMYFUNCTION("""COMPUTED_VALUE"""),"2055-06-02T21:01:04.736283Z")</f>
        <v>2055-06-02T21:01:04.736283Z</v>
      </c>
      <c r="S185" s="3" t="str">
        <f ca="1">IFERROR(__xludf.DUMMYFUNCTION("""COMPUTED_VALUE"""),"2055-06-02T21:41:25.680252Z")</f>
        <v>2055-06-02T21:41:25.680252Z</v>
      </c>
      <c r="T185" s="3"/>
      <c r="U185" s="4">
        <f ca="1">IFERROR(__xludf.DUMMYFUNCTION("""COMPUTED_VALUE"""),56767)</f>
        <v>56767</v>
      </c>
      <c r="V185" s="3">
        <f ca="1">IFERROR(__xludf.DUMMYFUNCTION("""COMPUTED_VALUE"""),4.417617764)</f>
        <v>4.4176177640000001</v>
      </c>
      <c r="W185" s="3">
        <f ca="1">IFERROR(__xludf.DUMMYFUNCTION("""COMPUTED_VALUE"""),4000)</f>
        <v>4000</v>
      </c>
      <c r="X185" s="3">
        <f ca="1">IFERROR(__xludf.DUMMYFUNCTION("""COMPUTED_VALUE"""),3162)</f>
        <v>3162</v>
      </c>
      <c r="Y185" s="3">
        <f ca="1">IFERROR(__xludf.DUMMYFUNCTION("""COMPUTED_VALUE"""),2421)</f>
        <v>2421</v>
      </c>
      <c r="Z185" s="3">
        <f ca="1">IFERROR(__xludf.DUMMYFUNCTION("""COMPUTED_VALUE"""),3)</f>
        <v>3</v>
      </c>
      <c r="AA185" s="3">
        <f ca="1">IFERROR(__xludf.DUMMYFUNCTION("""COMPUTED_VALUE"""),738)</f>
        <v>738</v>
      </c>
      <c r="AB185" s="3">
        <f ca="1">IFERROR(__xludf.DUMMYFUNCTION("""COMPUTED_VALUE"""),0)</f>
        <v>0</v>
      </c>
      <c r="AC185" s="3">
        <f ca="1">IFERROR(__xludf.DUMMYFUNCTION("""COMPUTED_VALUE"""),9)</f>
        <v>9</v>
      </c>
      <c r="AD185" s="3" t="str">
        <f ca="1">IFERROR(__xludf.DUMMYFUNCTION("""COMPUTED_VALUE"""),"late")</f>
        <v>late</v>
      </c>
      <c r="AE185" s="3" t="str">
        <f ca="1">IFERROR(__xludf.DUMMYFUNCTION("""COMPUTED_VALUE"""),"2055-06-02T17:41:28.691173Z")</f>
        <v>2055-06-02T17:41:28.691173Z</v>
      </c>
      <c r="AF185" s="3" t="str">
        <f ca="1">IFERROR(__xludf.DUMMYFUNCTION("""COMPUTED_VALUE"""),"2055-06-02T17:53:46.997812Z")</f>
        <v>2055-06-02T17:53:46.997812Z</v>
      </c>
      <c r="AG185" s="3" t="str">
        <f ca="1">IFERROR(__xludf.DUMMYFUNCTION("""COMPUTED_VALUE"""),"2055-06-02T17:00:54.236359Z")</f>
        <v>2055-06-02T17:00:54.236359Z</v>
      </c>
      <c r="AH185" s="3" t="str">
        <f ca="1">IFERROR(__xludf.DUMMYFUNCTION("""COMPUTED_VALUE"""),"2055-06-02T17:41:25.680252Z")</f>
        <v>2055-06-02T17:41:25.680252Z</v>
      </c>
      <c r="AI185" s="3">
        <f ca="1">IFERROR(__xludf.DUMMYFUNCTION("""COMPUTED_VALUE"""),4.54)</f>
        <v>4.54</v>
      </c>
      <c r="AJ185" s="3">
        <f ca="1">IFERROR(__xludf.DUMMYFUNCTION("""COMPUTED_VALUE"""),2229)</f>
        <v>2229</v>
      </c>
      <c r="AK185" s="3">
        <f ca="1">IFERROR(__xludf.DUMMYFUNCTION("""COMPUTED_VALUE"""),6580)</f>
        <v>6580</v>
      </c>
      <c r="AL185" s="3"/>
    </row>
    <row r="186" spans="1:38" ht="13">
      <c r="A186" s="3">
        <f ca="1">IFERROR(__xludf.DUMMYFUNCTION("""COMPUTED_VALUE"""),206)</f>
        <v>206</v>
      </c>
      <c r="B186" s="3">
        <f ca="1">IFERROR(__xludf.DUMMYFUNCTION("""COMPUTED_VALUE"""),5)</f>
        <v>5</v>
      </c>
      <c r="C186" s="3">
        <f ca="1">IFERROR(__xludf.DUMMYFUNCTION("""COMPUTED_VALUE"""),4001)</f>
        <v>4001</v>
      </c>
      <c r="D186" s="3" t="str">
        <f ca="1">IFERROR(__xludf.DUMMYFUNCTION("""COMPUTED_VALUE"""),"Dashattan")</f>
        <v>Dashattan</v>
      </c>
      <c r="E186" s="3" t="str">
        <f ca="1">IFERROR(__xludf.DUMMYFUNCTION("""COMPUTED_VALUE"""),"Galaxy A")</f>
        <v>Galaxy A</v>
      </c>
      <c r="F186" s="3" t="str">
        <f ca="1">IFERROR(__xludf.DUMMYFUNCTION("""COMPUTED_VALUE"""),"Samm")</f>
        <v>Samm</v>
      </c>
      <c r="G186" s="3">
        <f ca="1">IFERROR(__xludf.DUMMYFUNCTION("""COMPUTED_VALUE"""),0)</f>
        <v>0</v>
      </c>
      <c r="H186" s="3" t="str">
        <f ca="1">IFERROR(__xludf.DUMMYFUNCTION("""COMPUTED_VALUE"""),"car")</f>
        <v>car</v>
      </c>
      <c r="I186" s="3" t="str">
        <f ca="1">IFERROR(__xludf.DUMMYFUNCTION("""COMPUTED_VALUE"""),"2055-06-02T23:27:11.505175Z")</f>
        <v>2055-06-02T23:27:11.505175Z</v>
      </c>
      <c r="J186" s="3" t="str">
        <f ca="1">IFERROR(__xludf.DUMMYFUNCTION("""COMPUTED_VALUE"""),"2055-06-03T00:46:07.557Z")</f>
        <v>2055-06-03T00:46:07.557Z</v>
      </c>
      <c r="K186" s="3" t="str">
        <f ca="1">IFERROR(__xludf.DUMMYFUNCTION("""COMPUTED_VALUE"""),"2055-06-03T00:22:54.557Z")</f>
        <v>2055-06-03T00:22:54.557Z</v>
      </c>
      <c r="L186" s="3">
        <f ca="1">IFERROR(__xludf.DUMMYFUNCTION("""COMPUTED_VALUE"""),1)</f>
        <v>1</v>
      </c>
      <c r="M186" s="3">
        <f ca="1">IFERROR(__xludf.DUMMYFUNCTION("""COMPUTED_VALUE"""),0)</f>
        <v>0</v>
      </c>
      <c r="N186" s="3" t="str">
        <f ca="1">IFERROR(__xludf.DUMMYFUNCTION("""COMPUTED_VALUE"""),"2055-06-03T00:17:46.779873Z")</f>
        <v>2055-06-03T00:17:46.779873Z</v>
      </c>
      <c r="O186" s="3" t="str">
        <f ca="1">IFERROR(__xludf.DUMMYFUNCTION("""COMPUTED_VALUE"""),"2055-06-03T00:30:47.159824Z")</f>
        <v>2055-06-03T00:30:47.159824Z</v>
      </c>
      <c r="P186" s="3" t="str">
        <f ca="1">IFERROR(__xludf.DUMMYFUNCTION("""COMPUTED_VALUE"""),"2055-06-03T00:10:15.113994Z")</f>
        <v>2055-06-03T00:10:15.113994Z</v>
      </c>
      <c r="Q186" s="3">
        <f ca="1">IFERROR(__xludf.DUMMYFUNCTION("""COMPUTED_VALUE"""),0)</f>
        <v>0</v>
      </c>
      <c r="R186" s="3" t="str">
        <f ca="1">IFERROR(__xludf.DUMMYFUNCTION("""COMPUTED_VALUE"""),"2055-06-03T00:10:18.586034Z")</f>
        <v>2055-06-03T00:10:18.586034Z</v>
      </c>
      <c r="S186" s="3"/>
      <c r="T186" s="3"/>
      <c r="U186" s="4">
        <f ca="1">IFERROR(__xludf.DUMMYFUNCTION("""COMPUTED_VALUE"""),56767)</f>
        <v>56767</v>
      </c>
      <c r="V186" s="3">
        <f ca="1">IFERROR(__xludf.DUMMYFUNCTION("""COMPUTED_VALUE"""),3.980843411)</f>
        <v>3.9808434109999999</v>
      </c>
      <c r="W186" s="3">
        <f ca="1">IFERROR(__xludf.DUMMYFUNCTION("""COMPUTED_VALUE"""),4000)</f>
        <v>4000</v>
      </c>
      <c r="X186" s="3">
        <f ca="1">IFERROR(__xludf.DUMMYFUNCTION("""COMPUTED_VALUE"""),1229)</f>
        <v>1229</v>
      </c>
      <c r="Y186" s="3"/>
      <c r="Z186" s="3"/>
      <c r="AA186" s="3">
        <f ca="1">IFERROR(__xludf.DUMMYFUNCTION("""COMPUTED_VALUE"""),781)</f>
        <v>781</v>
      </c>
      <c r="AB186" s="3">
        <f ca="1">IFERROR(__xludf.DUMMYFUNCTION("""COMPUTED_VALUE"""),0)</f>
        <v>0</v>
      </c>
      <c r="AC186" s="3">
        <f ca="1">IFERROR(__xludf.DUMMYFUNCTION("""COMPUTED_VALUE"""),3)</f>
        <v>3</v>
      </c>
      <c r="AD186" s="3"/>
      <c r="AE186" s="3" t="str">
        <f ca="1">IFERROR(__xludf.DUMMYFUNCTION("""COMPUTED_VALUE"""),"2055-06-02T20:17:46.779873Z")</f>
        <v>2055-06-02T20:17:46.779873Z</v>
      </c>
      <c r="AF186" s="3" t="str">
        <f ca="1">IFERROR(__xludf.DUMMYFUNCTION("""COMPUTED_VALUE"""),"2055-06-02T20:30:47.159824Z")</f>
        <v>2055-06-02T20:30:47.159824Z</v>
      </c>
      <c r="AG186" s="3" t="str">
        <f ca="1">IFERROR(__xludf.DUMMYFUNCTION("""COMPUTED_VALUE"""),"2055-06-02T20:10:15.113994Z")</f>
        <v>2055-06-02T20:10:15.113994Z</v>
      </c>
      <c r="AH186" s="3"/>
      <c r="AI186" s="3">
        <f ca="1">IFERROR(__xludf.DUMMYFUNCTION("""COMPUTED_VALUE"""),4.03)</f>
        <v>4.03</v>
      </c>
      <c r="AJ186" s="3">
        <f ca="1">IFERROR(__xludf.DUMMYFUNCTION("""COMPUTED_VALUE"""),505)</f>
        <v>505</v>
      </c>
      <c r="AK186" s="3">
        <f ca="1">IFERROR(__xludf.DUMMYFUNCTION("""COMPUTED_VALUE"""),1721)</f>
        <v>1721</v>
      </c>
      <c r="AL186" s="3">
        <f ca="1">IFERROR(__xludf.DUMMYFUNCTION("""COMPUTED_VALUE"""),457)</f>
        <v>457</v>
      </c>
    </row>
    <row r="187" spans="1:38" ht="13">
      <c r="A187" s="3">
        <f ca="1">IFERROR(__xludf.DUMMYFUNCTION("""COMPUTED_VALUE"""),378)</f>
        <v>378</v>
      </c>
      <c r="B187" s="3"/>
      <c r="C187" s="3">
        <f ca="1">IFERROR(__xludf.DUMMYFUNCTION("""COMPUTED_VALUE"""),4001)</f>
        <v>4001</v>
      </c>
      <c r="D187" s="3" t="str">
        <f ca="1">IFERROR(__xludf.DUMMYFUNCTION("""COMPUTED_VALUE"""),"Dashattan")</f>
        <v>Dashattan</v>
      </c>
      <c r="E187" s="3" t="str">
        <f ca="1">IFERROR(__xludf.DUMMYFUNCTION("""COMPUTED_VALUE"""),"Galaxy A")</f>
        <v>Galaxy A</v>
      </c>
      <c r="F187" s="3" t="str">
        <f ca="1">IFERROR(__xludf.DUMMYFUNCTION("""COMPUTED_VALUE"""),"Zak")</f>
        <v>Zak</v>
      </c>
      <c r="G187" s="3">
        <f ca="1">IFERROR(__xludf.DUMMYFUNCTION("""COMPUTED_VALUE"""),0)</f>
        <v>0</v>
      </c>
      <c r="H187" s="3" t="str">
        <f ca="1">IFERROR(__xludf.DUMMYFUNCTION("""COMPUTED_VALUE"""),"bicycle")</f>
        <v>bicycle</v>
      </c>
      <c r="I187" s="3" t="str">
        <f ca="1">IFERROR(__xludf.DUMMYFUNCTION("""COMPUTED_VALUE"""),"2055-06-04T00:14:27.257221Z")</f>
        <v>2055-06-04T00:14:27.257221Z</v>
      </c>
      <c r="J187" s="3" t="str">
        <f ca="1">IFERROR(__xludf.DUMMYFUNCTION("""COMPUTED_VALUE"""),"2055-06-04T01:12:09.311Z")</f>
        <v>2055-06-04T01:12:09.311Z</v>
      </c>
      <c r="K187" s="3" t="str">
        <f ca="1">IFERROR(__xludf.DUMMYFUNCTION("""COMPUTED_VALUE"""),"2055-06-04T00:52:02.311Z")</f>
        <v>2055-06-04T00:52:02.311Z</v>
      </c>
      <c r="L187" s="3">
        <f ca="1">IFERROR(__xludf.DUMMYFUNCTION("""COMPUTED_VALUE"""),1)</f>
        <v>1</v>
      </c>
      <c r="M187" s="3">
        <f ca="1">IFERROR(__xludf.DUMMYFUNCTION("""COMPUTED_VALUE"""),0)</f>
        <v>0</v>
      </c>
      <c r="N187" s="3" t="str">
        <f ca="1">IFERROR(__xludf.DUMMYFUNCTION("""COMPUTED_VALUE"""),"2055-06-04T00:47:48.463631Z")</f>
        <v>2055-06-04T00:47:48.463631Z</v>
      </c>
      <c r="O187" s="3" t="str">
        <f ca="1">IFERROR(__xludf.DUMMYFUNCTION("""COMPUTED_VALUE"""),"2055-06-04T00:54:51.876364Z")</f>
        <v>2055-06-04T00:54:51.876364Z</v>
      </c>
      <c r="P187" s="3" t="str">
        <f ca="1">IFERROR(__xludf.DUMMYFUNCTION("""COMPUTED_VALUE"""),"2055-06-04T00:22:15.084502Z")</f>
        <v>2055-06-04T00:22:15.084502Z</v>
      </c>
      <c r="Q187" s="3">
        <f ca="1">IFERROR(__xludf.DUMMYFUNCTION("""COMPUTED_VALUE"""),0)</f>
        <v>0</v>
      </c>
      <c r="R187" s="3" t="str">
        <f ca="1">IFERROR(__xludf.DUMMYFUNCTION("""COMPUTED_VALUE"""),"2055-06-04T00:22:53.66288Z")</f>
        <v>2055-06-04T00:22:53.66288Z</v>
      </c>
      <c r="S187" s="3" t="str">
        <f ca="1">IFERROR(__xludf.DUMMYFUNCTION("""COMPUTED_VALUE"""),"2055-06-04T00:33:51.76387Z")</f>
        <v>2055-06-04T00:33:51.76387Z</v>
      </c>
      <c r="T187" s="3"/>
      <c r="U187" s="4">
        <f ca="1">IFERROR(__xludf.DUMMYFUNCTION("""COMPUTED_VALUE"""),56768)</f>
        <v>56768</v>
      </c>
      <c r="V187" s="3">
        <f ca="1">IFERROR(__xludf.DUMMYFUNCTION("""COMPUTED_VALUE"""),4.7)</f>
        <v>4.7</v>
      </c>
      <c r="W187" s="3">
        <f ca="1">IFERROR(__xludf.DUMMYFUNCTION("""COMPUTED_VALUE"""),4000)</f>
        <v>4000</v>
      </c>
      <c r="X187" s="3">
        <f ca="1">IFERROR(__xludf.DUMMYFUNCTION("""COMPUTED_VALUE"""),1918)</f>
        <v>1918</v>
      </c>
      <c r="Y187" s="3">
        <f ca="1">IFERROR(__xludf.DUMMYFUNCTION("""COMPUTED_VALUE"""),658)</f>
        <v>658</v>
      </c>
      <c r="Z187" s="3">
        <f ca="1">IFERROR(__xludf.DUMMYFUNCTION("""COMPUTED_VALUE"""),837)</f>
        <v>837</v>
      </c>
      <c r="AA187" s="3">
        <f ca="1">IFERROR(__xludf.DUMMYFUNCTION("""COMPUTED_VALUE"""),423)</f>
        <v>423</v>
      </c>
      <c r="AB187" s="3">
        <f ca="1">IFERROR(__xludf.DUMMYFUNCTION("""COMPUTED_VALUE"""),0)</f>
        <v>0</v>
      </c>
      <c r="AC187" s="3">
        <f ca="1">IFERROR(__xludf.DUMMYFUNCTION("""COMPUTED_VALUE"""),6)</f>
        <v>6</v>
      </c>
      <c r="AD187" s="3" t="str">
        <f ca="1">IFERROR(__xludf.DUMMYFUNCTION("""COMPUTED_VALUE"""),"on time")</f>
        <v>on time</v>
      </c>
      <c r="AE187" s="3" t="str">
        <f ca="1">IFERROR(__xludf.DUMMYFUNCTION("""COMPUTED_VALUE"""),"2055-06-03T20:47:48.463631Z")</f>
        <v>2055-06-03T20:47:48.463631Z</v>
      </c>
      <c r="AF187" s="3" t="str">
        <f ca="1">IFERROR(__xludf.DUMMYFUNCTION("""COMPUTED_VALUE"""),"2055-06-03T20:54:51.876364Z")</f>
        <v>2055-06-03T20:54:51.876364Z</v>
      </c>
      <c r="AG187" s="3" t="str">
        <f ca="1">IFERROR(__xludf.DUMMYFUNCTION("""COMPUTED_VALUE"""),"2055-06-03T20:22:15.084502Z")</f>
        <v>2055-06-03T20:22:15.084502Z</v>
      </c>
      <c r="AH187" s="3" t="str">
        <f ca="1">IFERROR(__xludf.DUMMYFUNCTION("""COMPUTED_VALUE"""),"2055-06-03T20:33:51.76387Z")</f>
        <v>2055-06-03T20:33:51.76387Z</v>
      </c>
      <c r="AI187" s="3">
        <f ca="1">IFERROR(__xludf.DUMMYFUNCTION("""COMPUTED_VALUE"""),4.63)</f>
        <v>4.63</v>
      </c>
      <c r="AJ187" s="3">
        <f ca="1">IFERROR(__xludf.DUMMYFUNCTION("""COMPUTED_VALUE"""),265)</f>
        <v>265</v>
      </c>
      <c r="AK187" s="3">
        <f ca="1">IFERROR(__xludf.DUMMYFUNCTION("""COMPUTED_VALUE"""),905)</f>
        <v>905</v>
      </c>
      <c r="AL187" s="3">
        <f ca="1">IFERROR(__xludf.DUMMYFUNCTION("""COMPUTED_VALUE"""),77)</f>
        <v>77</v>
      </c>
    </row>
    <row r="188" spans="1:38" ht="13">
      <c r="A188" s="3">
        <f ca="1">IFERROR(__xludf.DUMMYFUNCTION("""COMPUTED_VALUE"""),789)</f>
        <v>789</v>
      </c>
      <c r="B188" s="3"/>
      <c r="C188" s="3">
        <f ca="1">IFERROR(__xludf.DUMMYFUNCTION("""COMPUTED_VALUE"""),4050)</f>
        <v>4050</v>
      </c>
      <c r="D188" s="3" t="str">
        <f ca="1">IFERROR(__xludf.DUMMYFUNCTION("""COMPUTED_VALUE"""),"Doorlanta")</f>
        <v>Doorlanta</v>
      </c>
      <c r="E188" s="3" t="str">
        <f ca="1">IFERROR(__xludf.DUMMYFUNCTION("""COMPUTED_VALUE"""),"Galaxy A")</f>
        <v>Galaxy A</v>
      </c>
      <c r="F188" s="3" t="str">
        <f ca="1">IFERROR(__xludf.DUMMYFUNCTION("""COMPUTED_VALUE"""),"Hanna")</f>
        <v>Hanna</v>
      </c>
      <c r="G188" s="3">
        <f ca="1">IFERROR(__xludf.DUMMYFUNCTION("""COMPUTED_VALUE"""),0)</f>
        <v>0</v>
      </c>
      <c r="H188" s="3" t="str">
        <f ca="1">IFERROR(__xludf.DUMMYFUNCTION("""COMPUTED_VALUE"""),"car")</f>
        <v>car</v>
      </c>
      <c r="I188" s="3" t="str">
        <f ca="1">IFERROR(__xludf.DUMMYFUNCTION("""COMPUTED_VALUE"""),"2055-06-06T23:17:45.286792Z")</f>
        <v>2055-06-06T23:17:45.286792Z</v>
      </c>
      <c r="J188" s="3" t="str">
        <f ca="1">IFERROR(__xludf.DUMMYFUNCTION("""COMPUTED_VALUE"""),"2055-06-07T00:02:58.37Z")</f>
        <v>2055-06-07T00:02:58.37Z</v>
      </c>
      <c r="K188" s="3" t="str">
        <f ca="1">IFERROR(__xludf.DUMMYFUNCTION("""COMPUTED_VALUE"""),"2055-06-06T23:57:19.37Z")</f>
        <v>2055-06-06T23:57:19.37Z</v>
      </c>
      <c r="L188" s="3">
        <f ca="1">IFERROR(__xludf.DUMMYFUNCTION("""COMPUTED_VALUE"""),1)</f>
        <v>1</v>
      </c>
      <c r="M188" s="3">
        <f ca="1">IFERROR(__xludf.DUMMYFUNCTION("""COMPUTED_VALUE"""),0)</f>
        <v>0</v>
      </c>
      <c r="N188" s="3" t="str">
        <f ca="1">IFERROR(__xludf.DUMMYFUNCTION("""COMPUTED_VALUE"""),"2055-06-06T23:47:47.232304Z")</f>
        <v>2055-06-06T23:47:47.232304Z</v>
      </c>
      <c r="O188" s="3" t="str">
        <f ca="1">IFERROR(__xludf.DUMMYFUNCTION("""COMPUTED_VALUE"""),"2055-06-07T00:04:08.487509Z")</f>
        <v>2055-06-07T00:04:08.487509Z</v>
      </c>
      <c r="P188" s="3" t="str">
        <f ca="1">IFERROR(__xludf.DUMMYFUNCTION("""COMPUTED_VALUE"""),"2055-06-06T23:18:07.311824Z")</f>
        <v>2055-06-06T23:18:07.311824Z</v>
      </c>
      <c r="Q188" s="3">
        <f ca="1">IFERROR(__xludf.DUMMYFUNCTION("""COMPUTED_VALUE"""),0)</f>
        <v>0</v>
      </c>
      <c r="R188" s="3" t="str">
        <f ca="1">IFERROR(__xludf.DUMMYFUNCTION("""COMPUTED_VALUE"""),"2055-06-06T23:18:15.395323Z")</f>
        <v>2055-06-06T23:18:15.395323Z</v>
      </c>
      <c r="S188" s="3" t="str">
        <f ca="1">IFERROR(__xludf.DUMMYFUNCTION("""COMPUTED_VALUE"""),"2055-06-06T23:44:06.466523Z")</f>
        <v>2055-06-06T23:44:06.466523Z</v>
      </c>
      <c r="T188" s="3"/>
      <c r="U188" s="4">
        <f ca="1">IFERROR(__xludf.DUMMYFUNCTION("""COMPUTED_VALUE"""),56771)</f>
        <v>56771</v>
      </c>
      <c r="V188" s="3">
        <f ca="1">IFERROR(__xludf.DUMMYFUNCTION("""COMPUTED_VALUE"""),3.934389016)</f>
        <v>3.9343890159999999</v>
      </c>
      <c r="W188" s="3">
        <f ca="1">IFERROR(__xludf.DUMMYFUNCTION("""COMPUTED_VALUE"""),4000)</f>
        <v>4000</v>
      </c>
      <c r="X188" s="3">
        <f ca="1">IFERROR(__xludf.DUMMYFUNCTION("""COMPUTED_VALUE"""),2753)</f>
        <v>2753</v>
      </c>
      <c r="Y188" s="3">
        <f ca="1">IFERROR(__xludf.DUMMYFUNCTION("""COMPUTED_VALUE"""),1551)</f>
        <v>1551</v>
      </c>
      <c r="Z188" s="3">
        <f ca="1">IFERROR(__xludf.DUMMYFUNCTION("""COMPUTED_VALUE"""),221)</f>
        <v>221</v>
      </c>
      <c r="AA188" s="3">
        <f ca="1">IFERROR(__xludf.DUMMYFUNCTION("""COMPUTED_VALUE"""),981)</f>
        <v>981</v>
      </c>
      <c r="AB188" s="3">
        <f ca="1">IFERROR(__xludf.DUMMYFUNCTION("""COMPUTED_VALUE"""),0)</f>
        <v>0</v>
      </c>
      <c r="AC188" s="3">
        <f ca="1">IFERROR(__xludf.DUMMYFUNCTION("""COMPUTED_VALUE"""),5)</f>
        <v>5</v>
      </c>
      <c r="AD188" s="3" t="str">
        <f ca="1">IFERROR(__xludf.DUMMYFUNCTION("""COMPUTED_VALUE"""),"late")</f>
        <v>late</v>
      </c>
      <c r="AE188" s="3" t="str">
        <f ca="1">IFERROR(__xludf.DUMMYFUNCTION("""COMPUTED_VALUE"""),"2055-06-06T19:47:47.232304Z")</f>
        <v>2055-06-06T19:47:47.232304Z</v>
      </c>
      <c r="AF188" s="3" t="str">
        <f ca="1">IFERROR(__xludf.DUMMYFUNCTION("""COMPUTED_VALUE"""),"2055-06-06T20:04:08.487509Z")</f>
        <v>2055-06-06T20:04:08.487509Z</v>
      </c>
      <c r="AG188" s="3" t="str">
        <f ca="1">IFERROR(__xludf.DUMMYFUNCTION("""COMPUTED_VALUE"""),"2055-06-06T19:18:07.311824Z")</f>
        <v>2055-06-06T19:18:07.311824Z</v>
      </c>
      <c r="AH188" s="3" t="str">
        <f ca="1">IFERROR(__xludf.DUMMYFUNCTION("""COMPUTED_VALUE"""),"2055-06-06T19:44:06.466523Z")</f>
        <v>2055-06-06T19:44:06.466523Z</v>
      </c>
      <c r="AI188" s="3">
        <f ca="1">IFERROR(__xludf.DUMMYFUNCTION("""COMPUTED_VALUE"""),4.79)</f>
        <v>4.79</v>
      </c>
      <c r="AJ188" s="3">
        <f ca="1">IFERROR(__xludf.DUMMYFUNCTION("""COMPUTED_VALUE"""),1007)</f>
        <v>1007</v>
      </c>
      <c r="AK188" s="3">
        <f ca="1">IFERROR(__xludf.DUMMYFUNCTION("""COMPUTED_VALUE"""),2899)</f>
        <v>2899</v>
      </c>
      <c r="AL188" s="3">
        <f ca="1">IFERROR(__xludf.DUMMYFUNCTION("""COMPUTED_VALUE"""),1301)</f>
        <v>1301</v>
      </c>
    </row>
    <row r="189" spans="1:38" ht="13">
      <c r="A189" s="3">
        <f ca="1">IFERROR(__xludf.DUMMYFUNCTION("""COMPUTED_VALUE"""),839)</f>
        <v>839</v>
      </c>
      <c r="B189" s="3"/>
      <c r="C189" s="3">
        <f ca="1">IFERROR(__xludf.DUMMYFUNCTION("""COMPUTED_VALUE"""),4050)</f>
        <v>4050</v>
      </c>
      <c r="D189" s="3" t="str">
        <f ca="1">IFERROR(__xludf.DUMMYFUNCTION("""COMPUTED_VALUE"""),"Doorlanta")</f>
        <v>Doorlanta</v>
      </c>
      <c r="E189" s="3" t="str">
        <f ca="1">IFERROR(__xludf.DUMMYFUNCTION("""COMPUTED_VALUE"""),"Galaxy A")</f>
        <v>Galaxy A</v>
      </c>
      <c r="F189" s="3" t="str">
        <f ca="1">IFERROR(__xludf.DUMMYFUNCTION("""COMPUTED_VALUE"""),"Jagar")</f>
        <v>Jagar</v>
      </c>
      <c r="G189" s="3">
        <f ca="1">IFERROR(__xludf.DUMMYFUNCTION("""COMPUTED_VALUE"""),0)</f>
        <v>0</v>
      </c>
      <c r="H189" s="3" t="str">
        <f ca="1">IFERROR(__xludf.DUMMYFUNCTION("""COMPUTED_VALUE"""),"car")</f>
        <v>car</v>
      </c>
      <c r="I189" s="3" t="str">
        <f ca="1">IFERROR(__xludf.DUMMYFUNCTION("""COMPUTED_VALUE"""),"2055-06-07T16:06:37.944613Z")</f>
        <v>2055-06-07T16:06:37.944613Z</v>
      </c>
      <c r="J189" s="3" t="str">
        <f ca="1">IFERROR(__xludf.DUMMYFUNCTION("""COMPUTED_VALUE"""),"2055-06-07T17:01:38.023Z")</f>
        <v>2055-06-07T17:01:38.023Z</v>
      </c>
      <c r="K189" s="3" t="str">
        <f ca="1">IFERROR(__xludf.DUMMYFUNCTION("""COMPUTED_VALUE"""),"2055-06-07T16:41:49.023Z")</f>
        <v>2055-06-07T16:41:49.023Z</v>
      </c>
      <c r="L189" s="3">
        <f ca="1">IFERROR(__xludf.DUMMYFUNCTION("""COMPUTED_VALUE"""),1)</f>
        <v>1</v>
      </c>
      <c r="M189" s="3">
        <f ca="1">IFERROR(__xludf.DUMMYFUNCTION("""COMPUTED_VALUE"""),0)</f>
        <v>0</v>
      </c>
      <c r="N189" s="3" t="str">
        <f ca="1">IFERROR(__xludf.DUMMYFUNCTION("""COMPUTED_VALUE"""),"2055-06-07T16:26:34.780538Z")</f>
        <v>2055-06-07T16:26:34.780538Z</v>
      </c>
      <c r="O189" s="3" t="str">
        <f ca="1">IFERROR(__xludf.DUMMYFUNCTION("""COMPUTED_VALUE"""),"2055-06-07T16:35:09.717297Z")</f>
        <v>2055-06-07T16:35:09.717297Z</v>
      </c>
      <c r="P189" s="3" t="str">
        <f ca="1">IFERROR(__xludf.DUMMYFUNCTION("""COMPUTED_VALUE"""),"2055-06-07T16:06:47.288264Z")</f>
        <v>2055-06-07T16:06:47.288264Z</v>
      </c>
      <c r="Q189" s="3">
        <f ca="1">IFERROR(__xludf.DUMMYFUNCTION("""COMPUTED_VALUE"""),0)</f>
        <v>0</v>
      </c>
      <c r="R189" s="3" t="str">
        <f ca="1">IFERROR(__xludf.DUMMYFUNCTION("""COMPUTED_VALUE"""),"2055-06-07T16:07:34.980887Z")</f>
        <v>2055-06-07T16:07:34.980887Z</v>
      </c>
      <c r="S189" s="3" t="str">
        <f ca="1">IFERROR(__xludf.DUMMYFUNCTION("""COMPUTED_VALUE"""),"2055-06-07T16:12:30.96274Z")</f>
        <v>2055-06-07T16:12:30.96274Z</v>
      </c>
      <c r="T189" s="3"/>
      <c r="U189" s="4">
        <f ca="1">IFERROR(__xludf.DUMMYFUNCTION("""COMPUTED_VALUE"""),56772)</f>
        <v>56772</v>
      </c>
      <c r="V189" s="3">
        <f ca="1">IFERROR(__xludf.DUMMYFUNCTION("""COMPUTED_VALUE"""),4.6)</f>
        <v>4.5999999999999996</v>
      </c>
      <c r="W189" s="3">
        <f ca="1">IFERROR(__xludf.DUMMYFUNCTION("""COMPUTED_VALUE"""),4000)</f>
        <v>4000</v>
      </c>
      <c r="X189" s="3">
        <f ca="1">IFERROR(__xludf.DUMMYFUNCTION("""COMPUTED_VALUE"""),1655)</f>
        <v>1655</v>
      </c>
      <c r="Y189" s="3">
        <f ca="1">IFERROR(__xludf.DUMMYFUNCTION("""COMPUTED_VALUE"""),296)</f>
        <v>296</v>
      </c>
      <c r="Z189" s="3">
        <f ca="1">IFERROR(__xludf.DUMMYFUNCTION("""COMPUTED_VALUE"""),844)</f>
        <v>844</v>
      </c>
      <c r="AA189" s="3">
        <f ca="1">IFERROR(__xludf.DUMMYFUNCTION("""COMPUTED_VALUE"""),515)</f>
        <v>515</v>
      </c>
      <c r="AB189" s="3">
        <f ca="1">IFERROR(__xludf.DUMMYFUNCTION("""COMPUTED_VALUE"""),0)</f>
        <v>0</v>
      </c>
      <c r="AC189" s="3">
        <f ca="1">IFERROR(__xludf.DUMMYFUNCTION("""COMPUTED_VALUE"""),4)</f>
        <v>4</v>
      </c>
      <c r="AD189" s="3" t="str">
        <f ca="1">IFERROR(__xludf.DUMMYFUNCTION("""COMPUTED_VALUE"""),"early")</f>
        <v>early</v>
      </c>
      <c r="AE189" s="3" t="str">
        <f ca="1">IFERROR(__xludf.DUMMYFUNCTION("""COMPUTED_VALUE"""),"2055-06-07T12:26:34.780538Z")</f>
        <v>2055-06-07T12:26:34.780538Z</v>
      </c>
      <c r="AF189" s="3" t="str">
        <f ca="1">IFERROR(__xludf.DUMMYFUNCTION("""COMPUTED_VALUE"""),"2055-06-07T12:35:09.717297Z")</f>
        <v>2055-06-07T12:35:09.717297Z</v>
      </c>
      <c r="AG189" s="3" t="str">
        <f ca="1">IFERROR(__xludf.DUMMYFUNCTION("""COMPUTED_VALUE"""),"2055-06-07T12:06:47.288264Z")</f>
        <v>2055-06-07T12:06:47.288264Z</v>
      </c>
      <c r="AH189" s="3" t="str">
        <f ca="1">IFERROR(__xludf.DUMMYFUNCTION("""COMPUTED_VALUE"""),"2055-06-07T12:12:30.96274Z")</f>
        <v>2055-06-07T12:12:30.96274Z</v>
      </c>
      <c r="AI189" s="3">
        <f ca="1">IFERROR(__xludf.DUMMYFUNCTION("""COMPUTED_VALUE"""),4.89)</f>
        <v>4.8899999999999997</v>
      </c>
      <c r="AJ189" s="3">
        <f ca="1">IFERROR(__xludf.DUMMYFUNCTION("""COMPUTED_VALUE"""),1778)</f>
        <v>1778</v>
      </c>
      <c r="AK189" s="3">
        <f ca="1">IFERROR(__xludf.DUMMYFUNCTION("""COMPUTED_VALUE"""),5138)</f>
        <v>5138</v>
      </c>
      <c r="AL189" s="3">
        <f ca="1">IFERROR(__xludf.DUMMYFUNCTION("""COMPUTED_VALUE"""),314)</f>
        <v>314</v>
      </c>
    </row>
    <row r="190" spans="1:38" ht="13">
      <c r="A190" s="3">
        <f ca="1">IFERROR(__xludf.DUMMYFUNCTION("""COMPUTED_VALUE"""),479)</f>
        <v>479</v>
      </c>
      <c r="B190" s="3"/>
      <c r="C190" s="3">
        <f ca="1">IFERROR(__xludf.DUMMYFUNCTION("""COMPUTED_VALUE"""),4050)</f>
        <v>4050</v>
      </c>
      <c r="D190" s="3" t="str">
        <f ca="1">IFERROR(__xludf.DUMMYFUNCTION("""COMPUTED_VALUE"""),"Doorlanta")</f>
        <v>Doorlanta</v>
      </c>
      <c r="E190" s="3" t="str">
        <f ca="1">IFERROR(__xludf.DUMMYFUNCTION("""COMPUTED_VALUE"""),"Galaxy A")</f>
        <v>Galaxy A</v>
      </c>
      <c r="F190" s="3" t="str">
        <f ca="1">IFERROR(__xludf.DUMMYFUNCTION("""COMPUTED_VALUE"""),"Elon")</f>
        <v>Elon</v>
      </c>
      <c r="G190" s="3">
        <f ca="1">IFERROR(__xludf.DUMMYFUNCTION("""COMPUTED_VALUE"""),0)</f>
        <v>0</v>
      </c>
      <c r="H190" s="3" t="str">
        <f ca="1">IFERROR(__xludf.DUMMYFUNCTION("""COMPUTED_VALUE"""),"car")</f>
        <v>car</v>
      </c>
      <c r="I190" s="3" t="str">
        <f ca="1">IFERROR(__xludf.DUMMYFUNCTION("""COMPUTED_VALUE"""),"2055-06-04T23:05:46.492089Z")</f>
        <v>2055-06-04T23:05:46.492089Z</v>
      </c>
      <c r="J190" s="3" t="str">
        <f ca="1">IFERROR(__xludf.DUMMYFUNCTION("""COMPUTED_VALUE"""),"2055-06-04T23:45:46.547Z")</f>
        <v>2055-06-04T23:45:46.547Z</v>
      </c>
      <c r="K190" s="3" t="str">
        <f ca="1">IFERROR(__xludf.DUMMYFUNCTION("""COMPUTED_VALUE"""),"2055-06-04T23:34:28.547Z")</f>
        <v>2055-06-04T23:34:28.547Z</v>
      </c>
      <c r="L190" s="3">
        <f ca="1">IFERROR(__xludf.DUMMYFUNCTION("""COMPUTED_VALUE"""),1)</f>
        <v>1</v>
      </c>
      <c r="M190" s="3">
        <f ca="1">IFERROR(__xludf.DUMMYFUNCTION("""COMPUTED_VALUE"""),0)</f>
        <v>0</v>
      </c>
      <c r="N190" s="3" t="str">
        <f ca="1">IFERROR(__xludf.DUMMYFUNCTION("""COMPUTED_VALUE"""),"2055-06-04T23:33:34.394135Z")</f>
        <v>2055-06-04T23:33:34.394135Z</v>
      </c>
      <c r="O190" s="3" t="str">
        <f ca="1">IFERROR(__xludf.DUMMYFUNCTION("""COMPUTED_VALUE"""),"2055-06-04T23:45:12.478679Z")</f>
        <v>2055-06-04T23:45:12.478679Z</v>
      </c>
      <c r="P190" s="3" t="str">
        <f ca="1">IFERROR(__xludf.DUMMYFUNCTION("""COMPUTED_VALUE"""),"2055-06-04T23:13:27.637595Z")</f>
        <v>2055-06-04T23:13:27.637595Z</v>
      </c>
      <c r="Q190" s="3">
        <f ca="1">IFERROR(__xludf.DUMMYFUNCTION("""COMPUTED_VALUE"""),0)</f>
        <v>0</v>
      </c>
      <c r="R190" s="3" t="str">
        <f ca="1">IFERROR(__xludf.DUMMYFUNCTION("""COMPUTED_VALUE"""),"2055-06-04T23:13:35.366473Z")</f>
        <v>2055-06-04T23:13:35.366473Z</v>
      </c>
      <c r="S190" s="3" t="str">
        <f ca="1">IFERROR(__xludf.DUMMYFUNCTION("""COMPUTED_VALUE"""),"2055-06-04T23:26:54.38102Z")</f>
        <v>2055-06-04T23:26:54.38102Z</v>
      </c>
      <c r="T190" s="3"/>
      <c r="U190" s="4">
        <f ca="1">IFERROR(__xludf.DUMMYFUNCTION("""COMPUTED_VALUE"""),56769)</f>
        <v>56769</v>
      </c>
      <c r="V190" s="3">
        <f ca="1">IFERROR(__xludf.DUMMYFUNCTION("""COMPUTED_VALUE"""),4.3)</f>
        <v>4.3</v>
      </c>
      <c r="W190" s="3">
        <f ca="1">IFERROR(__xludf.DUMMYFUNCTION("""COMPUTED_VALUE"""),4000)</f>
        <v>4000</v>
      </c>
      <c r="X190" s="3">
        <f ca="1">IFERROR(__xludf.DUMMYFUNCTION("""COMPUTED_VALUE"""),1897)</f>
        <v>1897</v>
      </c>
      <c r="Y190" s="3">
        <f ca="1">IFERROR(__xludf.DUMMYFUNCTION("""COMPUTED_VALUE"""),799)</f>
        <v>799</v>
      </c>
      <c r="Z190" s="3">
        <f ca="1">IFERROR(__xludf.DUMMYFUNCTION("""COMPUTED_VALUE"""),400)</f>
        <v>400</v>
      </c>
      <c r="AA190" s="3">
        <f ca="1">IFERROR(__xludf.DUMMYFUNCTION("""COMPUTED_VALUE"""),698)</f>
        <v>698</v>
      </c>
      <c r="AB190" s="3">
        <f ca="1">IFERROR(__xludf.DUMMYFUNCTION("""COMPUTED_VALUE"""),1)</f>
        <v>1</v>
      </c>
      <c r="AC190" s="3">
        <f ca="1">IFERROR(__xludf.DUMMYFUNCTION("""COMPUTED_VALUE"""),3)</f>
        <v>3</v>
      </c>
      <c r="AD190" s="3"/>
      <c r="AE190" s="3" t="str">
        <f ca="1">IFERROR(__xludf.DUMMYFUNCTION("""COMPUTED_VALUE"""),"2055-06-04T19:33:34.394135Z")</f>
        <v>2055-06-04T19:33:34.394135Z</v>
      </c>
      <c r="AF190" s="3" t="str">
        <f ca="1">IFERROR(__xludf.DUMMYFUNCTION("""COMPUTED_VALUE"""),"2055-06-04T19:45:12.478679Z")</f>
        <v>2055-06-04T19:45:12.478679Z</v>
      </c>
      <c r="AG190" s="3" t="str">
        <f ca="1">IFERROR(__xludf.DUMMYFUNCTION("""COMPUTED_VALUE"""),"2055-06-04T19:13:27.637595Z")</f>
        <v>2055-06-04T19:13:27.637595Z</v>
      </c>
      <c r="AH190" s="3" t="str">
        <f ca="1">IFERROR(__xludf.DUMMYFUNCTION("""COMPUTED_VALUE"""),"2055-06-04T19:26:54.38102Z")</f>
        <v>2055-06-04T19:26:54.38102Z</v>
      </c>
      <c r="AI190" s="3">
        <f ca="1">IFERROR(__xludf.DUMMYFUNCTION("""COMPUTED_VALUE"""),4.62)</f>
        <v>4.62</v>
      </c>
      <c r="AJ190" s="3">
        <f ca="1">IFERROR(__xludf.DUMMYFUNCTION("""COMPUTED_VALUE"""),259)</f>
        <v>259</v>
      </c>
      <c r="AK190" s="3">
        <f ca="1">IFERROR(__xludf.DUMMYFUNCTION("""COMPUTED_VALUE"""),604)</f>
        <v>604</v>
      </c>
      <c r="AL190" s="3">
        <f ca="1">IFERROR(__xludf.DUMMYFUNCTION("""COMPUTED_VALUE"""),21)</f>
        <v>21</v>
      </c>
    </row>
    <row r="191" spans="1:38" ht="13">
      <c r="A191" s="3">
        <f ca="1">IFERROR(__xludf.DUMMYFUNCTION("""COMPUTED_VALUE"""),524)</f>
        <v>524</v>
      </c>
      <c r="B191" s="3"/>
      <c r="C191" s="3">
        <f ca="1">IFERROR(__xludf.DUMMYFUNCTION("""COMPUTED_VALUE"""),4001)</f>
        <v>4001</v>
      </c>
      <c r="D191" s="3" t="str">
        <f ca="1">IFERROR(__xludf.DUMMYFUNCTION("""COMPUTED_VALUE"""),"Dashattan")</f>
        <v>Dashattan</v>
      </c>
      <c r="E191" s="3" t="str">
        <f ca="1">IFERROR(__xludf.DUMMYFUNCTION("""COMPUTED_VALUE"""),"Galaxy A")</f>
        <v>Galaxy A</v>
      </c>
      <c r="F191" s="3" t="str">
        <f ca="1">IFERROR(__xludf.DUMMYFUNCTION("""COMPUTED_VALUE"""),"Bunje")</f>
        <v>Bunje</v>
      </c>
      <c r="G191" s="3">
        <f ca="1">IFERROR(__xludf.DUMMYFUNCTION("""COMPUTED_VALUE"""),0)</f>
        <v>0</v>
      </c>
      <c r="H191" s="3" t="str">
        <f ca="1">IFERROR(__xludf.DUMMYFUNCTION("""COMPUTED_VALUE"""),"bicycle")</f>
        <v>bicycle</v>
      </c>
      <c r="I191" s="3" t="str">
        <f ca="1">IFERROR(__xludf.DUMMYFUNCTION("""COMPUTED_VALUE"""),"2055-06-05T01:18:03.033619Z")</f>
        <v>2055-06-05T01:18:03.033619Z</v>
      </c>
      <c r="J191" s="3" t="str">
        <f ca="1">IFERROR(__xludf.DUMMYFUNCTION("""COMPUTED_VALUE"""),"2055-06-05T02:42:08.092Z")</f>
        <v>2055-06-05T02:42:08.092Z</v>
      </c>
      <c r="K191" s="3" t="str">
        <f ca="1">IFERROR(__xludf.DUMMYFUNCTION("""COMPUTED_VALUE"""),"2055-06-05T02:32:01.092Z")</f>
        <v>2055-06-05T02:32:01.092Z</v>
      </c>
      <c r="L191" s="3">
        <f ca="1">IFERROR(__xludf.DUMMYFUNCTION("""COMPUTED_VALUE"""),1)</f>
        <v>1</v>
      </c>
      <c r="M191" s="3">
        <f ca="1">IFERROR(__xludf.DUMMYFUNCTION("""COMPUTED_VALUE"""),0)</f>
        <v>0</v>
      </c>
      <c r="N191" s="3" t="str">
        <f ca="1">IFERROR(__xludf.DUMMYFUNCTION("""COMPUTED_VALUE"""),"2055-06-05T02:05:11.37128Z")</f>
        <v>2055-06-05T02:05:11.37128Z</v>
      </c>
      <c r="O191" s="3" t="str">
        <f ca="1">IFERROR(__xludf.DUMMYFUNCTION("""COMPUTED_VALUE"""),"2055-06-05T02:20:24.827548Z")</f>
        <v>2055-06-05T02:20:24.827548Z</v>
      </c>
      <c r="P191" s="3" t="str">
        <f ca="1">IFERROR(__xludf.DUMMYFUNCTION("""COMPUTED_VALUE"""),"2055-06-05T01:37:34.508667Z")</f>
        <v>2055-06-05T01:37:34.508667Z</v>
      </c>
      <c r="Q191" s="3">
        <f ca="1">IFERROR(__xludf.DUMMYFUNCTION("""COMPUTED_VALUE"""),0)</f>
        <v>0</v>
      </c>
      <c r="R191" s="3" t="str">
        <f ca="1">IFERROR(__xludf.DUMMYFUNCTION("""COMPUTED_VALUE"""),"2055-06-05T01:37:39.233314Z")</f>
        <v>2055-06-05T01:37:39.233314Z</v>
      </c>
      <c r="S191" s="3" t="str">
        <f ca="1">IFERROR(__xludf.DUMMYFUNCTION("""COMPUTED_VALUE"""),"2055-06-05T01:51:50.472027Z")</f>
        <v>2055-06-05T01:51:50.472027Z</v>
      </c>
      <c r="T191" s="3"/>
      <c r="U191" s="4">
        <f ca="1">IFERROR(__xludf.DUMMYFUNCTION("""COMPUTED_VALUE"""),56769)</f>
        <v>56769</v>
      </c>
      <c r="V191" s="3">
        <f ca="1">IFERROR(__xludf.DUMMYFUNCTION("""COMPUTED_VALUE"""),3.104588762)</f>
        <v>3.1045887620000001</v>
      </c>
      <c r="W191" s="3">
        <f ca="1">IFERROR(__xludf.DUMMYFUNCTION("""COMPUTED_VALUE"""),4000)</f>
        <v>4000</v>
      </c>
      <c r="X191" s="3">
        <f ca="1">IFERROR(__xludf.DUMMYFUNCTION("""COMPUTED_VALUE"""),2565)</f>
        <v>2565</v>
      </c>
      <c r="Y191" s="3">
        <f ca="1">IFERROR(__xludf.DUMMYFUNCTION("""COMPUTED_VALUE"""),851)</f>
        <v>851</v>
      </c>
      <c r="Z191" s="3">
        <f ca="1">IFERROR(__xludf.DUMMYFUNCTION("""COMPUTED_VALUE"""),801)</f>
        <v>801</v>
      </c>
      <c r="AA191" s="3">
        <f ca="1">IFERROR(__xludf.DUMMYFUNCTION("""COMPUTED_VALUE"""),913)</f>
        <v>913</v>
      </c>
      <c r="AB191" s="3">
        <f ca="1">IFERROR(__xludf.DUMMYFUNCTION("""COMPUTED_VALUE"""),0)</f>
        <v>0</v>
      </c>
      <c r="AC191" s="3">
        <f ca="1">IFERROR(__xludf.DUMMYFUNCTION("""COMPUTED_VALUE"""),13)</f>
        <v>13</v>
      </c>
      <c r="AD191" s="3" t="str">
        <f ca="1">IFERROR(__xludf.DUMMYFUNCTION("""COMPUTED_VALUE"""),"early")</f>
        <v>early</v>
      </c>
      <c r="AE191" s="3" t="str">
        <f ca="1">IFERROR(__xludf.DUMMYFUNCTION("""COMPUTED_VALUE"""),"2055-06-04T22:05:11.37128Z")</f>
        <v>2055-06-04T22:05:11.37128Z</v>
      </c>
      <c r="AF191" s="3" t="str">
        <f ca="1">IFERROR(__xludf.DUMMYFUNCTION("""COMPUTED_VALUE"""),"2055-06-04T22:20:24.827548Z")</f>
        <v>2055-06-04T22:20:24.827548Z</v>
      </c>
      <c r="AG191" s="3" t="str">
        <f ca="1">IFERROR(__xludf.DUMMYFUNCTION("""COMPUTED_VALUE"""),"2055-06-04T21:37:34.508667Z")</f>
        <v>2055-06-04T21:37:34.508667Z</v>
      </c>
      <c r="AH191" s="3" t="str">
        <f ca="1">IFERROR(__xludf.DUMMYFUNCTION("""COMPUTED_VALUE"""),"2055-06-04T21:51:50.472027Z")</f>
        <v>2055-06-04T21:51:50.472027Z</v>
      </c>
      <c r="AI191" s="3">
        <f ca="1">IFERROR(__xludf.DUMMYFUNCTION("""COMPUTED_VALUE"""),4.7)</f>
        <v>4.7</v>
      </c>
      <c r="AJ191" s="3">
        <f ca="1">IFERROR(__xludf.DUMMYFUNCTION("""COMPUTED_VALUE"""),443)</f>
        <v>443</v>
      </c>
      <c r="AK191" s="3">
        <f ca="1">IFERROR(__xludf.DUMMYFUNCTION("""COMPUTED_VALUE"""),1579)</f>
        <v>1579</v>
      </c>
      <c r="AL191" s="3"/>
    </row>
    <row r="192" spans="1:38" ht="13">
      <c r="A192" s="3">
        <f ca="1">IFERROR(__xludf.DUMMYFUNCTION("""COMPUTED_VALUE"""),249)</f>
        <v>249</v>
      </c>
      <c r="B192" s="3"/>
      <c r="C192" s="3">
        <f ca="1">IFERROR(__xludf.DUMMYFUNCTION("""COMPUTED_VALUE"""),4001)</f>
        <v>4001</v>
      </c>
      <c r="D192" s="3" t="str">
        <f ca="1">IFERROR(__xludf.DUMMYFUNCTION("""COMPUTED_VALUE"""),"Dashattan")</f>
        <v>Dashattan</v>
      </c>
      <c r="E192" s="3" t="str">
        <f ca="1">IFERROR(__xludf.DUMMYFUNCTION("""COMPUTED_VALUE"""),"Galaxy A")</f>
        <v>Galaxy A</v>
      </c>
      <c r="F192" s="3" t="str">
        <f ca="1">IFERROR(__xludf.DUMMYFUNCTION("""COMPUTED_VALUE"""),"Samm")</f>
        <v>Samm</v>
      </c>
      <c r="G192" s="3">
        <f ca="1">IFERROR(__xludf.DUMMYFUNCTION("""COMPUTED_VALUE"""),0)</f>
        <v>0</v>
      </c>
      <c r="H192" s="3" t="str">
        <f ca="1">IFERROR(__xludf.DUMMYFUNCTION("""COMPUTED_VALUE"""),"car")</f>
        <v>car</v>
      </c>
      <c r="I192" s="3" t="str">
        <f ca="1">IFERROR(__xludf.DUMMYFUNCTION("""COMPUTED_VALUE"""),"2055-06-03T02:01:31.546891Z")</f>
        <v>2055-06-03T02:01:31.546891Z</v>
      </c>
      <c r="J192" s="3" t="str">
        <f ca="1">IFERROR(__xludf.DUMMYFUNCTION("""COMPUTED_VALUE"""),"2055-06-03T03:00:49.619Z")</f>
        <v>2055-06-03T03:00:49.619Z</v>
      </c>
      <c r="K192" s="3" t="str">
        <f ca="1">IFERROR(__xludf.DUMMYFUNCTION("""COMPUTED_VALUE"""),"2055-06-03T02:42:31.619Z")</f>
        <v>2055-06-03T02:42:31.619Z</v>
      </c>
      <c r="L192" s="3">
        <f ca="1">IFERROR(__xludf.DUMMYFUNCTION("""COMPUTED_VALUE"""),1)</f>
        <v>1</v>
      </c>
      <c r="M192" s="3">
        <f ca="1">IFERROR(__xludf.DUMMYFUNCTION("""COMPUTED_VALUE"""),0)</f>
        <v>0</v>
      </c>
      <c r="N192" s="3" t="str">
        <f ca="1">IFERROR(__xludf.DUMMYFUNCTION("""COMPUTED_VALUE"""),"2055-06-03T02:44:22.545288Z")</f>
        <v>2055-06-03T02:44:22.545288Z</v>
      </c>
      <c r="O192" s="3" t="str">
        <f ca="1">IFERROR(__xludf.DUMMYFUNCTION("""COMPUTED_VALUE"""),"2055-06-03T03:00:18.383565Z")</f>
        <v>2055-06-03T03:00:18.383565Z</v>
      </c>
      <c r="P192" s="3" t="str">
        <f ca="1">IFERROR(__xludf.DUMMYFUNCTION("""COMPUTED_VALUE"""),"2055-06-03T02:05:34.175896Z")</f>
        <v>2055-06-03T02:05:34.175896Z</v>
      </c>
      <c r="Q192" s="3">
        <f ca="1">IFERROR(__xludf.DUMMYFUNCTION("""COMPUTED_VALUE"""),0)</f>
        <v>0</v>
      </c>
      <c r="R192" s="3" t="str">
        <f ca="1">IFERROR(__xludf.DUMMYFUNCTION("""COMPUTED_VALUE"""),"2055-06-03T02:05:36.958657Z")</f>
        <v>2055-06-03T02:05:36.958657Z</v>
      </c>
      <c r="S192" s="3" t="str">
        <f ca="1">IFERROR(__xludf.DUMMYFUNCTION("""COMPUTED_VALUE"""),"2055-06-03T02:29:53.288152Z")</f>
        <v>2055-06-03T02:29:53.288152Z</v>
      </c>
      <c r="T192" s="3"/>
      <c r="U192" s="4">
        <f ca="1">IFERROR(__xludf.DUMMYFUNCTION("""COMPUTED_VALUE"""),56767)</f>
        <v>56767</v>
      </c>
      <c r="V192" s="3">
        <f ca="1">IFERROR(__xludf.DUMMYFUNCTION("""COMPUTED_VALUE"""),4)</f>
        <v>4</v>
      </c>
      <c r="W192" s="3">
        <f ca="1">IFERROR(__xludf.DUMMYFUNCTION("""COMPUTED_VALUE"""),4000)</f>
        <v>4000</v>
      </c>
      <c r="X192" s="3">
        <f ca="1">IFERROR(__xludf.DUMMYFUNCTION("""COMPUTED_VALUE"""),3282)</f>
        <v>3282</v>
      </c>
      <c r="Y192" s="3">
        <f ca="1">IFERROR(__xludf.DUMMYFUNCTION("""COMPUTED_VALUE"""),1457)</f>
        <v>1457</v>
      </c>
      <c r="Z192" s="3">
        <f ca="1">IFERROR(__xludf.DUMMYFUNCTION("""COMPUTED_VALUE"""),869)</f>
        <v>869</v>
      </c>
      <c r="AA192" s="3">
        <f ca="1">IFERROR(__xludf.DUMMYFUNCTION("""COMPUTED_VALUE"""),956)</f>
        <v>956</v>
      </c>
      <c r="AB192" s="3">
        <f ca="1">IFERROR(__xludf.DUMMYFUNCTION("""COMPUTED_VALUE"""),0)</f>
        <v>0</v>
      </c>
      <c r="AC192" s="3">
        <f ca="1">IFERROR(__xludf.DUMMYFUNCTION("""COMPUTED_VALUE"""),6)</f>
        <v>6</v>
      </c>
      <c r="AD192" s="3" t="str">
        <f ca="1">IFERROR(__xludf.DUMMYFUNCTION("""COMPUTED_VALUE"""),"late")</f>
        <v>late</v>
      </c>
      <c r="AE192" s="3" t="str">
        <f ca="1">IFERROR(__xludf.DUMMYFUNCTION("""COMPUTED_VALUE"""),"2055-06-02T22:44:22.545288Z")</f>
        <v>2055-06-02T22:44:22.545288Z</v>
      </c>
      <c r="AF192" s="3" t="str">
        <f ca="1">IFERROR(__xludf.DUMMYFUNCTION("""COMPUTED_VALUE"""),"2055-06-02T23:00:18.383565Z")</f>
        <v>2055-06-02T23:00:18.383565Z</v>
      </c>
      <c r="AG192" s="3" t="str">
        <f ca="1">IFERROR(__xludf.DUMMYFUNCTION("""COMPUTED_VALUE"""),"2055-06-02T22:05:34.175896Z")</f>
        <v>2055-06-02T22:05:34.175896Z</v>
      </c>
      <c r="AH192" s="3" t="str">
        <f ca="1">IFERROR(__xludf.DUMMYFUNCTION("""COMPUTED_VALUE"""),"2055-06-02T22:29:53.288152Z")</f>
        <v>2055-06-02T22:29:53.288152Z</v>
      </c>
      <c r="AI192" s="3">
        <f ca="1">IFERROR(__xludf.DUMMYFUNCTION("""COMPUTED_VALUE"""),4.03)</f>
        <v>4.03</v>
      </c>
      <c r="AJ192" s="3">
        <f ca="1">IFERROR(__xludf.DUMMYFUNCTION("""COMPUTED_VALUE"""),505)</f>
        <v>505</v>
      </c>
      <c r="AK192" s="3">
        <f ca="1">IFERROR(__xludf.DUMMYFUNCTION("""COMPUTED_VALUE"""),1721)</f>
        <v>1721</v>
      </c>
      <c r="AL192" s="3">
        <f ca="1">IFERROR(__xludf.DUMMYFUNCTION("""COMPUTED_VALUE"""),457)</f>
        <v>457</v>
      </c>
    </row>
    <row r="193" spans="1:38" ht="13">
      <c r="A193" s="3">
        <f ca="1">IFERROR(__xludf.DUMMYFUNCTION("""COMPUTED_VALUE"""),553)</f>
        <v>553</v>
      </c>
      <c r="B193" s="3"/>
      <c r="C193" s="3">
        <f ca="1">IFERROR(__xludf.DUMMYFUNCTION("""COMPUTED_VALUE"""),4001)</f>
        <v>4001</v>
      </c>
      <c r="D193" s="3" t="str">
        <f ca="1">IFERROR(__xludf.DUMMYFUNCTION("""COMPUTED_VALUE"""),"Dashattan")</f>
        <v>Dashattan</v>
      </c>
      <c r="E193" s="3" t="str">
        <f ca="1">IFERROR(__xludf.DUMMYFUNCTION("""COMPUTED_VALUE"""),"Galaxy A")</f>
        <v>Galaxy A</v>
      </c>
      <c r="F193" s="3" t="str">
        <f ca="1">IFERROR(__xludf.DUMMYFUNCTION("""COMPUTED_VALUE"""),"KC")</f>
        <v>KC</v>
      </c>
      <c r="G193" s="3">
        <f ca="1">IFERROR(__xludf.DUMMYFUNCTION("""COMPUTED_VALUE"""),0)</f>
        <v>0</v>
      </c>
      <c r="H193" s="3" t="str">
        <f ca="1">IFERROR(__xludf.DUMMYFUNCTION("""COMPUTED_VALUE"""),"car")</f>
        <v>car</v>
      </c>
      <c r="I193" s="3" t="str">
        <f ca="1">IFERROR(__xludf.DUMMYFUNCTION("""COMPUTED_VALUE"""),"2055-06-05T15:28:44.042862Z")</f>
        <v>2055-06-05T15:28:44.042862Z</v>
      </c>
      <c r="J193" s="3" t="str">
        <f ca="1">IFERROR(__xludf.DUMMYFUNCTION("""COMPUTED_VALUE"""),"2055-06-05T16:16:21.135Z")</f>
        <v>2055-06-05T16:16:21.135Z</v>
      </c>
      <c r="K193" s="3" t="str">
        <f ca="1">IFERROR(__xludf.DUMMYFUNCTION("""COMPUTED_VALUE"""),"2055-06-05T16:02:28.135Z")</f>
        <v>2055-06-05T16:02:28.135Z</v>
      </c>
      <c r="L193" s="3">
        <f ca="1">IFERROR(__xludf.DUMMYFUNCTION("""COMPUTED_VALUE"""),1)</f>
        <v>1</v>
      </c>
      <c r="M193" s="3">
        <f ca="1">IFERROR(__xludf.DUMMYFUNCTION("""COMPUTED_VALUE"""),0)</f>
        <v>0</v>
      </c>
      <c r="N193" s="3" t="str">
        <f ca="1">IFERROR(__xludf.DUMMYFUNCTION("""COMPUTED_VALUE"""),"2055-06-05T15:53:28.822841Z")</f>
        <v>2055-06-05T15:53:28.822841Z</v>
      </c>
      <c r="O193" s="3" t="str">
        <f ca="1">IFERROR(__xludf.DUMMYFUNCTION("""COMPUTED_VALUE"""),"2055-06-05T16:00:09.701758Z")</f>
        <v>2055-06-05T16:00:09.701758Z</v>
      </c>
      <c r="P193" s="3" t="str">
        <f ca="1">IFERROR(__xludf.DUMMYFUNCTION("""COMPUTED_VALUE"""),"2055-06-05T15:37:34.474478Z")</f>
        <v>2055-06-05T15:37:34.474478Z</v>
      </c>
      <c r="Q193" s="3">
        <f ca="1">IFERROR(__xludf.DUMMYFUNCTION("""COMPUTED_VALUE"""),0)</f>
        <v>0</v>
      </c>
      <c r="R193" s="3" t="str">
        <f ca="1">IFERROR(__xludf.DUMMYFUNCTION("""COMPUTED_VALUE"""),"2055-06-05T15:37:45.53222Z")</f>
        <v>2055-06-05T15:37:45.53222Z</v>
      </c>
      <c r="S193" s="3" t="str">
        <f ca="1">IFERROR(__xludf.DUMMYFUNCTION("""COMPUTED_VALUE"""),"2055-06-05T15:46:14.949984Z")</f>
        <v>2055-06-05T15:46:14.949984Z</v>
      </c>
      <c r="T193" s="3"/>
      <c r="U193" s="4">
        <f ca="1">IFERROR(__xludf.DUMMYFUNCTION("""COMPUTED_VALUE"""),56770)</f>
        <v>56770</v>
      </c>
      <c r="V193" s="3">
        <f ca="1">IFERROR(__xludf.DUMMYFUNCTION("""COMPUTED_VALUE"""),4.3)</f>
        <v>4.3</v>
      </c>
      <c r="W193" s="3">
        <f ca="1">IFERROR(__xludf.DUMMYFUNCTION("""COMPUTED_VALUE"""),4000)</f>
        <v>4000</v>
      </c>
      <c r="X193" s="3">
        <f ca="1">IFERROR(__xludf.DUMMYFUNCTION("""COMPUTED_VALUE"""),1344)</f>
        <v>1344</v>
      </c>
      <c r="Y193" s="3">
        <f ca="1">IFERROR(__xludf.DUMMYFUNCTION("""COMPUTED_VALUE"""),509)</f>
        <v>509</v>
      </c>
      <c r="Z193" s="3">
        <f ca="1">IFERROR(__xludf.DUMMYFUNCTION("""COMPUTED_VALUE"""),434)</f>
        <v>434</v>
      </c>
      <c r="AA193" s="3">
        <f ca="1">IFERROR(__xludf.DUMMYFUNCTION("""COMPUTED_VALUE"""),401)</f>
        <v>401</v>
      </c>
      <c r="AB193" s="3">
        <f ca="1">IFERROR(__xludf.DUMMYFUNCTION("""COMPUTED_VALUE"""),0)</f>
        <v>0</v>
      </c>
      <c r="AC193" s="3">
        <f ca="1">IFERROR(__xludf.DUMMYFUNCTION("""COMPUTED_VALUE"""),8)</f>
        <v>8</v>
      </c>
      <c r="AD193" s="3" t="str">
        <f ca="1">IFERROR(__xludf.DUMMYFUNCTION("""COMPUTED_VALUE"""),"on time")</f>
        <v>on time</v>
      </c>
      <c r="AE193" s="3" t="str">
        <f ca="1">IFERROR(__xludf.DUMMYFUNCTION("""COMPUTED_VALUE"""),"2055-06-05T11:53:28.822841Z")</f>
        <v>2055-06-05T11:53:28.822841Z</v>
      </c>
      <c r="AF193" s="3" t="str">
        <f ca="1">IFERROR(__xludf.DUMMYFUNCTION("""COMPUTED_VALUE"""),"2055-06-05T12:00:09.701758Z")</f>
        <v>2055-06-05T12:00:09.701758Z</v>
      </c>
      <c r="AG193" s="3" t="str">
        <f ca="1">IFERROR(__xludf.DUMMYFUNCTION("""COMPUTED_VALUE"""),"2055-06-05T11:37:34.474478Z")</f>
        <v>2055-06-05T11:37:34.474478Z</v>
      </c>
      <c r="AH193" s="3" t="str">
        <f ca="1">IFERROR(__xludf.DUMMYFUNCTION("""COMPUTED_VALUE"""),"2055-06-05T11:46:14.949984Z")</f>
        <v>2055-06-05T11:46:14.949984Z</v>
      </c>
      <c r="AI193" s="3">
        <f ca="1">IFERROR(__xludf.DUMMYFUNCTION("""COMPUTED_VALUE"""),4.54)</f>
        <v>4.54</v>
      </c>
      <c r="AJ193" s="3">
        <f ca="1">IFERROR(__xludf.DUMMYFUNCTION("""COMPUTED_VALUE"""),2229)</f>
        <v>2229</v>
      </c>
      <c r="AK193" s="3">
        <f ca="1">IFERROR(__xludf.DUMMYFUNCTION("""COMPUTED_VALUE"""),6580)</f>
        <v>6580</v>
      </c>
      <c r="AL193" s="3"/>
    </row>
    <row r="194" spans="1:38" ht="13">
      <c r="A194" s="3">
        <f ca="1">IFERROR(__xludf.DUMMYFUNCTION("""COMPUTED_VALUE"""),668)</f>
        <v>668</v>
      </c>
      <c r="B194" s="3"/>
      <c r="C194" s="3">
        <f ca="1">IFERROR(__xludf.DUMMYFUNCTION("""COMPUTED_VALUE"""),4001)</f>
        <v>4001</v>
      </c>
      <c r="D194" s="3" t="str">
        <f ca="1">IFERROR(__xludf.DUMMYFUNCTION("""COMPUTED_VALUE"""),"Dashattan")</f>
        <v>Dashattan</v>
      </c>
      <c r="E194" s="3" t="str">
        <f ca="1">IFERROR(__xludf.DUMMYFUNCTION("""COMPUTED_VALUE"""),"Galaxy A")</f>
        <v>Galaxy A</v>
      </c>
      <c r="F194" s="3" t="str">
        <f ca="1">IFERROR(__xludf.DUMMYFUNCTION("""COMPUTED_VALUE"""),"Bill")</f>
        <v>Bill</v>
      </c>
      <c r="G194" s="3">
        <f ca="1">IFERROR(__xludf.DUMMYFUNCTION("""COMPUTED_VALUE"""),0)</f>
        <v>0</v>
      </c>
      <c r="H194" s="3" t="str">
        <f ca="1">IFERROR(__xludf.DUMMYFUNCTION("""COMPUTED_VALUE"""),"car")</f>
        <v>car</v>
      </c>
      <c r="I194" s="3" t="str">
        <f ca="1">IFERROR(__xludf.DUMMYFUNCTION("""COMPUTED_VALUE"""),"2055-06-05T23:09:44.229121Z")</f>
        <v>2055-06-05T23:09:44.229121Z</v>
      </c>
      <c r="J194" s="3" t="str">
        <f ca="1">IFERROR(__xludf.DUMMYFUNCTION("""COMPUTED_VALUE"""),"2055-06-06T00:10:17.291Z")</f>
        <v>2055-06-06T00:10:17.291Z</v>
      </c>
      <c r="K194" s="3" t="str">
        <f ca="1">IFERROR(__xludf.DUMMYFUNCTION("""COMPUTED_VALUE"""),"2055-06-05T23:45:36.291Z")</f>
        <v>2055-06-05T23:45:36.291Z</v>
      </c>
      <c r="L194" s="3">
        <f ca="1">IFERROR(__xludf.DUMMYFUNCTION("""COMPUTED_VALUE"""),1)</f>
        <v>1</v>
      </c>
      <c r="M194" s="3">
        <f ca="1">IFERROR(__xludf.DUMMYFUNCTION("""COMPUTED_VALUE"""),0)</f>
        <v>0</v>
      </c>
      <c r="N194" s="3" t="str">
        <f ca="1">IFERROR(__xludf.DUMMYFUNCTION("""COMPUTED_VALUE"""),"2055-06-05T23:47:03.797443Z")</f>
        <v>2055-06-05T23:47:03.797443Z</v>
      </c>
      <c r="O194" s="3" t="str">
        <f ca="1">IFERROR(__xludf.DUMMYFUNCTION("""COMPUTED_VALUE"""),"2055-06-05T23:47:11.081778Z")</f>
        <v>2055-06-05T23:47:11.081778Z</v>
      </c>
      <c r="P194" s="3" t="str">
        <f ca="1">IFERROR(__xludf.DUMMYFUNCTION("""COMPUTED_VALUE"""),"2055-06-05T23:22:59.372685Z")</f>
        <v>2055-06-05T23:22:59.372685Z</v>
      </c>
      <c r="Q194" s="3">
        <f ca="1">IFERROR(__xludf.DUMMYFUNCTION("""COMPUTED_VALUE"""),0)</f>
        <v>0</v>
      </c>
      <c r="R194" s="3" t="str">
        <f ca="1">IFERROR(__xludf.DUMMYFUNCTION("""COMPUTED_VALUE"""),"2055-06-05T23:23:19.987613Z")</f>
        <v>2055-06-05T23:23:19.987613Z</v>
      </c>
      <c r="S194" s="3" t="str">
        <f ca="1">IFERROR(__xludf.DUMMYFUNCTION("""COMPUTED_VALUE"""),"2055-06-05T23:30:11.96664Z")</f>
        <v>2055-06-05T23:30:11.96664Z</v>
      </c>
      <c r="T194" s="3"/>
      <c r="U194" s="4">
        <f ca="1">IFERROR(__xludf.DUMMYFUNCTION("""COMPUTED_VALUE"""),56770)</f>
        <v>56770</v>
      </c>
      <c r="V194" s="3">
        <f ca="1">IFERROR(__xludf.DUMMYFUNCTION("""COMPUTED_VALUE"""),4.6)</f>
        <v>4.5999999999999996</v>
      </c>
      <c r="W194" s="3">
        <f ca="1">IFERROR(__xludf.DUMMYFUNCTION("""COMPUTED_VALUE"""),4000)</f>
        <v>4000</v>
      </c>
      <c r="X194" s="3">
        <f ca="1">IFERROR(__xludf.DUMMYFUNCTION("""COMPUTED_VALUE"""),1432)</f>
        <v>1432</v>
      </c>
      <c r="Y194" s="3">
        <f ca="1">IFERROR(__xludf.DUMMYFUNCTION("""COMPUTED_VALUE"""),412)</f>
        <v>412</v>
      </c>
      <c r="Z194" s="3">
        <f ca="1">IFERROR(__xludf.DUMMYFUNCTION("""COMPUTED_VALUE"""),1012)</f>
        <v>1012</v>
      </c>
      <c r="AA194" s="3">
        <f ca="1">IFERROR(__xludf.DUMMYFUNCTION("""COMPUTED_VALUE"""),8)</f>
        <v>8</v>
      </c>
      <c r="AB194" s="3">
        <f ca="1">IFERROR(__xludf.DUMMYFUNCTION("""COMPUTED_VALUE"""),0)</f>
        <v>0</v>
      </c>
      <c r="AC194" s="3">
        <f ca="1">IFERROR(__xludf.DUMMYFUNCTION("""COMPUTED_VALUE"""),3)</f>
        <v>3</v>
      </c>
      <c r="AD194" s="3" t="str">
        <f ca="1">IFERROR(__xludf.DUMMYFUNCTION("""COMPUTED_VALUE"""),"late")</f>
        <v>late</v>
      </c>
      <c r="AE194" s="3" t="str">
        <f ca="1">IFERROR(__xludf.DUMMYFUNCTION("""COMPUTED_VALUE"""),"2055-06-05T19:47:03.797443Z")</f>
        <v>2055-06-05T19:47:03.797443Z</v>
      </c>
      <c r="AF194" s="3" t="str">
        <f ca="1">IFERROR(__xludf.DUMMYFUNCTION("""COMPUTED_VALUE"""),"2055-06-05T19:47:11.081778Z")</f>
        <v>2055-06-05T19:47:11.081778Z</v>
      </c>
      <c r="AG194" s="3" t="str">
        <f ca="1">IFERROR(__xludf.DUMMYFUNCTION("""COMPUTED_VALUE"""),"2055-06-05T19:22:59.372685Z")</f>
        <v>2055-06-05T19:22:59.372685Z</v>
      </c>
      <c r="AH194" s="3" t="str">
        <f ca="1">IFERROR(__xludf.DUMMYFUNCTION("""COMPUTED_VALUE"""),"2055-06-05T19:30:11.96664Z")</f>
        <v>2055-06-05T19:30:11.96664Z</v>
      </c>
      <c r="AI194" s="3">
        <f ca="1">IFERROR(__xludf.DUMMYFUNCTION("""COMPUTED_VALUE"""),4.46)</f>
        <v>4.46</v>
      </c>
      <c r="AJ194" s="3">
        <f ca="1">IFERROR(__xludf.DUMMYFUNCTION("""COMPUTED_VALUE"""),148)</f>
        <v>148</v>
      </c>
      <c r="AK194" s="3">
        <f ca="1">IFERROR(__xludf.DUMMYFUNCTION("""COMPUTED_VALUE"""),435)</f>
        <v>435</v>
      </c>
      <c r="AL194" s="3"/>
    </row>
    <row r="195" spans="1:38" ht="13">
      <c r="A195" s="3">
        <f ca="1">IFERROR(__xludf.DUMMYFUNCTION("""COMPUTED_VALUE"""),1010)</f>
        <v>1010</v>
      </c>
      <c r="B195" s="3">
        <f ca="1">IFERROR(__xludf.DUMMYFUNCTION("""COMPUTED_VALUE"""),5)</f>
        <v>5</v>
      </c>
      <c r="C195" s="3">
        <f ca="1">IFERROR(__xludf.DUMMYFUNCTION("""COMPUTED_VALUE"""),4001)</f>
        <v>4001</v>
      </c>
      <c r="D195" s="3" t="str">
        <f ca="1">IFERROR(__xludf.DUMMYFUNCTION("""COMPUTED_VALUE"""),"Dashattan")</f>
        <v>Dashattan</v>
      </c>
      <c r="E195" s="3" t="str">
        <f ca="1">IFERROR(__xludf.DUMMYFUNCTION("""COMPUTED_VALUE"""),"Galaxy A")</f>
        <v>Galaxy A</v>
      </c>
      <c r="F195" s="3" t="str">
        <f ca="1">IFERROR(__xludf.DUMMYFUNCTION("""COMPUTED_VALUE"""),"Etan")</f>
        <v>Etan</v>
      </c>
      <c r="G195" s="3">
        <f ca="1">IFERROR(__xludf.DUMMYFUNCTION("""COMPUTED_VALUE"""),0)</f>
        <v>0</v>
      </c>
      <c r="H195" s="3" t="str">
        <f ca="1">IFERROR(__xludf.DUMMYFUNCTION("""COMPUTED_VALUE"""),"bicycle")</f>
        <v>bicycle</v>
      </c>
      <c r="I195" s="3" t="str">
        <f ca="1">IFERROR(__xludf.DUMMYFUNCTION("""COMPUTED_VALUE"""),"2055-06-09T13:36:49.412074Z")</f>
        <v>2055-06-09T13:36:49.412074Z</v>
      </c>
      <c r="J195" s="3" t="str">
        <f ca="1">IFERROR(__xludf.DUMMYFUNCTION("""COMPUTED_VALUE"""),"2055-06-09T15:45:00Z")</f>
        <v>2055-06-09T15:45:00Z</v>
      </c>
      <c r="K195" s="3" t="str">
        <f ca="1">IFERROR(__xludf.DUMMYFUNCTION("""COMPUTED_VALUE"""),"2055-06-09T15:45:00Z")</f>
        <v>2055-06-09T15:45:00Z</v>
      </c>
      <c r="L195" s="3">
        <f ca="1">IFERROR(__xludf.DUMMYFUNCTION("""COMPUTED_VALUE"""),0)</f>
        <v>0</v>
      </c>
      <c r="M195" s="3">
        <f ca="1">IFERROR(__xludf.DUMMYFUNCTION("""COMPUTED_VALUE"""),0)</f>
        <v>0</v>
      </c>
      <c r="N195" s="3" t="str">
        <f ca="1">IFERROR(__xludf.DUMMYFUNCTION("""COMPUTED_VALUE"""),"2055-06-09T15:10:44.442548Z")</f>
        <v>2055-06-09T15:10:44.442548Z</v>
      </c>
      <c r="O195" s="3" t="str">
        <f ca="1">IFERROR(__xludf.DUMMYFUNCTION("""COMPUTED_VALUE"""),"2055-06-09T15:17:22.901392Z")</f>
        <v>2055-06-09T15:17:22.901392Z</v>
      </c>
      <c r="P195" s="3" t="str">
        <f ca="1">IFERROR(__xludf.DUMMYFUNCTION("""COMPUTED_VALUE"""),"2055-06-09T14:46:14.249139Z")</f>
        <v>2055-06-09T14:46:14.249139Z</v>
      </c>
      <c r="Q195" s="3">
        <f ca="1">IFERROR(__xludf.DUMMYFUNCTION("""COMPUTED_VALUE"""),0)</f>
        <v>0</v>
      </c>
      <c r="R195" s="3" t="str">
        <f ca="1">IFERROR(__xludf.DUMMYFUNCTION("""COMPUTED_VALUE"""),"2055-06-09T14:46:16.443545Z")</f>
        <v>2055-06-09T14:46:16.443545Z</v>
      </c>
      <c r="S195" s="3" t="str">
        <f ca="1">IFERROR(__xludf.DUMMYFUNCTION("""COMPUTED_VALUE"""),"2055-06-09T15:08:42.395791Z")</f>
        <v>2055-06-09T15:08:42.395791Z</v>
      </c>
      <c r="T195" s="3"/>
      <c r="U195" s="4">
        <f ca="1">IFERROR(__xludf.DUMMYFUNCTION("""COMPUTED_VALUE"""),56774)</f>
        <v>56774</v>
      </c>
      <c r="V195" s="3">
        <f ca="1">IFERROR(__xludf.DUMMYFUNCTION("""COMPUTED_VALUE"""),4.5)</f>
        <v>4.5</v>
      </c>
      <c r="W195" s="3">
        <f ca="1">IFERROR(__xludf.DUMMYFUNCTION("""COMPUTED_VALUE"""),4000)</f>
        <v>4000</v>
      </c>
      <c r="X195" s="3">
        <f ca="1">IFERROR(__xludf.DUMMYFUNCTION("""COMPUTED_VALUE"""),1866)</f>
        <v>1866</v>
      </c>
      <c r="Y195" s="3">
        <f ca="1">IFERROR(__xludf.DUMMYFUNCTION("""COMPUTED_VALUE"""),1346)</f>
        <v>1346</v>
      </c>
      <c r="Z195" s="3">
        <f ca="1">IFERROR(__xludf.DUMMYFUNCTION("""COMPUTED_VALUE"""),122)</f>
        <v>122</v>
      </c>
      <c r="AA195" s="3">
        <f ca="1">IFERROR(__xludf.DUMMYFUNCTION("""COMPUTED_VALUE"""),398)</f>
        <v>398</v>
      </c>
      <c r="AB195" s="3">
        <f ca="1">IFERROR(__xludf.DUMMYFUNCTION("""COMPUTED_VALUE"""),0)</f>
        <v>0</v>
      </c>
      <c r="AC195" s="3">
        <f ca="1">IFERROR(__xludf.DUMMYFUNCTION("""COMPUTED_VALUE"""),5)</f>
        <v>5</v>
      </c>
      <c r="AD195" s="3" t="str">
        <f ca="1">IFERROR(__xludf.DUMMYFUNCTION("""COMPUTED_VALUE"""),"late")</f>
        <v>late</v>
      </c>
      <c r="AE195" s="3" t="str">
        <f ca="1">IFERROR(__xludf.DUMMYFUNCTION("""COMPUTED_VALUE"""),"2055-06-09T11:10:44.442548Z")</f>
        <v>2055-06-09T11:10:44.442548Z</v>
      </c>
      <c r="AF195" s="3" t="str">
        <f ca="1">IFERROR(__xludf.DUMMYFUNCTION("""COMPUTED_VALUE"""),"2055-06-09T11:17:22.901392Z")</f>
        <v>2055-06-09T11:17:22.901392Z</v>
      </c>
      <c r="AG195" s="3" t="str">
        <f ca="1">IFERROR(__xludf.DUMMYFUNCTION("""COMPUTED_VALUE"""),"2055-06-09T10:46:14.249139Z")</f>
        <v>2055-06-09T10:46:14.249139Z</v>
      </c>
      <c r="AH195" s="3" t="str">
        <f ca="1">IFERROR(__xludf.DUMMYFUNCTION("""COMPUTED_VALUE"""),"2055-06-09T11:08:42.395791Z")</f>
        <v>2055-06-09T11:08:42.395791Z</v>
      </c>
      <c r="AI195" s="3">
        <f ca="1">IFERROR(__xludf.DUMMYFUNCTION("""COMPUTED_VALUE"""),4.35106383)</f>
        <v>4.3510638300000002</v>
      </c>
      <c r="AJ195" s="3">
        <f ca="1">IFERROR(__xludf.DUMMYFUNCTION("""COMPUTED_VALUE"""),62)</f>
        <v>62</v>
      </c>
      <c r="AK195" s="3">
        <f ca="1">IFERROR(__xludf.DUMMYFUNCTION("""COMPUTED_VALUE"""),228)</f>
        <v>228</v>
      </c>
      <c r="AL195" s="3"/>
    </row>
    <row r="196" spans="1:38" ht="13">
      <c r="A196" s="3">
        <f ca="1">IFERROR(__xludf.DUMMYFUNCTION("""COMPUTED_VALUE"""),411)</f>
        <v>411</v>
      </c>
      <c r="B196" s="3"/>
      <c r="C196" s="3">
        <f ca="1">IFERROR(__xludf.DUMMYFUNCTION("""COMPUTED_VALUE"""),4050)</f>
        <v>4050</v>
      </c>
      <c r="D196" s="3" t="str">
        <f ca="1">IFERROR(__xludf.DUMMYFUNCTION("""COMPUTED_VALUE"""),"Doorlanta")</f>
        <v>Doorlanta</v>
      </c>
      <c r="E196" s="3" t="str">
        <f ca="1">IFERROR(__xludf.DUMMYFUNCTION("""COMPUTED_VALUE"""),"Galaxy A")</f>
        <v>Galaxy A</v>
      </c>
      <c r="F196" s="3" t="str">
        <f ca="1">IFERROR(__xludf.DUMMYFUNCTION("""COMPUTED_VALUE"""),"Matthew")</f>
        <v>Matthew</v>
      </c>
      <c r="G196" s="3">
        <f ca="1">IFERROR(__xludf.DUMMYFUNCTION("""COMPUTED_VALUE"""),0)</f>
        <v>0</v>
      </c>
      <c r="H196" s="3" t="str">
        <f ca="1">IFERROR(__xludf.DUMMYFUNCTION("""COMPUTED_VALUE"""),"car")</f>
        <v>car</v>
      </c>
      <c r="I196" s="3" t="str">
        <f ca="1">IFERROR(__xludf.DUMMYFUNCTION("""COMPUTED_VALUE"""),"2055-06-04T16:06:47.780603Z")</f>
        <v>2055-06-04T16:06:47.780603Z</v>
      </c>
      <c r="J196" s="3" t="str">
        <f ca="1">IFERROR(__xludf.DUMMYFUNCTION("""COMPUTED_VALUE"""),"2055-06-04T17:11:56.897Z")</f>
        <v>2055-06-04T17:11:56.897Z</v>
      </c>
      <c r="K196" s="3" t="str">
        <f ca="1">IFERROR(__xludf.DUMMYFUNCTION("""COMPUTED_VALUE"""),"2055-06-04T16:53:03.897Z")</f>
        <v>2055-06-04T16:53:03.897Z</v>
      </c>
      <c r="L196" s="3">
        <f ca="1">IFERROR(__xludf.DUMMYFUNCTION("""COMPUTED_VALUE"""),1)</f>
        <v>1</v>
      </c>
      <c r="M196" s="3">
        <f ca="1">IFERROR(__xludf.DUMMYFUNCTION("""COMPUTED_VALUE"""),0)</f>
        <v>0</v>
      </c>
      <c r="N196" s="3" t="str">
        <f ca="1">IFERROR(__xludf.DUMMYFUNCTION("""COMPUTED_VALUE"""),"2055-06-04T16:37:59.525146Z")</f>
        <v>2055-06-04T16:37:59.525146Z</v>
      </c>
      <c r="O196" s="3" t="str">
        <f ca="1">IFERROR(__xludf.DUMMYFUNCTION("""COMPUTED_VALUE"""),"2055-06-04T16:56:38.732738Z")</f>
        <v>2055-06-04T16:56:38.732738Z</v>
      </c>
      <c r="P196" s="3" t="str">
        <f ca="1">IFERROR(__xludf.DUMMYFUNCTION("""COMPUTED_VALUE"""),"2055-06-04T16:07:07.248105Z")</f>
        <v>2055-06-04T16:07:07.248105Z</v>
      </c>
      <c r="Q196" s="3">
        <f ca="1">IFERROR(__xludf.DUMMYFUNCTION("""COMPUTED_VALUE"""),0)</f>
        <v>0</v>
      </c>
      <c r="R196" s="3" t="str">
        <f ca="1">IFERROR(__xludf.DUMMYFUNCTION("""COMPUTED_VALUE"""),"2055-06-04T16:07:43.543713Z")</f>
        <v>2055-06-04T16:07:43.543713Z</v>
      </c>
      <c r="S196" s="3" t="str">
        <f ca="1">IFERROR(__xludf.DUMMYFUNCTION("""COMPUTED_VALUE"""),"2055-06-04T16:37:43.416738Z")</f>
        <v>2055-06-04T16:37:43.416738Z</v>
      </c>
      <c r="T196" s="3"/>
      <c r="U196" s="4">
        <f ca="1">IFERROR(__xludf.DUMMYFUNCTION("""COMPUTED_VALUE"""),56769)</f>
        <v>56769</v>
      </c>
      <c r="V196" s="3">
        <f ca="1">IFERROR(__xludf.DUMMYFUNCTION("""COMPUTED_VALUE"""),4.6)</f>
        <v>4.5999999999999996</v>
      </c>
      <c r="W196" s="3">
        <f ca="1">IFERROR(__xludf.DUMMYFUNCTION("""COMPUTED_VALUE"""),4000)</f>
        <v>4000</v>
      </c>
      <c r="X196" s="3">
        <f ca="1">IFERROR(__xludf.DUMMYFUNCTION("""COMPUTED_VALUE"""),2935)</f>
        <v>2935</v>
      </c>
      <c r="Y196" s="3">
        <f ca="1">IFERROR(__xludf.DUMMYFUNCTION("""COMPUTED_VALUE"""),1800)</f>
        <v>1800</v>
      </c>
      <c r="Z196" s="3">
        <f ca="1">IFERROR(__xludf.DUMMYFUNCTION("""COMPUTED_VALUE"""),16)</f>
        <v>16</v>
      </c>
      <c r="AA196" s="3">
        <f ca="1">IFERROR(__xludf.DUMMYFUNCTION("""COMPUTED_VALUE"""),1119)</f>
        <v>1119</v>
      </c>
      <c r="AB196" s="3">
        <f ca="1">IFERROR(__xludf.DUMMYFUNCTION("""COMPUTED_VALUE"""),0)</f>
        <v>0</v>
      </c>
      <c r="AC196" s="3">
        <f ca="1">IFERROR(__xludf.DUMMYFUNCTION("""COMPUTED_VALUE"""),4)</f>
        <v>4</v>
      </c>
      <c r="AD196" s="3" t="str">
        <f ca="1">IFERROR(__xludf.DUMMYFUNCTION("""COMPUTED_VALUE"""),"late")</f>
        <v>late</v>
      </c>
      <c r="AE196" s="3" t="str">
        <f ca="1">IFERROR(__xludf.DUMMYFUNCTION("""COMPUTED_VALUE"""),"2055-06-04T12:37:59.525146Z")</f>
        <v>2055-06-04T12:37:59.525146Z</v>
      </c>
      <c r="AF196" s="3" t="str">
        <f ca="1">IFERROR(__xludf.DUMMYFUNCTION("""COMPUTED_VALUE"""),"2055-06-04T12:56:38.732738Z")</f>
        <v>2055-06-04T12:56:38.732738Z</v>
      </c>
      <c r="AG196" s="3" t="str">
        <f ca="1">IFERROR(__xludf.DUMMYFUNCTION("""COMPUTED_VALUE"""),"2055-06-04T12:07:07.248105Z")</f>
        <v>2055-06-04T12:07:07.248105Z</v>
      </c>
      <c r="AH196" s="3" t="str">
        <f ca="1">IFERROR(__xludf.DUMMYFUNCTION("""COMPUTED_VALUE"""),"2055-06-04T12:37:43.416738Z")</f>
        <v>2055-06-04T12:37:43.416738Z</v>
      </c>
      <c r="AI196" s="3">
        <f ca="1">IFERROR(__xludf.DUMMYFUNCTION("""COMPUTED_VALUE"""),4.411111111)</f>
        <v>4.4111111110000003</v>
      </c>
      <c r="AJ196" s="3">
        <f ca="1">IFERROR(__xludf.DUMMYFUNCTION("""COMPUTED_VALUE"""),68)</f>
        <v>68</v>
      </c>
      <c r="AK196" s="3">
        <f ca="1">IFERROR(__xludf.DUMMYFUNCTION("""COMPUTED_VALUE"""),223)</f>
        <v>223</v>
      </c>
      <c r="AL196" s="3">
        <f ca="1">IFERROR(__xludf.DUMMYFUNCTION("""COMPUTED_VALUE"""),118)</f>
        <v>118</v>
      </c>
    </row>
    <row r="197" spans="1:38" ht="13">
      <c r="A197" s="3">
        <f ca="1">IFERROR(__xludf.DUMMYFUNCTION("""COMPUTED_VALUE"""),612)</f>
        <v>612</v>
      </c>
      <c r="B197" s="3"/>
      <c r="C197" s="3">
        <f ca="1">IFERROR(__xludf.DUMMYFUNCTION("""COMPUTED_VALUE"""),4050)</f>
        <v>4050</v>
      </c>
      <c r="D197" s="3" t="str">
        <f ca="1">IFERROR(__xludf.DUMMYFUNCTION("""COMPUTED_VALUE"""),"Doorlanta")</f>
        <v>Doorlanta</v>
      </c>
      <c r="E197" s="3" t="str">
        <f ca="1">IFERROR(__xludf.DUMMYFUNCTION("""COMPUTED_VALUE"""),"Galaxy A")</f>
        <v>Galaxy A</v>
      </c>
      <c r="F197" s="3" t="str">
        <f ca="1">IFERROR(__xludf.DUMMYFUNCTION("""COMPUTED_VALUE"""),"Joe")</f>
        <v>Joe</v>
      </c>
      <c r="G197" s="3">
        <f ca="1">IFERROR(__xludf.DUMMYFUNCTION("""COMPUTED_VALUE"""),0)</f>
        <v>0</v>
      </c>
      <c r="H197" s="3" t="str">
        <f ca="1">IFERROR(__xludf.DUMMYFUNCTION("""COMPUTED_VALUE"""),"car")</f>
        <v>car</v>
      </c>
      <c r="I197" s="3" t="str">
        <f ca="1">IFERROR(__xludf.DUMMYFUNCTION("""COMPUTED_VALUE"""),"2055-06-05T20:29:30.384185Z")</f>
        <v>2055-06-05T20:29:30.384185Z</v>
      </c>
      <c r="J197" s="3" t="str">
        <f ca="1">IFERROR(__xludf.DUMMYFUNCTION("""COMPUTED_VALUE"""),"2055-06-05T21:55:30.462Z")</f>
        <v>2055-06-05T21:55:30.462Z</v>
      </c>
      <c r="K197" s="3" t="str">
        <f ca="1">IFERROR(__xludf.DUMMYFUNCTION("""COMPUTED_VALUE"""),"2055-06-05T21:27:17.462Z")</f>
        <v>2055-06-05T21:27:17.462Z</v>
      </c>
      <c r="L197" s="3">
        <f ca="1">IFERROR(__xludf.DUMMYFUNCTION("""COMPUTED_VALUE"""),1)</f>
        <v>1</v>
      </c>
      <c r="M197" s="3">
        <f ca="1">IFERROR(__xludf.DUMMYFUNCTION("""COMPUTED_VALUE"""),0)</f>
        <v>0</v>
      </c>
      <c r="N197" s="3" t="str">
        <f ca="1">IFERROR(__xludf.DUMMYFUNCTION("""COMPUTED_VALUE"""),"2055-06-05T21:07:01.945798Z")</f>
        <v>2055-06-05T21:07:01.945798Z</v>
      </c>
      <c r="O197" s="3" t="str">
        <f ca="1">IFERROR(__xludf.DUMMYFUNCTION("""COMPUTED_VALUE"""),"2055-06-05T21:23:43.926513Z")</f>
        <v>2055-06-05T21:23:43.926513Z</v>
      </c>
      <c r="P197" s="3" t="str">
        <f ca="1">IFERROR(__xludf.DUMMYFUNCTION("""COMPUTED_VALUE"""),"2055-06-05T20:45:47.341535Z")</f>
        <v>2055-06-05T20:45:47.341535Z</v>
      </c>
      <c r="Q197" s="3">
        <f ca="1">IFERROR(__xludf.DUMMYFUNCTION("""COMPUTED_VALUE"""),0)</f>
        <v>0</v>
      </c>
      <c r="R197" s="3" t="str">
        <f ca="1">IFERROR(__xludf.DUMMYFUNCTION("""COMPUTED_VALUE"""),"2055-06-05T20:45:54.953111Z")</f>
        <v>2055-06-05T20:45:54.953111Z</v>
      </c>
      <c r="S197" s="3" t="str">
        <f ca="1">IFERROR(__xludf.DUMMYFUNCTION("""COMPUTED_VALUE"""),"2055-06-05T21:06:42.20134Z")</f>
        <v>2055-06-05T21:06:42.20134Z</v>
      </c>
      <c r="T197" s="3"/>
      <c r="U197" s="4">
        <f ca="1">IFERROR(__xludf.DUMMYFUNCTION("""COMPUTED_VALUE"""),56770)</f>
        <v>56770</v>
      </c>
      <c r="V197" s="3">
        <f ca="1">IFERROR(__xludf.DUMMYFUNCTION("""COMPUTED_VALUE"""),4.4)</f>
        <v>4.4000000000000004</v>
      </c>
      <c r="W197" s="3">
        <f ca="1">IFERROR(__xludf.DUMMYFUNCTION("""COMPUTED_VALUE"""),4000)</f>
        <v>4000</v>
      </c>
      <c r="X197" s="3">
        <f ca="1">IFERROR(__xludf.DUMMYFUNCTION("""COMPUTED_VALUE"""),2269)</f>
        <v>2269</v>
      </c>
      <c r="Y197" s="3">
        <f ca="1">IFERROR(__xludf.DUMMYFUNCTION("""COMPUTED_VALUE"""),1248)</f>
        <v>1248</v>
      </c>
      <c r="Z197" s="3">
        <f ca="1">IFERROR(__xludf.DUMMYFUNCTION("""COMPUTED_VALUE"""),19)</f>
        <v>19</v>
      </c>
      <c r="AA197" s="3">
        <f ca="1">IFERROR(__xludf.DUMMYFUNCTION("""COMPUTED_VALUE"""),1002)</f>
        <v>1002</v>
      </c>
      <c r="AB197" s="3">
        <f ca="1">IFERROR(__xludf.DUMMYFUNCTION("""COMPUTED_VALUE"""),0)</f>
        <v>0</v>
      </c>
      <c r="AC197" s="3">
        <f ca="1">IFERROR(__xludf.DUMMYFUNCTION("""COMPUTED_VALUE"""),3)</f>
        <v>3</v>
      </c>
      <c r="AD197" s="3" t="str">
        <f ca="1">IFERROR(__xludf.DUMMYFUNCTION("""COMPUTED_VALUE"""),"late")</f>
        <v>late</v>
      </c>
      <c r="AE197" s="3" t="str">
        <f ca="1">IFERROR(__xludf.DUMMYFUNCTION("""COMPUTED_VALUE"""),"2055-06-05T17:07:01.945798Z")</f>
        <v>2055-06-05T17:07:01.945798Z</v>
      </c>
      <c r="AF197" s="3" t="str">
        <f ca="1">IFERROR(__xludf.DUMMYFUNCTION("""COMPUTED_VALUE"""),"2055-06-05T17:23:43.926513Z")</f>
        <v>2055-06-05T17:23:43.926513Z</v>
      </c>
      <c r="AG197" s="3" t="str">
        <f ca="1">IFERROR(__xludf.DUMMYFUNCTION("""COMPUTED_VALUE"""),"2055-06-05T16:45:47.341535Z")</f>
        <v>2055-06-05T16:45:47.341535Z</v>
      </c>
      <c r="AH197" s="3" t="str">
        <f ca="1">IFERROR(__xludf.DUMMYFUNCTION("""COMPUTED_VALUE"""),"2055-06-05T17:06:42.20134Z")</f>
        <v>2055-06-05T17:06:42.20134Z</v>
      </c>
      <c r="AI197" s="3">
        <f ca="1">IFERROR(__xludf.DUMMYFUNCTION("""COMPUTED_VALUE"""),4.38)</f>
        <v>4.38</v>
      </c>
      <c r="AJ197" s="3">
        <f ca="1">IFERROR(__xludf.DUMMYFUNCTION("""COMPUTED_VALUE"""),196)</f>
        <v>196</v>
      </c>
      <c r="AK197" s="3">
        <f ca="1">IFERROR(__xludf.DUMMYFUNCTION("""COMPUTED_VALUE"""),626)</f>
        <v>626</v>
      </c>
      <c r="AL197" s="3"/>
    </row>
    <row r="198" spans="1:38" ht="13">
      <c r="A198" s="3">
        <f ca="1">IFERROR(__xludf.DUMMYFUNCTION("""COMPUTED_VALUE"""),320)</f>
        <v>320</v>
      </c>
      <c r="B198" s="3">
        <f ca="1">IFERROR(__xludf.DUMMYFUNCTION("""COMPUTED_VALUE"""),5)</f>
        <v>5</v>
      </c>
      <c r="C198" s="3">
        <f ca="1">IFERROR(__xludf.DUMMYFUNCTION("""COMPUTED_VALUE"""),4050)</f>
        <v>4050</v>
      </c>
      <c r="D198" s="3" t="str">
        <f ca="1">IFERROR(__xludf.DUMMYFUNCTION("""COMPUTED_VALUE"""),"Doorlanta")</f>
        <v>Doorlanta</v>
      </c>
      <c r="E198" s="3" t="str">
        <f ca="1">IFERROR(__xludf.DUMMYFUNCTION("""COMPUTED_VALUE"""),"Galaxy A")</f>
        <v>Galaxy A</v>
      </c>
      <c r="F198" s="3" t="str">
        <f ca="1">IFERROR(__xludf.DUMMYFUNCTION("""COMPUTED_VALUE"""),"Hanna")</f>
        <v>Hanna</v>
      </c>
      <c r="G198" s="3">
        <f ca="1">IFERROR(__xludf.DUMMYFUNCTION("""COMPUTED_VALUE"""),0)</f>
        <v>0</v>
      </c>
      <c r="H198" s="3" t="str">
        <f ca="1">IFERROR(__xludf.DUMMYFUNCTION("""COMPUTED_VALUE"""),"car")</f>
        <v>car</v>
      </c>
      <c r="I198" s="3" t="str">
        <f ca="1">IFERROR(__xludf.DUMMYFUNCTION("""COMPUTED_VALUE"""),"2055-06-03T19:42:07.768648Z")</f>
        <v>2055-06-03T19:42:07.768648Z</v>
      </c>
      <c r="J198" s="3" t="str">
        <f ca="1">IFERROR(__xludf.DUMMYFUNCTION("""COMPUTED_VALUE"""),"2055-06-03T20:23:54.835Z")</f>
        <v>2055-06-03T20:23:54.835Z</v>
      </c>
      <c r="K198" s="3" t="str">
        <f ca="1">IFERROR(__xludf.DUMMYFUNCTION("""COMPUTED_VALUE"""),"2055-06-03T20:20:01.835Z")</f>
        <v>2055-06-03T20:20:01.835Z</v>
      </c>
      <c r="L198" s="3">
        <f ca="1">IFERROR(__xludf.DUMMYFUNCTION("""COMPUTED_VALUE"""),1)</f>
        <v>1</v>
      </c>
      <c r="M198" s="3">
        <f ca="1">IFERROR(__xludf.DUMMYFUNCTION("""COMPUTED_VALUE"""),1)</f>
        <v>1</v>
      </c>
      <c r="N198" s="3" t="str">
        <f ca="1">IFERROR(__xludf.DUMMYFUNCTION("""COMPUTED_VALUE"""),"2055-06-03T20:06:44.933172Z")</f>
        <v>2055-06-03T20:06:44.933172Z</v>
      </c>
      <c r="O198" s="3" t="str">
        <f ca="1">IFERROR(__xludf.DUMMYFUNCTION("""COMPUTED_VALUE"""),"2055-06-03T20:17:46.580568Z")</f>
        <v>2055-06-03T20:17:46.580568Z</v>
      </c>
      <c r="P198" s="3" t="str">
        <f ca="1">IFERROR(__xludf.DUMMYFUNCTION("""COMPUTED_VALUE"""),"2055-06-03T19:42:27.285099Z")</f>
        <v>2055-06-03T19:42:27.285099Z</v>
      </c>
      <c r="Q198" s="3">
        <f ca="1">IFERROR(__xludf.DUMMYFUNCTION("""COMPUTED_VALUE"""),0)</f>
        <v>0</v>
      </c>
      <c r="R198" s="3" t="str">
        <f ca="1">IFERROR(__xludf.DUMMYFUNCTION("""COMPUTED_VALUE"""),"2055-06-03T19:43:24.793191Z")</f>
        <v>2055-06-03T19:43:24.793191Z</v>
      </c>
      <c r="S198" s="3" t="str">
        <f ca="1">IFERROR(__xludf.DUMMYFUNCTION("""COMPUTED_VALUE"""),"2055-06-03T19:45:46.363921Z")</f>
        <v>2055-06-03T19:45:46.363921Z</v>
      </c>
      <c r="T198" s="3"/>
      <c r="U198" s="4">
        <f ca="1">IFERROR(__xludf.DUMMYFUNCTION("""COMPUTED_VALUE"""),56768)</f>
        <v>56768</v>
      </c>
      <c r="V198" s="3">
        <f ca="1">IFERROR(__xludf.DUMMYFUNCTION("""COMPUTED_VALUE"""),4.1)</f>
        <v>4.0999999999999996</v>
      </c>
      <c r="W198" s="3">
        <f ca="1">IFERROR(__xludf.DUMMYFUNCTION("""COMPUTED_VALUE"""),4000)</f>
        <v>4000</v>
      </c>
      <c r="X198" s="3">
        <f ca="1">IFERROR(__xludf.DUMMYFUNCTION("""COMPUTED_VALUE"""),2062)</f>
        <v>2062</v>
      </c>
      <c r="Y198" s="3">
        <f ca="1">IFERROR(__xludf.DUMMYFUNCTION("""COMPUTED_VALUE"""),142)</f>
        <v>142</v>
      </c>
      <c r="Z198" s="3">
        <f ca="1">IFERROR(__xludf.DUMMYFUNCTION("""COMPUTED_VALUE"""),1258)</f>
        <v>1258</v>
      </c>
      <c r="AA198" s="3">
        <f ca="1">IFERROR(__xludf.DUMMYFUNCTION("""COMPUTED_VALUE"""),662)</f>
        <v>662</v>
      </c>
      <c r="AB198" s="3">
        <f ca="1">IFERROR(__xludf.DUMMYFUNCTION("""COMPUTED_VALUE"""),0)</f>
        <v>0</v>
      </c>
      <c r="AC198" s="3">
        <f ca="1">IFERROR(__xludf.DUMMYFUNCTION("""COMPUTED_VALUE"""),7)</f>
        <v>7</v>
      </c>
      <c r="AD198" s="3" t="str">
        <f ca="1">IFERROR(__xludf.DUMMYFUNCTION("""COMPUTED_VALUE"""),"early")</f>
        <v>early</v>
      </c>
      <c r="AE198" s="3" t="str">
        <f ca="1">IFERROR(__xludf.DUMMYFUNCTION("""COMPUTED_VALUE"""),"2055-06-03T16:06:44.933172Z")</f>
        <v>2055-06-03T16:06:44.933172Z</v>
      </c>
      <c r="AF198" s="3" t="str">
        <f ca="1">IFERROR(__xludf.DUMMYFUNCTION("""COMPUTED_VALUE"""),"2055-06-03T16:17:46.580568Z")</f>
        <v>2055-06-03T16:17:46.580568Z</v>
      </c>
      <c r="AG198" s="3" t="str">
        <f ca="1">IFERROR(__xludf.DUMMYFUNCTION("""COMPUTED_VALUE"""),"2055-06-03T15:42:27.285099Z")</f>
        <v>2055-06-03T15:42:27.285099Z</v>
      </c>
      <c r="AH198" s="3" t="str">
        <f ca="1">IFERROR(__xludf.DUMMYFUNCTION("""COMPUTED_VALUE"""),"2055-06-03T15:45:46.363921Z")</f>
        <v>2055-06-03T15:45:46.363921Z</v>
      </c>
      <c r="AI198" s="3">
        <f ca="1">IFERROR(__xludf.DUMMYFUNCTION("""COMPUTED_VALUE"""),4.79)</f>
        <v>4.79</v>
      </c>
      <c r="AJ198" s="3">
        <f ca="1">IFERROR(__xludf.DUMMYFUNCTION("""COMPUTED_VALUE"""),1007)</f>
        <v>1007</v>
      </c>
      <c r="AK198" s="3">
        <f ca="1">IFERROR(__xludf.DUMMYFUNCTION("""COMPUTED_VALUE"""),2899)</f>
        <v>2899</v>
      </c>
      <c r="AL198" s="3">
        <f ca="1">IFERROR(__xludf.DUMMYFUNCTION("""COMPUTED_VALUE"""),1301)</f>
        <v>1301</v>
      </c>
    </row>
    <row r="199" spans="1:38" ht="13">
      <c r="A199" s="3">
        <f ca="1">IFERROR(__xludf.DUMMYFUNCTION("""COMPUTED_VALUE"""),1322)</f>
        <v>1322</v>
      </c>
      <c r="B199" s="3"/>
      <c r="C199" s="3">
        <f ca="1">IFERROR(__xludf.DUMMYFUNCTION("""COMPUTED_VALUE"""),4001)</f>
        <v>4001</v>
      </c>
      <c r="D199" s="3" t="str">
        <f ca="1">IFERROR(__xludf.DUMMYFUNCTION("""COMPUTED_VALUE"""),"Dashattan")</f>
        <v>Dashattan</v>
      </c>
      <c r="E199" s="3" t="str">
        <f ca="1">IFERROR(__xludf.DUMMYFUNCTION("""COMPUTED_VALUE"""),"Galaxy A")</f>
        <v>Galaxy A</v>
      </c>
      <c r="F199" s="3" t="str">
        <f ca="1">IFERROR(__xludf.DUMMYFUNCTION("""COMPUTED_VALUE"""),"KC")</f>
        <v>KC</v>
      </c>
      <c r="G199" s="3">
        <f ca="1">IFERROR(__xludf.DUMMYFUNCTION("""COMPUTED_VALUE"""),0)</f>
        <v>0</v>
      </c>
      <c r="H199" s="3" t="str">
        <f ca="1">IFERROR(__xludf.DUMMYFUNCTION("""COMPUTED_VALUE"""),"car")</f>
        <v>car</v>
      </c>
      <c r="I199" s="3" t="str">
        <f ca="1">IFERROR(__xludf.DUMMYFUNCTION("""COMPUTED_VALUE"""),"2055-06-11T22:36:17.676246Z")</f>
        <v>2055-06-11T22:36:17.676246Z</v>
      </c>
      <c r="J199" s="3" t="str">
        <f ca="1">IFERROR(__xludf.DUMMYFUNCTION("""COMPUTED_VALUE"""),"2055-06-11T23:19:27.736Z")</f>
        <v>2055-06-11T23:19:27.736Z</v>
      </c>
      <c r="K199" s="3" t="str">
        <f ca="1">IFERROR(__xludf.DUMMYFUNCTION("""COMPUTED_VALUE"""),"2055-06-11T23:10:34.736Z")</f>
        <v>2055-06-11T23:10:34.736Z</v>
      </c>
      <c r="L199" s="3">
        <f ca="1">IFERROR(__xludf.DUMMYFUNCTION("""COMPUTED_VALUE"""),1)</f>
        <v>1</v>
      </c>
      <c r="M199" s="3">
        <f ca="1">IFERROR(__xludf.DUMMYFUNCTION("""COMPUTED_VALUE"""),0)</f>
        <v>0</v>
      </c>
      <c r="N199" s="3" t="str">
        <f ca="1">IFERROR(__xludf.DUMMYFUNCTION("""COMPUTED_VALUE"""),"2055-06-11T23:07:14.58626Z")</f>
        <v>2055-06-11T23:07:14.58626Z</v>
      </c>
      <c r="O199" s="3" t="str">
        <f ca="1">IFERROR(__xludf.DUMMYFUNCTION("""COMPUTED_VALUE"""),"2055-06-11T23:19:21.767142Z")</f>
        <v>2055-06-11T23:19:21.767142Z</v>
      </c>
      <c r="P199" s="3" t="str">
        <f ca="1">IFERROR(__xludf.DUMMYFUNCTION("""COMPUTED_VALUE"""),"2055-06-11T22:42:34.521715Z")</f>
        <v>2055-06-11T22:42:34.521715Z</v>
      </c>
      <c r="Q199" s="3">
        <f ca="1">IFERROR(__xludf.DUMMYFUNCTION("""COMPUTED_VALUE"""),0)</f>
        <v>0</v>
      </c>
      <c r="R199" s="3" t="str">
        <f ca="1">IFERROR(__xludf.DUMMYFUNCTION("""COMPUTED_VALUE"""),"2055-06-11T22:43:25.518574Z")</f>
        <v>2055-06-11T22:43:25.518574Z</v>
      </c>
      <c r="S199" s="3" t="str">
        <f ca="1">IFERROR(__xludf.DUMMYFUNCTION("""COMPUTED_VALUE"""),"2055-06-11T22:47:21.102611Z")</f>
        <v>2055-06-11T22:47:21.102611Z</v>
      </c>
      <c r="T199" s="3"/>
      <c r="U199" s="4">
        <f ca="1">IFERROR(__xludf.DUMMYFUNCTION("""COMPUTED_VALUE"""),56776)</f>
        <v>56776</v>
      </c>
      <c r="V199" s="3">
        <f ca="1">IFERROR(__xludf.DUMMYFUNCTION("""COMPUTED_VALUE"""),3.6)</f>
        <v>3.6</v>
      </c>
      <c r="W199" s="3">
        <f ca="1">IFERROR(__xludf.DUMMYFUNCTION("""COMPUTED_VALUE"""),4000)</f>
        <v>4000</v>
      </c>
      <c r="X199" s="3">
        <f ca="1">IFERROR(__xludf.DUMMYFUNCTION("""COMPUTED_VALUE"""),2156)</f>
        <v>2156</v>
      </c>
      <c r="Y199" s="3">
        <f ca="1">IFERROR(__xludf.DUMMYFUNCTION("""COMPUTED_VALUE"""),236)</f>
        <v>236</v>
      </c>
      <c r="Z199" s="3">
        <f ca="1">IFERROR(__xludf.DUMMYFUNCTION("""COMPUTED_VALUE"""),1193)</f>
        <v>1193</v>
      </c>
      <c r="AA199" s="3">
        <f ca="1">IFERROR(__xludf.DUMMYFUNCTION("""COMPUTED_VALUE"""),727)</f>
        <v>727</v>
      </c>
      <c r="AB199" s="3">
        <f ca="1">IFERROR(__xludf.DUMMYFUNCTION("""COMPUTED_VALUE"""),0)</f>
        <v>0</v>
      </c>
      <c r="AC199" s="3">
        <f ca="1">IFERROR(__xludf.DUMMYFUNCTION("""COMPUTED_VALUE"""),2)</f>
        <v>2</v>
      </c>
      <c r="AD199" s="3" t="str">
        <f ca="1">IFERROR(__xludf.DUMMYFUNCTION("""COMPUTED_VALUE"""),"early")</f>
        <v>early</v>
      </c>
      <c r="AE199" s="3" t="str">
        <f ca="1">IFERROR(__xludf.DUMMYFUNCTION("""COMPUTED_VALUE"""),"2055-06-11T19:07:14.58626Z")</f>
        <v>2055-06-11T19:07:14.58626Z</v>
      </c>
      <c r="AF199" s="3" t="str">
        <f ca="1">IFERROR(__xludf.DUMMYFUNCTION("""COMPUTED_VALUE"""),"2055-06-11T19:19:21.767142Z")</f>
        <v>2055-06-11T19:19:21.767142Z</v>
      </c>
      <c r="AG199" s="3" t="str">
        <f ca="1">IFERROR(__xludf.DUMMYFUNCTION("""COMPUTED_VALUE"""),"2055-06-11T18:42:34.521715Z")</f>
        <v>2055-06-11T18:42:34.521715Z</v>
      </c>
      <c r="AH199" s="3" t="str">
        <f ca="1">IFERROR(__xludf.DUMMYFUNCTION("""COMPUTED_VALUE"""),"2055-06-11T18:47:21.102611Z")</f>
        <v>2055-06-11T18:47:21.102611Z</v>
      </c>
      <c r="AI199" s="3">
        <f ca="1">IFERROR(__xludf.DUMMYFUNCTION("""COMPUTED_VALUE"""),4.54)</f>
        <v>4.54</v>
      </c>
      <c r="AJ199" s="3">
        <f ca="1">IFERROR(__xludf.DUMMYFUNCTION("""COMPUTED_VALUE"""),2229)</f>
        <v>2229</v>
      </c>
      <c r="AK199" s="3">
        <f ca="1">IFERROR(__xludf.DUMMYFUNCTION("""COMPUTED_VALUE"""),6580)</f>
        <v>6580</v>
      </c>
      <c r="AL199" s="3"/>
    </row>
    <row r="200" spans="1:38" ht="13">
      <c r="A200" s="3">
        <f ca="1">IFERROR(__xludf.DUMMYFUNCTION("""COMPUTED_VALUE"""),514)</f>
        <v>514</v>
      </c>
      <c r="B200" s="3"/>
      <c r="C200" s="3">
        <f ca="1">IFERROR(__xludf.DUMMYFUNCTION("""COMPUTED_VALUE"""),4050)</f>
        <v>4050</v>
      </c>
      <c r="D200" s="3" t="str">
        <f ca="1">IFERROR(__xludf.DUMMYFUNCTION("""COMPUTED_VALUE"""),"Doorlanta")</f>
        <v>Doorlanta</v>
      </c>
      <c r="E200" s="3" t="str">
        <f ca="1">IFERROR(__xludf.DUMMYFUNCTION("""COMPUTED_VALUE"""),"Galaxy A")</f>
        <v>Galaxy A</v>
      </c>
      <c r="F200" s="3" t="str">
        <f ca="1">IFERROR(__xludf.DUMMYFUNCTION("""COMPUTED_VALUE"""),"Matthew")</f>
        <v>Matthew</v>
      </c>
      <c r="G200" s="3">
        <f ca="1">IFERROR(__xludf.DUMMYFUNCTION("""COMPUTED_VALUE"""),0)</f>
        <v>0</v>
      </c>
      <c r="H200" s="3" t="str">
        <f ca="1">IFERROR(__xludf.DUMMYFUNCTION("""COMPUTED_VALUE"""),"car")</f>
        <v>car</v>
      </c>
      <c r="I200" s="3" t="str">
        <f ca="1">IFERROR(__xludf.DUMMYFUNCTION("""COMPUTED_VALUE"""),"2055-06-05T00:37:26.148991Z")</f>
        <v>2055-06-05T00:37:26.148991Z</v>
      </c>
      <c r="J200" s="3" t="str">
        <f ca="1">IFERROR(__xludf.DUMMYFUNCTION("""COMPUTED_VALUE"""),"2055-06-05T01:34:54.223Z")</f>
        <v>2055-06-05T01:34:54.223Z</v>
      </c>
      <c r="K200" s="3" t="str">
        <f ca="1">IFERROR(__xludf.DUMMYFUNCTION("""COMPUTED_VALUE"""),"2055-06-05T01:16:36.223Z")</f>
        <v>2055-06-05T01:16:36.223Z</v>
      </c>
      <c r="L200" s="3">
        <f ca="1">IFERROR(__xludf.DUMMYFUNCTION("""COMPUTED_VALUE"""),1)</f>
        <v>1</v>
      </c>
      <c r="M200" s="3">
        <f ca="1">IFERROR(__xludf.DUMMYFUNCTION("""COMPUTED_VALUE"""),0)</f>
        <v>0</v>
      </c>
      <c r="N200" s="3" t="str">
        <f ca="1">IFERROR(__xludf.DUMMYFUNCTION("""COMPUTED_VALUE"""),"2055-06-05T01:11:09.385391Z")</f>
        <v>2055-06-05T01:11:09.385391Z</v>
      </c>
      <c r="O200" s="3" t="str">
        <f ca="1">IFERROR(__xludf.DUMMYFUNCTION("""COMPUTED_VALUE"""),"2055-06-05T01:17:06.876366Z")</f>
        <v>2055-06-05T01:17:06.876366Z</v>
      </c>
      <c r="P200" s="3" t="str">
        <f ca="1">IFERROR(__xludf.DUMMYFUNCTION("""COMPUTED_VALUE"""),"2055-06-05T00:53:07.506349Z")</f>
        <v>2055-06-05T00:53:07.506349Z</v>
      </c>
      <c r="Q200" s="3">
        <f ca="1">IFERROR(__xludf.DUMMYFUNCTION("""COMPUTED_VALUE"""),0)</f>
        <v>0</v>
      </c>
      <c r="R200" s="3" t="str">
        <f ca="1">IFERROR(__xludf.DUMMYFUNCTION("""COMPUTED_VALUE"""),"2055-06-05T00:53:15.928878Z")</f>
        <v>2055-06-05T00:53:15.928878Z</v>
      </c>
      <c r="S200" s="3" t="str">
        <f ca="1">IFERROR(__xludf.DUMMYFUNCTION("""COMPUTED_VALUE"""),"2055-06-05T01:05:42.876476Z")</f>
        <v>2055-06-05T01:05:42.876476Z</v>
      </c>
      <c r="T200" s="3"/>
      <c r="U200" s="4">
        <f ca="1">IFERROR(__xludf.DUMMYFUNCTION("""COMPUTED_VALUE"""),56769)</f>
        <v>56769</v>
      </c>
      <c r="V200" s="3">
        <f ca="1">IFERROR(__xludf.DUMMYFUNCTION("""COMPUTED_VALUE"""),4.4)</f>
        <v>4.4000000000000004</v>
      </c>
      <c r="W200" s="3">
        <f ca="1">IFERROR(__xludf.DUMMYFUNCTION("""COMPUTED_VALUE"""),4000)</f>
        <v>4000</v>
      </c>
      <c r="X200" s="3">
        <f ca="1">IFERROR(__xludf.DUMMYFUNCTION("""COMPUTED_VALUE"""),1431)</f>
        <v>1431</v>
      </c>
      <c r="Y200" s="3">
        <f ca="1">IFERROR(__xludf.DUMMYFUNCTION("""COMPUTED_VALUE"""),747)</f>
        <v>747</v>
      </c>
      <c r="Z200" s="3">
        <f ca="1">IFERROR(__xludf.DUMMYFUNCTION("""COMPUTED_VALUE"""),327)</f>
        <v>327</v>
      </c>
      <c r="AA200" s="3">
        <f ca="1">IFERROR(__xludf.DUMMYFUNCTION("""COMPUTED_VALUE"""),357)</f>
        <v>357</v>
      </c>
      <c r="AB200" s="3">
        <f ca="1">IFERROR(__xludf.DUMMYFUNCTION("""COMPUTED_VALUE"""),0)</f>
        <v>0</v>
      </c>
      <c r="AC200" s="3">
        <f ca="1">IFERROR(__xludf.DUMMYFUNCTION("""COMPUTED_VALUE"""),3)</f>
        <v>3</v>
      </c>
      <c r="AD200" s="3" t="str">
        <f ca="1">IFERROR(__xludf.DUMMYFUNCTION("""COMPUTED_VALUE"""),"late")</f>
        <v>late</v>
      </c>
      <c r="AE200" s="3" t="str">
        <f ca="1">IFERROR(__xludf.DUMMYFUNCTION("""COMPUTED_VALUE"""),"2055-06-04T21:11:09.385391Z")</f>
        <v>2055-06-04T21:11:09.385391Z</v>
      </c>
      <c r="AF200" s="3" t="str">
        <f ca="1">IFERROR(__xludf.DUMMYFUNCTION("""COMPUTED_VALUE"""),"2055-06-04T21:17:06.876366Z")</f>
        <v>2055-06-04T21:17:06.876366Z</v>
      </c>
      <c r="AG200" s="3" t="str">
        <f ca="1">IFERROR(__xludf.DUMMYFUNCTION("""COMPUTED_VALUE"""),"2055-06-04T20:53:07.506349Z")</f>
        <v>2055-06-04T20:53:07.506349Z</v>
      </c>
      <c r="AH200" s="3" t="str">
        <f ca="1">IFERROR(__xludf.DUMMYFUNCTION("""COMPUTED_VALUE"""),"2055-06-04T21:05:42.876476Z")</f>
        <v>2055-06-04T21:05:42.876476Z</v>
      </c>
      <c r="AI200" s="3">
        <f ca="1">IFERROR(__xludf.DUMMYFUNCTION("""COMPUTED_VALUE"""),4.411111111)</f>
        <v>4.4111111110000003</v>
      </c>
      <c r="AJ200" s="3">
        <f ca="1">IFERROR(__xludf.DUMMYFUNCTION("""COMPUTED_VALUE"""),68)</f>
        <v>68</v>
      </c>
      <c r="AK200" s="3">
        <f ca="1">IFERROR(__xludf.DUMMYFUNCTION("""COMPUTED_VALUE"""),223)</f>
        <v>223</v>
      </c>
      <c r="AL200" s="3">
        <f ca="1">IFERROR(__xludf.DUMMYFUNCTION("""COMPUTED_VALUE"""),118)</f>
        <v>118</v>
      </c>
    </row>
    <row r="201" spans="1:38" ht="13">
      <c r="A201" s="3">
        <f ca="1">IFERROR(__xludf.DUMMYFUNCTION("""COMPUTED_VALUE"""),487)</f>
        <v>487</v>
      </c>
      <c r="B201" s="3"/>
      <c r="C201" s="3">
        <f ca="1">IFERROR(__xludf.DUMMYFUNCTION("""COMPUTED_VALUE"""),4050)</f>
        <v>4050</v>
      </c>
      <c r="D201" s="3" t="str">
        <f ca="1">IFERROR(__xludf.DUMMYFUNCTION("""COMPUTED_VALUE"""),"Doorlanta")</f>
        <v>Doorlanta</v>
      </c>
      <c r="E201" s="3" t="str">
        <f ca="1">IFERROR(__xludf.DUMMYFUNCTION("""COMPUTED_VALUE"""),"Galaxy A")</f>
        <v>Galaxy A</v>
      </c>
      <c r="F201" s="3" t="str">
        <f ca="1">IFERROR(__xludf.DUMMYFUNCTION("""COMPUTED_VALUE"""),"Hanna")</f>
        <v>Hanna</v>
      </c>
      <c r="G201" s="3">
        <f ca="1">IFERROR(__xludf.DUMMYFUNCTION("""COMPUTED_VALUE"""),0)</f>
        <v>0</v>
      </c>
      <c r="H201" s="3" t="str">
        <f ca="1">IFERROR(__xludf.DUMMYFUNCTION("""COMPUTED_VALUE"""),"car")</f>
        <v>car</v>
      </c>
      <c r="I201" s="3" t="str">
        <f ca="1">IFERROR(__xludf.DUMMYFUNCTION("""COMPUTED_VALUE"""),"2055-06-04T23:22:38.543906Z")</f>
        <v>2055-06-04T23:22:38.543906Z</v>
      </c>
      <c r="J201" s="3" t="str">
        <f ca="1">IFERROR(__xludf.DUMMYFUNCTION("""COMPUTED_VALUE"""),"2055-06-05T00:23:42.655Z")</f>
        <v>2055-06-05T00:23:42.655Z</v>
      </c>
      <c r="K201" s="3" t="str">
        <f ca="1">IFERROR(__xludf.DUMMYFUNCTION("""COMPUTED_VALUE"""),"2055-06-05T00:05:24.655Z")</f>
        <v>2055-06-05T00:05:24.655Z</v>
      </c>
      <c r="L201" s="3">
        <f ca="1">IFERROR(__xludf.DUMMYFUNCTION("""COMPUTED_VALUE"""),1)</f>
        <v>1</v>
      </c>
      <c r="M201" s="3">
        <f ca="1">IFERROR(__xludf.DUMMYFUNCTION("""COMPUTED_VALUE"""),0)</f>
        <v>0</v>
      </c>
      <c r="N201" s="3" t="str">
        <f ca="1">IFERROR(__xludf.DUMMYFUNCTION("""COMPUTED_VALUE"""),"2055-06-04T23:58:47.444259Z")</f>
        <v>2055-06-04T23:58:47.444259Z</v>
      </c>
      <c r="O201" s="3" t="str">
        <f ca="1">IFERROR(__xludf.DUMMYFUNCTION("""COMPUTED_VALUE"""),"2055-06-05T00:05:09.8041Z")</f>
        <v>2055-06-05T00:05:09.8041Z</v>
      </c>
      <c r="P201" s="3" t="str">
        <f ca="1">IFERROR(__xludf.DUMMYFUNCTION("""COMPUTED_VALUE"""),"2055-06-04T23:40:07.460678Z")</f>
        <v>2055-06-04T23:40:07.460678Z</v>
      </c>
      <c r="Q201" s="3">
        <f ca="1">IFERROR(__xludf.DUMMYFUNCTION("""COMPUTED_VALUE"""),0)</f>
        <v>0</v>
      </c>
      <c r="R201" s="3" t="str">
        <f ca="1">IFERROR(__xludf.DUMMYFUNCTION("""COMPUTED_VALUE"""),"2055-06-04T23:40:09.441868Z")</f>
        <v>2055-06-04T23:40:09.441868Z</v>
      </c>
      <c r="S201" s="3" t="str">
        <f ca="1">IFERROR(__xludf.DUMMYFUNCTION("""COMPUTED_VALUE"""),"2055-06-04T23:46:27.75624Z")</f>
        <v>2055-06-04T23:46:27.75624Z</v>
      </c>
      <c r="T201" s="3"/>
      <c r="U201" s="4">
        <f ca="1">IFERROR(__xludf.DUMMYFUNCTION("""COMPUTED_VALUE"""),56769)</f>
        <v>56769</v>
      </c>
      <c r="V201" s="3">
        <f ca="1">IFERROR(__xludf.DUMMYFUNCTION("""COMPUTED_VALUE"""),4.7)</f>
        <v>4.7</v>
      </c>
      <c r="W201" s="3">
        <f ca="1">IFERROR(__xludf.DUMMYFUNCTION("""COMPUTED_VALUE"""),4000)</f>
        <v>4000</v>
      </c>
      <c r="X201" s="3">
        <f ca="1">IFERROR(__xludf.DUMMYFUNCTION("""COMPUTED_VALUE"""),1500)</f>
        <v>1500</v>
      </c>
      <c r="Y201" s="3">
        <f ca="1">IFERROR(__xludf.DUMMYFUNCTION("""COMPUTED_VALUE"""),378)</f>
        <v>378</v>
      </c>
      <c r="Z201" s="3">
        <f ca="1">IFERROR(__xludf.DUMMYFUNCTION("""COMPUTED_VALUE"""),740)</f>
        <v>740</v>
      </c>
      <c r="AA201" s="3">
        <f ca="1">IFERROR(__xludf.DUMMYFUNCTION("""COMPUTED_VALUE"""),382)</f>
        <v>382</v>
      </c>
      <c r="AB201" s="3">
        <f ca="1">IFERROR(__xludf.DUMMYFUNCTION("""COMPUTED_VALUE"""),0)</f>
        <v>0</v>
      </c>
      <c r="AC201" s="3">
        <f ca="1">IFERROR(__xludf.DUMMYFUNCTION("""COMPUTED_VALUE"""),4)</f>
        <v>4</v>
      </c>
      <c r="AD201" s="3" t="str">
        <f ca="1">IFERROR(__xludf.DUMMYFUNCTION("""COMPUTED_VALUE"""),"late")</f>
        <v>late</v>
      </c>
      <c r="AE201" s="3" t="str">
        <f ca="1">IFERROR(__xludf.DUMMYFUNCTION("""COMPUTED_VALUE"""),"2055-06-04T19:58:47.444259Z")</f>
        <v>2055-06-04T19:58:47.444259Z</v>
      </c>
      <c r="AF201" s="3" t="str">
        <f ca="1">IFERROR(__xludf.DUMMYFUNCTION("""COMPUTED_VALUE"""),"2055-06-04T20:05:09.8041Z")</f>
        <v>2055-06-04T20:05:09.8041Z</v>
      </c>
      <c r="AG201" s="3" t="str">
        <f ca="1">IFERROR(__xludf.DUMMYFUNCTION("""COMPUTED_VALUE"""),"2055-06-04T19:40:07.460678Z")</f>
        <v>2055-06-04T19:40:07.460678Z</v>
      </c>
      <c r="AH201" s="3" t="str">
        <f ca="1">IFERROR(__xludf.DUMMYFUNCTION("""COMPUTED_VALUE"""),"2055-06-04T19:46:27.75624Z")</f>
        <v>2055-06-04T19:46:27.75624Z</v>
      </c>
      <c r="AI201" s="3">
        <f ca="1">IFERROR(__xludf.DUMMYFUNCTION("""COMPUTED_VALUE"""),4.79)</f>
        <v>4.79</v>
      </c>
      <c r="AJ201" s="3">
        <f ca="1">IFERROR(__xludf.DUMMYFUNCTION("""COMPUTED_VALUE"""),1007)</f>
        <v>1007</v>
      </c>
      <c r="AK201" s="3">
        <f ca="1">IFERROR(__xludf.DUMMYFUNCTION("""COMPUTED_VALUE"""),2899)</f>
        <v>2899</v>
      </c>
      <c r="AL201" s="3">
        <f ca="1">IFERROR(__xludf.DUMMYFUNCTION("""COMPUTED_VALUE"""),1301)</f>
        <v>1301</v>
      </c>
    </row>
    <row r="202" spans="1:38" ht="13">
      <c r="A202" s="3">
        <f ca="1">IFERROR(__xludf.DUMMYFUNCTION("""COMPUTED_VALUE"""),51)</f>
        <v>51</v>
      </c>
      <c r="B202" s="3"/>
      <c r="C202" s="3">
        <f ca="1">IFERROR(__xludf.DUMMYFUNCTION("""COMPUTED_VALUE"""),4050)</f>
        <v>4050</v>
      </c>
      <c r="D202" s="3" t="str">
        <f ca="1">IFERROR(__xludf.DUMMYFUNCTION("""COMPUTED_VALUE"""),"Doorlanta")</f>
        <v>Doorlanta</v>
      </c>
      <c r="E202" s="3" t="str">
        <f ca="1">IFERROR(__xludf.DUMMYFUNCTION("""COMPUTED_VALUE"""),"Galaxy A")</f>
        <v>Galaxy A</v>
      </c>
      <c r="F202" s="3" t="str">
        <f ca="1">IFERROR(__xludf.DUMMYFUNCTION("""COMPUTED_VALUE"""),"Cate")</f>
        <v>Cate</v>
      </c>
      <c r="G202" s="3">
        <f ca="1">IFERROR(__xludf.DUMMYFUNCTION("""COMPUTED_VALUE"""),0)</f>
        <v>0</v>
      </c>
      <c r="H202" s="3" t="str">
        <f ca="1">IFERROR(__xludf.DUMMYFUNCTION("""COMPUTED_VALUE"""),"car")</f>
        <v>car</v>
      </c>
      <c r="I202" s="3" t="str">
        <f ca="1">IFERROR(__xludf.DUMMYFUNCTION("""COMPUTED_VALUE"""),"2055-06-01T21:55:24.613245Z")</f>
        <v>2055-06-01T21:55:24.613245Z</v>
      </c>
      <c r="J202" s="3" t="str">
        <f ca="1">IFERROR(__xludf.DUMMYFUNCTION("""COMPUTED_VALUE"""),"2055-06-01T22:50:25.435Z")</f>
        <v>2055-06-01T22:50:25.435Z</v>
      </c>
      <c r="K202" s="3" t="str">
        <f ca="1">IFERROR(__xludf.DUMMYFUNCTION("""COMPUTED_VALUE"""),"2055-06-01T22:30:37.435Z")</f>
        <v>2055-06-01T22:30:37.435Z</v>
      </c>
      <c r="L202" s="3">
        <f ca="1">IFERROR(__xludf.DUMMYFUNCTION("""COMPUTED_VALUE"""),1)</f>
        <v>1</v>
      </c>
      <c r="M202" s="3">
        <f ca="1">IFERROR(__xludf.DUMMYFUNCTION("""COMPUTED_VALUE"""),0)</f>
        <v>0</v>
      </c>
      <c r="N202" s="3" t="str">
        <f ca="1">IFERROR(__xludf.DUMMYFUNCTION("""COMPUTED_VALUE"""),"2055-06-01T22:13:09.734125Z")</f>
        <v>2055-06-01T22:13:09.734125Z</v>
      </c>
      <c r="O202" s="3" t="str">
        <f ca="1">IFERROR(__xludf.DUMMYFUNCTION("""COMPUTED_VALUE"""),"2055-06-01T22:33:54.600972Z")</f>
        <v>2055-06-01T22:33:54.600972Z</v>
      </c>
      <c r="P202" s="3" t="str">
        <f ca="1">IFERROR(__xludf.DUMMYFUNCTION("""COMPUTED_VALUE"""),"2055-06-01T21:55:47.546801Z")</f>
        <v>2055-06-01T21:55:47.546801Z</v>
      </c>
      <c r="Q202" s="3">
        <f ca="1">IFERROR(__xludf.DUMMYFUNCTION("""COMPUTED_VALUE"""),0)</f>
        <v>0</v>
      </c>
      <c r="R202" s="3" t="str">
        <f ca="1">IFERROR(__xludf.DUMMYFUNCTION("""COMPUTED_VALUE"""),"2055-06-01T21:55:55.044375Z")</f>
        <v>2055-06-01T21:55:55.044375Z</v>
      </c>
      <c r="S202" s="3" t="str">
        <f ca="1">IFERROR(__xludf.DUMMYFUNCTION("""COMPUTED_VALUE"""),"2055-06-01T22:08:11.775513Z")</f>
        <v>2055-06-01T22:08:11.775513Z</v>
      </c>
      <c r="T202" s="3"/>
      <c r="U202" s="4">
        <f ca="1">IFERROR(__xludf.DUMMYFUNCTION("""COMPUTED_VALUE"""),56766)</f>
        <v>56766</v>
      </c>
      <c r="V202" s="3">
        <f ca="1">IFERROR(__xludf.DUMMYFUNCTION("""COMPUTED_VALUE"""),4.6)</f>
        <v>4.5999999999999996</v>
      </c>
      <c r="W202" s="3">
        <f ca="1">IFERROR(__xludf.DUMMYFUNCTION("""COMPUTED_VALUE"""),4000)</f>
        <v>4000</v>
      </c>
      <c r="X202" s="3">
        <f ca="1">IFERROR(__xludf.DUMMYFUNCTION("""COMPUTED_VALUE"""),2279)</f>
        <v>2279</v>
      </c>
      <c r="Y202" s="3">
        <f ca="1">IFERROR(__xludf.DUMMYFUNCTION("""COMPUTED_VALUE"""),736)</f>
        <v>736</v>
      </c>
      <c r="Z202" s="3">
        <f ca="1">IFERROR(__xludf.DUMMYFUNCTION("""COMPUTED_VALUE"""),298)</f>
        <v>298</v>
      </c>
      <c r="AA202" s="3">
        <f ca="1">IFERROR(__xludf.DUMMYFUNCTION("""COMPUTED_VALUE"""),1245)</f>
        <v>1245</v>
      </c>
      <c r="AB202" s="3">
        <f ca="1">IFERROR(__xludf.DUMMYFUNCTION("""COMPUTED_VALUE"""),0)</f>
        <v>0</v>
      </c>
      <c r="AC202" s="3">
        <f ca="1">IFERROR(__xludf.DUMMYFUNCTION("""COMPUTED_VALUE"""),4)</f>
        <v>4</v>
      </c>
      <c r="AD202" s="3" t="str">
        <f ca="1">IFERROR(__xludf.DUMMYFUNCTION("""COMPUTED_VALUE"""),"on time")</f>
        <v>on time</v>
      </c>
      <c r="AE202" s="3" t="str">
        <f ca="1">IFERROR(__xludf.DUMMYFUNCTION("""COMPUTED_VALUE"""),"2055-06-01T18:13:09.734125Z")</f>
        <v>2055-06-01T18:13:09.734125Z</v>
      </c>
      <c r="AF202" s="3" t="str">
        <f ca="1">IFERROR(__xludf.DUMMYFUNCTION("""COMPUTED_VALUE"""),"2055-06-01T18:33:54.600972Z")</f>
        <v>2055-06-01T18:33:54.600972Z</v>
      </c>
      <c r="AG202" s="3" t="str">
        <f ca="1">IFERROR(__xludf.DUMMYFUNCTION("""COMPUTED_VALUE"""),"2055-06-01T17:55:47.546801Z")</f>
        <v>2055-06-01T17:55:47.546801Z</v>
      </c>
      <c r="AH202" s="3" t="str">
        <f ca="1">IFERROR(__xludf.DUMMYFUNCTION("""COMPUTED_VALUE"""),"2055-06-01T18:08:11.775513Z")</f>
        <v>2055-06-01T18:08:11.775513Z</v>
      </c>
      <c r="AI202" s="3">
        <f ca="1">IFERROR(__xludf.DUMMYFUNCTION("""COMPUTED_VALUE"""),4.49)</f>
        <v>4.49</v>
      </c>
      <c r="AJ202" s="3">
        <f ca="1">IFERROR(__xludf.DUMMYFUNCTION("""COMPUTED_VALUE"""),2315)</f>
        <v>2315</v>
      </c>
      <c r="AK202" s="3">
        <f ca="1">IFERROR(__xludf.DUMMYFUNCTION("""COMPUTED_VALUE"""),7039)</f>
        <v>7039</v>
      </c>
      <c r="AL202" s="3">
        <f ca="1">IFERROR(__xludf.DUMMYFUNCTION("""COMPUTED_VALUE"""),763)</f>
        <v>763</v>
      </c>
    </row>
    <row r="203" spans="1:38" ht="13">
      <c r="A203" s="3">
        <f ca="1">IFERROR(__xludf.DUMMYFUNCTION("""COMPUTED_VALUE"""),602)</f>
        <v>602</v>
      </c>
      <c r="B203" s="3">
        <f ca="1">IFERROR(__xludf.DUMMYFUNCTION("""COMPUTED_VALUE"""),5)</f>
        <v>5</v>
      </c>
      <c r="C203" s="3">
        <f ca="1">IFERROR(__xludf.DUMMYFUNCTION("""COMPUTED_VALUE"""),4001)</f>
        <v>4001</v>
      </c>
      <c r="D203" s="3" t="str">
        <f ca="1">IFERROR(__xludf.DUMMYFUNCTION("""COMPUTED_VALUE"""),"Dashattan")</f>
        <v>Dashattan</v>
      </c>
      <c r="E203" s="3" t="str">
        <f ca="1">IFERROR(__xludf.DUMMYFUNCTION("""COMPUTED_VALUE"""),"Galaxy A")</f>
        <v>Galaxy A</v>
      </c>
      <c r="F203" s="3" t="str">
        <f ca="1">IFERROR(__xludf.DUMMYFUNCTION("""COMPUTED_VALUE"""),"Samm")</f>
        <v>Samm</v>
      </c>
      <c r="G203" s="3">
        <f ca="1">IFERROR(__xludf.DUMMYFUNCTION("""COMPUTED_VALUE"""),0)</f>
        <v>0</v>
      </c>
      <c r="H203" s="3" t="str">
        <f ca="1">IFERROR(__xludf.DUMMYFUNCTION("""COMPUTED_VALUE"""),"car")</f>
        <v>car</v>
      </c>
      <c r="I203" s="3" t="str">
        <f ca="1">IFERROR(__xludf.DUMMYFUNCTION("""COMPUTED_VALUE"""),"2055-06-05T19:54:12.464703Z")</f>
        <v>2055-06-05T19:54:12.464703Z</v>
      </c>
      <c r="J203" s="3" t="str">
        <f ca="1">IFERROR(__xludf.DUMMYFUNCTION("""COMPUTED_VALUE"""),"2055-06-05T20:43:03.517Z")</f>
        <v>2055-06-05T20:43:03.517Z</v>
      </c>
      <c r="K203" s="3" t="str">
        <f ca="1">IFERROR(__xludf.DUMMYFUNCTION("""COMPUTED_VALUE"""),"2055-06-05T20:24:10.517Z")</f>
        <v>2055-06-05T20:24:10.517Z</v>
      </c>
      <c r="L203" s="3">
        <f ca="1">IFERROR(__xludf.DUMMYFUNCTION("""COMPUTED_VALUE"""),1)</f>
        <v>1</v>
      </c>
      <c r="M203" s="3">
        <f ca="1">IFERROR(__xludf.DUMMYFUNCTION("""COMPUTED_VALUE"""),0)</f>
        <v>0</v>
      </c>
      <c r="N203" s="3" t="str">
        <f ca="1">IFERROR(__xludf.DUMMYFUNCTION("""COMPUTED_VALUE"""),"2055-06-05T20:17:04.523589Z")</f>
        <v>2055-06-05T20:17:04.523589Z</v>
      </c>
      <c r="O203" s="3" t="str">
        <f ca="1">IFERROR(__xludf.DUMMYFUNCTION("""COMPUTED_VALUE"""),"2055-06-05T20:33:46.776777Z")</f>
        <v>2055-06-05T20:33:46.776777Z</v>
      </c>
      <c r="P203" s="3" t="str">
        <f ca="1">IFERROR(__xludf.DUMMYFUNCTION("""COMPUTED_VALUE"""),"2055-06-05T19:57:34.254903Z")</f>
        <v>2055-06-05T19:57:34.254903Z</v>
      </c>
      <c r="Q203" s="3">
        <f ca="1">IFERROR(__xludf.DUMMYFUNCTION("""COMPUTED_VALUE"""),0)</f>
        <v>0</v>
      </c>
      <c r="R203" s="3" t="str">
        <f ca="1">IFERROR(__xludf.DUMMYFUNCTION("""COMPUTED_VALUE"""),"2055-06-05T19:57:42.129959Z")</f>
        <v>2055-06-05T19:57:42.129959Z</v>
      </c>
      <c r="S203" s="3" t="str">
        <f ca="1">IFERROR(__xludf.DUMMYFUNCTION("""COMPUTED_VALUE"""),"2055-06-05T20:14:04.352749Z")</f>
        <v>2055-06-05T20:14:04.352749Z</v>
      </c>
      <c r="T203" s="3"/>
      <c r="U203" s="4">
        <f ca="1">IFERROR(__xludf.DUMMYFUNCTION("""COMPUTED_VALUE"""),56770)</f>
        <v>56770</v>
      </c>
      <c r="V203" s="3">
        <f ca="1">IFERROR(__xludf.DUMMYFUNCTION("""COMPUTED_VALUE"""),4.4)</f>
        <v>4.4000000000000004</v>
      </c>
      <c r="W203" s="3">
        <f ca="1">IFERROR(__xludf.DUMMYFUNCTION("""COMPUTED_VALUE"""),4000)</f>
        <v>4000</v>
      </c>
      <c r="X203" s="3">
        <f ca="1">IFERROR(__xludf.DUMMYFUNCTION("""COMPUTED_VALUE"""),2164)</f>
        <v>2164</v>
      </c>
      <c r="Y203" s="3">
        <f ca="1">IFERROR(__xludf.DUMMYFUNCTION("""COMPUTED_VALUE"""),982)</f>
        <v>982</v>
      </c>
      <c r="Z203" s="3">
        <f ca="1">IFERROR(__xludf.DUMMYFUNCTION("""COMPUTED_VALUE"""),180)</f>
        <v>180</v>
      </c>
      <c r="AA203" s="3">
        <f ca="1">IFERROR(__xludf.DUMMYFUNCTION("""COMPUTED_VALUE"""),1002)</f>
        <v>1002</v>
      </c>
      <c r="AB203" s="3">
        <f ca="1">IFERROR(__xludf.DUMMYFUNCTION("""COMPUTED_VALUE"""),0)</f>
        <v>0</v>
      </c>
      <c r="AC203" s="3">
        <f ca="1">IFERROR(__xludf.DUMMYFUNCTION("""COMPUTED_VALUE"""),3)</f>
        <v>3</v>
      </c>
      <c r="AD203" s="3" t="str">
        <f ca="1">IFERROR(__xludf.DUMMYFUNCTION("""COMPUTED_VALUE"""),"late")</f>
        <v>late</v>
      </c>
      <c r="AE203" s="3" t="str">
        <f ca="1">IFERROR(__xludf.DUMMYFUNCTION("""COMPUTED_VALUE"""),"2055-06-05T16:17:04.523589Z")</f>
        <v>2055-06-05T16:17:04.523589Z</v>
      </c>
      <c r="AF203" s="3" t="str">
        <f ca="1">IFERROR(__xludf.DUMMYFUNCTION("""COMPUTED_VALUE"""),"2055-06-05T16:33:46.776777Z")</f>
        <v>2055-06-05T16:33:46.776777Z</v>
      </c>
      <c r="AG203" s="3" t="str">
        <f ca="1">IFERROR(__xludf.DUMMYFUNCTION("""COMPUTED_VALUE"""),"2055-06-05T15:57:34.254903Z")</f>
        <v>2055-06-05T15:57:34.254903Z</v>
      </c>
      <c r="AH203" s="3" t="str">
        <f ca="1">IFERROR(__xludf.DUMMYFUNCTION("""COMPUTED_VALUE"""),"2055-06-05T16:14:04.352749Z")</f>
        <v>2055-06-05T16:14:04.352749Z</v>
      </c>
      <c r="AI203" s="3">
        <f ca="1">IFERROR(__xludf.DUMMYFUNCTION("""COMPUTED_VALUE"""),4.03)</f>
        <v>4.03</v>
      </c>
      <c r="AJ203" s="3">
        <f ca="1">IFERROR(__xludf.DUMMYFUNCTION("""COMPUTED_VALUE"""),505)</f>
        <v>505</v>
      </c>
      <c r="AK203" s="3">
        <f ca="1">IFERROR(__xludf.DUMMYFUNCTION("""COMPUTED_VALUE"""),1721)</f>
        <v>1721</v>
      </c>
      <c r="AL203" s="3">
        <f ca="1">IFERROR(__xludf.DUMMYFUNCTION("""COMPUTED_VALUE"""),457)</f>
        <v>457</v>
      </c>
    </row>
    <row r="204" spans="1:38" ht="13">
      <c r="A204" s="3">
        <f ca="1">IFERROR(__xludf.DUMMYFUNCTION("""COMPUTED_VALUE"""),7)</f>
        <v>7</v>
      </c>
      <c r="B204" s="3"/>
      <c r="C204" s="3">
        <f ca="1">IFERROR(__xludf.DUMMYFUNCTION("""COMPUTED_VALUE"""),4001)</f>
        <v>4001</v>
      </c>
      <c r="D204" s="3" t="str">
        <f ca="1">IFERROR(__xludf.DUMMYFUNCTION("""COMPUTED_VALUE"""),"Dashattan")</f>
        <v>Dashattan</v>
      </c>
      <c r="E204" s="3" t="str">
        <f ca="1">IFERROR(__xludf.DUMMYFUNCTION("""COMPUTED_VALUE"""),"Galaxy A")</f>
        <v>Galaxy A</v>
      </c>
      <c r="F204" s="3" t="str">
        <f ca="1">IFERROR(__xludf.DUMMYFUNCTION("""COMPUTED_VALUE"""),"Sean")</f>
        <v>Sean</v>
      </c>
      <c r="G204" s="3">
        <f ca="1">IFERROR(__xludf.DUMMYFUNCTION("""COMPUTED_VALUE"""),0)</f>
        <v>0</v>
      </c>
      <c r="H204" s="3" t="str">
        <f ca="1">IFERROR(__xludf.DUMMYFUNCTION("""COMPUTED_VALUE"""),"bicycle")</f>
        <v>bicycle</v>
      </c>
      <c r="I204" s="3" t="str">
        <f ca="1">IFERROR(__xludf.DUMMYFUNCTION("""COMPUTED_VALUE"""),"2055-06-01T14:41:03.46268Z")</f>
        <v>2055-06-01T14:41:03.46268Z</v>
      </c>
      <c r="J204" s="3" t="str">
        <f ca="1">IFERROR(__xludf.DUMMYFUNCTION("""COMPUTED_VALUE"""),"2055-06-01T16:15:00Z")</f>
        <v>2055-06-01T16:15:00Z</v>
      </c>
      <c r="K204" s="3" t="str">
        <f ca="1">IFERROR(__xludf.DUMMYFUNCTION("""COMPUTED_VALUE"""),"2055-06-01T16:15:00Z")</f>
        <v>2055-06-01T16:15:00Z</v>
      </c>
      <c r="L204" s="3">
        <f ca="1">IFERROR(__xludf.DUMMYFUNCTION("""COMPUTED_VALUE"""),0)</f>
        <v>0</v>
      </c>
      <c r="M204" s="3">
        <f ca="1">IFERROR(__xludf.DUMMYFUNCTION("""COMPUTED_VALUE"""),0)</f>
        <v>0</v>
      </c>
      <c r="N204" s="3" t="str">
        <f ca="1">IFERROR(__xludf.DUMMYFUNCTION("""COMPUTED_VALUE"""),"2055-06-01T15:43:52.861777Z")</f>
        <v>2055-06-01T15:43:52.861777Z</v>
      </c>
      <c r="O204" s="3" t="str">
        <f ca="1">IFERROR(__xludf.DUMMYFUNCTION("""COMPUTED_VALUE"""),"2055-06-01T16:05:01.170932Z")</f>
        <v>2055-06-01T16:05:01.170932Z</v>
      </c>
      <c r="P204" s="3" t="str">
        <f ca="1">IFERROR(__xludf.DUMMYFUNCTION("""COMPUTED_VALUE"""),"2055-06-01T15:15:14.544401Z")</f>
        <v>2055-06-01T15:15:14.544401Z</v>
      </c>
      <c r="Q204" s="3">
        <f ca="1">IFERROR(__xludf.DUMMYFUNCTION("""COMPUTED_VALUE"""),0)</f>
        <v>0</v>
      </c>
      <c r="R204" s="3" t="str">
        <f ca="1">IFERROR(__xludf.DUMMYFUNCTION("""COMPUTED_VALUE"""),"2055-06-01T15:15:40.277331Z")</f>
        <v>2055-06-01T15:15:40.277331Z</v>
      </c>
      <c r="S204" s="3" t="str">
        <f ca="1">IFERROR(__xludf.DUMMYFUNCTION("""COMPUTED_VALUE"""),"2055-06-01T15:19:45.591711Z")</f>
        <v>2055-06-01T15:19:45.591711Z</v>
      </c>
      <c r="T204" s="3"/>
      <c r="U204" s="4">
        <f ca="1">IFERROR(__xludf.DUMMYFUNCTION("""COMPUTED_VALUE"""),56766)</f>
        <v>56766</v>
      </c>
      <c r="V204" s="3">
        <f ca="1">IFERROR(__xludf.DUMMYFUNCTION("""COMPUTED_VALUE"""),3.49339893)</f>
        <v>3.4933989300000001</v>
      </c>
      <c r="W204" s="3">
        <f ca="1">IFERROR(__xludf.DUMMYFUNCTION("""COMPUTED_VALUE"""),4000)</f>
        <v>4000</v>
      </c>
      <c r="X204" s="3">
        <f ca="1">IFERROR(__xludf.DUMMYFUNCTION("""COMPUTED_VALUE"""),2961)</f>
        <v>2961</v>
      </c>
      <c r="Y204" s="3">
        <f ca="1">IFERROR(__xludf.DUMMYFUNCTION("""COMPUTED_VALUE"""),245)</f>
        <v>245</v>
      </c>
      <c r="Z204" s="3">
        <f ca="1">IFERROR(__xludf.DUMMYFUNCTION("""COMPUTED_VALUE"""),1447)</f>
        <v>1447</v>
      </c>
      <c r="AA204" s="3">
        <f ca="1">IFERROR(__xludf.DUMMYFUNCTION("""COMPUTED_VALUE"""),1269)</f>
        <v>1269</v>
      </c>
      <c r="AB204" s="3">
        <f ca="1">IFERROR(__xludf.DUMMYFUNCTION("""COMPUTED_VALUE"""),0)</f>
        <v>0</v>
      </c>
      <c r="AC204" s="3">
        <f ca="1">IFERROR(__xludf.DUMMYFUNCTION("""COMPUTED_VALUE"""),3)</f>
        <v>3</v>
      </c>
      <c r="AD204" s="3" t="str">
        <f ca="1">IFERROR(__xludf.DUMMYFUNCTION("""COMPUTED_VALUE"""),"early")</f>
        <v>early</v>
      </c>
      <c r="AE204" s="3" t="str">
        <f ca="1">IFERROR(__xludf.DUMMYFUNCTION("""COMPUTED_VALUE"""),"2055-06-01T11:43:52.861777Z")</f>
        <v>2055-06-01T11:43:52.861777Z</v>
      </c>
      <c r="AF204" s="3" t="str">
        <f ca="1">IFERROR(__xludf.DUMMYFUNCTION("""COMPUTED_VALUE"""),"2055-06-01T12:05:01.170932Z")</f>
        <v>2055-06-01T12:05:01.170932Z</v>
      </c>
      <c r="AG204" s="3" t="str">
        <f ca="1">IFERROR(__xludf.DUMMYFUNCTION("""COMPUTED_VALUE"""),"2055-06-01T11:15:14.544401Z")</f>
        <v>2055-06-01T11:15:14.544401Z</v>
      </c>
      <c r="AH204" s="3" t="str">
        <f ca="1">IFERROR(__xludf.DUMMYFUNCTION("""COMPUTED_VALUE"""),"2055-06-01T11:19:45.591711Z")</f>
        <v>2055-06-01T11:19:45.591711Z</v>
      </c>
      <c r="AI204" s="3">
        <f ca="1">IFERROR(__xludf.DUMMYFUNCTION("""COMPUTED_VALUE"""),4.52)</f>
        <v>4.5199999999999996</v>
      </c>
      <c r="AJ204" s="3">
        <f ca="1">IFERROR(__xludf.DUMMYFUNCTION("""COMPUTED_VALUE"""),183)</f>
        <v>183</v>
      </c>
      <c r="AK204" s="3">
        <f ca="1">IFERROR(__xludf.DUMMYFUNCTION("""COMPUTED_VALUE"""),522)</f>
        <v>522</v>
      </c>
      <c r="AL204" s="3"/>
    </row>
    <row r="205" spans="1:38" ht="13">
      <c r="A205" s="3">
        <f ca="1">IFERROR(__xludf.DUMMYFUNCTION("""COMPUTED_VALUE"""),134)</f>
        <v>134</v>
      </c>
      <c r="B205" s="3"/>
      <c r="C205" s="3">
        <f ca="1">IFERROR(__xludf.DUMMYFUNCTION("""COMPUTED_VALUE"""),4001)</f>
        <v>4001</v>
      </c>
      <c r="D205" s="3" t="str">
        <f ca="1">IFERROR(__xludf.DUMMYFUNCTION("""COMPUTED_VALUE"""),"Dashattan")</f>
        <v>Dashattan</v>
      </c>
      <c r="E205" s="3" t="str">
        <f ca="1">IFERROR(__xludf.DUMMYFUNCTION("""COMPUTED_VALUE"""),"Galaxy A")</f>
        <v>Galaxy A</v>
      </c>
      <c r="F205" s="3" t="str">
        <f ca="1">IFERROR(__xludf.DUMMYFUNCTION("""COMPUTED_VALUE"""),"Sean")</f>
        <v>Sean</v>
      </c>
      <c r="G205" s="3">
        <f ca="1">IFERROR(__xludf.DUMMYFUNCTION("""COMPUTED_VALUE"""),0)</f>
        <v>0</v>
      </c>
      <c r="H205" s="3" t="str">
        <f ca="1">IFERROR(__xludf.DUMMYFUNCTION("""COMPUTED_VALUE"""),"bicycle")</f>
        <v>bicycle</v>
      </c>
      <c r="I205" s="3" t="str">
        <f ca="1">IFERROR(__xludf.DUMMYFUNCTION("""COMPUTED_VALUE"""),"2055-06-02T16:11:15.424029Z")</f>
        <v>2055-06-02T16:11:15.424029Z</v>
      </c>
      <c r="J205" s="3" t="str">
        <f ca="1">IFERROR(__xludf.DUMMYFUNCTION("""COMPUTED_VALUE"""),"2055-06-02T17:02:50.473Z")</f>
        <v>2055-06-02T17:02:50.473Z</v>
      </c>
      <c r="K205" s="3" t="str">
        <f ca="1">IFERROR(__xludf.DUMMYFUNCTION("""COMPUTED_VALUE"""),"2055-06-02T16:40:56.473Z")</f>
        <v>2055-06-02T16:40:56.473Z</v>
      </c>
      <c r="L205" s="3">
        <f ca="1">IFERROR(__xludf.DUMMYFUNCTION("""COMPUTED_VALUE"""),1)</f>
        <v>1</v>
      </c>
      <c r="M205" s="3">
        <f ca="1">IFERROR(__xludf.DUMMYFUNCTION("""COMPUTED_VALUE"""),0)</f>
        <v>0</v>
      </c>
      <c r="N205" s="3" t="str">
        <f ca="1">IFERROR(__xludf.DUMMYFUNCTION("""COMPUTED_VALUE"""),"2055-06-02T16:36:49.406401Z")</f>
        <v>2055-06-02T16:36:49.406401Z</v>
      </c>
      <c r="O205" s="3" t="str">
        <f ca="1">IFERROR(__xludf.DUMMYFUNCTION("""COMPUTED_VALUE"""),"2055-06-02T16:44:59.634662Z")</f>
        <v>2055-06-02T16:44:59.634662Z</v>
      </c>
      <c r="P205" s="3" t="str">
        <f ca="1">IFERROR(__xludf.DUMMYFUNCTION("""COMPUTED_VALUE"""),"2055-06-02T16:17:14.715726Z")</f>
        <v>2055-06-02T16:17:14.715726Z</v>
      </c>
      <c r="Q205" s="3">
        <f ca="1">IFERROR(__xludf.DUMMYFUNCTION("""COMPUTED_VALUE"""),0)</f>
        <v>0</v>
      </c>
      <c r="R205" s="3" t="str">
        <f ca="1">IFERROR(__xludf.DUMMYFUNCTION("""COMPUTED_VALUE"""),"2055-06-02T16:17:36.319619Z")</f>
        <v>2055-06-02T16:17:36.319619Z</v>
      </c>
      <c r="S205" s="3" t="str">
        <f ca="1">IFERROR(__xludf.DUMMYFUNCTION("""COMPUTED_VALUE"""),"2055-06-02T16:24:41.510193Z")</f>
        <v>2055-06-02T16:24:41.510193Z</v>
      </c>
      <c r="T205" s="3"/>
      <c r="U205" s="4">
        <f ca="1">IFERROR(__xludf.DUMMYFUNCTION("""COMPUTED_VALUE"""),56767)</f>
        <v>56767</v>
      </c>
      <c r="V205" s="3">
        <f ca="1">IFERROR(__xludf.DUMMYFUNCTION("""COMPUTED_VALUE"""),3.979211633)</f>
        <v>3.9792116329999998</v>
      </c>
      <c r="W205" s="3">
        <f ca="1">IFERROR(__xludf.DUMMYFUNCTION("""COMPUTED_VALUE"""),4000)</f>
        <v>4000</v>
      </c>
      <c r="X205" s="3">
        <f ca="1">IFERROR(__xludf.DUMMYFUNCTION("""COMPUTED_VALUE"""),1643)</f>
        <v>1643</v>
      </c>
      <c r="Y205" s="3">
        <f ca="1">IFERROR(__xludf.DUMMYFUNCTION("""COMPUTED_VALUE"""),425)</f>
        <v>425</v>
      </c>
      <c r="Z205" s="3">
        <f ca="1">IFERROR(__xludf.DUMMYFUNCTION("""COMPUTED_VALUE"""),728)</f>
        <v>728</v>
      </c>
      <c r="AA205" s="3">
        <f ca="1">IFERROR(__xludf.DUMMYFUNCTION("""COMPUTED_VALUE"""),490)</f>
        <v>490</v>
      </c>
      <c r="AB205" s="3">
        <f ca="1">IFERROR(__xludf.DUMMYFUNCTION("""COMPUTED_VALUE"""),0)</f>
        <v>0</v>
      </c>
      <c r="AC205" s="3">
        <f ca="1">IFERROR(__xludf.DUMMYFUNCTION("""COMPUTED_VALUE"""),4)</f>
        <v>4</v>
      </c>
      <c r="AD205" s="3" t="str">
        <f ca="1">IFERROR(__xludf.DUMMYFUNCTION("""COMPUTED_VALUE"""),"on time")</f>
        <v>on time</v>
      </c>
      <c r="AE205" s="3" t="str">
        <f ca="1">IFERROR(__xludf.DUMMYFUNCTION("""COMPUTED_VALUE"""),"2055-06-02T12:36:49.406401Z")</f>
        <v>2055-06-02T12:36:49.406401Z</v>
      </c>
      <c r="AF205" s="3" t="str">
        <f ca="1">IFERROR(__xludf.DUMMYFUNCTION("""COMPUTED_VALUE"""),"2055-06-02T12:44:59.634662Z")</f>
        <v>2055-06-02T12:44:59.634662Z</v>
      </c>
      <c r="AG205" s="3" t="str">
        <f ca="1">IFERROR(__xludf.DUMMYFUNCTION("""COMPUTED_VALUE"""),"2055-06-02T12:17:14.715726Z")</f>
        <v>2055-06-02T12:17:14.715726Z</v>
      </c>
      <c r="AH205" s="3" t="str">
        <f ca="1">IFERROR(__xludf.DUMMYFUNCTION("""COMPUTED_VALUE"""),"2055-06-02T12:24:41.510193Z")</f>
        <v>2055-06-02T12:24:41.510193Z</v>
      </c>
      <c r="AI205" s="3">
        <f ca="1">IFERROR(__xludf.DUMMYFUNCTION("""COMPUTED_VALUE"""),4.52)</f>
        <v>4.5199999999999996</v>
      </c>
      <c r="AJ205" s="3">
        <f ca="1">IFERROR(__xludf.DUMMYFUNCTION("""COMPUTED_VALUE"""),183)</f>
        <v>183</v>
      </c>
      <c r="AK205" s="3">
        <f ca="1">IFERROR(__xludf.DUMMYFUNCTION("""COMPUTED_VALUE"""),522)</f>
        <v>522</v>
      </c>
      <c r="AL205" s="3"/>
    </row>
    <row r="206" spans="1:38" ht="13">
      <c r="A206" s="3">
        <f ca="1">IFERROR(__xludf.DUMMYFUNCTION("""COMPUTED_VALUE"""),571)</f>
        <v>571</v>
      </c>
      <c r="B206" s="3"/>
      <c r="C206" s="3">
        <f ca="1">IFERROR(__xludf.DUMMYFUNCTION("""COMPUTED_VALUE"""),4050)</f>
        <v>4050</v>
      </c>
      <c r="D206" s="3" t="str">
        <f ca="1">IFERROR(__xludf.DUMMYFUNCTION("""COMPUTED_VALUE"""),"Doorlanta")</f>
        <v>Doorlanta</v>
      </c>
      <c r="E206" s="3" t="str">
        <f ca="1">IFERROR(__xludf.DUMMYFUNCTION("""COMPUTED_VALUE"""),"Galaxy A")</f>
        <v>Galaxy A</v>
      </c>
      <c r="F206" s="3" t="str">
        <f ca="1">IFERROR(__xludf.DUMMYFUNCTION("""COMPUTED_VALUE"""),"Katelynn")</f>
        <v>Katelynn</v>
      </c>
      <c r="G206" s="3">
        <f ca="1">IFERROR(__xludf.DUMMYFUNCTION("""COMPUTED_VALUE"""),0)</f>
        <v>0</v>
      </c>
      <c r="H206" s="3" t="str">
        <f ca="1">IFERROR(__xludf.DUMMYFUNCTION("""COMPUTED_VALUE"""),"car")</f>
        <v>car</v>
      </c>
      <c r="I206" s="3" t="str">
        <f ca="1">IFERROR(__xludf.DUMMYFUNCTION("""COMPUTED_VALUE"""),"2055-06-05T17:12:31.061042Z")</f>
        <v>2055-06-05T17:12:31.061042Z</v>
      </c>
      <c r="J206" s="3" t="str">
        <f ca="1">IFERROR(__xludf.DUMMYFUNCTION("""COMPUTED_VALUE"""),"2055-06-05T18:41:47.147Z")</f>
        <v>2055-06-05T18:41:47.147Z</v>
      </c>
      <c r="K206" s="3" t="str">
        <f ca="1">IFERROR(__xludf.DUMMYFUNCTION("""COMPUTED_VALUE"""),"2055-06-05T18:18:29.147Z")</f>
        <v>2055-06-05T18:18:29.147Z</v>
      </c>
      <c r="L206" s="3">
        <f ca="1">IFERROR(__xludf.DUMMYFUNCTION("""COMPUTED_VALUE"""),1)</f>
        <v>1</v>
      </c>
      <c r="M206" s="3">
        <f ca="1">IFERROR(__xludf.DUMMYFUNCTION("""COMPUTED_VALUE"""),0)</f>
        <v>0</v>
      </c>
      <c r="N206" s="3" t="str">
        <f ca="1">IFERROR(__xludf.DUMMYFUNCTION("""COMPUTED_VALUE"""),"2055-06-05T17:50:51.669952Z")</f>
        <v>2055-06-05T17:50:51.669952Z</v>
      </c>
      <c r="O206" s="3" t="str">
        <f ca="1">IFERROR(__xludf.DUMMYFUNCTION("""COMPUTED_VALUE"""),"2055-06-05T18:31:56.703657Z")</f>
        <v>2055-06-05T18:31:56.703657Z</v>
      </c>
      <c r="P206" s="3" t="str">
        <f ca="1">IFERROR(__xludf.DUMMYFUNCTION("""COMPUTED_VALUE"""),"2055-06-05T17:23:27.318802Z")</f>
        <v>2055-06-05T17:23:27.318802Z</v>
      </c>
      <c r="Q206" s="3">
        <f ca="1">IFERROR(__xludf.DUMMYFUNCTION("""COMPUTED_VALUE"""),0)</f>
        <v>0</v>
      </c>
      <c r="R206" s="3" t="str">
        <f ca="1">IFERROR(__xludf.DUMMYFUNCTION("""COMPUTED_VALUE"""),"2055-06-05T17:23:49.691911Z")</f>
        <v>2055-06-05T17:23:49.691911Z</v>
      </c>
      <c r="S206" s="3" t="str">
        <f ca="1">IFERROR(__xludf.DUMMYFUNCTION("""COMPUTED_VALUE"""),"2055-06-05T17:48:34.080446Z")</f>
        <v>2055-06-05T17:48:34.080446Z</v>
      </c>
      <c r="T206" s="3"/>
      <c r="U206" s="4">
        <f ca="1">IFERROR(__xludf.DUMMYFUNCTION("""COMPUTED_VALUE"""),56770)</f>
        <v>56770</v>
      </c>
      <c r="V206" s="3">
        <f ca="1">IFERROR(__xludf.DUMMYFUNCTION("""COMPUTED_VALUE"""),4.4)</f>
        <v>4.4000000000000004</v>
      </c>
      <c r="W206" s="3">
        <f ca="1">IFERROR(__xludf.DUMMYFUNCTION("""COMPUTED_VALUE"""),4000)</f>
        <v>4000</v>
      </c>
      <c r="X206" s="3">
        <f ca="1">IFERROR(__xludf.DUMMYFUNCTION("""COMPUTED_VALUE"""),4087)</f>
        <v>4087</v>
      </c>
      <c r="Y206" s="3">
        <f ca="1">IFERROR(__xludf.DUMMYFUNCTION("""COMPUTED_VALUE"""),1485)</f>
        <v>1485</v>
      </c>
      <c r="Z206" s="3">
        <f ca="1">IFERROR(__xludf.DUMMYFUNCTION("""COMPUTED_VALUE"""),137)</f>
        <v>137</v>
      </c>
      <c r="AA206" s="3">
        <f ca="1">IFERROR(__xludf.DUMMYFUNCTION("""COMPUTED_VALUE"""),2465)</f>
        <v>2465</v>
      </c>
      <c r="AB206" s="3">
        <f ca="1">IFERROR(__xludf.DUMMYFUNCTION("""COMPUTED_VALUE"""),1)</f>
        <v>1</v>
      </c>
      <c r="AC206" s="3">
        <f ca="1">IFERROR(__xludf.DUMMYFUNCTION("""COMPUTED_VALUE"""),3)</f>
        <v>3</v>
      </c>
      <c r="AD206" s="3"/>
      <c r="AE206" s="3" t="str">
        <f ca="1">IFERROR(__xludf.DUMMYFUNCTION("""COMPUTED_VALUE"""),"2055-06-05T13:50:51.669952Z")</f>
        <v>2055-06-05T13:50:51.669952Z</v>
      </c>
      <c r="AF206" s="3" t="str">
        <f ca="1">IFERROR(__xludf.DUMMYFUNCTION("""COMPUTED_VALUE"""),"2055-06-05T14:31:56.703657Z")</f>
        <v>2055-06-05T14:31:56.703657Z</v>
      </c>
      <c r="AG206" s="3" t="str">
        <f ca="1">IFERROR(__xludf.DUMMYFUNCTION("""COMPUTED_VALUE"""),"2055-06-05T13:23:27.318802Z")</f>
        <v>2055-06-05T13:23:27.318802Z</v>
      </c>
      <c r="AH206" s="3" t="str">
        <f ca="1">IFERROR(__xludf.DUMMYFUNCTION("""COMPUTED_VALUE"""),"2055-06-05T13:48:34.080446Z")</f>
        <v>2055-06-05T13:48:34.080446Z</v>
      </c>
      <c r="AI206" s="3">
        <f ca="1">IFERROR(__xludf.DUMMYFUNCTION("""COMPUTED_VALUE"""),4.7)</f>
        <v>4.7</v>
      </c>
      <c r="AJ206" s="3">
        <f ca="1">IFERROR(__xludf.DUMMYFUNCTION("""COMPUTED_VALUE"""),1261)</f>
        <v>1261</v>
      </c>
      <c r="AK206" s="3">
        <f ca="1">IFERROR(__xludf.DUMMYFUNCTION("""COMPUTED_VALUE"""),3264)</f>
        <v>3264</v>
      </c>
      <c r="AL206" s="3">
        <f ca="1">IFERROR(__xludf.DUMMYFUNCTION("""COMPUTED_VALUE"""),232)</f>
        <v>232</v>
      </c>
    </row>
    <row r="207" spans="1:38" ht="13">
      <c r="A207" s="3">
        <f ca="1">IFERROR(__xludf.DUMMYFUNCTION("""COMPUTED_VALUE"""),176)</f>
        <v>176</v>
      </c>
      <c r="B207" s="3"/>
      <c r="C207" s="3">
        <f ca="1">IFERROR(__xludf.DUMMYFUNCTION("""COMPUTED_VALUE"""),4001)</f>
        <v>4001</v>
      </c>
      <c r="D207" s="3" t="str">
        <f ca="1">IFERROR(__xludf.DUMMYFUNCTION("""COMPUTED_VALUE"""),"Dashattan")</f>
        <v>Dashattan</v>
      </c>
      <c r="E207" s="3" t="str">
        <f ca="1">IFERROR(__xludf.DUMMYFUNCTION("""COMPUTED_VALUE"""),"Galaxy A")</f>
        <v>Galaxy A</v>
      </c>
      <c r="F207" s="3" t="str">
        <f ca="1">IFERROR(__xludf.DUMMYFUNCTION("""COMPUTED_VALUE"""),"KC")</f>
        <v>KC</v>
      </c>
      <c r="G207" s="3">
        <f ca="1">IFERROR(__xludf.DUMMYFUNCTION("""COMPUTED_VALUE"""),0)</f>
        <v>0</v>
      </c>
      <c r="H207" s="3" t="str">
        <f ca="1">IFERROR(__xludf.DUMMYFUNCTION("""COMPUTED_VALUE"""),"car")</f>
        <v>car</v>
      </c>
      <c r="I207" s="3" t="str">
        <f ca="1">IFERROR(__xludf.DUMMYFUNCTION("""COMPUTED_VALUE"""),"2055-06-02T21:52:43.114124Z")</f>
        <v>2055-06-02T21:52:43.114124Z</v>
      </c>
      <c r="J207" s="3" t="str">
        <f ca="1">IFERROR(__xludf.DUMMYFUNCTION("""COMPUTED_VALUE"""),"2055-06-02T23:07:00.173Z")</f>
        <v>2055-06-02T23:07:00.173Z</v>
      </c>
      <c r="K207" s="3" t="str">
        <f ca="1">IFERROR(__xludf.DUMMYFUNCTION("""COMPUTED_VALUE"""),"2055-06-02T22:46:53.173Z")</f>
        <v>2055-06-02T22:46:53.173Z</v>
      </c>
      <c r="L207" s="3">
        <f ca="1">IFERROR(__xludf.DUMMYFUNCTION("""COMPUTED_VALUE"""),1)</f>
        <v>1</v>
      </c>
      <c r="M207" s="3">
        <f ca="1">IFERROR(__xludf.DUMMYFUNCTION("""COMPUTED_VALUE"""),0)</f>
        <v>0</v>
      </c>
      <c r="N207" s="3" t="str">
        <f ca="1">IFERROR(__xludf.DUMMYFUNCTION("""COMPUTED_VALUE"""),"2055-06-02T22:44:46.36198Z")</f>
        <v>2055-06-02T22:44:46.36198Z</v>
      </c>
      <c r="O207" s="3" t="str">
        <f ca="1">IFERROR(__xludf.DUMMYFUNCTION("""COMPUTED_VALUE"""),"2055-06-02T22:54:37.783981Z")</f>
        <v>2055-06-02T22:54:37.783981Z</v>
      </c>
      <c r="P207" s="3" t="str">
        <f ca="1">IFERROR(__xludf.DUMMYFUNCTION("""COMPUTED_VALUE"""),"2055-06-02T22:01:14.489734Z")</f>
        <v>2055-06-02T22:01:14.489734Z</v>
      </c>
      <c r="Q207" s="3">
        <f ca="1">IFERROR(__xludf.DUMMYFUNCTION("""COMPUTED_VALUE"""),0)</f>
        <v>0</v>
      </c>
      <c r="R207" s="3" t="str">
        <f ca="1">IFERROR(__xludf.DUMMYFUNCTION("""COMPUTED_VALUE"""),"2055-06-02T22:01:19.564749Z")</f>
        <v>2055-06-02T22:01:19.564749Z</v>
      </c>
      <c r="S207" s="3"/>
      <c r="T207" s="3"/>
      <c r="U207" s="4">
        <f ca="1">IFERROR(__xludf.DUMMYFUNCTION("""COMPUTED_VALUE"""),56767)</f>
        <v>56767</v>
      </c>
      <c r="V207" s="3">
        <f ca="1">IFERROR(__xludf.DUMMYFUNCTION("""COMPUTED_VALUE"""),4.3)</f>
        <v>4.3</v>
      </c>
      <c r="W207" s="3">
        <f ca="1">IFERROR(__xludf.DUMMYFUNCTION("""COMPUTED_VALUE"""),4000)</f>
        <v>4000</v>
      </c>
      <c r="X207" s="3">
        <f ca="1">IFERROR(__xludf.DUMMYFUNCTION("""COMPUTED_VALUE"""),3198)</f>
        <v>3198</v>
      </c>
      <c r="Y207" s="3"/>
      <c r="Z207" s="3"/>
      <c r="AA207" s="3">
        <f ca="1">IFERROR(__xludf.DUMMYFUNCTION("""COMPUTED_VALUE"""),591)</f>
        <v>591</v>
      </c>
      <c r="AB207" s="3">
        <f ca="1">IFERROR(__xludf.DUMMYFUNCTION("""COMPUTED_VALUE"""),1)</f>
        <v>1</v>
      </c>
      <c r="AC207" s="3">
        <f ca="1">IFERROR(__xludf.DUMMYFUNCTION("""COMPUTED_VALUE"""),8)</f>
        <v>8</v>
      </c>
      <c r="AD207" s="3"/>
      <c r="AE207" s="3" t="str">
        <f ca="1">IFERROR(__xludf.DUMMYFUNCTION("""COMPUTED_VALUE"""),"2055-06-02T18:44:46.36198Z")</f>
        <v>2055-06-02T18:44:46.36198Z</v>
      </c>
      <c r="AF207" s="3" t="str">
        <f ca="1">IFERROR(__xludf.DUMMYFUNCTION("""COMPUTED_VALUE"""),"2055-06-02T18:54:37.783981Z")</f>
        <v>2055-06-02T18:54:37.783981Z</v>
      </c>
      <c r="AG207" s="3" t="str">
        <f ca="1">IFERROR(__xludf.DUMMYFUNCTION("""COMPUTED_VALUE"""),"2055-06-02T18:01:14.489734Z")</f>
        <v>2055-06-02T18:01:14.489734Z</v>
      </c>
      <c r="AH207" s="3"/>
      <c r="AI207" s="3">
        <f ca="1">IFERROR(__xludf.DUMMYFUNCTION("""COMPUTED_VALUE"""),4.54)</f>
        <v>4.54</v>
      </c>
      <c r="AJ207" s="3">
        <f ca="1">IFERROR(__xludf.DUMMYFUNCTION("""COMPUTED_VALUE"""),2229)</f>
        <v>2229</v>
      </c>
      <c r="AK207" s="3">
        <f ca="1">IFERROR(__xludf.DUMMYFUNCTION("""COMPUTED_VALUE"""),6580)</f>
        <v>6580</v>
      </c>
      <c r="AL207" s="3"/>
    </row>
    <row r="208" spans="1:38" ht="13">
      <c r="A208" s="3">
        <f ca="1">IFERROR(__xludf.DUMMYFUNCTION("""COMPUTED_VALUE"""),894)</f>
        <v>894</v>
      </c>
      <c r="B208" s="3">
        <f ca="1">IFERROR(__xludf.DUMMYFUNCTION("""COMPUTED_VALUE"""),5)</f>
        <v>5</v>
      </c>
      <c r="C208" s="3">
        <f ca="1">IFERROR(__xludf.DUMMYFUNCTION("""COMPUTED_VALUE"""),4050)</f>
        <v>4050</v>
      </c>
      <c r="D208" s="3" t="str">
        <f ca="1">IFERROR(__xludf.DUMMYFUNCTION("""COMPUTED_VALUE"""),"Doorlanta")</f>
        <v>Doorlanta</v>
      </c>
      <c r="E208" s="3" t="str">
        <f ca="1">IFERROR(__xludf.DUMMYFUNCTION("""COMPUTED_VALUE"""),"Galaxy A")</f>
        <v>Galaxy A</v>
      </c>
      <c r="F208" s="3" t="str">
        <f ca="1">IFERROR(__xludf.DUMMYFUNCTION("""COMPUTED_VALUE"""),"Abhai")</f>
        <v>Abhai</v>
      </c>
      <c r="G208" s="3">
        <f ca="1">IFERROR(__xludf.DUMMYFUNCTION("""COMPUTED_VALUE"""),0)</f>
        <v>0</v>
      </c>
      <c r="H208" s="3" t="str">
        <f ca="1">IFERROR(__xludf.DUMMYFUNCTION("""COMPUTED_VALUE"""),"car")</f>
        <v>car</v>
      </c>
      <c r="I208" s="3" t="str">
        <f ca="1">IFERROR(__xludf.DUMMYFUNCTION("""COMPUTED_VALUE"""),"2055-06-07T23:36:56.257566Z")</f>
        <v>2055-06-07T23:36:56.257566Z</v>
      </c>
      <c r="J208" s="3" t="str">
        <f ca="1">IFERROR(__xludf.DUMMYFUNCTION("""COMPUTED_VALUE"""),"2055-06-08T00:36:05.329Z")</f>
        <v>2055-06-08T00:36:05.329Z</v>
      </c>
      <c r="K208" s="3" t="str">
        <f ca="1">IFERROR(__xludf.DUMMYFUNCTION("""COMPUTED_VALUE"""),"2055-06-08T00:14:11.329Z")</f>
        <v>2055-06-08T00:14:11.329Z</v>
      </c>
      <c r="L208" s="3">
        <f ca="1">IFERROR(__xludf.DUMMYFUNCTION("""COMPUTED_VALUE"""),1)</f>
        <v>1</v>
      </c>
      <c r="M208" s="3">
        <f ca="1">IFERROR(__xludf.DUMMYFUNCTION("""COMPUTED_VALUE"""),0)</f>
        <v>0</v>
      </c>
      <c r="N208" s="3" t="str">
        <f ca="1">IFERROR(__xludf.DUMMYFUNCTION("""COMPUTED_VALUE"""),"2055-06-08T00:02:03.752294Z")</f>
        <v>2055-06-08T00:02:03.752294Z</v>
      </c>
      <c r="O208" s="3" t="str">
        <f ca="1">IFERROR(__xludf.DUMMYFUNCTION("""COMPUTED_VALUE"""),"2055-06-08T00:11:41.749986Z")</f>
        <v>2055-06-08T00:11:41.749986Z</v>
      </c>
      <c r="P208" s="3" t="str">
        <f ca="1">IFERROR(__xludf.DUMMYFUNCTION("""COMPUTED_VALUE"""),"2055-06-07T23:50:27.405249Z")</f>
        <v>2055-06-07T23:50:27.405249Z</v>
      </c>
      <c r="Q208" s="3">
        <f ca="1">IFERROR(__xludf.DUMMYFUNCTION("""COMPUTED_VALUE"""),0)</f>
        <v>0</v>
      </c>
      <c r="R208" s="3" t="str">
        <f ca="1">IFERROR(__xludf.DUMMYFUNCTION("""COMPUTED_VALUE"""),"2055-06-07T23:50:36.898639Z")</f>
        <v>2055-06-07T23:50:36.898639Z</v>
      </c>
      <c r="S208" s="3" t="str">
        <f ca="1">IFERROR(__xludf.DUMMYFUNCTION("""COMPUTED_VALUE"""),"2055-06-07T23:55:53.566948Z")</f>
        <v>2055-06-07T23:55:53.566948Z</v>
      </c>
      <c r="T208" s="3"/>
      <c r="U208" s="4">
        <f ca="1">IFERROR(__xludf.DUMMYFUNCTION("""COMPUTED_VALUE"""),56772)</f>
        <v>56772</v>
      </c>
      <c r="V208" s="3">
        <f ca="1">IFERROR(__xludf.DUMMYFUNCTION("""COMPUTED_VALUE"""),4.6)</f>
        <v>4.5999999999999996</v>
      </c>
      <c r="W208" s="3">
        <f ca="1">IFERROR(__xludf.DUMMYFUNCTION("""COMPUTED_VALUE"""),4000)</f>
        <v>4000</v>
      </c>
      <c r="X208" s="3">
        <f ca="1">IFERROR(__xludf.DUMMYFUNCTION("""COMPUTED_VALUE"""),1265)</f>
        <v>1265</v>
      </c>
      <c r="Y208" s="3">
        <f ca="1">IFERROR(__xludf.DUMMYFUNCTION("""COMPUTED_VALUE"""),317)</f>
        <v>317</v>
      </c>
      <c r="Z208" s="3">
        <f ca="1">IFERROR(__xludf.DUMMYFUNCTION("""COMPUTED_VALUE"""),370)</f>
        <v>370</v>
      </c>
      <c r="AA208" s="3">
        <f ca="1">IFERROR(__xludf.DUMMYFUNCTION("""COMPUTED_VALUE"""),578)</f>
        <v>578</v>
      </c>
      <c r="AB208" s="3">
        <f ca="1">IFERROR(__xludf.DUMMYFUNCTION("""COMPUTED_VALUE"""),0)</f>
        <v>0</v>
      </c>
      <c r="AC208" s="3">
        <f ca="1">IFERROR(__xludf.DUMMYFUNCTION("""COMPUTED_VALUE"""),3)</f>
        <v>3</v>
      </c>
      <c r="AD208" s="3" t="str">
        <f ca="1">IFERROR(__xludf.DUMMYFUNCTION("""COMPUTED_VALUE"""),"late")</f>
        <v>late</v>
      </c>
      <c r="AE208" s="3" t="str">
        <f ca="1">IFERROR(__xludf.DUMMYFUNCTION("""COMPUTED_VALUE"""),"2055-06-07T20:02:03.752294Z")</f>
        <v>2055-06-07T20:02:03.752294Z</v>
      </c>
      <c r="AF208" s="3" t="str">
        <f ca="1">IFERROR(__xludf.DUMMYFUNCTION("""COMPUTED_VALUE"""),"2055-06-07T20:11:41.749986Z")</f>
        <v>2055-06-07T20:11:41.749986Z</v>
      </c>
      <c r="AG208" s="3" t="str">
        <f ca="1">IFERROR(__xludf.DUMMYFUNCTION("""COMPUTED_VALUE"""),"2055-06-07T19:50:27.405249Z")</f>
        <v>2055-06-07T19:50:27.405249Z</v>
      </c>
      <c r="AH208" s="3" t="str">
        <f ca="1">IFERROR(__xludf.DUMMYFUNCTION("""COMPUTED_VALUE"""),"2055-06-07T19:55:53.566948Z")</f>
        <v>2055-06-07T19:55:53.566948Z</v>
      </c>
      <c r="AI208" s="3">
        <f ca="1">IFERROR(__xludf.DUMMYFUNCTION("""COMPUTED_VALUE"""),4.56)</f>
        <v>4.5599999999999996</v>
      </c>
      <c r="AJ208" s="3">
        <f ca="1">IFERROR(__xludf.DUMMYFUNCTION("""COMPUTED_VALUE"""),344)</f>
        <v>344</v>
      </c>
      <c r="AK208" s="3">
        <f ca="1">IFERROR(__xludf.DUMMYFUNCTION("""COMPUTED_VALUE"""),947)</f>
        <v>947</v>
      </c>
      <c r="AL208" s="3">
        <f ca="1">IFERROR(__xludf.DUMMYFUNCTION("""COMPUTED_VALUE"""),22)</f>
        <v>22</v>
      </c>
    </row>
    <row r="209" spans="1:38" ht="13">
      <c r="A209" s="3">
        <f ca="1">IFERROR(__xludf.DUMMYFUNCTION("""COMPUTED_VALUE"""),78)</f>
        <v>78</v>
      </c>
      <c r="B209" s="3">
        <f ca="1">IFERROR(__xludf.DUMMYFUNCTION("""COMPUTED_VALUE"""),5)</f>
        <v>5</v>
      </c>
      <c r="C209" s="3">
        <f ca="1">IFERROR(__xludf.DUMMYFUNCTION("""COMPUTED_VALUE"""),4050)</f>
        <v>4050</v>
      </c>
      <c r="D209" s="3" t="str">
        <f ca="1">IFERROR(__xludf.DUMMYFUNCTION("""COMPUTED_VALUE"""),"Doorlanta")</f>
        <v>Doorlanta</v>
      </c>
      <c r="E209" s="3" t="str">
        <f ca="1">IFERROR(__xludf.DUMMYFUNCTION("""COMPUTED_VALUE"""),"Galaxy A")</f>
        <v>Galaxy A</v>
      </c>
      <c r="F209" s="3" t="str">
        <f ca="1">IFERROR(__xludf.DUMMYFUNCTION("""COMPUTED_VALUE"""),"Codee")</f>
        <v>Codee</v>
      </c>
      <c r="G209" s="3">
        <f ca="1">IFERROR(__xludf.DUMMYFUNCTION("""COMPUTED_VALUE"""),0)</f>
        <v>0</v>
      </c>
      <c r="H209" s="3" t="str">
        <f ca="1">IFERROR(__xludf.DUMMYFUNCTION("""COMPUTED_VALUE"""),"car")</f>
        <v>car</v>
      </c>
      <c r="I209" s="3" t="str">
        <f ca="1">IFERROR(__xludf.DUMMYFUNCTION("""COMPUTED_VALUE"""),"2055-06-01T23:21:21.250176Z")</f>
        <v>2055-06-01T23:21:21.250176Z</v>
      </c>
      <c r="J209" s="3" t="str">
        <f ca="1">IFERROR(__xludf.DUMMYFUNCTION("""COMPUTED_VALUE"""),"2055-06-02T00:24:21.317Z")</f>
        <v>2055-06-02T00:24:21.317Z</v>
      </c>
      <c r="K209" s="3" t="str">
        <f ca="1">IFERROR(__xludf.DUMMYFUNCTION("""COMPUTED_VALUE"""),"2055-06-02T00:05:28.317Z")</f>
        <v>2055-06-02T00:05:28.317Z</v>
      </c>
      <c r="L209" s="3">
        <f ca="1">IFERROR(__xludf.DUMMYFUNCTION("""COMPUTED_VALUE"""),1)</f>
        <v>1</v>
      </c>
      <c r="M209" s="3">
        <f ca="1">IFERROR(__xludf.DUMMYFUNCTION("""COMPUTED_VALUE"""),0)</f>
        <v>0</v>
      </c>
      <c r="N209" s="3" t="str">
        <f ca="1">IFERROR(__xludf.DUMMYFUNCTION("""COMPUTED_VALUE"""),"2055-06-01T23:50:28.943081Z")</f>
        <v>2055-06-01T23:50:28.943081Z</v>
      </c>
      <c r="O209" s="3" t="str">
        <f ca="1">IFERROR(__xludf.DUMMYFUNCTION("""COMPUTED_VALUE"""),"2055-06-02T00:01:04.445614Z")</f>
        <v>2055-06-02T00:01:04.445614Z</v>
      </c>
      <c r="P209" s="3" t="str">
        <f ca="1">IFERROR(__xludf.DUMMYFUNCTION("""COMPUTED_VALUE"""),"2055-06-01T23:21:27.46034Z")</f>
        <v>2055-06-01T23:21:27.46034Z</v>
      </c>
      <c r="Q209" s="3">
        <f ca="1">IFERROR(__xludf.DUMMYFUNCTION("""COMPUTED_VALUE"""),0)</f>
        <v>0</v>
      </c>
      <c r="R209" s="3" t="str">
        <f ca="1">IFERROR(__xludf.DUMMYFUNCTION("""COMPUTED_VALUE"""),"2055-06-01T23:21:49.271461Z")</f>
        <v>2055-06-01T23:21:49.271461Z</v>
      </c>
      <c r="S209" s="3" t="str">
        <f ca="1">IFERROR(__xludf.DUMMYFUNCTION("""COMPUTED_VALUE"""),"2055-06-01T23:31:16.574328Z")</f>
        <v>2055-06-01T23:31:16.574328Z</v>
      </c>
      <c r="T209" s="3"/>
      <c r="U209" s="4">
        <f ca="1">IFERROR(__xludf.DUMMYFUNCTION("""COMPUTED_VALUE"""),56766)</f>
        <v>56766</v>
      </c>
      <c r="V209" s="3">
        <f ca="1">IFERROR(__xludf.DUMMYFUNCTION("""COMPUTED_VALUE"""),4.6)</f>
        <v>4.5999999999999996</v>
      </c>
      <c r="W209" s="3">
        <f ca="1">IFERROR(__xludf.DUMMYFUNCTION("""COMPUTED_VALUE"""),4000)</f>
        <v>4000</v>
      </c>
      <c r="X209" s="3">
        <f ca="1">IFERROR(__xludf.DUMMYFUNCTION("""COMPUTED_VALUE"""),2355)</f>
        <v>2355</v>
      </c>
      <c r="Y209" s="3">
        <f ca="1">IFERROR(__xludf.DUMMYFUNCTION("""COMPUTED_VALUE"""),567)</f>
        <v>567</v>
      </c>
      <c r="Z209" s="3">
        <f ca="1">IFERROR(__xludf.DUMMYFUNCTION("""COMPUTED_VALUE"""),1152)</f>
        <v>1152</v>
      </c>
      <c r="AA209" s="3">
        <f ca="1">IFERROR(__xludf.DUMMYFUNCTION("""COMPUTED_VALUE"""),636)</f>
        <v>636</v>
      </c>
      <c r="AB209" s="3">
        <f ca="1">IFERROR(__xludf.DUMMYFUNCTION("""COMPUTED_VALUE"""),0)</f>
        <v>0</v>
      </c>
      <c r="AC209" s="3">
        <f ca="1">IFERROR(__xludf.DUMMYFUNCTION("""COMPUTED_VALUE"""),2)</f>
        <v>2</v>
      </c>
      <c r="AD209" s="3" t="str">
        <f ca="1">IFERROR(__xludf.DUMMYFUNCTION("""COMPUTED_VALUE"""),"early")</f>
        <v>early</v>
      </c>
      <c r="AE209" s="3" t="str">
        <f ca="1">IFERROR(__xludf.DUMMYFUNCTION("""COMPUTED_VALUE"""),"2055-06-01T19:50:28.943081Z")</f>
        <v>2055-06-01T19:50:28.943081Z</v>
      </c>
      <c r="AF209" s="3" t="str">
        <f ca="1">IFERROR(__xludf.DUMMYFUNCTION("""COMPUTED_VALUE"""),"2055-06-01T20:01:04.445614Z")</f>
        <v>2055-06-01T20:01:04.445614Z</v>
      </c>
      <c r="AG209" s="3" t="str">
        <f ca="1">IFERROR(__xludf.DUMMYFUNCTION("""COMPUTED_VALUE"""),"2055-06-01T19:21:27.46034Z")</f>
        <v>2055-06-01T19:21:27.46034Z</v>
      </c>
      <c r="AH209" s="3" t="str">
        <f ca="1">IFERROR(__xludf.DUMMYFUNCTION("""COMPUTED_VALUE"""),"2055-06-01T19:31:16.574328Z")</f>
        <v>2055-06-01T19:31:16.574328Z</v>
      </c>
      <c r="AI209" s="3">
        <f ca="1">IFERROR(__xludf.DUMMYFUNCTION("""COMPUTED_VALUE"""),4.367088608)</f>
        <v>4.3670886080000004</v>
      </c>
      <c r="AJ209" s="3">
        <f ca="1">IFERROR(__xludf.DUMMYFUNCTION("""COMPUTED_VALUE"""),59)</f>
        <v>59</v>
      </c>
      <c r="AK209" s="3">
        <f ca="1">IFERROR(__xludf.DUMMYFUNCTION("""COMPUTED_VALUE"""),198)</f>
        <v>198</v>
      </c>
      <c r="AL209" s="3">
        <f ca="1">IFERROR(__xludf.DUMMYFUNCTION("""COMPUTED_VALUE"""),42)</f>
        <v>42</v>
      </c>
    </row>
    <row r="210" spans="1:38" ht="13">
      <c r="A210" s="3">
        <f ca="1">IFERROR(__xludf.DUMMYFUNCTION("""COMPUTED_VALUE"""),221)</f>
        <v>221</v>
      </c>
      <c r="B210" s="3"/>
      <c r="C210" s="3">
        <f ca="1">IFERROR(__xludf.DUMMYFUNCTION("""COMPUTED_VALUE"""),4050)</f>
        <v>4050</v>
      </c>
      <c r="D210" s="3" t="str">
        <f ca="1">IFERROR(__xludf.DUMMYFUNCTION("""COMPUTED_VALUE"""),"Doorlanta")</f>
        <v>Doorlanta</v>
      </c>
      <c r="E210" s="3" t="str">
        <f ca="1">IFERROR(__xludf.DUMMYFUNCTION("""COMPUTED_VALUE"""),"Galaxy A")</f>
        <v>Galaxy A</v>
      </c>
      <c r="F210" s="3" t="str">
        <f ca="1">IFERROR(__xludf.DUMMYFUNCTION("""COMPUTED_VALUE"""),"Abhai")</f>
        <v>Abhai</v>
      </c>
      <c r="G210" s="3">
        <f ca="1">IFERROR(__xludf.DUMMYFUNCTION("""COMPUTED_VALUE"""),0)</f>
        <v>0</v>
      </c>
      <c r="H210" s="3" t="str">
        <f ca="1">IFERROR(__xludf.DUMMYFUNCTION("""COMPUTED_VALUE"""),"car")</f>
        <v>car</v>
      </c>
      <c r="I210" s="3" t="str">
        <f ca="1">IFERROR(__xludf.DUMMYFUNCTION("""COMPUTED_VALUE"""),"2055-06-03T00:15:29.451425Z")</f>
        <v>2055-06-03T00:15:29.451425Z</v>
      </c>
      <c r="J210" s="3" t="str">
        <f ca="1">IFERROR(__xludf.DUMMYFUNCTION("""COMPUTED_VALUE"""),"2055-06-03T01:17:31.567Z")</f>
        <v>2055-06-03T01:17:31.567Z</v>
      </c>
      <c r="K210" s="3" t="str">
        <f ca="1">IFERROR(__xludf.DUMMYFUNCTION("""COMPUTED_VALUE"""),"2055-06-03T00:57:24.567Z")</f>
        <v>2055-06-03T00:57:24.567Z</v>
      </c>
      <c r="L210" s="3">
        <f ca="1">IFERROR(__xludf.DUMMYFUNCTION("""COMPUTED_VALUE"""),1)</f>
        <v>1</v>
      </c>
      <c r="M210" s="3">
        <f ca="1">IFERROR(__xludf.DUMMYFUNCTION("""COMPUTED_VALUE"""),0)</f>
        <v>0</v>
      </c>
      <c r="N210" s="3" t="str">
        <f ca="1">IFERROR(__xludf.DUMMYFUNCTION("""COMPUTED_VALUE"""),"2055-06-03T00:50:43.081731Z")</f>
        <v>2055-06-03T00:50:43.081731Z</v>
      </c>
      <c r="O210" s="3" t="str">
        <f ca="1">IFERROR(__xludf.DUMMYFUNCTION("""COMPUTED_VALUE"""),"2055-06-03T01:03:29.466391Z")</f>
        <v>2055-06-03T01:03:29.466391Z</v>
      </c>
      <c r="P210" s="3" t="str">
        <f ca="1">IFERROR(__xludf.DUMMYFUNCTION("""COMPUTED_VALUE"""),"2055-06-03T00:24:07.398758Z")</f>
        <v>2055-06-03T00:24:07.398758Z</v>
      </c>
      <c r="Q210" s="3">
        <f ca="1">IFERROR(__xludf.DUMMYFUNCTION("""COMPUTED_VALUE"""),0)</f>
        <v>0</v>
      </c>
      <c r="R210" s="3" t="str">
        <f ca="1">IFERROR(__xludf.DUMMYFUNCTION("""COMPUTED_VALUE"""),"2055-06-03T00:24:14.982748Z")</f>
        <v>2055-06-03T00:24:14.982748Z</v>
      </c>
      <c r="S210" s="3" t="str">
        <f ca="1">IFERROR(__xludf.DUMMYFUNCTION("""COMPUTED_VALUE"""),"2055-06-03T00:30:59.880876Z")</f>
        <v>2055-06-03T00:30:59.880876Z</v>
      </c>
      <c r="T210" s="3"/>
      <c r="U210" s="4">
        <f ca="1">IFERROR(__xludf.DUMMYFUNCTION("""COMPUTED_VALUE"""),56767)</f>
        <v>56767</v>
      </c>
      <c r="V210" s="3">
        <f ca="1">IFERROR(__xludf.DUMMYFUNCTION("""COMPUTED_VALUE"""),4.5)</f>
        <v>4.5</v>
      </c>
      <c r="W210" s="3">
        <f ca="1">IFERROR(__xludf.DUMMYFUNCTION("""COMPUTED_VALUE"""),4000)</f>
        <v>4000</v>
      </c>
      <c r="X210" s="3">
        <f ca="1">IFERROR(__xludf.DUMMYFUNCTION("""COMPUTED_VALUE"""),2355)</f>
        <v>2355</v>
      </c>
      <c r="Y210" s="3">
        <f ca="1">IFERROR(__xludf.DUMMYFUNCTION("""COMPUTED_VALUE"""),405)</f>
        <v>405</v>
      </c>
      <c r="Z210" s="3">
        <f ca="1">IFERROR(__xludf.DUMMYFUNCTION("""COMPUTED_VALUE"""),1184)</f>
        <v>1184</v>
      </c>
      <c r="AA210" s="3">
        <f ca="1">IFERROR(__xludf.DUMMYFUNCTION("""COMPUTED_VALUE"""),766)</f>
        <v>766</v>
      </c>
      <c r="AB210" s="3">
        <f ca="1">IFERROR(__xludf.DUMMYFUNCTION("""COMPUTED_VALUE"""),0)</f>
        <v>0</v>
      </c>
      <c r="AC210" s="3">
        <f ca="1">IFERROR(__xludf.DUMMYFUNCTION("""COMPUTED_VALUE"""),4)</f>
        <v>4</v>
      </c>
      <c r="AD210" s="3" t="str">
        <f ca="1">IFERROR(__xludf.DUMMYFUNCTION("""COMPUTED_VALUE"""),"on time")</f>
        <v>on time</v>
      </c>
      <c r="AE210" s="3" t="str">
        <f ca="1">IFERROR(__xludf.DUMMYFUNCTION("""COMPUTED_VALUE"""),"2055-06-02T20:50:43.081731Z")</f>
        <v>2055-06-02T20:50:43.081731Z</v>
      </c>
      <c r="AF210" s="3" t="str">
        <f ca="1">IFERROR(__xludf.DUMMYFUNCTION("""COMPUTED_VALUE"""),"2055-06-02T21:03:29.466391Z")</f>
        <v>2055-06-02T21:03:29.466391Z</v>
      </c>
      <c r="AG210" s="3" t="str">
        <f ca="1">IFERROR(__xludf.DUMMYFUNCTION("""COMPUTED_VALUE"""),"2055-06-02T20:24:07.398758Z")</f>
        <v>2055-06-02T20:24:07.398758Z</v>
      </c>
      <c r="AH210" s="3" t="str">
        <f ca="1">IFERROR(__xludf.DUMMYFUNCTION("""COMPUTED_VALUE"""),"2055-06-02T20:30:59.880876Z")</f>
        <v>2055-06-02T20:30:59.880876Z</v>
      </c>
      <c r="AI210" s="3">
        <f ca="1">IFERROR(__xludf.DUMMYFUNCTION("""COMPUTED_VALUE"""),4.56)</f>
        <v>4.5599999999999996</v>
      </c>
      <c r="AJ210" s="3">
        <f ca="1">IFERROR(__xludf.DUMMYFUNCTION("""COMPUTED_VALUE"""),344)</f>
        <v>344</v>
      </c>
      <c r="AK210" s="3">
        <f ca="1">IFERROR(__xludf.DUMMYFUNCTION("""COMPUTED_VALUE"""),947)</f>
        <v>947</v>
      </c>
      <c r="AL210" s="3">
        <f ca="1">IFERROR(__xludf.DUMMYFUNCTION("""COMPUTED_VALUE"""),22)</f>
        <v>22</v>
      </c>
    </row>
    <row r="211" spans="1:38" ht="13">
      <c r="A211" s="3">
        <f ca="1">IFERROR(__xludf.DUMMYFUNCTION("""COMPUTED_VALUE"""),647)</f>
        <v>647</v>
      </c>
      <c r="B211" s="3">
        <f ca="1">IFERROR(__xludf.DUMMYFUNCTION("""COMPUTED_VALUE"""),5)</f>
        <v>5</v>
      </c>
      <c r="C211" s="3">
        <f ca="1">IFERROR(__xludf.DUMMYFUNCTION("""COMPUTED_VALUE"""),4050)</f>
        <v>4050</v>
      </c>
      <c r="D211" s="3" t="str">
        <f ca="1">IFERROR(__xludf.DUMMYFUNCTION("""COMPUTED_VALUE"""),"Doorlanta")</f>
        <v>Doorlanta</v>
      </c>
      <c r="E211" s="3" t="str">
        <f ca="1">IFERROR(__xludf.DUMMYFUNCTION("""COMPUTED_VALUE"""),"Galaxy A")</f>
        <v>Galaxy A</v>
      </c>
      <c r="F211" s="3" t="str">
        <f ca="1">IFERROR(__xludf.DUMMYFUNCTION("""COMPUTED_VALUE"""),"Ajay")</f>
        <v>Ajay</v>
      </c>
      <c r="G211" s="3">
        <f ca="1">IFERROR(__xludf.DUMMYFUNCTION("""COMPUTED_VALUE"""),0)</f>
        <v>0</v>
      </c>
      <c r="H211" s="3" t="str">
        <f ca="1">IFERROR(__xludf.DUMMYFUNCTION("""COMPUTED_VALUE"""),"car")</f>
        <v>car</v>
      </c>
      <c r="I211" s="3" t="str">
        <f ca="1">IFERROR(__xludf.DUMMYFUNCTION("""COMPUTED_VALUE"""),"2055-06-05T22:21:39.018739Z")</f>
        <v>2055-06-05T22:21:39.018739Z</v>
      </c>
      <c r="J211" s="3" t="str">
        <f ca="1">IFERROR(__xludf.DUMMYFUNCTION("""COMPUTED_VALUE"""),"2055-06-05T23:26:38.108Z")</f>
        <v>2055-06-05T23:26:38.108Z</v>
      </c>
      <c r="K211" s="3" t="str">
        <f ca="1">IFERROR(__xludf.DUMMYFUNCTION("""COMPUTED_VALUE"""),"2055-06-05T23:04:44.108Z")</f>
        <v>2055-06-05T23:04:44.108Z</v>
      </c>
      <c r="L211" s="3">
        <f ca="1">IFERROR(__xludf.DUMMYFUNCTION("""COMPUTED_VALUE"""),1)</f>
        <v>1</v>
      </c>
      <c r="M211" s="3">
        <f ca="1">IFERROR(__xludf.DUMMYFUNCTION("""COMPUTED_VALUE"""),0)</f>
        <v>0</v>
      </c>
      <c r="N211" s="3" t="str">
        <f ca="1">IFERROR(__xludf.DUMMYFUNCTION("""COMPUTED_VALUE"""),"2055-06-05T23:08:48.0407Z")</f>
        <v>2055-06-05T23:08:48.0407Z</v>
      </c>
      <c r="O211" s="3" t="str">
        <f ca="1">IFERROR(__xludf.DUMMYFUNCTION("""COMPUTED_VALUE"""),"2055-06-05T23:25:45.928101Z")</f>
        <v>2055-06-05T23:25:45.928101Z</v>
      </c>
      <c r="P211" s="3" t="str">
        <f ca="1">IFERROR(__xludf.DUMMYFUNCTION("""COMPUTED_VALUE"""),"2055-06-05T22:34:27.472918Z")</f>
        <v>2055-06-05T22:34:27.472918Z</v>
      </c>
      <c r="Q211" s="3">
        <f ca="1">IFERROR(__xludf.DUMMYFUNCTION("""COMPUTED_VALUE"""),0)</f>
        <v>0</v>
      </c>
      <c r="R211" s="3" t="str">
        <f ca="1">IFERROR(__xludf.DUMMYFUNCTION("""COMPUTED_VALUE"""),"2055-06-05T22:34:30.893279Z")</f>
        <v>2055-06-05T22:34:30.893279Z</v>
      </c>
      <c r="S211" s="3" t="str">
        <f ca="1">IFERROR(__xludf.DUMMYFUNCTION("""COMPUTED_VALUE"""),"2055-06-05T22:40:21.681691Z")</f>
        <v>2055-06-05T22:40:21.681691Z</v>
      </c>
      <c r="T211" s="3"/>
      <c r="U211" s="4">
        <f ca="1">IFERROR(__xludf.DUMMYFUNCTION("""COMPUTED_VALUE"""),56770)</f>
        <v>56770</v>
      </c>
      <c r="V211" s="3">
        <f ca="1">IFERROR(__xludf.DUMMYFUNCTION("""COMPUTED_VALUE"""),4.5)</f>
        <v>4.5</v>
      </c>
      <c r="W211" s="3">
        <f ca="1">IFERROR(__xludf.DUMMYFUNCTION("""COMPUTED_VALUE"""),4000)</f>
        <v>4000</v>
      </c>
      <c r="X211" s="3">
        <f ca="1">IFERROR(__xludf.DUMMYFUNCTION("""COMPUTED_VALUE"""),3075)</f>
        <v>3075</v>
      </c>
      <c r="Y211" s="3">
        <f ca="1">IFERROR(__xludf.DUMMYFUNCTION("""COMPUTED_VALUE"""),351)</f>
        <v>351</v>
      </c>
      <c r="Z211" s="3">
        <f ca="1">IFERROR(__xludf.DUMMYFUNCTION("""COMPUTED_VALUE"""),1707)</f>
        <v>1707</v>
      </c>
      <c r="AA211" s="3">
        <f ca="1">IFERROR(__xludf.DUMMYFUNCTION("""COMPUTED_VALUE"""),1017)</f>
        <v>1017</v>
      </c>
      <c r="AB211" s="3">
        <f ca="1">IFERROR(__xludf.DUMMYFUNCTION("""COMPUTED_VALUE"""),0)</f>
        <v>0</v>
      </c>
      <c r="AC211" s="3">
        <f ca="1">IFERROR(__xludf.DUMMYFUNCTION("""COMPUTED_VALUE"""),4)</f>
        <v>4</v>
      </c>
      <c r="AD211" s="3" t="str">
        <f ca="1">IFERROR(__xludf.DUMMYFUNCTION("""COMPUTED_VALUE"""),"early")</f>
        <v>early</v>
      </c>
      <c r="AE211" s="3" t="str">
        <f ca="1">IFERROR(__xludf.DUMMYFUNCTION("""COMPUTED_VALUE"""),"2055-06-05T19:08:48.0407Z")</f>
        <v>2055-06-05T19:08:48.0407Z</v>
      </c>
      <c r="AF211" s="3" t="str">
        <f ca="1">IFERROR(__xludf.DUMMYFUNCTION("""COMPUTED_VALUE"""),"2055-06-05T19:25:45.928101Z")</f>
        <v>2055-06-05T19:25:45.928101Z</v>
      </c>
      <c r="AG211" s="3" t="str">
        <f ca="1">IFERROR(__xludf.DUMMYFUNCTION("""COMPUTED_VALUE"""),"2055-06-05T18:34:27.472918Z")</f>
        <v>2055-06-05T18:34:27.472918Z</v>
      </c>
      <c r="AH211" s="3" t="str">
        <f ca="1">IFERROR(__xludf.DUMMYFUNCTION("""COMPUTED_VALUE"""),"2055-06-05T18:40:21.681691Z")</f>
        <v>2055-06-05T18:40:21.681691Z</v>
      </c>
      <c r="AI211" s="3">
        <f ca="1">IFERROR(__xludf.DUMMYFUNCTION("""COMPUTED_VALUE"""),4.57)</f>
        <v>4.57</v>
      </c>
      <c r="AJ211" s="3">
        <f ca="1">IFERROR(__xludf.DUMMYFUNCTION("""COMPUTED_VALUE"""),234)</f>
        <v>234</v>
      </c>
      <c r="AK211" s="3">
        <f ca="1">IFERROR(__xludf.DUMMYFUNCTION("""COMPUTED_VALUE"""),726)</f>
        <v>726</v>
      </c>
      <c r="AL211" s="3">
        <f ca="1">IFERROR(__xludf.DUMMYFUNCTION("""COMPUTED_VALUE"""),99)</f>
        <v>99</v>
      </c>
    </row>
    <row r="212" spans="1:38" ht="13">
      <c r="A212" s="3">
        <f ca="1">IFERROR(__xludf.DUMMYFUNCTION("""COMPUTED_VALUE"""),896)</f>
        <v>896</v>
      </c>
      <c r="B212" s="3"/>
      <c r="C212" s="3">
        <f ca="1">IFERROR(__xludf.DUMMYFUNCTION("""COMPUTED_VALUE"""),4001)</f>
        <v>4001</v>
      </c>
      <c r="D212" s="3" t="str">
        <f ca="1">IFERROR(__xludf.DUMMYFUNCTION("""COMPUTED_VALUE"""),"Dashattan")</f>
        <v>Dashattan</v>
      </c>
      <c r="E212" s="3" t="str">
        <f ca="1">IFERROR(__xludf.DUMMYFUNCTION("""COMPUTED_VALUE"""),"Galaxy A")</f>
        <v>Galaxy A</v>
      </c>
      <c r="F212" s="3" t="str">
        <f ca="1">IFERROR(__xludf.DUMMYFUNCTION("""COMPUTED_VALUE"""),"Arya")</f>
        <v>Arya</v>
      </c>
      <c r="G212" s="3">
        <f ca="1">IFERROR(__xludf.DUMMYFUNCTION("""COMPUTED_VALUE"""),0)</f>
        <v>0</v>
      </c>
      <c r="H212" s="3" t="str">
        <f ca="1">IFERROR(__xludf.DUMMYFUNCTION("""COMPUTED_VALUE"""),"bicycle")</f>
        <v>bicycle</v>
      </c>
      <c r="I212" s="3" t="str">
        <f ca="1">IFERROR(__xludf.DUMMYFUNCTION("""COMPUTED_VALUE"""),"2055-06-07T23:49:31.004293Z")</f>
        <v>2055-06-07T23:49:31.004293Z</v>
      </c>
      <c r="J212" s="3" t="str">
        <f ca="1">IFERROR(__xludf.DUMMYFUNCTION("""COMPUTED_VALUE"""),"2055-06-08T00:50:45.054Z")</f>
        <v>2055-06-08T00:50:45.054Z</v>
      </c>
      <c r="K212" s="3" t="str">
        <f ca="1">IFERROR(__xludf.DUMMYFUNCTION("""COMPUTED_VALUE"""),"2055-06-08T00:41:06.054Z")</f>
        <v>2055-06-08T00:41:06.054Z</v>
      </c>
      <c r="L212" s="3">
        <f ca="1">IFERROR(__xludf.DUMMYFUNCTION("""COMPUTED_VALUE"""),1)</f>
        <v>1</v>
      </c>
      <c r="M212" s="3">
        <f ca="1">IFERROR(__xludf.DUMMYFUNCTION("""COMPUTED_VALUE"""),0)</f>
        <v>0</v>
      </c>
      <c r="N212" s="3" t="str">
        <f ca="1">IFERROR(__xludf.DUMMYFUNCTION("""COMPUTED_VALUE"""),"2055-06-08T00:44:04.720346Z")</f>
        <v>2055-06-08T00:44:04.720346Z</v>
      </c>
      <c r="O212" s="3" t="str">
        <f ca="1">IFERROR(__xludf.DUMMYFUNCTION("""COMPUTED_VALUE"""),"2055-06-08T00:59:32.079786Z")</f>
        <v>2055-06-08T00:59:32.079786Z</v>
      </c>
      <c r="P212" s="3" t="str">
        <f ca="1">IFERROR(__xludf.DUMMYFUNCTION("""COMPUTED_VALUE"""),"2055-06-08T00:01:14.806531Z")</f>
        <v>2055-06-08T00:01:14.806531Z</v>
      </c>
      <c r="Q212" s="3">
        <f ca="1">IFERROR(__xludf.DUMMYFUNCTION("""COMPUTED_VALUE"""),0)</f>
        <v>0</v>
      </c>
      <c r="R212" s="3" t="str">
        <f ca="1">IFERROR(__xludf.DUMMYFUNCTION("""COMPUTED_VALUE"""),"2055-06-08T00:01:27.550136Z")</f>
        <v>2055-06-08T00:01:27.550136Z</v>
      </c>
      <c r="S212" s="3" t="str">
        <f ca="1">IFERROR(__xludf.DUMMYFUNCTION("""COMPUTED_VALUE"""),"2055-06-08T00:43:45.758408Z")</f>
        <v>2055-06-08T00:43:45.758408Z</v>
      </c>
      <c r="T212" s="3"/>
      <c r="U212" s="4">
        <f ca="1">IFERROR(__xludf.DUMMYFUNCTION("""COMPUTED_VALUE"""),56772)</f>
        <v>56772</v>
      </c>
      <c r="V212" s="3">
        <f ca="1">IFERROR(__xludf.DUMMYFUNCTION("""COMPUTED_VALUE"""),4.4)</f>
        <v>4.4000000000000004</v>
      </c>
      <c r="W212" s="3">
        <f ca="1">IFERROR(__xludf.DUMMYFUNCTION("""COMPUTED_VALUE"""),4000)</f>
        <v>4000</v>
      </c>
      <c r="X212" s="3">
        <f ca="1">IFERROR(__xludf.DUMMYFUNCTION("""COMPUTED_VALUE"""),3485)</f>
        <v>3485</v>
      </c>
      <c r="Y212" s="3">
        <f ca="1">IFERROR(__xludf.DUMMYFUNCTION("""COMPUTED_VALUE"""),2538)</f>
        <v>2538</v>
      </c>
      <c r="Z212" s="3">
        <f ca="1">IFERROR(__xludf.DUMMYFUNCTION("""COMPUTED_VALUE"""),19)</f>
        <v>19</v>
      </c>
      <c r="AA212" s="3">
        <f ca="1">IFERROR(__xludf.DUMMYFUNCTION("""COMPUTED_VALUE"""),928)</f>
        <v>928</v>
      </c>
      <c r="AB212" s="3">
        <f ca="1">IFERROR(__xludf.DUMMYFUNCTION("""COMPUTED_VALUE"""),0)</f>
        <v>0</v>
      </c>
      <c r="AC212" s="3">
        <f ca="1">IFERROR(__xludf.DUMMYFUNCTION("""COMPUTED_VALUE"""),3)</f>
        <v>3</v>
      </c>
      <c r="AD212" s="3" t="str">
        <f ca="1">IFERROR(__xludf.DUMMYFUNCTION("""COMPUTED_VALUE"""),"late")</f>
        <v>late</v>
      </c>
      <c r="AE212" s="3" t="str">
        <f ca="1">IFERROR(__xludf.DUMMYFUNCTION("""COMPUTED_VALUE"""),"2055-06-07T20:44:04.720346Z")</f>
        <v>2055-06-07T20:44:04.720346Z</v>
      </c>
      <c r="AF212" s="3" t="str">
        <f ca="1">IFERROR(__xludf.DUMMYFUNCTION("""COMPUTED_VALUE"""),"2055-06-07T20:59:32.079786Z")</f>
        <v>2055-06-07T20:59:32.079786Z</v>
      </c>
      <c r="AG212" s="3" t="str">
        <f ca="1">IFERROR(__xludf.DUMMYFUNCTION("""COMPUTED_VALUE"""),"2055-06-07T20:01:14.806531Z")</f>
        <v>2055-06-07T20:01:14.806531Z</v>
      </c>
      <c r="AH212" s="3" t="str">
        <f ca="1">IFERROR(__xludf.DUMMYFUNCTION("""COMPUTED_VALUE"""),"2055-06-07T20:43:45.758408Z")</f>
        <v>2055-06-07T20:43:45.758408Z</v>
      </c>
      <c r="AI212" s="3">
        <f ca="1">IFERROR(__xludf.DUMMYFUNCTION("""COMPUTED_VALUE"""),4.17)</f>
        <v>4.17</v>
      </c>
      <c r="AJ212" s="3">
        <f ca="1">IFERROR(__xludf.DUMMYFUNCTION("""COMPUTED_VALUE"""),457)</f>
        <v>457</v>
      </c>
      <c r="AK212" s="3">
        <f ca="1">IFERROR(__xludf.DUMMYFUNCTION("""COMPUTED_VALUE"""),1599)</f>
        <v>1599</v>
      </c>
      <c r="AL212" s="3"/>
    </row>
    <row r="213" spans="1:38" ht="13">
      <c r="A213" s="3">
        <f ca="1">IFERROR(__xludf.DUMMYFUNCTION("""COMPUTED_VALUE"""),918)</f>
        <v>918</v>
      </c>
      <c r="B213" s="3"/>
      <c r="C213" s="3">
        <f ca="1">IFERROR(__xludf.DUMMYFUNCTION("""COMPUTED_VALUE"""),4001)</f>
        <v>4001</v>
      </c>
      <c r="D213" s="3" t="str">
        <f ca="1">IFERROR(__xludf.DUMMYFUNCTION("""COMPUTED_VALUE"""),"Dashattan")</f>
        <v>Dashattan</v>
      </c>
      <c r="E213" s="3" t="str">
        <f ca="1">IFERROR(__xludf.DUMMYFUNCTION("""COMPUTED_VALUE"""),"Galaxy A")</f>
        <v>Galaxy A</v>
      </c>
      <c r="F213" s="3" t="str">
        <f ca="1">IFERROR(__xludf.DUMMYFUNCTION("""COMPUTED_VALUE"""),"Rojan")</f>
        <v>Rojan</v>
      </c>
      <c r="G213" s="3">
        <f ca="1">IFERROR(__xludf.DUMMYFUNCTION("""COMPUTED_VALUE"""),0)</f>
        <v>0</v>
      </c>
      <c r="H213" s="3" t="str">
        <f ca="1">IFERROR(__xludf.DUMMYFUNCTION("""COMPUTED_VALUE"""),"bicycle")</f>
        <v>bicycle</v>
      </c>
      <c r="I213" s="3" t="str">
        <f ca="1">IFERROR(__xludf.DUMMYFUNCTION("""COMPUTED_VALUE"""),"2055-06-08T10:14:38.985411Z")</f>
        <v>2055-06-08T10:14:38.985411Z</v>
      </c>
      <c r="J213" s="3" t="str">
        <f ca="1">IFERROR(__xludf.DUMMYFUNCTION("""COMPUTED_VALUE"""),"2055-06-08T13:00:00Z")</f>
        <v>2055-06-08T13:00:00Z</v>
      </c>
      <c r="K213" s="3" t="str">
        <f ca="1">IFERROR(__xludf.DUMMYFUNCTION("""COMPUTED_VALUE"""),"2055-06-08T13:00:00Z")</f>
        <v>2055-06-08T13:00:00Z</v>
      </c>
      <c r="L213" s="3">
        <f ca="1">IFERROR(__xludf.DUMMYFUNCTION("""COMPUTED_VALUE"""),0)</f>
        <v>0</v>
      </c>
      <c r="M213" s="3">
        <f ca="1">IFERROR(__xludf.DUMMYFUNCTION("""COMPUTED_VALUE"""),0)</f>
        <v>0</v>
      </c>
      <c r="N213" s="3" t="str">
        <f ca="1">IFERROR(__xludf.DUMMYFUNCTION("""COMPUTED_VALUE"""),"2055-06-08T12:41:53.434495Z")</f>
        <v>2055-06-08T12:41:53.434495Z</v>
      </c>
      <c r="O213" s="3" t="str">
        <f ca="1">IFERROR(__xludf.DUMMYFUNCTION("""COMPUTED_VALUE"""),"2055-06-08T13:00:02.145723Z")</f>
        <v>2055-06-08T13:00:02.145723Z</v>
      </c>
      <c r="P213" s="3" t="str">
        <f ca="1">IFERROR(__xludf.DUMMYFUNCTION("""COMPUTED_VALUE"""),"2055-06-08T12:17:14.056493Z")</f>
        <v>2055-06-08T12:17:14.056493Z</v>
      </c>
      <c r="Q213" s="3">
        <f ca="1">IFERROR(__xludf.DUMMYFUNCTION("""COMPUTED_VALUE"""),0)</f>
        <v>0</v>
      </c>
      <c r="R213" s="3" t="str">
        <f ca="1">IFERROR(__xludf.DUMMYFUNCTION("""COMPUTED_VALUE"""),"2055-06-08T12:17:40.565795Z")</f>
        <v>2055-06-08T12:17:40.565795Z</v>
      </c>
      <c r="S213" s="3" t="str">
        <f ca="1">IFERROR(__xludf.DUMMYFUNCTION("""COMPUTED_VALUE"""),"2055-06-08T12:42:05.336166Z")</f>
        <v>2055-06-08T12:42:05.336166Z</v>
      </c>
      <c r="T213" s="3"/>
      <c r="U213" s="4">
        <f ca="1">IFERROR(__xludf.DUMMYFUNCTION("""COMPUTED_VALUE"""),56773)</f>
        <v>56773</v>
      </c>
      <c r="V213" s="3">
        <f ca="1">IFERROR(__xludf.DUMMYFUNCTION("""COMPUTED_VALUE"""),4.5)</f>
        <v>4.5</v>
      </c>
      <c r="W213" s="3">
        <f ca="1">IFERROR(__xludf.DUMMYFUNCTION("""COMPUTED_VALUE"""),4000)</f>
        <v>4000</v>
      </c>
      <c r="X213" s="3">
        <f ca="1">IFERROR(__xludf.DUMMYFUNCTION("""COMPUTED_VALUE"""),2542)</f>
        <v>2542</v>
      </c>
      <c r="Y213" s="3">
        <f ca="1">IFERROR(__xludf.DUMMYFUNCTION("""COMPUTED_VALUE"""),1465)</f>
        <v>1465</v>
      </c>
      <c r="Z213" s="3"/>
      <c r="AA213" s="3">
        <f ca="1">IFERROR(__xludf.DUMMYFUNCTION("""COMPUTED_VALUE"""),1089)</f>
        <v>1089</v>
      </c>
      <c r="AB213" s="3">
        <f ca="1">IFERROR(__xludf.DUMMYFUNCTION("""COMPUTED_VALUE"""),0)</f>
        <v>0</v>
      </c>
      <c r="AC213" s="3">
        <f ca="1">IFERROR(__xludf.DUMMYFUNCTION("""COMPUTED_VALUE"""),7)</f>
        <v>7</v>
      </c>
      <c r="AD213" s="3" t="str">
        <f ca="1">IFERROR(__xludf.DUMMYFUNCTION("""COMPUTED_VALUE"""),"late")</f>
        <v>late</v>
      </c>
      <c r="AE213" s="3" t="str">
        <f ca="1">IFERROR(__xludf.DUMMYFUNCTION("""COMPUTED_VALUE"""),"2055-06-08T08:41:53.434495Z")</f>
        <v>2055-06-08T08:41:53.434495Z</v>
      </c>
      <c r="AF213" s="3" t="str">
        <f ca="1">IFERROR(__xludf.DUMMYFUNCTION("""COMPUTED_VALUE"""),"2055-06-08T09:00:02.145723Z")</f>
        <v>2055-06-08T09:00:02.145723Z</v>
      </c>
      <c r="AG213" s="3" t="str">
        <f ca="1">IFERROR(__xludf.DUMMYFUNCTION("""COMPUTED_VALUE"""),"2055-06-08T08:17:14.056493Z")</f>
        <v>2055-06-08T08:17:14.056493Z</v>
      </c>
      <c r="AH213" s="3" t="str">
        <f ca="1">IFERROR(__xludf.DUMMYFUNCTION("""COMPUTED_VALUE"""),"2055-06-08T08:42:05.336166Z")</f>
        <v>2055-06-08T08:42:05.336166Z</v>
      </c>
      <c r="AI213" s="3">
        <f ca="1">IFERROR(__xludf.DUMMYFUNCTION("""COMPUTED_VALUE"""),4.58)</f>
        <v>4.58</v>
      </c>
      <c r="AJ213" s="3">
        <f ca="1">IFERROR(__xludf.DUMMYFUNCTION("""COMPUTED_VALUE"""),254)</f>
        <v>254</v>
      </c>
      <c r="AK213" s="3">
        <f ca="1">IFERROR(__xludf.DUMMYFUNCTION("""COMPUTED_VALUE"""),788)</f>
        <v>788</v>
      </c>
      <c r="AL213" s="3">
        <f ca="1">IFERROR(__xludf.DUMMYFUNCTION("""COMPUTED_VALUE"""),9)</f>
        <v>9</v>
      </c>
    </row>
    <row r="214" spans="1:38" ht="13">
      <c r="A214" s="3">
        <f ca="1">IFERROR(__xludf.DUMMYFUNCTION("""COMPUTED_VALUE"""),684)</f>
        <v>684</v>
      </c>
      <c r="B214" s="3"/>
      <c r="C214" s="3">
        <f ca="1">IFERROR(__xludf.DUMMYFUNCTION("""COMPUTED_VALUE"""),4050)</f>
        <v>4050</v>
      </c>
      <c r="D214" s="3" t="str">
        <f ca="1">IFERROR(__xludf.DUMMYFUNCTION("""COMPUTED_VALUE"""),"Doorlanta")</f>
        <v>Doorlanta</v>
      </c>
      <c r="E214" s="3" t="str">
        <f ca="1">IFERROR(__xludf.DUMMYFUNCTION("""COMPUTED_VALUE"""),"Galaxy A")</f>
        <v>Galaxy A</v>
      </c>
      <c r="F214" s="3" t="str">
        <f ca="1">IFERROR(__xludf.DUMMYFUNCTION("""COMPUTED_VALUE"""),"Abhai")</f>
        <v>Abhai</v>
      </c>
      <c r="G214" s="3">
        <f ca="1">IFERROR(__xludf.DUMMYFUNCTION("""COMPUTED_VALUE"""),0)</f>
        <v>0</v>
      </c>
      <c r="H214" s="3" t="str">
        <f ca="1">IFERROR(__xludf.DUMMYFUNCTION("""COMPUTED_VALUE"""),"car")</f>
        <v>car</v>
      </c>
      <c r="I214" s="3" t="str">
        <f ca="1">IFERROR(__xludf.DUMMYFUNCTION("""COMPUTED_VALUE"""),"2055-06-05T23:43:16.04341Z")</f>
        <v>2055-06-05T23:43:16.04341Z</v>
      </c>
      <c r="J214" s="3" t="str">
        <f ca="1">IFERROR(__xludf.DUMMYFUNCTION("""COMPUTED_VALUE"""),"2055-06-06T00:56:19.109Z")</f>
        <v>2055-06-06T00:56:19.109Z</v>
      </c>
      <c r="K214" s="3" t="str">
        <f ca="1">IFERROR(__xludf.DUMMYFUNCTION("""COMPUTED_VALUE"""),"2055-06-06T00:31:38.109Z")</f>
        <v>2055-06-06T00:31:38.109Z</v>
      </c>
      <c r="L214" s="3">
        <f ca="1">IFERROR(__xludf.DUMMYFUNCTION("""COMPUTED_VALUE"""),1)</f>
        <v>1</v>
      </c>
      <c r="M214" s="3">
        <f ca="1">IFERROR(__xludf.DUMMYFUNCTION("""COMPUTED_VALUE"""),0)</f>
        <v>0</v>
      </c>
      <c r="N214" s="3" t="str">
        <f ca="1">IFERROR(__xludf.DUMMYFUNCTION("""COMPUTED_VALUE"""),"2055-06-06T00:03:32.538344Z")</f>
        <v>2055-06-06T00:03:32.538344Z</v>
      </c>
      <c r="O214" s="3" t="str">
        <f ca="1">IFERROR(__xludf.DUMMYFUNCTION("""COMPUTED_VALUE"""),"2055-06-06T00:12:13.345894Z")</f>
        <v>2055-06-06T00:12:13.345894Z</v>
      </c>
      <c r="P214" s="3" t="str">
        <f ca="1">IFERROR(__xludf.DUMMYFUNCTION("""COMPUTED_VALUE"""),"2055-06-05T23:45:07.937891Z")</f>
        <v>2055-06-05T23:45:07.937891Z</v>
      </c>
      <c r="Q214" s="3">
        <f ca="1">IFERROR(__xludf.DUMMYFUNCTION("""COMPUTED_VALUE"""),0)</f>
        <v>0</v>
      </c>
      <c r="R214" s="3" t="str">
        <f ca="1">IFERROR(__xludf.DUMMYFUNCTION("""COMPUTED_VALUE"""),"2055-06-05T23:45:15.240738Z")</f>
        <v>2055-06-05T23:45:15.240738Z</v>
      </c>
      <c r="S214" s="3" t="str">
        <f ca="1">IFERROR(__xludf.DUMMYFUNCTION("""COMPUTED_VALUE"""),"2055-06-05T23:57:00.150241Z")</f>
        <v>2055-06-05T23:57:00.150241Z</v>
      </c>
      <c r="T214" s="3"/>
      <c r="U214" s="4">
        <f ca="1">IFERROR(__xludf.DUMMYFUNCTION("""COMPUTED_VALUE"""),56770)</f>
        <v>56770</v>
      </c>
      <c r="V214" s="3">
        <f ca="1">IFERROR(__xludf.DUMMYFUNCTION("""COMPUTED_VALUE"""),4.7)</f>
        <v>4.7</v>
      </c>
      <c r="W214" s="3">
        <f ca="1">IFERROR(__xludf.DUMMYFUNCTION("""COMPUTED_VALUE"""),4000)</f>
        <v>4000</v>
      </c>
      <c r="X214" s="3">
        <f ca="1">IFERROR(__xludf.DUMMYFUNCTION("""COMPUTED_VALUE"""),1618)</f>
        <v>1618</v>
      </c>
      <c r="Y214" s="3">
        <f ca="1">IFERROR(__xludf.DUMMYFUNCTION("""COMPUTED_VALUE"""),705)</f>
        <v>705</v>
      </c>
      <c r="Z214" s="3">
        <f ca="1">IFERROR(__xludf.DUMMYFUNCTION("""COMPUTED_VALUE"""),392)</f>
        <v>392</v>
      </c>
      <c r="AA214" s="3">
        <f ca="1">IFERROR(__xludf.DUMMYFUNCTION("""COMPUTED_VALUE"""),521)</f>
        <v>521</v>
      </c>
      <c r="AB214" s="3">
        <f ca="1">IFERROR(__xludf.DUMMYFUNCTION("""COMPUTED_VALUE"""),0)</f>
        <v>0</v>
      </c>
      <c r="AC214" s="3">
        <f ca="1">IFERROR(__xludf.DUMMYFUNCTION("""COMPUTED_VALUE"""),5)</f>
        <v>5</v>
      </c>
      <c r="AD214" s="3" t="str">
        <f ca="1">IFERROR(__xludf.DUMMYFUNCTION("""COMPUTED_VALUE"""),"on time")</f>
        <v>on time</v>
      </c>
      <c r="AE214" s="3" t="str">
        <f ca="1">IFERROR(__xludf.DUMMYFUNCTION("""COMPUTED_VALUE"""),"2055-06-05T20:03:32.538344Z")</f>
        <v>2055-06-05T20:03:32.538344Z</v>
      </c>
      <c r="AF214" s="3" t="str">
        <f ca="1">IFERROR(__xludf.DUMMYFUNCTION("""COMPUTED_VALUE"""),"2055-06-05T20:12:13.345894Z")</f>
        <v>2055-06-05T20:12:13.345894Z</v>
      </c>
      <c r="AG214" s="3" t="str">
        <f ca="1">IFERROR(__xludf.DUMMYFUNCTION("""COMPUTED_VALUE"""),"2055-06-05T19:45:07.937891Z")</f>
        <v>2055-06-05T19:45:07.937891Z</v>
      </c>
      <c r="AH214" s="3" t="str">
        <f ca="1">IFERROR(__xludf.DUMMYFUNCTION("""COMPUTED_VALUE"""),"2055-06-05T19:57:00.150241Z")</f>
        <v>2055-06-05T19:57:00.150241Z</v>
      </c>
      <c r="AI214" s="3">
        <f ca="1">IFERROR(__xludf.DUMMYFUNCTION("""COMPUTED_VALUE"""),4.56)</f>
        <v>4.5599999999999996</v>
      </c>
      <c r="AJ214" s="3">
        <f ca="1">IFERROR(__xludf.DUMMYFUNCTION("""COMPUTED_VALUE"""),344)</f>
        <v>344</v>
      </c>
      <c r="AK214" s="3">
        <f ca="1">IFERROR(__xludf.DUMMYFUNCTION("""COMPUTED_VALUE"""),947)</f>
        <v>947</v>
      </c>
      <c r="AL214" s="3">
        <f ca="1">IFERROR(__xludf.DUMMYFUNCTION("""COMPUTED_VALUE"""),22)</f>
        <v>22</v>
      </c>
    </row>
    <row r="215" spans="1:38" ht="13">
      <c r="A215" s="3">
        <f ca="1">IFERROR(__xludf.DUMMYFUNCTION("""COMPUTED_VALUE"""),64)</f>
        <v>64</v>
      </c>
      <c r="B215" s="3"/>
      <c r="C215" s="3">
        <f ca="1">IFERROR(__xludf.DUMMYFUNCTION("""COMPUTED_VALUE"""),4050)</f>
        <v>4050</v>
      </c>
      <c r="D215" s="3" t="str">
        <f ca="1">IFERROR(__xludf.DUMMYFUNCTION("""COMPUTED_VALUE"""),"Doorlanta")</f>
        <v>Doorlanta</v>
      </c>
      <c r="E215" s="3" t="str">
        <f ca="1">IFERROR(__xludf.DUMMYFUNCTION("""COMPUTED_VALUE"""),"Galaxy A")</f>
        <v>Galaxy A</v>
      </c>
      <c r="F215" s="3" t="str">
        <f ca="1">IFERROR(__xludf.DUMMYFUNCTION("""COMPUTED_VALUE"""),"Josh")</f>
        <v>Josh</v>
      </c>
      <c r="G215" s="3">
        <f ca="1">IFERROR(__xludf.DUMMYFUNCTION("""COMPUTED_VALUE"""),0)</f>
        <v>0</v>
      </c>
      <c r="H215" s="3" t="str">
        <f ca="1">IFERROR(__xludf.DUMMYFUNCTION("""COMPUTED_VALUE"""),"car")</f>
        <v>car</v>
      </c>
      <c r="I215" s="3" t="str">
        <f ca="1">IFERROR(__xludf.DUMMYFUNCTION("""COMPUTED_VALUE"""),"2055-06-01T22:31:42.771859Z")</f>
        <v>2055-06-01T22:31:42.771859Z</v>
      </c>
      <c r="J215" s="3" t="str">
        <f ca="1">IFERROR(__xludf.DUMMYFUNCTION("""COMPUTED_VALUE"""),"2055-06-01T23:29:01.871Z")</f>
        <v>2055-06-01T23:29:01.871Z</v>
      </c>
      <c r="K215" s="3" t="str">
        <f ca="1">IFERROR(__xludf.DUMMYFUNCTION("""COMPUTED_VALUE"""),"2055-06-01T23:18:54.871Z")</f>
        <v>2055-06-01T23:18:54.871Z</v>
      </c>
      <c r="L215" s="3">
        <f ca="1">IFERROR(__xludf.DUMMYFUNCTION("""COMPUTED_VALUE"""),1)</f>
        <v>1</v>
      </c>
      <c r="M215" s="3">
        <f ca="1">IFERROR(__xludf.DUMMYFUNCTION("""COMPUTED_VALUE"""),0)</f>
        <v>0</v>
      </c>
      <c r="N215" s="3" t="str">
        <f ca="1">IFERROR(__xludf.DUMMYFUNCTION("""COMPUTED_VALUE"""),"2055-06-01T22:59:31.900695Z")</f>
        <v>2055-06-01T22:59:31.900695Z</v>
      </c>
      <c r="O215" s="3" t="str">
        <f ca="1">IFERROR(__xludf.DUMMYFUNCTION("""COMPUTED_VALUE"""),"2055-06-01T23:16:51.858521Z")</f>
        <v>2055-06-01T23:16:51.858521Z</v>
      </c>
      <c r="P215" s="3" t="str">
        <f ca="1">IFERROR(__xludf.DUMMYFUNCTION("""COMPUTED_VALUE"""),"2055-06-01T22:44:27.341968Z")</f>
        <v>2055-06-01T22:44:27.341968Z</v>
      </c>
      <c r="Q215" s="3">
        <f ca="1">IFERROR(__xludf.DUMMYFUNCTION("""COMPUTED_VALUE"""),0)</f>
        <v>0</v>
      </c>
      <c r="R215" s="3" t="str">
        <f ca="1">IFERROR(__xludf.DUMMYFUNCTION("""COMPUTED_VALUE"""),"2055-06-01T22:44:30.558522Z")</f>
        <v>2055-06-01T22:44:30.558522Z</v>
      </c>
      <c r="S215" s="3" t="str">
        <f ca="1">IFERROR(__xludf.DUMMYFUNCTION("""COMPUTED_VALUE"""),"2055-06-01T22:52:11.755218Z")</f>
        <v>2055-06-01T22:52:11.755218Z</v>
      </c>
      <c r="T215" s="3"/>
      <c r="U215" s="4">
        <f ca="1">IFERROR(__xludf.DUMMYFUNCTION("""COMPUTED_VALUE"""),56766)</f>
        <v>56766</v>
      </c>
      <c r="V215" s="3">
        <f ca="1">IFERROR(__xludf.DUMMYFUNCTION("""COMPUTED_VALUE"""),4.7)</f>
        <v>4.7</v>
      </c>
      <c r="W215" s="3">
        <f ca="1">IFERROR(__xludf.DUMMYFUNCTION("""COMPUTED_VALUE"""),4000)</f>
        <v>4000</v>
      </c>
      <c r="X215" s="3">
        <f ca="1">IFERROR(__xludf.DUMMYFUNCTION("""COMPUTED_VALUE"""),1941)</f>
        <v>1941</v>
      </c>
      <c r="Y215" s="3">
        <f ca="1">IFERROR(__xludf.DUMMYFUNCTION("""COMPUTED_VALUE"""),461)</f>
        <v>461</v>
      </c>
      <c r="Z215" s="3">
        <f ca="1">IFERROR(__xludf.DUMMYFUNCTION("""COMPUTED_VALUE"""),440)</f>
        <v>440</v>
      </c>
      <c r="AA215" s="3">
        <f ca="1">IFERROR(__xludf.DUMMYFUNCTION("""COMPUTED_VALUE"""),1040)</f>
        <v>1040</v>
      </c>
      <c r="AB215" s="3">
        <f ca="1">IFERROR(__xludf.DUMMYFUNCTION("""COMPUTED_VALUE"""),0)</f>
        <v>0</v>
      </c>
      <c r="AC215" s="3">
        <f ca="1">IFERROR(__xludf.DUMMYFUNCTION("""COMPUTED_VALUE"""),5)</f>
        <v>5</v>
      </c>
      <c r="AD215" s="3" t="str">
        <f ca="1">IFERROR(__xludf.DUMMYFUNCTION("""COMPUTED_VALUE"""),"late")</f>
        <v>late</v>
      </c>
      <c r="AE215" s="3" t="str">
        <f ca="1">IFERROR(__xludf.DUMMYFUNCTION("""COMPUTED_VALUE"""),"2055-06-01T18:59:31.900695Z")</f>
        <v>2055-06-01T18:59:31.900695Z</v>
      </c>
      <c r="AF215" s="3" t="str">
        <f ca="1">IFERROR(__xludf.DUMMYFUNCTION("""COMPUTED_VALUE"""),"2055-06-01T19:16:51.858521Z")</f>
        <v>2055-06-01T19:16:51.858521Z</v>
      </c>
      <c r="AG215" s="3" t="str">
        <f ca="1">IFERROR(__xludf.DUMMYFUNCTION("""COMPUTED_VALUE"""),"2055-06-01T18:44:27.341968Z")</f>
        <v>2055-06-01T18:44:27.341968Z</v>
      </c>
      <c r="AH215" s="3" t="str">
        <f ca="1">IFERROR(__xludf.DUMMYFUNCTION("""COMPUTED_VALUE"""),"2055-06-01T18:52:11.755218Z")</f>
        <v>2055-06-01T18:52:11.755218Z</v>
      </c>
      <c r="AI215" s="3">
        <f ca="1">IFERROR(__xludf.DUMMYFUNCTION("""COMPUTED_VALUE"""),4.77)</f>
        <v>4.7699999999999996</v>
      </c>
      <c r="AJ215" s="3">
        <f ca="1">IFERROR(__xludf.DUMMYFUNCTION("""COMPUTED_VALUE"""),426)</f>
        <v>426</v>
      </c>
      <c r="AK215" s="3">
        <f ca="1">IFERROR(__xludf.DUMMYFUNCTION("""COMPUTED_VALUE"""),1226)</f>
        <v>1226</v>
      </c>
      <c r="AL215" s="3">
        <f ca="1">IFERROR(__xludf.DUMMYFUNCTION("""COMPUTED_VALUE"""),85)</f>
        <v>85</v>
      </c>
    </row>
    <row r="216" spans="1:38" ht="13">
      <c r="A216" s="3">
        <f ca="1">IFERROR(__xludf.DUMMYFUNCTION("""COMPUTED_VALUE"""),646)</f>
        <v>646</v>
      </c>
      <c r="B216" s="3">
        <f ca="1">IFERROR(__xludf.DUMMYFUNCTION("""COMPUTED_VALUE"""),5)</f>
        <v>5</v>
      </c>
      <c r="C216" s="3">
        <f ca="1">IFERROR(__xludf.DUMMYFUNCTION("""COMPUTED_VALUE"""),4050)</f>
        <v>4050</v>
      </c>
      <c r="D216" s="3" t="str">
        <f ca="1">IFERROR(__xludf.DUMMYFUNCTION("""COMPUTED_VALUE"""),"Doorlanta")</f>
        <v>Doorlanta</v>
      </c>
      <c r="E216" s="3" t="str">
        <f ca="1">IFERROR(__xludf.DUMMYFUNCTION("""COMPUTED_VALUE"""),"Galaxy A")</f>
        <v>Galaxy A</v>
      </c>
      <c r="F216" s="3" t="str">
        <f ca="1">IFERROR(__xludf.DUMMYFUNCTION("""COMPUTED_VALUE"""),"Cate")</f>
        <v>Cate</v>
      </c>
      <c r="G216" s="3">
        <f ca="1">IFERROR(__xludf.DUMMYFUNCTION("""COMPUTED_VALUE"""),0)</f>
        <v>0</v>
      </c>
      <c r="H216" s="3" t="str">
        <f ca="1">IFERROR(__xludf.DUMMYFUNCTION("""COMPUTED_VALUE"""),"car")</f>
        <v>car</v>
      </c>
      <c r="I216" s="3" t="str">
        <f ca="1">IFERROR(__xludf.DUMMYFUNCTION("""COMPUTED_VALUE"""),"2055-06-05T22:21:13.575227Z")</f>
        <v>2055-06-05T22:21:13.575227Z</v>
      </c>
      <c r="J216" s="3" t="str">
        <f ca="1">IFERROR(__xludf.DUMMYFUNCTION("""COMPUTED_VALUE"""),"2055-06-05T23:27:18.69Z")</f>
        <v>2055-06-05T23:27:18.69Z</v>
      </c>
      <c r="K216" s="3" t="str">
        <f ca="1">IFERROR(__xludf.DUMMYFUNCTION("""COMPUTED_VALUE"""),"2055-06-05T23:05:24.69Z")</f>
        <v>2055-06-05T23:05:24.69Z</v>
      </c>
      <c r="L216" s="3">
        <f ca="1">IFERROR(__xludf.DUMMYFUNCTION("""COMPUTED_VALUE"""),1)</f>
        <v>1</v>
      </c>
      <c r="M216" s="3">
        <f ca="1">IFERROR(__xludf.DUMMYFUNCTION("""COMPUTED_VALUE"""),0)</f>
        <v>0</v>
      </c>
      <c r="N216" s="3" t="str">
        <f ca="1">IFERROR(__xludf.DUMMYFUNCTION("""COMPUTED_VALUE"""),"2055-06-05T23:12:01.720739Z")</f>
        <v>2055-06-05T23:12:01.720739Z</v>
      </c>
      <c r="O216" s="3" t="str">
        <f ca="1">IFERROR(__xludf.DUMMYFUNCTION("""COMPUTED_VALUE"""),"2055-06-05T23:25:08.465425Z")</f>
        <v>2055-06-05T23:25:08.465425Z</v>
      </c>
      <c r="P216" s="3" t="str">
        <f ca="1">IFERROR(__xludf.DUMMYFUNCTION("""COMPUTED_VALUE"""),"2055-06-05T22:24:27.619582Z")</f>
        <v>2055-06-05T22:24:27.619582Z</v>
      </c>
      <c r="Q216" s="3">
        <f ca="1">IFERROR(__xludf.DUMMYFUNCTION("""COMPUTED_VALUE"""),0)</f>
        <v>0</v>
      </c>
      <c r="R216" s="3" t="str">
        <f ca="1">IFERROR(__xludf.DUMMYFUNCTION("""COMPUTED_VALUE"""),"2055-06-05T22:24:31.122729Z")</f>
        <v>2055-06-05T22:24:31.122729Z</v>
      </c>
      <c r="S216" s="3" t="str">
        <f ca="1">IFERROR(__xludf.DUMMYFUNCTION("""COMPUTED_VALUE"""),"2055-06-05T22:28:31.926884Z")</f>
        <v>2055-06-05T22:28:31.926884Z</v>
      </c>
      <c r="T216" s="3"/>
      <c r="U216" s="4">
        <f ca="1">IFERROR(__xludf.DUMMYFUNCTION("""COMPUTED_VALUE"""),56770)</f>
        <v>56770</v>
      </c>
      <c r="V216" s="3">
        <f ca="1">IFERROR(__xludf.DUMMYFUNCTION("""COMPUTED_VALUE"""),4.5)</f>
        <v>4.5</v>
      </c>
      <c r="W216" s="3">
        <f ca="1">IFERROR(__xludf.DUMMYFUNCTION("""COMPUTED_VALUE"""),4000)</f>
        <v>4000</v>
      </c>
      <c r="X216" s="3">
        <f ca="1">IFERROR(__xludf.DUMMYFUNCTION("""COMPUTED_VALUE"""),3637)</f>
        <v>3637</v>
      </c>
      <c r="Y216" s="3">
        <f ca="1">IFERROR(__xludf.DUMMYFUNCTION("""COMPUTED_VALUE"""),240)</f>
        <v>240</v>
      </c>
      <c r="Z216" s="3">
        <f ca="1">IFERROR(__xludf.DUMMYFUNCTION("""COMPUTED_VALUE"""),2610)</f>
        <v>2610</v>
      </c>
      <c r="AA216" s="3">
        <f ca="1">IFERROR(__xludf.DUMMYFUNCTION("""COMPUTED_VALUE"""),787)</f>
        <v>787</v>
      </c>
      <c r="AB216" s="3">
        <f ca="1">IFERROR(__xludf.DUMMYFUNCTION("""COMPUTED_VALUE"""),1)</f>
        <v>1</v>
      </c>
      <c r="AC216" s="3">
        <f ca="1">IFERROR(__xludf.DUMMYFUNCTION("""COMPUTED_VALUE"""),3)</f>
        <v>3</v>
      </c>
      <c r="AD216" s="3"/>
      <c r="AE216" s="3" t="str">
        <f ca="1">IFERROR(__xludf.DUMMYFUNCTION("""COMPUTED_VALUE"""),"2055-06-05T19:12:01.720739Z")</f>
        <v>2055-06-05T19:12:01.720739Z</v>
      </c>
      <c r="AF216" s="3" t="str">
        <f ca="1">IFERROR(__xludf.DUMMYFUNCTION("""COMPUTED_VALUE"""),"2055-06-05T19:25:08.465425Z")</f>
        <v>2055-06-05T19:25:08.465425Z</v>
      </c>
      <c r="AG216" s="3" t="str">
        <f ca="1">IFERROR(__xludf.DUMMYFUNCTION("""COMPUTED_VALUE"""),"2055-06-05T18:24:27.619582Z")</f>
        <v>2055-06-05T18:24:27.619582Z</v>
      </c>
      <c r="AH216" s="3" t="str">
        <f ca="1">IFERROR(__xludf.DUMMYFUNCTION("""COMPUTED_VALUE"""),"2055-06-05T18:28:31.926884Z")</f>
        <v>2055-06-05T18:28:31.926884Z</v>
      </c>
      <c r="AI216" s="3">
        <f ca="1">IFERROR(__xludf.DUMMYFUNCTION("""COMPUTED_VALUE"""),4.49)</f>
        <v>4.49</v>
      </c>
      <c r="AJ216" s="3">
        <f ca="1">IFERROR(__xludf.DUMMYFUNCTION("""COMPUTED_VALUE"""),2315)</f>
        <v>2315</v>
      </c>
      <c r="AK216" s="3">
        <f ca="1">IFERROR(__xludf.DUMMYFUNCTION("""COMPUTED_VALUE"""),7039)</f>
        <v>7039</v>
      </c>
      <c r="AL216" s="3">
        <f ca="1">IFERROR(__xludf.DUMMYFUNCTION("""COMPUTED_VALUE"""),763)</f>
        <v>763</v>
      </c>
    </row>
    <row r="217" spans="1:38" ht="13">
      <c r="A217" s="3">
        <f ca="1">IFERROR(__xludf.DUMMYFUNCTION("""COMPUTED_VALUE"""),45)</f>
        <v>45</v>
      </c>
      <c r="B217" s="3"/>
      <c r="C217" s="3">
        <f ca="1">IFERROR(__xludf.DUMMYFUNCTION("""COMPUTED_VALUE"""),4050)</f>
        <v>4050</v>
      </c>
      <c r="D217" s="3" t="str">
        <f ca="1">IFERROR(__xludf.DUMMYFUNCTION("""COMPUTED_VALUE"""),"Doorlanta")</f>
        <v>Doorlanta</v>
      </c>
      <c r="E217" s="3" t="str">
        <f ca="1">IFERROR(__xludf.DUMMYFUNCTION("""COMPUTED_VALUE"""),"Galaxy A")</f>
        <v>Galaxy A</v>
      </c>
      <c r="F217" s="3" t="str">
        <f ca="1">IFERROR(__xludf.DUMMYFUNCTION("""COMPUTED_VALUE"""),"Lauran")</f>
        <v>Lauran</v>
      </c>
      <c r="G217" s="3">
        <f ca="1">IFERROR(__xludf.DUMMYFUNCTION("""COMPUTED_VALUE"""),0)</f>
        <v>0</v>
      </c>
      <c r="H217" s="3" t="str">
        <f ca="1">IFERROR(__xludf.DUMMYFUNCTION("""COMPUTED_VALUE"""),"car")</f>
        <v>car</v>
      </c>
      <c r="I217" s="3" t="str">
        <f ca="1">IFERROR(__xludf.DUMMYFUNCTION("""COMPUTED_VALUE"""),"2055-06-01T21:33:58.848535Z")</f>
        <v>2055-06-01T21:33:58.848535Z</v>
      </c>
      <c r="J217" s="3" t="str">
        <f ca="1">IFERROR(__xludf.DUMMYFUNCTION("""COMPUTED_VALUE"""),"2055-06-01T23:00:00Z")</f>
        <v>2055-06-01T23:00:00Z</v>
      </c>
      <c r="K217" s="3" t="str">
        <f ca="1">IFERROR(__xludf.DUMMYFUNCTION("""COMPUTED_VALUE"""),"2055-06-01T23:00:00Z")</f>
        <v>2055-06-01T23:00:00Z</v>
      </c>
      <c r="L217" s="3">
        <f ca="1">IFERROR(__xludf.DUMMYFUNCTION("""COMPUTED_VALUE"""),0)</f>
        <v>0</v>
      </c>
      <c r="M217" s="3">
        <f ca="1">IFERROR(__xludf.DUMMYFUNCTION("""COMPUTED_VALUE"""),0)</f>
        <v>0</v>
      </c>
      <c r="N217" s="3" t="str">
        <f ca="1">IFERROR(__xludf.DUMMYFUNCTION("""COMPUTED_VALUE"""),"2055-06-01T22:52:36.796823Z")</f>
        <v>2055-06-01T22:52:36.796823Z</v>
      </c>
      <c r="O217" s="3" t="str">
        <f ca="1">IFERROR(__xludf.DUMMYFUNCTION("""COMPUTED_VALUE"""),"2055-06-01T23:06:23.446009Z")</f>
        <v>2055-06-01T23:06:23.446009Z</v>
      </c>
      <c r="P217" s="3" t="str">
        <f ca="1">IFERROR(__xludf.DUMMYFUNCTION("""COMPUTED_VALUE"""),"2055-06-01T22:20:07.577662Z")</f>
        <v>2055-06-01T22:20:07.577662Z</v>
      </c>
      <c r="Q217" s="3">
        <f ca="1">IFERROR(__xludf.DUMMYFUNCTION("""COMPUTED_VALUE"""),0)</f>
        <v>0</v>
      </c>
      <c r="R217" s="3" t="str">
        <f ca="1">IFERROR(__xludf.DUMMYFUNCTION("""COMPUTED_VALUE"""),"2055-06-01T22:20:13.520954Z")</f>
        <v>2055-06-01T22:20:13.520954Z</v>
      </c>
      <c r="S217" s="3" t="str">
        <f ca="1">IFERROR(__xludf.DUMMYFUNCTION("""COMPUTED_VALUE"""),"2055-06-01T22:39:39.633638Z")</f>
        <v>2055-06-01T22:39:39.633638Z</v>
      </c>
      <c r="T217" s="3"/>
      <c r="U217" s="4">
        <f ca="1">IFERROR(__xludf.DUMMYFUNCTION("""COMPUTED_VALUE"""),56766)</f>
        <v>56766</v>
      </c>
      <c r="V217" s="3">
        <f ca="1">IFERROR(__xludf.DUMMYFUNCTION("""COMPUTED_VALUE"""),4.4)</f>
        <v>4.4000000000000004</v>
      </c>
      <c r="W217" s="3">
        <f ca="1">IFERROR(__xludf.DUMMYFUNCTION("""COMPUTED_VALUE"""),4000)</f>
        <v>4000</v>
      </c>
      <c r="X217" s="3">
        <f ca="1">IFERROR(__xludf.DUMMYFUNCTION("""COMPUTED_VALUE"""),2770)</f>
        <v>2770</v>
      </c>
      <c r="Y217" s="3">
        <f ca="1">IFERROR(__xludf.DUMMYFUNCTION("""COMPUTED_VALUE"""),1166)</f>
        <v>1166</v>
      </c>
      <c r="Z217" s="3">
        <f ca="1">IFERROR(__xludf.DUMMYFUNCTION("""COMPUTED_VALUE"""),777)</f>
        <v>777</v>
      </c>
      <c r="AA217" s="3">
        <f ca="1">IFERROR(__xludf.DUMMYFUNCTION("""COMPUTED_VALUE"""),827)</f>
        <v>827</v>
      </c>
      <c r="AB217" s="3">
        <f ca="1">IFERROR(__xludf.DUMMYFUNCTION("""COMPUTED_VALUE"""),0)</f>
        <v>0</v>
      </c>
      <c r="AC217" s="3">
        <f ca="1">IFERROR(__xludf.DUMMYFUNCTION("""COMPUTED_VALUE"""),4)</f>
        <v>4</v>
      </c>
      <c r="AD217" s="3" t="str">
        <f ca="1">IFERROR(__xludf.DUMMYFUNCTION("""COMPUTED_VALUE"""),"late")</f>
        <v>late</v>
      </c>
      <c r="AE217" s="3" t="str">
        <f ca="1">IFERROR(__xludf.DUMMYFUNCTION("""COMPUTED_VALUE"""),"2055-06-01T18:52:36.796823Z")</f>
        <v>2055-06-01T18:52:36.796823Z</v>
      </c>
      <c r="AF217" s="3" t="str">
        <f ca="1">IFERROR(__xludf.DUMMYFUNCTION("""COMPUTED_VALUE"""),"2055-06-01T19:06:23.446009Z")</f>
        <v>2055-06-01T19:06:23.446009Z</v>
      </c>
      <c r="AG217" s="3" t="str">
        <f ca="1">IFERROR(__xludf.DUMMYFUNCTION("""COMPUTED_VALUE"""),"2055-06-01T18:20:07.577662Z")</f>
        <v>2055-06-01T18:20:07.577662Z</v>
      </c>
      <c r="AH217" s="3" t="str">
        <f ca="1">IFERROR(__xludf.DUMMYFUNCTION("""COMPUTED_VALUE"""),"2055-06-01T18:39:39.633638Z")</f>
        <v>2055-06-01T18:39:39.633638Z</v>
      </c>
      <c r="AI217" s="3">
        <f ca="1">IFERROR(__xludf.DUMMYFUNCTION("""COMPUTED_VALUE"""),4.42)</f>
        <v>4.42</v>
      </c>
      <c r="AJ217" s="3">
        <f ca="1">IFERROR(__xludf.DUMMYFUNCTION("""COMPUTED_VALUE"""),1396)</f>
        <v>1396</v>
      </c>
      <c r="AK217" s="3">
        <f ca="1">IFERROR(__xludf.DUMMYFUNCTION("""COMPUTED_VALUE"""),4836)</f>
        <v>4836</v>
      </c>
      <c r="AL217" s="3">
        <f ca="1">IFERROR(__xludf.DUMMYFUNCTION("""COMPUTED_VALUE"""),1278)</f>
        <v>1278</v>
      </c>
    </row>
    <row r="218" spans="1:38" ht="13">
      <c r="A218" s="3">
        <f ca="1">IFERROR(__xludf.DUMMYFUNCTION("""COMPUTED_VALUE"""),14)</f>
        <v>14</v>
      </c>
      <c r="B218" s="3"/>
      <c r="C218" s="3">
        <f ca="1">IFERROR(__xludf.DUMMYFUNCTION("""COMPUTED_VALUE"""),4001)</f>
        <v>4001</v>
      </c>
      <c r="D218" s="3" t="str">
        <f ca="1">IFERROR(__xludf.DUMMYFUNCTION("""COMPUTED_VALUE"""),"Dashattan")</f>
        <v>Dashattan</v>
      </c>
      <c r="E218" s="3" t="str">
        <f ca="1">IFERROR(__xludf.DUMMYFUNCTION("""COMPUTED_VALUE"""),"Galaxy A")</f>
        <v>Galaxy A</v>
      </c>
      <c r="F218" s="3" t="str">
        <f ca="1">IFERROR(__xludf.DUMMYFUNCTION("""COMPUTED_VALUE"""),"Sean")</f>
        <v>Sean</v>
      </c>
      <c r="G218" s="3">
        <f ca="1">IFERROR(__xludf.DUMMYFUNCTION("""COMPUTED_VALUE"""),0)</f>
        <v>0</v>
      </c>
      <c r="H218" s="3" t="str">
        <f ca="1">IFERROR(__xludf.DUMMYFUNCTION("""COMPUTED_VALUE"""),"bicycle")</f>
        <v>bicycle</v>
      </c>
      <c r="I218" s="3" t="str">
        <f ca="1">IFERROR(__xludf.DUMMYFUNCTION("""COMPUTED_VALUE"""),"2055-06-01T16:04:46.846935Z")</f>
        <v>2055-06-01T16:04:46.846935Z</v>
      </c>
      <c r="J218" s="3" t="str">
        <f ca="1">IFERROR(__xludf.DUMMYFUNCTION("""COMPUTED_VALUE"""),"2055-06-01T17:01:50.909Z")</f>
        <v>2055-06-01T17:01:50.909Z</v>
      </c>
      <c r="K218" s="3" t="str">
        <f ca="1">IFERROR(__xludf.DUMMYFUNCTION("""COMPUTED_VALUE"""),"2055-06-01T16:38:32.909Z")</f>
        <v>2055-06-01T16:38:32.909Z</v>
      </c>
      <c r="L218" s="3">
        <f ca="1">IFERROR(__xludf.DUMMYFUNCTION("""COMPUTED_VALUE"""),1)</f>
        <v>1</v>
      </c>
      <c r="M218" s="3">
        <f ca="1">IFERROR(__xludf.DUMMYFUNCTION("""COMPUTED_VALUE"""),0)</f>
        <v>0</v>
      </c>
      <c r="N218" s="3" t="str">
        <f ca="1">IFERROR(__xludf.DUMMYFUNCTION("""COMPUTED_VALUE"""),"2055-06-01T16:59:32.067009Z")</f>
        <v>2055-06-01T16:59:32.067009Z</v>
      </c>
      <c r="O218" s="3" t="str">
        <f ca="1">IFERROR(__xludf.DUMMYFUNCTION("""COMPUTED_VALUE"""),"2055-06-01T17:03:58.618245Z")</f>
        <v>2055-06-01T17:03:58.618245Z</v>
      </c>
      <c r="P218" s="3" t="str">
        <f ca="1">IFERROR(__xludf.DUMMYFUNCTION("""COMPUTED_VALUE"""),"2055-06-01T16:10:34.127455Z")</f>
        <v>2055-06-01T16:10:34.127455Z</v>
      </c>
      <c r="Q218" s="3">
        <f ca="1">IFERROR(__xludf.DUMMYFUNCTION("""COMPUTED_VALUE"""),0)</f>
        <v>0</v>
      </c>
      <c r="R218" s="3" t="str">
        <f ca="1">IFERROR(__xludf.DUMMYFUNCTION("""COMPUTED_VALUE"""),"2055-06-01T16:10:37.970084Z")</f>
        <v>2055-06-01T16:10:37.970084Z</v>
      </c>
      <c r="S218" s="3" t="str">
        <f ca="1">IFERROR(__xludf.DUMMYFUNCTION("""COMPUTED_VALUE"""),"2055-06-01T17:00:26.531179Z")</f>
        <v>2055-06-01T17:00:26.531179Z</v>
      </c>
      <c r="T218" s="3"/>
      <c r="U218" s="4">
        <f ca="1">IFERROR(__xludf.DUMMYFUNCTION("""COMPUTED_VALUE"""),56766)</f>
        <v>56766</v>
      </c>
      <c r="V218" s="3">
        <f ca="1">IFERROR(__xludf.DUMMYFUNCTION("""COMPUTED_VALUE"""),3.979211633)</f>
        <v>3.9792116329999998</v>
      </c>
      <c r="W218" s="3">
        <f ca="1">IFERROR(__xludf.DUMMYFUNCTION("""COMPUTED_VALUE"""),4000)</f>
        <v>4000</v>
      </c>
      <c r="X218" s="3">
        <f ca="1">IFERROR(__xludf.DUMMYFUNCTION("""COMPUTED_VALUE"""),3201)</f>
        <v>3201</v>
      </c>
      <c r="Y218" s="3">
        <f ca="1">IFERROR(__xludf.DUMMYFUNCTION("""COMPUTED_VALUE"""),2989)</f>
        <v>2989</v>
      </c>
      <c r="Z218" s="3"/>
      <c r="AA218" s="3">
        <f ca="1">IFERROR(__xludf.DUMMYFUNCTION("""COMPUTED_VALUE"""),266)</f>
        <v>266</v>
      </c>
      <c r="AB218" s="3">
        <f ca="1">IFERROR(__xludf.DUMMYFUNCTION("""COMPUTED_VALUE"""),1)</f>
        <v>1</v>
      </c>
      <c r="AC218" s="3">
        <f ca="1">IFERROR(__xludf.DUMMYFUNCTION("""COMPUTED_VALUE"""),4)</f>
        <v>4</v>
      </c>
      <c r="AD218" s="3"/>
      <c r="AE218" s="3" t="str">
        <f ca="1">IFERROR(__xludf.DUMMYFUNCTION("""COMPUTED_VALUE"""),"2055-06-01T12:59:32.067009Z")</f>
        <v>2055-06-01T12:59:32.067009Z</v>
      </c>
      <c r="AF218" s="3" t="str">
        <f ca="1">IFERROR(__xludf.DUMMYFUNCTION("""COMPUTED_VALUE"""),"2055-06-01T13:03:58.618245Z")</f>
        <v>2055-06-01T13:03:58.618245Z</v>
      </c>
      <c r="AG218" s="3" t="str">
        <f ca="1">IFERROR(__xludf.DUMMYFUNCTION("""COMPUTED_VALUE"""),"2055-06-01T12:10:34.127455Z")</f>
        <v>2055-06-01T12:10:34.127455Z</v>
      </c>
      <c r="AH218" s="3" t="str">
        <f ca="1">IFERROR(__xludf.DUMMYFUNCTION("""COMPUTED_VALUE"""),"2055-06-01T13:00:26.531179Z")</f>
        <v>2055-06-01T13:00:26.531179Z</v>
      </c>
      <c r="AI218" s="3">
        <f ca="1">IFERROR(__xludf.DUMMYFUNCTION("""COMPUTED_VALUE"""),4.52)</f>
        <v>4.5199999999999996</v>
      </c>
      <c r="AJ218" s="3">
        <f ca="1">IFERROR(__xludf.DUMMYFUNCTION("""COMPUTED_VALUE"""),183)</f>
        <v>183</v>
      </c>
      <c r="AK218" s="3">
        <f ca="1">IFERROR(__xludf.DUMMYFUNCTION("""COMPUTED_VALUE"""),522)</f>
        <v>522</v>
      </c>
      <c r="AL218" s="3"/>
    </row>
    <row r="219" spans="1:38" ht="13">
      <c r="A219" s="3">
        <f ca="1">IFERROR(__xludf.DUMMYFUNCTION("""COMPUTED_VALUE"""),55)</f>
        <v>55</v>
      </c>
      <c r="B219" s="3"/>
      <c r="C219" s="3">
        <f ca="1">IFERROR(__xludf.DUMMYFUNCTION("""COMPUTED_VALUE"""),4050)</f>
        <v>4050</v>
      </c>
      <c r="D219" s="3" t="str">
        <f ca="1">IFERROR(__xludf.DUMMYFUNCTION("""COMPUTED_VALUE"""),"Doorlanta")</f>
        <v>Doorlanta</v>
      </c>
      <c r="E219" s="3" t="str">
        <f ca="1">IFERROR(__xludf.DUMMYFUNCTION("""COMPUTED_VALUE"""),"Galaxy A")</f>
        <v>Galaxy A</v>
      </c>
      <c r="F219" s="3" t="str">
        <f ca="1">IFERROR(__xludf.DUMMYFUNCTION("""COMPUTED_VALUE"""),"Katelynn")</f>
        <v>Katelynn</v>
      </c>
      <c r="G219" s="3">
        <f ca="1">IFERROR(__xludf.DUMMYFUNCTION("""COMPUTED_VALUE"""),0)</f>
        <v>0</v>
      </c>
      <c r="H219" s="3" t="str">
        <f ca="1">IFERROR(__xludf.DUMMYFUNCTION("""COMPUTED_VALUE"""),"car")</f>
        <v>car</v>
      </c>
      <c r="I219" s="3" t="str">
        <f ca="1">IFERROR(__xludf.DUMMYFUNCTION("""COMPUTED_VALUE"""),"2055-06-01T22:03:43.873652Z")</f>
        <v>2055-06-01T22:03:43.873652Z</v>
      </c>
      <c r="J219" s="3" t="str">
        <f ca="1">IFERROR(__xludf.DUMMYFUNCTION("""COMPUTED_VALUE"""),"2055-06-01T22:55:18.965Z")</f>
        <v>2055-06-01T22:55:18.965Z</v>
      </c>
      <c r="K219" s="3" t="str">
        <f ca="1">IFERROR(__xludf.DUMMYFUNCTION("""COMPUTED_VALUE"""),"2055-06-01T22:40:11.965Z")</f>
        <v>2055-06-01T22:40:11.965Z</v>
      </c>
      <c r="L219" s="3">
        <f ca="1">IFERROR(__xludf.DUMMYFUNCTION("""COMPUTED_VALUE"""),1)</f>
        <v>1</v>
      </c>
      <c r="M219" s="3">
        <f ca="1">IFERROR(__xludf.DUMMYFUNCTION("""COMPUTED_VALUE"""),0)</f>
        <v>0</v>
      </c>
      <c r="N219" s="3" t="str">
        <f ca="1">IFERROR(__xludf.DUMMYFUNCTION("""COMPUTED_VALUE"""),"2055-06-01T22:29:24.537929Z")</f>
        <v>2055-06-01T22:29:24.537929Z</v>
      </c>
      <c r="O219" s="3" t="str">
        <f ca="1">IFERROR(__xludf.DUMMYFUNCTION("""COMPUTED_VALUE"""),"2055-06-01T22:44:37.082559Z")</f>
        <v>2055-06-01T22:44:37.082559Z</v>
      </c>
      <c r="P219" s="3" t="str">
        <f ca="1">IFERROR(__xludf.DUMMYFUNCTION("""COMPUTED_VALUE"""),"2055-06-01T22:19:27.772382Z")</f>
        <v>2055-06-01T22:19:27.772382Z</v>
      </c>
      <c r="Q219" s="3">
        <f ca="1">IFERROR(__xludf.DUMMYFUNCTION("""COMPUTED_VALUE"""),0)</f>
        <v>0</v>
      </c>
      <c r="R219" s="3" t="str">
        <f ca="1">IFERROR(__xludf.DUMMYFUNCTION("""COMPUTED_VALUE"""),"2055-06-01T22:19:31.530038Z")</f>
        <v>2055-06-01T22:19:31.530038Z</v>
      </c>
      <c r="S219" s="3" t="str">
        <f ca="1">IFERROR(__xludf.DUMMYFUNCTION("""COMPUTED_VALUE"""),"2055-06-01T22:27:44.404516Z")</f>
        <v>2055-06-01T22:27:44.404516Z</v>
      </c>
      <c r="T219" s="3"/>
      <c r="U219" s="4">
        <f ca="1">IFERROR(__xludf.DUMMYFUNCTION("""COMPUTED_VALUE"""),56766)</f>
        <v>56766</v>
      </c>
      <c r="V219" s="3">
        <f ca="1">IFERROR(__xludf.DUMMYFUNCTION("""COMPUTED_VALUE"""),4.8)</f>
        <v>4.8</v>
      </c>
      <c r="W219" s="3">
        <f ca="1">IFERROR(__xludf.DUMMYFUNCTION("""COMPUTED_VALUE"""),4000)</f>
        <v>4000</v>
      </c>
      <c r="X219" s="3">
        <f ca="1">IFERROR(__xludf.DUMMYFUNCTION("""COMPUTED_VALUE"""),1506)</f>
        <v>1506</v>
      </c>
      <c r="Y219" s="3">
        <f ca="1">IFERROR(__xludf.DUMMYFUNCTION("""COMPUTED_VALUE"""),493)</f>
        <v>493</v>
      </c>
      <c r="Z219" s="3">
        <f ca="1">IFERROR(__xludf.DUMMYFUNCTION("""COMPUTED_VALUE"""),100)</f>
        <v>100</v>
      </c>
      <c r="AA219" s="3">
        <f ca="1">IFERROR(__xludf.DUMMYFUNCTION("""COMPUTED_VALUE"""),913)</f>
        <v>913</v>
      </c>
      <c r="AB219" s="3">
        <f ca="1">IFERROR(__xludf.DUMMYFUNCTION("""COMPUTED_VALUE"""),0)</f>
        <v>0</v>
      </c>
      <c r="AC219" s="3">
        <f ca="1">IFERROR(__xludf.DUMMYFUNCTION("""COMPUTED_VALUE"""),4)</f>
        <v>4</v>
      </c>
      <c r="AD219" s="3" t="str">
        <f ca="1">IFERROR(__xludf.DUMMYFUNCTION("""COMPUTED_VALUE"""),"late")</f>
        <v>late</v>
      </c>
      <c r="AE219" s="3" t="str">
        <f ca="1">IFERROR(__xludf.DUMMYFUNCTION("""COMPUTED_VALUE"""),"2055-06-01T18:29:24.537929Z")</f>
        <v>2055-06-01T18:29:24.537929Z</v>
      </c>
      <c r="AF219" s="3" t="str">
        <f ca="1">IFERROR(__xludf.DUMMYFUNCTION("""COMPUTED_VALUE"""),"2055-06-01T18:44:37.082559Z")</f>
        <v>2055-06-01T18:44:37.082559Z</v>
      </c>
      <c r="AG219" s="3" t="str">
        <f ca="1">IFERROR(__xludf.DUMMYFUNCTION("""COMPUTED_VALUE"""),"2055-06-01T18:19:27.772382Z")</f>
        <v>2055-06-01T18:19:27.772382Z</v>
      </c>
      <c r="AH219" s="3" t="str">
        <f ca="1">IFERROR(__xludf.DUMMYFUNCTION("""COMPUTED_VALUE"""),"2055-06-01T18:27:44.404516Z")</f>
        <v>2055-06-01T18:27:44.404516Z</v>
      </c>
      <c r="AI219" s="3">
        <f ca="1">IFERROR(__xludf.DUMMYFUNCTION("""COMPUTED_VALUE"""),4.7)</f>
        <v>4.7</v>
      </c>
      <c r="AJ219" s="3">
        <f ca="1">IFERROR(__xludf.DUMMYFUNCTION("""COMPUTED_VALUE"""),1261)</f>
        <v>1261</v>
      </c>
      <c r="AK219" s="3">
        <f ca="1">IFERROR(__xludf.DUMMYFUNCTION("""COMPUTED_VALUE"""),3264)</f>
        <v>3264</v>
      </c>
      <c r="AL219" s="3">
        <f ca="1">IFERROR(__xludf.DUMMYFUNCTION("""COMPUTED_VALUE"""),232)</f>
        <v>232</v>
      </c>
    </row>
    <row r="220" spans="1:38" ht="13">
      <c r="A220" s="3">
        <f ca="1">IFERROR(__xludf.DUMMYFUNCTION("""COMPUTED_VALUE"""),126)</f>
        <v>126</v>
      </c>
      <c r="B220" s="3"/>
      <c r="C220" s="3">
        <f ca="1">IFERROR(__xludf.DUMMYFUNCTION("""COMPUTED_VALUE"""),4050)</f>
        <v>4050</v>
      </c>
      <c r="D220" s="3" t="str">
        <f ca="1">IFERROR(__xludf.DUMMYFUNCTION("""COMPUTED_VALUE"""),"Doorlanta")</f>
        <v>Doorlanta</v>
      </c>
      <c r="E220" s="3" t="str">
        <f ca="1">IFERROR(__xludf.DUMMYFUNCTION("""COMPUTED_VALUE"""),"Galaxy A")</f>
        <v>Galaxy A</v>
      </c>
      <c r="F220" s="3" t="str">
        <f ca="1">IFERROR(__xludf.DUMMYFUNCTION("""COMPUTED_VALUE"""),"Cate")</f>
        <v>Cate</v>
      </c>
      <c r="G220" s="3">
        <f ca="1">IFERROR(__xludf.DUMMYFUNCTION("""COMPUTED_VALUE"""),0)</f>
        <v>0</v>
      </c>
      <c r="H220" s="3" t="str">
        <f ca="1">IFERROR(__xludf.DUMMYFUNCTION("""COMPUTED_VALUE"""),"car")</f>
        <v>car</v>
      </c>
      <c r="I220" s="3" t="str">
        <f ca="1">IFERROR(__xludf.DUMMYFUNCTION("""COMPUTED_VALUE"""),"2055-06-02T15:33:13.11589Z")</f>
        <v>2055-06-02T15:33:13.11589Z</v>
      </c>
      <c r="J220" s="3" t="str">
        <f ca="1">IFERROR(__xludf.DUMMYFUNCTION("""COMPUTED_VALUE"""),"2055-06-02T16:28:13.182Z")</f>
        <v>2055-06-02T16:28:13.182Z</v>
      </c>
      <c r="K220" s="3" t="str">
        <f ca="1">IFERROR(__xludf.DUMMYFUNCTION("""COMPUTED_VALUE"""),"2055-06-02T16:04:00.182Z")</f>
        <v>2055-06-02T16:04:00.182Z</v>
      </c>
      <c r="L220" s="3">
        <f ca="1">IFERROR(__xludf.DUMMYFUNCTION("""COMPUTED_VALUE"""),1)</f>
        <v>1</v>
      </c>
      <c r="M220" s="3">
        <f ca="1">IFERROR(__xludf.DUMMYFUNCTION("""COMPUTED_VALUE"""),0)</f>
        <v>0</v>
      </c>
      <c r="N220" s="3" t="str">
        <f ca="1">IFERROR(__xludf.DUMMYFUNCTION("""COMPUTED_VALUE"""),"2055-06-02T15:49:24.257194Z")</f>
        <v>2055-06-02T15:49:24.257194Z</v>
      </c>
      <c r="O220" s="3" t="str">
        <f ca="1">IFERROR(__xludf.DUMMYFUNCTION("""COMPUTED_VALUE"""),"2055-06-02T15:59:37.511322Z")</f>
        <v>2055-06-02T15:59:37.511322Z</v>
      </c>
      <c r="P220" s="3" t="str">
        <f ca="1">IFERROR(__xludf.DUMMYFUNCTION("""COMPUTED_VALUE"""),"2055-06-02T15:35:07.365703Z")</f>
        <v>2055-06-02T15:35:07.365703Z</v>
      </c>
      <c r="Q220" s="3">
        <f ca="1">IFERROR(__xludf.DUMMYFUNCTION("""COMPUTED_VALUE"""),0)</f>
        <v>0</v>
      </c>
      <c r="R220" s="3" t="str">
        <f ca="1">IFERROR(__xludf.DUMMYFUNCTION("""COMPUTED_VALUE"""),"2055-06-02T15:35:09.961035Z")</f>
        <v>2055-06-02T15:35:09.961035Z</v>
      </c>
      <c r="S220" s="3" t="str">
        <f ca="1">IFERROR(__xludf.DUMMYFUNCTION("""COMPUTED_VALUE"""),"2055-06-02T15:44:06.754212Z")</f>
        <v>2055-06-02T15:44:06.754212Z</v>
      </c>
      <c r="T220" s="3"/>
      <c r="U220" s="4">
        <f ca="1">IFERROR(__xludf.DUMMYFUNCTION("""COMPUTED_VALUE"""),56767)</f>
        <v>56767</v>
      </c>
      <c r="V220" s="3">
        <f ca="1">IFERROR(__xludf.DUMMYFUNCTION("""COMPUTED_VALUE"""),4.6)</f>
        <v>4.5999999999999996</v>
      </c>
      <c r="W220" s="3">
        <f ca="1">IFERROR(__xludf.DUMMYFUNCTION("""COMPUTED_VALUE"""),4000)</f>
        <v>4000</v>
      </c>
      <c r="X220" s="3">
        <f ca="1">IFERROR(__xludf.DUMMYFUNCTION("""COMPUTED_VALUE"""),1468)</f>
        <v>1468</v>
      </c>
      <c r="Y220" s="3">
        <f ca="1">IFERROR(__xludf.DUMMYFUNCTION("""COMPUTED_VALUE"""),537)</f>
        <v>537</v>
      </c>
      <c r="Z220" s="3">
        <f ca="1">IFERROR(__xludf.DUMMYFUNCTION("""COMPUTED_VALUE"""),318)</f>
        <v>318</v>
      </c>
      <c r="AA220" s="3">
        <f ca="1">IFERROR(__xludf.DUMMYFUNCTION("""COMPUTED_VALUE"""),613)</f>
        <v>613</v>
      </c>
      <c r="AB220" s="3">
        <f ca="1">IFERROR(__xludf.DUMMYFUNCTION("""COMPUTED_VALUE"""),1)</f>
        <v>1</v>
      </c>
      <c r="AC220" s="3">
        <f ca="1">IFERROR(__xludf.DUMMYFUNCTION("""COMPUTED_VALUE"""),3)</f>
        <v>3</v>
      </c>
      <c r="AD220" s="3"/>
      <c r="AE220" s="3" t="str">
        <f ca="1">IFERROR(__xludf.DUMMYFUNCTION("""COMPUTED_VALUE"""),"2055-06-02T11:49:24.257194Z")</f>
        <v>2055-06-02T11:49:24.257194Z</v>
      </c>
      <c r="AF220" s="3" t="str">
        <f ca="1">IFERROR(__xludf.DUMMYFUNCTION("""COMPUTED_VALUE"""),"2055-06-02T11:59:37.511322Z")</f>
        <v>2055-06-02T11:59:37.511322Z</v>
      </c>
      <c r="AG220" s="3" t="str">
        <f ca="1">IFERROR(__xludf.DUMMYFUNCTION("""COMPUTED_VALUE"""),"2055-06-02T11:35:07.365703Z")</f>
        <v>2055-06-02T11:35:07.365703Z</v>
      </c>
      <c r="AH220" s="3" t="str">
        <f ca="1">IFERROR(__xludf.DUMMYFUNCTION("""COMPUTED_VALUE"""),"2055-06-02T11:44:06.754212Z")</f>
        <v>2055-06-02T11:44:06.754212Z</v>
      </c>
      <c r="AI220" s="3">
        <f ca="1">IFERROR(__xludf.DUMMYFUNCTION("""COMPUTED_VALUE"""),4.49)</f>
        <v>4.49</v>
      </c>
      <c r="AJ220" s="3">
        <f ca="1">IFERROR(__xludf.DUMMYFUNCTION("""COMPUTED_VALUE"""),2315)</f>
        <v>2315</v>
      </c>
      <c r="AK220" s="3">
        <f ca="1">IFERROR(__xludf.DUMMYFUNCTION("""COMPUTED_VALUE"""),7039)</f>
        <v>7039</v>
      </c>
      <c r="AL220" s="3">
        <f ca="1">IFERROR(__xludf.DUMMYFUNCTION("""COMPUTED_VALUE"""),763)</f>
        <v>763</v>
      </c>
    </row>
    <row r="221" spans="1:38" ht="13">
      <c r="A221" s="3">
        <f ca="1">IFERROR(__xludf.DUMMYFUNCTION("""COMPUTED_VALUE"""),367)</f>
        <v>367</v>
      </c>
      <c r="B221" s="3">
        <f ca="1">IFERROR(__xludf.DUMMYFUNCTION("""COMPUTED_VALUE"""),5)</f>
        <v>5</v>
      </c>
      <c r="C221" s="3">
        <f ca="1">IFERROR(__xludf.DUMMYFUNCTION("""COMPUTED_VALUE"""),4050)</f>
        <v>4050</v>
      </c>
      <c r="D221" s="3" t="str">
        <f ca="1">IFERROR(__xludf.DUMMYFUNCTION("""COMPUTED_VALUE"""),"Doorlanta")</f>
        <v>Doorlanta</v>
      </c>
      <c r="E221" s="3" t="str">
        <f ca="1">IFERROR(__xludf.DUMMYFUNCTION("""COMPUTED_VALUE"""),"Galaxy A")</f>
        <v>Galaxy A</v>
      </c>
      <c r="F221" s="3" t="str">
        <f ca="1">IFERROR(__xludf.DUMMYFUNCTION("""COMPUTED_VALUE"""),"Cate")</f>
        <v>Cate</v>
      </c>
      <c r="G221" s="3">
        <f ca="1">IFERROR(__xludf.DUMMYFUNCTION("""COMPUTED_VALUE"""),0)</f>
        <v>0</v>
      </c>
      <c r="H221" s="3" t="str">
        <f ca="1">IFERROR(__xludf.DUMMYFUNCTION("""COMPUTED_VALUE"""),"car")</f>
        <v>car</v>
      </c>
      <c r="I221" s="3" t="str">
        <f ca="1">IFERROR(__xludf.DUMMYFUNCTION("""COMPUTED_VALUE"""),"2055-06-03T23:33:25.800312Z")</f>
        <v>2055-06-03T23:33:25.800312Z</v>
      </c>
      <c r="J221" s="3" t="str">
        <f ca="1">IFERROR(__xludf.DUMMYFUNCTION("""COMPUTED_VALUE"""),"2055-06-04T00:19:33.856Z")</f>
        <v>2055-06-04T00:19:33.856Z</v>
      </c>
      <c r="K221" s="3" t="str">
        <f ca="1">IFERROR(__xludf.DUMMYFUNCTION("""COMPUTED_VALUE"""),"2055-06-04T00:15:40.856Z")</f>
        <v>2055-06-04T00:15:40.856Z</v>
      </c>
      <c r="L221" s="3">
        <f ca="1">IFERROR(__xludf.DUMMYFUNCTION("""COMPUTED_VALUE"""),1)</f>
        <v>1</v>
      </c>
      <c r="M221" s="3">
        <f ca="1">IFERROR(__xludf.DUMMYFUNCTION("""COMPUTED_VALUE"""),0)</f>
        <v>0</v>
      </c>
      <c r="N221" s="3" t="str">
        <f ca="1">IFERROR(__xludf.DUMMYFUNCTION("""COMPUTED_VALUE"""),"2055-06-03T23:54:47.584909Z")</f>
        <v>2055-06-03T23:54:47.584909Z</v>
      </c>
      <c r="O221" s="3" t="str">
        <f ca="1">IFERROR(__xludf.DUMMYFUNCTION("""COMPUTED_VALUE"""),"2055-06-04T00:10:01.975573Z")</f>
        <v>2055-06-04T00:10:01.975573Z</v>
      </c>
      <c r="P221" s="3" t="str">
        <f ca="1">IFERROR(__xludf.DUMMYFUNCTION("""COMPUTED_VALUE"""),"2055-06-03T23:33:47.522386Z")</f>
        <v>2055-06-03T23:33:47.522386Z</v>
      </c>
      <c r="Q221" s="3">
        <f ca="1">IFERROR(__xludf.DUMMYFUNCTION("""COMPUTED_VALUE"""),0)</f>
        <v>0</v>
      </c>
      <c r="R221" s="3" t="str">
        <f ca="1">IFERROR(__xludf.DUMMYFUNCTION("""COMPUTED_VALUE"""),"2055-06-03T23:33:52.354293Z")</f>
        <v>2055-06-03T23:33:52.354293Z</v>
      </c>
      <c r="S221" s="3"/>
      <c r="T221" s="3"/>
      <c r="U221" s="4">
        <f ca="1">IFERROR(__xludf.DUMMYFUNCTION("""COMPUTED_VALUE"""),56768)</f>
        <v>56768</v>
      </c>
      <c r="V221" s="3">
        <f ca="1">IFERROR(__xludf.DUMMYFUNCTION("""COMPUTED_VALUE"""),4.4)</f>
        <v>4.4000000000000004</v>
      </c>
      <c r="W221" s="3">
        <f ca="1">IFERROR(__xludf.DUMMYFUNCTION("""COMPUTED_VALUE"""),4000)</f>
        <v>4000</v>
      </c>
      <c r="X221" s="3">
        <f ca="1">IFERROR(__xludf.DUMMYFUNCTION("""COMPUTED_VALUE"""),2169)</f>
        <v>2169</v>
      </c>
      <c r="Y221" s="3"/>
      <c r="Z221" s="3"/>
      <c r="AA221" s="3">
        <f ca="1">IFERROR(__xludf.DUMMYFUNCTION("""COMPUTED_VALUE"""),914)</f>
        <v>914</v>
      </c>
      <c r="AB221" s="3">
        <f ca="1">IFERROR(__xludf.DUMMYFUNCTION("""COMPUTED_VALUE"""),0)</f>
        <v>0</v>
      </c>
      <c r="AC221" s="3">
        <f ca="1">IFERROR(__xludf.DUMMYFUNCTION("""COMPUTED_VALUE"""),3)</f>
        <v>3</v>
      </c>
      <c r="AD221" s="3"/>
      <c r="AE221" s="3" t="str">
        <f ca="1">IFERROR(__xludf.DUMMYFUNCTION("""COMPUTED_VALUE"""),"2055-06-03T19:54:47.584909Z")</f>
        <v>2055-06-03T19:54:47.584909Z</v>
      </c>
      <c r="AF221" s="3" t="str">
        <f ca="1">IFERROR(__xludf.DUMMYFUNCTION("""COMPUTED_VALUE"""),"2055-06-03T20:10:01.975573Z")</f>
        <v>2055-06-03T20:10:01.975573Z</v>
      </c>
      <c r="AG221" s="3" t="str">
        <f ca="1">IFERROR(__xludf.DUMMYFUNCTION("""COMPUTED_VALUE"""),"2055-06-03T19:33:47.522386Z")</f>
        <v>2055-06-03T19:33:47.522386Z</v>
      </c>
      <c r="AH221" s="3"/>
      <c r="AI221" s="3">
        <f ca="1">IFERROR(__xludf.DUMMYFUNCTION("""COMPUTED_VALUE"""),4.49)</f>
        <v>4.49</v>
      </c>
      <c r="AJ221" s="3">
        <f ca="1">IFERROR(__xludf.DUMMYFUNCTION("""COMPUTED_VALUE"""),2315)</f>
        <v>2315</v>
      </c>
      <c r="AK221" s="3">
        <f ca="1">IFERROR(__xludf.DUMMYFUNCTION("""COMPUTED_VALUE"""),7039)</f>
        <v>7039</v>
      </c>
      <c r="AL221" s="3">
        <f ca="1">IFERROR(__xludf.DUMMYFUNCTION("""COMPUTED_VALUE"""),763)</f>
        <v>763</v>
      </c>
    </row>
    <row r="222" spans="1:38" ht="13">
      <c r="A222" s="3">
        <f ca="1">IFERROR(__xludf.DUMMYFUNCTION("""COMPUTED_VALUE"""),1233)</f>
        <v>1233</v>
      </c>
      <c r="B222" s="3">
        <f ca="1">IFERROR(__xludf.DUMMYFUNCTION("""COMPUTED_VALUE"""),5)</f>
        <v>5</v>
      </c>
      <c r="C222" s="3">
        <f ca="1">IFERROR(__xludf.DUMMYFUNCTION("""COMPUTED_VALUE"""),4001)</f>
        <v>4001</v>
      </c>
      <c r="D222" s="3" t="str">
        <f ca="1">IFERROR(__xludf.DUMMYFUNCTION("""COMPUTED_VALUE"""),"Dashattan")</f>
        <v>Dashattan</v>
      </c>
      <c r="E222" s="3" t="str">
        <f ca="1">IFERROR(__xludf.DUMMYFUNCTION("""COMPUTED_VALUE"""),"Galaxy A")</f>
        <v>Galaxy A</v>
      </c>
      <c r="F222" s="3" t="str">
        <f ca="1">IFERROR(__xludf.DUMMYFUNCTION("""COMPUTED_VALUE"""),"Etan")</f>
        <v>Etan</v>
      </c>
      <c r="G222" s="3">
        <f ca="1">IFERROR(__xludf.DUMMYFUNCTION("""COMPUTED_VALUE"""),0)</f>
        <v>0</v>
      </c>
      <c r="H222" s="3" t="str">
        <f ca="1">IFERROR(__xludf.DUMMYFUNCTION("""COMPUTED_VALUE"""),"bicycle")</f>
        <v>bicycle</v>
      </c>
      <c r="I222" s="3" t="str">
        <f ca="1">IFERROR(__xludf.DUMMYFUNCTION("""COMPUTED_VALUE"""),"2055-06-11T13:33:39.620531Z")</f>
        <v>2055-06-11T13:33:39.620531Z</v>
      </c>
      <c r="J222" s="3" t="str">
        <f ca="1">IFERROR(__xludf.DUMMYFUNCTION("""COMPUTED_VALUE"""),"2055-06-11T14:43:08.726Z")</f>
        <v>2055-06-11T14:43:08.726Z</v>
      </c>
      <c r="K222" s="3" t="str">
        <f ca="1">IFERROR(__xludf.DUMMYFUNCTION("""COMPUTED_VALUE"""),"2055-06-11T14:27:29.726Z")</f>
        <v>2055-06-11T14:27:29.726Z</v>
      </c>
      <c r="L222" s="3">
        <f ca="1">IFERROR(__xludf.DUMMYFUNCTION("""COMPUTED_VALUE"""),1)</f>
        <v>1</v>
      </c>
      <c r="M222" s="3">
        <f ca="1">IFERROR(__xludf.DUMMYFUNCTION("""COMPUTED_VALUE"""),0)</f>
        <v>0</v>
      </c>
      <c r="N222" s="3" t="str">
        <f ca="1">IFERROR(__xludf.DUMMYFUNCTION("""COMPUTED_VALUE"""),"2055-06-11T15:01:28.151517Z")</f>
        <v>2055-06-11T15:01:28.151517Z</v>
      </c>
      <c r="O222" s="3" t="str">
        <f ca="1">IFERROR(__xludf.DUMMYFUNCTION("""COMPUTED_VALUE"""),"2055-06-11T15:07:34.51496Z")</f>
        <v>2055-06-11T15:07:34.51496Z</v>
      </c>
      <c r="P222" s="3" t="str">
        <f ca="1">IFERROR(__xludf.DUMMYFUNCTION("""COMPUTED_VALUE"""),"2055-06-11T13:36:14.208231Z")</f>
        <v>2055-06-11T13:36:14.208231Z</v>
      </c>
      <c r="Q222" s="3">
        <f ca="1">IFERROR(__xludf.DUMMYFUNCTION("""COMPUTED_VALUE"""),0)</f>
        <v>0</v>
      </c>
      <c r="R222" s="3" t="str">
        <f ca="1">IFERROR(__xludf.DUMMYFUNCTION("""COMPUTED_VALUE"""),"2055-06-11T13:36:19.25012Z")</f>
        <v>2055-06-11T13:36:19.25012Z</v>
      </c>
      <c r="S222" s="3" t="str">
        <f ca="1">IFERROR(__xludf.DUMMYFUNCTION("""COMPUTED_VALUE"""),"2055-06-11T14:13:10.408107Z")</f>
        <v>2055-06-11T14:13:10.408107Z</v>
      </c>
      <c r="T222" s="3"/>
      <c r="U222" s="4">
        <f ca="1">IFERROR(__xludf.DUMMYFUNCTION("""COMPUTED_VALUE"""),56776)</f>
        <v>56776</v>
      </c>
      <c r="V222" s="3">
        <f ca="1">IFERROR(__xludf.DUMMYFUNCTION("""COMPUTED_VALUE"""),2.796335422)</f>
        <v>2.7963354219999998</v>
      </c>
      <c r="W222" s="3">
        <f ca="1">IFERROR(__xludf.DUMMYFUNCTION("""COMPUTED_VALUE"""),4000)</f>
        <v>4000</v>
      </c>
      <c r="X222" s="3">
        <f ca="1">IFERROR(__xludf.DUMMYFUNCTION("""COMPUTED_VALUE"""),5475)</f>
        <v>5475</v>
      </c>
      <c r="Y222" s="3">
        <f ca="1">IFERROR(__xludf.DUMMYFUNCTION("""COMPUTED_VALUE"""),2211)</f>
        <v>2211</v>
      </c>
      <c r="Z222" s="3">
        <f ca="1">IFERROR(__xludf.DUMMYFUNCTION("""COMPUTED_VALUE"""),2898)</f>
        <v>2898</v>
      </c>
      <c r="AA222" s="3">
        <f ca="1">IFERROR(__xludf.DUMMYFUNCTION("""COMPUTED_VALUE"""),366)</f>
        <v>366</v>
      </c>
      <c r="AB222" s="3">
        <f ca="1">IFERROR(__xludf.DUMMYFUNCTION("""COMPUTED_VALUE"""),0)</f>
        <v>0</v>
      </c>
      <c r="AC222" s="3">
        <f ca="1">IFERROR(__xludf.DUMMYFUNCTION("""COMPUTED_VALUE"""),11)</f>
        <v>11</v>
      </c>
      <c r="AD222" s="3" t="str">
        <f ca="1">IFERROR(__xludf.DUMMYFUNCTION("""COMPUTED_VALUE"""),"early")</f>
        <v>early</v>
      </c>
      <c r="AE222" s="3" t="str">
        <f ca="1">IFERROR(__xludf.DUMMYFUNCTION("""COMPUTED_VALUE"""),"2055-06-11T11:01:28.151517Z")</f>
        <v>2055-06-11T11:01:28.151517Z</v>
      </c>
      <c r="AF222" s="3" t="str">
        <f ca="1">IFERROR(__xludf.DUMMYFUNCTION("""COMPUTED_VALUE"""),"2055-06-11T11:07:34.51496Z")</f>
        <v>2055-06-11T11:07:34.51496Z</v>
      </c>
      <c r="AG222" s="3" t="str">
        <f ca="1">IFERROR(__xludf.DUMMYFUNCTION("""COMPUTED_VALUE"""),"2055-06-11T09:36:14.208231Z")</f>
        <v>2055-06-11T09:36:14.208231Z</v>
      </c>
      <c r="AH222" s="3" t="str">
        <f ca="1">IFERROR(__xludf.DUMMYFUNCTION("""COMPUTED_VALUE"""),"2055-06-11T10:13:10.408107Z")</f>
        <v>2055-06-11T10:13:10.408107Z</v>
      </c>
      <c r="AI222" s="3">
        <f ca="1">IFERROR(__xludf.DUMMYFUNCTION("""COMPUTED_VALUE"""),4.35106383)</f>
        <v>4.3510638300000002</v>
      </c>
      <c r="AJ222" s="3">
        <f ca="1">IFERROR(__xludf.DUMMYFUNCTION("""COMPUTED_VALUE"""),62)</f>
        <v>62</v>
      </c>
      <c r="AK222" s="3">
        <f ca="1">IFERROR(__xludf.DUMMYFUNCTION("""COMPUTED_VALUE"""),228)</f>
        <v>228</v>
      </c>
      <c r="AL222" s="3"/>
    </row>
    <row r="223" spans="1:38" ht="13">
      <c r="A223" s="3">
        <f ca="1">IFERROR(__xludf.DUMMYFUNCTION("""COMPUTED_VALUE"""),217)</f>
        <v>217</v>
      </c>
      <c r="B223" s="3">
        <f ca="1">IFERROR(__xludf.DUMMYFUNCTION("""COMPUTED_VALUE"""),5)</f>
        <v>5</v>
      </c>
      <c r="C223" s="3">
        <f ca="1">IFERROR(__xludf.DUMMYFUNCTION("""COMPUTED_VALUE"""),4001)</f>
        <v>4001</v>
      </c>
      <c r="D223" s="3" t="str">
        <f ca="1">IFERROR(__xludf.DUMMYFUNCTION("""COMPUTED_VALUE"""),"Dashattan")</f>
        <v>Dashattan</v>
      </c>
      <c r="E223" s="3" t="str">
        <f ca="1">IFERROR(__xludf.DUMMYFUNCTION("""COMPUTED_VALUE"""),"Galaxy A")</f>
        <v>Galaxy A</v>
      </c>
      <c r="F223" s="3" t="str">
        <f ca="1">IFERROR(__xludf.DUMMYFUNCTION("""COMPUTED_VALUE"""),"Arya")</f>
        <v>Arya</v>
      </c>
      <c r="G223" s="3">
        <f ca="1">IFERROR(__xludf.DUMMYFUNCTION("""COMPUTED_VALUE"""),0)</f>
        <v>0</v>
      </c>
      <c r="H223" s="3" t="str">
        <f ca="1">IFERROR(__xludf.DUMMYFUNCTION("""COMPUTED_VALUE"""),"bicycle")</f>
        <v>bicycle</v>
      </c>
      <c r="I223" s="3" t="str">
        <f ca="1">IFERROR(__xludf.DUMMYFUNCTION("""COMPUTED_VALUE"""),"2055-06-03T00:02:42.511197Z")</f>
        <v>2055-06-03T00:02:42.511197Z</v>
      </c>
      <c r="J223" s="3" t="str">
        <f ca="1">IFERROR(__xludf.DUMMYFUNCTION("""COMPUTED_VALUE"""),"2055-06-03T00:55:35.579Z")</f>
        <v>2055-06-03T00:55:35.579Z</v>
      </c>
      <c r="K223" s="3" t="str">
        <f ca="1">IFERROR(__xludf.DUMMYFUNCTION("""COMPUTED_VALUE"""),"2055-06-03T00:35:28.579Z")</f>
        <v>2055-06-03T00:35:28.579Z</v>
      </c>
      <c r="L223" s="3">
        <f ca="1">IFERROR(__xludf.DUMMYFUNCTION("""COMPUTED_VALUE"""),1)</f>
        <v>1</v>
      </c>
      <c r="M223" s="3">
        <f ca="1">IFERROR(__xludf.DUMMYFUNCTION("""COMPUTED_VALUE"""),0)</f>
        <v>0</v>
      </c>
      <c r="N223" s="3" t="str">
        <f ca="1">IFERROR(__xludf.DUMMYFUNCTION("""COMPUTED_VALUE"""),"2055-06-03T00:24:59.676815Z")</f>
        <v>2055-06-03T00:24:59.676815Z</v>
      </c>
      <c r="O223" s="3" t="str">
        <f ca="1">IFERROR(__xludf.DUMMYFUNCTION("""COMPUTED_VALUE"""),"2055-06-03T00:30:10.333969Z")</f>
        <v>2055-06-03T00:30:10.333969Z</v>
      </c>
      <c r="P223" s="3" t="str">
        <f ca="1">IFERROR(__xludf.DUMMYFUNCTION("""COMPUTED_VALUE"""),"2055-06-03T00:11:35.272344Z")</f>
        <v>2055-06-03T00:11:35.272344Z</v>
      </c>
      <c r="Q223" s="3">
        <f ca="1">IFERROR(__xludf.DUMMYFUNCTION("""COMPUTED_VALUE"""),0)</f>
        <v>0</v>
      </c>
      <c r="R223" s="3" t="str">
        <f ca="1">IFERROR(__xludf.DUMMYFUNCTION("""COMPUTED_VALUE"""),"2055-06-03T00:12:56.102834Z")</f>
        <v>2055-06-03T00:12:56.102834Z</v>
      </c>
      <c r="S223" s="3" t="str">
        <f ca="1">IFERROR(__xludf.DUMMYFUNCTION("""COMPUTED_VALUE"""),"2055-06-03T00:19:20.935837Z")</f>
        <v>2055-06-03T00:19:20.935837Z</v>
      </c>
      <c r="T223" s="3"/>
      <c r="U223" s="4">
        <f ca="1">IFERROR(__xludf.DUMMYFUNCTION("""COMPUTED_VALUE"""),56767)</f>
        <v>56767</v>
      </c>
      <c r="V223" s="3">
        <f ca="1">IFERROR(__xludf.DUMMYFUNCTION("""COMPUTED_VALUE"""),4.6)</f>
        <v>4.5999999999999996</v>
      </c>
      <c r="W223" s="3">
        <f ca="1">IFERROR(__xludf.DUMMYFUNCTION("""COMPUTED_VALUE"""),4000)</f>
        <v>4000</v>
      </c>
      <c r="X223" s="3">
        <f ca="1">IFERROR(__xludf.DUMMYFUNCTION("""COMPUTED_VALUE"""),1034)</f>
        <v>1034</v>
      </c>
      <c r="Y223" s="3">
        <f ca="1">IFERROR(__xludf.DUMMYFUNCTION("""COMPUTED_VALUE"""),384)</f>
        <v>384</v>
      </c>
      <c r="Z223" s="3">
        <f ca="1">IFERROR(__xludf.DUMMYFUNCTION("""COMPUTED_VALUE"""),339)</f>
        <v>339</v>
      </c>
      <c r="AA223" s="3">
        <f ca="1">IFERROR(__xludf.DUMMYFUNCTION("""COMPUTED_VALUE"""),311)</f>
        <v>311</v>
      </c>
      <c r="AB223" s="3">
        <f ca="1">IFERROR(__xludf.DUMMYFUNCTION("""COMPUTED_VALUE"""),0)</f>
        <v>0</v>
      </c>
      <c r="AC223" s="3">
        <f ca="1">IFERROR(__xludf.DUMMYFUNCTION("""COMPUTED_VALUE"""),1)</f>
        <v>1</v>
      </c>
      <c r="AD223" s="3" t="str">
        <f ca="1">IFERROR(__xludf.DUMMYFUNCTION("""COMPUTED_VALUE"""),"on time")</f>
        <v>on time</v>
      </c>
      <c r="AE223" s="3" t="str">
        <f ca="1">IFERROR(__xludf.DUMMYFUNCTION("""COMPUTED_VALUE"""),"2055-06-02T20:24:59.676815Z")</f>
        <v>2055-06-02T20:24:59.676815Z</v>
      </c>
      <c r="AF223" s="3" t="str">
        <f ca="1">IFERROR(__xludf.DUMMYFUNCTION("""COMPUTED_VALUE"""),"2055-06-02T20:30:10.333969Z")</f>
        <v>2055-06-02T20:30:10.333969Z</v>
      </c>
      <c r="AG223" s="3" t="str">
        <f ca="1">IFERROR(__xludf.DUMMYFUNCTION("""COMPUTED_VALUE"""),"2055-06-02T20:11:35.272344Z")</f>
        <v>2055-06-02T20:11:35.272344Z</v>
      </c>
      <c r="AH223" s="3" t="str">
        <f ca="1">IFERROR(__xludf.DUMMYFUNCTION("""COMPUTED_VALUE"""),"2055-06-02T20:19:20.935837Z")</f>
        <v>2055-06-02T20:19:20.935837Z</v>
      </c>
      <c r="AI223" s="3">
        <f ca="1">IFERROR(__xludf.DUMMYFUNCTION("""COMPUTED_VALUE"""),4.17)</f>
        <v>4.17</v>
      </c>
      <c r="AJ223" s="3">
        <f ca="1">IFERROR(__xludf.DUMMYFUNCTION("""COMPUTED_VALUE"""),457)</f>
        <v>457</v>
      </c>
      <c r="AK223" s="3">
        <f ca="1">IFERROR(__xludf.DUMMYFUNCTION("""COMPUTED_VALUE"""),1599)</f>
        <v>1599</v>
      </c>
      <c r="AL223" s="3"/>
    </row>
    <row r="224" spans="1:38" ht="13">
      <c r="A224" s="3">
        <f ca="1">IFERROR(__xludf.DUMMYFUNCTION("""COMPUTED_VALUE"""),706)</f>
        <v>706</v>
      </c>
      <c r="B224" s="3"/>
      <c r="C224" s="3">
        <f ca="1">IFERROR(__xludf.DUMMYFUNCTION("""COMPUTED_VALUE"""),4050)</f>
        <v>4050</v>
      </c>
      <c r="D224" s="3" t="str">
        <f ca="1">IFERROR(__xludf.DUMMYFUNCTION("""COMPUTED_VALUE"""),"Doorlanta")</f>
        <v>Doorlanta</v>
      </c>
      <c r="E224" s="3" t="str">
        <f ca="1">IFERROR(__xludf.DUMMYFUNCTION("""COMPUTED_VALUE"""),"Galaxy A")</f>
        <v>Galaxy A</v>
      </c>
      <c r="F224" s="3" t="str">
        <f ca="1">IFERROR(__xludf.DUMMYFUNCTION("""COMPUTED_VALUE"""),"Joe")</f>
        <v>Joe</v>
      </c>
      <c r="G224" s="3">
        <f ca="1">IFERROR(__xludf.DUMMYFUNCTION("""COMPUTED_VALUE"""),0)</f>
        <v>0</v>
      </c>
      <c r="H224" s="3" t="str">
        <f ca="1">IFERROR(__xludf.DUMMYFUNCTION("""COMPUTED_VALUE"""),"car")</f>
        <v>car</v>
      </c>
      <c r="I224" s="3" t="str">
        <f ca="1">IFERROR(__xludf.DUMMYFUNCTION("""COMPUTED_VALUE"""),"2055-06-06T00:29:33.353467Z")</f>
        <v>2055-06-06T00:29:33.353467Z</v>
      </c>
      <c r="J224" s="3" t="str">
        <f ca="1">IFERROR(__xludf.DUMMYFUNCTION("""COMPUTED_VALUE"""),"2055-06-06T01:37:29.436Z")</f>
        <v>2055-06-06T01:37:29.436Z</v>
      </c>
      <c r="K224" s="3" t="str">
        <f ca="1">IFERROR(__xludf.DUMMYFUNCTION("""COMPUTED_VALUE"""),"2055-06-06T01:22:48.436Z")</f>
        <v>2055-06-06T01:22:48.436Z</v>
      </c>
      <c r="L224" s="3">
        <f ca="1">IFERROR(__xludf.DUMMYFUNCTION("""COMPUTED_VALUE"""),1)</f>
        <v>1</v>
      </c>
      <c r="M224" s="3">
        <f ca="1">IFERROR(__xludf.DUMMYFUNCTION("""COMPUTED_VALUE"""),0)</f>
        <v>0</v>
      </c>
      <c r="N224" s="3" t="str">
        <f ca="1">IFERROR(__xludf.DUMMYFUNCTION("""COMPUTED_VALUE"""),"2055-06-06T01:36:40.985208Z")</f>
        <v>2055-06-06T01:36:40.985208Z</v>
      </c>
      <c r="O224" s="3" t="str">
        <f ca="1">IFERROR(__xludf.DUMMYFUNCTION("""COMPUTED_VALUE"""),"2055-06-06T01:56:05.806968Z")</f>
        <v>2055-06-06T01:56:05.806968Z</v>
      </c>
      <c r="P224" s="3" t="str">
        <f ca="1">IFERROR(__xludf.DUMMYFUNCTION("""COMPUTED_VALUE"""),"2055-06-06T00:34:27.552513Z")</f>
        <v>2055-06-06T00:34:27.552513Z</v>
      </c>
      <c r="Q224" s="3">
        <f ca="1">IFERROR(__xludf.DUMMYFUNCTION("""COMPUTED_VALUE"""),0)</f>
        <v>0</v>
      </c>
      <c r="R224" s="3" t="str">
        <f ca="1">IFERROR(__xludf.DUMMYFUNCTION("""COMPUTED_VALUE"""),"2055-06-06T00:34:33.96329Z")</f>
        <v>2055-06-06T00:34:33.96329Z</v>
      </c>
      <c r="S224" s="3" t="str">
        <f ca="1">IFERROR(__xludf.DUMMYFUNCTION("""COMPUTED_VALUE"""),"2055-06-06T01:31:33.869635Z")</f>
        <v>2055-06-06T01:31:33.869635Z</v>
      </c>
      <c r="T224" s="3"/>
      <c r="U224" s="4">
        <f ca="1">IFERROR(__xludf.DUMMYFUNCTION("""COMPUTED_VALUE"""),56770)</f>
        <v>56770</v>
      </c>
      <c r="V224" s="3">
        <f ca="1">IFERROR(__xludf.DUMMYFUNCTION("""COMPUTED_VALUE"""),3.033021726)</f>
        <v>3.0330217259999999</v>
      </c>
      <c r="W224" s="3">
        <f ca="1">IFERROR(__xludf.DUMMYFUNCTION("""COMPUTED_VALUE"""),4000)</f>
        <v>4000</v>
      </c>
      <c r="X224" s="3">
        <f ca="1">IFERROR(__xludf.DUMMYFUNCTION("""COMPUTED_VALUE"""),4892)</f>
        <v>4892</v>
      </c>
      <c r="Y224" s="3">
        <f ca="1">IFERROR(__xludf.DUMMYFUNCTION("""COMPUTED_VALUE"""),3420)</f>
        <v>3420</v>
      </c>
      <c r="Z224" s="3">
        <f ca="1">IFERROR(__xludf.DUMMYFUNCTION("""COMPUTED_VALUE"""),307)</f>
        <v>307</v>
      </c>
      <c r="AA224" s="3">
        <f ca="1">IFERROR(__xludf.DUMMYFUNCTION("""COMPUTED_VALUE"""),1165)</f>
        <v>1165</v>
      </c>
      <c r="AB224" s="3">
        <f ca="1">IFERROR(__xludf.DUMMYFUNCTION("""COMPUTED_VALUE"""),0)</f>
        <v>0</v>
      </c>
      <c r="AC224" s="3">
        <f ca="1">IFERROR(__xludf.DUMMYFUNCTION("""COMPUTED_VALUE"""),1)</f>
        <v>1</v>
      </c>
      <c r="AD224" s="3" t="str">
        <f ca="1">IFERROR(__xludf.DUMMYFUNCTION("""COMPUTED_VALUE"""),"late")</f>
        <v>late</v>
      </c>
      <c r="AE224" s="3" t="str">
        <f ca="1">IFERROR(__xludf.DUMMYFUNCTION("""COMPUTED_VALUE"""),"2055-06-05T21:36:40.985208Z")</f>
        <v>2055-06-05T21:36:40.985208Z</v>
      </c>
      <c r="AF224" s="3" t="str">
        <f ca="1">IFERROR(__xludf.DUMMYFUNCTION("""COMPUTED_VALUE"""),"2055-06-05T21:56:05.806968Z")</f>
        <v>2055-06-05T21:56:05.806968Z</v>
      </c>
      <c r="AG224" s="3" t="str">
        <f ca="1">IFERROR(__xludf.DUMMYFUNCTION("""COMPUTED_VALUE"""),"2055-06-05T20:34:27.552513Z")</f>
        <v>2055-06-05T20:34:27.552513Z</v>
      </c>
      <c r="AH224" s="3" t="str">
        <f ca="1">IFERROR(__xludf.DUMMYFUNCTION("""COMPUTED_VALUE"""),"2055-06-05T21:31:33.869635Z")</f>
        <v>2055-06-05T21:31:33.869635Z</v>
      </c>
      <c r="AI224" s="3">
        <f ca="1">IFERROR(__xludf.DUMMYFUNCTION("""COMPUTED_VALUE"""),4.38)</f>
        <v>4.38</v>
      </c>
      <c r="AJ224" s="3">
        <f ca="1">IFERROR(__xludf.DUMMYFUNCTION("""COMPUTED_VALUE"""),196)</f>
        <v>196</v>
      </c>
      <c r="AK224" s="3">
        <f ca="1">IFERROR(__xludf.DUMMYFUNCTION("""COMPUTED_VALUE"""),626)</f>
        <v>626</v>
      </c>
      <c r="AL224" s="3"/>
    </row>
    <row r="225" spans="1:38" ht="13">
      <c r="A225" s="3">
        <f ca="1">IFERROR(__xludf.DUMMYFUNCTION("""COMPUTED_VALUE"""),977)</f>
        <v>977</v>
      </c>
      <c r="B225" s="3"/>
      <c r="C225" s="3">
        <f ca="1">IFERROR(__xludf.DUMMYFUNCTION("""COMPUTED_VALUE"""),4001)</f>
        <v>4001</v>
      </c>
      <c r="D225" s="3" t="str">
        <f ca="1">IFERROR(__xludf.DUMMYFUNCTION("""COMPUTED_VALUE"""),"Dashattan")</f>
        <v>Dashattan</v>
      </c>
      <c r="E225" s="3" t="str">
        <f ca="1">IFERROR(__xludf.DUMMYFUNCTION("""COMPUTED_VALUE"""),"Galaxy A")</f>
        <v>Galaxy A</v>
      </c>
      <c r="F225" s="3" t="str">
        <f ca="1">IFERROR(__xludf.DUMMYFUNCTION("""COMPUTED_VALUE"""),"Arya")</f>
        <v>Arya</v>
      </c>
      <c r="G225" s="3">
        <f ca="1">IFERROR(__xludf.DUMMYFUNCTION("""COMPUTED_VALUE"""),0)</f>
        <v>0</v>
      </c>
      <c r="H225" s="3" t="str">
        <f ca="1">IFERROR(__xludf.DUMMYFUNCTION("""COMPUTED_VALUE"""),"bicycle")</f>
        <v>bicycle</v>
      </c>
      <c r="I225" s="3" t="str">
        <f ca="1">IFERROR(__xludf.DUMMYFUNCTION("""COMPUTED_VALUE"""),"2055-06-08T22:29:28.314479Z")</f>
        <v>2055-06-08T22:29:28.314479Z</v>
      </c>
      <c r="J225" s="3" t="str">
        <f ca="1">IFERROR(__xludf.DUMMYFUNCTION("""COMPUTED_VALUE"""),"2055-06-08T23:18:19.375Z")</f>
        <v>2055-06-08T23:18:19.375Z</v>
      </c>
      <c r="K225" s="3" t="str">
        <f ca="1">IFERROR(__xludf.DUMMYFUNCTION("""COMPUTED_VALUE"""),"2055-06-08T23:03:40.375Z")</f>
        <v>2055-06-08T23:03:40.375Z</v>
      </c>
      <c r="L225" s="3">
        <f ca="1">IFERROR(__xludf.DUMMYFUNCTION("""COMPUTED_VALUE"""),1)</f>
        <v>1</v>
      </c>
      <c r="M225" s="3">
        <f ca="1">IFERROR(__xludf.DUMMYFUNCTION("""COMPUTED_VALUE"""),1)</f>
        <v>1</v>
      </c>
      <c r="N225" s="3" t="str">
        <f ca="1">IFERROR(__xludf.DUMMYFUNCTION("""COMPUTED_VALUE"""),"2055-06-08T22:55:45.002803Z")</f>
        <v>2055-06-08T22:55:45.002803Z</v>
      </c>
      <c r="O225" s="3" t="str">
        <f ca="1">IFERROR(__xludf.DUMMYFUNCTION("""COMPUTED_VALUE"""),"2055-06-08T23:11:51.675664Z")</f>
        <v>2055-06-08T23:11:51.675664Z</v>
      </c>
      <c r="P225" s="3" t="str">
        <f ca="1">IFERROR(__xludf.DUMMYFUNCTION("""COMPUTED_VALUE"""),"2055-06-08T22:35:34.41706Z")</f>
        <v>2055-06-08T22:35:34.41706Z</v>
      </c>
      <c r="Q225" s="3">
        <f ca="1">IFERROR(__xludf.DUMMYFUNCTION("""COMPUTED_VALUE"""),0)</f>
        <v>0</v>
      </c>
      <c r="R225" s="3" t="str">
        <f ca="1">IFERROR(__xludf.DUMMYFUNCTION("""COMPUTED_VALUE"""),"2055-06-08T22:35:43.812004Z")</f>
        <v>2055-06-08T22:35:43.812004Z</v>
      </c>
      <c r="S225" s="3" t="str">
        <f ca="1">IFERROR(__xludf.DUMMYFUNCTION("""COMPUTED_VALUE"""),"2055-06-08T22:47:01.966831Z")</f>
        <v>2055-06-08T22:47:01.966831Z</v>
      </c>
      <c r="T225" s="3"/>
      <c r="U225" s="4">
        <f ca="1">IFERROR(__xludf.DUMMYFUNCTION("""COMPUTED_VALUE"""),56773)</f>
        <v>56773</v>
      </c>
      <c r="V225" s="3">
        <f ca="1">IFERROR(__xludf.DUMMYFUNCTION("""COMPUTED_VALUE"""),2.463875177)</f>
        <v>2.4638751769999998</v>
      </c>
      <c r="W225" s="3">
        <f ca="1">IFERROR(__xludf.DUMMYFUNCTION("""COMPUTED_VALUE"""),4000)</f>
        <v>4000</v>
      </c>
      <c r="X225" s="3">
        <f ca="1">IFERROR(__xludf.DUMMYFUNCTION("""COMPUTED_VALUE"""),2168)</f>
        <v>2168</v>
      </c>
      <c r="Y225" s="3">
        <f ca="1">IFERROR(__xludf.DUMMYFUNCTION("""COMPUTED_VALUE"""),678)</f>
        <v>678</v>
      </c>
      <c r="Z225" s="3">
        <f ca="1">IFERROR(__xludf.DUMMYFUNCTION("""COMPUTED_VALUE"""),524)</f>
        <v>524</v>
      </c>
      <c r="AA225" s="3">
        <f ca="1">IFERROR(__xludf.DUMMYFUNCTION("""COMPUTED_VALUE"""),966)</f>
        <v>966</v>
      </c>
      <c r="AB225" s="3">
        <f ca="1">IFERROR(__xludf.DUMMYFUNCTION("""COMPUTED_VALUE"""),0)</f>
        <v>0</v>
      </c>
      <c r="AC225" s="3">
        <f ca="1">IFERROR(__xludf.DUMMYFUNCTION("""COMPUTED_VALUE"""),4)</f>
        <v>4</v>
      </c>
      <c r="AD225" s="3" t="str">
        <f ca="1">IFERROR(__xludf.DUMMYFUNCTION("""COMPUTED_VALUE"""),"on time")</f>
        <v>on time</v>
      </c>
      <c r="AE225" s="3" t="str">
        <f ca="1">IFERROR(__xludf.DUMMYFUNCTION("""COMPUTED_VALUE"""),"2055-06-08T18:55:45.002803Z")</f>
        <v>2055-06-08T18:55:45.002803Z</v>
      </c>
      <c r="AF225" s="3" t="str">
        <f ca="1">IFERROR(__xludf.DUMMYFUNCTION("""COMPUTED_VALUE"""),"2055-06-08T19:11:51.675664Z")</f>
        <v>2055-06-08T19:11:51.675664Z</v>
      </c>
      <c r="AG225" s="3" t="str">
        <f ca="1">IFERROR(__xludf.DUMMYFUNCTION("""COMPUTED_VALUE"""),"2055-06-08T18:35:34.41706Z")</f>
        <v>2055-06-08T18:35:34.41706Z</v>
      </c>
      <c r="AH225" s="3" t="str">
        <f ca="1">IFERROR(__xludf.DUMMYFUNCTION("""COMPUTED_VALUE"""),"2055-06-08T18:47:01.966831Z")</f>
        <v>2055-06-08T18:47:01.966831Z</v>
      </c>
      <c r="AI225" s="3">
        <f ca="1">IFERROR(__xludf.DUMMYFUNCTION("""COMPUTED_VALUE"""),4.17)</f>
        <v>4.17</v>
      </c>
      <c r="AJ225" s="3">
        <f ca="1">IFERROR(__xludf.DUMMYFUNCTION("""COMPUTED_VALUE"""),457)</f>
        <v>457</v>
      </c>
      <c r="AK225" s="3">
        <f ca="1">IFERROR(__xludf.DUMMYFUNCTION("""COMPUTED_VALUE"""),1599)</f>
        <v>1599</v>
      </c>
      <c r="AL225" s="3"/>
    </row>
    <row r="226" spans="1:38" ht="13">
      <c r="A226" s="3">
        <f ca="1">IFERROR(__xludf.DUMMYFUNCTION("""COMPUTED_VALUE"""),1385)</f>
        <v>1385</v>
      </c>
      <c r="B226" s="3">
        <f ca="1">IFERROR(__xludf.DUMMYFUNCTION("""COMPUTED_VALUE"""),5)</f>
        <v>5</v>
      </c>
      <c r="C226" s="3">
        <f ca="1">IFERROR(__xludf.DUMMYFUNCTION("""COMPUTED_VALUE"""),4001)</f>
        <v>4001</v>
      </c>
      <c r="D226" s="3" t="str">
        <f ca="1">IFERROR(__xludf.DUMMYFUNCTION("""COMPUTED_VALUE"""),"Dashattan")</f>
        <v>Dashattan</v>
      </c>
      <c r="E226" s="3" t="str">
        <f ca="1">IFERROR(__xludf.DUMMYFUNCTION("""COMPUTED_VALUE"""),"Galaxy A")</f>
        <v>Galaxy A</v>
      </c>
      <c r="F226" s="3" t="str">
        <f ca="1">IFERROR(__xludf.DUMMYFUNCTION("""COMPUTED_VALUE"""),"KC")</f>
        <v>KC</v>
      </c>
      <c r="G226" s="3">
        <f ca="1">IFERROR(__xludf.DUMMYFUNCTION("""COMPUTED_VALUE"""),0)</f>
        <v>0</v>
      </c>
      <c r="H226" s="3" t="str">
        <f ca="1">IFERROR(__xludf.DUMMYFUNCTION("""COMPUTED_VALUE"""),"car")</f>
        <v>car</v>
      </c>
      <c r="I226" s="3" t="str">
        <f ca="1">IFERROR(__xludf.DUMMYFUNCTION("""COMPUTED_VALUE"""),"2055-06-12T14:26:08.373097Z")</f>
        <v>2055-06-12T14:26:08.373097Z</v>
      </c>
      <c r="J226" s="3" t="str">
        <f ca="1">IFERROR(__xludf.DUMMYFUNCTION("""COMPUTED_VALUE"""),"2055-06-12T15:11:29.463Z")</f>
        <v>2055-06-12T15:11:29.463Z</v>
      </c>
      <c r="K226" s="3" t="str">
        <f ca="1">IFERROR(__xludf.DUMMYFUNCTION("""COMPUTED_VALUE"""),"2055-06-12T14:57:36.463Z")</f>
        <v>2055-06-12T14:57:36.463Z</v>
      </c>
      <c r="L226" s="3">
        <f ca="1">IFERROR(__xludf.DUMMYFUNCTION("""COMPUTED_VALUE"""),1)</f>
        <v>1</v>
      </c>
      <c r="M226" s="3">
        <f ca="1">IFERROR(__xludf.DUMMYFUNCTION("""COMPUTED_VALUE"""),0)</f>
        <v>0</v>
      </c>
      <c r="N226" s="3" t="str">
        <f ca="1">IFERROR(__xludf.DUMMYFUNCTION("""COMPUTED_VALUE"""),"2055-06-12T15:03:47.26797Z")</f>
        <v>2055-06-12T15:03:47.26797Z</v>
      </c>
      <c r="O226" s="3" t="str">
        <f ca="1">IFERROR(__xludf.DUMMYFUNCTION("""COMPUTED_VALUE"""),"2055-06-12T15:11:58.424758Z")</f>
        <v>2055-06-12T15:11:58.424758Z</v>
      </c>
      <c r="P226" s="3" t="str">
        <f ca="1">IFERROR(__xludf.DUMMYFUNCTION("""COMPUTED_VALUE"""),"2055-06-12T14:32:14.09336Z")</f>
        <v>2055-06-12T14:32:14.09336Z</v>
      </c>
      <c r="Q226" s="3">
        <f ca="1">IFERROR(__xludf.DUMMYFUNCTION("""COMPUTED_VALUE"""),0)</f>
        <v>0</v>
      </c>
      <c r="R226" s="3" t="str">
        <f ca="1">IFERROR(__xludf.DUMMYFUNCTION("""COMPUTED_VALUE"""),"2055-06-12T14:32:28.366844Z")</f>
        <v>2055-06-12T14:32:28.366844Z</v>
      </c>
      <c r="S226" s="3" t="str">
        <f ca="1">IFERROR(__xludf.DUMMYFUNCTION("""COMPUTED_VALUE"""),"2055-06-12T14:35:07.073074Z")</f>
        <v>2055-06-12T14:35:07.073074Z</v>
      </c>
      <c r="T226" s="3"/>
      <c r="U226" s="4">
        <f ca="1">IFERROR(__xludf.DUMMYFUNCTION("""COMPUTED_VALUE"""),56777)</f>
        <v>56777</v>
      </c>
      <c r="V226" s="3">
        <f ca="1">IFERROR(__xludf.DUMMYFUNCTION("""COMPUTED_VALUE"""),3.161630861)</f>
        <v>3.1616308609999999</v>
      </c>
      <c r="W226" s="3">
        <f ca="1">IFERROR(__xludf.DUMMYFUNCTION("""COMPUTED_VALUE"""),4000)</f>
        <v>4000</v>
      </c>
      <c r="X226" s="3">
        <f ca="1">IFERROR(__xludf.DUMMYFUNCTION("""COMPUTED_VALUE"""),2370)</f>
        <v>2370</v>
      </c>
      <c r="Y226" s="3">
        <f ca="1">IFERROR(__xludf.DUMMYFUNCTION("""COMPUTED_VALUE"""),159)</f>
        <v>159</v>
      </c>
      <c r="Z226" s="3">
        <f ca="1">IFERROR(__xludf.DUMMYFUNCTION("""COMPUTED_VALUE"""),1720)</f>
        <v>1720</v>
      </c>
      <c r="AA226" s="3">
        <f ca="1">IFERROR(__xludf.DUMMYFUNCTION("""COMPUTED_VALUE"""),491)</f>
        <v>491</v>
      </c>
      <c r="AB226" s="3">
        <f ca="1">IFERROR(__xludf.DUMMYFUNCTION("""COMPUTED_VALUE"""),1)</f>
        <v>1</v>
      </c>
      <c r="AC226" s="3">
        <f ca="1">IFERROR(__xludf.DUMMYFUNCTION("""COMPUTED_VALUE"""),3)</f>
        <v>3</v>
      </c>
      <c r="AD226" s="3"/>
      <c r="AE226" s="3" t="str">
        <f ca="1">IFERROR(__xludf.DUMMYFUNCTION("""COMPUTED_VALUE"""),"2055-06-12T11:03:47.26797Z")</f>
        <v>2055-06-12T11:03:47.26797Z</v>
      </c>
      <c r="AF226" s="3" t="str">
        <f ca="1">IFERROR(__xludf.DUMMYFUNCTION("""COMPUTED_VALUE"""),"2055-06-12T11:11:58.424758Z")</f>
        <v>2055-06-12T11:11:58.424758Z</v>
      </c>
      <c r="AG226" s="3" t="str">
        <f ca="1">IFERROR(__xludf.DUMMYFUNCTION("""COMPUTED_VALUE"""),"2055-06-12T10:32:14.09336Z")</f>
        <v>2055-06-12T10:32:14.09336Z</v>
      </c>
      <c r="AH226" s="3" t="str">
        <f ca="1">IFERROR(__xludf.DUMMYFUNCTION("""COMPUTED_VALUE"""),"2055-06-12T10:35:07.073074Z")</f>
        <v>2055-06-12T10:35:07.073074Z</v>
      </c>
      <c r="AI226" s="3">
        <f ca="1">IFERROR(__xludf.DUMMYFUNCTION("""COMPUTED_VALUE"""),4.54)</f>
        <v>4.54</v>
      </c>
      <c r="AJ226" s="3">
        <f ca="1">IFERROR(__xludf.DUMMYFUNCTION("""COMPUTED_VALUE"""),2229)</f>
        <v>2229</v>
      </c>
      <c r="AK226" s="3">
        <f ca="1">IFERROR(__xludf.DUMMYFUNCTION("""COMPUTED_VALUE"""),6580)</f>
        <v>6580</v>
      </c>
      <c r="AL226" s="3"/>
    </row>
    <row r="227" spans="1:38" ht="13">
      <c r="A227" s="3">
        <f ca="1">IFERROR(__xludf.DUMMYFUNCTION("""COMPUTED_VALUE"""),624)</f>
        <v>624</v>
      </c>
      <c r="B227" s="3"/>
      <c r="C227" s="3">
        <f ca="1">IFERROR(__xludf.DUMMYFUNCTION("""COMPUTED_VALUE"""),4050)</f>
        <v>4050</v>
      </c>
      <c r="D227" s="3" t="str">
        <f ca="1">IFERROR(__xludf.DUMMYFUNCTION("""COMPUTED_VALUE"""),"Doorlanta")</f>
        <v>Doorlanta</v>
      </c>
      <c r="E227" s="3" t="str">
        <f ca="1">IFERROR(__xludf.DUMMYFUNCTION("""COMPUTED_VALUE"""),"Galaxy A")</f>
        <v>Galaxy A</v>
      </c>
      <c r="F227" s="3" t="str">
        <f ca="1">IFERROR(__xludf.DUMMYFUNCTION("""COMPUTED_VALUE"""),"Kev")</f>
        <v>Kev</v>
      </c>
      <c r="G227" s="3">
        <f ca="1">IFERROR(__xludf.DUMMYFUNCTION("""COMPUTED_VALUE"""),0)</f>
        <v>0</v>
      </c>
      <c r="H227" s="3" t="str">
        <f ca="1">IFERROR(__xludf.DUMMYFUNCTION("""COMPUTED_VALUE"""),"car")</f>
        <v>car</v>
      </c>
      <c r="I227" s="3" t="str">
        <f ca="1">IFERROR(__xludf.DUMMYFUNCTION("""COMPUTED_VALUE"""),"2055-06-05T21:28:21.829022Z")</f>
        <v>2055-06-05T21:28:21.829022Z</v>
      </c>
      <c r="J227" s="3" t="str">
        <f ca="1">IFERROR(__xludf.DUMMYFUNCTION("""COMPUTED_VALUE"""),"2055-06-05T22:27:16.899Z")</f>
        <v>2055-06-05T22:27:16.899Z</v>
      </c>
      <c r="K227" s="3" t="str">
        <f ca="1">IFERROR(__xludf.DUMMYFUNCTION("""COMPUTED_VALUE"""),"2055-06-05T22:07:09.899Z")</f>
        <v>2055-06-05T22:07:09.899Z</v>
      </c>
      <c r="L227" s="3">
        <f ca="1">IFERROR(__xludf.DUMMYFUNCTION("""COMPUTED_VALUE"""),1)</f>
        <v>1</v>
      </c>
      <c r="M227" s="3">
        <f ca="1">IFERROR(__xludf.DUMMYFUNCTION("""COMPUTED_VALUE"""),0)</f>
        <v>0</v>
      </c>
      <c r="N227" s="3" t="str">
        <f ca="1">IFERROR(__xludf.DUMMYFUNCTION("""COMPUTED_VALUE"""),"2055-06-05T22:04:11.359627Z")</f>
        <v>2055-06-05T22:04:11.359627Z</v>
      </c>
      <c r="O227" s="3" t="str">
        <f ca="1">IFERROR(__xludf.DUMMYFUNCTION("""COMPUTED_VALUE"""),"2055-06-05T22:17:58.39479Z")</f>
        <v>2055-06-05T22:17:58.39479Z</v>
      </c>
      <c r="P227" s="3" t="str">
        <f ca="1">IFERROR(__xludf.DUMMYFUNCTION("""COMPUTED_VALUE"""),"2055-06-05T21:28:27.354868Z")</f>
        <v>2055-06-05T21:28:27.354868Z</v>
      </c>
      <c r="Q227" s="3">
        <f ca="1">IFERROR(__xludf.DUMMYFUNCTION("""COMPUTED_VALUE"""),0)</f>
        <v>0</v>
      </c>
      <c r="R227" s="3" t="str">
        <f ca="1">IFERROR(__xludf.DUMMYFUNCTION("""COMPUTED_VALUE"""),"2055-06-05T21:28:40.795716Z")</f>
        <v>2055-06-05T21:28:40.795716Z</v>
      </c>
      <c r="S227" s="3" t="str">
        <f ca="1">IFERROR(__xludf.DUMMYFUNCTION("""COMPUTED_VALUE"""),"2055-06-05T21:45:43.916816Z")</f>
        <v>2055-06-05T21:45:43.916816Z</v>
      </c>
      <c r="T227" s="3"/>
      <c r="U227" s="4">
        <f ca="1">IFERROR(__xludf.DUMMYFUNCTION("""COMPUTED_VALUE"""),56770)</f>
        <v>56770</v>
      </c>
      <c r="V227" s="3">
        <f ca="1">IFERROR(__xludf.DUMMYFUNCTION("""COMPUTED_VALUE"""),4.6)</f>
        <v>4.5999999999999996</v>
      </c>
      <c r="W227" s="3">
        <f ca="1">IFERROR(__xludf.DUMMYFUNCTION("""COMPUTED_VALUE"""),4000)</f>
        <v>4000</v>
      </c>
      <c r="X227" s="3">
        <f ca="1">IFERROR(__xludf.DUMMYFUNCTION("""COMPUTED_VALUE"""),2958)</f>
        <v>2958</v>
      </c>
      <c r="Y227" s="3">
        <f ca="1">IFERROR(__xludf.DUMMYFUNCTION("""COMPUTED_VALUE"""),1023)</f>
        <v>1023</v>
      </c>
      <c r="Z227" s="3">
        <f ca="1">IFERROR(__xludf.DUMMYFUNCTION("""COMPUTED_VALUE"""),1108)</f>
        <v>1108</v>
      </c>
      <c r="AA227" s="3">
        <f ca="1">IFERROR(__xludf.DUMMYFUNCTION("""COMPUTED_VALUE"""),827)</f>
        <v>827</v>
      </c>
      <c r="AB227" s="3">
        <f ca="1">IFERROR(__xludf.DUMMYFUNCTION("""COMPUTED_VALUE"""),0)</f>
        <v>0</v>
      </c>
      <c r="AC227" s="3">
        <f ca="1">IFERROR(__xludf.DUMMYFUNCTION("""COMPUTED_VALUE"""),11)</f>
        <v>11</v>
      </c>
      <c r="AD227" s="3" t="str">
        <f ca="1">IFERROR(__xludf.DUMMYFUNCTION("""COMPUTED_VALUE"""),"on time")</f>
        <v>on time</v>
      </c>
      <c r="AE227" s="3" t="str">
        <f ca="1">IFERROR(__xludf.DUMMYFUNCTION("""COMPUTED_VALUE"""),"2055-06-05T18:04:11.359627Z")</f>
        <v>2055-06-05T18:04:11.359627Z</v>
      </c>
      <c r="AF227" s="3" t="str">
        <f ca="1">IFERROR(__xludf.DUMMYFUNCTION("""COMPUTED_VALUE"""),"2055-06-05T18:17:58.39479Z")</f>
        <v>2055-06-05T18:17:58.39479Z</v>
      </c>
      <c r="AG227" s="3" t="str">
        <f ca="1">IFERROR(__xludf.DUMMYFUNCTION("""COMPUTED_VALUE"""),"2055-06-05T17:28:27.354868Z")</f>
        <v>2055-06-05T17:28:27.354868Z</v>
      </c>
      <c r="AH227" s="3" t="str">
        <f ca="1">IFERROR(__xludf.DUMMYFUNCTION("""COMPUTED_VALUE"""),"2055-06-05T17:45:43.916816Z")</f>
        <v>2055-06-05T17:45:43.916816Z</v>
      </c>
      <c r="AI227" s="3">
        <f ca="1">IFERROR(__xludf.DUMMYFUNCTION("""COMPUTED_VALUE"""),4.740740741)</f>
        <v>4.7407407409999998</v>
      </c>
      <c r="AJ227" s="3">
        <f ca="1">IFERROR(__xludf.DUMMYFUNCTION("""COMPUTED_VALUE"""),43)</f>
        <v>43</v>
      </c>
      <c r="AK227" s="3">
        <f ca="1">IFERROR(__xludf.DUMMYFUNCTION("""COMPUTED_VALUE"""),144)</f>
        <v>144</v>
      </c>
      <c r="AL227" s="3">
        <f ca="1">IFERROR(__xludf.DUMMYFUNCTION("""COMPUTED_VALUE"""),80)</f>
        <v>80</v>
      </c>
    </row>
    <row r="228" spans="1:38" ht="13">
      <c r="A228" s="3">
        <f ca="1">IFERROR(__xludf.DUMMYFUNCTION("""COMPUTED_VALUE"""),75)</f>
        <v>75</v>
      </c>
      <c r="B228" s="3"/>
      <c r="C228" s="3">
        <f ca="1">IFERROR(__xludf.DUMMYFUNCTION("""COMPUTED_VALUE"""),4001)</f>
        <v>4001</v>
      </c>
      <c r="D228" s="3" t="str">
        <f ca="1">IFERROR(__xludf.DUMMYFUNCTION("""COMPUTED_VALUE"""),"Dashattan")</f>
        <v>Dashattan</v>
      </c>
      <c r="E228" s="3" t="str">
        <f ca="1">IFERROR(__xludf.DUMMYFUNCTION("""COMPUTED_VALUE"""),"Galaxy A")</f>
        <v>Galaxy A</v>
      </c>
      <c r="F228" s="3" t="str">
        <f ca="1">IFERROR(__xludf.DUMMYFUNCTION("""COMPUTED_VALUE"""),"J")</f>
        <v>J</v>
      </c>
      <c r="G228" s="3">
        <f ca="1">IFERROR(__xludf.DUMMYFUNCTION("""COMPUTED_VALUE"""),0)</f>
        <v>0</v>
      </c>
      <c r="H228" s="3" t="str">
        <f ca="1">IFERROR(__xludf.DUMMYFUNCTION("""COMPUTED_VALUE"""),"bicycle")</f>
        <v>bicycle</v>
      </c>
      <c r="I228" s="3" t="str">
        <f ca="1">IFERROR(__xludf.DUMMYFUNCTION("""COMPUTED_VALUE"""),"2055-06-01T23:13:59.10779Z")</f>
        <v>2055-06-01T23:13:59.10779Z</v>
      </c>
      <c r="J228" s="3" t="str">
        <f ca="1">IFERROR(__xludf.DUMMYFUNCTION("""COMPUTED_VALUE"""),"2055-06-02T00:11:52.171Z")</f>
        <v>2055-06-02T00:11:52.171Z</v>
      </c>
      <c r="K228" s="3" t="str">
        <f ca="1">IFERROR(__xludf.DUMMYFUNCTION("""COMPUTED_VALUE"""),"2055-06-01T23:51:45.171Z")</f>
        <v>2055-06-01T23:51:45.171Z</v>
      </c>
      <c r="L228" s="3">
        <f ca="1">IFERROR(__xludf.DUMMYFUNCTION("""COMPUTED_VALUE"""),1)</f>
        <v>1</v>
      </c>
      <c r="M228" s="3">
        <f ca="1">IFERROR(__xludf.DUMMYFUNCTION("""COMPUTED_VALUE"""),0)</f>
        <v>0</v>
      </c>
      <c r="N228" s="3" t="str">
        <f ca="1">IFERROR(__xludf.DUMMYFUNCTION("""COMPUTED_VALUE"""),"2055-06-01T23:52:48.840517Z")</f>
        <v>2055-06-01T23:52:48.840517Z</v>
      </c>
      <c r="O228" s="3" t="str">
        <f ca="1">IFERROR(__xludf.DUMMYFUNCTION("""COMPUTED_VALUE"""),"2055-06-02T00:12:06.127325Z")</f>
        <v>2055-06-02T00:12:06.127325Z</v>
      </c>
      <c r="P228" s="3" t="str">
        <f ca="1">IFERROR(__xludf.DUMMYFUNCTION("""COMPUTED_VALUE"""),"2055-06-01T23:20:55.650264Z")</f>
        <v>2055-06-01T23:20:55.650264Z</v>
      </c>
      <c r="Q228" s="3">
        <f ca="1">IFERROR(__xludf.DUMMYFUNCTION("""COMPUTED_VALUE"""),0)</f>
        <v>0</v>
      </c>
      <c r="R228" s="3" t="str">
        <f ca="1">IFERROR(__xludf.DUMMYFUNCTION("""COMPUTED_VALUE"""),"2055-06-01T23:21:07.773453Z")</f>
        <v>2055-06-01T23:21:07.773453Z</v>
      </c>
      <c r="S228" s="3" t="str">
        <f ca="1">IFERROR(__xludf.DUMMYFUNCTION("""COMPUTED_VALUE"""),"2055-06-01T23:35:34.371454Z")</f>
        <v>2055-06-01T23:35:34.371454Z</v>
      </c>
      <c r="T228" s="3"/>
      <c r="U228" s="4">
        <f ca="1">IFERROR(__xludf.DUMMYFUNCTION("""COMPUTED_VALUE"""),56766)</f>
        <v>56766</v>
      </c>
      <c r="V228" s="3">
        <f ca="1">IFERROR(__xludf.DUMMYFUNCTION("""COMPUTED_VALUE"""),4)</f>
        <v>4</v>
      </c>
      <c r="W228" s="3">
        <f ca="1">IFERROR(__xludf.DUMMYFUNCTION("""COMPUTED_VALUE"""),4000)</f>
        <v>4000</v>
      </c>
      <c r="X228" s="3">
        <f ca="1">IFERROR(__xludf.DUMMYFUNCTION("""COMPUTED_VALUE"""),3059)</f>
        <v>3059</v>
      </c>
      <c r="Y228" s="3">
        <f ca="1">IFERROR(__xludf.DUMMYFUNCTION("""COMPUTED_VALUE"""),867)</f>
        <v>867</v>
      </c>
      <c r="Z228" s="3">
        <f ca="1">IFERROR(__xludf.DUMMYFUNCTION("""COMPUTED_VALUE"""),1034)</f>
        <v>1034</v>
      </c>
      <c r="AA228" s="3">
        <f ca="1">IFERROR(__xludf.DUMMYFUNCTION("""COMPUTED_VALUE"""),1158)</f>
        <v>1158</v>
      </c>
      <c r="AB228" s="3">
        <f ca="1">IFERROR(__xludf.DUMMYFUNCTION("""COMPUTED_VALUE"""),0)</f>
        <v>0</v>
      </c>
      <c r="AC228" s="3">
        <f ca="1">IFERROR(__xludf.DUMMYFUNCTION("""COMPUTED_VALUE"""),4)</f>
        <v>4</v>
      </c>
      <c r="AD228" s="3" t="str">
        <f ca="1">IFERROR(__xludf.DUMMYFUNCTION("""COMPUTED_VALUE"""),"late")</f>
        <v>late</v>
      </c>
      <c r="AE228" s="3" t="str">
        <f ca="1">IFERROR(__xludf.DUMMYFUNCTION("""COMPUTED_VALUE"""),"2055-06-01T19:52:48.840517Z")</f>
        <v>2055-06-01T19:52:48.840517Z</v>
      </c>
      <c r="AF228" s="3" t="str">
        <f ca="1">IFERROR(__xludf.DUMMYFUNCTION("""COMPUTED_VALUE"""),"2055-06-01T20:12:06.127325Z")</f>
        <v>2055-06-01T20:12:06.127325Z</v>
      </c>
      <c r="AG228" s="3" t="str">
        <f ca="1">IFERROR(__xludf.DUMMYFUNCTION("""COMPUTED_VALUE"""),"2055-06-01T19:20:55.650264Z")</f>
        <v>2055-06-01T19:20:55.650264Z</v>
      </c>
      <c r="AH228" s="3" t="str">
        <f ca="1">IFERROR(__xludf.DUMMYFUNCTION("""COMPUTED_VALUE"""),"2055-06-01T19:35:34.371454Z")</f>
        <v>2055-06-01T19:35:34.371454Z</v>
      </c>
      <c r="AI228" s="3">
        <f ca="1">IFERROR(__xludf.DUMMYFUNCTION("""COMPUTED_VALUE"""),4.6)</f>
        <v>4.5999999999999996</v>
      </c>
      <c r="AJ228" s="3">
        <f ca="1">IFERROR(__xludf.DUMMYFUNCTION("""COMPUTED_VALUE"""),292)</f>
        <v>292</v>
      </c>
      <c r="AK228" s="3">
        <f ca="1">IFERROR(__xludf.DUMMYFUNCTION("""COMPUTED_VALUE"""),1027)</f>
        <v>1027</v>
      </c>
      <c r="AL228" s="3">
        <f ca="1">IFERROR(__xludf.DUMMYFUNCTION("""COMPUTED_VALUE"""),26)</f>
        <v>26</v>
      </c>
    </row>
    <row r="229" spans="1:38" ht="13">
      <c r="A229" s="3">
        <f ca="1">IFERROR(__xludf.DUMMYFUNCTION("""COMPUTED_VALUE"""),776)</f>
        <v>776</v>
      </c>
      <c r="B229" s="3"/>
      <c r="C229" s="3">
        <f ca="1">IFERROR(__xludf.DUMMYFUNCTION("""COMPUTED_VALUE"""),4001)</f>
        <v>4001</v>
      </c>
      <c r="D229" s="3" t="str">
        <f ca="1">IFERROR(__xludf.DUMMYFUNCTION("""COMPUTED_VALUE"""),"Dashattan")</f>
        <v>Dashattan</v>
      </c>
      <c r="E229" s="3" t="str">
        <f ca="1">IFERROR(__xludf.DUMMYFUNCTION("""COMPUTED_VALUE"""),"Galaxy A")</f>
        <v>Galaxy A</v>
      </c>
      <c r="F229" s="3" t="str">
        <f ca="1">IFERROR(__xludf.DUMMYFUNCTION("""COMPUTED_VALUE"""),"KC")</f>
        <v>KC</v>
      </c>
      <c r="G229" s="3">
        <f ca="1">IFERROR(__xludf.DUMMYFUNCTION("""COMPUTED_VALUE"""),0)</f>
        <v>0</v>
      </c>
      <c r="H229" s="3" t="str">
        <f ca="1">IFERROR(__xludf.DUMMYFUNCTION("""COMPUTED_VALUE"""),"car")</f>
        <v>car</v>
      </c>
      <c r="I229" s="3" t="str">
        <f ca="1">IFERROR(__xludf.DUMMYFUNCTION("""COMPUTED_VALUE"""),"2055-06-06T22:23:22.682723Z")</f>
        <v>2055-06-06T22:23:22.682723Z</v>
      </c>
      <c r="J229" s="3" t="str">
        <f ca="1">IFERROR(__xludf.DUMMYFUNCTION("""COMPUTED_VALUE"""),"2055-06-06T23:20:28.755Z")</f>
        <v>2055-06-06T23:20:28.755Z</v>
      </c>
      <c r="K229" s="3" t="str">
        <f ca="1">IFERROR(__xludf.DUMMYFUNCTION("""COMPUTED_VALUE"""),"2055-06-06T23:11:35.755Z")</f>
        <v>2055-06-06T23:11:35.755Z</v>
      </c>
      <c r="L229" s="3">
        <f ca="1">IFERROR(__xludf.DUMMYFUNCTION("""COMPUTED_VALUE"""),1)</f>
        <v>1</v>
      </c>
      <c r="M229" s="3">
        <f ca="1">IFERROR(__xludf.DUMMYFUNCTION("""COMPUTED_VALUE"""),0)</f>
        <v>0</v>
      </c>
      <c r="N229" s="3" t="str">
        <f ca="1">IFERROR(__xludf.DUMMYFUNCTION("""COMPUTED_VALUE"""),"2055-06-06T22:59:15.53117Z")</f>
        <v>2055-06-06T22:59:15.53117Z</v>
      </c>
      <c r="O229" s="3" t="str">
        <f ca="1">IFERROR(__xludf.DUMMYFUNCTION("""COMPUTED_VALUE"""),"2055-06-06T23:08:58.796337Z")</f>
        <v>2055-06-06T23:08:58.796337Z</v>
      </c>
      <c r="P229" s="3" t="str">
        <f ca="1">IFERROR(__xludf.DUMMYFUNCTION("""COMPUTED_VALUE"""),"2055-06-06T22:34:14.447742Z")</f>
        <v>2055-06-06T22:34:14.447742Z</v>
      </c>
      <c r="Q229" s="3">
        <f ca="1">IFERROR(__xludf.DUMMYFUNCTION("""COMPUTED_VALUE"""),0)</f>
        <v>0</v>
      </c>
      <c r="R229" s="3" t="str">
        <f ca="1">IFERROR(__xludf.DUMMYFUNCTION("""COMPUTED_VALUE"""),"2055-06-06T22:34:21.386672Z")</f>
        <v>2055-06-06T22:34:21.386672Z</v>
      </c>
      <c r="S229" s="3" t="str">
        <f ca="1">IFERROR(__xludf.DUMMYFUNCTION("""COMPUTED_VALUE"""),"2055-06-06T22:41:29.195052Z")</f>
        <v>2055-06-06T22:41:29.195052Z</v>
      </c>
      <c r="T229" s="3"/>
      <c r="U229" s="4">
        <f ca="1">IFERROR(__xludf.DUMMYFUNCTION("""COMPUTED_VALUE"""),56771)</f>
        <v>56771</v>
      </c>
      <c r="V229" s="3">
        <f ca="1">IFERROR(__xludf.DUMMYFUNCTION("""COMPUTED_VALUE"""),4.4)</f>
        <v>4.4000000000000004</v>
      </c>
      <c r="W229" s="3">
        <f ca="1">IFERROR(__xludf.DUMMYFUNCTION("""COMPUTED_VALUE"""),4000)</f>
        <v>4000</v>
      </c>
      <c r="X229" s="3">
        <f ca="1">IFERROR(__xludf.DUMMYFUNCTION("""COMPUTED_VALUE"""),2077)</f>
        <v>2077</v>
      </c>
      <c r="Y229" s="3">
        <f ca="1">IFERROR(__xludf.DUMMYFUNCTION("""COMPUTED_VALUE"""),428)</f>
        <v>428</v>
      </c>
      <c r="Z229" s="3">
        <f ca="1">IFERROR(__xludf.DUMMYFUNCTION("""COMPUTED_VALUE"""),1066)</f>
        <v>1066</v>
      </c>
      <c r="AA229" s="3">
        <f ca="1">IFERROR(__xludf.DUMMYFUNCTION("""COMPUTED_VALUE"""),583)</f>
        <v>583</v>
      </c>
      <c r="AB229" s="3">
        <f ca="1">IFERROR(__xludf.DUMMYFUNCTION("""COMPUTED_VALUE"""),0)</f>
        <v>0</v>
      </c>
      <c r="AC229" s="3">
        <f ca="1">IFERROR(__xludf.DUMMYFUNCTION("""COMPUTED_VALUE"""),5)</f>
        <v>5</v>
      </c>
      <c r="AD229" s="3" t="str">
        <f ca="1">IFERROR(__xludf.DUMMYFUNCTION("""COMPUTED_VALUE"""),"early")</f>
        <v>early</v>
      </c>
      <c r="AE229" s="3" t="str">
        <f ca="1">IFERROR(__xludf.DUMMYFUNCTION("""COMPUTED_VALUE"""),"2055-06-06T18:59:15.53117Z")</f>
        <v>2055-06-06T18:59:15.53117Z</v>
      </c>
      <c r="AF229" s="3" t="str">
        <f ca="1">IFERROR(__xludf.DUMMYFUNCTION("""COMPUTED_VALUE"""),"2055-06-06T19:08:58.796337Z")</f>
        <v>2055-06-06T19:08:58.796337Z</v>
      </c>
      <c r="AG229" s="3" t="str">
        <f ca="1">IFERROR(__xludf.DUMMYFUNCTION("""COMPUTED_VALUE"""),"2055-06-06T18:34:14.447742Z")</f>
        <v>2055-06-06T18:34:14.447742Z</v>
      </c>
      <c r="AH229" s="3" t="str">
        <f ca="1">IFERROR(__xludf.DUMMYFUNCTION("""COMPUTED_VALUE"""),"2055-06-06T18:41:29.195052Z")</f>
        <v>2055-06-06T18:41:29.195052Z</v>
      </c>
      <c r="AI229" s="3">
        <f ca="1">IFERROR(__xludf.DUMMYFUNCTION("""COMPUTED_VALUE"""),4.54)</f>
        <v>4.54</v>
      </c>
      <c r="AJ229" s="3">
        <f ca="1">IFERROR(__xludf.DUMMYFUNCTION("""COMPUTED_VALUE"""),2229)</f>
        <v>2229</v>
      </c>
      <c r="AK229" s="3">
        <f ca="1">IFERROR(__xludf.DUMMYFUNCTION("""COMPUTED_VALUE"""),6580)</f>
        <v>6580</v>
      </c>
      <c r="AL229" s="3"/>
    </row>
    <row r="230" spans="1:38" ht="13">
      <c r="A230" s="3">
        <f ca="1">IFERROR(__xludf.DUMMYFUNCTION("""COMPUTED_VALUE"""),342)</f>
        <v>342</v>
      </c>
      <c r="B230" s="3">
        <f ca="1">IFERROR(__xludf.DUMMYFUNCTION("""COMPUTED_VALUE"""),5)</f>
        <v>5</v>
      </c>
      <c r="C230" s="3">
        <f ca="1">IFERROR(__xludf.DUMMYFUNCTION("""COMPUTED_VALUE"""),4050)</f>
        <v>4050</v>
      </c>
      <c r="D230" s="3" t="str">
        <f ca="1">IFERROR(__xludf.DUMMYFUNCTION("""COMPUTED_VALUE"""),"Doorlanta")</f>
        <v>Doorlanta</v>
      </c>
      <c r="E230" s="3" t="str">
        <f ca="1">IFERROR(__xludf.DUMMYFUNCTION("""COMPUTED_VALUE"""),"Galaxy A")</f>
        <v>Galaxy A</v>
      </c>
      <c r="F230" s="3" t="str">
        <f ca="1">IFERROR(__xludf.DUMMYFUNCTION("""COMPUTED_VALUE"""),"Lauran")</f>
        <v>Lauran</v>
      </c>
      <c r="G230" s="3">
        <f ca="1">IFERROR(__xludf.DUMMYFUNCTION("""COMPUTED_VALUE"""),0)</f>
        <v>0</v>
      </c>
      <c r="H230" s="3" t="str">
        <f ca="1">IFERROR(__xludf.DUMMYFUNCTION("""COMPUTED_VALUE"""),"car")</f>
        <v>car</v>
      </c>
      <c r="I230" s="3" t="str">
        <f ca="1">IFERROR(__xludf.DUMMYFUNCTION("""COMPUTED_VALUE"""),"2055-06-03T22:03:24.903419Z")</f>
        <v>2055-06-03T22:03:24.903419Z</v>
      </c>
      <c r="J230" s="3" t="str">
        <f ca="1">IFERROR(__xludf.DUMMYFUNCTION("""COMPUTED_VALUE"""),"2055-06-03T22:58:25.018Z")</f>
        <v>2055-06-03T22:58:25.018Z</v>
      </c>
      <c r="K230" s="3" t="str">
        <f ca="1">IFERROR(__xludf.DUMMYFUNCTION("""COMPUTED_VALUE"""),"2055-06-03T22:38:04.018Z")</f>
        <v>2055-06-03T22:38:04.018Z</v>
      </c>
      <c r="L230" s="3">
        <f ca="1">IFERROR(__xludf.DUMMYFUNCTION("""COMPUTED_VALUE"""),1)</f>
        <v>1</v>
      </c>
      <c r="M230" s="3">
        <f ca="1">IFERROR(__xludf.DUMMYFUNCTION("""COMPUTED_VALUE"""),0)</f>
        <v>0</v>
      </c>
      <c r="N230" s="3" t="str">
        <f ca="1">IFERROR(__xludf.DUMMYFUNCTION("""COMPUTED_VALUE"""),"2055-06-03T22:43:26.131516Z")</f>
        <v>2055-06-03T22:43:26.131516Z</v>
      </c>
      <c r="O230" s="3" t="str">
        <f ca="1">IFERROR(__xludf.DUMMYFUNCTION("""COMPUTED_VALUE"""),"2055-06-03T22:56:15.009623Z")</f>
        <v>2055-06-03T22:56:15.009623Z</v>
      </c>
      <c r="P230" s="3" t="str">
        <f ca="1">IFERROR(__xludf.DUMMYFUNCTION("""COMPUTED_VALUE"""),"2055-06-03T22:03:47.37276Z")</f>
        <v>2055-06-03T22:03:47.37276Z</v>
      </c>
      <c r="Q230" s="3">
        <f ca="1">IFERROR(__xludf.DUMMYFUNCTION("""COMPUTED_VALUE"""),0)</f>
        <v>0</v>
      </c>
      <c r="R230" s="3" t="str">
        <f ca="1">IFERROR(__xludf.DUMMYFUNCTION("""COMPUTED_VALUE"""),"2055-06-03T22:04:10.245355Z")</f>
        <v>2055-06-03T22:04:10.245355Z</v>
      </c>
      <c r="S230" s="3" t="str">
        <f ca="1">IFERROR(__xludf.DUMMYFUNCTION("""COMPUTED_VALUE"""),"2055-06-03T22:21:10.213617Z")</f>
        <v>2055-06-03T22:21:10.213617Z</v>
      </c>
      <c r="T230" s="3"/>
      <c r="U230" s="4">
        <f ca="1">IFERROR(__xludf.DUMMYFUNCTION("""COMPUTED_VALUE"""),56768)</f>
        <v>56768</v>
      </c>
      <c r="V230" s="3">
        <f ca="1">IFERROR(__xludf.DUMMYFUNCTION("""COMPUTED_VALUE"""),4.5)</f>
        <v>4.5</v>
      </c>
      <c r="W230" s="3">
        <f ca="1">IFERROR(__xludf.DUMMYFUNCTION("""COMPUTED_VALUE"""),4000)</f>
        <v>4000</v>
      </c>
      <c r="X230" s="3">
        <f ca="1">IFERROR(__xludf.DUMMYFUNCTION("""COMPUTED_VALUE"""),3125)</f>
        <v>3125</v>
      </c>
      <c r="Y230" s="3">
        <f ca="1">IFERROR(__xludf.DUMMYFUNCTION("""COMPUTED_VALUE"""),1020)</f>
        <v>1020</v>
      </c>
      <c r="Z230" s="3">
        <f ca="1">IFERROR(__xludf.DUMMYFUNCTION("""COMPUTED_VALUE"""),1336)</f>
        <v>1336</v>
      </c>
      <c r="AA230" s="3">
        <f ca="1">IFERROR(__xludf.DUMMYFUNCTION("""COMPUTED_VALUE"""),769)</f>
        <v>769</v>
      </c>
      <c r="AB230" s="3">
        <f ca="1">IFERROR(__xludf.DUMMYFUNCTION("""COMPUTED_VALUE"""),0)</f>
        <v>0</v>
      </c>
      <c r="AC230" s="3">
        <f ca="1">IFERROR(__xludf.DUMMYFUNCTION("""COMPUTED_VALUE"""),3)</f>
        <v>3</v>
      </c>
      <c r="AD230" s="3"/>
      <c r="AE230" s="3" t="str">
        <f ca="1">IFERROR(__xludf.DUMMYFUNCTION("""COMPUTED_VALUE"""),"2055-06-03T18:43:26.131516Z")</f>
        <v>2055-06-03T18:43:26.131516Z</v>
      </c>
      <c r="AF230" s="3" t="str">
        <f ca="1">IFERROR(__xludf.DUMMYFUNCTION("""COMPUTED_VALUE"""),"2055-06-03T18:56:15.009623Z")</f>
        <v>2055-06-03T18:56:15.009623Z</v>
      </c>
      <c r="AG230" s="3" t="str">
        <f ca="1">IFERROR(__xludf.DUMMYFUNCTION("""COMPUTED_VALUE"""),"2055-06-03T18:03:47.37276Z")</f>
        <v>2055-06-03T18:03:47.37276Z</v>
      </c>
      <c r="AH230" s="3" t="str">
        <f ca="1">IFERROR(__xludf.DUMMYFUNCTION("""COMPUTED_VALUE"""),"2055-06-03T18:21:10.213617Z")</f>
        <v>2055-06-03T18:21:10.213617Z</v>
      </c>
      <c r="AI230" s="3">
        <f ca="1">IFERROR(__xludf.DUMMYFUNCTION("""COMPUTED_VALUE"""),4.42)</f>
        <v>4.42</v>
      </c>
      <c r="AJ230" s="3">
        <f ca="1">IFERROR(__xludf.DUMMYFUNCTION("""COMPUTED_VALUE"""),1396)</f>
        <v>1396</v>
      </c>
      <c r="AK230" s="3">
        <f ca="1">IFERROR(__xludf.DUMMYFUNCTION("""COMPUTED_VALUE"""),4836)</f>
        <v>4836</v>
      </c>
      <c r="AL230" s="3">
        <f ca="1">IFERROR(__xludf.DUMMYFUNCTION("""COMPUTED_VALUE"""),1278)</f>
        <v>1278</v>
      </c>
    </row>
    <row r="231" spans="1:38" ht="13">
      <c r="A231" s="3">
        <f ca="1">IFERROR(__xludf.DUMMYFUNCTION("""COMPUTED_VALUE"""),322)</f>
        <v>322</v>
      </c>
      <c r="B231" s="3"/>
      <c r="C231" s="3">
        <f ca="1">IFERROR(__xludf.DUMMYFUNCTION("""COMPUTED_VALUE"""),4001)</f>
        <v>4001</v>
      </c>
      <c r="D231" s="3" t="str">
        <f ca="1">IFERROR(__xludf.DUMMYFUNCTION("""COMPUTED_VALUE"""),"Dashattan")</f>
        <v>Dashattan</v>
      </c>
      <c r="E231" s="3" t="str">
        <f ca="1">IFERROR(__xludf.DUMMYFUNCTION("""COMPUTED_VALUE"""),"Galaxy A")</f>
        <v>Galaxy A</v>
      </c>
      <c r="F231" s="3" t="str">
        <f ca="1">IFERROR(__xludf.DUMMYFUNCTION("""COMPUTED_VALUE"""),"Bunje")</f>
        <v>Bunje</v>
      </c>
      <c r="G231" s="3">
        <f ca="1">IFERROR(__xludf.DUMMYFUNCTION("""COMPUTED_VALUE"""),0)</f>
        <v>0</v>
      </c>
      <c r="H231" s="3" t="str">
        <f ca="1">IFERROR(__xludf.DUMMYFUNCTION("""COMPUTED_VALUE"""),"bicycle")</f>
        <v>bicycle</v>
      </c>
      <c r="I231" s="3" t="str">
        <f ca="1">IFERROR(__xludf.DUMMYFUNCTION("""COMPUTED_VALUE"""),"2055-06-03T20:05:55.709315Z")</f>
        <v>2055-06-03T20:05:55.709315Z</v>
      </c>
      <c r="J231" s="3" t="str">
        <f ca="1">IFERROR(__xludf.DUMMYFUNCTION("""COMPUTED_VALUE"""),"2055-06-03T21:01:18.784Z")</f>
        <v>2055-06-03T21:01:18.784Z</v>
      </c>
      <c r="K231" s="3" t="str">
        <f ca="1">IFERROR(__xludf.DUMMYFUNCTION("""COMPUTED_VALUE"""),"2055-06-03T20:41:39.784Z")</f>
        <v>2055-06-03T20:41:39.784Z</v>
      </c>
      <c r="L231" s="3">
        <f ca="1">IFERROR(__xludf.DUMMYFUNCTION("""COMPUTED_VALUE"""),1)</f>
        <v>1</v>
      </c>
      <c r="M231" s="3">
        <f ca="1">IFERROR(__xludf.DUMMYFUNCTION("""COMPUTED_VALUE"""),0)</f>
        <v>0</v>
      </c>
      <c r="N231" s="3" t="str">
        <f ca="1">IFERROR(__xludf.DUMMYFUNCTION("""COMPUTED_VALUE"""),"2055-06-03T20:22:34.232988Z")</f>
        <v>2055-06-03T20:22:34.232988Z</v>
      </c>
      <c r="O231" s="3" t="str">
        <f ca="1">IFERROR(__xludf.DUMMYFUNCTION("""COMPUTED_VALUE"""),"2055-06-03T20:35:40.80703Z")</f>
        <v>2055-06-03T20:35:40.80703Z</v>
      </c>
      <c r="P231" s="3" t="str">
        <f ca="1">IFERROR(__xludf.DUMMYFUNCTION("""COMPUTED_VALUE"""),"2055-06-03T20:10:14.254775Z")</f>
        <v>2055-06-03T20:10:14.254775Z</v>
      </c>
      <c r="Q231" s="3">
        <f ca="1">IFERROR(__xludf.DUMMYFUNCTION("""COMPUTED_VALUE"""),0)</f>
        <v>0</v>
      </c>
      <c r="R231" s="3" t="str">
        <f ca="1">IFERROR(__xludf.DUMMYFUNCTION("""COMPUTED_VALUE"""),"2055-06-03T20:11:07.700463Z")</f>
        <v>2055-06-03T20:11:07.700463Z</v>
      </c>
      <c r="S231" s="3" t="str">
        <f ca="1">IFERROR(__xludf.DUMMYFUNCTION("""COMPUTED_VALUE"""),"2055-06-03T20:25:17.777122Z")</f>
        <v>2055-06-03T20:25:17.777122Z</v>
      </c>
      <c r="T231" s="3"/>
      <c r="U231" s="4">
        <f ca="1">IFERROR(__xludf.DUMMYFUNCTION("""COMPUTED_VALUE"""),56768)</f>
        <v>56768</v>
      </c>
      <c r="V231" s="3">
        <f ca="1">IFERROR(__xludf.DUMMYFUNCTION("""COMPUTED_VALUE"""),4.177199546)</f>
        <v>4.1771995459999998</v>
      </c>
      <c r="W231" s="3">
        <f ca="1">IFERROR(__xludf.DUMMYFUNCTION("""COMPUTED_VALUE"""),4000)</f>
        <v>4000</v>
      </c>
      <c r="X231" s="3">
        <f ca="1">IFERROR(__xludf.DUMMYFUNCTION("""COMPUTED_VALUE"""),1473)</f>
        <v>1473</v>
      </c>
      <c r="Y231" s="3">
        <f ca="1">IFERROR(__xludf.DUMMYFUNCTION("""COMPUTED_VALUE"""),850)</f>
        <v>850</v>
      </c>
      <c r="Z231" s="3"/>
      <c r="AA231" s="3">
        <f ca="1">IFERROR(__xludf.DUMMYFUNCTION("""COMPUTED_VALUE"""),786)</f>
        <v>786</v>
      </c>
      <c r="AB231" s="3">
        <f ca="1">IFERROR(__xludf.DUMMYFUNCTION("""COMPUTED_VALUE"""),0)</f>
        <v>0</v>
      </c>
      <c r="AC231" s="3">
        <f ca="1">IFERROR(__xludf.DUMMYFUNCTION("""COMPUTED_VALUE"""),2)</f>
        <v>2</v>
      </c>
      <c r="AD231" s="3" t="str">
        <f ca="1">IFERROR(__xludf.DUMMYFUNCTION("""COMPUTED_VALUE"""),"late")</f>
        <v>late</v>
      </c>
      <c r="AE231" s="3" t="str">
        <f ca="1">IFERROR(__xludf.DUMMYFUNCTION("""COMPUTED_VALUE"""),"2055-06-03T16:22:34.232988Z")</f>
        <v>2055-06-03T16:22:34.232988Z</v>
      </c>
      <c r="AF231" s="3" t="str">
        <f ca="1">IFERROR(__xludf.DUMMYFUNCTION("""COMPUTED_VALUE"""),"2055-06-03T16:35:40.80703Z")</f>
        <v>2055-06-03T16:35:40.80703Z</v>
      </c>
      <c r="AG231" s="3" t="str">
        <f ca="1">IFERROR(__xludf.DUMMYFUNCTION("""COMPUTED_VALUE"""),"2055-06-03T16:10:14.254775Z")</f>
        <v>2055-06-03T16:10:14.254775Z</v>
      </c>
      <c r="AH231" s="3" t="str">
        <f ca="1">IFERROR(__xludf.DUMMYFUNCTION("""COMPUTED_VALUE"""),"2055-06-03T16:25:17.777122Z")</f>
        <v>2055-06-03T16:25:17.777122Z</v>
      </c>
      <c r="AI231" s="3">
        <f ca="1">IFERROR(__xludf.DUMMYFUNCTION("""COMPUTED_VALUE"""),4.7)</f>
        <v>4.7</v>
      </c>
      <c r="AJ231" s="3">
        <f ca="1">IFERROR(__xludf.DUMMYFUNCTION("""COMPUTED_VALUE"""),443)</f>
        <v>443</v>
      </c>
      <c r="AK231" s="3">
        <f ca="1">IFERROR(__xludf.DUMMYFUNCTION("""COMPUTED_VALUE"""),1579)</f>
        <v>1579</v>
      </c>
      <c r="AL231" s="3"/>
    </row>
    <row r="232" spans="1:38" ht="13">
      <c r="A232" s="3">
        <f ca="1">IFERROR(__xludf.DUMMYFUNCTION("""COMPUTED_VALUE"""),888)</f>
        <v>888</v>
      </c>
      <c r="B232" s="3"/>
      <c r="C232" s="3">
        <f ca="1">IFERROR(__xludf.DUMMYFUNCTION("""COMPUTED_VALUE"""),4050)</f>
        <v>4050</v>
      </c>
      <c r="D232" s="3" t="str">
        <f ca="1">IFERROR(__xludf.DUMMYFUNCTION("""COMPUTED_VALUE"""),"Doorlanta")</f>
        <v>Doorlanta</v>
      </c>
      <c r="E232" s="3" t="str">
        <f ca="1">IFERROR(__xludf.DUMMYFUNCTION("""COMPUTED_VALUE"""),"Galaxy A")</f>
        <v>Galaxy A</v>
      </c>
      <c r="F232" s="3" t="str">
        <f ca="1">IFERROR(__xludf.DUMMYFUNCTION("""COMPUTED_VALUE"""),"Elon")</f>
        <v>Elon</v>
      </c>
      <c r="G232" s="3">
        <f ca="1">IFERROR(__xludf.DUMMYFUNCTION("""COMPUTED_VALUE"""),0)</f>
        <v>0</v>
      </c>
      <c r="H232" s="3" t="str">
        <f ca="1">IFERROR(__xludf.DUMMYFUNCTION("""COMPUTED_VALUE"""),"car")</f>
        <v>car</v>
      </c>
      <c r="I232" s="3" t="str">
        <f ca="1">IFERROR(__xludf.DUMMYFUNCTION("""COMPUTED_VALUE"""),"2055-06-07T23:14:15.873174Z")</f>
        <v>2055-06-07T23:14:15.873174Z</v>
      </c>
      <c r="J232" s="3" t="str">
        <f ca="1">IFERROR(__xludf.DUMMYFUNCTION("""COMPUTED_VALUE"""),"2055-06-08T00:13:02.947Z")</f>
        <v>2055-06-08T00:13:02.947Z</v>
      </c>
      <c r="K232" s="3" t="str">
        <f ca="1">IFERROR(__xludf.DUMMYFUNCTION("""COMPUTED_VALUE"""),"2055-06-07T23:57:55.947Z")</f>
        <v>2055-06-07T23:57:55.947Z</v>
      </c>
      <c r="L232" s="3">
        <f ca="1">IFERROR(__xludf.DUMMYFUNCTION("""COMPUTED_VALUE"""),1)</f>
        <v>1</v>
      </c>
      <c r="M232" s="3">
        <f ca="1">IFERROR(__xludf.DUMMYFUNCTION("""COMPUTED_VALUE"""),0)</f>
        <v>0</v>
      </c>
      <c r="N232" s="3" t="str">
        <f ca="1">IFERROR(__xludf.DUMMYFUNCTION("""COMPUTED_VALUE"""),"2055-06-07T23:32:40.964676Z")</f>
        <v>2055-06-07T23:32:40.964676Z</v>
      </c>
      <c r="O232" s="3" t="str">
        <f ca="1">IFERROR(__xludf.DUMMYFUNCTION("""COMPUTED_VALUE"""),"2055-06-07T23:49:27.827861Z")</f>
        <v>2055-06-07T23:49:27.827861Z</v>
      </c>
      <c r="P232" s="3" t="str">
        <f ca="1">IFERROR(__xludf.DUMMYFUNCTION("""COMPUTED_VALUE"""),"2055-06-07T23:16:07.380127Z")</f>
        <v>2055-06-07T23:16:07.380127Z</v>
      </c>
      <c r="Q232" s="3">
        <f ca="1">IFERROR(__xludf.DUMMYFUNCTION("""COMPUTED_VALUE"""),0)</f>
        <v>0</v>
      </c>
      <c r="R232" s="3" t="str">
        <f ca="1">IFERROR(__xludf.DUMMYFUNCTION("""COMPUTED_VALUE"""),"2055-06-07T23:16:26.253093Z")</f>
        <v>2055-06-07T23:16:26.253093Z</v>
      </c>
      <c r="S232" s="3" t="str">
        <f ca="1">IFERROR(__xludf.DUMMYFUNCTION("""COMPUTED_VALUE"""),"2055-06-07T23:27:20.688764Z")</f>
        <v>2055-06-07T23:27:20.688764Z</v>
      </c>
      <c r="T232" s="3"/>
      <c r="U232" s="4">
        <f ca="1">IFERROR(__xludf.DUMMYFUNCTION("""COMPUTED_VALUE"""),56772)</f>
        <v>56772</v>
      </c>
      <c r="V232" s="3">
        <f ca="1">IFERROR(__xludf.DUMMYFUNCTION("""COMPUTED_VALUE"""),4.5)</f>
        <v>4.5</v>
      </c>
      <c r="W232" s="3">
        <f ca="1">IFERROR(__xludf.DUMMYFUNCTION("""COMPUTED_VALUE"""),4000)</f>
        <v>4000</v>
      </c>
      <c r="X232" s="3">
        <f ca="1">IFERROR(__xludf.DUMMYFUNCTION("""COMPUTED_VALUE"""),1981)</f>
        <v>1981</v>
      </c>
      <c r="Y232" s="3">
        <f ca="1">IFERROR(__xludf.DUMMYFUNCTION("""COMPUTED_VALUE"""),654)</f>
        <v>654</v>
      </c>
      <c r="Z232" s="3">
        <f ca="1">IFERROR(__xludf.DUMMYFUNCTION("""COMPUTED_VALUE"""),320)</f>
        <v>320</v>
      </c>
      <c r="AA232" s="3">
        <f ca="1">IFERROR(__xludf.DUMMYFUNCTION("""COMPUTED_VALUE"""),1007)</f>
        <v>1007</v>
      </c>
      <c r="AB232" s="3">
        <f ca="1">IFERROR(__xludf.DUMMYFUNCTION("""COMPUTED_VALUE"""),0)</f>
        <v>0</v>
      </c>
      <c r="AC232" s="3">
        <f ca="1">IFERROR(__xludf.DUMMYFUNCTION("""COMPUTED_VALUE"""),3)</f>
        <v>3</v>
      </c>
      <c r="AD232" s="3" t="str">
        <f ca="1">IFERROR(__xludf.DUMMYFUNCTION("""COMPUTED_VALUE"""),"on time")</f>
        <v>on time</v>
      </c>
      <c r="AE232" s="3" t="str">
        <f ca="1">IFERROR(__xludf.DUMMYFUNCTION("""COMPUTED_VALUE"""),"2055-06-07T19:32:40.964676Z")</f>
        <v>2055-06-07T19:32:40.964676Z</v>
      </c>
      <c r="AF232" s="3" t="str">
        <f ca="1">IFERROR(__xludf.DUMMYFUNCTION("""COMPUTED_VALUE"""),"2055-06-07T19:49:27.827861Z")</f>
        <v>2055-06-07T19:49:27.827861Z</v>
      </c>
      <c r="AG232" s="3" t="str">
        <f ca="1">IFERROR(__xludf.DUMMYFUNCTION("""COMPUTED_VALUE"""),"2055-06-07T19:16:07.380127Z")</f>
        <v>2055-06-07T19:16:07.380127Z</v>
      </c>
      <c r="AH232" s="3" t="str">
        <f ca="1">IFERROR(__xludf.DUMMYFUNCTION("""COMPUTED_VALUE"""),"2055-06-07T19:27:20.688764Z")</f>
        <v>2055-06-07T19:27:20.688764Z</v>
      </c>
      <c r="AI232" s="3">
        <f ca="1">IFERROR(__xludf.DUMMYFUNCTION("""COMPUTED_VALUE"""),4.62)</f>
        <v>4.62</v>
      </c>
      <c r="AJ232" s="3">
        <f ca="1">IFERROR(__xludf.DUMMYFUNCTION("""COMPUTED_VALUE"""),259)</f>
        <v>259</v>
      </c>
      <c r="AK232" s="3">
        <f ca="1">IFERROR(__xludf.DUMMYFUNCTION("""COMPUTED_VALUE"""),604)</f>
        <v>604</v>
      </c>
      <c r="AL232" s="3">
        <f ca="1">IFERROR(__xludf.DUMMYFUNCTION("""COMPUTED_VALUE"""),21)</f>
        <v>21</v>
      </c>
    </row>
    <row r="233" spans="1:38" ht="13">
      <c r="A233" s="3">
        <f ca="1">IFERROR(__xludf.DUMMYFUNCTION("""COMPUTED_VALUE"""),1391)</f>
        <v>1391</v>
      </c>
      <c r="B233" s="3">
        <f ca="1">IFERROR(__xludf.DUMMYFUNCTION("""COMPUTED_VALUE"""),1)</f>
        <v>1</v>
      </c>
      <c r="C233" s="3">
        <f ca="1">IFERROR(__xludf.DUMMYFUNCTION("""COMPUTED_VALUE"""),4001)</f>
        <v>4001</v>
      </c>
      <c r="D233" s="3" t="str">
        <f ca="1">IFERROR(__xludf.DUMMYFUNCTION("""COMPUTED_VALUE"""),"Dashattan")</f>
        <v>Dashattan</v>
      </c>
      <c r="E233" s="3" t="str">
        <f ca="1">IFERROR(__xludf.DUMMYFUNCTION("""COMPUTED_VALUE"""),"Galaxy A")</f>
        <v>Galaxy A</v>
      </c>
      <c r="F233" s="3" t="str">
        <f ca="1">IFERROR(__xludf.DUMMYFUNCTION("""COMPUTED_VALUE"""),"KC")</f>
        <v>KC</v>
      </c>
      <c r="G233" s="3">
        <f ca="1">IFERROR(__xludf.DUMMYFUNCTION("""COMPUTED_VALUE"""),0)</f>
        <v>0</v>
      </c>
      <c r="H233" s="3" t="str">
        <f ca="1">IFERROR(__xludf.DUMMYFUNCTION("""COMPUTED_VALUE"""),"car")</f>
        <v>car</v>
      </c>
      <c r="I233" s="3" t="str">
        <f ca="1">IFERROR(__xludf.DUMMYFUNCTION("""COMPUTED_VALUE"""),"2055-06-12T15:09:32.190521Z")</f>
        <v>2055-06-12T15:09:32.190521Z</v>
      </c>
      <c r="J233" s="3" t="str">
        <f ca="1">IFERROR(__xludf.DUMMYFUNCTION("""COMPUTED_VALUE"""),"2055-06-12T15:59:18.251Z")</f>
        <v>2055-06-12T15:59:18.251Z</v>
      </c>
      <c r="K233" s="3" t="str">
        <f ca="1">IFERROR(__xludf.DUMMYFUNCTION("""COMPUTED_VALUE"""),"2055-06-12T15:40:25.251Z")</f>
        <v>2055-06-12T15:40:25.251Z</v>
      </c>
      <c r="L233" s="3">
        <f ca="1">IFERROR(__xludf.DUMMYFUNCTION("""COMPUTED_VALUE"""),1)</f>
        <v>1</v>
      </c>
      <c r="M233" s="3">
        <f ca="1">IFERROR(__xludf.DUMMYFUNCTION("""COMPUTED_VALUE"""),0)</f>
        <v>0</v>
      </c>
      <c r="N233" s="3" t="str">
        <f ca="1">IFERROR(__xludf.DUMMYFUNCTION("""COMPUTED_VALUE"""),"2055-06-12T15:27:51.258029Z")</f>
        <v>2055-06-12T15:27:51.258029Z</v>
      </c>
      <c r="O233" s="3" t="str">
        <f ca="1">IFERROR(__xludf.DUMMYFUNCTION("""COMPUTED_VALUE"""),"2055-06-12T15:42:12.005696Z")</f>
        <v>2055-06-12T15:42:12.005696Z</v>
      </c>
      <c r="P233" s="3" t="str">
        <f ca="1">IFERROR(__xludf.DUMMYFUNCTION("""COMPUTED_VALUE"""),"2055-06-12T15:14:14.271613Z")</f>
        <v>2055-06-12T15:14:14.271613Z</v>
      </c>
      <c r="Q233" s="3">
        <f ca="1">IFERROR(__xludf.DUMMYFUNCTION("""COMPUTED_VALUE"""),0)</f>
        <v>0</v>
      </c>
      <c r="R233" s="3" t="str">
        <f ca="1">IFERROR(__xludf.DUMMYFUNCTION("""COMPUTED_VALUE"""),"2055-06-12T15:14:31.99524Z")</f>
        <v>2055-06-12T15:14:31.99524Z</v>
      </c>
      <c r="S233" s="3" t="str">
        <f ca="1">IFERROR(__xludf.DUMMYFUNCTION("""COMPUTED_VALUE"""),"2055-06-12T15:20:59.214891Z")</f>
        <v>2055-06-12T15:20:59.214891Z</v>
      </c>
      <c r="T233" s="3"/>
      <c r="U233" s="4">
        <f ca="1">IFERROR(__xludf.DUMMYFUNCTION("""COMPUTED_VALUE"""),56777)</f>
        <v>56777</v>
      </c>
      <c r="V233" s="3">
        <f ca="1">IFERROR(__xludf.DUMMYFUNCTION("""COMPUTED_VALUE"""),4.6)</f>
        <v>4.5999999999999996</v>
      </c>
      <c r="W233" s="3">
        <f ca="1">IFERROR(__xludf.DUMMYFUNCTION("""COMPUTED_VALUE"""),4000)</f>
        <v>4000</v>
      </c>
      <c r="X233" s="3">
        <f ca="1">IFERROR(__xludf.DUMMYFUNCTION("""COMPUTED_VALUE"""),1661)</f>
        <v>1661</v>
      </c>
      <c r="Y233" s="3">
        <f ca="1">IFERROR(__xludf.DUMMYFUNCTION("""COMPUTED_VALUE"""),388)</f>
        <v>388</v>
      </c>
      <c r="Z233" s="3">
        <f ca="1">IFERROR(__xludf.DUMMYFUNCTION("""COMPUTED_VALUE"""),412)</f>
        <v>412</v>
      </c>
      <c r="AA233" s="3">
        <f ca="1">IFERROR(__xludf.DUMMYFUNCTION("""COMPUTED_VALUE"""),861)</f>
        <v>861</v>
      </c>
      <c r="AB233" s="3">
        <f ca="1">IFERROR(__xludf.DUMMYFUNCTION("""COMPUTED_VALUE"""),0)</f>
        <v>0</v>
      </c>
      <c r="AC233" s="3">
        <f ca="1">IFERROR(__xludf.DUMMYFUNCTION("""COMPUTED_VALUE"""),9)</f>
        <v>9</v>
      </c>
      <c r="AD233" s="3" t="str">
        <f ca="1">IFERROR(__xludf.DUMMYFUNCTION("""COMPUTED_VALUE"""),"on time")</f>
        <v>on time</v>
      </c>
      <c r="AE233" s="3" t="str">
        <f ca="1">IFERROR(__xludf.DUMMYFUNCTION("""COMPUTED_VALUE"""),"2055-06-12T11:27:51.258029Z")</f>
        <v>2055-06-12T11:27:51.258029Z</v>
      </c>
      <c r="AF233" s="3" t="str">
        <f ca="1">IFERROR(__xludf.DUMMYFUNCTION("""COMPUTED_VALUE"""),"2055-06-12T11:42:12.005696Z")</f>
        <v>2055-06-12T11:42:12.005696Z</v>
      </c>
      <c r="AG233" s="3" t="str">
        <f ca="1">IFERROR(__xludf.DUMMYFUNCTION("""COMPUTED_VALUE"""),"2055-06-12T11:14:14.271613Z")</f>
        <v>2055-06-12T11:14:14.271613Z</v>
      </c>
      <c r="AH233" s="3" t="str">
        <f ca="1">IFERROR(__xludf.DUMMYFUNCTION("""COMPUTED_VALUE"""),"2055-06-12T11:20:59.214891Z")</f>
        <v>2055-06-12T11:20:59.214891Z</v>
      </c>
      <c r="AI233" s="3">
        <f ca="1">IFERROR(__xludf.DUMMYFUNCTION("""COMPUTED_VALUE"""),4.54)</f>
        <v>4.54</v>
      </c>
      <c r="AJ233" s="3">
        <f ca="1">IFERROR(__xludf.DUMMYFUNCTION("""COMPUTED_VALUE"""),2229)</f>
        <v>2229</v>
      </c>
      <c r="AK233" s="3">
        <f ca="1">IFERROR(__xludf.DUMMYFUNCTION("""COMPUTED_VALUE"""),6580)</f>
        <v>6580</v>
      </c>
      <c r="AL233" s="3"/>
    </row>
    <row r="234" spans="1:38" ht="13">
      <c r="A234" s="3">
        <f ca="1">IFERROR(__xludf.DUMMYFUNCTION("""COMPUTED_VALUE"""),1438)</f>
        <v>1438</v>
      </c>
      <c r="B234" s="3"/>
      <c r="C234" s="3">
        <f ca="1">IFERROR(__xludf.DUMMYFUNCTION("""COMPUTED_VALUE"""),4001)</f>
        <v>4001</v>
      </c>
      <c r="D234" s="3" t="str">
        <f ca="1">IFERROR(__xludf.DUMMYFUNCTION("""COMPUTED_VALUE"""),"Dashattan")</f>
        <v>Dashattan</v>
      </c>
      <c r="E234" s="3" t="str">
        <f ca="1">IFERROR(__xludf.DUMMYFUNCTION("""COMPUTED_VALUE"""),"Galaxy A")</f>
        <v>Galaxy A</v>
      </c>
      <c r="F234" s="3" t="str">
        <f ca="1">IFERROR(__xludf.DUMMYFUNCTION("""COMPUTED_VALUE"""),"KC")</f>
        <v>KC</v>
      </c>
      <c r="G234" s="3">
        <f ca="1">IFERROR(__xludf.DUMMYFUNCTION("""COMPUTED_VALUE"""),0)</f>
        <v>0</v>
      </c>
      <c r="H234" s="3" t="str">
        <f ca="1">IFERROR(__xludf.DUMMYFUNCTION("""COMPUTED_VALUE"""),"car")</f>
        <v>car</v>
      </c>
      <c r="I234" s="3" t="str">
        <f ca="1">IFERROR(__xludf.DUMMYFUNCTION("""COMPUTED_VALUE"""),"2055-06-12T19:13:31.181026Z")</f>
        <v>2055-06-12T19:13:31.181026Z</v>
      </c>
      <c r="J234" s="3" t="str">
        <f ca="1">IFERROR(__xludf.DUMMYFUNCTION("""COMPUTED_VALUE"""),"2055-06-12T20:01:44.248Z")</f>
        <v>2055-06-12T20:01:44.248Z</v>
      </c>
      <c r="K234" s="3" t="str">
        <f ca="1">IFERROR(__xludf.DUMMYFUNCTION("""COMPUTED_VALUE"""),"2055-06-12T19:42:05.248Z")</f>
        <v>2055-06-12T19:42:05.248Z</v>
      </c>
      <c r="L234" s="3">
        <f ca="1">IFERROR(__xludf.DUMMYFUNCTION("""COMPUTED_VALUE"""),1)</f>
        <v>1</v>
      </c>
      <c r="M234" s="3">
        <f ca="1">IFERROR(__xludf.DUMMYFUNCTION("""COMPUTED_VALUE"""),0)</f>
        <v>0</v>
      </c>
      <c r="N234" s="3" t="str">
        <f ca="1">IFERROR(__xludf.DUMMYFUNCTION("""COMPUTED_VALUE"""),"2055-06-12T19:53:59.55786Z")</f>
        <v>2055-06-12T19:53:59.55786Z</v>
      </c>
      <c r="O234" s="3" t="str">
        <f ca="1">IFERROR(__xludf.DUMMYFUNCTION("""COMPUTED_VALUE"""),"2055-06-12T20:12:27.539991Z")</f>
        <v>2055-06-12T20:12:27.539991Z</v>
      </c>
      <c r="P234" s="3" t="str">
        <f ca="1">IFERROR(__xludf.DUMMYFUNCTION("""COMPUTED_VALUE"""),"2055-06-12T19:18:14.117562Z")</f>
        <v>2055-06-12T19:18:14.117562Z</v>
      </c>
      <c r="Q234" s="3">
        <f ca="1">IFERROR(__xludf.DUMMYFUNCTION("""COMPUTED_VALUE"""),0)</f>
        <v>0</v>
      </c>
      <c r="R234" s="3" t="str">
        <f ca="1">IFERROR(__xludf.DUMMYFUNCTION("""COMPUTED_VALUE"""),"2055-06-12T19:18:29.621692Z")</f>
        <v>2055-06-12T19:18:29.621692Z</v>
      </c>
      <c r="S234" s="3" t="str">
        <f ca="1">IFERROR(__xludf.DUMMYFUNCTION("""COMPUTED_VALUE"""),"2055-06-12T19:38:07.53085Z")</f>
        <v>2055-06-12T19:38:07.53085Z</v>
      </c>
      <c r="T234" s="3"/>
      <c r="U234" s="4">
        <f ca="1">IFERROR(__xludf.DUMMYFUNCTION("""COMPUTED_VALUE"""),56777)</f>
        <v>56777</v>
      </c>
      <c r="V234" s="3">
        <f ca="1">IFERROR(__xludf.DUMMYFUNCTION("""COMPUTED_VALUE"""),4.2)</f>
        <v>4.2</v>
      </c>
      <c r="W234" s="3">
        <f ca="1">IFERROR(__xludf.DUMMYFUNCTION("""COMPUTED_VALUE"""),4000)</f>
        <v>4000</v>
      </c>
      <c r="X234" s="3">
        <f ca="1">IFERROR(__xludf.DUMMYFUNCTION("""COMPUTED_VALUE"""),3238)</f>
        <v>3238</v>
      </c>
      <c r="Y234" s="3">
        <f ca="1">IFERROR(__xludf.DUMMYFUNCTION("""COMPUTED_VALUE"""),1178)</f>
        <v>1178</v>
      </c>
      <c r="Z234" s="3">
        <f ca="1">IFERROR(__xludf.DUMMYFUNCTION("""COMPUTED_VALUE"""),952)</f>
        <v>952</v>
      </c>
      <c r="AA234" s="3">
        <f ca="1">IFERROR(__xludf.DUMMYFUNCTION("""COMPUTED_VALUE"""),1108)</f>
        <v>1108</v>
      </c>
      <c r="AB234" s="3">
        <f ca="1">IFERROR(__xludf.DUMMYFUNCTION("""COMPUTED_VALUE"""),1)</f>
        <v>1</v>
      </c>
      <c r="AC234" s="3">
        <f ca="1">IFERROR(__xludf.DUMMYFUNCTION("""COMPUTED_VALUE"""),9)</f>
        <v>9</v>
      </c>
      <c r="AD234" s="3"/>
      <c r="AE234" s="3" t="str">
        <f ca="1">IFERROR(__xludf.DUMMYFUNCTION("""COMPUTED_VALUE"""),"2055-06-12T15:53:59.55786Z")</f>
        <v>2055-06-12T15:53:59.55786Z</v>
      </c>
      <c r="AF234" s="3" t="str">
        <f ca="1">IFERROR(__xludf.DUMMYFUNCTION("""COMPUTED_VALUE"""),"2055-06-12T16:12:27.539991Z")</f>
        <v>2055-06-12T16:12:27.539991Z</v>
      </c>
      <c r="AG234" s="3" t="str">
        <f ca="1">IFERROR(__xludf.DUMMYFUNCTION("""COMPUTED_VALUE"""),"2055-06-12T15:18:14.117562Z")</f>
        <v>2055-06-12T15:18:14.117562Z</v>
      </c>
      <c r="AH234" s="3" t="str">
        <f ca="1">IFERROR(__xludf.DUMMYFUNCTION("""COMPUTED_VALUE"""),"2055-06-12T15:38:07.53085Z")</f>
        <v>2055-06-12T15:38:07.53085Z</v>
      </c>
      <c r="AI234" s="3">
        <f ca="1">IFERROR(__xludf.DUMMYFUNCTION("""COMPUTED_VALUE"""),4.54)</f>
        <v>4.54</v>
      </c>
      <c r="AJ234" s="3">
        <f ca="1">IFERROR(__xludf.DUMMYFUNCTION("""COMPUTED_VALUE"""),2229)</f>
        <v>2229</v>
      </c>
      <c r="AK234" s="3">
        <f ca="1">IFERROR(__xludf.DUMMYFUNCTION("""COMPUTED_VALUE"""),6580)</f>
        <v>6580</v>
      </c>
      <c r="AL234" s="3"/>
    </row>
    <row r="235" spans="1:38" ht="13">
      <c r="A235" s="3">
        <f ca="1">IFERROR(__xludf.DUMMYFUNCTION("""COMPUTED_VALUE"""),810)</f>
        <v>810</v>
      </c>
      <c r="B235" s="3">
        <f ca="1">IFERROR(__xludf.DUMMYFUNCTION("""COMPUTED_VALUE"""),5)</f>
        <v>5</v>
      </c>
      <c r="C235" s="3">
        <f ca="1">IFERROR(__xludf.DUMMYFUNCTION("""COMPUTED_VALUE"""),4050)</f>
        <v>4050</v>
      </c>
      <c r="D235" s="3" t="str">
        <f ca="1">IFERROR(__xludf.DUMMYFUNCTION("""COMPUTED_VALUE"""),"Doorlanta")</f>
        <v>Doorlanta</v>
      </c>
      <c r="E235" s="3" t="str">
        <f ca="1">IFERROR(__xludf.DUMMYFUNCTION("""COMPUTED_VALUE"""),"Galaxy A")</f>
        <v>Galaxy A</v>
      </c>
      <c r="F235" s="3" t="str">
        <f ca="1">IFERROR(__xludf.DUMMYFUNCTION("""COMPUTED_VALUE"""),"Jhordan")</f>
        <v>Jhordan</v>
      </c>
      <c r="G235" s="3">
        <f ca="1">IFERROR(__xludf.DUMMYFUNCTION("""COMPUTED_VALUE"""),0)</f>
        <v>0</v>
      </c>
      <c r="H235" s="3" t="str">
        <f ca="1">IFERROR(__xludf.DUMMYFUNCTION("""COMPUTED_VALUE"""),"car")</f>
        <v>car</v>
      </c>
      <c r="I235" s="3" t="str">
        <f ca="1">IFERROR(__xludf.DUMMYFUNCTION("""COMPUTED_VALUE"""),"2055-06-07T00:35:46.700593Z")</f>
        <v>2055-06-07T00:35:46.700593Z</v>
      </c>
      <c r="J235" s="3" t="str">
        <f ca="1">IFERROR(__xludf.DUMMYFUNCTION("""COMPUTED_VALUE"""),"2055-06-07T01:16:31.808Z")</f>
        <v>2055-06-07T01:16:31.808Z</v>
      </c>
      <c r="K235" s="3" t="str">
        <f ca="1">IFERROR(__xludf.DUMMYFUNCTION("""COMPUTED_VALUE"""),"2055-06-07T01:12:38.808Z")</f>
        <v>2055-06-07T01:12:38.808Z</v>
      </c>
      <c r="L235" s="3">
        <f ca="1">IFERROR(__xludf.DUMMYFUNCTION("""COMPUTED_VALUE"""),1)</f>
        <v>1</v>
      </c>
      <c r="M235" s="3">
        <f ca="1">IFERROR(__xludf.DUMMYFUNCTION("""COMPUTED_VALUE"""),0)</f>
        <v>0</v>
      </c>
      <c r="N235" s="3" t="str">
        <f ca="1">IFERROR(__xludf.DUMMYFUNCTION("""COMPUTED_VALUE"""),"2055-06-07T00:58:32.229341Z")</f>
        <v>2055-06-07T00:58:32.229341Z</v>
      </c>
      <c r="O235" s="3" t="str">
        <f ca="1">IFERROR(__xludf.DUMMYFUNCTION("""COMPUTED_VALUE"""),"2055-06-07T01:13:13.435158Z")</f>
        <v>2055-06-07T01:13:13.435158Z</v>
      </c>
      <c r="P235" s="3" t="str">
        <f ca="1">IFERROR(__xludf.DUMMYFUNCTION("""COMPUTED_VALUE"""),"2055-06-07T00:36:07.353199Z")</f>
        <v>2055-06-07T00:36:07.353199Z</v>
      </c>
      <c r="Q235" s="3">
        <f ca="1">IFERROR(__xludf.DUMMYFUNCTION("""COMPUTED_VALUE"""),0)</f>
        <v>0</v>
      </c>
      <c r="R235" s="3" t="str">
        <f ca="1">IFERROR(__xludf.DUMMYFUNCTION("""COMPUTED_VALUE"""),"2055-06-07T00:36:13.4637Z")</f>
        <v>2055-06-07T00:36:13.4637Z</v>
      </c>
      <c r="S235" s="3" t="str">
        <f ca="1">IFERROR(__xludf.DUMMYFUNCTION("""COMPUTED_VALUE"""),"2055-06-07T00:42:42.10033Z")</f>
        <v>2055-06-07T00:42:42.10033Z</v>
      </c>
      <c r="T235" s="3"/>
      <c r="U235" s="4">
        <f ca="1">IFERROR(__xludf.DUMMYFUNCTION("""COMPUTED_VALUE"""),56771)</f>
        <v>56771</v>
      </c>
      <c r="V235" s="3">
        <f ca="1">IFERROR(__xludf.DUMMYFUNCTION("""COMPUTED_VALUE"""),3.431783289)</f>
        <v>3.4317832890000002</v>
      </c>
      <c r="W235" s="3">
        <f ca="1">IFERROR(__xludf.DUMMYFUNCTION("""COMPUTED_VALUE"""),4000)</f>
        <v>4000</v>
      </c>
      <c r="X235" s="3">
        <f ca="1">IFERROR(__xludf.DUMMYFUNCTION("""COMPUTED_VALUE"""),2220)</f>
        <v>2220</v>
      </c>
      <c r="Y235" s="3">
        <f ca="1">IFERROR(__xludf.DUMMYFUNCTION("""COMPUTED_VALUE"""),389)</f>
        <v>389</v>
      </c>
      <c r="Z235" s="3">
        <f ca="1">IFERROR(__xludf.DUMMYFUNCTION("""COMPUTED_VALUE"""),950)</f>
        <v>950</v>
      </c>
      <c r="AA235" s="3">
        <f ca="1">IFERROR(__xludf.DUMMYFUNCTION("""COMPUTED_VALUE"""),881)</f>
        <v>881</v>
      </c>
      <c r="AB235" s="3">
        <f ca="1">IFERROR(__xludf.DUMMYFUNCTION("""COMPUTED_VALUE"""),0)</f>
        <v>0</v>
      </c>
      <c r="AC235" s="3">
        <f ca="1">IFERROR(__xludf.DUMMYFUNCTION("""COMPUTED_VALUE"""),4)</f>
        <v>4</v>
      </c>
      <c r="AD235" s="3" t="str">
        <f ca="1">IFERROR(__xludf.DUMMYFUNCTION("""COMPUTED_VALUE"""),"early")</f>
        <v>early</v>
      </c>
      <c r="AE235" s="3" t="str">
        <f ca="1">IFERROR(__xludf.DUMMYFUNCTION("""COMPUTED_VALUE"""),"2055-06-06T20:58:32.229341Z")</f>
        <v>2055-06-06T20:58:32.229341Z</v>
      </c>
      <c r="AF235" s="3" t="str">
        <f ca="1">IFERROR(__xludf.DUMMYFUNCTION("""COMPUTED_VALUE"""),"2055-06-06T21:13:13.435158Z")</f>
        <v>2055-06-06T21:13:13.435158Z</v>
      </c>
      <c r="AG235" s="3" t="str">
        <f ca="1">IFERROR(__xludf.DUMMYFUNCTION("""COMPUTED_VALUE"""),"2055-06-06T20:36:07.353199Z")</f>
        <v>2055-06-06T20:36:07.353199Z</v>
      </c>
      <c r="AH235" s="3" t="str">
        <f ca="1">IFERROR(__xludf.DUMMYFUNCTION("""COMPUTED_VALUE"""),"2055-06-06T20:42:42.10033Z")</f>
        <v>2055-06-06T20:42:42.10033Z</v>
      </c>
      <c r="AI235" s="3">
        <f ca="1">IFERROR(__xludf.DUMMYFUNCTION("""COMPUTED_VALUE"""),5)</f>
        <v>5</v>
      </c>
      <c r="AJ235" s="3">
        <f ca="1">IFERROR(__xludf.DUMMYFUNCTION("""COMPUTED_VALUE"""),6)</f>
        <v>6</v>
      </c>
      <c r="AK235" s="3">
        <f ca="1">IFERROR(__xludf.DUMMYFUNCTION("""COMPUTED_VALUE"""),20)</f>
        <v>20</v>
      </c>
      <c r="AL235" s="3">
        <f ca="1">IFERROR(__xludf.DUMMYFUNCTION("""COMPUTED_VALUE"""),5)</f>
        <v>5</v>
      </c>
    </row>
    <row r="236" spans="1:38" ht="13">
      <c r="A236" s="3">
        <f ca="1">IFERROR(__xludf.DUMMYFUNCTION("""COMPUTED_VALUE"""),165)</f>
        <v>165</v>
      </c>
      <c r="B236" s="3">
        <f ca="1">IFERROR(__xludf.DUMMYFUNCTION("""COMPUTED_VALUE"""),5)</f>
        <v>5</v>
      </c>
      <c r="C236" s="3">
        <f ca="1">IFERROR(__xludf.DUMMYFUNCTION("""COMPUTED_VALUE"""),4050)</f>
        <v>4050</v>
      </c>
      <c r="D236" s="3" t="str">
        <f ca="1">IFERROR(__xludf.DUMMYFUNCTION("""COMPUTED_VALUE"""),"Doorlanta")</f>
        <v>Doorlanta</v>
      </c>
      <c r="E236" s="3" t="str">
        <f ca="1">IFERROR(__xludf.DUMMYFUNCTION("""COMPUTED_VALUE"""),"Galaxy A")</f>
        <v>Galaxy A</v>
      </c>
      <c r="F236" s="3" t="str">
        <f ca="1">IFERROR(__xludf.DUMMYFUNCTION("""COMPUTED_VALUE"""),"Elon")</f>
        <v>Elon</v>
      </c>
      <c r="G236" s="3">
        <f ca="1">IFERROR(__xludf.DUMMYFUNCTION("""COMPUTED_VALUE"""),0)</f>
        <v>0</v>
      </c>
      <c r="H236" s="3" t="str">
        <f ca="1">IFERROR(__xludf.DUMMYFUNCTION("""COMPUTED_VALUE"""),"car")</f>
        <v>car</v>
      </c>
      <c r="I236" s="3" t="str">
        <f ca="1">IFERROR(__xludf.DUMMYFUNCTION("""COMPUTED_VALUE"""),"2055-06-02T21:03:37.109579Z")</f>
        <v>2055-06-02T21:03:37.109579Z</v>
      </c>
      <c r="J236" s="3" t="str">
        <f ca="1">IFERROR(__xludf.DUMMYFUNCTION("""COMPUTED_VALUE"""),"2055-06-02T21:53:37.194Z")</f>
        <v>2055-06-02T21:53:37.194Z</v>
      </c>
      <c r="K236" s="3" t="str">
        <f ca="1">IFERROR(__xludf.DUMMYFUNCTION("""COMPUTED_VALUE"""),"2055-06-02T21:29:41.194Z")</f>
        <v>2055-06-02T21:29:41.194Z</v>
      </c>
      <c r="L236" s="3">
        <f ca="1">IFERROR(__xludf.DUMMYFUNCTION("""COMPUTED_VALUE"""),1)</f>
        <v>1</v>
      </c>
      <c r="M236" s="3">
        <f ca="1">IFERROR(__xludf.DUMMYFUNCTION("""COMPUTED_VALUE"""),0)</f>
        <v>0</v>
      </c>
      <c r="N236" s="3" t="str">
        <f ca="1">IFERROR(__xludf.DUMMYFUNCTION("""COMPUTED_VALUE"""),"2055-06-02T21:18:25.107922Z")</f>
        <v>2055-06-02T21:18:25.107922Z</v>
      </c>
      <c r="O236" s="3" t="str">
        <f ca="1">IFERROR(__xludf.DUMMYFUNCTION("""COMPUTED_VALUE"""),"2055-06-02T21:26:05.483992Z")</f>
        <v>2055-06-02T21:26:05.483992Z</v>
      </c>
      <c r="P236" s="3" t="str">
        <f ca="1">IFERROR(__xludf.DUMMYFUNCTION("""COMPUTED_VALUE"""),"2055-06-02T21:05:13.253647Z")</f>
        <v>2055-06-02T21:05:13.253647Z</v>
      </c>
      <c r="Q236" s="3">
        <f ca="1">IFERROR(__xludf.DUMMYFUNCTION("""COMPUTED_VALUE"""),1)</f>
        <v>1</v>
      </c>
      <c r="R236" s="3" t="str">
        <f ca="1">IFERROR(__xludf.DUMMYFUNCTION("""COMPUTED_VALUE"""),"2055-06-02T21:05:23.696406Z")</f>
        <v>2055-06-02T21:05:23.696406Z</v>
      </c>
      <c r="S236" s="3" t="str">
        <f ca="1">IFERROR(__xludf.DUMMYFUNCTION("""COMPUTED_VALUE"""),"2055-06-02T21:15:39.613426Z")</f>
        <v>2055-06-02T21:15:39.613426Z</v>
      </c>
      <c r="T236" s="3"/>
      <c r="U236" s="4">
        <f ca="1">IFERROR(__xludf.DUMMYFUNCTION("""COMPUTED_VALUE"""),56767)</f>
        <v>56767</v>
      </c>
      <c r="V236" s="3">
        <f ca="1">IFERROR(__xludf.DUMMYFUNCTION("""COMPUTED_VALUE"""),4.8)</f>
        <v>4.8</v>
      </c>
      <c r="W236" s="3">
        <f ca="1">IFERROR(__xludf.DUMMYFUNCTION("""COMPUTED_VALUE"""),3500)</f>
        <v>3500</v>
      </c>
      <c r="X236" s="3">
        <f ca="1">IFERROR(__xludf.DUMMYFUNCTION("""COMPUTED_VALUE"""),1242)</f>
        <v>1242</v>
      </c>
      <c r="Y236" s="3">
        <f ca="1">IFERROR(__xludf.DUMMYFUNCTION("""COMPUTED_VALUE"""),616)</f>
        <v>616</v>
      </c>
      <c r="Z236" s="3">
        <f ca="1">IFERROR(__xludf.DUMMYFUNCTION("""COMPUTED_VALUE"""),166)</f>
        <v>166</v>
      </c>
      <c r="AA236" s="3">
        <f ca="1">IFERROR(__xludf.DUMMYFUNCTION("""COMPUTED_VALUE"""),460)</f>
        <v>460</v>
      </c>
      <c r="AB236" s="3">
        <f ca="1">IFERROR(__xludf.DUMMYFUNCTION("""COMPUTED_VALUE"""),0)</f>
        <v>0</v>
      </c>
      <c r="AC236" s="3">
        <f ca="1">IFERROR(__xludf.DUMMYFUNCTION("""COMPUTED_VALUE"""),3)</f>
        <v>3</v>
      </c>
      <c r="AD236" s="3" t="str">
        <f ca="1">IFERROR(__xludf.DUMMYFUNCTION("""COMPUTED_VALUE"""),"on time")</f>
        <v>on time</v>
      </c>
      <c r="AE236" s="3" t="str">
        <f ca="1">IFERROR(__xludf.DUMMYFUNCTION("""COMPUTED_VALUE"""),"2055-06-02T17:18:25.107922Z")</f>
        <v>2055-06-02T17:18:25.107922Z</v>
      </c>
      <c r="AF236" s="3" t="str">
        <f ca="1">IFERROR(__xludf.DUMMYFUNCTION("""COMPUTED_VALUE"""),"2055-06-02T17:26:05.483992Z")</f>
        <v>2055-06-02T17:26:05.483992Z</v>
      </c>
      <c r="AG236" s="3" t="str">
        <f ca="1">IFERROR(__xludf.DUMMYFUNCTION("""COMPUTED_VALUE"""),"2055-06-02T17:05:13.253647Z")</f>
        <v>2055-06-02T17:05:13.253647Z</v>
      </c>
      <c r="AH236" s="3" t="str">
        <f ca="1">IFERROR(__xludf.DUMMYFUNCTION("""COMPUTED_VALUE"""),"2055-06-02T17:15:39.613426Z")</f>
        <v>2055-06-02T17:15:39.613426Z</v>
      </c>
      <c r="AI236" s="3">
        <f ca="1">IFERROR(__xludf.DUMMYFUNCTION("""COMPUTED_VALUE"""),4.62)</f>
        <v>4.62</v>
      </c>
      <c r="AJ236" s="3">
        <f ca="1">IFERROR(__xludf.DUMMYFUNCTION("""COMPUTED_VALUE"""),259)</f>
        <v>259</v>
      </c>
      <c r="AK236" s="3">
        <f ca="1">IFERROR(__xludf.DUMMYFUNCTION("""COMPUTED_VALUE"""),604)</f>
        <v>604</v>
      </c>
      <c r="AL236" s="3">
        <f ca="1">IFERROR(__xludf.DUMMYFUNCTION("""COMPUTED_VALUE"""),21)</f>
        <v>21</v>
      </c>
    </row>
    <row r="237" spans="1:38" ht="13">
      <c r="A237" s="3">
        <f ca="1">IFERROR(__xludf.DUMMYFUNCTION("""COMPUTED_VALUE"""),363)</f>
        <v>363</v>
      </c>
      <c r="B237" s="3"/>
      <c r="C237" s="3">
        <f ca="1">IFERROR(__xludf.DUMMYFUNCTION("""COMPUTED_VALUE"""),4050)</f>
        <v>4050</v>
      </c>
      <c r="D237" s="3" t="str">
        <f ca="1">IFERROR(__xludf.DUMMYFUNCTION("""COMPUTED_VALUE"""),"Doorlanta")</f>
        <v>Doorlanta</v>
      </c>
      <c r="E237" s="3" t="str">
        <f ca="1">IFERROR(__xludf.DUMMYFUNCTION("""COMPUTED_VALUE"""),"Galaxy A")</f>
        <v>Galaxy A</v>
      </c>
      <c r="F237" s="3" t="str">
        <f ca="1">IFERROR(__xludf.DUMMYFUNCTION("""COMPUTED_VALUE"""),"Anisha")</f>
        <v>Anisha</v>
      </c>
      <c r="G237" s="3">
        <f ca="1">IFERROR(__xludf.DUMMYFUNCTION("""COMPUTED_VALUE"""),0)</f>
        <v>0</v>
      </c>
      <c r="H237" s="3" t="str">
        <f ca="1">IFERROR(__xludf.DUMMYFUNCTION("""COMPUTED_VALUE"""),"car")</f>
        <v>car</v>
      </c>
      <c r="I237" s="3" t="str">
        <f ca="1">IFERROR(__xludf.DUMMYFUNCTION("""COMPUTED_VALUE"""),"2055-06-03T23:17:25.619357Z")</f>
        <v>2055-06-03T23:17:25.619357Z</v>
      </c>
      <c r="J237" s="3" t="str">
        <f ca="1">IFERROR(__xludf.DUMMYFUNCTION("""COMPUTED_VALUE"""),"2055-06-04T00:19:43.73Z")</f>
        <v>2055-06-04T00:19:43.73Z</v>
      </c>
      <c r="K237" s="3" t="str">
        <f ca="1">IFERROR(__xludf.DUMMYFUNCTION("""COMPUTED_VALUE"""),"2055-06-04T00:00:50.73Z")</f>
        <v>2055-06-04T00:00:50.73Z</v>
      </c>
      <c r="L237" s="3">
        <f ca="1">IFERROR(__xludf.DUMMYFUNCTION("""COMPUTED_VALUE"""),1)</f>
        <v>1</v>
      </c>
      <c r="M237" s="3">
        <f ca="1">IFERROR(__xludf.DUMMYFUNCTION("""COMPUTED_VALUE"""),0)</f>
        <v>0</v>
      </c>
      <c r="N237" s="3" t="str">
        <f ca="1">IFERROR(__xludf.DUMMYFUNCTION("""COMPUTED_VALUE"""),"2055-06-03T23:42:09.024541Z")</f>
        <v>2055-06-03T23:42:09.024541Z</v>
      </c>
      <c r="O237" s="3" t="str">
        <f ca="1">IFERROR(__xludf.DUMMYFUNCTION("""COMPUTED_VALUE"""),"2055-06-04T00:00:11.451376Z")</f>
        <v>2055-06-04T00:00:11.451376Z</v>
      </c>
      <c r="P237" s="3" t="str">
        <f ca="1">IFERROR(__xludf.DUMMYFUNCTION("""COMPUTED_VALUE"""),"2055-06-03T23:17:47.337335Z")</f>
        <v>2055-06-03T23:17:47.337335Z</v>
      </c>
      <c r="Q237" s="3">
        <f ca="1">IFERROR(__xludf.DUMMYFUNCTION("""COMPUTED_VALUE"""),0)</f>
        <v>0</v>
      </c>
      <c r="R237" s="3" t="str">
        <f ca="1">IFERROR(__xludf.DUMMYFUNCTION("""COMPUTED_VALUE"""),"2055-06-03T23:18:08.164307Z")</f>
        <v>2055-06-03T23:18:08.164307Z</v>
      </c>
      <c r="S237" s="3"/>
      <c r="T237" s="3"/>
      <c r="U237" s="4">
        <f ca="1">IFERROR(__xludf.DUMMYFUNCTION("""COMPUTED_VALUE"""),56768)</f>
        <v>56768</v>
      </c>
      <c r="V237" s="3">
        <f ca="1">IFERROR(__xludf.DUMMYFUNCTION("""COMPUTED_VALUE"""),4.6)</f>
        <v>4.5999999999999996</v>
      </c>
      <c r="W237" s="3">
        <f ca="1">IFERROR(__xludf.DUMMYFUNCTION("""COMPUTED_VALUE"""),3500)</f>
        <v>3500</v>
      </c>
      <c r="X237" s="3">
        <f ca="1">IFERROR(__xludf.DUMMYFUNCTION("""COMPUTED_VALUE"""),2523)</f>
        <v>2523</v>
      </c>
      <c r="Y237" s="3"/>
      <c r="Z237" s="3"/>
      <c r="AA237" s="3">
        <f ca="1">IFERROR(__xludf.DUMMYFUNCTION("""COMPUTED_VALUE"""),1082)</f>
        <v>1082</v>
      </c>
      <c r="AB237" s="3">
        <f ca="1">IFERROR(__xludf.DUMMYFUNCTION("""COMPUTED_VALUE"""),0)</f>
        <v>0</v>
      </c>
      <c r="AC237" s="3">
        <f ca="1">IFERROR(__xludf.DUMMYFUNCTION("""COMPUTED_VALUE"""),3)</f>
        <v>3</v>
      </c>
      <c r="AD237" s="3"/>
      <c r="AE237" s="3" t="str">
        <f ca="1">IFERROR(__xludf.DUMMYFUNCTION("""COMPUTED_VALUE"""),"2055-06-03T19:42:09.024541Z")</f>
        <v>2055-06-03T19:42:09.024541Z</v>
      </c>
      <c r="AF237" s="3" t="str">
        <f ca="1">IFERROR(__xludf.DUMMYFUNCTION("""COMPUTED_VALUE"""),"2055-06-03T20:00:11.451376Z")</f>
        <v>2055-06-03T20:00:11.451376Z</v>
      </c>
      <c r="AG237" s="3" t="str">
        <f ca="1">IFERROR(__xludf.DUMMYFUNCTION("""COMPUTED_VALUE"""),"2055-06-03T19:17:47.337335Z")</f>
        <v>2055-06-03T19:17:47.337335Z</v>
      </c>
      <c r="AH237" s="3"/>
      <c r="AI237" s="3">
        <f ca="1">IFERROR(__xludf.DUMMYFUNCTION("""COMPUTED_VALUE"""),4.7)</f>
        <v>4.7</v>
      </c>
      <c r="AJ237" s="3">
        <f ca="1">IFERROR(__xludf.DUMMYFUNCTION("""COMPUTED_VALUE"""),272)</f>
        <v>272</v>
      </c>
      <c r="AK237" s="3">
        <f ca="1">IFERROR(__xludf.DUMMYFUNCTION("""COMPUTED_VALUE"""),931)</f>
        <v>931</v>
      </c>
      <c r="AL237" s="3">
        <f ca="1">IFERROR(__xludf.DUMMYFUNCTION("""COMPUTED_VALUE"""),144)</f>
        <v>144</v>
      </c>
    </row>
    <row r="238" spans="1:38" ht="13">
      <c r="A238" s="3">
        <f ca="1">IFERROR(__xludf.DUMMYFUNCTION("""COMPUTED_VALUE"""),622)</f>
        <v>622</v>
      </c>
      <c r="B238" s="3"/>
      <c r="C238" s="3">
        <f ca="1">IFERROR(__xludf.DUMMYFUNCTION("""COMPUTED_VALUE"""),4050)</f>
        <v>4050</v>
      </c>
      <c r="D238" s="3" t="str">
        <f ca="1">IFERROR(__xludf.DUMMYFUNCTION("""COMPUTED_VALUE"""),"Doorlanta")</f>
        <v>Doorlanta</v>
      </c>
      <c r="E238" s="3" t="str">
        <f ca="1">IFERROR(__xludf.DUMMYFUNCTION("""COMPUTED_VALUE"""),"Galaxy A")</f>
        <v>Galaxy A</v>
      </c>
      <c r="F238" s="3" t="str">
        <f ca="1">IFERROR(__xludf.DUMMYFUNCTION("""COMPUTED_VALUE"""),"Abhai")</f>
        <v>Abhai</v>
      </c>
      <c r="G238" s="3">
        <f ca="1">IFERROR(__xludf.DUMMYFUNCTION("""COMPUTED_VALUE"""),0)</f>
        <v>0</v>
      </c>
      <c r="H238" s="3" t="str">
        <f ca="1">IFERROR(__xludf.DUMMYFUNCTION("""COMPUTED_VALUE"""),"car")</f>
        <v>car</v>
      </c>
      <c r="I238" s="3" t="str">
        <f ca="1">IFERROR(__xludf.DUMMYFUNCTION("""COMPUTED_VALUE"""),"2055-06-05T21:18:03.046809Z")</f>
        <v>2055-06-05T21:18:03.046809Z</v>
      </c>
      <c r="J238" s="3" t="str">
        <f ca="1">IFERROR(__xludf.DUMMYFUNCTION("""COMPUTED_VALUE"""),"2055-06-05T22:44:24.131Z")</f>
        <v>2055-06-05T22:44:24.131Z</v>
      </c>
      <c r="K238" s="3" t="str">
        <f ca="1">IFERROR(__xludf.DUMMYFUNCTION("""COMPUTED_VALUE"""),"2055-06-05T22:19:43.131Z")</f>
        <v>2055-06-05T22:19:43.131Z</v>
      </c>
      <c r="L238" s="3">
        <f ca="1">IFERROR(__xludf.DUMMYFUNCTION("""COMPUTED_VALUE"""),1)</f>
        <v>1</v>
      </c>
      <c r="M238" s="3">
        <f ca="1">IFERROR(__xludf.DUMMYFUNCTION("""COMPUTED_VALUE"""),0)</f>
        <v>0</v>
      </c>
      <c r="N238" s="3" t="str">
        <f ca="1">IFERROR(__xludf.DUMMYFUNCTION("""COMPUTED_VALUE"""),"2055-06-05T21:51:32.600821Z")</f>
        <v>2055-06-05T21:51:32.600821Z</v>
      </c>
      <c r="O238" s="3" t="str">
        <f ca="1">IFERROR(__xludf.DUMMYFUNCTION("""COMPUTED_VALUE"""),"2055-06-05T22:01:59.428216Z")</f>
        <v>2055-06-05T22:01:59.428216Z</v>
      </c>
      <c r="P238" s="3" t="str">
        <f ca="1">IFERROR(__xludf.DUMMYFUNCTION("""COMPUTED_VALUE"""),"2055-06-05T21:23:07.275571Z")</f>
        <v>2055-06-05T21:23:07.275571Z</v>
      </c>
      <c r="Q238" s="3">
        <f ca="1">IFERROR(__xludf.DUMMYFUNCTION("""COMPUTED_VALUE"""),0)</f>
        <v>0</v>
      </c>
      <c r="R238" s="3" t="str">
        <f ca="1">IFERROR(__xludf.DUMMYFUNCTION("""COMPUTED_VALUE"""),"2055-06-05T21:23:12.06518Z")</f>
        <v>2055-06-05T21:23:12.06518Z</v>
      </c>
      <c r="S238" s="3" t="str">
        <f ca="1">IFERROR(__xludf.DUMMYFUNCTION("""COMPUTED_VALUE"""),"2055-06-05T21:33:57.94483Z")</f>
        <v>2055-06-05T21:33:57.94483Z</v>
      </c>
      <c r="T238" s="3"/>
      <c r="U238" s="4">
        <f ca="1">IFERROR(__xludf.DUMMYFUNCTION("""COMPUTED_VALUE"""),56770)</f>
        <v>56770</v>
      </c>
      <c r="V238" s="3">
        <f ca="1">IFERROR(__xludf.DUMMYFUNCTION("""COMPUTED_VALUE"""),4.7)</f>
        <v>4.7</v>
      </c>
      <c r="W238" s="3">
        <f ca="1">IFERROR(__xludf.DUMMYFUNCTION("""COMPUTED_VALUE"""),3500)</f>
        <v>3500</v>
      </c>
      <c r="X238" s="3">
        <f ca="1">IFERROR(__xludf.DUMMYFUNCTION("""COMPUTED_VALUE"""),2327)</f>
        <v>2327</v>
      </c>
      <c r="Y238" s="3">
        <f ca="1">IFERROR(__xludf.DUMMYFUNCTION("""COMPUTED_VALUE"""),645)</f>
        <v>645</v>
      </c>
      <c r="Z238" s="3">
        <f ca="1">IFERROR(__xludf.DUMMYFUNCTION("""COMPUTED_VALUE"""),1055)</f>
        <v>1055</v>
      </c>
      <c r="AA238" s="3">
        <f ca="1">IFERROR(__xludf.DUMMYFUNCTION("""COMPUTED_VALUE"""),627)</f>
        <v>627</v>
      </c>
      <c r="AB238" s="3">
        <f ca="1">IFERROR(__xludf.DUMMYFUNCTION("""COMPUTED_VALUE"""),0)</f>
        <v>0</v>
      </c>
      <c r="AC238" s="3">
        <f ca="1">IFERROR(__xludf.DUMMYFUNCTION("""COMPUTED_VALUE"""),2)</f>
        <v>2</v>
      </c>
      <c r="AD238" s="3" t="str">
        <f ca="1">IFERROR(__xludf.DUMMYFUNCTION("""COMPUTED_VALUE"""),"on time")</f>
        <v>on time</v>
      </c>
      <c r="AE238" s="3" t="str">
        <f ca="1">IFERROR(__xludf.DUMMYFUNCTION("""COMPUTED_VALUE"""),"2055-06-05T17:51:32.600821Z")</f>
        <v>2055-06-05T17:51:32.600821Z</v>
      </c>
      <c r="AF238" s="3" t="str">
        <f ca="1">IFERROR(__xludf.DUMMYFUNCTION("""COMPUTED_VALUE"""),"2055-06-05T18:01:59.428216Z")</f>
        <v>2055-06-05T18:01:59.428216Z</v>
      </c>
      <c r="AG238" s="3" t="str">
        <f ca="1">IFERROR(__xludf.DUMMYFUNCTION("""COMPUTED_VALUE"""),"2055-06-05T17:23:07.275571Z")</f>
        <v>2055-06-05T17:23:07.275571Z</v>
      </c>
      <c r="AH238" s="3" t="str">
        <f ca="1">IFERROR(__xludf.DUMMYFUNCTION("""COMPUTED_VALUE"""),"2055-06-05T17:33:57.94483Z")</f>
        <v>2055-06-05T17:33:57.94483Z</v>
      </c>
      <c r="AI238" s="3">
        <f ca="1">IFERROR(__xludf.DUMMYFUNCTION("""COMPUTED_VALUE"""),4.56)</f>
        <v>4.5599999999999996</v>
      </c>
      <c r="AJ238" s="3">
        <f ca="1">IFERROR(__xludf.DUMMYFUNCTION("""COMPUTED_VALUE"""),344)</f>
        <v>344</v>
      </c>
      <c r="AK238" s="3">
        <f ca="1">IFERROR(__xludf.DUMMYFUNCTION("""COMPUTED_VALUE"""),947)</f>
        <v>947</v>
      </c>
      <c r="AL238" s="3">
        <f ca="1">IFERROR(__xludf.DUMMYFUNCTION("""COMPUTED_VALUE"""),22)</f>
        <v>22</v>
      </c>
    </row>
    <row r="239" spans="1:38" ht="13">
      <c r="A239" s="3">
        <f ca="1">IFERROR(__xludf.DUMMYFUNCTION("""COMPUTED_VALUE"""),1306)</f>
        <v>1306</v>
      </c>
      <c r="B239" s="3"/>
      <c r="C239" s="3">
        <f ca="1">IFERROR(__xludf.DUMMYFUNCTION("""COMPUTED_VALUE"""),4001)</f>
        <v>4001</v>
      </c>
      <c r="D239" s="3" t="str">
        <f ca="1">IFERROR(__xludf.DUMMYFUNCTION("""COMPUTED_VALUE"""),"Dashattan")</f>
        <v>Dashattan</v>
      </c>
      <c r="E239" s="3" t="str">
        <f ca="1">IFERROR(__xludf.DUMMYFUNCTION("""COMPUTED_VALUE"""),"Galaxy A")</f>
        <v>Galaxy A</v>
      </c>
      <c r="F239" s="3" t="str">
        <f ca="1">IFERROR(__xludf.DUMMYFUNCTION("""COMPUTED_VALUE"""),"J")</f>
        <v>J</v>
      </c>
      <c r="G239" s="3">
        <f ca="1">IFERROR(__xludf.DUMMYFUNCTION("""COMPUTED_VALUE"""),0)</f>
        <v>0</v>
      </c>
      <c r="H239" s="3" t="str">
        <f ca="1">IFERROR(__xludf.DUMMYFUNCTION("""COMPUTED_VALUE"""),"bicycle")</f>
        <v>bicycle</v>
      </c>
      <c r="I239" s="3" t="str">
        <f ca="1">IFERROR(__xludf.DUMMYFUNCTION("""COMPUTED_VALUE"""),"2055-06-11T21:17:03.09758Z")</f>
        <v>2055-06-11T21:17:03.09758Z</v>
      </c>
      <c r="J239" s="3" t="str">
        <f ca="1">IFERROR(__xludf.DUMMYFUNCTION("""COMPUTED_VALUE"""),"2055-06-11T22:13:54.166Z")</f>
        <v>2055-06-11T22:13:54.166Z</v>
      </c>
      <c r="K239" s="3" t="str">
        <f ca="1">IFERROR(__xludf.DUMMYFUNCTION("""COMPUTED_VALUE"""),"2055-06-11T21:54:15.166Z")</f>
        <v>2055-06-11T21:54:15.166Z</v>
      </c>
      <c r="L239" s="3">
        <f ca="1">IFERROR(__xludf.DUMMYFUNCTION("""COMPUTED_VALUE"""),1)</f>
        <v>1</v>
      </c>
      <c r="M239" s="3">
        <f ca="1">IFERROR(__xludf.DUMMYFUNCTION("""COMPUTED_VALUE"""),0)</f>
        <v>0</v>
      </c>
      <c r="N239" s="3" t="str">
        <f ca="1">IFERROR(__xludf.DUMMYFUNCTION("""COMPUTED_VALUE"""),"2055-06-11T21:37:54.203137Z")</f>
        <v>2055-06-11T21:37:54.203137Z</v>
      </c>
      <c r="O239" s="3" t="str">
        <f ca="1">IFERROR(__xludf.DUMMYFUNCTION("""COMPUTED_VALUE"""),"2055-06-11T21:52:33.820552Z")</f>
        <v>2055-06-11T21:52:33.820552Z</v>
      </c>
      <c r="P239" s="3" t="str">
        <f ca="1">IFERROR(__xludf.DUMMYFUNCTION("""COMPUTED_VALUE"""),"2055-06-11T21:24:34.429149Z")</f>
        <v>2055-06-11T21:24:34.429149Z</v>
      </c>
      <c r="Q239" s="3">
        <f ca="1">IFERROR(__xludf.DUMMYFUNCTION("""COMPUTED_VALUE"""),0)</f>
        <v>0</v>
      </c>
      <c r="R239" s="3" t="str">
        <f ca="1">IFERROR(__xludf.DUMMYFUNCTION("""COMPUTED_VALUE"""),"2055-06-11T21:24:57.125657Z")</f>
        <v>2055-06-11T21:24:57.125657Z</v>
      </c>
      <c r="S239" s="3" t="str">
        <f ca="1">IFERROR(__xludf.DUMMYFUNCTION("""COMPUTED_VALUE"""),"2055-06-11T21:39:29.277705Z")</f>
        <v>2055-06-11T21:39:29.277705Z</v>
      </c>
      <c r="T239" s="3"/>
      <c r="U239" s="4">
        <f ca="1">IFERROR(__xludf.DUMMYFUNCTION("""COMPUTED_VALUE"""),56776)</f>
        <v>56776</v>
      </c>
      <c r="V239" s="3">
        <f ca="1">IFERROR(__xludf.DUMMYFUNCTION("""COMPUTED_VALUE"""),3.375899641)</f>
        <v>3.3758996410000002</v>
      </c>
      <c r="W239" s="3">
        <f ca="1">IFERROR(__xludf.DUMMYFUNCTION("""COMPUTED_VALUE"""),3500)</f>
        <v>3500</v>
      </c>
      <c r="X239" s="3">
        <f ca="1">IFERROR(__xludf.DUMMYFUNCTION("""COMPUTED_VALUE"""),1656)</f>
        <v>1656</v>
      </c>
      <c r="Y239" s="3">
        <f ca="1">IFERROR(__xludf.DUMMYFUNCTION("""COMPUTED_VALUE"""),872)</f>
        <v>872</v>
      </c>
      <c r="Z239" s="3"/>
      <c r="AA239" s="3">
        <f ca="1">IFERROR(__xludf.DUMMYFUNCTION("""COMPUTED_VALUE"""),879)</f>
        <v>879</v>
      </c>
      <c r="AB239" s="3">
        <f ca="1">IFERROR(__xludf.DUMMYFUNCTION("""COMPUTED_VALUE"""),0)</f>
        <v>0</v>
      </c>
      <c r="AC239" s="3">
        <f ca="1">IFERROR(__xludf.DUMMYFUNCTION("""COMPUTED_VALUE"""),2)</f>
        <v>2</v>
      </c>
      <c r="AD239" s="3" t="str">
        <f ca="1">IFERROR(__xludf.DUMMYFUNCTION("""COMPUTED_VALUE"""),"late")</f>
        <v>late</v>
      </c>
      <c r="AE239" s="3" t="str">
        <f ca="1">IFERROR(__xludf.DUMMYFUNCTION("""COMPUTED_VALUE"""),"2055-06-11T17:37:54.203137Z")</f>
        <v>2055-06-11T17:37:54.203137Z</v>
      </c>
      <c r="AF239" s="3" t="str">
        <f ca="1">IFERROR(__xludf.DUMMYFUNCTION("""COMPUTED_VALUE"""),"2055-06-11T17:52:33.820552Z")</f>
        <v>2055-06-11T17:52:33.820552Z</v>
      </c>
      <c r="AG239" s="3" t="str">
        <f ca="1">IFERROR(__xludf.DUMMYFUNCTION("""COMPUTED_VALUE"""),"2055-06-11T17:24:34.429149Z")</f>
        <v>2055-06-11T17:24:34.429149Z</v>
      </c>
      <c r="AH239" s="3" t="str">
        <f ca="1">IFERROR(__xludf.DUMMYFUNCTION("""COMPUTED_VALUE"""),"2055-06-11T17:39:29.277705Z")</f>
        <v>2055-06-11T17:39:29.277705Z</v>
      </c>
      <c r="AI239" s="3">
        <f ca="1">IFERROR(__xludf.DUMMYFUNCTION("""COMPUTED_VALUE"""),4.6)</f>
        <v>4.5999999999999996</v>
      </c>
      <c r="AJ239" s="3">
        <f ca="1">IFERROR(__xludf.DUMMYFUNCTION("""COMPUTED_VALUE"""),292)</f>
        <v>292</v>
      </c>
      <c r="AK239" s="3">
        <f ca="1">IFERROR(__xludf.DUMMYFUNCTION("""COMPUTED_VALUE"""),1027)</f>
        <v>1027</v>
      </c>
      <c r="AL239" s="3">
        <f ca="1">IFERROR(__xludf.DUMMYFUNCTION("""COMPUTED_VALUE"""),26)</f>
        <v>26</v>
      </c>
    </row>
    <row r="240" spans="1:38" ht="13">
      <c r="A240" s="3">
        <f ca="1">IFERROR(__xludf.DUMMYFUNCTION("""COMPUTED_VALUE"""),183)</f>
        <v>183</v>
      </c>
      <c r="B240" s="3">
        <f ca="1">IFERROR(__xludf.DUMMYFUNCTION("""COMPUTED_VALUE"""),2)</f>
        <v>2</v>
      </c>
      <c r="C240" s="3">
        <f ca="1">IFERROR(__xludf.DUMMYFUNCTION("""COMPUTED_VALUE"""),4050)</f>
        <v>4050</v>
      </c>
      <c r="D240" s="3" t="str">
        <f ca="1">IFERROR(__xludf.DUMMYFUNCTION("""COMPUTED_VALUE"""),"Doorlanta")</f>
        <v>Doorlanta</v>
      </c>
      <c r="E240" s="3" t="str">
        <f ca="1">IFERROR(__xludf.DUMMYFUNCTION("""COMPUTED_VALUE"""),"Galaxy A")</f>
        <v>Galaxy A</v>
      </c>
      <c r="F240" s="3" t="str">
        <f ca="1">IFERROR(__xludf.DUMMYFUNCTION("""COMPUTED_VALUE"""),"Joe")</f>
        <v>Joe</v>
      </c>
      <c r="G240" s="3">
        <f ca="1">IFERROR(__xludf.DUMMYFUNCTION("""COMPUTED_VALUE"""),0)</f>
        <v>0</v>
      </c>
      <c r="H240" s="3" t="str">
        <f ca="1">IFERROR(__xludf.DUMMYFUNCTION("""COMPUTED_VALUE"""),"car")</f>
        <v>car</v>
      </c>
      <c r="I240" s="3" t="str">
        <f ca="1">IFERROR(__xludf.DUMMYFUNCTION("""COMPUTED_VALUE"""),"2055-06-02T22:18:20.940609Z")</f>
        <v>2055-06-02T22:18:20.940609Z</v>
      </c>
      <c r="J240" s="3" t="str">
        <f ca="1">IFERROR(__xludf.DUMMYFUNCTION("""COMPUTED_VALUE"""),"2055-06-02T23:00:36.006Z")</f>
        <v>2055-06-02T23:00:36.006Z</v>
      </c>
      <c r="K240" s="3" t="str">
        <f ca="1">IFERROR(__xludf.DUMMYFUNCTION("""COMPUTED_VALUE"""),"2055-06-02T22:55:29.006Z")</f>
        <v>2055-06-02T22:55:29.006Z</v>
      </c>
      <c r="L240" s="3">
        <f ca="1">IFERROR(__xludf.DUMMYFUNCTION("""COMPUTED_VALUE"""),1)</f>
        <v>1</v>
      </c>
      <c r="M240" s="3">
        <f ca="1">IFERROR(__xludf.DUMMYFUNCTION("""COMPUTED_VALUE"""),0)</f>
        <v>0</v>
      </c>
      <c r="N240" s="3" t="str">
        <f ca="1">IFERROR(__xludf.DUMMYFUNCTION("""COMPUTED_VALUE"""),"2055-06-02T22:42:01.19257Z")</f>
        <v>2055-06-02T22:42:01.19257Z</v>
      </c>
      <c r="O240" s="3" t="str">
        <f ca="1">IFERROR(__xludf.DUMMYFUNCTION("""COMPUTED_VALUE"""),"2055-06-02T22:55:12.105289Z")</f>
        <v>2055-06-02T22:55:12.105289Z</v>
      </c>
      <c r="P240" s="3" t="str">
        <f ca="1">IFERROR(__xludf.DUMMYFUNCTION("""COMPUTED_VALUE"""),"2055-06-02T22:20:07.377151Z")</f>
        <v>2055-06-02T22:20:07.377151Z</v>
      </c>
      <c r="Q240" s="3">
        <f ca="1">IFERROR(__xludf.DUMMYFUNCTION("""COMPUTED_VALUE"""),0)</f>
        <v>0</v>
      </c>
      <c r="R240" s="3" t="str">
        <f ca="1">IFERROR(__xludf.DUMMYFUNCTION("""COMPUTED_VALUE"""),"2055-06-02T22:20:13.394978Z")</f>
        <v>2055-06-02T22:20:13.394978Z</v>
      </c>
      <c r="S240" s="3" t="str">
        <f ca="1">IFERROR(__xludf.DUMMYFUNCTION("""COMPUTED_VALUE"""),"2055-06-02T22:42:03.85367Z")</f>
        <v>2055-06-02T22:42:03.85367Z</v>
      </c>
      <c r="T240" s="3"/>
      <c r="U240" s="4">
        <f ca="1">IFERROR(__xludf.DUMMYFUNCTION("""COMPUTED_VALUE"""),56767)</f>
        <v>56767</v>
      </c>
      <c r="V240" s="3">
        <f ca="1">IFERROR(__xludf.DUMMYFUNCTION("""COMPUTED_VALUE"""),3.431783289)</f>
        <v>3.4317832890000002</v>
      </c>
      <c r="W240" s="3">
        <f ca="1">IFERROR(__xludf.DUMMYFUNCTION("""COMPUTED_VALUE"""),3500)</f>
        <v>3500</v>
      </c>
      <c r="X240" s="3">
        <f ca="1">IFERROR(__xludf.DUMMYFUNCTION("""COMPUTED_VALUE"""),2099)</f>
        <v>2099</v>
      </c>
      <c r="Y240" s="3">
        <f ca="1">IFERROR(__xludf.DUMMYFUNCTION("""COMPUTED_VALUE"""),1310)</f>
        <v>1310</v>
      </c>
      <c r="Z240" s="3"/>
      <c r="AA240" s="3">
        <f ca="1">IFERROR(__xludf.DUMMYFUNCTION("""COMPUTED_VALUE"""),791)</f>
        <v>791</v>
      </c>
      <c r="AB240" s="3">
        <f ca="1">IFERROR(__xludf.DUMMYFUNCTION("""COMPUTED_VALUE"""),0)</f>
        <v>0</v>
      </c>
      <c r="AC240" s="3">
        <f ca="1">IFERROR(__xludf.DUMMYFUNCTION("""COMPUTED_VALUE"""),2)</f>
        <v>2</v>
      </c>
      <c r="AD240" s="3" t="str">
        <f ca="1">IFERROR(__xludf.DUMMYFUNCTION("""COMPUTED_VALUE"""),"late")</f>
        <v>late</v>
      </c>
      <c r="AE240" s="3" t="str">
        <f ca="1">IFERROR(__xludf.DUMMYFUNCTION("""COMPUTED_VALUE"""),"2055-06-02T18:42:01.19257Z")</f>
        <v>2055-06-02T18:42:01.19257Z</v>
      </c>
      <c r="AF240" s="3" t="str">
        <f ca="1">IFERROR(__xludf.DUMMYFUNCTION("""COMPUTED_VALUE"""),"2055-06-02T18:55:12.105289Z")</f>
        <v>2055-06-02T18:55:12.105289Z</v>
      </c>
      <c r="AG240" s="3" t="str">
        <f ca="1">IFERROR(__xludf.DUMMYFUNCTION("""COMPUTED_VALUE"""),"2055-06-02T18:20:07.377151Z")</f>
        <v>2055-06-02T18:20:07.377151Z</v>
      </c>
      <c r="AH240" s="3" t="str">
        <f ca="1">IFERROR(__xludf.DUMMYFUNCTION("""COMPUTED_VALUE"""),"2055-06-02T18:42:03.85367Z")</f>
        <v>2055-06-02T18:42:03.85367Z</v>
      </c>
      <c r="AI240" s="3">
        <f ca="1">IFERROR(__xludf.DUMMYFUNCTION("""COMPUTED_VALUE"""),4.38)</f>
        <v>4.38</v>
      </c>
      <c r="AJ240" s="3">
        <f ca="1">IFERROR(__xludf.DUMMYFUNCTION("""COMPUTED_VALUE"""),196)</f>
        <v>196</v>
      </c>
      <c r="AK240" s="3">
        <f ca="1">IFERROR(__xludf.DUMMYFUNCTION("""COMPUTED_VALUE"""),626)</f>
        <v>626</v>
      </c>
      <c r="AL240" s="3"/>
    </row>
    <row r="241" spans="1:38" ht="13">
      <c r="A241" s="3">
        <f ca="1">IFERROR(__xludf.DUMMYFUNCTION("""COMPUTED_VALUE"""),579)</f>
        <v>579</v>
      </c>
      <c r="B241" s="3">
        <f ca="1">IFERROR(__xludf.DUMMYFUNCTION("""COMPUTED_VALUE"""),5)</f>
        <v>5</v>
      </c>
      <c r="C241" s="3">
        <f ca="1">IFERROR(__xludf.DUMMYFUNCTION("""COMPUTED_VALUE"""),4001)</f>
        <v>4001</v>
      </c>
      <c r="D241" s="3" t="str">
        <f ca="1">IFERROR(__xludf.DUMMYFUNCTION("""COMPUTED_VALUE"""),"Dashattan")</f>
        <v>Dashattan</v>
      </c>
      <c r="E241" s="3" t="str">
        <f ca="1">IFERROR(__xludf.DUMMYFUNCTION("""COMPUTED_VALUE"""),"Galaxy A")</f>
        <v>Galaxy A</v>
      </c>
      <c r="F241" s="3" t="str">
        <f ca="1">IFERROR(__xludf.DUMMYFUNCTION("""COMPUTED_VALUE"""),"KC")</f>
        <v>KC</v>
      </c>
      <c r="G241" s="3">
        <f ca="1">IFERROR(__xludf.DUMMYFUNCTION("""COMPUTED_VALUE"""),0)</f>
        <v>0</v>
      </c>
      <c r="H241" s="3" t="str">
        <f ca="1">IFERROR(__xludf.DUMMYFUNCTION("""COMPUTED_VALUE"""),"car")</f>
        <v>car</v>
      </c>
      <c r="I241" s="3" t="str">
        <f ca="1">IFERROR(__xludf.DUMMYFUNCTION("""COMPUTED_VALUE"""),"2055-06-05T17:37:57.797784Z")</f>
        <v>2055-06-05T17:37:57.797784Z</v>
      </c>
      <c r="J241" s="3" t="str">
        <f ca="1">IFERROR(__xludf.DUMMYFUNCTION("""COMPUTED_VALUE"""),"2055-06-05T18:42:33.846Z")</f>
        <v>2055-06-05T18:42:33.846Z</v>
      </c>
      <c r="K241" s="3" t="str">
        <f ca="1">IFERROR(__xludf.DUMMYFUNCTION("""COMPUTED_VALUE"""),"2055-06-05T18:32:52.846Z")</f>
        <v>2055-06-05T18:32:52.846Z</v>
      </c>
      <c r="L241" s="3">
        <f ca="1">IFERROR(__xludf.DUMMYFUNCTION("""COMPUTED_VALUE"""),1)</f>
        <v>1</v>
      </c>
      <c r="M241" s="3">
        <f ca="1">IFERROR(__xludf.DUMMYFUNCTION("""COMPUTED_VALUE"""),0)</f>
        <v>0</v>
      </c>
      <c r="N241" s="3" t="str">
        <f ca="1">IFERROR(__xludf.DUMMYFUNCTION("""COMPUTED_VALUE"""),"2055-06-05T18:09:47.052067Z")</f>
        <v>2055-06-05T18:09:47.052067Z</v>
      </c>
      <c r="O241" s="3" t="str">
        <f ca="1">IFERROR(__xludf.DUMMYFUNCTION("""COMPUTED_VALUE"""),"2055-06-05T18:23:51.742417Z")</f>
        <v>2055-06-05T18:23:51.742417Z</v>
      </c>
      <c r="P241" s="3" t="str">
        <f ca="1">IFERROR(__xludf.DUMMYFUNCTION("""COMPUTED_VALUE"""),"2055-06-05T17:59:54.994439Z")</f>
        <v>2055-06-05T17:59:54.994439Z</v>
      </c>
      <c r="Q241" s="3">
        <f ca="1">IFERROR(__xludf.DUMMYFUNCTION("""COMPUTED_VALUE"""),0)</f>
        <v>0</v>
      </c>
      <c r="R241" s="3" t="str">
        <f ca="1">IFERROR(__xludf.DUMMYFUNCTION("""COMPUTED_VALUE"""),"2055-06-05T18:00:02.261624Z")</f>
        <v>2055-06-05T18:00:02.261624Z</v>
      </c>
      <c r="S241" s="3" t="str">
        <f ca="1">IFERROR(__xludf.DUMMYFUNCTION("""COMPUTED_VALUE"""),"2055-06-05T18:05:37.875798Z")</f>
        <v>2055-06-05T18:05:37.875798Z</v>
      </c>
      <c r="T241" s="3"/>
      <c r="U241" s="4">
        <f ca="1">IFERROR(__xludf.DUMMYFUNCTION("""COMPUTED_VALUE"""),56770)</f>
        <v>56770</v>
      </c>
      <c r="V241" s="3">
        <f ca="1">IFERROR(__xludf.DUMMYFUNCTION("""COMPUTED_VALUE"""),4.4)</f>
        <v>4.4000000000000004</v>
      </c>
      <c r="W241" s="3">
        <f ca="1">IFERROR(__xludf.DUMMYFUNCTION("""COMPUTED_VALUE"""),3500)</f>
        <v>3500</v>
      </c>
      <c r="X241" s="3">
        <f ca="1">IFERROR(__xludf.DUMMYFUNCTION("""COMPUTED_VALUE"""),1429)</f>
        <v>1429</v>
      </c>
      <c r="Y241" s="3">
        <f ca="1">IFERROR(__xludf.DUMMYFUNCTION("""COMPUTED_VALUE"""),335)</f>
        <v>335</v>
      </c>
      <c r="Z241" s="3">
        <f ca="1">IFERROR(__xludf.DUMMYFUNCTION("""COMPUTED_VALUE"""),250)</f>
        <v>250</v>
      </c>
      <c r="AA241" s="3">
        <f ca="1">IFERROR(__xludf.DUMMYFUNCTION("""COMPUTED_VALUE"""),844)</f>
        <v>844</v>
      </c>
      <c r="AB241" s="3">
        <f ca="1">IFERROR(__xludf.DUMMYFUNCTION("""COMPUTED_VALUE"""),1)</f>
        <v>1</v>
      </c>
      <c r="AC241" s="3">
        <f ca="1">IFERROR(__xludf.DUMMYFUNCTION("""COMPUTED_VALUE"""),3)</f>
        <v>3</v>
      </c>
      <c r="AD241" s="3"/>
      <c r="AE241" s="3" t="str">
        <f ca="1">IFERROR(__xludf.DUMMYFUNCTION("""COMPUTED_VALUE"""),"2055-06-05T14:09:47.052067Z")</f>
        <v>2055-06-05T14:09:47.052067Z</v>
      </c>
      <c r="AF241" s="3" t="str">
        <f ca="1">IFERROR(__xludf.DUMMYFUNCTION("""COMPUTED_VALUE"""),"2055-06-05T14:23:51.742417Z")</f>
        <v>2055-06-05T14:23:51.742417Z</v>
      </c>
      <c r="AG241" s="3" t="str">
        <f ca="1">IFERROR(__xludf.DUMMYFUNCTION("""COMPUTED_VALUE"""),"2055-06-05T13:59:54.994439Z")</f>
        <v>2055-06-05T13:59:54.994439Z</v>
      </c>
      <c r="AH241" s="3" t="str">
        <f ca="1">IFERROR(__xludf.DUMMYFUNCTION("""COMPUTED_VALUE"""),"2055-06-05T14:05:37.875798Z")</f>
        <v>2055-06-05T14:05:37.875798Z</v>
      </c>
      <c r="AI241" s="3">
        <f ca="1">IFERROR(__xludf.DUMMYFUNCTION("""COMPUTED_VALUE"""),4.54)</f>
        <v>4.54</v>
      </c>
      <c r="AJ241" s="3">
        <f ca="1">IFERROR(__xludf.DUMMYFUNCTION("""COMPUTED_VALUE"""),2229)</f>
        <v>2229</v>
      </c>
      <c r="AK241" s="3">
        <f ca="1">IFERROR(__xludf.DUMMYFUNCTION("""COMPUTED_VALUE"""),6580)</f>
        <v>6580</v>
      </c>
      <c r="AL241" s="3"/>
    </row>
    <row r="242" spans="1:38" ht="13">
      <c r="A242" s="3">
        <f ca="1">IFERROR(__xludf.DUMMYFUNCTION("""COMPUTED_VALUE"""),858)</f>
        <v>858</v>
      </c>
      <c r="B242" s="3"/>
      <c r="C242" s="3">
        <f ca="1">IFERROR(__xludf.DUMMYFUNCTION("""COMPUTED_VALUE"""),4050)</f>
        <v>4050</v>
      </c>
      <c r="D242" s="3" t="str">
        <f ca="1">IFERROR(__xludf.DUMMYFUNCTION("""COMPUTED_VALUE"""),"Doorlanta")</f>
        <v>Doorlanta</v>
      </c>
      <c r="E242" s="3" t="str">
        <f ca="1">IFERROR(__xludf.DUMMYFUNCTION("""COMPUTED_VALUE"""),"Galaxy A")</f>
        <v>Galaxy A</v>
      </c>
      <c r="F242" s="3" t="str">
        <f ca="1">IFERROR(__xludf.DUMMYFUNCTION("""COMPUTED_VALUE"""),"Hanna")</f>
        <v>Hanna</v>
      </c>
      <c r="G242" s="3">
        <f ca="1">IFERROR(__xludf.DUMMYFUNCTION("""COMPUTED_VALUE"""),0)</f>
        <v>0</v>
      </c>
      <c r="H242" s="3" t="str">
        <f ca="1">IFERROR(__xludf.DUMMYFUNCTION("""COMPUTED_VALUE"""),"car")</f>
        <v>car</v>
      </c>
      <c r="I242" s="3" t="str">
        <f ca="1">IFERROR(__xludf.DUMMYFUNCTION("""COMPUTED_VALUE"""),"2055-06-07T18:01:44.999787Z")</f>
        <v>2055-06-07T18:01:44.999787Z</v>
      </c>
      <c r="J242" s="3" t="str">
        <f ca="1">IFERROR(__xludf.DUMMYFUNCTION("""COMPUTED_VALUE"""),"2055-06-07T18:53:04.099Z")</f>
        <v>2055-06-07T18:53:04.099Z</v>
      </c>
      <c r="K242" s="3" t="str">
        <f ca="1">IFERROR(__xludf.DUMMYFUNCTION("""COMPUTED_VALUE"""),"2055-06-07T18:49:11.099Z")</f>
        <v>2055-06-07T18:49:11.099Z</v>
      </c>
      <c r="L242" s="3">
        <f ca="1">IFERROR(__xludf.DUMMYFUNCTION("""COMPUTED_VALUE"""),1)</f>
        <v>1</v>
      </c>
      <c r="M242" s="3">
        <f ca="1">IFERROR(__xludf.DUMMYFUNCTION("""COMPUTED_VALUE"""),0)</f>
        <v>0</v>
      </c>
      <c r="N242" s="3" t="str">
        <f ca="1">IFERROR(__xludf.DUMMYFUNCTION("""COMPUTED_VALUE"""),"2055-06-07T18:40:33.992434Z")</f>
        <v>2055-06-07T18:40:33.992434Z</v>
      </c>
      <c r="O242" s="3" t="str">
        <f ca="1">IFERROR(__xludf.DUMMYFUNCTION("""COMPUTED_VALUE"""),"2055-06-07T18:48:37.324921Z")</f>
        <v>2055-06-07T18:48:37.324921Z</v>
      </c>
      <c r="P242" s="3" t="str">
        <f ca="1">IFERROR(__xludf.DUMMYFUNCTION("""COMPUTED_VALUE"""),"2055-06-07T18:11:47.237827Z")</f>
        <v>2055-06-07T18:11:47.237827Z</v>
      </c>
      <c r="Q242" s="3">
        <f ca="1">IFERROR(__xludf.DUMMYFUNCTION("""COMPUTED_VALUE"""),0)</f>
        <v>0</v>
      </c>
      <c r="R242" s="3" t="str">
        <f ca="1">IFERROR(__xludf.DUMMYFUNCTION("""COMPUTED_VALUE"""),"2055-06-07T18:11:53.326856Z")</f>
        <v>2055-06-07T18:11:53.326856Z</v>
      </c>
      <c r="S242" s="3" t="str">
        <f ca="1">IFERROR(__xludf.DUMMYFUNCTION("""COMPUTED_VALUE"""),"2055-06-07T18:30:34.484708Z")</f>
        <v>2055-06-07T18:30:34.484708Z</v>
      </c>
      <c r="T242" s="3"/>
      <c r="U242" s="4">
        <f ca="1">IFERROR(__xludf.DUMMYFUNCTION("""COMPUTED_VALUE"""),56772)</f>
        <v>56772</v>
      </c>
      <c r="V242" s="3">
        <f ca="1">IFERROR(__xludf.DUMMYFUNCTION("""COMPUTED_VALUE"""),4.7)</f>
        <v>4.7</v>
      </c>
      <c r="W242" s="3">
        <f ca="1">IFERROR(__xludf.DUMMYFUNCTION("""COMPUTED_VALUE"""),3500)</f>
        <v>3500</v>
      </c>
      <c r="X242" s="3">
        <f ca="1">IFERROR(__xludf.DUMMYFUNCTION("""COMPUTED_VALUE"""),2204)</f>
        <v>2204</v>
      </c>
      <c r="Y242" s="3">
        <f ca="1">IFERROR(__xludf.DUMMYFUNCTION("""COMPUTED_VALUE"""),1121)</f>
        <v>1121</v>
      </c>
      <c r="Z242" s="3">
        <f ca="1">IFERROR(__xludf.DUMMYFUNCTION("""COMPUTED_VALUE"""),599)</f>
        <v>599</v>
      </c>
      <c r="AA242" s="3">
        <f ca="1">IFERROR(__xludf.DUMMYFUNCTION("""COMPUTED_VALUE"""),484)</f>
        <v>484</v>
      </c>
      <c r="AB242" s="3">
        <f ca="1">IFERROR(__xludf.DUMMYFUNCTION("""COMPUTED_VALUE"""),0)</f>
        <v>0</v>
      </c>
      <c r="AC242" s="3">
        <f ca="1">IFERROR(__xludf.DUMMYFUNCTION("""COMPUTED_VALUE"""),3)</f>
        <v>3</v>
      </c>
      <c r="AD242" s="3" t="str">
        <f ca="1">IFERROR(__xludf.DUMMYFUNCTION("""COMPUTED_VALUE"""),"early")</f>
        <v>early</v>
      </c>
      <c r="AE242" s="3" t="str">
        <f ca="1">IFERROR(__xludf.DUMMYFUNCTION("""COMPUTED_VALUE"""),"2055-06-07T14:40:33.992434Z")</f>
        <v>2055-06-07T14:40:33.992434Z</v>
      </c>
      <c r="AF242" s="3" t="str">
        <f ca="1">IFERROR(__xludf.DUMMYFUNCTION("""COMPUTED_VALUE"""),"2055-06-07T14:48:37.324921Z")</f>
        <v>2055-06-07T14:48:37.324921Z</v>
      </c>
      <c r="AG242" s="3" t="str">
        <f ca="1">IFERROR(__xludf.DUMMYFUNCTION("""COMPUTED_VALUE"""),"2055-06-07T14:11:47.237827Z")</f>
        <v>2055-06-07T14:11:47.237827Z</v>
      </c>
      <c r="AH242" s="3" t="str">
        <f ca="1">IFERROR(__xludf.DUMMYFUNCTION("""COMPUTED_VALUE"""),"2055-06-07T14:30:34.484708Z")</f>
        <v>2055-06-07T14:30:34.484708Z</v>
      </c>
      <c r="AI242" s="3">
        <f ca="1">IFERROR(__xludf.DUMMYFUNCTION("""COMPUTED_VALUE"""),4.79)</f>
        <v>4.79</v>
      </c>
      <c r="AJ242" s="3">
        <f ca="1">IFERROR(__xludf.DUMMYFUNCTION("""COMPUTED_VALUE"""),1007)</f>
        <v>1007</v>
      </c>
      <c r="AK242" s="3">
        <f ca="1">IFERROR(__xludf.DUMMYFUNCTION("""COMPUTED_VALUE"""),2899)</f>
        <v>2899</v>
      </c>
      <c r="AL242" s="3">
        <f ca="1">IFERROR(__xludf.DUMMYFUNCTION("""COMPUTED_VALUE"""),1301)</f>
        <v>1301</v>
      </c>
    </row>
    <row r="243" spans="1:38" ht="13">
      <c r="A243" s="3">
        <f ca="1">IFERROR(__xludf.DUMMYFUNCTION("""COMPUTED_VALUE"""),245)</f>
        <v>245</v>
      </c>
      <c r="B243" s="3"/>
      <c r="C243" s="3">
        <f ca="1">IFERROR(__xludf.DUMMYFUNCTION("""COMPUTED_VALUE"""),4050)</f>
        <v>4050</v>
      </c>
      <c r="D243" s="3" t="str">
        <f ca="1">IFERROR(__xludf.DUMMYFUNCTION("""COMPUTED_VALUE"""),"Doorlanta")</f>
        <v>Doorlanta</v>
      </c>
      <c r="E243" s="3" t="str">
        <f ca="1">IFERROR(__xludf.DUMMYFUNCTION("""COMPUTED_VALUE"""),"Galaxy A")</f>
        <v>Galaxy A</v>
      </c>
      <c r="F243" s="3" t="str">
        <f ca="1">IFERROR(__xludf.DUMMYFUNCTION("""COMPUTED_VALUE"""),"Abhai")</f>
        <v>Abhai</v>
      </c>
      <c r="G243" s="3">
        <f ca="1">IFERROR(__xludf.DUMMYFUNCTION("""COMPUTED_VALUE"""),0)</f>
        <v>0</v>
      </c>
      <c r="H243" s="3" t="str">
        <f ca="1">IFERROR(__xludf.DUMMYFUNCTION("""COMPUTED_VALUE"""),"car")</f>
        <v>car</v>
      </c>
      <c r="I243" s="3" t="str">
        <f ca="1">IFERROR(__xludf.DUMMYFUNCTION("""COMPUTED_VALUE"""),"2055-06-03T01:42:29.88751Z")</f>
        <v>2055-06-03T01:42:29.88751Z</v>
      </c>
      <c r="J243" s="3" t="str">
        <f ca="1">IFERROR(__xludf.DUMMYFUNCTION("""COMPUTED_VALUE"""),"2055-06-03T02:52:53.962Z")</f>
        <v>2055-06-03T02:52:53.962Z</v>
      </c>
      <c r="K243" s="3" t="str">
        <f ca="1">IFERROR(__xludf.DUMMYFUNCTION("""COMPUTED_VALUE"""),"2055-06-03T02:29:35.962Z")</f>
        <v>2055-06-03T02:29:35.962Z</v>
      </c>
      <c r="L243" s="3">
        <f ca="1">IFERROR(__xludf.DUMMYFUNCTION("""COMPUTED_VALUE"""),1)</f>
        <v>1</v>
      </c>
      <c r="M243" s="3">
        <f ca="1">IFERROR(__xludf.DUMMYFUNCTION("""COMPUTED_VALUE"""),0)</f>
        <v>0</v>
      </c>
      <c r="N243" s="3" t="str">
        <f ca="1">IFERROR(__xludf.DUMMYFUNCTION("""COMPUTED_VALUE"""),"2055-06-03T02:06:33.129401Z")</f>
        <v>2055-06-03T02:06:33.129401Z</v>
      </c>
      <c r="O243" s="3" t="str">
        <f ca="1">IFERROR(__xludf.DUMMYFUNCTION("""COMPUTED_VALUE"""),"2055-06-03T02:25:17.10361Z")</f>
        <v>2055-06-03T02:25:17.10361Z</v>
      </c>
      <c r="P243" s="3" t="str">
        <f ca="1">IFERROR(__xludf.DUMMYFUNCTION("""COMPUTED_VALUE"""),"2055-06-03T01:48:27.259589Z")</f>
        <v>2055-06-03T01:48:27.259589Z</v>
      </c>
      <c r="Q243" s="3">
        <f ca="1">IFERROR(__xludf.DUMMYFUNCTION("""COMPUTED_VALUE"""),0)</f>
        <v>0</v>
      </c>
      <c r="R243" s="3" t="str">
        <f ca="1">IFERROR(__xludf.DUMMYFUNCTION("""COMPUTED_VALUE"""),"2055-06-03T01:48:32.612841Z")</f>
        <v>2055-06-03T01:48:32.612841Z</v>
      </c>
      <c r="S243" s="3" t="str">
        <f ca="1">IFERROR(__xludf.DUMMYFUNCTION("""COMPUTED_VALUE"""),"2055-06-03T02:06:02.898958Z")</f>
        <v>2055-06-03T02:06:02.898958Z</v>
      </c>
      <c r="T243" s="3"/>
      <c r="U243" s="4">
        <f ca="1">IFERROR(__xludf.DUMMYFUNCTION("""COMPUTED_VALUE"""),56767)</f>
        <v>56767</v>
      </c>
      <c r="V243" s="3">
        <f ca="1">IFERROR(__xludf.DUMMYFUNCTION("""COMPUTED_VALUE"""),2.761848019)</f>
        <v>2.7618480189999999</v>
      </c>
      <c r="W243" s="3">
        <f ca="1">IFERROR(__xludf.DUMMYFUNCTION("""COMPUTED_VALUE"""),3500)</f>
        <v>3500</v>
      </c>
      <c r="X243" s="3">
        <f ca="1">IFERROR(__xludf.DUMMYFUNCTION("""COMPUTED_VALUE"""),2205)</f>
        <v>2205</v>
      </c>
      <c r="Y243" s="3">
        <f ca="1">IFERROR(__xludf.DUMMYFUNCTION("""COMPUTED_VALUE"""),1050)</f>
        <v>1050</v>
      </c>
      <c r="Z243" s="3">
        <f ca="1">IFERROR(__xludf.DUMMYFUNCTION("""COMPUTED_VALUE"""),31)</f>
        <v>31</v>
      </c>
      <c r="AA243" s="3">
        <f ca="1">IFERROR(__xludf.DUMMYFUNCTION("""COMPUTED_VALUE"""),1124)</f>
        <v>1124</v>
      </c>
      <c r="AB243" s="3">
        <f ca="1">IFERROR(__xludf.DUMMYFUNCTION("""COMPUTED_VALUE"""),0)</f>
        <v>0</v>
      </c>
      <c r="AC243" s="3">
        <f ca="1">IFERROR(__xludf.DUMMYFUNCTION("""COMPUTED_VALUE"""),4)</f>
        <v>4</v>
      </c>
      <c r="AD243" s="3" t="str">
        <f ca="1">IFERROR(__xludf.DUMMYFUNCTION("""COMPUTED_VALUE"""),"late")</f>
        <v>late</v>
      </c>
      <c r="AE243" s="3" t="str">
        <f ca="1">IFERROR(__xludf.DUMMYFUNCTION("""COMPUTED_VALUE"""),"2055-06-02T22:06:33.129401Z")</f>
        <v>2055-06-02T22:06:33.129401Z</v>
      </c>
      <c r="AF243" s="3" t="str">
        <f ca="1">IFERROR(__xludf.DUMMYFUNCTION("""COMPUTED_VALUE"""),"2055-06-02T22:25:17.10361Z")</f>
        <v>2055-06-02T22:25:17.10361Z</v>
      </c>
      <c r="AG243" s="3" t="str">
        <f ca="1">IFERROR(__xludf.DUMMYFUNCTION("""COMPUTED_VALUE"""),"2055-06-02T21:48:27.259589Z")</f>
        <v>2055-06-02T21:48:27.259589Z</v>
      </c>
      <c r="AH243" s="3" t="str">
        <f ca="1">IFERROR(__xludf.DUMMYFUNCTION("""COMPUTED_VALUE"""),"2055-06-02T22:06:02.898958Z")</f>
        <v>2055-06-02T22:06:02.898958Z</v>
      </c>
      <c r="AI243" s="3">
        <f ca="1">IFERROR(__xludf.DUMMYFUNCTION("""COMPUTED_VALUE"""),4.56)</f>
        <v>4.5599999999999996</v>
      </c>
      <c r="AJ243" s="3">
        <f ca="1">IFERROR(__xludf.DUMMYFUNCTION("""COMPUTED_VALUE"""),344)</f>
        <v>344</v>
      </c>
      <c r="AK243" s="3">
        <f ca="1">IFERROR(__xludf.DUMMYFUNCTION("""COMPUTED_VALUE"""),947)</f>
        <v>947</v>
      </c>
      <c r="AL243" s="3">
        <f ca="1">IFERROR(__xludf.DUMMYFUNCTION("""COMPUTED_VALUE"""),22)</f>
        <v>22</v>
      </c>
    </row>
    <row r="244" spans="1:38" ht="13">
      <c r="A244" s="3">
        <f ca="1">IFERROR(__xludf.DUMMYFUNCTION("""COMPUTED_VALUE"""),636)</f>
        <v>636</v>
      </c>
      <c r="B244" s="3"/>
      <c r="C244" s="3">
        <f ca="1">IFERROR(__xludf.DUMMYFUNCTION("""COMPUTED_VALUE"""),4001)</f>
        <v>4001</v>
      </c>
      <c r="D244" s="3" t="str">
        <f ca="1">IFERROR(__xludf.DUMMYFUNCTION("""COMPUTED_VALUE"""),"Dashattan")</f>
        <v>Dashattan</v>
      </c>
      <c r="E244" s="3" t="str">
        <f ca="1">IFERROR(__xludf.DUMMYFUNCTION("""COMPUTED_VALUE"""),"Galaxy A")</f>
        <v>Galaxy A</v>
      </c>
      <c r="F244" s="3" t="str">
        <f ca="1">IFERROR(__xludf.DUMMYFUNCTION("""COMPUTED_VALUE"""),"Bill")</f>
        <v>Bill</v>
      </c>
      <c r="G244" s="3">
        <f ca="1">IFERROR(__xludf.DUMMYFUNCTION("""COMPUTED_VALUE"""),0)</f>
        <v>0</v>
      </c>
      <c r="H244" s="3" t="str">
        <f ca="1">IFERROR(__xludf.DUMMYFUNCTION("""COMPUTED_VALUE"""),"car")</f>
        <v>car</v>
      </c>
      <c r="I244" s="3" t="str">
        <f ca="1">IFERROR(__xludf.DUMMYFUNCTION("""COMPUTED_VALUE"""),"2055-06-05T22:02:49.80112Z")</f>
        <v>2055-06-05T22:02:49.80112Z</v>
      </c>
      <c r="J244" s="3" t="str">
        <f ca="1">IFERROR(__xludf.DUMMYFUNCTION("""COMPUTED_VALUE"""),"2055-06-05T23:11:28.876Z")</f>
        <v>2055-06-05T23:11:28.876Z</v>
      </c>
      <c r="K244" s="3" t="str">
        <f ca="1">IFERROR(__xludf.DUMMYFUNCTION("""COMPUTED_VALUE"""),"2055-06-05T22:51:49.876Z")</f>
        <v>2055-06-05T22:51:49.876Z</v>
      </c>
      <c r="L244" s="3">
        <f ca="1">IFERROR(__xludf.DUMMYFUNCTION("""COMPUTED_VALUE"""),1)</f>
        <v>1</v>
      </c>
      <c r="M244" s="3">
        <f ca="1">IFERROR(__xludf.DUMMYFUNCTION("""COMPUTED_VALUE"""),0)</f>
        <v>0</v>
      </c>
      <c r="N244" s="3" t="str">
        <f ca="1">IFERROR(__xludf.DUMMYFUNCTION("""COMPUTED_VALUE"""),"2055-06-05T22:52:57.18361Z")</f>
        <v>2055-06-05T22:52:57.18361Z</v>
      </c>
      <c r="O244" s="3" t="str">
        <f ca="1">IFERROR(__xludf.DUMMYFUNCTION("""COMPUTED_VALUE"""),"2055-06-05T23:07:45.552528Z")</f>
        <v>2055-06-05T23:07:45.552528Z</v>
      </c>
      <c r="P244" s="3" t="str">
        <f ca="1">IFERROR(__xludf.DUMMYFUNCTION("""COMPUTED_VALUE"""),"2055-06-05T22:12:14.100228Z")</f>
        <v>2055-06-05T22:12:14.100228Z</v>
      </c>
      <c r="Q244" s="3">
        <f ca="1">IFERROR(__xludf.DUMMYFUNCTION("""COMPUTED_VALUE"""),0)</f>
        <v>0</v>
      </c>
      <c r="R244" s="3" t="str">
        <f ca="1">IFERROR(__xludf.DUMMYFUNCTION("""COMPUTED_VALUE"""),"2055-06-05T22:12:24.189116Z")</f>
        <v>2055-06-05T22:12:24.189116Z</v>
      </c>
      <c r="S244" s="3" t="str">
        <f ca="1">IFERROR(__xludf.DUMMYFUNCTION("""COMPUTED_VALUE"""),"2055-06-05T22:35:00.360788Z")</f>
        <v>2055-06-05T22:35:00.360788Z</v>
      </c>
      <c r="T244" s="3"/>
      <c r="U244" s="4">
        <f ca="1">IFERROR(__xludf.DUMMYFUNCTION("""COMPUTED_VALUE"""),56770)</f>
        <v>56770</v>
      </c>
      <c r="V244" s="3">
        <f ca="1">IFERROR(__xludf.DUMMYFUNCTION("""COMPUTED_VALUE"""),4.4)</f>
        <v>4.4000000000000004</v>
      </c>
      <c r="W244" s="3">
        <f ca="1">IFERROR(__xludf.DUMMYFUNCTION("""COMPUTED_VALUE"""),3500)</f>
        <v>3500</v>
      </c>
      <c r="X244" s="3">
        <f ca="1">IFERROR(__xludf.DUMMYFUNCTION("""COMPUTED_VALUE"""),3321)</f>
        <v>3321</v>
      </c>
      <c r="Y244" s="3">
        <f ca="1">IFERROR(__xludf.DUMMYFUNCTION("""COMPUTED_VALUE"""),1356)</f>
        <v>1356</v>
      </c>
      <c r="Z244" s="3">
        <f ca="1">IFERROR(__xludf.DUMMYFUNCTION("""COMPUTED_VALUE"""),1077)</f>
        <v>1077</v>
      </c>
      <c r="AA244" s="3">
        <f ca="1">IFERROR(__xludf.DUMMYFUNCTION("""COMPUTED_VALUE"""),888)</f>
        <v>888</v>
      </c>
      <c r="AB244" s="3">
        <f ca="1">IFERROR(__xludf.DUMMYFUNCTION("""COMPUTED_VALUE"""),1)</f>
        <v>1</v>
      </c>
      <c r="AC244" s="3">
        <f ca="1">IFERROR(__xludf.DUMMYFUNCTION("""COMPUTED_VALUE"""),4)</f>
        <v>4</v>
      </c>
      <c r="AD244" s="3"/>
      <c r="AE244" s="3" t="str">
        <f ca="1">IFERROR(__xludf.DUMMYFUNCTION("""COMPUTED_VALUE"""),"2055-06-05T18:52:57.18361Z")</f>
        <v>2055-06-05T18:52:57.18361Z</v>
      </c>
      <c r="AF244" s="3" t="str">
        <f ca="1">IFERROR(__xludf.DUMMYFUNCTION("""COMPUTED_VALUE"""),"2055-06-05T19:07:45.552528Z")</f>
        <v>2055-06-05T19:07:45.552528Z</v>
      </c>
      <c r="AG244" s="3" t="str">
        <f ca="1">IFERROR(__xludf.DUMMYFUNCTION("""COMPUTED_VALUE"""),"2055-06-05T18:12:14.100228Z")</f>
        <v>2055-06-05T18:12:14.100228Z</v>
      </c>
      <c r="AH244" s="3" t="str">
        <f ca="1">IFERROR(__xludf.DUMMYFUNCTION("""COMPUTED_VALUE"""),"2055-06-05T18:35:00.360788Z")</f>
        <v>2055-06-05T18:35:00.360788Z</v>
      </c>
      <c r="AI244" s="3">
        <f ca="1">IFERROR(__xludf.DUMMYFUNCTION("""COMPUTED_VALUE"""),4.46)</f>
        <v>4.46</v>
      </c>
      <c r="AJ244" s="3">
        <f ca="1">IFERROR(__xludf.DUMMYFUNCTION("""COMPUTED_VALUE"""),148)</f>
        <v>148</v>
      </c>
      <c r="AK244" s="3">
        <f ca="1">IFERROR(__xludf.DUMMYFUNCTION("""COMPUTED_VALUE"""),435)</f>
        <v>435</v>
      </c>
      <c r="AL244" s="3"/>
    </row>
    <row r="245" spans="1:38" ht="13">
      <c r="A245" s="3">
        <f ca="1">IFERROR(__xludf.DUMMYFUNCTION("""COMPUTED_VALUE"""),288)</f>
        <v>288</v>
      </c>
      <c r="B245" s="3">
        <f ca="1">IFERROR(__xludf.DUMMYFUNCTION("""COMPUTED_VALUE"""),5)</f>
        <v>5</v>
      </c>
      <c r="C245" s="3">
        <f ca="1">IFERROR(__xludf.DUMMYFUNCTION("""COMPUTED_VALUE"""),4050)</f>
        <v>4050</v>
      </c>
      <c r="D245" s="3" t="str">
        <f ca="1">IFERROR(__xludf.DUMMYFUNCTION("""COMPUTED_VALUE"""),"Doorlanta")</f>
        <v>Doorlanta</v>
      </c>
      <c r="E245" s="3" t="str">
        <f ca="1">IFERROR(__xludf.DUMMYFUNCTION("""COMPUTED_VALUE"""),"Galaxy A")</f>
        <v>Galaxy A</v>
      </c>
      <c r="F245" s="3" t="str">
        <f ca="1">IFERROR(__xludf.DUMMYFUNCTION("""COMPUTED_VALUE"""),"Katelynn")</f>
        <v>Katelynn</v>
      </c>
      <c r="G245" s="3">
        <f ca="1">IFERROR(__xludf.DUMMYFUNCTION("""COMPUTED_VALUE"""),0)</f>
        <v>0</v>
      </c>
      <c r="H245" s="3" t="str">
        <f ca="1">IFERROR(__xludf.DUMMYFUNCTION("""COMPUTED_VALUE"""),"car")</f>
        <v>car</v>
      </c>
      <c r="I245" s="3" t="str">
        <f ca="1">IFERROR(__xludf.DUMMYFUNCTION("""COMPUTED_VALUE"""),"2055-06-03T16:35:59.357439Z")</f>
        <v>2055-06-03T16:35:59.357439Z</v>
      </c>
      <c r="J245" s="3" t="str">
        <f ca="1">IFERROR(__xludf.DUMMYFUNCTION("""COMPUTED_VALUE"""),"2055-06-03T17:24:09.44Z")</f>
        <v>2055-06-03T17:24:09.44Z</v>
      </c>
      <c r="K245" s="3" t="str">
        <f ca="1">IFERROR(__xludf.DUMMYFUNCTION("""COMPUTED_VALUE"""),"2055-06-03T17:17:15.44Z")</f>
        <v>2055-06-03T17:17:15.44Z</v>
      </c>
      <c r="L245" s="3">
        <f ca="1">IFERROR(__xludf.DUMMYFUNCTION("""COMPUTED_VALUE"""),1)</f>
        <v>1</v>
      </c>
      <c r="M245" s="3">
        <f ca="1">IFERROR(__xludf.DUMMYFUNCTION("""COMPUTED_VALUE"""),0)</f>
        <v>0</v>
      </c>
      <c r="N245" s="3" t="str">
        <f ca="1">IFERROR(__xludf.DUMMYFUNCTION("""COMPUTED_VALUE"""),"2055-06-03T17:03:27.768306Z")</f>
        <v>2055-06-03T17:03:27.768306Z</v>
      </c>
      <c r="O245" s="3" t="str">
        <f ca="1">IFERROR(__xludf.DUMMYFUNCTION("""COMPUTED_VALUE"""),"2055-06-03T17:14:36.122851Z")</f>
        <v>2055-06-03T17:14:36.122851Z</v>
      </c>
      <c r="P245" s="3" t="str">
        <f ca="1">IFERROR(__xludf.DUMMYFUNCTION("""COMPUTED_VALUE"""),"2055-06-03T16:42:07.468376Z")</f>
        <v>2055-06-03T16:42:07.468376Z</v>
      </c>
      <c r="Q245" s="3">
        <f ca="1">IFERROR(__xludf.DUMMYFUNCTION("""COMPUTED_VALUE"""),0)</f>
        <v>0</v>
      </c>
      <c r="R245" s="3" t="str">
        <f ca="1">IFERROR(__xludf.DUMMYFUNCTION("""COMPUTED_VALUE"""),"2055-06-03T16:42:13.068169Z")</f>
        <v>2055-06-03T16:42:13.068169Z</v>
      </c>
      <c r="S245" s="3" t="str">
        <f ca="1">IFERROR(__xludf.DUMMYFUNCTION("""COMPUTED_VALUE"""),"2055-06-03T17:00:14.96784Z")</f>
        <v>2055-06-03T17:00:14.96784Z</v>
      </c>
      <c r="T245" s="3"/>
      <c r="U245" s="4">
        <f ca="1">IFERROR(__xludf.DUMMYFUNCTION("""COMPUTED_VALUE"""),56768)</f>
        <v>56768</v>
      </c>
      <c r="V245" s="3">
        <f ca="1">IFERROR(__xludf.DUMMYFUNCTION("""COMPUTED_VALUE"""),4.6)</f>
        <v>4.5999999999999996</v>
      </c>
      <c r="W245" s="3">
        <f ca="1">IFERROR(__xludf.DUMMYFUNCTION("""COMPUTED_VALUE"""),3500)</f>
        <v>3500</v>
      </c>
      <c r="X245" s="3">
        <f ca="1">IFERROR(__xludf.DUMMYFUNCTION("""COMPUTED_VALUE"""),1943)</f>
        <v>1943</v>
      </c>
      <c r="Y245" s="3">
        <f ca="1">IFERROR(__xludf.DUMMYFUNCTION("""COMPUTED_VALUE"""),1081)</f>
        <v>1081</v>
      </c>
      <c r="Z245" s="3">
        <f ca="1">IFERROR(__xludf.DUMMYFUNCTION("""COMPUTED_VALUE"""),193)</f>
        <v>193</v>
      </c>
      <c r="AA245" s="3">
        <f ca="1">IFERROR(__xludf.DUMMYFUNCTION("""COMPUTED_VALUE"""),669)</f>
        <v>669</v>
      </c>
      <c r="AB245" s="3">
        <f ca="1">IFERROR(__xludf.DUMMYFUNCTION("""COMPUTED_VALUE"""),0)</f>
        <v>0</v>
      </c>
      <c r="AC245" s="3">
        <f ca="1">IFERROR(__xludf.DUMMYFUNCTION("""COMPUTED_VALUE"""),3)</f>
        <v>3</v>
      </c>
      <c r="AD245" s="3" t="str">
        <f ca="1">IFERROR(__xludf.DUMMYFUNCTION("""COMPUTED_VALUE"""),"late")</f>
        <v>late</v>
      </c>
      <c r="AE245" s="3" t="str">
        <f ca="1">IFERROR(__xludf.DUMMYFUNCTION("""COMPUTED_VALUE"""),"2055-06-03T13:03:27.768306Z")</f>
        <v>2055-06-03T13:03:27.768306Z</v>
      </c>
      <c r="AF245" s="3" t="str">
        <f ca="1">IFERROR(__xludf.DUMMYFUNCTION("""COMPUTED_VALUE"""),"2055-06-03T13:14:36.122851Z")</f>
        <v>2055-06-03T13:14:36.122851Z</v>
      </c>
      <c r="AG245" s="3" t="str">
        <f ca="1">IFERROR(__xludf.DUMMYFUNCTION("""COMPUTED_VALUE"""),"2055-06-03T12:42:07.468376Z")</f>
        <v>2055-06-03T12:42:07.468376Z</v>
      </c>
      <c r="AH245" s="3" t="str">
        <f ca="1">IFERROR(__xludf.DUMMYFUNCTION("""COMPUTED_VALUE"""),"2055-06-03T13:00:14.96784Z")</f>
        <v>2055-06-03T13:00:14.96784Z</v>
      </c>
      <c r="AI245" s="3">
        <f ca="1">IFERROR(__xludf.DUMMYFUNCTION("""COMPUTED_VALUE"""),4.7)</f>
        <v>4.7</v>
      </c>
      <c r="AJ245" s="3">
        <f ca="1">IFERROR(__xludf.DUMMYFUNCTION("""COMPUTED_VALUE"""),1261)</f>
        <v>1261</v>
      </c>
      <c r="AK245" s="3">
        <f ca="1">IFERROR(__xludf.DUMMYFUNCTION("""COMPUTED_VALUE"""),3264)</f>
        <v>3264</v>
      </c>
      <c r="AL245" s="3">
        <f ca="1">IFERROR(__xludf.DUMMYFUNCTION("""COMPUTED_VALUE"""),232)</f>
        <v>232</v>
      </c>
    </row>
    <row r="246" spans="1:38" ht="13">
      <c r="A246" s="3">
        <f ca="1">IFERROR(__xludf.DUMMYFUNCTION("""COMPUTED_VALUE"""),511)</f>
        <v>511</v>
      </c>
      <c r="B246" s="3">
        <f ca="1">IFERROR(__xludf.DUMMYFUNCTION("""COMPUTED_VALUE"""),5)</f>
        <v>5</v>
      </c>
      <c r="C246" s="3">
        <f ca="1">IFERROR(__xludf.DUMMYFUNCTION("""COMPUTED_VALUE"""),4050)</f>
        <v>4050</v>
      </c>
      <c r="D246" s="3" t="str">
        <f ca="1">IFERROR(__xludf.DUMMYFUNCTION("""COMPUTED_VALUE"""),"Doorlanta")</f>
        <v>Doorlanta</v>
      </c>
      <c r="E246" s="3" t="str">
        <f ca="1">IFERROR(__xludf.DUMMYFUNCTION("""COMPUTED_VALUE"""),"Galaxy A")</f>
        <v>Galaxy A</v>
      </c>
      <c r="F246" s="3" t="str">
        <f ca="1">IFERROR(__xludf.DUMMYFUNCTION("""COMPUTED_VALUE"""),"Cate")</f>
        <v>Cate</v>
      </c>
      <c r="G246" s="3">
        <f ca="1">IFERROR(__xludf.DUMMYFUNCTION("""COMPUTED_VALUE"""),0)</f>
        <v>0</v>
      </c>
      <c r="H246" s="3" t="str">
        <f ca="1">IFERROR(__xludf.DUMMYFUNCTION("""COMPUTED_VALUE"""),"car")</f>
        <v>car</v>
      </c>
      <c r="I246" s="3" t="str">
        <f ca="1">IFERROR(__xludf.DUMMYFUNCTION("""COMPUTED_VALUE"""),"2055-06-05T00:26:12.565699Z")</f>
        <v>2055-06-05T00:26:12.565699Z</v>
      </c>
      <c r="J246" s="3" t="str">
        <f ca="1">IFERROR(__xludf.DUMMYFUNCTION("""COMPUTED_VALUE"""),"2055-06-05T01:28:51.626Z")</f>
        <v>2055-06-05T01:28:51.626Z</v>
      </c>
      <c r="K246" s="3" t="str">
        <f ca="1">IFERROR(__xludf.DUMMYFUNCTION("""COMPUTED_VALUE"""),"2055-06-05T01:09:12.626Z")</f>
        <v>2055-06-05T01:09:12.626Z</v>
      </c>
      <c r="L246" s="3">
        <f ca="1">IFERROR(__xludf.DUMMYFUNCTION("""COMPUTED_VALUE"""),1)</f>
        <v>1</v>
      </c>
      <c r="M246" s="3">
        <f ca="1">IFERROR(__xludf.DUMMYFUNCTION("""COMPUTED_VALUE"""),0)</f>
        <v>0</v>
      </c>
      <c r="N246" s="3" t="str">
        <f ca="1">IFERROR(__xludf.DUMMYFUNCTION("""COMPUTED_VALUE"""),"2055-06-05T00:56:06.804164Z")</f>
        <v>2055-06-05T00:56:06.804164Z</v>
      </c>
      <c r="O246" s="3" t="str">
        <f ca="1">IFERROR(__xludf.DUMMYFUNCTION("""COMPUTED_VALUE"""),"2055-06-05T01:10:47.791665Z")</f>
        <v>2055-06-05T01:10:47.791665Z</v>
      </c>
      <c r="P246" s="3" t="str">
        <f ca="1">IFERROR(__xludf.DUMMYFUNCTION("""COMPUTED_VALUE"""),"2055-06-05T00:26:27.744514Z")</f>
        <v>2055-06-05T00:26:27.744514Z</v>
      </c>
      <c r="Q246" s="3">
        <f ca="1">IFERROR(__xludf.DUMMYFUNCTION("""COMPUTED_VALUE"""),0)</f>
        <v>0</v>
      </c>
      <c r="R246" s="3" t="str">
        <f ca="1">IFERROR(__xludf.DUMMYFUNCTION("""COMPUTED_VALUE"""),"2055-06-05T00:26:30.550453Z")</f>
        <v>2055-06-05T00:26:30.550453Z</v>
      </c>
      <c r="S246" s="3" t="str">
        <f ca="1">IFERROR(__xludf.DUMMYFUNCTION("""COMPUTED_VALUE"""),"2055-06-05T00:35:08.58163Z")</f>
        <v>2055-06-05T00:35:08.58163Z</v>
      </c>
      <c r="T246" s="3"/>
      <c r="U246" s="4">
        <f ca="1">IFERROR(__xludf.DUMMYFUNCTION("""COMPUTED_VALUE"""),56769)</f>
        <v>56769</v>
      </c>
      <c r="V246" s="3">
        <f ca="1">IFERROR(__xludf.DUMMYFUNCTION("""COMPUTED_VALUE"""),3.501498169)</f>
        <v>3.501498169</v>
      </c>
      <c r="W246" s="3">
        <f ca="1">IFERROR(__xludf.DUMMYFUNCTION("""COMPUTED_VALUE"""),3500)</f>
        <v>3500</v>
      </c>
      <c r="X246" s="3">
        <f ca="1">IFERROR(__xludf.DUMMYFUNCTION("""COMPUTED_VALUE"""),2657)</f>
        <v>2657</v>
      </c>
      <c r="Y246" s="3">
        <f ca="1">IFERROR(__xludf.DUMMYFUNCTION("""COMPUTED_VALUE"""),518)</f>
        <v>518</v>
      </c>
      <c r="Z246" s="3">
        <f ca="1">IFERROR(__xludf.DUMMYFUNCTION("""COMPUTED_VALUE"""),1258)</f>
        <v>1258</v>
      </c>
      <c r="AA246" s="3">
        <f ca="1">IFERROR(__xludf.DUMMYFUNCTION("""COMPUTED_VALUE"""),881)</f>
        <v>881</v>
      </c>
      <c r="AB246" s="3">
        <f ca="1">IFERROR(__xludf.DUMMYFUNCTION("""COMPUTED_VALUE"""),0)</f>
        <v>0</v>
      </c>
      <c r="AC246" s="3">
        <f ca="1">IFERROR(__xludf.DUMMYFUNCTION("""COMPUTED_VALUE"""),6)</f>
        <v>6</v>
      </c>
      <c r="AD246" s="3" t="str">
        <f ca="1">IFERROR(__xludf.DUMMYFUNCTION("""COMPUTED_VALUE"""),"early")</f>
        <v>early</v>
      </c>
      <c r="AE246" s="3" t="str">
        <f ca="1">IFERROR(__xludf.DUMMYFUNCTION("""COMPUTED_VALUE"""),"2055-06-04T20:56:06.804164Z")</f>
        <v>2055-06-04T20:56:06.804164Z</v>
      </c>
      <c r="AF246" s="3" t="str">
        <f ca="1">IFERROR(__xludf.DUMMYFUNCTION("""COMPUTED_VALUE"""),"2055-06-04T21:10:47.791665Z")</f>
        <v>2055-06-04T21:10:47.791665Z</v>
      </c>
      <c r="AG246" s="3" t="str">
        <f ca="1">IFERROR(__xludf.DUMMYFUNCTION("""COMPUTED_VALUE"""),"2055-06-04T20:26:27.744514Z")</f>
        <v>2055-06-04T20:26:27.744514Z</v>
      </c>
      <c r="AH246" s="3" t="str">
        <f ca="1">IFERROR(__xludf.DUMMYFUNCTION("""COMPUTED_VALUE"""),"2055-06-04T20:35:08.58163Z")</f>
        <v>2055-06-04T20:35:08.58163Z</v>
      </c>
      <c r="AI246" s="3">
        <f ca="1">IFERROR(__xludf.DUMMYFUNCTION("""COMPUTED_VALUE"""),4.49)</f>
        <v>4.49</v>
      </c>
      <c r="AJ246" s="3">
        <f ca="1">IFERROR(__xludf.DUMMYFUNCTION("""COMPUTED_VALUE"""),2315)</f>
        <v>2315</v>
      </c>
      <c r="AK246" s="3">
        <f ca="1">IFERROR(__xludf.DUMMYFUNCTION("""COMPUTED_VALUE"""),7039)</f>
        <v>7039</v>
      </c>
      <c r="AL246" s="3">
        <f ca="1">IFERROR(__xludf.DUMMYFUNCTION("""COMPUTED_VALUE"""),763)</f>
        <v>763</v>
      </c>
    </row>
    <row r="247" spans="1:38" ht="13">
      <c r="A247" s="3">
        <f ca="1">IFERROR(__xludf.DUMMYFUNCTION("""COMPUTED_VALUE"""),1556)</f>
        <v>1556</v>
      </c>
      <c r="B247" s="3"/>
      <c r="C247" s="3">
        <f ca="1">IFERROR(__xludf.DUMMYFUNCTION("""COMPUTED_VALUE"""),4001)</f>
        <v>4001</v>
      </c>
      <c r="D247" s="3" t="str">
        <f ca="1">IFERROR(__xludf.DUMMYFUNCTION("""COMPUTED_VALUE"""),"Dashattan")</f>
        <v>Dashattan</v>
      </c>
      <c r="E247" s="3" t="str">
        <f ca="1">IFERROR(__xludf.DUMMYFUNCTION("""COMPUTED_VALUE"""),"Galaxy A")</f>
        <v>Galaxy A</v>
      </c>
      <c r="F247" s="3" t="str">
        <f ca="1">IFERROR(__xludf.DUMMYFUNCTION("""COMPUTED_VALUE"""),"KC")</f>
        <v>KC</v>
      </c>
      <c r="G247" s="3">
        <f ca="1">IFERROR(__xludf.DUMMYFUNCTION("""COMPUTED_VALUE"""),0)</f>
        <v>0</v>
      </c>
      <c r="H247" s="3" t="str">
        <f ca="1">IFERROR(__xludf.DUMMYFUNCTION("""COMPUTED_VALUE"""),"car")</f>
        <v>car</v>
      </c>
      <c r="I247" s="3" t="str">
        <f ca="1">IFERROR(__xludf.DUMMYFUNCTION("""COMPUTED_VALUE"""),"2055-06-13T15:06:35.138004Z")</f>
        <v>2055-06-13T15:06:35.138004Z</v>
      </c>
      <c r="J247" s="3" t="str">
        <f ca="1">IFERROR(__xludf.DUMMYFUNCTION("""COMPUTED_VALUE"""),"2055-06-13T15:57:36.188Z")</f>
        <v>2055-06-13T15:57:36.188Z</v>
      </c>
      <c r="K247" s="3" t="str">
        <f ca="1">IFERROR(__xludf.DUMMYFUNCTION("""COMPUTED_VALUE"""),"2055-06-13T15:47:57.188Z")</f>
        <v>2055-06-13T15:47:57.188Z</v>
      </c>
      <c r="L247" s="3">
        <f ca="1">IFERROR(__xludf.DUMMYFUNCTION("""COMPUTED_VALUE"""),1)</f>
        <v>1</v>
      </c>
      <c r="M247" s="3">
        <f ca="1">IFERROR(__xludf.DUMMYFUNCTION("""COMPUTED_VALUE"""),0)</f>
        <v>0</v>
      </c>
      <c r="N247" s="3" t="str">
        <f ca="1">IFERROR(__xludf.DUMMYFUNCTION("""COMPUTED_VALUE"""),"2055-06-13T15:30:00.567183Z")</f>
        <v>2055-06-13T15:30:00.567183Z</v>
      </c>
      <c r="O247" s="3" t="str">
        <f ca="1">IFERROR(__xludf.DUMMYFUNCTION("""COMPUTED_VALUE"""),"2055-06-13T15:38:10.9655Z")</f>
        <v>2055-06-13T15:38:10.9655Z</v>
      </c>
      <c r="P247" s="3" t="str">
        <f ca="1">IFERROR(__xludf.DUMMYFUNCTION("""COMPUTED_VALUE"""),"2055-06-13T15:12:34.269331Z")</f>
        <v>2055-06-13T15:12:34.269331Z</v>
      </c>
      <c r="Q247" s="3">
        <f ca="1">IFERROR(__xludf.DUMMYFUNCTION("""COMPUTED_VALUE"""),0)</f>
        <v>0</v>
      </c>
      <c r="R247" s="3" t="str">
        <f ca="1">IFERROR(__xludf.DUMMYFUNCTION("""COMPUTED_VALUE"""),"2055-06-13T15:12:41.748417Z")</f>
        <v>2055-06-13T15:12:41.748417Z</v>
      </c>
      <c r="S247" s="3" t="str">
        <f ca="1">IFERROR(__xludf.DUMMYFUNCTION("""COMPUTED_VALUE"""),"2055-06-13T15:22:40.428039Z")</f>
        <v>2055-06-13T15:22:40.428039Z</v>
      </c>
      <c r="T247" s="3"/>
      <c r="U247" s="4">
        <f ca="1">IFERROR(__xludf.DUMMYFUNCTION("""COMPUTED_VALUE"""),56778)</f>
        <v>56778</v>
      </c>
      <c r="V247" s="3">
        <f ca="1">IFERROR(__xludf.DUMMYFUNCTION("""COMPUTED_VALUE"""),4.5)</f>
        <v>4.5</v>
      </c>
      <c r="W247" s="3">
        <f ca="1">IFERROR(__xludf.DUMMYFUNCTION("""COMPUTED_VALUE"""),3500)</f>
        <v>3500</v>
      </c>
      <c r="X247" s="3">
        <f ca="1">IFERROR(__xludf.DUMMYFUNCTION("""COMPUTED_VALUE"""),1529)</f>
        <v>1529</v>
      </c>
      <c r="Y247" s="3">
        <f ca="1">IFERROR(__xludf.DUMMYFUNCTION("""COMPUTED_VALUE"""),599)</f>
        <v>599</v>
      </c>
      <c r="Z247" s="3">
        <f ca="1">IFERROR(__xludf.DUMMYFUNCTION("""COMPUTED_VALUE"""),440)</f>
        <v>440</v>
      </c>
      <c r="AA247" s="3">
        <f ca="1">IFERROR(__xludf.DUMMYFUNCTION("""COMPUTED_VALUE"""),490)</f>
        <v>490</v>
      </c>
      <c r="AB247" s="3">
        <f ca="1">IFERROR(__xludf.DUMMYFUNCTION("""COMPUTED_VALUE"""),0)</f>
        <v>0</v>
      </c>
      <c r="AC247" s="3">
        <f ca="1">IFERROR(__xludf.DUMMYFUNCTION("""COMPUTED_VALUE"""),3)</f>
        <v>3</v>
      </c>
      <c r="AD247" s="3" t="str">
        <f ca="1">IFERROR(__xludf.DUMMYFUNCTION("""COMPUTED_VALUE"""),"on time")</f>
        <v>on time</v>
      </c>
      <c r="AE247" s="3" t="str">
        <f ca="1">IFERROR(__xludf.DUMMYFUNCTION("""COMPUTED_VALUE"""),"2055-06-13T11:30:00.567183Z")</f>
        <v>2055-06-13T11:30:00.567183Z</v>
      </c>
      <c r="AF247" s="3" t="str">
        <f ca="1">IFERROR(__xludf.DUMMYFUNCTION("""COMPUTED_VALUE"""),"2055-06-13T11:38:10.9655Z")</f>
        <v>2055-06-13T11:38:10.9655Z</v>
      </c>
      <c r="AG247" s="3" t="str">
        <f ca="1">IFERROR(__xludf.DUMMYFUNCTION("""COMPUTED_VALUE"""),"2055-06-13T11:12:34.269331Z")</f>
        <v>2055-06-13T11:12:34.269331Z</v>
      </c>
      <c r="AH247" s="3" t="str">
        <f ca="1">IFERROR(__xludf.DUMMYFUNCTION("""COMPUTED_VALUE"""),"2055-06-13T11:22:40.428039Z")</f>
        <v>2055-06-13T11:22:40.428039Z</v>
      </c>
      <c r="AI247" s="3">
        <f ca="1">IFERROR(__xludf.DUMMYFUNCTION("""COMPUTED_VALUE"""),4.54)</f>
        <v>4.54</v>
      </c>
      <c r="AJ247" s="3">
        <f ca="1">IFERROR(__xludf.DUMMYFUNCTION("""COMPUTED_VALUE"""),2229)</f>
        <v>2229</v>
      </c>
      <c r="AK247" s="3">
        <f ca="1">IFERROR(__xludf.DUMMYFUNCTION("""COMPUTED_VALUE"""),6580)</f>
        <v>6580</v>
      </c>
      <c r="AL247" s="3"/>
    </row>
    <row r="248" spans="1:38" ht="13">
      <c r="A248" s="3">
        <f ca="1">IFERROR(__xludf.DUMMYFUNCTION("""COMPUTED_VALUE"""),1263)</f>
        <v>1263</v>
      </c>
      <c r="B248" s="3">
        <f ca="1">IFERROR(__xludf.DUMMYFUNCTION("""COMPUTED_VALUE"""),5)</f>
        <v>5</v>
      </c>
      <c r="C248" s="3">
        <f ca="1">IFERROR(__xludf.DUMMYFUNCTION("""COMPUTED_VALUE"""),4001)</f>
        <v>4001</v>
      </c>
      <c r="D248" s="3" t="str">
        <f ca="1">IFERROR(__xludf.DUMMYFUNCTION("""COMPUTED_VALUE"""),"Dashattan")</f>
        <v>Dashattan</v>
      </c>
      <c r="E248" s="3" t="str">
        <f ca="1">IFERROR(__xludf.DUMMYFUNCTION("""COMPUTED_VALUE"""),"Galaxy A")</f>
        <v>Galaxy A</v>
      </c>
      <c r="F248" s="3" t="str">
        <f ca="1">IFERROR(__xludf.DUMMYFUNCTION("""COMPUTED_VALUE"""),"Rojan")</f>
        <v>Rojan</v>
      </c>
      <c r="G248" s="3">
        <f ca="1">IFERROR(__xludf.DUMMYFUNCTION("""COMPUTED_VALUE"""),0)</f>
        <v>0</v>
      </c>
      <c r="H248" s="3" t="str">
        <f ca="1">IFERROR(__xludf.DUMMYFUNCTION("""COMPUTED_VALUE"""),"bicycle")</f>
        <v>bicycle</v>
      </c>
      <c r="I248" s="3" t="str">
        <f ca="1">IFERROR(__xludf.DUMMYFUNCTION("""COMPUTED_VALUE"""),"2055-06-11T16:51:03.518954Z")</f>
        <v>2055-06-11T16:51:03.518954Z</v>
      </c>
      <c r="J248" s="3" t="str">
        <f ca="1">IFERROR(__xludf.DUMMYFUNCTION("""COMPUTED_VALUE"""),"2055-06-11T17:36:41.593Z")</f>
        <v>2055-06-11T17:36:41.593Z</v>
      </c>
      <c r="K248" s="3" t="str">
        <f ca="1">IFERROR(__xludf.DUMMYFUNCTION("""COMPUTED_VALUE"""),"2055-06-11T17:17:02.593Z")</f>
        <v>2055-06-11T17:17:02.593Z</v>
      </c>
      <c r="L248" s="3">
        <f ca="1">IFERROR(__xludf.DUMMYFUNCTION("""COMPUTED_VALUE"""),1)</f>
        <v>1</v>
      </c>
      <c r="M248" s="3">
        <f ca="1">IFERROR(__xludf.DUMMYFUNCTION("""COMPUTED_VALUE"""),0)</f>
        <v>0</v>
      </c>
      <c r="N248" s="3" t="str">
        <f ca="1">IFERROR(__xludf.DUMMYFUNCTION("""COMPUTED_VALUE"""),"2055-06-11T17:08:12.846754Z")</f>
        <v>2055-06-11T17:08:12.846754Z</v>
      </c>
      <c r="O248" s="3" t="str">
        <f ca="1">IFERROR(__xludf.DUMMYFUNCTION("""COMPUTED_VALUE"""),"2055-06-11T17:19:29.648111Z")</f>
        <v>2055-06-11T17:19:29.648111Z</v>
      </c>
      <c r="P248" s="3" t="str">
        <f ca="1">IFERROR(__xludf.DUMMYFUNCTION("""COMPUTED_VALUE"""),"2055-06-11T16:57:14.338782Z")</f>
        <v>2055-06-11T16:57:14.338782Z</v>
      </c>
      <c r="Q248" s="3">
        <f ca="1">IFERROR(__xludf.DUMMYFUNCTION("""COMPUTED_VALUE"""),0)</f>
        <v>0</v>
      </c>
      <c r="R248" s="3" t="str">
        <f ca="1">IFERROR(__xludf.DUMMYFUNCTION("""COMPUTED_VALUE"""),"2055-06-11T16:57:35.239624Z")</f>
        <v>2055-06-11T16:57:35.239624Z</v>
      </c>
      <c r="S248" s="3" t="str">
        <f ca="1">IFERROR(__xludf.DUMMYFUNCTION("""COMPUTED_VALUE"""),"2055-06-11T17:02:03.812344Z")</f>
        <v>2055-06-11T17:02:03.812344Z</v>
      </c>
      <c r="T248" s="3"/>
      <c r="U248" s="4">
        <f ca="1">IFERROR(__xludf.DUMMYFUNCTION("""COMPUTED_VALUE"""),56776)</f>
        <v>56776</v>
      </c>
      <c r="V248" s="3">
        <f ca="1">IFERROR(__xludf.DUMMYFUNCTION("""COMPUTED_VALUE"""),4.5)</f>
        <v>4.5</v>
      </c>
      <c r="W248" s="3">
        <f ca="1">IFERROR(__xludf.DUMMYFUNCTION("""COMPUTED_VALUE"""),3500)</f>
        <v>3500</v>
      </c>
      <c r="X248" s="3">
        <f ca="1">IFERROR(__xludf.DUMMYFUNCTION("""COMPUTED_VALUE"""),1314)</f>
        <v>1314</v>
      </c>
      <c r="Y248" s="3">
        <f ca="1">IFERROR(__xludf.DUMMYFUNCTION("""COMPUTED_VALUE"""),268)</f>
        <v>268</v>
      </c>
      <c r="Z248" s="3">
        <f ca="1">IFERROR(__xludf.DUMMYFUNCTION("""COMPUTED_VALUE"""),369)</f>
        <v>369</v>
      </c>
      <c r="AA248" s="3">
        <f ca="1">IFERROR(__xludf.DUMMYFUNCTION("""COMPUTED_VALUE"""),677)</f>
        <v>677</v>
      </c>
      <c r="AB248" s="3">
        <f ca="1">IFERROR(__xludf.DUMMYFUNCTION("""COMPUTED_VALUE"""),0)</f>
        <v>0</v>
      </c>
      <c r="AC248" s="3">
        <f ca="1">IFERROR(__xludf.DUMMYFUNCTION("""COMPUTED_VALUE"""),2)</f>
        <v>2</v>
      </c>
      <c r="AD248" s="3" t="str">
        <f ca="1">IFERROR(__xludf.DUMMYFUNCTION("""COMPUTED_VALUE"""),"on time")</f>
        <v>on time</v>
      </c>
      <c r="AE248" s="3" t="str">
        <f ca="1">IFERROR(__xludf.DUMMYFUNCTION("""COMPUTED_VALUE"""),"2055-06-11T13:08:12.846754Z")</f>
        <v>2055-06-11T13:08:12.846754Z</v>
      </c>
      <c r="AF248" s="3" t="str">
        <f ca="1">IFERROR(__xludf.DUMMYFUNCTION("""COMPUTED_VALUE"""),"2055-06-11T13:19:29.648111Z")</f>
        <v>2055-06-11T13:19:29.648111Z</v>
      </c>
      <c r="AG248" s="3" t="str">
        <f ca="1">IFERROR(__xludf.DUMMYFUNCTION("""COMPUTED_VALUE"""),"2055-06-11T12:57:14.338782Z")</f>
        <v>2055-06-11T12:57:14.338782Z</v>
      </c>
      <c r="AH248" s="3" t="str">
        <f ca="1">IFERROR(__xludf.DUMMYFUNCTION("""COMPUTED_VALUE"""),"2055-06-11T13:02:03.812344Z")</f>
        <v>2055-06-11T13:02:03.812344Z</v>
      </c>
      <c r="AI248" s="3">
        <f ca="1">IFERROR(__xludf.DUMMYFUNCTION("""COMPUTED_VALUE"""),4.58)</f>
        <v>4.58</v>
      </c>
      <c r="AJ248" s="3">
        <f ca="1">IFERROR(__xludf.DUMMYFUNCTION("""COMPUTED_VALUE"""),254)</f>
        <v>254</v>
      </c>
      <c r="AK248" s="3">
        <f ca="1">IFERROR(__xludf.DUMMYFUNCTION("""COMPUTED_VALUE"""),788)</f>
        <v>788</v>
      </c>
      <c r="AL248" s="3">
        <f ca="1">IFERROR(__xludf.DUMMYFUNCTION("""COMPUTED_VALUE"""),9)</f>
        <v>9</v>
      </c>
    </row>
    <row r="249" spans="1:38" ht="13">
      <c r="A249" s="3">
        <f ca="1">IFERROR(__xludf.DUMMYFUNCTION("""COMPUTED_VALUE"""),415)</f>
        <v>415</v>
      </c>
      <c r="B249" s="3">
        <f ca="1">IFERROR(__xludf.DUMMYFUNCTION("""COMPUTED_VALUE"""),5)</f>
        <v>5</v>
      </c>
      <c r="C249" s="3">
        <f ca="1">IFERROR(__xludf.DUMMYFUNCTION("""COMPUTED_VALUE"""),4050)</f>
        <v>4050</v>
      </c>
      <c r="D249" s="3" t="str">
        <f ca="1">IFERROR(__xludf.DUMMYFUNCTION("""COMPUTED_VALUE"""),"Doorlanta")</f>
        <v>Doorlanta</v>
      </c>
      <c r="E249" s="3" t="str">
        <f ca="1">IFERROR(__xludf.DUMMYFUNCTION("""COMPUTED_VALUE"""),"Galaxy A")</f>
        <v>Galaxy A</v>
      </c>
      <c r="F249" s="3" t="str">
        <f ca="1">IFERROR(__xludf.DUMMYFUNCTION("""COMPUTED_VALUE"""),"Cate")</f>
        <v>Cate</v>
      </c>
      <c r="G249" s="3">
        <f ca="1">IFERROR(__xludf.DUMMYFUNCTION("""COMPUTED_VALUE"""),0)</f>
        <v>0</v>
      </c>
      <c r="H249" s="3" t="str">
        <f ca="1">IFERROR(__xludf.DUMMYFUNCTION("""COMPUTED_VALUE"""),"car")</f>
        <v>car</v>
      </c>
      <c r="I249" s="3" t="str">
        <f ca="1">IFERROR(__xludf.DUMMYFUNCTION("""COMPUTED_VALUE"""),"2055-06-04T16:20:59.290571Z")</f>
        <v>2055-06-04T16:20:59.290571Z</v>
      </c>
      <c r="J249" s="3" t="str">
        <f ca="1">IFERROR(__xludf.DUMMYFUNCTION("""COMPUTED_VALUE"""),"2055-06-04T17:21:49.375Z")</f>
        <v>2055-06-04T17:21:49.375Z</v>
      </c>
      <c r="K249" s="3" t="str">
        <f ca="1">IFERROR(__xludf.DUMMYFUNCTION("""COMPUTED_VALUE"""),"2055-06-04T17:12:56.375Z")</f>
        <v>2055-06-04T17:12:56.375Z</v>
      </c>
      <c r="L249" s="3">
        <f ca="1">IFERROR(__xludf.DUMMYFUNCTION("""COMPUTED_VALUE"""),1)</f>
        <v>1</v>
      </c>
      <c r="M249" s="3">
        <f ca="1">IFERROR(__xludf.DUMMYFUNCTION("""COMPUTED_VALUE"""),0)</f>
        <v>0</v>
      </c>
      <c r="N249" s="3" t="str">
        <f ca="1">IFERROR(__xludf.DUMMYFUNCTION("""COMPUTED_VALUE"""),"2055-06-04T16:45:20.207526Z")</f>
        <v>2055-06-04T16:45:20.207526Z</v>
      </c>
      <c r="O249" s="3" t="str">
        <f ca="1">IFERROR(__xludf.DUMMYFUNCTION("""COMPUTED_VALUE"""),"2055-06-04T17:07:19.612001Z")</f>
        <v>2055-06-04T17:07:19.612001Z</v>
      </c>
      <c r="P249" s="3" t="str">
        <f ca="1">IFERROR(__xludf.DUMMYFUNCTION("""COMPUTED_VALUE"""),"2055-06-04T16:21:07.282697Z")</f>
        <v>2055-06-04T16:21:07.282697Z</v>
      </c>
      <c r="Q249" s="3">
        <f ca="1">IFERROR(__xludf.DUMMYFUNCTION("""COMPUTED_VALUE"""),0)</f>
        <v>0</v>
      </c>
      <c r="R249" s="3" t="str">
        <f ca="1">IFERROR(__xludf.DUMMYFUNCTION("""COMPUTED_VALUE"""),"2055-06-04T16:21:12.434671Z")</f>
        <v>2055-06-04T16:21:12.434671Z</v>
      </c>
      <c r="S249" s="3" t="str">
        <f ca="1">IFERROR(__xludf.DUMMYFUNCTION("""COMPUTED_VALUE"""),"2055-06-04T16:38:54.005194Z")</f>
        <v>2055-06-04T16:38:54.005194Z</v>
      </c>
      <c r="T249" s="3"/>
      <c r="U249" s="4">
        <f ca="1">IFERROR(__xludf.DUMMYFUNCTION("""COMPUTED_VALUE"""),56769)</f>
        <v>56769</v>
      </c>
      <c r="V249" s="3">
        <f ca="1">IFERROR(__xludf.DUMMYFUNCTION("""COMPUTED_VALUE"""),4.3)</f>
        <v>4.3</v>
      </c>
      <c r="W249" s="3">
        <f ca="1">IFERROR(__xludf.DUMMYFUNCTION("""COMPUTED_VALUE"""),3500)</f>
        <v>3500</v>
      </c>
      <c r="X249" s="3">
        <f ca="1">IFERROR(__xludf.DUMMYFUNCTION("""COMPUTED_VALUE"""),2767)</f>
        <v>2767</v>
      </c>
      <c r="Y249" s="3">
        <f ca="1">IFERROR(__xludf.DUMMYFUNCTION("""COMPUTED_VALUE"""),1062)</f>
        <v>1062</v>
      </c>
      <c r="Z249" s="3">
        <f ca="1">IFERROR(__xludf.DUMMYFUNCTION("""COMPUTED_VALUE"""),386)</f>
        <v>386</v>
      </c>
      <c r="AA249" s="3">
        <f ca="1">IFERROR(__xludf.DUMMYFUNCTION("""COMPUTED_VALUE"""),1319)</f>
        <v>1319</v>
      </c>
      <c r="AB249" s="3">
        <f ca="1">IFERROR(__xludf.DUMMYFUNCTION("""COMPUTED_VALUE"""),0)</f>
        <v>0</v>
      </c>
      <c r="AC249" s="3">
        <f ca="1">IFERROR(__xludf.DUMMYFUNCTION("""COMPUTED_VALUE"""),4)</f>
        <v>4</v>
      </c>
      <c r="AD249" s="3" t="str">
        <f ca="1">IFERROR(__xludf.DUMMYFUNCTION("""COMPUTED_VALUE"""),"early")</f>
        <v>early</v>
      </c>
      <c r="AE249" s="3" t="str">
        <f ca="1">IFERROR(__xludf.DUMMYFUNCTION("""COMPUTED_VALUE"""),"2055-06-04T12:45:20.207526Z")</f>
        <v>2055-06-04T12:45:20.207526Z</v>
      </c>
      <c r="AF249" s="3" t="str">
        <f ca="1">IFERROR(__xludf.DUMMYFUNCTION("""COMPUTED_VALUE"""),"2055-06-04T13:07:19.612001Z")</f>
        <v>2055-06-04T13:07:19.612001Z</v>
      </c>
      <c r="AG249" s="3" t="str">
        <f ca="1">IFERROR(__xludf.DUMMYFUNCTION("""COMPUTED_VALUE"""),"2055-06-04T12:21:07.282697Z")</f>
        <v>2055-06-04T12:21:07.282697Z</v>
      </c>
      <c r="AH249" s="3" t="str">
        <f ca="1">IFERROR(__xludf.DUMMYFUNCTION("""COMPUTED_VALUE"""),"2055-06-04T12:38:54.005194Z")</f>
        <v>2055-06-04T12:38:54.005194Z</v>
      </c>
      <c r="AI249" s="3">
        <f ca="1">IFERROR(__xludf.DUMMYFUNCTION("""COMPUTED_VALUE"""),4.49)</f>
        <v>4.49</v>
      </c>
      <c r="AJ249" s="3">
        <f ca="1">IFERROR(__xludf.DUMMYFUNCTION("""COMPUTED_VALUE"""),2315)</f>
        <v>2315</v>
      </c>
      <c r="AK249" s="3">
        <f ca="1">IFERROR(__xludf.DUMMYFUNCTION("""COMPUTED_VALUE"""),7039)</f>
        <v>7039</v>
      </c>
      <c r="AL249" s="3">
        <f ca="1">IFERROR(__xludf.DUMMYFUNCTION("""COMPUTED_VALUE"""),763)</f>
        <v>763</v>
      </c>
    </row>
    <row r="250" spans="1:38" ht="13">
      <c r="A250" s="3">
        <f ca="1">IFERROR(__xludf.DUMMYFUNCTION("""COMPUTED_VALUE"""),603)</f>
        <v>603</v>
      </c>
      <c r="B250" s="3">
        <f ca="1">IFERROR(__xludf.DUMMYFUNCTION("""COMPUTED_VALUE"""),3)</f>
        <v>3</v>
      </c>
      <c r="C250" s="3">
        <f ca="1">IFERROR(__xludf.DUMMYFUNCTION("""COMPUTED_VALUE"""),4050)</f>
        <v>4050</v>
      </c>
      <c r="D250" s="3" t="str">
        <f ca="1">IFERROR(__xludf.DUMMYFUNCTION("""COMPUTED_VALUE"""),"Doorlanta")</f>
        <v>Doorlanta</v>
      </c>
      <c r="E250" s="3" t="str">
        <f ca="1">IFERROR(__xludf.DUMMYFUNCTION("""COMPUTED_VALUE"""),"Galaxy A")</f>
        <v>Galaxy A</v>
      </c>
      <c r="F250" s="3" t="str">
        <f ca="1">IFERROR(__xludf.DUMMYFUNCTION("""COMPUTED_VALUE"""),"Joe")</f>
        <v>Joe</v>
      </c>
      <c r="G250" s="3">
        <f ca="1">IFERROR(__xludf.DUMMYFUNCTION("""COMPUTED_VALUE"""),0)</f>
        <v>0</v>
      </c>
      <c r="H250" s="3" t="str">
        <f ca="1">IFERROR(__xludf.DUMMYFUNCTION("""COMPUTED_VALUE"""),"car")</f>
        <v>car</v>
      </c>
      <c r="I250" s="3" t="str">
        <f ca="1">IFERROR(__xludf.DUMMYFUNCTION("""COMPUTED_VALUE"""),"2055-06-05T19:54:23.162117Z")</f>
        <v>2055-06-05T19:54:23.162117Z</v>
      </c>
      <c r="J250" s="3" t="str">
        <f ca="1">IFERROR(__xludf.DUMMYFUNCTION("""COMPUTED_VALUE"""),"2055-06-05T20:53:10.984Z")</f>
        <v>2055-06-05T20:53:10.984Z</v>
      </c>
      <c r="K250" s="3" t="str">
        <f ca="1">IFERROR(__xludf.DUMMYFUNCTION("""COMPUTED_VALUE"""),"2055-06-05T20:39:57.984Z")</f>
        <v>2055-06-05T20:39:57.984Z</v>
      </c>
      <c r="L250" s="3">
        <f ca="1">IFERROR(__xludf.DUMMYFUNCTION("""COMPUTED_VALUE"""),1)</f>
        <v>1</v>
      </c>
      <c r="M250" s="3">
        <f ca="1">IFERROR(__xludf.DUMMYFUNCTION("""COMPUTED_VALUE"""),0)</f>
        <v>0</v>
      </c>
      <c r="N250" s="3" t="str">
        <f ca="1">IFERROR(__xludf.DUMMYFUNCTION("""COMPUTED_VALUE"""),"2055-06-05T20:28:53.82893Z")</f>
        <v>2055-06-05T20:28:53.82893Z</v>
      </c>
      <c r="O250" s="3" t="str">
        <f ca="1">IFERROR(__xludf.DUMMYFUNCTION("""COMPUTED_VALUE"""),"2055-06-05T20:45:40.241183Z")</f>
        <v>2055-06-05T20:45:40.241183Z</v>
      </c>
      <c r="P250" s="3" t="str">
        <f ca="1">IFERROR(__xludf.DUMMYFUNCTION("""COMPUTED_VALUE"""),"2055-06-05T20:10:47.370883Z")</f>
        <v>2055-06-05T20:10:47.370883Z</v>
      </c>
      <c r="Q250" s="3">
        <f ca="1">IFERROR(__xludf.DUMMYFUNCTION("""COMPUTED_VALUE"""),0)</f>
        <v>0</v>
      </c>
      <c r="R250" s="3" t="str">
        <f ca="1">IFERROR(__xludf.DUMMYFUNCTION("""COMPUTED_VALUE"""),"2055-06-05T20:10:50.747474Z")</f>
        <v>2055-06-05T20:10:50.747474Z</v>
      </c>
      <c r="S250" s="3" t="str">
        <f ca="1">IFERROR(__xludf.DUMMYFUNCTION("""COMPUTED_VALUE"""),"2055-06-05T20:27:44.466527Z")</f>
        <v>2055-06-05T20:27:44.466527Z</v>
      </c>
      <c r="T250" s="3"/>
      <c r="U250" s="4">
        <f ca="1">IFERROR(__xludf.DUMMYFUNCTION("""COMPUTED_VALUE"""),56770)</f>
        <v>56770</v>
      </c>
      <c r="V250" s="3">
        <f ca="1">IFERROR(__xludf.DUMMYFUNCTION("""COMPUTED_VALUE"""),3.431783289)</f>
        <v>3.4317832890000002</v>
      </c>
      <c r="W250" s="3">
        <f ca="1">IFERROR(__xludf.DUMMYFUNCTION("""COMPUTED_VALUE"""),3500)</f>
        <v>3500</v>
      </c>
      <c r="X250" s="3">
        <f ca="1">IFERROR(__xludf.DUMMYFUNCTION("""COMPUTED_VALUE"""),2090)</f>
        <v>2090</v>
      </c>
      <c r="Y250" s="3">
        <f ca="1">IFERROR(__xludf.DUMMYFUNCTION("""COMPUTED_VALUE"""),1014)</f>
        <v>1014</v>
      </c>
      <c r="Z250" s="3">
        <f ca="1">IFERROR(__xludf.DUMMYFUNCTION("""COMPUTED_VALUE"""),69)</f>
        <v>69</v>
      </c>
      <c r="AA250" s="3">
        <f ca="1">IFERROR(__xludf.DUMMYFUNCTION("""COMPUTED_VALUE"""),1007)</f>
        <v>1007</v>
      </c>
      <c r="AB250" s="3">
        <f ca="1">IFERROR(__xludf.DUMMYFUNCTION("""COMPUTED_VALUE"""),0)</f>
        <v>0</v>
      </c>
      <c r="AC250" s="3">
        <f ca="1">IFERROR(__xludf.DUMMYFUNCTION("""COMPUTED_VALUE"""),4)</f>
        <v>4</v>
      </c>
      <c r="AD250" s="3" t="str">
        <f ca="1">IFERROR(__xludf.DUMMYFUNCTION("""COMPUTED_VALUE"""),"late")</f>
        <v>late</v>
      </c>
      <c r="AE250" s="3" t="str">
        <f ca="1">IFERROR(__xludf.DUMMYFUNCTION("""COMPUTED_VALUE"""),"2055-06-05T16:28:53.82893Z")</f>
        <v>2055-06-05T16:28:53.82893Z</v>
      </c>
      <c r="AF250" s="3" t="str">
        <f ca="1">IFERROR(__xludf.DUMMYFUNCTION("""COMPUTED_VALUE"""),"2055-06-05T16:45:40.241183Z")</f>
        <v>2055-06-05T16:45:40.241183Z</v>
      </c>
      <c r="AG250" s="3" t="str">
        <f ca="1">IFERROR(__xludf.DUMMYFUNCTION("""COMPUTED_VALUE"""),"2055-06-05T16:10:47.370883Z")</f>
        <v>2055-06-05T16:10:47.370883Z</v>
      </c>
      <c r="AH250" s="3" t="str">
        <f ca="1">IFERROR(__xludf.DUMMYFUNCTION("""COMPUTED_VALUE"""),"2055-06-05T16:27:44.466527Z")</f>
        <v>2055-06-05T16:27:44.466527Z</v>
      </c>
      <c r="AI250" s="3">
        <f ca="1">IFERROR(__xludf.DUMMYFUNCTION("""COMPUTED_VALUE"""),4.38)</f>
        <v>4.38</v>
      </c>
      <c r="AJ250" s="3">
        <f ca="1">IFERROR(__xludf.DUMMYFUNCTION("""COMPUTED_VALUE"""),196)</f>
        <v>196</v>
      </c>
      <c r="AK250" s="3">
        <f ca="1">IFERROR(__xludf.DUMMYFUNCTION("""COMPUTED_VALUE"""),626)</f>
        <v>626</v>
      </c>
      <c r="AL250" s="3"/>
    </row>
    <row r="251" spans="1:38" ht="13">
      <c r="A251" s="3">
        <f ca="1">IFERROR(__xludf.DUMMYFUNCTION("""COMPUTED_VALUE"""),638)</f>
        <v>638</v>
      </c>
      <c r="B251" s="3">
        <f ca="1">IFERROR(__xludf.DUMMYFUNCTION("""COMPUTED_VALUE"""),5)</f>
        <v>5</v>
      </c>
      <c r="C251" s="3">
        <f ca="1">IFERROR(__xludf.DUMMYFUNCTION("""COMPUTED_VALUE"""),4050)</f>
        <v>4050</v>
      </c>
      <c r="D251" s="3" t="str">
        <f ca="1">IFERROR(__xludf.DUMMYFUNCTION("""COMPUTED_VALUE"""),"Doorlanta")</f>
        <v>Doorlanta</v>
      </c>
      <c r="E251" s="3" t="str">
        <f ca="1">IFERROR(__xludf.DUMMYFUNCTION("""COMPUTED_VALUE"""),"Galaxy A")</f>
        <v>Galaxy A</v>
      </c>
      <c r="F251" s="3" t="str">
        <f ca="1">IFERROR(__xludf.DUMMYFUNCTION("""COMPUTED_VALUE"""),"Joe")</f>
        <v>Joe</v>
      </c>
      <c r="G251" s="3">
        <f ca="1">IFERROR(__xludf.DUMMYFUNCTION("""COMPUTED_VALUE"""),0)</f>
        <v>0</v>
      </c>
      <c r="H251" s="3" t="str">
        <f ca="1">IFERROR(__xludf.DUMMYFUNCTION("""COMPUTED_VALUE"""),"car")</f>
        <v>car</v>
      </c>
      <c r="I251" s="3" t="str">
        <f ca="1">IFERROR(__xludf.DUMMYFUNCTION("""COMPUTED_VALUE"""),"2055-06-05T22:03:25.214948Z")</f>
        <v>2055-06-05T22:03:25.214948Z</v>
      </c>
      <c r="J251" s="3" t="str">
        <f ca="1">IFERROR(__xludf.DUMMYFUNCTION("""COMPUTED_VALUE"""),"2055-06-05T22:59:15.279Z")</f>
        <v>2055-06-05T22:59:15.279Z</v>
      </c>
      <c r="K251" s="3" t="str">
        <f ca="1">IFERROR(__xludf.DUMMYFUNCTION("""COMPUTED_VALUE"""),"2055-06-05T22:49:34.279Z")</f>
        <v>2055-06-05T22:49:34.279Z</v>
      </c>
      <c r="L251" s="3">
        <f ca="1">IFERROR(__xludf.DUMMYFUNCTION("""COMPUTED_VALUE"""),1)</f>
        <v>1</v>
      </c>
      <c r="M251" s="3">
        <f ca="1">IFERROR(__xludf.DUMMYFUNCTION("""COMPUTED_VALUE"""),0)</f>
        <v>0</v>
      </c>
      <c r="N251" s="3" t="str">
        <f ca="1">IFERROR(__xludf.DUMMYFUNCTION("""COMPUTED_VALUE"""),"2055-06-05T22:33:36.323856Z")</f>
        <v>2055-06-05T22:33:36.323856Z</v>
      </c>
      <c r="O251" s="3" t="str">
        <f ca="1">IFERROR(__xludf.DUMMYFUNCTION("""COMPUTED_VALUE"""),"2055-06-05T22:40:25.129069Z")</f>
        <v>2055-06-05T22:40:25.129069Z</v>
      </c>
      <c r="P251" s="3" t="str">
        <f ca="1">IFERROR(__xludf.DUMMYFUNCTION("""COMPUTED_VALUE"""),"2055-06-05T22:04:27.447896Z")</f>
        <v>2055-06-05T22:04:27.447896Z</v>
      </c>
      <c r="Q251" s="3">
        <f ca="1">IFERROR(__xludf.DUMMYFUNCTION("""COMPUTED_VALUE"""),0)</f>
        <v>0</v>
      </c>
      <c r="R251" s="3" t="str">
        <f ca="1">IFERROR(__xludf.DUMMYFUNCTION("""COMPUTED_VALUE"""),"2055-06-05T22:04:32.855527Z")</f>
        <v>2055-06-05T22:04:32.855527Z</v>
      </c>
      <c r="S251" s="3" t="str">
        <f ca="1">IFERROR(__xludf.DUMMYFUNCTION("""COMPUTED_VALUE"""),"2055-06-05T22:32:11.95667Z")</f>
        <v>2055-06-05T22:32:11.95667Z</v>
      </c>
      <c r="T251" s="3"/>
      <c r="U251" s="4">
        <f ca="1">IFERROR(__xludf.DUMMYFUNCTION("""COMPUTED_VALUE"""),56770)</f>
        <v>56770</v>
      </c>
      <c r="V251" s="3">
        <f ca="1">IFERROR(__xludf.DUMMYFUNCTION("""COMPUTED_VALUE"""),4.7)</f>
        <v>4.7</v>
      </c>
      <c r="W251" s="3">
        <f ca="1">IFERROR(__xludf.DUMMYFUNCTION("""COMPUTED_VALUE"""),3500)</f>
        <v>3500</v>
      </c>
      <c r="X251" s="3">
        <f ca="1">IFERROR(__xludf.DUMMYFUNCTION("""COMPUTED_VALUE"""),2153)</f>
        <v>2153</v>
      </c>
      <c r="Y251" s="3">
        <f ca="1">IFERROR(__xludf.DUMMYFUNCTION("""COMPUTED_VALUE"""),1659)</f>
        <v>1659</v>
      </c>
      <c r="Z251" s="3">
        <f ca="1">IFERROR(__xludf.DUMMYFUNCTION("""COMPUTED_VALUE"""),85)</f>
        <v>85</v>
      </c>
      <c r="AA251" s="3">
        <f ca="1">IFERROR(__xludf.DUMMYFUNCTION("""COMPUTED_VALUE"""),409)</f>
        <v>409</v>
      </c>
      <c r="AB251" s="3">
        <f ca="1">IFERROR(__xludf.DUMMYFUNCTION("""COMPUTED_VALUE"""),0)</f>
        <v>0</v>
      </c>
      <c r="AC251" s="3">
        <f ca="1">IFERROR(__xludf.DUMMYFUNCTION("""COMPUTED_VALUE"""),3)</f>
        <v>3</v>
      </c>
      <c r="AD251" s="3" t="str">
        <f ca="1">IFERROR(__xludf.DUMMYFUNCTION("""COMPUTED_VALUE"""),"late")</f>
        <v>late</v>
      </c>
      <c r="AE251" s="3" t="str">
        <f ca="1">IFERROR(__xludf.DUMMYFUNCTION("""COMPUTED_VALUE"""),"2055-06-05T18:33:36.323856Z")</f>
        <v>2055-06-05T18:33:36.323856Z</v>
      </c>
      <c r="AF251" s="3" t="str">
        <f ca="1">IFERROR(__xludf.DUMMYFUNCTION("""COMPUTED_VALUE"""),"2055-06-05T18:40:25.129069Z")</f>
        <v>2055-06-05T18:40:25.129069Z</v>
      </c>
      <c r="AG251" s="3" t="str">
        <f ca="1">IFERROR(__xludf.DUMMYFUNCTION("""COMPUTED_VALUE"""),"2055-06-05T18:04:27.447896Z")</f>
        <v>2055-06-05T18:04:27.447896Z</v>
      </c>
      <c r="AH251" s="3" t="str">
        <f ca="1">IFERROR(__xludf.DUMMYFUNCTION("""COMPUTED_VALUE"""),"2055-06-05T18:32:11.95667Z")</f>
        <v>2055-06-05T18:32:11.95667Z</v>
      </c>
      <c r="AI251" s="3">
        <f ca="1">IFERROR(__xludf.DUMMYFUNCTION("""COMPUTED_VALUE"""),4.38)</f>
        <v>4.38</v>
      </c>
      <c r="AJ251" s="3">
        <f ca="1">IFERROR(__xludf.DUMMYFUNCTION("""COMPUTED_VALUE"""),196)</f>
        <v>196</v>
      </c>
      <c r="AK251" s="3">
        <f ca="1">IFERROR(__xludf.DUMMYFUNCTION("""COMPUTED_VALUE"""),626)</f>
        <v>626</v>
      </c>
      <c r="AL251" s="3"/>
    </row>
    <row r="252" spans="1:38" ht="13">
      <c r="A252" s="3">
        <f ca="1">IFERROR(__xludf.DUMMYFUNCTION("""COMPUTED_VALUE"""),86)</f>
        <v>86</v>
      </c>
      <c r="B252" s="3"/>
      <c r="C252" s="3">
        <f ca="1">IFERROR(__xludf.DUMMYFUNCTION("""COMPUTED_VALUE"""),4050)</f>
        <v>4050</v>
      </c>
      <c r="D252" s="3" t="str">
        <f ca="1">IFERROR(__xludf.DUMMYFUNCTION("""COMPUTED_VALUE"""),"Doorlanta")</f>
        <v>Doorlanta</v>
      </c>
      <c r="E252" s="3" t="str">
        <f ca="1">IFERROR(__xludf.DUMMYFUNCTION("""COMPUTED_VALUE"""),"Galaxy A")</f>
        <v>Galaxy A</v>
      </c>
      <c r="F252" s="3" t="str">
        <f ca="1">IFERROR(__xludf.DUMMYFUNCTION("""COMPUTED_VALUE"""),"Merissa")</f>
        <v>Merissa</v>
      </c>
      <c r="G252" s="3">
        <f ca="1">IFERROR(__xludf.DUMMYFUNCTION("""COMPUTED_VALUE"""),0)</f>
        <v>0</v>
      </c>
      <c r="H252" s="3" t="str">
        <f ca="1">IFERROR(__xludf.DUMMYFUNCTION("""COMPUTED_VALUE"""),"car")</f>
        <v>car</v>
      </c>
      <c r="I252" s="3" t="str">
        <f ca="1">IFERROR(__xludf.DUMMYFUNCTION("""COMPUTED_VALUE"""),"2055-06-01T23:45:02.488825Z")</f>
        <v>2055-06-01T23:45:02.488825Z</v>
      </c>
      <c r="J252" s="3" t="str">
        <f ca="1">IFERROR(__xludf.DUMMYFUNCTION("""COMPUTED_VALUE"""),"2055-06-02T00:35:02.799Z")</f>
        <v>2055-06-02T00:35:02.799Z</v>
      </c>
      <c r="K252" s="3" t="str">
        <f ca="1">IFERROR(__xludf.DUMMYFUNCTION("""COMPUTED_VALUE"""),"2055-06-02T00:19:45.799Z")</f>
        <v>2055-06-02T00:19:45.799Z</v>
      </c>
      <c r="L252" s="3">
        <f ca="1">IFERROR(__xludf.DUMMYFUNCTION("""COMPUTED_VALUE"""),1)</f>
        <v>1</v>
      </c>
      <c r="M252" s="3">
        <f ca="1">IFERROR(__xludf.DUMMYFUNCTION("""COMPUTED_VALUE"""),0)</f>
        <v>0</v>
      </c>
      <c r="N252" s="3" t="str">
        <f ca="1">IFERROR(__xludf.DUMMYFUNCTION("""COMPUTED_VALUE"""),"2055-06-02T00:17:55.562798Z")</f>
        <v>2055-06-02T00:17:55.562798Z</v>
      </c>
      <c r="O252" s="3" t="str">
        <f ca="1">IFERROR(__xludf.DUMMYFUNCTION("""COMPUTED_VALUE"""),"2055-06-02T00:31:22.469046Z")</f>
        <v>2055-06-02T00:31:22.469046Z</v>
      </c>
      <c r="P252" s="3" t="str">
        <f ca="1">IFERROR(__xludf.DUMMYFUNCTION("""COMPUTED_VALUE"""),"2055-06-01T23:50:52.737096Z")</f>
        <v>2055-06-01T23:50:52.737096Z</v>
      </c>
      <c r="Q252" s="3">
        <f ca="1">IFERROR(__xludf.DUMMYFUNCTION("""COMPUTED_VALUE"""),1)</f>
        <v>1</v>
      </c>
      <c r="R252" s="3" t="str">
        <f ca="1">IFERROR(__xludf.DUMMYFUNCTION("""COMPUTED_VALUE"""),"2055-06-01T23:51:03.069622Z")</f>
        <v>2055-06-01T23:51:03.069622Z</v>
      </c>
      <c r="S252" s="3" t="str">
        <f ca="1">IFERROR(__xludf.DUMMYFUNCTION("""COMPUTED_VALUE"""),"2055-06-02T00:11:42.160769Z")</f>
        <v>2055-06-02T00:11:42.160769Z</v>
      </c>
      <c r="T252" s="3"/>
      <c r="U252" s="4">
        <f ca="1">IFERROR(__xludf.DUMMYFUNCTION("""COMPUTED_VALUE"""),56766)</f>
        <v>56766</v>
      </c>
      <c r="V252" s="3">
        <f ca="1">IFERROR(__xludf.DUMMYFUNCTION("""COMPUTED_VALUE"""),4.7)</f>
        <v>4.7</v>
      </c>
      <c r="W252" s="3">
        <f ca="1">IFERROR(__xludf.DUMMYFUNCTION("""COMPUTED_VALUE"""),3500)</f>
        <v>3500</v>
      </c>
      <c r="X252" s="3">
        <f ca="1">IFERROR(__xludf.DUMMYFUNCTION("""COMPUTED_VALUE"""),2419)</f>
        <v>2419</v>
      </c>
      <c r="Y252" s="3">
        <f ca="1">IFERROR(__xludf.DUMMYFUNCTION("""COMPUTED_VALUE"""),1239)</f>
        <v>1239</v>
      </c>
      <c r="Z252" s="3">
        <f ca="1">IFERROR(__xludf.DUMMYFUNCTION("""COMPUTED_VALUE"""),373)</f>
        <v>373</v>
      </c>
      <c r="AA252" s="3">
        <f ca="1">IFERROR(__xludf.DUMMYFUNCTION("""COMPUTED_VALUE"""),807)</f>
        <v>807</v>
      </c>
      <c r="AB252" s="3">
        <f ca="1">IFERROR(__xludf.DUMMYFUNCTION("""COMPUTED_VALUE"""),0)</f>
        <v>0</v>
      </c>
      <c r="AC252" s="3">
        <f ca="1">IFERROR(__xludf.DUMMYFUNCTION("""COMPUTED_VALUE"""),2)</f>
        <v>2</v>
      </c>
      <c r="AD252" s="3" t="str">
        <f ca="1">IFERROR(__xludf.DUMMYFUNCTION("""COMPUTED_VALUE"""),"late")</f>
        <v>late</v>
      </c>
      <c r="AE252" s="3" t="str">
        <f ca="1">IFERROR(__xludf.DUMMYFUNCTION("""COMPUTED_VALUE"""),"2055-06-01T20:17:55.562798Z")</f>
        <v>2055-06-01T20:17:55.562798Z</v>
      </c>
      <c r="AF252" s="3" t="str">
        <f ca="1">IFERROR(__xludf.DUMMYFUNCTION("""COMPUTED_VALUE"""),"2055-06-01T20:31:22.469046Z")</f>
        <v>2055-06-01T20:31:22.469046Z</v>
      </c>
      <c r="AG252" s="3" t="str">
        <f ca="1">IFERROR(__xludf.DUMMYFUNCTION("""COMPUTED_VALUE"""),"2055-06-01T19:50:52.737096Z")</f>
        <v>2055-06-01T19:50:52.737096Z</v>
      </c>
      <c r="AH252" s="3" t="str">
        <f ca="1">IFERROR(__xludf.DUMMYFUNCTION("""COMPUTED_VALUE"""),"2055-06-01T20:11:42.160769Z")</f>
        <v>2055-06-01T20:11:42.160769Z</v>
      </c>
      <c r="AI252" s="3">
        <f ca="1">IFERROR(__xludf.DUMMYFUNCTION("""COMPUTED_VALUE"""),4.58)</f>
        <v>4.58</v>
      </c>
      <c r="AJ252" s="3">
        <f ca="1">IFERROR(__xludf.DUMMYFUNCTION("""COMPUTED_VALUE"""),679)</f>
        <v>679</v>
      </c>
      <c r="AK252" s="3">
        <f ca="1">IFERROR(__xludf.DUMMYFUNCTION("""COMPUTED_VALUE"""),2371)</f>
        <v>2371</v>
      </c>
      <c r="AL252" s="3">
        <f ca="1">IFERROR(__xludf.DUMMYFUNCTION("""COMPUTED_VALUE"""),1830)</f>
        <v>1830</v>
      </c>
    </row>
    <row r="253" spans="1:38" ht="13">
      <c r="A253" s="3">
        <f ca="1">IFERROR(__xludf.DUMMYFUNCTION("""COMPUTED_VALUE"""),468)</f>
        <v>468</v>
      </c>
      <c r="B253" s="3"/>
      <c r="C253" s="3">
        <f ca="1">IFERROR(__xludf.DUMMYFUNCTION("""COMPUTED_VALUE"""),4001)</f>
        <v>4001</v>
      </c>
      <c r="D253" s="3" t="str">
        <f ca="1">IFERROR(__xludf.DUMMYFUNCTION("""COMPUTED_VALUE"""),"Dashattan")</f>
        <v>Dashattan</v>
      </c>
      <c r="E253" s="3" t="str">
        <f ca="1">IFERROR(__xludf.DUMMYFUNCTION("""COMPUTED_VALUE"""),"Galaxy A")</f>
        <v>Galaxy A</v>
      </c>
      <c r="F253" s="3" t="str">
        <f ca="1">IFERROR(__xludf.DUMMYFUNCTION("""COMPUTED_VALUE"""),"Arya")</f>
        <v>Arya</v>
      </c>
      <c r="G253" s="3">
        <f ca="1">IFERROR(__xludf.DUMMYFUNCTION("""COMPUTED_VALUE"""),0)</f>
        <v>0</v>
      </c>
      <c r="H253" s="3" t="str">
        <f ca="1">IFERROR(__xludf.DUMMYFUNCTION("""COMPUTED_VALUE"""),"bicycle")</f>
        <v>bicycle</v>
      </c>
      <c r="I253" s="3" t="str">
        <f ca="1">IFERROR(__xludf.DUMMYFUNCTION("""COMPUTED_VALUE"""),"2055-06-04T22:36:42.228592Z")</f>
        <v>2055-06-04T22:36:42.228592Z</v>
      </c>
      <c r="J253" s="3" t="str">
        <f ca="1">IFERROR(__xludf.DUMMYFUNCTION("""COMPUTED_VALUE"""),"2055-06-04T23:09:54.293Z")</f>
        <v>2055-06-04T23:09:54.293Z</v>
      </c>
      <c r="K253" s="3" t="str">
        <f ca="1">IFERROR(__xludf.DUMMYFUNCTION("""COMPUTED_VALUE"""),"2055-06-04T23:06:01.293Z")</f>
        <v>2055-06-04T23:06:01.293Z</v>
      </c>
      <c r="L253" s="3">
        <f ca="1">IFERROR(__xludf.DUMMYFUNCTION("""COMPUTED_VALUE"""),1)</f>
        <v>1</v>
      </c>
      <c r="M253" s="3">
        <f ca="1">IFERROR(__xludf.DUMMYFUNCTION("""COMPUTED_VALUE"""),0)</f>
        <v>0</v>
      </c>
      <c r="N253" s="3" t="str">
        <f ca="1">IFERROR(__xludf.DUMMYFUNCTION("""COMPUTED_VALUE"""),"2055-06-04T23:08:50.555813Z")</f>
        <v>2055-06-04T23:08:50.555813Z</v>
      </c>
      <c r="O253" s="3" t="str">
        <f ca="1">IFERROR(__xludf.DUMMYFUNCTION("""COMPUTED_VALUE"""),"2055-06-04T23:26:42.840569Z")</f>
        <v>2055-06-04T23:26:42.840569Z</v>
      </c>
      <c r="P253" s="3" t="str">
        <f ca="1">IFERROR(__xludf.DUMMYFUNCTION("""COMPUTED_VALUE"""),"2055-06-04T22:40:14.762309Z")</f>
        <v>2055-06-04T22:40:14.762309Z</v>
      </c>
      <c r="Q253" s="3">
        <f ca="1">IFERROR(__xludf.DUMMYFUNCTION("""COMPUTED_VALUE"""),0)</f>
        <v>0</v>
      </c>
      <c r="R253" s="3" t="str">
        <f ca="1">IFERROR(__xludf.DUMMYFUNCTION("""COMPUTED_VALUE"""),"2055-06-04T22:40:24.741473Z")</f>
        <v>2055-06-04T22:40:24.741473Z</v>
      </c>
      <c r="S253" s="3" t="str">
        <f ca="1">IFERROR(__xludf.DUMMYFUNCTION("""COMPUTED_VALUE"""),"2055-06-04T23:21:54.315556Z")</f>
        <v>2055-06-04T23:21:54.315556Z</v>
      </c>
      <c r="T253" s="3"/>
      <c r="U253" s="4">
        <f ca="1">IFERROR(__xludf.DUMMYFUNCTION("""COMPUTED_VALUE"""),56769)</f>
        <v>56769</v>
      </c>
      <c r="V253" s="3">
        <f ca="1">IFERROR(__xludf.DUMMYFUNCTION("""COMPUTED_VALUE"""),3.7)</f>
        <v>3.7</v>
      </c>
      <c r="W253" s="3">
        <f ca="1">IFERROR(__xludf.DUMMYFUNCTION("""COMPUTED_VALUE"""),3500)</f>
        <v>3500</v>
      </c>
      <c r="X253" s="3">
        <f ca="1">IFERROR(__xludf.DUMMYFUNCTION("""COMPUTED_VALUE"""),2778)</f>
        <v>2778</v>
      </c>
      <c r="Y253" s="3">
        <f ca="1">IFERROR(__xludf.DUMMYFUNCTION("""COMPUTED_VALUE"""),2490)</f>
        <v>2490</v>
      </c>
      <c r="Z253" s="3"/>
      <c r="AA253" s="3">
        <f ca="1">IFERROR(__xludf.DUMMYFUNCTION("""COMPUTED_VALUE"""),1072)</f>
        <v>1072</v>
      </c>
      <c r="AB253" s="3">
        <f ca="1">IFERROR(__xludf.DUMMYFUNCTION("""COMPUTED_VALUE"""),0)</f>
        <v>0</v>
      </c>
      <c r="AC253" s="3">
        <f ca="1">IFERROR(__xludf.DUMMYFUNCTION("""COMPUTED_VALUE"""),2)</f>
        <v>2</v>
      </c>
      <c r="AD253" s="3" t="str">
        <f ca="1">IFERROR(__xludf.DUMMYFUNCTION("""COMPUTED_VALUE"""),"late")</f>
        <v>late</v>
      </c>
      <c r="AE253" s="3" t="str">
        <f ca="1">IFERROR(__xludf.DUMMYFUNCTION("""COMPUTED_VALUE"""),"2055-06-04T19:08:50.555813Z")</f>
        <v>2055-06-04T19:08:50.555813Z</v>
      </c>
      <c r="AF253" s="3" t="str">
        <f ca="1">IFERROR(__xludf.DUMMYFUNCTION("""COMPUTED_VALUE"""),"2055-06-04T19:26:42.840569Z")</f>
        <v>2055-06-04T19:26:42.840569Z</v>
      </c>
      <c r="AG253" s="3" t="str">
        <f ca="1">IFERROR(__xludf.DUMMYFUNCTION("""COMPUTED_VALUE"""),"2055-06-04T18:40:14.762309Z")</f>
        <v>2055-06-04T18:40:14.762309Z</v>
      </c>
      <c r="AH253" s="3" t="str">
        <f ca="1">IFERROR(__xludf.DUMMYFUNCTION("""COMPUTED_VALUE"""),"2055-06-04T19:21:54.315556Z")</f>
        <v>2055-06-04T19:21:54.315556Z</v>
      </c>
      <c r="AI253" s="3">
        <f ca="1">IFERROR(__xludf.DUMMYFUNCTION("""COMPUTED_VALUE"""),4.17)</f>
        <v>4.17</v>
      </c>
      <c r="AJ253" s="3">
        <f ca="1">IFERROR(__xludf.DUMMYFUNCTION("""COMPUTED_VALUE"""),457)</f>
        <v>457</v>
      </c>
      <c r="AK253" s="3">
        <f ca="1">IFERROR(__xludf.DUMMYFUNCTION("""COMPUTED_VALUE"""),1599)</f>
        <v>1599</v>
      </c>
      <c r="AL253" s="3"/>
    </row>
    <row r="254" spans="1:38" ht="13">
      <c r="A254" s="3">
        <f ca="1">IFERROR(__xludf.DUMMYFUNCTION("""COMPUTED_VALUE"""),626)</f>
        <v>626</v>
      </c>
      <c r="B254" s="3"/>
      <c r="C254" s="3">
        <f ca="1">IFERROR(__xludf.DUMMYFUNCTION("""COMPUTED_VALUE"""),4050)</f>
        <v>4050</v>
      </c>
      <c r="D254" s="3" t="str">
        <f ca="1">IFERROR(__xludf.DUMMYFUNCTION("""COMPUTED_VALUE"""),"Doorlanta")</f>
        <v>Doorlanta</v>
      </c>
      <c r="E254" s="3" t="str">
        <f ca="1">IFERROR(__xludf.DUMMYFUNCTION("""COMPUTED_VALUE"""),"Galaxy A")</f>
        <v>Galaxy A</v>
      </c>
      <c r="F254" s="3" t="str">
        <f ca="1">IFERROR(__xludf.DUMMYFUNCTION("""COMPUTED_VALUE"""),"Elon")</f>
        <v>Elon</v>
      </c>
      <c r="G254" s="3">
        <f ca="1">IFERROR(__xludf.DUMMYFUNCTION("""COMPUTED_VALUE"""),0)</f>
        <v>0</v>
      </c>
      <c r="H254" s="3" t="str">
        <f ca="1">IFERROR(__xludf.DUMMYFUNCTION("""COMPUTED_VALUE"""),"car")</f>
        <v>car</v>
      </c>
      <c r="I254" s="3" t="str">
        <f ca="1">IFERROR(__xludf.DUMMYFUNCTION("""COMPUTED_VALUE"""),"2055-06-05T21:39:46.67544Z")</f>
        <v>2055-06-05T21:39:46.67544Z</v>
      </c>
      <c r="J254" s="3" t="str">
        <f ca="1">IFERROR(__xludf.DUMMYFUNCTION("""COMPUTED_VALUE"""),"2055-06-05T22:34:46.748Z")</f>
        <v>2055-06-05T22:34:46.748Z</v>
      </c>
      <c r="K254" s="3" t="str">
        <f ca="1">IFERROR(__xludf.DUMMYFUNCTION("""COMPUTED_VALUE"""),"2055-06-05T22:09:38.748Z")</f>
        <v>2055-06-05T22:09:38.748Z</v>
      </c>
      <c r="L254" s="3">
        <f ca="1">IFERROR(__xludf.DUMMYFUNCTION("""COMPUTED_VALUE"""),1)</f>
        <v>1</v>
      </c>
      <c r="M254" s="3">
        <f ca="1">IFERROR(__xludf.DUMMYFUNCTION("""COMPUTED_VALUE"""),0)</f>
        <v>0</v>
      </c>
      <c r="N254" s="3" t="str">
        <f ca="1">IFERROR(__xludf.DUMMYFUNCTION("""COMPUTED_VALUE"""),"2055-06-05T21:54:20.086468Z")</f>
        <v>2055-06-05T21:54:20.086468Z</v>
      </c>
      <c r="O254" s="3" t="str">
        <f ca="1">IFERROR(__xludf.DUMMYFUNCTION("""COMPUTED_VALUE"""),"2055-06-05T22:03:15.750475Z")</f>
        <v>2055-06-05T22:03:15.750475Z</v>
      </c>
      <c r="P254" s="3" t="str">
        <f ca="1">IFERROR(__xludf.DUMMYFUNCTION("""COMPUTED_VALUE"""),"2055-06-05T21:40:07.340484Z")</f>
        <v>2055-06-05T21:40:07.340484Z</v>
      </c>
      <c r="Q254" s="3">
        <f ca="1">IFERROR(__xludf.DUMMYFUNCTION("""COMPUTED_VALUE"""),0)</f>
        <v>0</v>
      </c>
      <c r="R254" s="3" t="str">
        <f ca="1">IFERROR(__xludf.DUMMYFUNCTION("""COMPUTED_VALUE"""),"2055-06-05T21:40:54.805858Z")</f>
        <v>2055-06-05T21:40:54.805858Z</v>
      </c>
      <c r="S254" s="3" t="str">
        <f ca="1">IFERROR(__xludf.DUMMYFUNCTION("""COMPUTED_VALUE"""),"2055-06-05T21:43:57.96139Z")</f>
        <v>2055-06-05T21:43:57.96139Z</v>
      </c>
      <c r="T254" s="3"/>
      <c r="U254" s="4">
        <f ca="1">IFERROR(__xludf.DUMMYFUNCTION("""COMPUTED_VALUE"""),56770)</f>
        <v>56770</v>
      </c>
      <c r="V254" s="3">
        <f ca="1">IFERROR(__xludf.DUMMYFUNCTION("""COMPUTED_VALUE"""),4.5)</f>
        <v>4.5</v>
      </c>
      <c r="W254" s="3">
        <f ca="1">IFERROR(__xludf.DUMMYFUNCTION("""COMPUTED_VALUE"""),3500)</f>
        <v>3500</v>
      </c>
      <c r="X254" s="3">
        <f ca="1">IFERROR(__xludf.DUMMYFUNCTION("""COMPUTED_VALUE"""),1341)</f>
        <v>1341</v>
      </c>
      <c r="Y254" s="3">
        <f ca="1">IFERROR(__xludf.DUMMYFUNCTION("""COMPUTED_VALUE"""),183)</f>
        <v>183</v>
      </c>
      <c r="Z254" s="3">
        <f ca="1">IFERROR(__xludf.DUMMYFUNCTION("""COMPUTED_VALUE"""),623)</f>
        <v>623</v>
      </c>
      <c r="AA254" s="3">
        <f ca="1">IFERROR(__xludf.DUMMYFUNCTION("""COMPUTED_VALUE"""),535)</f>
        <v>535</v>
      </c>
      <c r="AB254" s="3">
        <f ca="1">IFERROR(__xludf.DUMMYFUNCTION("""COMPUTED_VALUE"""),0)</f>
        <v>0</v>
      </c>
      <c r="AC254" s="3">
        <f ca="1">IFERROR(__xludf.DUMMYFUNCTION("""COMPUTED_VALUE"""),5)</f>
        <v>5</v>
      </c>
      <c r="AD254" s="3" t="str">
        <f ca="1">IFERROR(__xludf.DUMMYFUNCTION("""COMPUTED_VALUE"""),"early")</f>
        <v>early</v>
      </c>
      <c r="AE254" s="3" t="str">
        <f ca="1">IFERROR(__xludf.DUMMYFUNCTION("""COMPUTED_VALUE"""),"2055-06-05T17:54:20.086468Z")</f>
        <v>2055-06-05T17:54:20.086468Z</v>
      </c>
      <c r="AF254" s="3" t="str">
        <f ca="1">IFERROR(__xludf.DUMMYFUNCTION("""COMPUTED_VALUE"""),"2055-06-05T18:03:15.750475Z")</f>
        <v>2055-06-05T18:03:15.750475Z</v>
      </c>
      <c r="AG254" s="3" t="str">
        <f ca="1">IFERROR(__xludf.DUMMYFUNCTION("""COMPUTED_VALUE"""),"2055-06-05T17:40:07.340484Z")</f>
        <v>2055-06-05T17:40:07.340484Z</v>
      </c>
      <c r="AH254" s="3" t="str">
        <f ca="1">IFERROR(__xludf.DUMMYFUNCTION("""COMPUTED_VALUE"""),"2055-06-05T17:43:57.96139Z")</f>
        <v>2055-06-05T17:43:57.96139Z</v>
      </c>
      <c r="AI254" s="3">
        <f ca="1">IFERROR(__xludf.DUMMYFUNCTION("""COMPUTED_VALUE"""),4.62)</f>
        <v>4.62</v>
      </c>
      <c r="AJ254" s="3">
        <f ca="1">IFERROR(__xludf.DUMMYFUNCTION("""COMPUTED_VALUE"""),259)</f>
        <v>259</v>
      </c>
      <c r="AK254" s="3">
        <f ca="1">IFERROR(__xludf.DUMMYFUNCTION("""COMPUTED_VALUE"""),604)</f>
        <v>604</v>
      </c>
      <c r="AL254" s="3">
        <f ca="1">IFERROR(__xludf.DUMMYFUNCTION("""COMPUTED_VALUE"""),21)</f>
        <v>21</v>
      </c>
    </row>
    <row r="255" spans="1:38" ht="13">
      <c r="A255" s="3">
        <f ca="1">IFERROR(__xludf.DUMMYFUNCTION("""COMPUTED_VALUE"""),938)</f>
        <v>938</v>
      </c>
      <c r="B255" s="3"/>
      <c r="C255" s="3">
        <f ca="1">IFERROR(__xludf.DUMMYFUNCTION("""COMPUTED_VALUE"""),4050)</f>
        <v>4050</v>
      </c>
      <c r="D255" s="3" t="str">
        <f ca="1">IFERROR(__xludf.DUMMYFUNCTION("""COMPUTED_VALUE"""),"Doorlanta")</f>
        <v>Doorlanta</v>
      </c>
      <c r="E255" s="3" t="str">
        <f ca="1">IFERROR(__xludf.DUMMYFUNCTION("""COMPUTED_VALUE"""),"Galaxy A")</f>
        <v>Galaxy A</v>
      </c>
      <c r="F255" s="3" t="str">
        <f ca="1">IFERROR(__xludf.DUMMYFUNCTION("""COMPUTED_VALUE"""),"Cate")</f>
        <v>Cate</v>
      </c>
      <c r="G255" s="3">
        <f ca="1">IFERROR(__xludf.DUMMYFUNCTION("""COMPUTED_VALUE"""),0)</f>
        <v>0</v>
      </c>
      <c r="H255" s="3" t="str">
        <f ca="1">IFERROR(__xludf.DUMMYFUNCTION("""COMPUTED_VALUE"""),"car")</f>
        <v>car</v>
      </c>
      <c r="I255" s="3" t="str">
        <f ca="1">IFERROR(__xludf.DUMMYFUNCTION("""COMPUTED_VALUE"""),"2055-06-08T16:00:31.291013Z")</f>
        <v>2055-06-08T16:00:31.291013Z</v>
      </c>
      <c r="J255" s="3" t="str">
        <f ca="1">IFERROR(__xludf.DUMMYFUNCTION("""COMPUTED_VALUE"""),"2055-06-08T16:55:31.442Z")</f>
        <v>2055-06-08T16:55:31.442Z</v>
      </c>
      <c r="K255" s="3" t="str">
        <f ca="1">IFERROR(__xludf.DUMMYFUNCTION("""COMPUTED_VALUE"""),"2055-06-08T16:27:39.442Z")</f>
        <v>2055-06-08T16:27:39.442Z</v>
      </c>
      <c r="L255" s="3">
        <f ca="1">IFERROR(__xludf.DUMMYFUNCTION("""COMPUTED_VALUE"""),1)</f>
        <v>1</v>
      </c>
      <c r="M255" s="3">
        <f ca="1">IFERROR(__xludf.DUMMYFUNCTION("""COMPUTED_VALUE"""),0)</f>
        <v>0</v>
      </c>
      <c r="N255" s="3" t="str">
        <f ca="1">IFERROR(__xludf.DUMMYFUNCTION("""COMPUTED_VALUE"""),"2055-06-08T16:39:41.095537Z")</f>
        <v>2055-06-08T16:39:41.095537Z</v>
      </c>
      <c r="O255" s="3" t="str">
        <f ca="1">IFERROR(__xludf.DUMMYFUNCTION("""COMPUTED_VALUE"""),"2055-06-08T16:46:29.129348Z")</f>
        <v>2055-06-08T16:46:29.129348Z</v>
      </c>
      <c r="P255" s="3" t="str">
        <f ca="1">IFERROR(__xludf.DUMMYFUNCTION("""COMPUTED_VALUE"""),"2055-06-08T16:00:47.290047Z")</f>
        <v>2055-06-08T16:00:47.290047Z</v>
      </c>
      <c r="Q255" s="3">
        <f ca="1">IFERROR(__xludf.DUMMYFUNCTION("""COMPUTED_VALUE"""),0)</f>
        <v>0</v>
      </c>
      <c r="R255" s="3" t="str">
        <f ca="1">IFERROR(__xludf.DUMMYFUNCTION("""COMPUTED_VALUE"""),"2055-06-08T16:00:56.454278Z")</f>
        <v>2055-06-08T16:00:56.454278Z</v>
      </c>
      <c r="S255" s="3" t="str">
        <f ca="1">IFERROR(__xludf.DUMMYFUNCTION("""COMPUTED_VALUE"""),"2055-06-08T16:21:46.888568Z")</f>
        <v>2055-06-08T16:21:46.888568Z</v>
      </c>
      <c r="T255" s="3"/>
      <c r="U255" s="4">
        <f ca="1">IFERROR(__xludf.DUMMYFUNCTION("""COMPUTED_VALUE"""),56773)</f>
        <v>56773</v>
      </c>
      <c r="V255" s="3">
        <f ca="1">IFERROR(__xludf.DUMMYFUNCTION("""COMPUTED_VALUE"""),4.6)</f>
        <v>4.5999999999999996</v>
      </c>
      <c r="W255" s="3">
        <f ca="1">IFERROR(__xludf.DUMMYFUNCTION("""COMPUTED_VALUE"""),3500)</f>
        <v>3500</v>
      </c>
      <c r="X255" s="3">
        <f ca="1">IFERROR(__xludf.DUMMYFUNCTION("""COMPUTED_VALUE"""),2733)</f>
        <v>2733</v>
      </c>
      <c r="Y255" s="3">
        <f ca="1">IFERROR(__xludf.DUMMYFUNCTION("""COMPUTED_VALUE"""),1250)</f>
        <v>1250</v>
      </c>
      <c r="Z255" s="3">
        <f ca="1">IFERROR(__xludf.DUMMYFUNCTION("""COMPUTED_VALUE"""),1075)</f>
        <v>1075</v>
      </c>
      <c r="AA255" s="3">
        <f ca="1">IFERROR(__xludf.DUMMYFUNCTION("""COMPUTED_VALUE"""),408)</f>
        <v>408</v>
      </c>
      <c r="AB255" s="3">
        <f ca="1">IFERROR(__xludf.DUMMYFUNCTION("""COMPUTED_VALUE"""),0)</f>
        <v>0</v>
      </c>
      <c r="AC255" s="3">
        <f ca="1">IFERROR(__xludf.DUMMYFUNCTION("""COMPUTED_VALUE"""),3)</f>
        <v>3</v>
      </c>
      <c r="AD255" s="3"/>
      <c r="AE255" s="3" t="str">
        <f ca="1">IFERROR(__xludf.DUMMYFUNCTION("""COMPUTED_VALUE"""),"2055-06-08T12:39:41.095537Z")</f>
        <v>2055-06-08T12:39:41.095537Z</v>
      </c>
      <c r="AF255" s="3" t="str">
        <f ca="1">IFERROR(__xludf.DUMMYFUNCTION("""COMPUTED_VALUE"""),"2055-06-08T12:46:29.129348Z")</f>
        <v>2055-06-08T12:46:29.129348Z</v>
      </c>
      <c r="AG255" s="3" t="str">
        <f ca="1">IFERROR(__xludf.DUMMYFUNCTION("""COMPUTED_VALUE"""),"2055-06-08T12:00:47.290047Z")</f>
        <v>2055-06-08T12:00:47.290047Z</v>
      </c>
      <c r="AH255" s="3" t="str">
        <f ca="1">IFERROR(__xludf.DUMMYFUNCTION("""COMPUTED_VALUE"""),"2055-06-08T12:21:46.888568Z")</f>
        <v>2055-06-08T12:21:46.888568Z</v>
      </c>
      <c r="AI255" s="3">
        <f ca="1">IFERROR(__xludf.DUMMYFUNCTION("""COMPUTED_VALUE"""),4.49)</f>
        <v>4.49</v>
      </c>
      <c r="AJ255" s="3">
        <f ca="1">IFERROR(__xludf.DUMMYFUNCTION("""COMPUTED_VALUE"""),2315)</f>
        <v>2315</v>
      </c>
      <c r="AK255" s="3">
        <f ca="1">IFERROR(__xludf.DUMMYFUNCTION("""COMPUTED_VALUE"""),7039)</f>
        <v>7039</v>
      </c>
      <c r="AL255" s="3">
        <f ca="1">IFERROR(__xludf.DUMMYFUNCTION("""COMPUTED_VALUE"""),763)</f>
        <v>763</v>
      </c>
    </row>
    <row r="256" spans="1:38" ht="13">
      <c r="A256" s="3">
        <f ca="1">IFERROR(__xludf.DUMMYFUNCTION("""COMPUTED_VALUE"""),1152)</f>
        <v>1152</v>
      </c>
      <c r="B256" s="3">
        <f ca="1">IFERROR(__xludf.DUMMYFUNCTION("""COMPUTED_VALUE"""),5)</f>
        <v>5</v>
      </c>
      <c r="C256" s="3">
        <f ca="1">IFERROR(__xludf.DUMMYFUNCTION("""COMPUTED_VALUE"""),4001)</f>
        <v>4001</v>
      </c>
      <c r="D256" s="3" t="str">
        <f ca="1">IFERROR(__xludf.DUMMYFUNCTION("""COMPUTED_VALUE"""),"Dashattan")</f>
        <v>Dashattan</v>
      </c>
      <c r="E256" s="3" t="str">
        <f ca="1">IFERROR(__xludf.DUMMYFUNCTION("""COMPUTED_VALUE"""),"Galaxy A")</f>
        <v>Galaxy A</v>
      </c>
      <c r="F256" s="3" t="str">
        <f ca="1">IFERROR(__xludf.DUMMYFUNCTION("""COMPUTED_VALUE"""),"Sean")</f>
        <v>Sean</v>
      </c>
      <c r="G256" s="3">
        <f ca="1">IFERROR(__xludf.DUMMYFUNCTION("""COMPUTED_VALUE"""),0)</f>
        <v>0</v>
      </c>
      <c r="H256" s="3" t="str">
        <f ca="1">IFERROR(__xludf.DUMMYFUNCTION("""COMPUTED_VALUE"""),"bicycle")</f>
        <v>bicycle</v>
      </c>
      <c r="I256" s="3" t="str">
        <f ca="1">IFERROR(__xludf.DUMMYFUNCTION("""COMPUTED_VALUE"""),"2055-06-10T18:24:07.586218Z")</f>
        <v>2055-06-10T18:24:07.586218Z</v>
      </c>
      <c r="J256" s="3" t="str">
        <f ca="1">IFERROR(__xludf.DUMMYFUNCTION("""COMPUTED_VALUE"""),"2055-06-10T19:40:17.641Z")</f>
        <v>2055-06-10T19:40:17.641Z</v>
      </c>
      <c r="K256" s="3" t="str">
        <f ca="1">IFERROR(__xludf.DUMMYFUNCTION("""COMPUTED_VALUE"""),"2055-06-10T19:21:24.641Z")</f>
        <v>2055-06-10T19:21:24.641Z</v>
      </c>
      <c r="L256" s="3">
        <f ca="1">IFERROR(__xludf.DUMMYFUNCTION("""COMPUTED_VALUE"""),1)</f>
        <v>1</v>
      </c>
      <c r="M256" s="3">
        <f ca="1">IFERROR(__xludf.DUMMYFUNCTION("""COMPUTED_VALUE"""),0)</f>
        <v>0</v>
      </c>
      <c r="N256" s="3" t="str">
        <f ca="1">IFERROR(__xludf.DUMMYFUNCTION("""COMPUTED_VALUE"""),"2055-06-10T18:33:20.231905Z")</f>
        <v>2055-06-10T18:33:20.231905Z</v>
      </c>
      <c r="O256" s="3" t="str">
        <f ca="1">IFERROR(__xludf.DUMMYFUNCTION("""COMPUTED_VALUE"""),"2055-06-10T18:44:51.043145Z")</f>
        <v>2055-06-10T18:44:51.043145Z</v>
      </c>
      <c r="P256" s="3" t="str">
        <f ca="1">IFERROR(__xludf.DUMMYFUNCTION("""COMPUTED_VALUE"""),"2055-06-10T18:24:14.195874Z")</f>
        <v>2055-06-10T18:24:14.195874Z</v>
      </c>
      <c r="Q256" s="3">
        <f ca="1">IFERROR(__xludf.DUMMYFUNCTION("""COMPUTED_VALUE"""),0)</f>
        <v>0</v>
      </c>
      <c r="R256" s="3" t="str">
        <f ca="1">IFERROR(__xludf.DUMMYFUNCTION("""COMPUTED_VALUE"""),"2055-06-10T18:24:30.074176Z")</f>
        <v>2055-06-10T18:24:30.074176Z</v>
      </c>
      <c r="S256" s="3" t="str">
        <f ca="1">IFERROR(__xludf.DUMMYFUNCTION("""COMPUTED_VALUE"""),"2055-06-10T18:27:56.570829Z")</f>
        <v>2055-06-10T18:27:56.570829Z</v>
      </c>
      <c r="T256" s="3"/>
      <c r="U256" s="4">
        <f ca="1">IFERROR(__xludf.DUMMYFUNCTION("""COMPUTED_VALUE"""),56775)</f>
        <v>56775</v>
      </c>
      <c r="V256" s="3">
        <f ca="1">IFERROR(__xludf.DUMMYFUNCTION("""COMPUTED_VALUE"""),3.104588762)</f>
        <v>3.1045887620000001</v>
      </c>
      <c r="W256" s="3">
        <f ca="1">IFERROR(__xludf.DUMMYFUNCTION("""COMPUTED_VALUE"""),3500)</f>
        <v>3500</v>
      </c>
      <c r="X256" s="3">
        <f ca="1">IFERROR(__xludf.DUMMYFUNCTION("""COMPUTED_VALUE"""),1221)</f>
        <v>1221</v>
      </c>
      <c r="Y256" s="3">
        <f ca="1">IFERROR(__xludf.DUMMYFUNCTION("""COMPUTED_VALUE"""),206)</f>
        <v>206</v>
      </c>
      <c r="Z256" s="3">
        <f ca="1">IFERROR(__xludf.DUMMYFUNCTION("""COMPUTED_VALUE"""),324)</f>
        <v>324</v>
      </c>
      <c r="AA256" s="3">
        <f ca="1">IFERROR(__xludf.DUMMYFUNCTION("""COMPUTED_VALUE"""),691)</f>
        <v>691</v>
      </c>
      <c r="AB256" s="3">
        <f ca="1">IFERROR(__xludf.DUMMYFUNCTION("""COMPUTED_VALUE"""),0)</f>
        <v>0</v>
      </c>
      <c r="AC256" s="3">
        <f ca="1">IFERROR(__xludf.DUMMYFUNCTION("""COMPUTED_VALUE"""),4)</f>
        <v>4</v>
      </c>
      <c r="AD256" s="3" t="str">
        <f ca="1">IFERROR(__xludf.DUMMYFUNCTION("""COMPUTED_VALUE"""),"early")</f>
        <v>early</v>
      </c>
      <c r="AE256" s="3" t="str">
        <f ca="1">IFERROR(__xludf.DUMMYFUNCTION("""COMPUTED_VALUE"""),"2055-06-10T14:33:20.231905Z")</f>
        <v>2055-06-10T14:33:20.231905Z</v>
      </c>
      <c r="AF256" s="3" t="str">
        <f ca="1">IFERROR(__xludf.DUMMYFUNCTION("""COMPUTED_VALUE"""),"2055-06-10T14:44:51.043145Z")</f>
        <v>2055-06-10T14:44:51.043145Z</v>
      </c>
      <c r="AG256" s="3" t="str">
        <f ca="1">IFERROR(__xludf.DUMMYFUNCTION("""COMPUTED_VALUE"""),"2055-06-10T14:24:14.195874Z")</f>
        <v>2055-06-10T14:24:14.195874Z</v>
      </c>
      <c r="AH256" s="3" t="str">
        <f ca="1">IFERROR(__xludf.DUMMYFUNCTION("""COMPUTED_VALUE"""),"2055-06-10T14:27:56.570829Z")</f>
        <v>2055-06-10T14:27:56.570829Z</v>
      </c>
      <c r="AI256" s="3">
        <f ca="1">IFERROR(__xludf.DUMMYFUNCTION("""COMPUTED_VALUE"""),4.52)</f>
        <v>4.5199999999999996</v>
      </c>
      <c r="AJ256" s="3">
        <f ca="1">IFERROR(__xludf.DUMMYFUNCTION("""COMPUTED_VALUE"""),183)</f>
        <v>183</v>
      </c>
      <c r="AK256" s="3">
        <f ca="1">IFERROR(__xludf.DUMMYFUNCTION("""COMPUTED_VALUE"""),522)</f>
        <v>522</v>
      </c>
      <c r="AL256" s="3"/>
    </row>
    <row r="257" spans="1:38" ht="13">
      <c r="A257" s="3">
        <f ca="1">IFERROR(__xludf.DUMMYFUNCTION("""COMPUTED_VALUE"""),90)</f>
        <v>90</v>
      </c>
      <c r="B257" s="3"/>
      <c r="C257" s="3">
        <f ca="1">IFERROR(__xludf.DUMMYFUNCTION("""COMPUTED_VALUE"""),4050)</f>
        <v>4050</v>
      </c>
      <c r="D257" s="3" t="str">
        <f ca="1">IFERROR(__xludf.DUMMYFUNCTION("""COMPUTED_VALUE"""),"Doorlanta")</f>
        <v>Doorlanta</v>
      </c>
      <c r="E257" s="3" t="str">
        <f ca="1">IFERROR(__xludf.DUMMYFUNCTION("""COMPUTED_VALUE"""),"Galaxy A")</f>
        <v>Galaxy A</v>
      </c>
      <c r="F257" s="3" t="str">
        <f ca="1">IFERROR(__xludf.DUMMYFUNCTION("""COMPUTED_VALUE"""),"Matt")</f>
        <v>Matt</v>
      </c>
      <c r="G257" s="3">
        <f ca="1">IFERROR(__xludf.DUMMYFUNCTION("""COMPUTED_VALUE"""),0)</f>
        <v>0</v>
      </c>
      <c r="H257" s="3" t="str">
        <f ca="1">IFERROR(__xludf.DUMMYFUNCTION("""COMPUTED_VALUE"""),"car")</f>
        <v>car</v>
      </c>
      <c r="I257" s="3" t="str">
        <f ca="1">IFERROR(__xludf.DUMMYFUNCTION("""COMPUTED_VALUE"""),"2055-06-02T00:05:57.731773Z")</f>
        <v>2055-06-02T00:05:57.731773Z</v>
      </c>
      <c r="J257" s="3" t="str">
        <f ca="1">IFERROR(__xludf.DUMMYFUNCTION("""COMPUTED_VALUE"""),"2055-06-02T00:50:57.802Z")</f>
        <v>2055-06-02T00:50:57.802Z</v>
      </c>
      <c r="K257" s="3" t="str">
        <f ca="1">IFERROR(__xludf.DUMMYFUNCTION("""COMPUTED_VALUE"""),"2055-06-02T00:40:13.802Z")</f>
        <v>2055-06-02T00:40:13.802Z</v>
      </c>
      <c r="L257" s="3">
        <f ca="1">IFERROR(__xludf.DUMMYFUNCTION("""COMPUTED_VALUE"""),1)</f>
        <v>1</v>
      </c>
      <c r="M257" s="3">
        <f ca="1">IFERROR(__xludf.DUMMYFUNCTION("""COMPUTED_VALUE"""),0)</f>
        <v>0</v>
      </c>
      <c r="N257" s="3" t="str">
        <f ca="1">IFERROR(__xludf.DUMMYFUNCTION("""COMPUTED_VALUE"""),"2055-06-02T00:27:13.331235Z")</f>
        <v>2055-06-02T00:27:13.331235Z</v>
      </c>
      <c r="O257" s="3" t="str">
        <f ca="1">IFERROR(__xludf.DUMMYFUNCTION("""COMPUTED_VALUE"""),"2055-06-02T00:37:24.906979Z")</f>
        <v>2055-06-02T00:37:24.906979Z</v>
      </c>
      <c r="P257" s="3" t="str">
        <f ca="1">IFERROR(__xludf.DUMMYFUNCTION("""COMPUTED_VALUE"""),"2055-06-02T00:06:07.362369Z")</f>
        <v>2055-06-02T00:06:07.362369Z</v>
      </c>
      <c r="Q257" s="3">
        <f ca="1">IFERROR(__xludf.DUMMYFUNCTION("""COMPUTED_VALUE"""),0)</f>
        <v>0</v>
      </c>
      <c r="R257" s="3" t="str">
        <f ca="1">IFERROR(__xludf.DUMMYFUNCTION("""COMPUTED_VALUE"""),"2055-06-02T00:06:20.646087Z")</f>
        <v>2055-06-02T00:06:20.646087Z</v>
      </c>
      <c r="S257" s="3" t="str">
        <f ca="1">IFERROR(__xludf.DUMMYFUNCTION("""COMPUTED_VALUE"""),"2055-06-02T00:29:52.999266Z")</f>
        <v>2055-06-02T00:29:52.999266Z</v>
      </c>
      <c r="T257" s="3"/>
      <c r="U257" s="4">
        <f ca="1">IFERROR(__xludf.DUMMYFUNCTION("""COMPUTED_VALUE"""),56766)</f>
        <v>56766</v>
      </c>
      <c r="V257" s="3">
        <f ca="1">IFERROR(__xludf.DUMMYFUNCTION("""COMPUTED_VALUE"""),3.285381535)</f>
        <v>3.285381535</v>
      </c>
      <c r="W257" s="3">
        <f ca="1">IFERROR(__xludf.DUMMYFUNCTION("""COMPUTED_VALUE"""),3500)</f>
        <v>3500</v>
      </c>
      <c r="X257" s="3">
        <f ca="1">IFERROR(__xludf.DUMMYFUNCTION("""COMPUTED_VALUE"""),1864)</f>
        <v>1864</v>
      </c>
      <c r="Y257" s="3">
        <f ca="1">IFERROR(__xludf.DUMMYFUNCTION("""COMPUTED_VALUE"""),1412)</f>
        <v>1412</v>
      </c>
      <c r="Z257" s="3"/>
      <c r="AA257" s="3">
        <f ca="1">IFERROR(__xludf.DUMMYFUNCTION("""COMPUTED_VALUE"""),611)</f>
        <v>611</v>
      </c>
      <c r="AB257" s="3">
        <f ca="1">IFERROR(__xludf.DUMMYFUNCTION("""COMPUTED_VALUE"""),0)</f>
        <v>0</v>
      </c>
      <c r="AC257" s="3">
        <f ca="1">IFERROR(__xludf.DUMMYFUNCTION("""COMPUTED_VALUE"""),4)</f>
        <v>4</v>
      </c>
      <c r="AD257" s="3" t="str">
        <f ca="1">IFERROR(__xludf.DUMMYFUNCTION("""COMPUTED_VALUE"""),"late")</f>
        <v>late</v>
      </c>
      <c r="AE257" s="3" t="str">
        <f ca="1">IFERROR(__xludf.DUMMYFUNCTION("""COMPUTED_VALUE"""),"2055-06-01T20:27:13.331235Z")</f>
        <v>2055-06-01T20:27:13.331235Z</v>
      </c>
      <c r="AF257" s="3" t="str">
        <f ca="1">IFERROR(__xludf.DUMMYFUNCTION("""COMPUTED_VALUE"""),"2055-06-01T20:37:24.906979Z")</f>
        <v>2055-06-01T20:37:24.906979Z</v>
      </c>
      <c r="AG257" s="3" t="str">
        <f ca="1">IFERROR(__xludf.DUMMYFUNCTION("""COMPUTED_VALUE"""),"2055-06-01T20:06:07.362369Z")</f>
        <v>2055-06-01T20:06:07.362369Z</v>
      </c>
      <c r="AH257" s="3" t="str">
        <f ca="1">IFERROR(__xludf.DUMMYFUNCTION("""COMPUTED_VALUE"""),"2055-06-01T20:29:52.999266Z")</f>
        <v>2055-06-01T20:29:52.999266Z</v>
      </c>
      <c r="AI257" s="3">
        <f ca="1">IFERROR(__xludf.DUMMYFUNCTION("""COMPUTED_VALUE"""),4.22)</f>
        <v>4.22</v>
      </c>
      <c r="AJ257" s="3">
        <f ca="1">IFERROR(__xludf.DUMMYFUNCTION("""COMPUTED_VALUE"""),1551)</f>
        <v>1551</v>
      </c>
      <c r="AK257" s="3">
        <f ca="1">IFERROR(__xludf.DUMMYFUNCTION("""COMPUTED_VALUE"""),4625)</f>
        <v>4625</v>
      </c>
      <c r="AL257" s="3"/>
    </row>
    <row r="258" spans="1:38" ht="13">
      <c r="A258" s="3">
        <f ca="1">IFERROR(__xludf.DUMMYFUNCTION("""COMPUTED_VALUE"""),223)</f>
        <v>223</v>
      </c>
      <c r="B258" s="3"/>
      <c r="C258" s="3">
        <f ca="1">IFERROR(__xludf.DUMMYFUNCTION("""COMPUTED_VALUE"""),4001)</f>
        <v>4001</v>
      </c>
      <c r="D258" s="3" t="str">
        <f ca="1">IFERROR(__xludf.DUMMYFUNCTION("""COMPUTED_VALUE"""),"Dashattan")</f>
        <v>Dashattan</v>
      </c>
      <c r="E258" s="3" t="str">
        <f ca="1">IFERROR(__xludf.DUMMYFUNCTION("""COMPUTED_VALUE"""),"Galaxy A")</f>
        <v>Galaxy A</v>
      </c>
      <c r="F258" s="3" t="str">
        <f ca="1">IFERROR(__xludf.DUMMYFUNCTION("""COMPUTED_VALUE"""),"Arya")</f>
        <v>Arya</v>
      </c>
      <c r="G258" s="3">
        <f ca="1">IFERROR(__xludf.DUMMYFUNCTION("""COMPUTED_VALUE"""),0)</f>
        <v>0</v>
      </c>
      <c r="H258" s="3" t="str">
        <f ca="1">IFERROR(__xludf.DUMMYFUNCTION("""COMPUTED_VALUE"""),"bicycle")</f>
        <v>bicycle</v>
      </c>
      <c r="I258" s="3" t="str">
        <f ca="1">IFERROR(__xludf.DUMMYFUNCTION("""COMPUTED_VALUE"""),"2055-06-03T00:24:42.41893Z")</f>
        <v>2055-06-03T00:24:42.41893Z</v>
      </c>
      <c r="J258" s="3" t="str">
        <f ca="1">IFERROR(__xludf.DUMMYFUNCTION("""COMPUTED_VALUE"""),"2055-06-03T01:17:14.488Z")</f>
        <v>2055-06-03T01:17:14.488Z</v>
      </c>
      <c r="K258" s="3" t="str">
        <f ca="1">IFERROR(__xludf.DUMMYFUNCTION("""COMPUTED_VALUE"""),"2055-06-03T00:57:35.488Z")</f>
        <v>2055-06-03T00:57:35.488Z</v>
      </c>
      <c r="L258" s="3">
        <f ca="1">IFERROR(__xludf.DUMMYFUNCTION("""COMPUTED_VALUE"""),1)</f>
        <v>1</v>
      </c>
      <c r="M258" s="3">
        <f ca="1">IFERROR(__xludf.DUMMYFUNCTION("""COMPUTED_VALUE"""),0)</f>
        <v>0</v>
      </c>
      <c r="N258" s="3" t="str">
        <f ca="1">IFERROR(__xludf.DUMMYFUNCTION("""COMPUTED_VALUE"""),"2055-06-03T00:39:09.047095Z")</f>
        <v>2055-06-03T00:39:09.047095Z</v>
      </c>
      <c r="O258" s="3" t="str">
        <f ca="1">IFERROR(__xludf.DUMMYFUNCTION("""COMPUTED_VALUE"""),"2055-06-03T00:50:52.01595Z")</f>
        <v>2055-06-03T00:50:52.01595Z</v>
      </c>
      <c r="P258" s="3" t="str">
        <f ca="1">IFERROR(__xludf.DUMMYFUNCTION("""COMPUTED_VALUE"""),"2055-06-03T00:30:14.615444Z")</f>
        <v>2055-06-03T00:30:14.615444Z</v>
      </c>
      <c r="Q258" s="3">
        <f ca="1">IFERROR(__xludf.DUMMYFUNCTION("""COMPUTED_VALUE"""),0)</f>
        <v>0</v>
      </c>
      <c r="R258" s="3" t="str">
        <f ca="1">IFERROR(__xludf.DUMMYFUNCTION("""COMPUTED_VALUE"""),"2055-06-03T00:30:18.568949Z")</f>
        <v>2055-06-03T00:30:18.568949Z</v>
      </c>
      <c r="S258" s="3" t="str">
        <f ca="1">IFERROR(__xludf.DUMMYFUNCTION("""COMPUTED_VALUE"""),"2055-06-03T00:36:33.279218Z")</f>
        <v>2055-06-03T00:36:33.279218Z</v>
      </c>
      <c r="T258" s="3"/>
      <c r="U258" s="4">
        <f ca="1">IFERROR(__xludf.DUMMYFUNCTION("""COMPUTED_VALUE"""),56767)</f>
        <v>56767</v>
      </c>
      <c r="V258" s="3">
        <f ca="1">IFERROR(__xludf.DUMMYFUNCTION("""COMPUTED_VALUE"""),2.896923575)</f>
        <v>2.8969235750000002</v>
      </c>
      <c r="W258" s="3">
        <f ca="1">IFERROR(__xludf.DUMMYFUNCTION("""COMPUTED_VALUE"""),3500)</f>
        <v>3500</v>
      </c>
      <c r="X258" s="3">
        <f ca="1">IFERROR(__xludf.DUMMYFUNCTION("""COMPUTED_VALUE"""),1234)</f>
        <v>1234</v>
      </c>
      <c r="Y258" s="3">
        <f ca="1">IFERROR(__xludf.DUMMYFUNCTION("""COMPUTED_VALUE"""),375)</f>
        <v>375</v>
      </c>
      <c r="Z258" s="3">
        <f ca="1">IFERROR(__xludf.DUMMYFUNCTION("""COMPUTED_VALUE"""),156)</f>
        <v>156</v>
      </c>
      <c r="AA258" s="3">
        <f ca="1">IFERROR(__xludf.DUMMYFUNCTION("""COMPUTED_VALUE"""),703)</f>
        <v>703</v>
      </c>
      <c r="AB258" s="3">
        <f ca="1">IFERROR(__xludf.DUMMYFUNCTION("""COMPUTED_VALUE"""),0)</f>
        <v>0</v>
      </c>
      <c r="AC258" s="3">
        <f ca="1">IFERROR(__xludf.DUMMYFUNCTION("""COMPUTED_VALUE"""),3)</f>
        <v>3</v>
      </c>
      <c r="AD258" s="3" t="str">
        <f ca="1">IFERROR(__xludf.DUMMYFUNCTION("""COMPUTED_VALUE"""),"on time")</f>
        <v>on time</v>
      </c>
      <c r="AE258" s="3" t="str">
        <f ca="1">IFERROR(__xludf.DUMMYFUNCTION("""COMPUTED_VALUE"""),"2055-06-02T20:39:09.047095Z")</f>
        <v>2055-06-02T20:39:09.047095Z</v>
      </c>
      <c r="AF258" s="3" t="str">
        <f ca="1">IFERROR(__xludf.DUMMYFUNCTION("""COMPUTED_VALUE"""),"2055-06-02T20:50:52.01595Z")</f>
        <v>2055-06-02T20:50:52.01595Z</v>
      </c>
      <c r="AG258" s="3" t="str">
        <f ca="1">IFERROR(__xludf.DUMMYFUNCTION("""COMPUTED_VALUE"""),"2055-06-02T20:30:14.615444Z")</f>
        <v>2055-06-02T20:30:14.615444Z</v>
      </c>
      <c r="AH258" s="3" t="str">
        <f ca="1">IFERROR(__xludf.DUMMYFUNCTION("""COMPUTED_VALUE"""),"2055-06-02T20:36:33.279218Z")</f>
        <v>2055-06-02T20:36:33.279218Z</v>
      </c>
      <c r="AI258" s="3">
        <f ca="1">IFERROR(__xludf.DUMMYFUNCTION("""COMPUTED_VALUE"""),4.17)</f>
        <v>4.17</v>
      </c>
      <c r="AJ258" s="3">
        <f ca="1">IFERROR(__xludf.DUMMYFUNCTION("""COMPUTED_VALUE"""),457)</f>
        <v>457</v>
      </c>
      <c r="AK258" s="3">
        <f ca="1">IFERROR(__xludf.DUMMYFUNCTION("""COMPUTED_VALUE"""),1599)</f>
        <v>1599</v>
      </c>
      <c r="AL258" s="3"/>
    </row>
    <row r="259" spans="1:38" ht="13">
      <c r="A259" s="3">
        <f ca="1">IFERROR(__xludf.DUMMYFUNCTION("""COMPUTED_VALUE"""),785)</f>
        <v>785</v>
      </c>
      <c r="B259" s="3"/>
      <c r="C259" s="3">
        <f ca="1">IFERROR(__xludf.DUMMYFUNCTION("""COMPUTED_VALUE"""),4001)</f>
        <v>4001</v>
      </c>
      <c r="D259" s="3" t="str">
        <f ca="1">IFERROR(__xludf.DUMMYFUNCTION("""COMPUTED_VALUE"""),"Dashattan")</f>
        <v>Dashattan</v>
      </c>
      <c r="E259" s="3" t="str">
        <f ca="1">IFERROR(__xludf.DUMMYFUNCTION("""COMPUTED_VALUE"""),"Galaxy A")</f>
        <v>Galaxy A</v>
      </c>
      <c r="F259" s="3" t="str">
        <f ca="1">IFERROR(__xludf.DUMMYFUNCTION("""COMPUTED_VALUE"""),"KC")</f>
        <v>KC</v>
      </c>
      <c r="G259" s="3">
        <f ca="1">IFERROR(__xludf.DUMMYFUNCTION("""COMPUTED_VALUE"""),0)</f>
        <v>0</v>
      </c>
      <c r="H259" s="3" t="str">
        <f ca="1">IFERROR(__xludf.DUMMYFUNCTION("""COMPUTED_VALUE"""),"car")</f>
        <v>car</v>
      </c>
      <c r="I259" s="3" t="str">
        <f ca="1">IFERROR(__xludf.DUMMYFUNCTION("""COMPUTED_VALUE"""),"2055-06-06T23:00:31.645446Z")</f>
        <v>2055-06-06T23:00:31.645446Z</v>
      </c>
      <c r="J259" s="3" t="str">
        <f ca="1">IFERROR(__xludf.DUMMYFUNCTION("""COMPUTED_VALUE"""),"2055-06-07T00:09:24.703Z")</f>
        <v>2055-06-07T00:09:24.703Z</v>
      </c>
      <c r="K259" s="3" t="str">
        <f ca="1">IFERROR(__xludf.DUMMYFUNCTION("""COMPUTED_VALUE"""),"2055-06-06T23:49:45.703Z")</f>
        <v>2055-06-06T23:49:45.703Z</v>
      </c>
      <c r="L259" s="3">
        <f ca="1">IFERROR(__xludf.DUMMYFUNCTION("""COMPUTED_VALUE"""),1)</f>
        <v>1</v>
      </c>
      <c r="M259" s="3">
        <f ca="1">IFERROR(__xludf.DUMMYFUNCTION("""COMPUTED_VALUE"""),0)</f>
        <v>0</v>
      </c>
      <c r="N259" s="3" t="str">
        <f ca="1">IFERROR(__xludf.DUMMYFUNCTION("""COMPUTED_VALUE"""),"2055-06-06T23:26:08.38949Z")</f>
        <v>2055-06-06T23:26:08.38949Z</v>
      </c>
      <c r="O259" s="3" t="str">
        <f ca="1">IFERROR(__xludf.DUMMYFUNCTION("""COMPUTED_VALUE"""),"2055-06-06T23:37:06.069728Z")</f>
        <v>2055-06-06T23:37:06.069728Z</v>
      </c>
      <c r="P259" s="3" t="str">
        <f ca="1">IFERROR(__xludf.DUMMYFUNCTION("""COMPUTED_VALUE"""),"2055-06-06T23:09:14.825229Z")</f>
        <v>2055-06-06T23:09:14.825229Z</v>
      </c>
      <c r="Q259" s="3">
        <f ca="1">IFERROR(__xludf.DUMMYFUNCTION("""COMPUTED_VALUE"""),0)</f>
        <v>0</v>
      </c>
      <c r="R259" s="3" t="str">
        <f ca="1">IFERROR(__xludf.DUMMYFUNCTION("""COMPUTED_VALUE"""),"2055-06-06T23:09:36.799415Z")</f>
        <v>2055-06-06T23:09:36.799415Z</v>
      </c>
      <c r="S259" s="3" t="str">
        <f ca="1">IFERROR(__xludf.DUMMYFUNCTION("""COMPUTED_VALUE"""),"2055-06-06T23:23:13.545361Z")</f>
        <v>2055-06-06T23:23:13.545361Z</v>
      </c>
      <c r="T259" s="3"/>
      <c r="U259" s="4">
        <f ca="1">IFERROR(__xludf.DUMMYFUNCTION("""COMPUTED_VALUE"""),56771)</f>
        <v>56771</v>
      </c>
      <c r="V259" s="3">
        <f ca="1">IFERROR(__xludf.DUMMYFUNCTION("""COMPUTED_VALUE"""),4.4)</f>
        <v>4.4000000000000004</v>
      </c>
      <c r="W259" s="3">
        <f ca="1">IFERROR(__xludf.DUMMYFUNCTION("""COMPUTED_VALUE"""),3500)</f>
        <v>3500</v>
      </c>
      <c r="X259" s="3">
        <f ca="1">IFERROR(__xludf.DUMMYFUNCTION("""COMPUTED_VALUE"""),1650)</f>
        <v>1650</v>
      </c>
      <c r="Y259" s="3">
        <f ca="1">IFERROR(__xludf.DUMMYFUNCTION("""COMPUTED_VALUE"""),817)</f>
        <v>817</v>
      </c>
      <c r="Z259" s="3">
        <f ca="1">IFERROR(__xludf.DUMMYFUNCTION("""COMPUTED_VALUE"""),175)</f>
        <v>175</v>
      </c>
      <c r="AA259" s="3">
        <f ca="1">IFERROR(__xludf.DUMMYFUNCTION("""COMPUTED_VALUE"""),658)</f>
        <v>658</v>
      </c>
      <c r="AB259" s="3">
        <f ca="1">IFERROR(__xludf.DUMMYFUNCTION("""COMPUTED_VALUE"""),0)</f>
        <v>0</v>
      </c>
      <c r="AC259" s="3">
        <f ca="1">IFERROR(__xludf.DUMMYFUNCTION("""COMPUTED_VALUE"""),3)</f>
        <v>3</v>
      </c>
      <c r="AD259" s="3" t="str">
        <f ca="1">IFERROR(__xludf.DUMMYFUNCTION("""COMPUTED_VALUE"""),"early")</f>
        <v>early</v>
      </c>
      <c r="AE259" s="3" t="str">
        <f ca="1">IFERROR(__xludf.DUMMYFUNCTION("""COMPUTED_VALUE"""),"2055-06-06T19:26:08.38949Z")</f>
        <v>2055-06-06T19:26:08.38949Z</v>
      </c>
      <c r="AF259" s="3" t="str">
        <f ca="1">IFERROR(__xludf.DUMMYFUNCTION("""COMPUTED_VALUE"""),"2055-06-06T19:37:06.069728Z")</f>
        <v>2055-06-06T19:37:06.069728Z</v>
      </c>
      <c r="AG259" s="3" t="str">
        <f ca="1">IFERROR(__xludf.DUMMYFUNCTION("""COMPUTED_VALUE"""),"2055-06-06T19:09:14.825229Z")</f>
        <v>2055-06-06T19:09:14.825229Z</v>
      </c>
      <c r="AH259" s="3" t="str">
        <f ca="1">IFERROR(__xludf.DUMMYFUNCTION("""COMPUTED_VALUE"""),"2055-06-06T19:23:13.545361Z")</f>
        <v>2055-06-06T19:23:13.545361Z</v>
      </c>
      <c r="AI259" s="3">
        <f ca="1">IFERROR(__xludf.DUMMYFUNCTION("""COMPUTED_VALUE"""),4.54)</f>
        <v>4.54</v>
      </c>
      <c r="AJ259" s="3">
        <f ca="1">IFERROR(__xludf.DUMMYFUNCTION("""COMPUTED_VALUE"""),2229)</f>
        <v>2229</v>
      </c>
      <c r="AK259" s="3">
        <f ca="1">IFERROR(__xludf.DUMMYFUNCTION("""COMPUTED_VALUE"""),6580)</f>
        <v>6580</v>
      </c>
      <c r="AL259" s="3"/>
    </row>
    <row r="260" spans="1:38" ht="13">
      <c r="A260" s="3">
        <f ca="1">IFERROR(__xludf.DUMMYFUNCTION("""COMPUTED_VALUE"""),926)</f>
        <v>926</v>
      </c>
      <c r="B260" s="3"/>
      <c r="C260" s="3">
        <f ca="1">IFERROR(__xludf.DUMMYFUNCTION("""COMPUTED_VALUE"""),4001)</f>
        <v>4001</v>
      </c>
      <c r="D260" s="3" t="str">
        <f ca="1">IFERROR(__xludf.DUMMYFUNCTION("""COMPUTED_VALUE"""),"Dashattan")</f>
        <v>Dashattan</v>
      </c>
      <c r="E260" s="3" t="str">
        <f ca="1">IFERROR(__xludf.DUMMYFUNCTION("""COMPUTED_VALUE"""),"Galaxy A")</f>
        <v>Galaxy A</v>
      </c>
      <c r="F260" s="3" t="str">
        <f ca="1">IFERROR(__xludf.DUMMYFUNCTION("""COMPUTED_VALUE"""),"Rachael")</f>
        <v>Rachael</v>
      </c>
      <c r="G260" s="3">
        <f ca="1">IFERROR(__xludf.DUMMYFUNCTION("""COMPUTED_VALUE"""),0)</f>
        <v>0</v>
      </c>
      <c r="H260" s="3" t="str">
        <f ca="1">IFERROR(__xludf.DUMMYFUNCTION("""COMPUTED_VALUE"""),"bicycle")</f>
        <v>bicycle</v>
      </c>
      <c r="I260" s="3" t="str">
        <f ca="1">IFERROR(__xludf.DUMMYFUNCTION("""COMPUTED_VALUE"""),"2055-06-08T13:59:45.018182Z")</f>
        <v>2055-06-08T13:59:45.018182Z</v>
      </c>
      <c r="J260" s="3" t="str">
        <f ca="1">IFERROR(__xludf.DUMMYFUNCTION("""COMPUTED_VALUE"""),"2055-06-08T14:59:45.078Z")</f>
        <v>2055-06-08T14:59:45.078Z</v>
      </c>
      <c r="K260" s="3" t="str">
        <f ca="1">IFERROR(__xludf.DUMMYFUNCTION("""COMPUTED_VALUE"""),"2055-06-08T14:39:38.078Z")</f>
        <v>2055-06-08T14:39:38.078Z</v>
      </c>
      <c r="L260" s="3">
        <f ca="1">IFERROR(__xludf.DUMMYFUNCTION("""COMPUTED_VALUE"""),1)</f>
        <v>1</v>
      </c>
      <c r="M260" s="3">
        <f ca="1">IFERROR(__xludf.DUMMYFUNCTION("""COMPUTED_VALUE"""),0)</f>
        <v>0</v>
      </c>
      <c r="N260" s="3" t="str">
        <f ca="1">IFERROR(__xludf.DUMMYFUNCTION("""COMPUTED_VALUE"""),"2055-06-08T14:20:57.849157Z")</f>
        <v>2055-06-08T14:20:57.849157Z</v>
      </c>
      <c r="O260" s="3" t="str">
        <f ca="1">IFERROR(__xludf.DUMMYFUNCTION("""COMPUTED_VALUE"""),"2055-06-08T14:27:37.805364Z")</f>
        <v>2055-06-08T14:27:37.805364Z</v>
      </c>
      <c r="P260" s="3" t="str">
        <f ca="1">IFERROR(__xludf.DUMMYFUNCTION("""COMPUTED_VALUE"""),"2055-06-08T14:09:34.142615Z")</f>
        <v>2055-06-08T14:09:34.142615Z</v>
      </c>
      <c r="Q260" s="3">
        <f ca="1">IFERROR(__xludf.DUMMYFUNCTION("""COMPUTED_VALUE"""),0)</f>
        <v>0</v>
      </c>
      <c r="R260" s="3" t="str">
        <f ca="1">IFERROR(__xludf.DUMMYFUNCTION("""COMPUTED_VALUE"""),"2055-06-08T14:09:44.702105Z")</f>
        <v>2055-06-08T14:09:44.702105Z</v>
      </c>
      <c r="S260" s="3" t="str">
        <f ca="1">IFERROR(__xludf.DUMMYFUNCTION("""COMPUTED_VALUE"""),"2055-06-08T14:21:00.591851Z")</f>
        <v>2055-06-08T14:21:00.591851Z</v>
      </c>
      <c r="T260" s="3"/>
      <c r="U260" s="4">
        <f ca="1">IFERROR(__xludf.DUMMYFUNCTION("""COMPUTED_VALUE"""),56773)</f>
        <v>56773</v>
      </c>
      <c r="V260" s="3">
        <f ca="1">IFERROR(__xludf.DUMMYFUNCTION("""COMPUTED_VALUE"""),4.4)</f>
        <v>4.4000000000000004</v>
      </c>
      <c r="W260" s="3">
        <f ca="1">IFERROR(__xludf.DUMMYFUNCTION("""COMPUTED_VALUE"""),3500)</f>
        <v>3500</v>
      </c>
      <c r="X260" s="3">
        <f ca="1">IFERROR(__xludf.DUMMYFUNCTION("""COMPUTED_VALUE"""),1073)</f>
        <v>1073</v>
      </c>
      <c r="Y260" s="3">
        <f ca="1">IFERROR(__xludf.DUMMYFUNCTION("""COMPUTED_VALUE"""),676)</f>
        <v>676</v>
      </c>
      <c r="Z260" s="3"/>
      <c r="AA260" s="3">
        <f ca="1">IFERROR(__xludf.DUMMYFUNCTION("""COMPUTED_VALUE"""),400)</f>
        <v>400</v>
      </c>
      <c r="AB260" s="3">
        <f ca="1">IFERROR(__xludf.DUMMYFUNCTION("""COMPUTED_VALUE"""),0)</f>
        <v>0</v>
      </c>
      <c r="AC260" s="3">
        <f ca="1">IFERROR(__xludf.DUMMYFUNCTION("""COMPUTED_VALUE"""),2)</f>
        <v>2</v>
      </c>
      <c r="AD260" s="3" t="str">
        <f ca="1">IFERROR(__xludf.DUMMYFUNCTION("""COMPUTED_VALUE"""),"on time")</f>
        <v>on time</v>
      </c>
      <c r="AE260" s="3" t="str">
        <f ca="1">IFERROR(__xludf.DUMMYFUNCTION("""COMPUTED_VALUE"""),"2055-06-08T10:20:57.849157Z")</f>
        <v>2055-06-08T10:20:57.849157Z</v>
      </c>
      <c r="AF260" s="3" t="str">
        <f ca="1">IFERROR(__xludf.DUMMYFUNCTION("""COMPUTED_VALUE"""),"2055-06-08T10:27:37.805364Z")</f>
        <v>2055-06-08T10:27:37.805364Z</v>
      </c>
      <c r="AG260" s="3" t="str">
        <f ca="1">IFERROR(__xludf.DUMMYFUNCTION("""COMPUTED_VALUE"""),"2055-06-08T10:09:34.142615Z")</f>
        <v>2055-06-08T10:09:34.142615Z</v>
      </c>
      <c r="AH260" s="3" t="str">
        <f ca="1">IFERROR(__xludf.DUMMYFUNCTION("""COMPUTED_VALUE"""),"2055-06-08T10:21:00.591851Z")</f>
        <v>2055-06-08T10:21:00.591851Z</v>
      </c>
      <c r="AI260" s="3">
        <f ca="1">IFERROR(__xludf.DUMMYFUNCTION("""COMPUTED_VALUE"""),4.47)</f>
        <v>4.47</v>
      </c>
      <c r="AJ260" s="3">
        <f ca="1">IFERROR(__xludf.DUMMYFUNCTION("""COMPUTED_VALUE"""),78)</f>
        <v>78</v>
      </c>
      <c r="AK260" s="3">
        <f ca="1">IFERROR(__xludf.DUMMYFUNCTION("""COMPUTED_VALUE"""),278)</f>
        <v>278</v>
      </c>
      <c r="AL260" s="3">
        <f ca="1">IFERROR(__xludf.DUMMYFUNCTION("""COMPUTED_VALUE"""),26)</f>
        <v>26</v>
      </c>
    </row>
    <row r="261" spans="1:38" ht="13">
      <c r="A261" s="3">
        <f ca="1">IFERROR(__xludf.DUMMYFUNCTION("""COMPUTED_VALUE"""),317)</f>
        <v>317</v>
      </c>
      <c r="B261" s="3">
        <f ca="1">IFERROR(__xludf.DUMMYFUNCTION("""COMPUTED_VALUE"""),5)</f>
        <v>5</v>
      </c>
      <c r="C261" s="3">
        <f ca="1">IFERROR(__xludf.DUMMYFUNCTION("""COMPUTED_VALUE"""),4050)</f>
        <v>4050</v>
      </c>
      <c r="D261" s="3" t="str">
        <f ca="1">IFERROR(__xludf.DUMMYFUNCTION("""COMPUTED_VALUE"""),"Doorlanta")</f>
        <v>Doorlanta</v>
      </c>
      <c r="E261" s="3" t="str">
        <f ca="1">IFERROR(__xludf.DUMMYFUNCTION("""COMPUTED_VALUE"""),"Galaxy A")</f>
        <v>Galaxy A</v>
      </c>
      <c r="F261" s="3" t="str">
        <f ca="1">IFERROR(__xludf.DUMMYFUNCTION("""COMPUTED_VALUE"""),"Elon")</f>
        <v>Elon</v>
      </c>
      <c r="G261" s="3">
        <f ca="1">IFERROR(__xludf.DUMMYFUNCTION("""COMPUTED_VALUE"""),0)</f>
        <v>0</v>
      </c>
      <c r="H261" s="3" t="str">
        <f ca="1">IFERROR(__xludf.DUMMYFUNCTION("""COMPUTED_VALUE"""),"car")</f>
        <v>car</v>
      </c>
      <c r="I261" s="3" t="str">
        <f ca="1">IFERROR(__xludf.DUMMYFUNCTION("""COMPUTED_VALUE"""),"2055-06-03T19:12:36.690045Z")</f>
        <v>2055-06-03T19:12:36.690045Z</v>
      </c>
      <c r="J261" s="3" t="str">
        <f ca="1">IFERROR(__xludf.DUMMYFUNCTION("""COMPUTED_VALUE"""),"2055-06-03T20:07:36.817Z")</f>
        <v>2055-06-03T20:07:36.817Z</v>
      </c>
      <c r="K261" s="3" t="str">
        <f ca="1">IFERROR(__xludf.DUMMYFUNCTION("""COMPUTED_VALUE"""),"2055-06-03T19:51:14.817Z")</f>
        <v>2055-06-03T19:51:14.817Z</v>
      </c>
      <c r="L261" s="3">
        <f ca="1">IFERROR(__xludf.DUMMYFUNCTION("""COMPUTED_VALUE"""),1)</f>
        <v>1</v>
      </c>
      <c r="M261" s="3">
        <f ca="1">IFERROR(__xludf.DUMMYFUNCTION("""COMPUTED_VALUE"""),0)</f>
        <v>0</v>
      </c>
      <c r="N261" s="3" t="str">
        <f ca="1">IFERROR(__xludf.DUMMYFUNCTION("""COMPUTED_VALUE"""),"2055-06-03T19:35:04.696719Z")</f>
        <v>2055-06-03T19:35:04.696719Z</v>
      </c>
      <c r="O261" s="3" t="str">
        <f ca="1">IFERROR(__xludf.DUMMYFUNCTION("""COMPUTED_VALUE"""),"2055-06-03T19:45:43.466198Z")</f>
        <v>2055-06-03T19:45:43.466198Z</v>
      </c>
      <c r="P261" s="3" t="str">
        <f ca="1">IFERROR(__xludf.DUMMYFUNCTION("""COMPUTED_VALUE"""),"2055-06-03T19:12:47.301995Z")</f>
        <v>2055-06-03T19:12:47.301995Z</v>
      </c>
      <c r="Q261" s="3">
        <f ca="1">IFERROR(__xludf.DUMMYFUNCTION("""COMPUTED_VALUE"""),0)</f>
        <v>0</v>
      </c>
      <c r="R261" s="3" t="str">
        <f ca="1">IFERROR(__xludf.DUMMYFUNCTION("""COMPUTED_VALUE"""),"2055-06-03T19:12:58.892516Z")</f>
        <v>2055-06-03T19:12:58.892516Z</v>
      </c>
      <c r="S261" s="3" t="str">
        <f ca="1">IFERROR(__xludf.DUMMYFUNCTION("""COMPUTED_VALUE"""),"2055-06-03T19:18:09.844945Z")</f>
        <v>2055-06-03T19:18:09.844945Z</v>
      </c>
      <c r="T261" s="3"/>
      <c r="U261" s="4">
        <f ca="1">IFERROR(__xludf.DUMMYFUNCTION("""COMPUTED_VALUE"""),56768)</f>
        <v>56768</v>
      </c>
      <c r="V261" s="3">
        <f ca="1">IFERROR(__xludf.DUMMYFUNCTION("""COMPUTED_VALUE"""),4.3)</f>
        <v>4.3</v>
      </c>
      <c r="W261" s="3">
        <f ca="1">IFERROR(__xludf.DUMMYFUNCTION("""COMPUTED_VALUE"""),3500)</f>
        <v>3500</v>
      </c>
      <c r="X261" s="3">
        <f ca="1">IFERROR(__xludf.DUMMYFUNCTION("""COMPUTED_VALUE"""),1965)</f>
        <v>1965</v>
      </c>
      <c r="Y261" s="3">
        <f ca="1">IFERROR(__xludf.DUMMYFUNCTION("""COMPUTED_VALUE"""),311)</f>
        <v>311</v>
      </c>
      <c r="Z261" s="3">
        <f ca="1">IFERROR(__xludf.DUMMYFUNCTION("""COMPUTED_VALUE"""),1015)</f>
        <v>1015</v>
      </c>
      <c r="AA261" s="3">
        <f ca="1">IFERROR(__xludf.DUMMYFUNCTION("""COMPUTED_VALUE"""),639)</f>
        <v>639</v>
      </c>
      <c r="AB261" s="3">
        <f ca="1">IFERROR(__xludf.DUMMYFUNCTION("""COMPUTED_VALUE"""),0)</f>
        <v>0</v>
      </c>
      <c r="AC261" s="3">
        <f ca="1">IFERROR(__xludf.DUMMYFUNCTION("""COMPUTED_VALUE"""),9)</f>
        <v>9</v>
      </c>
      <c r="AD261" s="3" t="str">
        <f ca="1">IFERROR(__xludf.DUMMYFUNCTION("""COMPUTED_VALUE"""),"early")</f>
        <v>early</v>
      </c>
      <c r="AE261" s="3" t="str">
        <f ca="1">IFERROR(__xludf.DUMMYFUNCTION("""COMPUTED_VALUE"""),"2055-06-03T15:35:04.696719Z")</f>
        <v>2055-06-03T15:35:04.696719Z</v>
      </c>
      <c r="AF261" s="3" t="str">
        <f ca="1">IFERROR(__xludf.DUMMYFUNCTION("""COMPUTED_VALUE"""),"2055-06-03T15:45:43.466198Z")</f>
        <v>2055-06-03T15:45:43.466198Z</v>
      </c>
      <c r="AG261" s="3" t="str">
        <f ca="1">IFERROR(__xludf.DUMMYFUNCTION("""COMPUTED_VALUE"""),"2055-06-03T15:12:47.301995Z")</f>
        <v>2055-06-03T15:12:47.301995Z</v>
      </c>
      <c r="AH261" s="3" t="str">
        <f ca="1">IFERROR(__xludf.DUMMYFUNCTION("""COMPUTED_VALUE"""),"2055-06-03T15:18:09.844945Z")</f>
        <v>2055-06-03T15:18:09.844945Z</v>
      </c>
      <c r="AI261" s="3">
        <f ca="1">IFERROR(__xludf.DUMMYFUNCTION("""COMPUTED_VALUE"""),4.62)</f>
        <v>4.62</v>
      </c>
      <c r="AJ261" s="3">
        <f ca="1">IFERROR(__xludf.DUMMYFUNCTION("""COMPUTED_VALUE"""),259)</f>
        <v>259</v>
      </c>
      <c r="AK261" s="3">
        <f ca="1">IFERROR(__xludf.DUMMYFUNCTION("""COMPUTED_VALUE"""),604)</f>
        <v>604</v>
      </c>
      <c r="AL261" s="3">
        <f ca="1">IFERROR(__xludf.DUMMYFUNCTION("""COMPUTED_VALUE"""),21)</f>
        <v>21</v>
      </c>
    </row>
    <row r="262" spans="1:38" ht="13">
      <c r="A262" s="3">
        <f ca="1">IFERROR(__xludf.DUMMYFUNCTION("""COMPUTED_VALUE"""),830)</f>
        <v>830</v>
      </c>
      <c r="B262" s="3"/>
      <c r="C262" s="3">
        <f ca="1">IFERROR(__xludf.DUMMYFUNCTION("""COMPUTED_VALUE"""),4001)</f>
        <v>4001</v>
      </c>
      <c r="D262" s="3" t="str">
        <f ca="1">IFERROR(__xludf.DUMMYFUNCTION("""COMPUTED_VALUE"""),"Dashattan")</f>
        <v>Dashattan</v>
      </c>
      <c r="E262" s="3" t="str">
        <f ca="1">IFERROR(__xludf.DUMMYFUNCTION("""COMPUTED_VALUE"""),"Galaxy A")</f>
        <v>Galaxy A</v>
      </c>
      <c r="F262" s="3" t="str">
        <f ca="1">IFERROR(__xludf.DUMMYFUNCTION("""COMPUTED_VALUE"""),"KC")</f>
        <v>KC</v>
      </c>
      <c r="G262" s="3">
        <f ca="1">IFERROR(__xludf.DUMMYFUNCTION("""COMPUTED_VALUE"""),0)</f>
        <v>0</v>
      </c>
      <c r="H262" s="3" t="str">
        <f ca="1">IFERROR(__xludf.DUMMYFUNCTION("""COMPUTED_VALUE"""),"car")</f>
        <v>car</v>
      </c>
      <c r="I262" s="3" t="str">
        <f ca="1">IFERROR(__xludf.DUMMYFUNCTION("""COMPUTED_VALUE"""),"2055-06-07T15:05:20.097166Z")</f>
        <v>2055-06-07T15:05:20.097166Z</v>
      </c>
      <c r="J262" s="3" t="str">
        <f ca="1">IFERROR(__xludf.DUMMYFUNCTION("""COMPUTED_VALUE"""),"2055-06-07T16:03:56.167Z")</f>
        <v>2055-06-07T16:03:56.167Z</v>
      </c>
      <c r="K262" s="3" t="str">
        <f ca="1">IFERROR(__xludf.DUMMYFUNCTION("""COMPUTED_VALUE"""),"2055-06-07T15:43:49.167Z")</f>
        <v>2055-06-07T15:43:49.167Z</v>
      </c>
      <c r="L262" s="3">
        <f ca="1">IFERROR(__xludf.DUMMYFUNCTION("""COMPUTED_VALUE"""),1)</f>
        <v>1</v>
      </c>
      <c r="M262" s="3">
        <f ca="1">IFERROR(__xludf.DUMMYFUNCTION("""COMPUTED_VALUE"""),0)</f>
        <v>0</v>
      </c>
      <c r="N262" s="3" t="str">
        <f ca="1">IFERROR(__xludf.DUMMYFUNCTION("""COMPUTED_VALUE"""),"2055-06-07T15:27:40.275224Z")</f>
        <v>2055-06-07T15:27:40.275224Z</v>
      </c>
      <c r="O262" s="3" t="str">
        <f ca="1">IFERROR(__xludf.DUMMYFUNCTION("""COMPUTED_VALUE"""),"2055-06-07T15:38:35.59215Z")</f>
        <v>2055-06-07T15:38:35.59215Z</v>
      </c>
      <c r="P262" s="3" t="str">
        <f ca="1">IFERROR(__xludf.DUMMYFUNCTION("""COMPUTED_VALUE"""),"2055-06-07T15:05:34.295203Z")</f>
        <v>2055-06-07T15:05:34.295203Z</v>
      </c>
      <c r="Q262" s="3">
        <f ca="1">IFERROR(__xludf.DUMMYFUNCTION("""COMPUTED_VALUE"""),0)</f>
        <v>0</v>
      </c>
      <c r="R262" s="3" t="str">
        <f ca="1">IFERROR(__xludf.DUMMYFUNCTION("""COMPUTED_VALUE"""),"2055-06-07T15:05:50.882957Z")</f>
        <v>2055-06-07T15:05:50.882957Z</v>
      </c>
      <c r="S262" s="3" t="str">
        <f ca="1">IFERROR(__xludf.DUMMYFUNCTION("""COMPUTED_VALUE"""),"2055-06-07T15:13:05.490625Z")</f>
        <v>2055-06-07T15:13:05.490625Z</v>
      </c>
      <c r="T262" s="3"/>
      <c r="U262" s="4">
        <f ca="1">IFERROR(__xludf.DUMMYFUNCTION("""COMPUTED_VALUE"""),56772)</f>
        <v>56772</v>
      </c>
      <c r="V262" s="3">
        <f ca="1">IFERROR(__xludf.DUMMYFUNCTION("""COMPUTED_VALUE"""),2.969143873)</f>
        <v>2.9691438730000002</v>
      </c>
      <c r="W262" s="3">
        <f ca="1">IFERROR(__xludf.DUMMYFUNCTION("""COMPUTED_VALUE"""),3500)</f>
        <v>3500</v>
      </c>
      <c r="X262" s="3">
        <f ca="1">IFERROR(__xludf.DUMMYFUNCTION("""COMPUTED_VALUE"""),1965)</f>
        <v>1965</v>
      </c>
      <c r="Y262" s="3">
        <f ca="1">IFERROR(__xludf.DUMMYFUNCTION("""COMPUTED_VALUE"""),435)</f>
        <v>435</v>
      </c>
      <c r="Z262" s="3">
        <f ca="1">IFERROR(__xludf.DUMMYFUNCTION("""COMPUTED_VALUE"""),875)</f>
        <v>875</v>
      </c>
      <c r="AA262" s="3">
        <f ca="1">IFERROR(__xludf.DUMMYFUNCTION("""COMPUTED_VALUE"""),655)</f>
        <v>655</v>
      </c>
      <c r="AB262" s="3">
        <f ca="1">IFERROR(__xludf.DUMMYFUNCTION("""COMPUTED_VALUE"""),0)</f>
        <v>0</v>
      </c>
      <c r="AC262" s="3">
        <f ca="1">IFERROR(__xludf.DUMMYFUNCTION("""COMPUTED_VALUE"""),12)</f>
        <v>12</v>
      </c>
      <c r="AD262" s="3" t="str">
        <f ca="1">IFERROR(__xludf.DUMMYFUNCTION("""COMPUTED_VALUE"""),"on time")</f>
        <v>on time</v>
      </c>
      <c r="AE262" s="3" t="str">
        <f ca="1">IFERROR(__xludf.DUMMYFUNCTION("""COMPUTED_VALUE"""),"2055-06-07T11:27:40.275224Z")</f>
        <v>2055-06-07T11:27:40.275224Z</v>
      </c>
      <c r="AF262" s="3" t="str">
        <f ca="1">IFERROR(__xludf.DUMMYFUNCTION("""COMPUTED_VALUE"""),"2055-06-07T11:38:35.59215Z")</f>
        <v>2055-06-07T11:38:35.59215Z</v>
      </c>
      <c r="AG262" s="3" t="str">
        <f ca="1">IFERROR(__xludf.DUMMYFUNCTION("""COMPUTED_VALUE"""),"2055-06-07T11:05:34.295203Z")</f>
        <v>2055-06-07T11:05:34.295203Z</v>
      </c>
      <c r="AH262" s="3" t="str">
        <f ca="1">IFERROR(__xludf.DUMMYFUNCTION("""COMPUTED_VALUE"""),"2055-06-07T11:13:05.490625Z")</f>
        <v>2055-06-07T11:13:05.490625Z</v>
      </c>
      <c r="AI262" s="3">
        <f ca="1">IFERROR(__xludf.DUMMYFUNCTION("""COMPUTED_VALUE"""),4.54)</f>
        <v>4.54</v>
      </c>
      <c r="AJ262" s="3">
        <f ca="1">IFERROR(__xludf.DUMMYFUNCTION("""COMPUTED_VALUE"""),2229)</f>
        <v>2229</v>
      </c>
      <c r="AK262" s="3">
        <f ca="1">IFERROR(__xludf.DUMMYFUNCTION("""COMPUTED_VALUE"""),6580)</f>
        <v>6580</v>
      </c>
      <c r="AL262" s="3"/>
    </row>
    <row r="263" spans="1:38" ht="13">
      <c r="A263" s="3">
        <f ca="1">IFERROR(__xludf.DUMMYFUNCTION("""COMPUTED_VALUE"""),185)</f>
        <v>185</v>
      </c>
      <c r="B263" s="3"/>
      <c r="C263" s="3">
        <f ca="1">IFERROR(__xludf.DUMMYFUNCTION("""COMPUTED_VALUE"""),4050)</f>
        <v>4050</v>
      </c>
      <c r="D263" s="3" t="str">
        <f ca="1">IFERROR(__xludf.DUMMYFUNCTION("""COMPUTED_VALUE"""),"Doorlanta")</f>
        <v>Doorlanta</v>
      </c>
      <c r="E263" s="3" t="str">
        <f ca="1">IFERROR(__xludf.DUMMYFUNCTION("""COMPUTED_VALUE"""),"Galaxy A")</f>
        <v>Galaxy A</v>
      </c>
      <c r="F263" s="3" t="str">
        <f ca="1">IFERROR(__xludf.DUMMYFUNCTION("""COMPUTED_VALUE"""),"Abhai")</f>
        <v>Abhai</v>
      </c>
      <c r="G263" s="3">
        <f ca="1">IFERROR(__xludf.DUMMYFUNCTION("""COMPUTED_VALUE"""),0)</f>
        <v>0</v>
      </c>
      <c r="H263" s="3" t="str">
        <f ca="1">IFERROR(__xludf.DUMMYFUNCTION("""COMPUTED_VALUE"""),"car")</f>
        <v>car</v>
      </c>
      <c r="I263" s="3" t="str">
        <f ca="1">IFERROR(__xludf.DUMMYFUNCTION("""COMPUTED_VALUE"""),"2055-06-02T22:22:47.06461Z")</f>
        <v>2055-06-02T22:22:47.06461Z</v>
      </c>
      <c r="J263" s="3" t="str">
        <f ca="1">IFERROR(__xludf.DUMMYFUNCTION("""COMPUTED_VALUE"""),"2055-06-02T23:41:17.138Z")</f>
        <v>2055-06-02T23:41:17.138Z</v>
      </c>
      <c r="K263" s="3" t="str">
        <f ca="1">IFERROR(__xludf.DUMMYFUNCTION("""COMPUTED_VALUE"""),"2055-06-02T23:21:38.138Z")</f>
        <v>2055-06-02T23:21:38.138Z</v>
      </c>
      <c r="L263" s="3">
        <f ca="1">IFERROR(__xludf.DUMMYFUNCTION("""COMPUTED_VALUE"""),1)</f>
        <v>1</v>
      </c>
      <c r="M263" s="3">
        <f ca="1">IFERROR(__xludf.DUMMYFUNCTION("""COMPUTED_VALUE"""),0)</f>
        <v>0</v>
      </c>
      <c r="N263" s="3" t="str">
        <f ca="1">IFERROR(__xludf.DUMMYFUNCTION("""COMPUTED_VALUE"""),"2055-06-02T23:24:42.123631Z")</f>
        <v>2055-06-02T23:24:42.123631Z</v>
      </c>
      <c r="O263" s="3" t="str">
        <f ca="1">IFERROR(__xludf.DUMMYFUNCTION("""COMPUTED_VALUE"""),"2055-06-02T23:42:45.398112Z")</f>
        <v>2055-06-02T23:42:45.398112Z</v>
      </c>
      <c r="P263" s="3" t="str">
        <f ca="1">IFERROR(__xludf.DUMMYFUNCTION("""COMPUTED_VALUE"""),"2055-06-02T22:25:07.364607Z")</f>
        <v>2055-06-02T22:25:07.364607Z</v>
      </c>
      <c r="Q263" s="3">
        <f ca="1">IFERROR(__xludf.DUMMYFUNCTION("""COMPUTED_VALUE"""),0)</f>
        <v>0</v>
      </c>
      <c r="R263" s="3" t="str">
        <f ca="1">IFERROR(__xludf.DUMMYFUNCTION("""COMPUTED_VALUE"""),"2055-06-02T22:25:13.363499Z")</f>
        <v>2055-06-02T22:25:13.363499Z</v>
      </c>
      <c r="S263" s="3"/>
      <c r="T263" s="3"/>
      <c r="U263" s="4">
        <f ca="1">IFERROR(__xludf.DUMMYFUNCTION("""COMPUTED_VALUE"""),56767)</f>
        <v>56767</v>
      </c>
      <c r="V263" s="3">
        <f ca="1">IFERROR(__xludf.DUMMYFUNCTION("""COMPUTED_VALUE"""),2.558877442)</f>
        <v>2.558877442</v>
      </c>
      <c r="W263" s="3">
        <f ca="1">IFERROR(__xludf.DUMMYFUNCTION("""COMPUTED_VALUE"""),3500)</f>
        <v>3500</v>
      </c>
      <c r="X263" s="3">
        <f ca="1">IFERROR(__xludf.DUMMYFUNCTION("""COMPUTED_VALUE"""),4652)</f>
        <v>4652</v>
      </c>
      <c r="Y263" s="3"/>
      <c r="Z263" s="3"/>
      <c r="AA263" s="3">
        <f ca="1">IFERROR(__xludf.DUMMYFUNCTION("""COMPUTED_VALUE"""),1083)</f>
        <v>1083</v>
      </c>
      <c r="AB263" s="3">
        <f ca="1">IFERROR(__xludf.DUMMYFUNCTION("""COMPUTED_VALUE"""),0)</f>
        <v>0</v>
      </c>
      <c r="AC263" s="3">
        <f ca="1">IFERROR(__xludf.DUMMYFUNCTION("""COMPUTED_VALUE"""),5)</f>
        <v>5</v>
      </c>
      <c r="AD263" s="3"/>
      <c r="AE263" s="3" t="str">
        <f ca="1">IFERROR(__xludf.DUMMYFUNCTION("""COMPUTED_VALUE"""),"2055-06-02T19:24:42.123631Z")</f>
        <v>2055-06-02T19:24:42.123631Z</v>
      </c>
      <c r="AF263" s="3" t="str">
        <f ca="1">IFERROR(__xludf.DUMMYFUNCTION("""COMPUTED_VALUE"""),"2055-06-02T19:42:45.398112Z")</f>
        <v>2055-06-02T19:42:45.398112Z</v>
      </c>
      <c r="AG263" s="3" t="str">
        <f ca="1">IFERROR(__xludf.DUMMYFUNCTION("""COMPUTED_VALUE"""),"2055-06-02T18:25:07.364607Z")</f>
        <v>2055-06-02T18:25:07.364607Z</v>
      </c>
      <c r="AH263" s="3"/>
      <c r="AI263" s="3">
        <f ca="1">IFERROR(__xludf.DUMMYFUNCTION("""COMPUTED_VALUE"""),4.56)</f>
        <v>4.5599999999999996</v>
      </c>
      <c r="AJ263" s="3">
        <f ca="1">IFERROR(__xludf.DUMMYFUNCTION("""COMPUTED_VALUE"""),344)</f>
        <v>344</v>
      </c>
      <c r="AK263" s="3">
        <f ca="1">IFERROR(__xludf.DUMMYFUNCTION("""COMPUTED_VALUE"""),947)</f>
        <v>947</v>
      </c>
      <c r="AL263" s="3">
        <f ca="1">IFERROR(__xludf.DUMMYFUNCTION("""COMPUTED_VALUE"""),22)</f>
        <v>22</v>
      </c>
    </row>
    <row r="264" spans="1:38" ht="13">
      <c r="A264" s="3">
        <f ca="1">IFERROR(__xludf.DUMMYFUNCTION("""COMPUTED_VALUE"""),420)</f>
        <v>420</v>
      </c>
      <c r="B264" s="3">
        <f ca="1">IFERROR(__xludf.DUMMYFUNCTION("""COMPUTED_VALUE"""),5)</f>
        <v>5</v>
      </c>
      <c r="C264" s="3">
        <f ca="1">IFERROR(__xludf.DUMMYFUNCTION("""COMPUTED_VALUE"""),4050)</f>
        <v>4050</v>
      </c>
      <c r="D264" s="3" t="str">
        <f ca="1">IFERROR(__xludf.DUMMYFUNCTION("""COMPUTED_VALUE"""),"Doorlanta")</f>
        <v>Doorlanta</v>
      </c>
      <c r="E264" s="3" t="str">
        <f ca="1">IFERROR(__xludf.DUMMYFUNCTION("""COMPUTED_VALUE"""),"Galaxy A")</f>
        <v>Galaxy A</v>
      </c>
      <c r="F264" s="3" t="str">
        <f ca="1">IFERROR(__xludf.DUMMYFUNCTION("""COMPUTED_VALUE"""),"Katelynn")</f>
        <v>Katelynn</v>
      </c>
      <c r="G264" s="3">
        <f ca="1">IFERROR(__xludf.DUMMYFUNCTION("""COMPUTED_VALUE"""),0)</f>
        <v>0</v>
      </c>
      <c r="H264" s="3" t="str">
        <f ca="1">IFERROR(__xludf.DUMMYFUNCTION("""COMPUTED_VALUE"""),"car")</f>
        <v>car</v>
      </c>
      <c r="I264" s="3" t="str">
        <f ca="1">IFERROR(__xludf.DUMMYFUNCTION("""COMPUTED_VALUE"""),"2055-06-04T17:10:53.486515Z")</f>
        <v>2055-06-04T17:10:53.486515Z</v>
      </c>
      <c r="J264" s="3" t="str">
        <f ca="1">IFERROR(__xludf.DUMMYFUNCTION("""COMPUTED_VALUE"""),"2055-06-04T17:59:14.566Z")</f>
        <v>2055-06-04T17:59:14.566Z</v>
      </c>
      <c r="K264" s="3" t="str">
        <f ca="1">IFERROR(__xludf.DUMMYFUNCTION("""COMPUTED_VALUE"""),"2055-06-04T17:50:21.566Z")</f>
        <v>2055-06-04T17:50:21.566Z</v>
      </c>
      <c r="L264" s="3">
        <f ca="1">IFERROR(__xludf.DUMMYFUNCTION("""COMPUTED_VALUE"""),1)</f>
        <v>1</v>
      </c>
      <c r="M264" s="3">
        <f ca="1">IFERROR(__xludf.DUMMYFUNCTION("""COMPUTED_VALUE"""),0)</f>
        <v>0</v>
      </c>
      <c r="N264" s="3" t="str">
        <f ca="1">IFERROR(__xludf.DUMMYFUNCTION("""COMPUTED_VALUE"""),"2055-06-04T17:30:32.531368Z")</f>
        <v>2055-06-04T17:30:32.531368Z</v>
      </c>
      <c r="O264" s="3" t="str">
        <f ca="1">IFERROR(__xludf.DUMMYFUNCTION("""COMPUTED_VALUE"""),"2055-06-04T17:46:52.752969Z")</f>
        <v>2055-06-04T17:46:52.752969Z</v>
      </c>
      <c r="P264" s="3" t="str">
        <f ca="1">IFERROR(__xludf.DUMMYFUNCTION("""COMPUTED_VALUE"""),"2055-06-04T17:11:07.287215Z")</f>
        <v>2055-06-04T17:11:07.287215Z</v>
      </c>
      <c r="Q264" s="3">
        <f ca="1">IFERROR(__xludf.DUMMYFUNCTION("""COMPUTED_VALUE"""),0)</f>
        <v>0</v>
      </c>
      <c r="R264" s="3" t="str">
        <f ca="1">IFERROR(__xludf.DUMMYFUNCTION("""COMPUTED_VALUE"""),"2055-06-04T17:11:20.328236Z")</f>
        <v>2055-06-04T17:11:20.328236Z</v>
      </c>
      <c r="S264" s="3" t="str">
        <f ca="1">IFERROR(__xludf.DUMMYFUNCTION("""COMPUTED_VALUE"""),"2055-06-04T17:31:41.451351Z")</f>
        <v>2055-06-04T17:31:41.451351Z</v>
      </c>
      <c r="T264" s="3"/>
      <c r="U264" s="4">
        <f ca="1">IFERROR(__xludf.DUMMYFUNCTION("""COMPUTED_VALUE"""),56769)</f>
        <v>56769</v>
      </c>
      <c r="V264" s="3">
        <f ca="1">IFERROR(__xludf.DUMMYFUNCTION("""COMPUTED_VALUE"""),4.6)</f>
        <v>4.5999999999999996</v>
      </c>
      <c r="W264" s="3">
        <f ca="1">IFERROR(__xludf.DUMMYFUNCTION("""COMPUTED_VALUE"""),3500)</f>
        <v>3500</v>
      </c>
      <c r="X264" s="3">
        <f ca="1">IFERROR(__xludf.DUMMYFUNCTION("""COMPUTED_VALUE"""),2132)</f>
        <v>2132</v>
      </c>
      <c r="Y264" s="3">
        <f ca="1">IFERROR(__xludf.DUMMYFUNCTION("""COMPUTED_VALUE"""),1221)</f>
        <v>1221</v>
      </c>
      <c r="Z264" s="3"/>
      <c r="AA264" s="3">
        <f ca="1">IFERROR(__xludf.DUMMYFUNCTION("""COMPUTED_VALUE"""),980)</f>
        <v>980</v>
      </c>
      <c r="AB264" s="3">
        <f ca="1">IFERROR(__xludf.DUMMYFUNCTION("""COMPUTED_VALUE"""),0)</f>
        <v>0</v>
      </c>
      <c r="AC264" s="3">
        <f ca="1">IFERROR(__xludf.DUMMYFUNCTION("""COMPUTED_VALUE"""),7)</f>
        <v>7</v>
      </c>
      <c r="AD264" s="3" t="str">
        <f ca="1">IFERROR(__xludf.DUMMYFUNCTION("""COMPUTED_VALUE"""),"on time")</f>
        <v>on time</v>
      </c>
      <c r="AE264" s="3" t="str">
        <f ca="1">IFERROR(__xludf.DUMMYFUNCTION("""COMPUTED_VALUE"""),"2055-06-04T13:30:32.531368Z")</f>
        <v>2055-06-04T13:30:32.531368Z</v>
      </c>
      <c r="AF264" s="3" t="str">
        <f ca="1">IFERROR(__xludf.DUMMYFUNCTION("""COMPUTED_VALUE"""),"2055-06-04T13:46:52.752969Z")</f>
        <v>2055-06-04T13:46:52.752969Z</v>
      </c>
      <c r="AG264" s="3" t="str">
        <f ca="1">IFERROR(__xludf.DUMMYFUNCTION("""COMPUTED_VALUE"""),"2055-06-04T13:11:07.287215Z")</f>
        <v>2055-06-04T13:11:07.287215Z</v>
      </c>
      <c r="AH264" s="3" t="str">
        <f ca="1">IFERROR(__xludf.DUMMYFUNCTION("""COMPUTED_VALUE"""),"2055-06-04T13:31:41.451351Z")</f>
        <v>2055-06-04T13:31:41.451351Z</v>
      </c>
      <c r="AI264" s="3">
        <f ca="1">IFERROR(__xludf.DUMMYFUNCTION("""COMPUTED_VALUE"""),4.7)</f>
        <v>4.7</v>
      </c>
      <c r="AJ264" s="3">
        <f ca="1">IFERROR(__xludf.DUMMYFUNCTION("""COMPUTED_VALUE"""),1261)</f>
        <v>1261</v>
      </c>
      <c r="AK264" s="3">
        <f ca="1">IFERROR(__xludf.DUMMYFUNCTION("""COMPUTED_VALUE"""),3264)</f>
        <v>3264</v>
      </c>
      <c r="AL264" s="3">
        <f ca="1">IFERROR(__xludf.DUMMYFUNCTION("""COMPUTED_VALUE"""),232)</f>
        <v>232</v>
      </c>
    </row>
    <row r="265" spans="1:38" ht="13">
      <c r="A265" s="3">
        <f ca="1">IFERROR(__xludf.DUMMYFUNCTION("""COMPUTED_VALUE"""),633)</f>
        <v>633</v>
      </c>
      <c r="B265" s="3">
        <f ca="1">IFERROR(__xludf.DUMMYFUNCTION("""COMPUTED_VALUE"""),5)</f>
        <v>5</v>
      </c>
      <c r="C265" s="3">
        <f ca="1">IFERROR(__xludf.DUMMYFUNCTION("""COMPUTED_VALUE"""),4050)</f>
        <v>4050</v>
      </c>
      <c r="D265" s="3" t="str">
        <f ca="1">IFERROR(__xludf.DUMMYFUNCTION("""COMPUTED_VALUE"""),"Doorlanta")</f>
        <v>Doorlanta</v>
      </c>
      <c r="E265" s="3" t="str">
        <f ca="1">IFERROR(__xludf.DUMMYFUNCTION("""COMPUTED_VALUE"""),"Galaxy A")</f>
        <v>Galaxy A</v>
      </c>
      <c r="F265" s="3" t="str">
        <f ca="1">IFERROR(__xludf.DUMMYFUNCTION("""COMPUTED_VALUE"""),"Katelynn")</f>
        <v>Katelynn</v>
      </c>
      <c r="G265" s="3">
        <f ca="1">IFERROR(__xludf.DUMMYFUNCTION("""COMPUTED_VALUE"""),0)</f>
        <v>0</v>
      </c>
      <c r="H265" s="3" t="str">
        <f ca="1">IFERROR(__xludf.DUMMYFUNCTION("""COMPUTED_VALUE"""),"car")</f>
        <v>car</v>
      </c>
      <c r="I265" s="3" t="str">
        <f ca="1">IFERROR(__xludf.DUMMYFUNCTION("""COMPUTED_VALUE"""),"2055-06-05T21:55:21.41259Z")</f>
        <v>2055-06-05T21:55:21.41259Z</v>
      </c>
      <c r="J265" s="3" t="str">
        <f ca="1">IFERROR(__xludf.DUMMYFUNCTION("""COMPUTED_VALUE"""),"2055-06-05T22:57:00.491Z")</f>
        <v>2055-06-05T22:57:00.491Z</v>
      </c>
      <c r="K265" s="3" t="str">
        <f ca="1">IFERROR(__xludf.DUMMYFUNCTION("""COMPUTED_VALUE"""),"2055-06-05T22:38:07.491Z")</f>
        <v>2055-06-05T22:38:07.491Z</v>
      </c>
      <c r="L265" s="3">
        <f ca="1">IFERROR(__xludf.DUMMYFUNCTION("""COMPUTED_VALUE"""),1)</f>
        <v>1</v>
      </c>
      <c r="M265" s="3">
        <f ca="1">IFERROR(__xludf.DUMMYFUNCTION("""COMPUTED_VALUE"""),0)</f>
        <v>0</v>
      </c>
      <c r="N265" s="3" t="str">
        <f ca="1">IFERROR(__xludf.DUMMYFUNCTION("""COMPUTED_VALUE"""),"2055-06-05T22:36:25.334796Z")</f>
        <v>2055-06-05T22:36:25.334796Z</v>
      </c>
      <c r="O265" s="3" t="str">
        <f ca="1">IFERROR(__xludf.DUMMYFUNCTION("""COMPUTED_VALUE"""),"2055-06-05T22:48:05.104298Z")</f>
        <v>2055-06-05T22:48:05.104298Z</v>
      </c>
      <c r="P265" s="3" t="str">
        <f ca="1">IFERROR(__xludf.DUMMYFUNCTION("""COMPUTED_VALUE"""),"2055-06-05T21:55:27.371234Z")</f>
        <v>2055-06-05T21:55:27.371234Z</v>
      </c>
      <c r="Q265" s="3">
        <f ca="1">IFERROR(__xludf.DUMMYFUNCTION("""COMPUTED_VALUE"""),0)</f>
        <v>0</v>
      </c>
      <c r="R265" s="3" t="str">
        <f ca="1">IFERROR(__xludf.DUMMYFUNCTION("""COMPUTED_VALUE"""),"2055-06-05T21:55:59.21939Z")</f>
        <v>2055-06-05T21:55:59.21939Z</v>
      </c>
      <c r="S265" s="3" t="str">
        <f ca="1">IFERROR(__xludf.DUMMYFUNCTION("""COMPUTED_VALUE"""),"2055-06-05T22:13:34.604434Z")</f>
        <v>2055-06-05T22:13:34.604434Z</v>
      </c>
      <c r="T265" s="3"/>
      <c r="U265" s="4">
        <f ca="1">IFERROR(__xludf.DUMMYFUNCTION("""COMPUTED_VALUE"""),56770)</f>
        <v>56770</v>
      </c>
      <c r="V265" s="3">
        <f ca="1">IFERROR(__xludf.DUMMYFUNCTION("""COMPUTED_VALUE"""),4.6)</f>
        <v>4.5999999999999996</v>
      </c>
      <c r="W265" s="3">
        <f ca="1">IFERROR(__xludf.DUMMYFUNCTION("""COMPUTED_VALUE"""),3500)</f>
        <v>3500</v>
      </c>
      <c r="X265" s="3">
        <f ca="1">IFERROR(__xludf.DUMMYFUNCTION("""COMPUTED_VALUE"""),3126)</f>
        <v>3126</v>
      </c>
      <c r="Y265" s="3">
        <f ca="1">IFERROR(__xludf.DUMMYFUNCTION("""COMPUTED_VALUE"""),1055)</f>
        <v>1055</v>
      </c>
      <c r="Z265" s="3">
        <f ca="1">IFERROR(__xludf.DUMMYFUNCTION("""COMPUTED_VALUE"""),1371)</f>
        <v>1371</v>
      </c>
      <c r="AA265" s="3">
        <f ca="1">IFERROR(__xludf.DUMMYFUNCTION("""COMPUTED_VALUE"""),700)</f>
        <v>700</v>
      </c>
      <c r="AB265" s="3">
        <f ca="1">IFERROR(__xludf.DUMMYFUNCTION("""COMPUTED_VALUE"""),0)</f>
        <v>0</v>
      </c>
      <c r="AC265" s="3">
        <f ca="1">IFERROR(__xludf.DUMMYFUNCTION("""COMPUTED_VALUE"""),2)</f>
        <v>2</v>
      </c>
      <c r="AD265" s="3"/>
      <c r="AE265" s="3" t="str">
        <f ca="1">IFERROR(__xludf.DUMMYFUNCTION("""COMPUTED_VALUE"""),"2055-06-05T18:36:25.334796Z")</f>
        <v>2055-06-05T18:36:25.334796Z</v>
      </c>
      <c r="AF265" s="3" t="str">
        <f ca="1">IFERROR(__xludf.DUMMYFUNCTION("""COMPUTED_VALUE"""),"2055-06-05T18:48:05.104298Z")</f>
        <v>2055-06-05T18:48:05.104298Z</v>
      </c>
      <c r="AG265" s="3" t="str">
        <f ca="1">IFERROR(__xludf.DUMMYFUNCTION("""COMPUTED_VALUE"""),"2055-06-05T17:55:27.371234Z")</f>
        <v>2055-06-05T17:55:27.371234Z</v>
      </c>
      <c r="AH265" s="3" t="str">
        <f ca="1">IFERROR(__xludf.DUMMYFUNCTION("""COMPUTED_VALUE"""),"2055-06-05T18:13:34.604434Z")</f>
        <v>2055-06-05T18:13:34.604434Z</v>
      </c>
      <c r="AI265" s="3">
        <f ca="1">IFERROR(__xludf.DUMMYFUNCTION("""COMPUTED_VALUE"""),4.7)</f>
        <v>4.7</v>
      </c>
      <c r="AJ265" s="3">
        <f ca="1">IFERROR(__xludf.DUMMYFUNCTION("""COMPUTED_VALUE"""),1261)</f>
        <v>1261</v>
      </c>
      <c r="AK265" s="3">
        <f ca="1">IFERROR(__xludf.DUMMYFUNCTION("""COMPUTED_VALUE"""),3264)</f>
        <v>3264</v>
      </c>
      <c r="AL265" s="3">
        <f ca="1">IFERROR(__xludf.DUMMYFUNCTION("""COMPUTED_VALUE"""),232)</f>
        <v>232</v>
      </c>
    </row>
    <row r="266" spans="1:38" ht="13">
      <c r="A266" s="3">
        <f ca="1">IFERROR(__xludf.DUMMYFUNCTION("""COMPUTED_VALUE"""),933)</f>
        <v>933</v>
      </c>
      <c r="B266" s="3"/>
      <c r="C266" s="3">
        <f ca="1">IFERROR(__xludf.DUMMYFUNCTION("""COMPUTED_VALUE"""),4001)</f>
        <v>4001</v>
      </c>
      <c r="D266" s="3" t="str">
        <f ca="1">IFERROR(__xludf.DUMMYFUNCTION("""COMPUTED_VALUE"""),"Dashattan")</f>
        <v>Dashattan</v>
      </c>
      <c r="E266" s="3" t="str">
        <f ca="1">IFERROR(__xludf.DUMMYFUNCTION("""COMPUTED_VALUE"""),"Galaxy A")</f>
        <v>Galaxy A</v>
      </c>
      <c r="F266" s="3" t="str">
        <f ca="1">IFERROR(__xludf.DUMMYFUNCTION("""COMPUTED_VALUE"""),"Rachael")</f>
        <v>Rachael</v>
      </c>
      <c r="G266" s="3">
        <f ca="1">IFERROR(__xludf.DUMMYFUNCTION("""COMPUTED_VALUE"""),0)</f>
        <v>0</v>
      </c>
      <c r="H266" s="3" t="str">
        <f ca="1">IFERROR(__xludf.DUMMYFUNCTION("""COMPUTED_VALUE"""),"bicycle")</f>
        <v>bicycle</v>
      </c>
      <c r="I266" s="3" t="str">
        <f ca="1">IFERROR(__xludf.DUMMYFUNCTION("""COMPUTED_VALUE"""),"2055-06-08T15:15:40.469304Z")</f>
        <v>2055-06-08T15:15:40.469304Z</v>
      </c>
      <c r="J266" s="3" t="str">
        <f ca="1">IFERROR(__xludf.DUMMYFUNCTION("""COMPUTED_VALUE"""),"2055-06-08T16:06:36.552Z")</f>
        <v>2055-06-08T16:06:36.552Z</v>
      </c>
      <c r="K266" s="3" t="str">
        <f ca="1">IFERROR(__xludf.DUMMYFUNCTION("""COMPUTED_VALUE"""),"2055-06-08T15:47:43.552Z")</f>
        <v>2055-06-08T15:47:43.552Z</v>
      </c>
      <c r="L266" s="3">
        <f ca="1">IFERROR(__xludf.DUMMYFUNCTION("""COMPUTED_VALUE"""),1)</f>
        <v>1</v>
      </c>
      <c r="M266" s="3">
        <f ca="1">IFERROR(__xludf.DUMMYFUNCTION("""COMPUTED_VALUE"""),0)</f>
        <v>0</v>
      </c>
      <c r="N266" s="3" t="str">
        <f ca="1">IFERROR(__xludf.DUMMYFUNCTION("""COMPUTED_VALUE"""),"2055-06-08T15:33:09.166794Z")</f>
        <v>2055-06-08T15:33:09.166794Z</v>
      </c>
      <c r="O266" s="3" t="str">
        <f ca="1">IFERROR(__xludf.DUMMYFUNCTION("""COMPUTED_VALUE"""),"2055-06-08T16:01:48.194686Z")</f>
        <v>2055-06-08T16:01:48.194686Z</v>
      </c>
      <c r="P266" s="3" t="str">
        <f ca="1">IFERROR(__xludf.DUMMYFUNCTION("""COMPUTED_VALUE"""),"2055-06-08T15:21:54.3774Z")</f>
        <v>2055-06-08T15:21:54.3774Z</v>
      </c>
      <c r="Q266" s="3">
        <f ca="1">IFERROR(__xludf.DUMMYFUNCTION("""COMPUTED_VALUE"""),0)</f>
        <v>0</v>
      </c>
      <c r="R266" s="3" t="str">
        <f ca="1">IFERROR(__xludf.DUMMYFUNCTION("""COMPUTED_VALUE"""),"2055-06-08T15:22:04.652239Z")</f>
        <v>2055-06-08T15:22:04.652239Z</v>
      </c>
      <c r="S266" s="3" t="str">
        <f ca="1">IFERROR(__xludf.DUMMYFUNCTION("""COMPUTED_VALUE"""),"2055-06-08T15:33:02.661904Z")</f>
        <v>2055-06-08T15:33:02.661904Z</v>
      </c>
      <c r="T266" s="3"/>
      <c r="U266" s="4">
        <f ca="1">IFERROR(__xludf.DUMMYFUNCTION("""COMPUTED_VALUE"""),56773)</f>
        <v>56773</v>
      </c>
      <c r="V266" s="3">
        <f ca="1">IFERROR(__xludf.DUMMYFUNCTION("""COMPUTED_VALUE"""),4.3)</f>
        <v>4.3</v>
      </c>
      <c r="W266" s="3">
        <f ca="1">IFERROR(__xludf.DUMMYFUNCTION("""COMPUTED_VALUE"""),3500)</f>
        <v>3500</v>
      </c>
      <c r="X266" s="3">
        <f ca="1">IFERROR(__xludf.DUMMYFUNCTION("""COMPUTED_VALUE"""),2384)</f>
        <v>2384</v>
      </c>
      <c r="Y266" s="3">
        <f ca="1">IFERROR(__xludf.DUMMYFUNCTION("""COMPUTED_VALUE"""),658)</f>
        <v>658</v>
      </c>
      <c r="Z266" s="3">
        <f ca="1">IFERROR(__xludf.DUMMYFUNCTION("""COMPUTED_VALUE"""),7)</f>
        <v>7</v>
      </c>
      <c r="AA266" s="3">
        <f ca="1">IFERROR(__xludf.DUMMYFUNCTION("""COMPUTED_VALUE"""),1719)</f>
        <v>1719</v>
      </c>
      <c r="AB266" s="3">
        <f ca="1">IFERROR(__xludf.DUMMYFUNCTION("""COMPUTED_VALUE"""),0)</f>
        <v>0</v>
      </c>
      <c r="AC266" s="3">
        <f ca="1">IFERROR(__xludf.DUMMYFUNCTION("""COMPUTED_VALUE"""),3)</f>
        <v>3</v>
      </c>
      <c r="AD266" s="3" t="str">
        <f ca="1">IFERROR(__xludf.DUMMYFUNCTION("""COMPUTED_VALUE"""),"late")</f>
        <v>late</v>
      </c>
      <c r="AE266" s="3" t="str">
        <f ca="1">IFERROR(__xludf.DUMMYFUNCTION("""COMPUTED_VALUE"""),"2055-06-08T11:33:09.166794Z")</f>
        <v>2055-06-08T11:33:09.166794Z</v>
      </c>
      <c r="AF266" s="3" t="str">
        <f ca="1">IFERROR(__xludf.DUMMYFUNCTION("""COMPUTED_VALUE"""),"2055-06-08T12:01:48.194686Z")</f>
        <v>2055-06-08T12:01:48.194686Z</v>
      </c>
      <c r="AG266" s="3" t="str">
        <f ca="1">IFERROR(__xludf.DUMMYFUNCTION("""COMPUTED_VALUE"""),"2055-06-08T11:21:54.3774Z")</f>
        <v>2055-06-08T11:21:54.3774Z</v>
      </c>
      <c r="AH266" s="3" t="str">
        <f ca="1">IFERROR(__xludf.DUMMYFUNCTION("""COMPUTED_VALUE"""),"2055-06-08T11:33:02.661904Z")</f>
        <v>2055-06-08T11:33:02.661904Z</v>
      </c>
      <c r="AI266" s="3">
        <f ca="1">IFERROR(__xludf.DUMMYFUNCTION("""COMPUTED_VALUE"""),4.47)</f>
        <v>4.47</v>
      </c>
      <c r="AJ266" s="3">
        <f ca="1">IFERROR(__xludf.DUMMYFUNCTION("""COMPUTED_VALUE"""),78)</f>
        <v>78</v>
      </c>
      <c r="AK266" s="3">
        <f ca="1">IFERROR(__xludf.DUMMYFUNCTION("""COMPUTED_VALUE"""),278)</f>
        <v>278</v>
      </c>
      <c r="AL266" s="3">
        <f ca="1">IFERROR(__xludf.DUMMYFUNCTION("""COMPUTED_VALUE"""),26)</f>
        <v>26</v>
      </c>
    </row>
    <row r="267" spans="1:38" ht="13">
      <c r="A267" s="3">
        <f ca="1">IFERROR(__xludf.DUMMYFUNCTION("""COMPUTED_VALUE"""),979)</f>
        <v>979</v>
      </c>
      <c r="B267" s="3"/>
      <c r="C267" s="3">
        <f ca="1">IFERROR(__xludf.DUMMYFUNCTION("""COMPUTED_VALUE"""),4001)</f>
        <v>4001</v>
      </c>
      <c r="D267" s="3" t="str">
        <f ca="1">IFERROR(__xludf.DUMMYFUNCTION("""COMPUTED_VALUE"""),"Dashattan")</f>
        <v>Dashattan</v>
      </c>
      <c r="E267" s="3" t="str">
        <f ca="1">IFERROR(__xludf.DUMMYFUNCTION("""COMPUTED_VALUE"""),"Galaxy A")</f>
        <v>Galaxy A</v>
      </c>
      <c r="F267" s="3" t="str">
        <f ca="1">IFERROR(__xludf.DUMMYFUNCTION("""COMPUTED_VALUE"""),"KC")</f>
        <v>KC</v>
      </c>
      <c r="G267" s="3">
        <f ca="1">IFERROR(__xludf.DUMMYFUNCTION("""COMPUTED_VALUE"""),0)</f>
        <v>0</v>
      </c>
      <c r="H267" s="3" t="str">
        <f ca="1">IFERROR(__xludf.DUMMYFUNCTION("""COMPUTED_VALUE"""),"car")</f>
        <v>car</v>
      </c>
      <c r="I267" s="3" t="str">
        <f ca="1">IFERROR(__xludf.DUMMYFUNCTION("""COMPUTED_VALUE"""),"2055-06-08T22:39:16.918905Z")</f>
        <v>2055-06-08T22:39:16.918905Z</v>
      </c>
      <c r="J267" s="3" t="str">
        <f ca="1">IFERROR(__xludf.DUMMYFUNCTION("""COMPUTED_VALUE"""),"2055-06-08T23:24:06.962Z")</f>
        <v>2055-06-08T23:24:06.962Z</v>
      </c>
      <c r="K267" s="3" t="str">
        <f ca="1">IFERROR(__xludf.DUMMYFUNCTION("""COMPUTED_VALUE"""),"2055-06-08T23:14:27.962Z")</f>
        <v>2055-06-08T23:14:27.962Z</v>
      </c>
      <c r="L267" s="3">
        <f ca="1">IFERROR(__xludf.DUMMYFUNCTION("""COMPUTED_VALUE"""),1)</f>
        <v>1</v>
      </c>
      <c r="M267" s="3">
        <f ca="1">IFERROR(__xludf.DUMMYFUNCTION("""COMPUTED_VALUE"""),0)</f>
        <v>0</v>
      </c>
      <c r="N267" s="3" t="str">
        <f ca="1">IFERROR(__xludf.DUMMYFUNCTION("""COMPUTED_VALUE"""),"2055-06-08T23:04:03.846223Z")</f>
        <v>2055-06-08T23:04:03.846223Z</v>
      </c>
      <c r="O267" s="3" t="str">
        <f ca="1">IFERROR(__xludf.DUMMYFUNCTION("""COMPUTED_VALUE"""),"2055-06-08T23:12:25.871638Z")</f>
        <v>2055-06-08T23:12:25.871638Z</v>
      </c>
      <c r="P267" s="3" t="str">
        <f ca="1">IFERROR(__xludf.DUMMYFUNCTION("""COMPUTED_VALUE"""),"2055-06-08T22:54:14.553918Z")</f>
        <v>2055-06-08T22:54:14.553918Z</v>
      </c>
      <c r="Q267" s="3">
        <f ca="1">IFERROR(__xludf.DUMMYFUNCTION("""COMPUTED_VALUE"""),0)</f>
        <v>0</v>
      </c>
      <c r="R267" s="3" t="str">
        <f ca="1">IFERROR(__xludf.DUMMYFUNCTION("""COMPUTED_VALUE"""),"2055-06-08T22:54:38.147282Z")</f>
        <v>2055-06-08T22:54:38.147282Z</v>
      </c>
      <c r="S267" s="3" t="str">
        <f ca="1">IFERROR(__xludf.DUMMYFUNCTION("""COMPUTED_VALUE"""),"2055-06-08T23:00:06.509615Z")</f>
        <v>2055-06-08T23:00:06.509615Z</v>
      </c>
      <c r="T267" s="3"/>
      <c r="U267" s="4">
        <f ca="1">IFERROR(__xludf.DUMMYFUNCTION("""COMPUTED_VALUE"""),56773)</f>
        <v>56773</v>
      </c>
      <c r="V267" s="3">
        <f ca="1">IFERROR(__xludf.DUMMYFUNCTION("""COMPUTED_VALUE"""),4.1)</f>
        <v>4.0999999999999996</v>
      </c>
      <c r="W267" s="3">
        <f ca="1">IFERROR(__xludf.DUMMYFUNCTION("""COMPUTED_VALUE"""),3500)</f>
        <v>3500</v>
      </c>
      <c r="X267" s="3">
        <f ca="1">IFERROR(__xludf.DUMMYFUNCTION("""COMPUTED_VALUE"""),1067)</f>
        <v>1067</v>
      </c>
      <c r="Y267" s="3">
        <f ca="1">IFERROR(__xludf.DUMMYFUNCTION("""COMPUTED_VALUE"""),328)</f>
        <v>328</v>
      </c>
      <c r="Z267" s="3">
        <f ca="1">IFERROR(__xludf.DUMMYFUNCTION("""COMPUTED_VALUE"""),237)</f>
        <v>237</v>
      </c>
      <c r="AA267" s="3">
        <f ca="1">IFERROR(__xludf.DUMMYFUNCTION("""COMPUTED_VALUE"""),502)</f>
        <v>502</v>
      </c>
      <c r="AB267" s="3">
        <f ca="1">IFERROR(__xludf.DUMMYFUNCTION("""COMPUTED_VALUE"""),0)</f>
        <v>0</v>
      </c>
      <c r="AC267" s="3">
        <f ca="1">IFERROR(__xludf.DUMMYFUNCTION("""COMPUTED_VALUE"""),4)</f>
        <v>4</v>
      </c>
      <c r="AD267" s="3" t="str">
        <f ca="1">IFERROR(__xludf.DUMMYFUNCTION("""COMPUTED_VALUE"""),"late")</f>
        <v>late</v>
      </c>
      <c r="AE267" s="3" t="str">
        <f ca="1">IFERROR(__xludf.DUMMYFUNCTION("""COMPUTED_VALUE"""),"2055-06-08T19:04:03.846223Z")</f>
        <v>2055-06-08T19:04:03.846223Z</v>
      </c>
      <c r="AF267" s="3" t="str">
        <f ca="1">IFERROR(__xludf.DUMMYFUNCTION("""COMPUTED_VALUE"""),"2055-06-08T19:12:25.871638Z")</f>
        <v>2055-06-08T19:12:25.871638Z</v>
      </c>
      <c r="AG267" s="3" t="str">
        <f ca="1">IFERROR(__xludf.DUMMYFUNCTION("""COMPUTED_VALUE"""),"2055-06-08T18:54:14.553918Z")</f>
        <v>2055-06-08T18:54:14.553918Z</v>
      </c>
      <c r="AH267" s="3" t="str">
        <f ca="1">IFERROR(__xludf.DUMMYFUNCTION("""COMPUTED_VALUE"""),"2055-06-08T19:00:06.509615Z")</f>
        <v>2055-06-08T19:00:06.509615Z</v>
      </c>
      <c r="AI267" s="3">
        <f ca="1">IFERROR(__xludf.DUMMYFUNCTION("""COMPUTED_VALUE"""),4.54)</f>
        <v>4.54</v>
      </c>
      <c r="AJ267" s="3">
        <f ca="1">IFERROR(__xludf.DUMMYFUNCTION("""COMPUTED_VALUE"""),2229)</f>
        <v>2229</v>
      </c>
      <c r="AK267" s="3">
        <f ca="1">IFERROR(__xludf.DUMMYFUNCTION("""COMPUTED_VALUE"""),6580)</f>
        <v>6580</v>
      </c>
      <c r="AL267" s="3"/>
    </row>
    <row r="268" spans="1:38" ht="13">
      <c r="A268" s="3">
        <f ca="1">IFERROR(__xludf.DUMMYFUNCTION("""COMPUTED_VALUE"""),1241)</f>
        <v>1241</v>
      </c>
      <c r="B268" s="3">
        <f ca="1">IFERROR(__xludf.DUMMYFUNCTION("""COMPUTED_VALUE"""),5)</f>
        <v>5</v>
      </c>
      <c r="C268" s="3">
        <f ca="1">IFERROR(__xludf.DUMMYFUNCTION("""COMPUTED_VALUE"""),4001)</f>
        <v>4001</v>
      </c>
      <c r="D268" s="3" t="str">
        <f ca="1">IFERROR(__xludf.DUMMYFUNCTION("""COMPUTED_VALUE"""),"Dashattan")</f>
        <v>Dashattan</v>
      </c>
      <c r="E268" s="3" t="str">
        <f ca="1">IFERROR(__xludf.DUMMYFUNCTION("""COMPUTED_VALUE"""),"Galaxy A")</f>
        <v>Galaxy A</v>
      </c>
      <c r="F268" s="3" t="str">
        <f ca="1">IFERROR(__xludf.DUMMYFUNCTION("""COMPUTED_VALUE"""),"Rojan")</f>
        <v>Rojan</v>
      </c>
      <c r="G268" s="3">
        <f ca="1">IFERROR(__xludf.DUMMYFUNCTION("""COMPUTED_VALUE"""),0)</f>
        <v>0</v>
      </c>
      <c r="H268" s="3" t="str">
        <f ca="1">IFERROR(__xludf.DUMMYFUNCTION("""COMPUTED_VALUE"""),"bicycle")</f>
        <v>bicycle</v>
      </c>
      <c r="I268" s="3" t="str">
        <f ca="1">IFERROR(__xludf.DUMMYFUNCTION("""COMPUTED_VALUE"""),"2055-06-11T15:04:04.927966Z")</f>
        <v>2055-06-11T15:04:04.927966Z</v>
      </c>
      <c r="J268" s="3" t="str">
        <f ca="1">IFERROR(__xludf.DUMMYFUNCTION("""COMPUTED_VALUE"""),"2055-06-11T15:43:43.992Z")</f>
        <v>2055-06-11T15:43:43.992Z</v>
      </c>
      <c r="K268" s="3" t="str">
        <f ca="1">IFERROR(__xludf.DUMMYFUNCTION("""COMPUTED_VALUE"""),"2055-06-11T15:34:50.992Z")</f>
        <v>2055-06-11T15:34:50.992Z</v>
      </c>
      <c r="L268" s="3">
        <f ca="1">IFERROR(__xludf.DUMMYFUNCTION("""COMPUTED_VALUE"""),1)</f>
        <v>1</v>
      </c>
      <c r="M268" s="3">
        <f ca="1">IFERROR(__xludf.DUMMYFUNCTION("""COMPUTED_VALUE"""),0)</f>
        <v>0</v>
      </c>
      <c r="N268" s="3" t="str">
        <f ca="1">IFERROR(__xludf.DUMMYFUNCTION("""COMPUTED_VALUE"""),"2055-06-11T15:17:22.915387Z")</f>
        <v>2055-06-11T15:17:22.915387Z</v>
      </c>
      <c r="O268" s="3" t="str">
        <f ca="1">IFERROR(__xludf.DUMMYFUNCTION("""COMPUTED_VALUE"""),"2055-06-11T15:20:23.707946Z")</f>
        <v>2055-06-11T15:20:23.707946Z</v>
      </c>
      <c r="P268" s="3" t="str">
        <f ca="1">IFERROR(__xludf.DUMMYFUNCTION("""COMPUTED_VALUE"""),"2055-06-11T15:05:14.231372Z")</f>
        <v>2055-06-11T15:05:14.231372Z</v>
      </c>
      <c r="Q268" s="3">
        <f ca="1">IFERROR(__xludf.DUMMYFUNCTION("""COMPUTED_VALUE"""),0)</f>
        <v>0</v>
      </c>
      <c r="R268" s="3" t="str">
        <f ca="1">IFERROR(__xludf.DUMMYFUNCTION("""COMPUTED_VALUE"""),"2055-06-11T15:05:29.699596Z")</f>
        <v>2055-06-11T15:05:29.699596Z</v>
      </c>
      <c r="S268" s="3" t="str">
        <f ca="1">IFERROR(__xludf.DUMMYFUNCTION("""COMPUTED_VALUE"""),"2055-06-11T15:09:16.529149Z")</f>
        <v>2055-06-11T15:09:16.529149Z</v>
      </c>
      <c r="T268" s="3"/>
      <c r="U268" s="4">
        <f ca="1">IFERROR(__xludf.DUMMYFUNCTION("""COMPUTED_VALUE"""),56776)</f>
        <v>56776</v>
      </c>
      <c r="V268" s="3">
        <f ca="1">IFERROR(__xludf.DUMMYFUNCTION("""COMPUTED_VALUE"""),4.3)</f>
        <v>4.3</v>
      </c>
      <c r="W268" s="3">
        <f ca="1">IFERROR(__xludf.DUMMYFUNCTION("""COMPUTED_VALUE"""),3500)</f>
        <v>3500</v>
      </c>
      <c r="X268" s="3">
        <f ca="1">IFERROR(__xludf.DUMMYFUNCTION("""COMPUTED_VALUE"""),894)</f>
        <v>894</v>
      </c>
      <c r="Y268" s="3">
        <f ca="1">IFERROR(__xludf.DUMMYFUNCTION("""COMPUTED_VALUE"""),227)</f>
        <v>227</v>
      </c>
      <c r="Z268" s="3">
        <f ca="1">IFERROR(__xludf.DUMMYFUNCTION("""COMPUTED_VALUE"""),486)</f>
        <v>486</v>
      </c>
      <c r="AA268" s="3">
        <f ca="1">IFERROR(__xludf.DUMMYFUNCTION("""COMPUTED_VALUE"""),181)</f>
        <v>181</v>
      </c>
      <c r="AB268" s="3">
        <f ca="1">IFERROR(__xludf.DUMMYFUNCTION("""COMPUTED_VALUE"""),0)</f>
        <v>0</v>
      </c>
      <c r="AC268" s="3">
        <f ca="1">IFERROR(__xludf.DUMMYFUNCTION("""COMPUTED_VALUE"""),5)</f>
        <v>5</v>
      </c>
      <c r="AD268" s="3" t="str">
        <f ca="1">IFERROR(__xludf.DUMMYFUNCTION("""COMPUTED_VALUE"""),"on time")</f>
        <v>on time</v>
      </c>
      <c r="AE268" s="3" t="str">
        <f ca="1">IFERROR(__xludf.DUMMYFUNCTION("""COMPUTED_VALUE"""),"2055-06-11T11:17:22.915387Z")</f>
        <v>2055-06-11T11:17:22.915387Z</v>
      </c>
      <c r="AF268" s="3" t="str">
        <f ca="1">IFERROR(__xludf.DUMMYFUNCTION("""COMPUTED_VALUE"""),"2055-06-11T11:20:23.707946Z")</f>
        <v>2055-06-11T11:20:23.707946Z</v>
      </c>
      <c r="AG268" s="3" t="str">
        <f ca="1">IFERROR(__xludf.DUMMYFUNCTION("""COMPUTED_VALUE"""),"2055-06-11T11:05:14.231372Z")</f>
        <v>2055-06-11T11:05:14.231372Z</v>
      </c>
      <c r="AH268" s="3" t="str">
        <f ca="1">IFERROR(__xludf.DUMMYFUNCTION("""COMPUTED_VALUE"""),"2055-06-11T11:09:16.529149Z")</f>
        <v>2055-06-11T11:09:16.529149Z</v>
      </c>
      <c r="AI268" s="3">
        <f ca="1">IFERROR(__xludf.DUMMYFUNCTION("""COMPUTED_VALUE"""),4.58)</f>
        <v>4.58</v>
      </c>
      <c r="AJ268" s="3">
        <f ca="1">IFERROR(__xludf.DUMMYFUNCTION("""COMPUTED_VALUE"""),254)</f>
        <v>254</v>
      </c>
      <c r="AK268" s="3">
        <f ca="1">IFERROR(__xludf.DUMMYFUNCTION("""COMPUTED_VALUE"""),788)</f>
        <v>788</v>
      </c>
      <c r="AL268" s="3">
        <f ca="1">IFERROR(__xludf.DUMMYFUNCTION("""COMPUTED_VALUE"""),9)</f>
        <v>9</v>
      </c>
    </row>
    <row r="269" spans="1:38" ht="13">
      <c r="A269" s="3">
        <f ca="1">IFERROR(__xludf.DUMMYFUNCTION("""COMPUTED_VALUE"""),83)</f>
        <v>83</v>
      </c>
      <c r="B269" s="3">
        <f ca="1">IFERROR(__xludf.DUMMYFUNCTION("""COMPUTED_VALUE"""),3)</f>
        <v>3</v>
      </c>
      <c r="C269" s="3">
        <f ca="1">IFERROR(__xludf.DUMMYFUNCTION("""COMPUTED_VALUE"""),4050)</f>
        <v>4050</v>
      </c>
      <c r="D269" s="3" t="str">
        <f ca="1">IFERROR(__xludf.DUMMYFUNCTION("""COMPUTED_VALUE"""),"Doorlanta")</f>
        <v>Doorlanta</v>
      </c>
      <c r="E269" s="3" t="str">
        <f ca="1">IFERROR(__xludf.DUMMYFUNCTION("""COMPUTED_VALUE"""),"Galaxy A")</f>
        <v>Galaxy A</v>
      </c>
      <c r="F269" s="3" t="str">
        <f ca="1">IFERROR(__xludf.DUMMYFUNCTION("""COMPUTED_VALUE"""),"Lauran")</f>
        <v>Lauran</v>
      </c>
      <c r="G269" s="3">
        <f ca="1">IFERROR(__xludf.DUMMYFUNCTION("""COMPUTED_VALUE"""),0)</f>
        <v>0</v>
      </c>
      <c r="H269" s="3" t="str">
        <f ca="1">IFERROR(__xludf.DUMMYFUNCTION("""COMPUTED_VALUE"""),"car")</f>
        <v>car</v>
      </c>
      <c r="I269" s="3" t="str">
        <f ca="1">IFERROR(__xludf.DUMMYFUNCTION("""COMPUTED_VALUE"""),"2055-06-01T23:40:37.410033Z")</f>
        <v>2055-06-01T23:40:37.410033Z</v>
      </c>
      <c r="J269" s="3" t="str">
        <f ca="1">IFERROR(__xludf.DUMMYFUNCTION("""COMPUTED_VALUE"""),"2055-06-02T00:36:10.487Z")</f>
        <v>2055-06-02T00:36:10.487Z</v>
      </c>
      <c r="K269" s="3" t="str">
        <f ca="1">IFERROR(__xludf.DUMMYFUNCTION("""COMPUTED_VALUE"""),"2055-06-02T00:22:52.487Z")</f>
        <v>2055-06-02T00:22:52.487Z</v>
      </c>
      <c r="L269" s="3">
        <f ca="1">IFERROR(__xludf.DUMMYFUNCTION("""COMPUTED_VALUE"""),1)</f>
        <v>1</v>
      </c>
      <c r="M269" s="3">
        <f ca="1">IFERROR(__xludf.DUMMYFUNCTION("""COMPUTED_VALUE"""),0)</f>
        <v>0</v>
      </c>
      <c r="N269" s="3" t="str">
        <f ca="1">IFERROR(__xludf.DUMMYFUNCTION("""COMPUTED_VALUE"""),"2055-06-02T00:16:32.006443Z")</f>
        <v>2055-06-02T00:16:32.006443Z</v>
      </c>
      <c r="O269" s="3" t="str">
        <f ca="1">IFERROR(__xludf.DUMMYFUNCTION("""COMPUTED_VALUE"""),"2055-06-02T00:41:42.792693Z")</f>
        <v>2055-06-02T00:41:42.792693Z</v>
      </c>
      <c r="P269" s="3" t="str">
        <f ca="1">IFERROR(__xludf.DUMMYFUNCTION("""COMPUTED_VALUE"""),"2055-06-01T23:58:27.329542Z")</f>
        <v>2055-06-01T23:58:27.329542Z</v>
      </c>
      <c r="Q269" s="3">
        <f ca="1">IFERROR(__xludf.DUMMYFUNCTION("""COMPUTED_VALUE"""),0)</f>
        <v>0</v>
      </c>
      <c r="R269" s="3" t="str">
        <f ca="1">IFERROR(__xludf.DUMMYFUNCTION("""COMPUTED_VALUE"""),"2055-06-01T23:58:30.163561Z")</f>
        <v>2055-06-01T23:58:30.163561Z</v>
      </c>
      <c r="S269" s="3"/>
      <c r="T269" s="3"/>
      <c r="U269" s="4">
        <f ca="1">IFERROR(__xludf.DUMMYFUNCTION("""COMPUTED_VALUE"""),56766)</f>
        <v>56766</v>
      </c>
      <c r="V269" s="3">
        <f ca="1">IFERROR(__xludf.DUMMYFUNCTION("""COMPUTED_VALUE"""),4.5)</f>
        <v>4.5</v>
      </c>
      <c r="W269" s="3">
        <f ca="1">IFERROR(__xludf.DUMMYFUNCTION("""COMPUTED_VALUE"""),3500)</f>
        <v>3500</v>
      </c>
      <c r="X269" s="3">
        <f ca="1">IFERROR(__xludf.DUMMYFUNCTION("""COMPUTED_VALUE"""),2592)</f>
        <v>2592</v>
      </c>
      <c r="Y269" s="3"/>
      <c r="Z269" s="3"/>
      <c r="AA269" s="3">
        <f ca="1">IFERROR(__xludf.DUMMYFUNCTION("""COMPUTED_VALUE"""),1510)</f>
        <v>1510</v>
      </c>
      <c r="AB269" s="3">
        <f ca="1">IFERROR(__xludf.DUMMYFUNCTION("""COMPUTED_VALUE"""),0)</f>
        <v>0</v>
      </c>
      <c r="AC269" s="3">
        <f ca="1">IFERROR(__xludf.DUMMYFUNCTION("""COMPUTED_VALUE"""),2)</f>
        <v>2</v>
      </c>
      <c r="AD269" s="3"/>
      <c r="AE269" s="3" t="str">
        <f ca="1">IFERROR(__xludf.DUMMYFUNCTION("""COMPUTED_VALUE"""),"2055-06-01T20:16:32.006443Z")</f>
        <v>2055-06-01T20:16:32.006443Z</v>
      </c>
      <c r="AF269" s="3" t="str">
        <f ca="1">IFERROR(__xludf.DUMMYFUNCTION("""COMPUTED_VALUE"""),"2055-06-01T20:41:42.792693Z")</f>
        <v>2055-06-01T20:41:42.792693Z</v>
      </c>
      <c r="AG269" s="3" t="str">
        <f ca="1">IFERROR(__xludf.DUMMYFUNCTION("""COMPUTED_VALUE"""),"2055-06-01T19:58:27.329542Z")</f>
        <v>2055-06-01T19:58:27.329542Z</v>
      </c>
      <c r="AH269" s="3"/>
      <c r="AI269" s="3">
        <f ca="1">IFERROR(__xludf.DUMMYFUNCTION("""COMPUTED_VALUE"""),4.42)</f>
        <v>4.42</v>
      </c>
      <c r="AJ269" s="3">
        <f ca="1">IFERROR(__xludf.DUMMYFUNCTION("""COMPUTED_VALUE"""),1396)</f>
        <v>1396</v>
      </c>
      <c r="AK269" s="3">
        <f ca="1">IFERROR(__xludf.DUMMYFUNCTION("""COMPUTED_VALUE"""),4836)</f>
        <v>4836</v>
      </c>
      <c r="AL269" s="3">
        <f ca="1">IFERROR(__xludf.DUMMYFUNCTION("""COMPUTED_VALUE"""),1278)</f>
        <v>1278</v>
      </c>
    </row>
    <row r="270" spans="1:38" ht="13">
      <c r="A270" s="3">
        <f ca="1">IFERROR(__xludf.DUMMYFUNCTION("""COMPUTED_VALUE"""),1240)</f>
        <v>1240</v>
      </c>
      <c r="B270" s="3">
        <f ca="1">IFERROR(__xludf.DUMMYFUNCTION("""COMPUTED_VALUE"""),5)</f>
        <v>5</v>
      </c>
      <c r="C270" s="3">
        <f ca="1">IFERROR(__xludf.DUMMYFUNCTION("""COMPUTED_VALUE"""),4001)</f>
        <v>4001</v>
      </c>
      <c r="D270" s="3" t="str">
        <f ca="1">IFERROR(__xludf.DUMMYFUNCTION("""COMPUTED_VALUE"""),"Dashattan")</f>
        <v>Dashattan</v>
      </c>
      <c r="E270" s="3" t="str">
        <f ca="1">IFERROR(__xludf.DUMMYFUNCTION("""COMPUTED_VALUE"""),"Galaxy A")</f>
        <v>Galaxy A</v>
      </c>
      <c r="F270" s="3" t="str">
        <f ca="1">IFERROR(__xludf.DUMMYFUNCTION("""COMPUTED_VALUE"""),"KC")</f>
        <v>KC</v>
      </c>
      <c r="G270" s="3">
        <f ca="1">IFERROR(__xludf.DUMMYFUNCTION("""COMPUTED_VALUE"""),0)</f>
        <v>0</v>
      </c>
      <c r="H270" s="3" t="str">
        <f ca="1">IFERROR(__xludf.DUMMYFUNCTION("""COMPUTED_VALUE"""),"car")</f>
        <v>car</v>
      </c>
      <c r="I270" s="3" t="str">
        <f ca="1">IFERROR(__xludf.DUMMYFUNCTION("""COMPUTED_VALUE"""),"2055-06-11T14:52:17.076122Z")</f>
        <v>2055-06-11T14:52:17.076122Z</v>
      </c>
      <c r="J270" s="3" t="str">
        <f ca="1">IFERROR(__xludf.DUMMYFUNCTION("""COMPUTED_VALUE"""),"2055-06-11T15:38:55.162Z")</f>
        <v>2055-06-11T15:38:55.162Z</v>
      </c>
      <c r="K270" s="3" t="str">
        <f ca="1">IFERROR(__xludf.DUMMYFUNCTION("""COMPUTED_VALUE"""),"2055-06-11T15:25:02.162Z")</f>
        <v>2055-06-11T15:25:02.162Z</v>
      </c>
      <c r="L270" s="3">
        <f ca="1">IFERROR(__xludf.DUMMYFUNCTION("""COMPUTED_VALUE"""),1)</f>
        <v>1</v>
      </c>
      <c r="M270" s="3">
        <f ca="1">IFERROR(__xludf.DUMMYFUNCTION("""COMPUTED_VALUE"""),0)</f>
        <v>0</v>
      </c>
      <c r="N270" s="3" t="str">
        <f ca="1">IFERROR(__xludf.DUMMYFUNCTION("""COMPUTED_VALUE"""),"2055-06-11T15:13:09.516852Z")</f>
        <v>2055-06-11T15:13:09.516852Z</v>
      </c>
      <c r="O270" s="3" t="str">
        <f ca="1">IFERROR(__xludf.DUMMYFUNCTION("""COMPUTED_VALUE"""),"2055-06-11T15:25:47.999657Z")</f>
        <v>2055-06-11T15:25:47.999657Z</v>
      </c>
      <c r="P270" s="3" t="str">
        <f ca="1">IFERROR(__xludf.DUMMYFUNCTION("""COMPUTED_VALUE"""),"2055-06-11T14:55:14.189685Z")</f>
        <v>2055-06-11T14:55:14.189685Z</v>
      </c>
      <c r="Q270" s="3">
        <f ca="1">IFERROR(__xludf.DUMMYFUNCTION("""COMPUTED_VALUE"""),0)</f>
        <v>0</v>
      </c>
      <c r="R270" s="3" t="str">
        <f ca="1">IFERROR(__xludf.DUMMYFUNCTION("""COMPUTED_VALUE"""),"2055-06-11T14:55:26.8167Z")</f>
        <v>2055-06-11T14:55:26.8167Z</v>
      </c>
      <c r="S270" s="3" t="str">
        <f ca="1">IFERROR(__xludf.DUMMYFUNCTION("""COMPUTED_VALUE"""),"2055-06-11T15:06:22.055261Z")</f>
        <v>2055-06-11T15:06:22.055261Z</v>
      </c>
      <c r="T270" s="3"/>
      <c r="U270" s="4">
        <f ca="1">IFERROR(__xludf.DUMMYFUNCTION("""COMPUTED_VALUE"""),56776)</f>
        <v>56776</v>
      </c>
      <c r="V270" s="3">
        <f ca="1">IFERROR(__xludf.DUMMYFUNCTION("""COMPUTED_VALUE"""),4.5)</f>
        <v>4.5</v>
      </c>
      <c r="W270" s="3">
        <f ca="1">IFERROR(__xludf.DUMMYFUNCTION("""COMPUTED_VALUE"""),3500)</f>
        <v>3500</v>
      </c>
      <c r="X270" s="3">
        <f ca="1">IFERROR(__xludf.DUMMYFUNCTION("""COMPUTED_VALUE"""),1821)</f>
        <v>1821</v>
      </c>
      <c r="Y270" s="3">
        <f ca="1">IFERROR(__xludf.DUMMYFUNCTION("""COMPUTED_VALUE"""),656)</f>
        <v>656</v>
      </c>
      <c r="Z270" s="3">
        <f ca="1">IFERROR(__xludf.DUMMYFUNCTION("""COMPUTED_VALUE"""),407)</f>
        <v>407</v>
      </c>
      <c r="AA270" s="3">
        <f ca="1">IFERROR(__xludf.DUMMYFUNCTION("""COMPUTED_VALUE"""),758)</f>
        <v>758</v>
      </c>
      <c r="AB270" s="3">
        <f ca="1">IFERROR(__xludf.DUMMYFUNCTION("""COMPUTED_VALUE"""),0)</f>
        <v>0</v>
      </c>
      <c r="AC270" s="3">
        <f ca="1">IFERROR(__xludf.DUMMYFUNCTION("""COMPUTED_VALUE"""),1)</f>
        <v>1</v>
      </c>
      <c r="AD270" s="3" t="str">
        <f ca="1">IFERROR(__xludf.DUMMYFUNCTION("""COMPUTED_VALUE"""),"on time")</f>
        <v>on time</v>
      </c>
      <c r="AE270" s="3" t="str">
        <f ca="1">IFERROR(__xludf.DUMMYFUNCTION("""COMPUTED_VALUE"""),"2055-06-11T11:13:09.516852Z")</f>
        <v>2055-06-11T11:13:09.516852Z</v>
      </c>
      <c r="AF270" s="3" t="str">
        <f ca="1">IFERROR(__xludf.DUMMYFUNCTION("""COMPUTED_VALUE"""),"2055-06-11T11:25:47.999657Z")</f>
        <v>2055-06-11T11:25:47.999657Z</v>
      </c>
      <c r="AG270" s="3" t="str">
        <f ca="1">IFERROR(__xludf.DUMMYFUNCTION("""COMPUTED_VALUE"""),"2055-06-11T10:55:14.189685Z")</f>
        <v>2055-06-11T10:55:14.189685Z</v>
      </c>
      <c r="AH270" s="3" t="str">
        <f ca="1">IFERROR(__xludf.DUMMYFUNCTION("""COMPUTED_VALUE"""),"2055-06-11T11:06:22.055261Z")</f>
        <v>2055-06-11T11:06:22.055261Z</v>
      </c>
      <c r="AI270" s="3">
        <f ca="1">IFERROR(__xludf.DUMMYFUNCTION("""COMPUTED_VALUE"""),4.54)</f>
        <v>4.54</v>
      </c>
      <c r="AJ270" s="3">
        <f ca="1">IFERROR(__xludf.DUMMYFUNCTION("""COMPUTED_VALUE"""),2229)</f>
        <v>2229</v>
      </c>
      <c r="AK270" s="3">
        <f ca="1">IFERROR(__xludf.DUMMYFUNCTION("""COMPUTED_VALUE"""),6580)</f>
        <v>6580</v>
      </c>
      <c r="AL270" s="3"/>
    </row>
    <row r="271" spans="1:38" ht="13">
      <c r="A271" s="3">
        <f ca="1">IFERROR(__xludf.DUMMYFUNCTION("""COMPUTED_VALUE"""),1580)</f>
        <v>1580</v>
      </c>
      <c r="B271" s="3"/>
      <c r="C271" s="3">
        <f ca="1">IFERROR(__xludf.DUMMYFUNCTION("""COMPUTED_VALUE"""),4001)</f>
        <v>4001</v>
      </c>
      <c r="D271" s="3" t="str">
        <f ca="1">IFERROR(__xludf.DUMMYFUNCTION("""COMPUTED_VALUE"""),"Dashattan")</f>
        <v>Dashattan</v>
      </c>
      <c r="E271" s="3" t="str">
        <f ca="1">IFERROR(__xludf.DUMMYFUNCTION("""COMPUTED_VALUE"""),"Galaxy A")</f>
        <v>Galaxy A</v>
      </c>
      <c r="F271" s="3" t="str">
        <f ca="1">IFERROR(__xludf.DUMMYFUNCTION("""COMPUTED_VALUE"""),"Cass")</f>
        <v>Cass</v>
      </c>
      <c r="G271" s="3">
        <f ca="1">IFERROR(__xludf.DUMMYFUNCTION("""COMPUTED_VALUE"""),0)</f>
        <v>0</v>
      </c>
      <c r="H271" s="3" t="str">
        <f ca="1">IFERROR(__xludf.DUMMYFUNCTION("""COMPUTED_VALUE"""),"bicycle")</f>
        <v>bicycle</v>
      </c>
      <c r="I271" s="3" t="str">
        <f ca="1">IFERROR(__xludf.DUMMYFUNCTION("""COMPUTED_VALUE"""),"2055-06-13T17:37:27.074068Z")</f>
        <v>2055-06-13T17:37:27.074068Z</v>
      </c>
      <c r="J271" s="3" t="str">
        <f ca="1">IFERROR(__xludf.DUMMYFUNCTION("""COMPUTED_VALUE"""),"2055-06-13T18:25:47.125Z")</f>
        <v>2055-06-13T18:25:47.125Z</v>
      </c>
      <c r="K271" s="3" t="str">
        <f ca="1">IFERROR(__xludf.DUMMYFUNCTION("""COMPUTED_VALUE"""),"2055-06-13T18:06:08.125Z")</f>
        <v>2055-06-13T18:06:08.125Z</v>
      </c>
      <c r="L271" s="3">
        <f ca="1">IFERROR(__xludf.DUMMYFUNCTION("""COMPUTED_VALUE"""),1)</f>
        <v>1</v>
      </c>
      <c r="M271" s="3">
        <f ca="1">IFERROR(__xludf.DUMMYFUNCTION("""COMPUTED_VALUE"""),0)</f>
        <v>0</v>
      </c>
      <c r="N271" s="3" t="str">
        <f ca="1">IFERROR(__xludf.DUMMYFUNCTION("""COMPUTED_VALUE"""),"2055-06-13T17:52:19.016072Z")</f>
        <v>2055-06-13T17:52:19.016072Z</v>
      </c>
      <c r="O271" s="3" t="str">
        <f ca="1">IFERROR(__xludf.DUMMYFUNCTION("""COMPUTED_VALUE"""),"2055-06-13T17:59:33.508412Z")</f>
        <v>2055-06-13T17:59:33.508412Z</v>
      </c>
      <c r="P271" s="3" t="str">
        <f ca="1">IFERROR(__xludf.DUMMYFUNCTION("""COMPUTED_VALUE"""),"2055-06-13T17:40:54.37656Z")</f>
        <v>2055-06-13T17:40:54.37656Z</v>
      </c>
      <c r="Q271" s="3">
        <f ca="1">IFERROR(__xludf.DUMMYFUNCTION("""COMPUTED_VALUE"""),0)</f>
        <v>0</v>
      </c>
      <c r="R271" s="3" t="str">
        <f ca="1">IFERROR(__xludf.DUMMYFUNCTION("""COMPUTED_VALUE"""),"2055-06-13T17:41:39.799234Z")</f>
        <v>2055-06-13T17:41:39.799234Z</v>
      </c>
      <c r="S271" s="3" t="str">
        <f ca="1">IFERROR(__xludf.DUMMYFUNCTION("""COMPUTED_VALUE"""),"2055-06-13T17:47:52.284755Z")</f>
        <v>2055-06-13T17:47:52.284755Z</v>
      </c>
      <c r="T271" s="3"/>
      <c r="U271" s="4">
        <f ca="1">IFERROR(__xludf.DUMMYFUNCTION("""COMPUTED_VALUE"""),56778)</f>
        <v>56778</v>
      </c>
      <c r="V271" s="3">
        <f ca="1">IFERROR(__xludf.DUMMYFUNCTION("""COMPUTED_VALUE"""),4.6)</f>
        <v>4.5999999999999996</v>
      </c>
      <c r="W271" s="3">
        <f ca="1">IFERROR(__xludf.DUMMYFUNCTION("""COMPUTED_VALUE"""),3500)</f>
        <v>3500</v>
      </c>
      <c r="X271" s="3">
        <f ca="1">IFERROR(__xludf.DUMMYFUNCTION("""COMPUTED_VALUE"""),1074)</f>
        <v>1074</v>
      </c>
      <c r="Y271" s="3">
        <f ca="1">IFERROR(__xludf.DUMMYFUNCTION("""COMPUTED_VALUE"""),373)</f>
        <v>373</v>
      </c>
      <c r="Z271" s="3">
        <f ca="1">IFERROR(__xludf.DUMMYFUNCTION("""COMPUTED_VALUE"""),267)</f>
        <v>267</v>
      </c>
      <c r="AA271" s="3">
        <f ca="1">IFERROR(__xludf.DUMMYFUNCTION("""COMPUTED_VALUE"""),434)</f>
        <v>434</v>
      </c>
      <c r="AB271" s="3">
        <f ca="1">IFERROR(__xludf.DUMMYFUNCTION("""COMPUTED_VALUE"""),0)</f>
        <v>0</v>
      </c>
      <c r="AC271" s="3">
        <f ca="1">IFERROR(__xludf.DUMMYFUNCTION("""COMPUTED_VALUE"""),3)</f>
        <v>3</v>
      </c>
      <c r="AD271" s="3" t="str">
        <f ca="1">IFERROR(__xludf.DUMMYFUNCTION("""COMPUTED_VALUE"""),"on time")</f>
        <v>on time</v>
      </c>
      <c r="AE271" s="3" t="str">
        <f ca="1">IFERROR(__xludf.DUMMYFUNCTION("""COMPUTED_VALUE"""),"2055-06-13T13:52:19.016072Z")</f>
        <v>2055-06-13T13:52:19.016072Z</v>
      </c>
      <c r="AF271" s="3" t="str">
        <f ca="1">IFERROR(__xludf.DUMMYFUNCTION("""COMPUTED_VALUE"""),"2055-06-13T13:59:33.508412Z")</f>
        <v>2055-06-13T13:59:33.508412Z</v>
      </c>
      <c r="AG271" s="3" t="str">
        <f ca="1">IFERROR(__xludf.DUMMYFUNCTION("""COMPUTED_VALUE"""),"2055-06-13T13:40:54.37656Z")</f>
        <v>2055-06-13T13:40:54.37656Z</v>
      </c>
      <c r="AH271" s="3" t="str">
        <f ca="1">IFERROR(__xludf.DUMMYFUNCTION("""COMPUTED_VALUE"""),"2055-06-13T13:47:52.284755Z")</f>
        <v>2055-06-13T13:47:52.284755Z</v>
      </c>
      <c r="AI271" s="3">
        <f ca="1">IFERROR(__xludf.DUMMYFUNCTION("""COMPUTED_VALUE"""),4.505263158)</f>
        <v>4.505263158</v>
      </c>
      <c r="AJ271" s="3">
        <f ca="1">IFERROR(__xludf.DUMMYFUNCTION("""COMPUTED_VALUE"""),79)</f>
        <v>79</v>
      </c>
      <c r="AK271" s="3">
        <f ca="1">IFERROR(__xludf.DUMMYFUNCTION("""COMPUTED_VALUE"""),248)</f>
        <v>248</v>
      </c>
      <c r="AL271" s="3">
        <f ca="1">IFERROR(__xludf.DUMMYFUNCTION("""COMPUTED_VALUE"""),2)</f>
        <v>2</v>
      </c>
    </row>
    <row r="272" spans="1:38" ht="13">
      <c r="A272" s="3">
        <f ca="1">IFERROR(__xludf.DUMMYFUNCTION("""COMPUTED_VALUE"""),509)</f>
        <v>509</v>
      </c>
      <c r="B272" s="3">
        <f ca="1">IFERROR(__xludf.DUMMYFUNCTION("""COMPUTED_VALUE"""),5)</f>
        <v>5</v>
      </c>
      <c r="C272" s="3">
        <f ca="1">IFERROR(__xludf.DUMMYFUNCTION("""COMPUTED_VALUE"""),4050)</f>
        <v>4050</v>
      </c>
      <c r="D272" s="3" t="str">
        <f ca="1">IFERROR(__xludf.DUMMYFUNCTION("""COMPUTED_VALUE"""),"Doorlanta")</f>
        <v>Doorlanta</v>
      </c>
      <c r="E272" s="3" t="str">
        <f ca="1">IFERROR(__xludf.DUMMYFUNCTION("""COMPUTED_VALUE"""),"Galaxy A")</f>
        <v>Galaxy A</v>
      </c>
      <c r="F272" s="3" t="str">
        <f ca="1">IFERROR(__xludf.DUMMYFUNCTION("""COMPUTED_VALUE"""),"Elon")</f>
        <v>Elon</v>
      </c>
      <c r="G272" s="3">
        <f ca="1">IFERROR(__xludf.DUMMYFUNCTION("""COMPUTED_VALUE"""),0)</f>
        <v>0</v>
      </c>
      <c r="H272" s="3" t="str">
        <f ca="1">IFERROR(__xludf.DUMMYFUNCTION("""COMPUTED_VALUE"""),"car")</f>
        <v>car</v>
      </c>
      <c r="I272" s="3" t="str">
        <f ca="1">IFERROR(__xludf.DUMMYFUNCTION("""COMPUTED_VALUE"""),"2055-06-05T00:23:12.989201Z")</f>
        <v>2055-06-05T00:23:12.989201Z</v>
      </c>
      <c r="J272" s="3" t="str">
        <f ca="1">IFERROR(__xludf.DUMMYFUNCTION("""COMPUTED_VALUE"""),"2055-06-05T01:27:02.053Z")</f>
        <v>2055-06-05T01:27:02.053Z</v>
      </c>
      <c r="K272" s="3" t="str">
        <f ca="1">IFERROR(__xludf.DUMMYFUNCTION("""COMPUTED_VALUE"""),"2055-06-05T01:05:08.053Z")</f>
        <v>2055-06-05T01:05:08.053Z</v>
      </c>
      <c r="L272" s="3">
        <f ca="1">IFERROR(__xludf.DUMMYFUNCTION("""COMPUTED_VALUE"""),1)</f>
        <v>1</v>
      </c>
      <c r="M272" s="3">
        <f ca="1">IFERROR(__xludf.DUMMYFUNCTION("""COMPUTED_VALUE"""),0)</f>
        <v>0</v>
      </c>
      <c r="N272" s="3" t="str">
        <f ca="1">IFERROR(__xludf.DUMMYFUNCTION("""COMPUTED_VALUE"""),"2055-06-05T00:48:47.348816Z")</f>
        <v>2055-06-05T00:48:47.348816Z</v>
      </c>
      <c r="O272" s="3" t="str">
        <f ca="1">IFERROR(__xludf.DUMMYFUNCTION("""COMPUTED_VALUE"""),"2055-06-05T00:56:59.557159Z")</f>
        <v>2055-06-05T00:56:59.557159Z</v>
      </c>
      <c r="P272" s="3" t="str">
        <f ca="1">IFERROR(__xludf.DUMMYFUNCTION("""COMPUTED_VALUE"""),"2055-06-05T00:41:27.479842Z")</f>
        <v>2055-06-05T00:41:27.479842Z</v>
      </c>
      <c r="Q272" s="3">
        <f ca="1">IFERROR(__xludf.DUMMYFUNCTION("""COMPUTED_VALUE"""),0)</f>
        <v>0</v>
      </c>
      <c r="R272" s="3" t="str">
        <f ca="1">IFERROR(__xludf.DUMMYFUNCTION("""COMPUTED_VALUE"""),"2055-06-05T00:41:47.910687Z")</f>
        <v>2055-06-05T00:41:47.910687Z</v>
      </c>
      <c r="S272" s="3" t="str">
        <f ca="1">IFERROR(__xludf.DUMMYFUNCTION("""COMPUTED_VALUE"""),"2055-06-05T00:47:00.797742Z")</f>
        <v>2055-06-05T00:47:00.797742Z</v>
      </c>
      <c r="T272" s="3"/>
      <c r="U272" s="4">
        <f ca="1">IFERROR(__xludf.DUMMYFUNCTION("""COMPUTED_VALUE"""),56769)</f>
        <v>56769</v>
      </c>
      <c r="V272" s="3">
        <f ca="1">IFERROR(__xludf.DUMMYFUNCTION("""COMPUTED_VALUE"""),4.7)</f>
        <v>4.7</v>
      </c>
      <c r="W272" s="3">
        <f ca="1">IFERROR(__xludf.DUMMYFUNCTION("""COMPUTED_VALUE"""),3500)</f>
        <v>3500</v>
      </c>
      <c r="X272" s="3">
        <f ca="1">IFERROR(__xludf.DUMMYFUNCTION("""COMPUTED_VALUE"""),912)</f>
        <v>912</v>
      </c>
      <c r="Y272" s="3">
        <f ca="1">IFERROR(__xludf.DUMMYFUNCTION("""COMPUTED_VALUE"""),313)</f>
        <v>313</v>
      </c>
      <c r="Z272" s="3">
        <f ca="1">IFERROR(__xludf.DUMMYFUNCTION("""COMPUTED_VALUE"""),107)</f>
        <v>107</v>
      </c>
      <c r="AA272" s="3">
        <f ca="1">IFERROR(__xludf.DUMMYFUNCTION("""COMPUTED_VALUE"""),492)</f>
        <v>492</v>
      </c>
      <c r="AB272" s="3">
        <f ca="1">IFERROR(__xludf.DUMMYFUNCTION("""COMPUTED_VALUE"""),1)</f>
        <v>1</v>
      </c>
      <c r="AC272" s="3">
        <f ca="1">IFERROR(__xludf.DUMMYFUNCTION("""COMPUTED_VALUE"""),4)</f>
        <v>4</v>
      </c>
      <c r="AD272" s="3"/>
      <c r="AE272" s="3" t="str">
        <f ca="1">IFERROR(__xludf.DUMMYFUNCTION("""COMPUTED_VALUE"""),"2055-06-04T20:48:47.348816Z")</f>
        <v>2055-06-04T20:48:47.348816Z</v>
      </c>
      <c r="AF272" s="3" t="str">
        <f ca="1">IFERROR(__xludf.DUMMYFUNCTION("""COMPUTED_VALUE"""),"2055-06-04T20:56:59.557159Z")</f>
        <v>2055-06-04T20:56:59.557159Z</v>
      </c>
      <c r="AG272" s="3" t="str">
        <f ca="1">IFERROR(__xludf.DUMMYFUNCTION("""COMPUTED_VALUE"""),"2055-06-04T20:41:27.479842Z")</f>
        <v>2055-06-04T20:41:27.479842Z</v>
      </c>
      <c r="AH272" s="3" t="str">
        <f ca="1">IFERROR(__xludf.DUMMYFUNCTION("""COMPUTED_VALUE"""),"2055-06-04T20:47:00.797742Z")</f>
        <v>2055-06-04T20:47:00.797742Z</v>
      </c>
      <c r="AI272" s="3">
        <f ca="1">IFERROR(__xludf.DUMMYFUNCTION("""COMPUTED_VALUE"""),4.62)</f>
        <v>4.62</v>
      </c>
      <c r="AJ272" s="3">
        <f ca="1">IFERROR(__xludf.DUMMYFUNCTION("""COMPUTED_VALUE"""),259)</f>
        <v>259</v>
      </c>
      <c r="AK272" s="3">
        <f ca="1">IFERROR(__xludf.DUMMYFUNCTION("""COMPUTED_VALUE"""),604)</f>
        <v>604</v>
      </c>
      <c r="AL272" s="3">
        <f ca="1">IFERROR(__xludf.DUMMYFUNCTION("""COMPUTED_VALUE"""),21)</f>
        <v>21</v>
      </c>
    </row>
    <row r="273" spans="1:38" ht="13">
      <c r="A273" s="3">
        <f ca="1">IFERROR(__xludf.DUMMYFUNCTION("""COMPUTED_VALUE"""),702)</f>
        <v>702</v>
      </c>
      <c r="B273" s="3"/>
      <c r="C273" s="3">
        <f ca="1">IFERROR(__xludf.DUMMYFUNCTION("""COMPUTED_VALUE"""),4050)</f>
        <v>4050</v>
      </c>
      <c r="D273" s="3" t="str">
        <f ca="1">IFERROR(__xludf.DUMMYFUNCTION("""COMPUTED_VALUE"""),"Doorlanta")</f>
        <v>Doorlanta</v>
      </c>
      <c r="E273" s="3" t="str">
        <f ca="1">IFERROR(__xludf.DUMMYFUNCTION("""COMPUTED_VALUE"""),"Galaxy A")</f>
        <v>Galaxy A</v>
      </c>
      <c r="F273" s="3" t="str">
        <f ca="1">IFERROR(__xludf.DUMMYFUNCTION("""COMPUTED_VALUE"""),"Ajay")</f>
        <v>Ajay</v>
      </c>
      <c r="G273" s="3">
        <f ca="1">IFERROR(__xludf.DUMMYFUNCTION("""COMPUTED_VALUE"""),0)</f>
        <v>0</v>
      </c>
      <c r="H273" s="3" t="str">
        <f ca="1">IFERROR(__xludf.DUMMYFUNCTION("""COMPUTED_VALUE"""),"car")</f>
        <v>car</v>
      </c>
      <c r="I273" s="3" t="str">
        <f ca="1">IFERROR(__xludf.DUMMYFUNCTION("""COMPUTED_VALUE"""),"2055-06-06T00:20:41.294864Z")</f>
        <v>2055-06-06T00:20:41.294864Z</v>
      </c>
      <c r="J273" s="3" t="str">
        <f ca="1">IFERROR(__xludf.DUMMYFUNCTION("""COMPUTED_VALUE"""),"2055-06-06T01:00:41.376Z")</f>
        <v>2055-06-06T01:00:41.376Z</v>
      </c>
      <c r="K273" s="3" t="str">
        <f ca="1">IFERROR(__xludf.DUMMYFUNCTION("""COMPUTED_VALUE"""),"2055-06-06T00:50:24.376Z")</f>
        <v>2055-06-06T00:50:24.376Z</v>
      </c>
      <c r="L273" s="3">
        <f ca="1">IFERROR(__xludf.DUMMYFUNCTION("""COMPUTED_VALUE"""),1)</f>
        <v>1</v>
      </c>
      <c r="M273" s="3">
        <f ca="1">IFERROR(__xludf.DUMMYFUNCTION("""COMPUTED_VALUE"""),0)</f>
        <v>0</v>
      </c>
      <c r="N273" s="3" t="str">
        <f ca="1">IFERROR(__xludf.DUMMYFUNCTION("""COMPUTED_VALUE"""),"2055-06-06T00:49:47.342335Z")</f>
        <v>2055-06-06T00:49:47.342335Z</v>
      </c>
      <c r="O273" s="3" t="str">
        <f ca="1">IFERROR(__xludf.DUMMYFUNCTION("""COMPUTED_VALUE"""),"2055-06-06T01:00:08.77523Z")</f>
        <v>2055-06-06T01:00:08.77523Z</v>
      </c>
      <c r="P273" s="3" t="str">
        <f ca="1">IFERROR(__xludf.DUMMYFUNCTION("""COMPUTED_VALUE"""),"2055-06-06T00:22:27.460668Z")</f>
        <v>2055-06-06T00:22:27.460668Z</v>
      </c>
      <c r="Q273" s="3">
        <f ca="1">IFERROR(__xludf.DUMMYFUNCTION("""COMPUTED_VALUE"""),0)</f>
        <v>0</v>
      </c>
      <c r="R273" s="3" t="str">
        <f ca="1">IFERROR(__xludf.DUMMYFUNCTION("""COMPUTED_VALUE"""),"2055-06-06T00:22:30.873018Z")</f>
        <v>2055-06-06T00:22:30.873018Z</v>
      </c>
      <c r="S273" s="3" t="str">
        <f ca="1">IFERROR(__xludf.DUMMYFUNCTION("""COMPUTED_VALUE"""),"2055-06-06T00:36:32.627939Z")</f>
        <v>2055-06-06T00:36:32.627939Z</v>
      </c>
      <c r="T273" s="3"/>
      <c r="U273" s="4">
        <f ca="1">IFERROR(__xludf.DUMMYFUNCTION("""COMPUTED_VALUE"""),56770)</f>
        <v>56770</v>
      </c>
      <c r="V273" s="3">
        <f ca="1">IFERROR(__xludf.DUMMYFUNCTION("""COMPUTED_VALUE"""),4.5)</f>
        <v>4.5</v>
      </c>
      <c r="W273" s="3">
        <f ca="1">IFERROR(__xludf.DUMMYFUNCTION("""COMPUTED_VALUE"""),3500)</f>
        <v>3500</v>
      </c>
      <c r="X273" s="3">
        <f ca="1">IFERROR(__xludf.DUMMYFUNCTION("""COMPUTED_VALUE"""),2258)</f>
        <v>2258</v>
      </c>
      <c r="Y273" s="3">
        <f ca="1">IFERROR(__xludf.DUMMYFUNCTION("""COMPUTED_VALUE"""),842)</f>
        <v>842</v>
      </c>
      <c r="Z273" s="3">
        <f ca="1">IFERROR(__xludf.DUMMYFUNCTION("""COMPUTED_VALUE"""),795)</f>
        <v>795</v>
      </c>
      <c r="AA273" s="3">
        <f ca="1">IFERROR(__xludf.DUMMYFUNCTION("""COMPUTED_VALUE"""),621)</f>
        <v>621</v>
      </c>
      <c r="AB273" s="3">
        <f ca="1">IFERROR(__xludf.DUMMYFUNCTION("""COMPUTED_VALUE"""),0)</f>
        <v>0</v>
      </c>
      <c r="AC273" s="3">
        <f ca="1">IFERROR(__xludf.DUMMYFUNCTION("""COMPUTED_VALUE"""),3)</f>
        <v>3</v>
      </c>
      <c r="AD273" s="3" t="str">
        <f ca="1">IFERROR(__xludf.DUMMYFUNCTION("""COMPUTED_VALUE"""),"late")</f>
        <v>late</v>
      </c>
      <c r="AE273" s="3" t="str">
        <f ca="1">IFERROR(__xludf.DUMMYFUNCTION("""COMPUTED_VALUE"""),"2055-06-05T20:49:47.342335Z")</f>
        <v>2055-06-05T20:49:47.342335Z</v>
      </c>
      <c r="AF273" s="3" t="str">
        <f ca="1">IFERROR(__xludf.DUMMYFUNCTION("""COMPUTED_VALUE"""),"2055-06-05T21:00:08.77523Z")</f>
        <v>2055-06-05T21:00:08.77523Z</v>
      </c>
      <c r="AG273" s="3" t="str">
        <f ca="1">IFERROR(__xludf.DUMMYFUNCTION("""COMPUTED_VALUE"""),"2055-06-05T20:22:27.460668Z")</f>
        <v>2055-06-05T20:22:27.460668Z</v>
      </c>
      <c r="AH273" s="3" t="str">
        <f ca="1">IFERROR(__xludf.DUMMYFUNCTION("""COMPUTED_VALUE"""),"2055-06-05T20:36:32.627939Z")</f>
        <v>2055-06-05T20:36:32.627939Z</v>
      </c>
      <c r="AI273" s="3">
        <f ca="1">IFERROR(__xludf.DUMMYFUNCTION("""COMPUTED_VALUE"""),4.57)</f>
        <v>4.57</v>
      </c>
      <c r="AJ273" s="3">
        <f ca="1">IFERROR(__xludf.DUMMYFUNCTION("""COMPUTED_VALUE"""),234)</f>
        <v>234</v>
      </c>
      <c r="AK273" s="3">
        <f ca="1">IFERROR(__xludf.DUMMYFUNCTION("""COMPUTED_VALUE"""),726)</f>
        <v>726</v>
      </c>
      <c r="AL273" s="3">
        <f ca="1">IFERROR(__xludf.DUMMYFUNCTION("""COMPUTED_VALUE"""),99)</f>
        <v>99</v>
      </c>
    </row>
    <row r="274" spans="1:38" ht="13">
      <c r="A274" s="3">
        <f ca="1">IFERROR(__xludf.DUMMYFUNCTION("""COMPUTED_VALUE"""),432)</f>
        <v>432</v>
      </c>
      <c r="B274" s="3">
        <f ca="1">IFERROR(__xludf.DUMMYFUNCTION("""COMPUTED_VALUE"""),5)</f>
        <v>5</v>
      </c>
      <c r="C274" s="3">
        <f ca="1">IFERROR(__xludf.DUMMYFUNCTION("""COMPUTED_VALUE"""),4050)</f>
        <v>4050</v>
      </c>
      <c r="D274" s="3" t="str">
        <f ca="1">IFERROR(__xludf.DUMMYFUNCTION("""COMPUTED_VALUE"""),"Doorlanta")</f>
        <v>Doorlanta</v>
      </c>
      <c r="E274" s="3" t="str">
        <f ca="1">IFERROR(__xludf.DUMMYFUNCTION("""COMPUTED_VALUE"""),"Galaxy A")</f>
        <v>Galaxy A</v>
      </c>
      <c r="F274" s="3" t="str">
        <f ca="1">IFERROR(__xludf.DUMMYFUNCTION("""COMPUTED_VALUE"""),"Cate")</f>
        <v>Cate</v>
      </c>
      <c r="G274" s="3">
        <f ca="1">IFERROR(__xludf.DUMMYFUNCTION("""COMPUTED_VALUE"""),0)</f>
        <v>0</v>
      </c>
      <c r="H274" s="3" t="str">
        <f ca="1">IFERROR(__xludf.DUMMYFUNCTION("""COMPUTED_VALUE"""),"car")</f>
        <v>car</v>
      </c>
      <c r="I274" s="3" t="str">
        <f ca="1">IFERROR(__xludf.DUMMYFUNCTION("""COMPUTED_VALUE"""),"2055-06-04T19:18:11.110219Z")</f>
        <v>2055-06-04T19:18:11.110219Z</v>
      </c>
      <c r="J274" s="3" t="str">
        <f ca="1">IFERROR(__xludf.DUMMYFUNCTION("""COMPUTED_VALUE"""),"2055-06-04T20:13:11.201Z")</f>
        <v>2055-06-04T20:13:11.201Z</v>
      </c>
      <c r="K274" s="3" t="str">
        <f ca="1">IFERROR(__xludf.DUMMYFUNCTION("""COMPUTED_VALUE"""),"2055-06-04T19:46:32.201Z")</f>
        <v>2055-06-04T19:46:32.201Z</v>
      </c>
      <c r="L274" s="3">
        <f ca="1">IFERROR(__xludf.DUMMYFUNCTION("""COMPUTED_VALUE"""),1)</f>
        <v>1</v>
      </c>
      <c r="M274" s="3">
        <f ca="1">IFERROR(__xludf.DUMMYFUNCTION("""COMPUTED_VALUE"""),0)</f>
        <v>0</v>
      </c>
      <c r="N274" s="3" t="str">
        <f ca="1">IFERROR(__xludf.DUMMYFUNCTION("""COMPUTED_VALUE"""),"2055-06-04T19:46:55.665841Z")</f>
        <v>2055-06-04T19:46:55.665841Z</v>
      </c>
      <c r="O274" s="3" t="str">
        <f ca="1">IFERROR(__xludf.DUMMYFUNCTION("""COMPUTED_VALUE"""),"2055-06-04T19:53:06.963896Z")</f>
        <v>2055-06-04T19:53:06.963896Z</v>
      </c>
      <c r="P274" s="3" t="str">
        <f ca="1">IFERROR(__xludf.DUMMYFUNCTION("""COMPUTED_VALUE"""),"2055-06-04T19:18:27.340719Z")</f>
        <v>2055-06-04T19:18:27.340719Z</v>
      </c>
      <c r="Q274" s="3">
        <f ca="1">IFERROR(__xludf.DUMMYFUNCTION("""COMPUTED_VALUE"""),0)</f>
        <v>0</v>
      </c>
      <c r="R274" s="3" t="str">
        <f ca="1">IFERROR(__xludf.DUMMYFUNCTION("""COMPUTED_VALUE"""),"2055-06-04T19:18:31.062312Z")</f>
        <v>2055-06-04T19:18:31.062312Z</v>
      </c>
      <c r="S274" s="3" t="str">
        <f ca="1">IFERROR(__xludf.DUMMYFUNCTION("""COMPUTED_VALUE"""),"2055-06-04T19:24:34.865542Z")</f>
        <v>2055-06-04T19:24:34.865542Z</v>
      </c>
      <c r="T274" s="3"/>
      <c r="U274" s="4">
        <f ca="1">IFERROR(__xludf.DUMMYFUNCTION("""COMPUTED_VALUE"""),56769)</f>
        <v>56769</v>
      </c>
      <c r="V274" s="3">
        <f ca="1">IFERROR(__xludf.DUMMYFUNCTION("""COMPUTED_VALUE"""),3.150254301)</f>
        <v>3.1502543009999999</v>
      </c>
      <c r="W274" s="3">
        <f ca="1">IFERROR(__xludf.DUMMYFUNCTION("""COMPUTED_VALUE"""),3500)</f>
        <v>3500</v>
      </c>
      <c r="X274" s="3">
        <f ca="1">IFERROR(__xludf.DUMMYFUNCTION("""COMPUTED_VALUE"""),2075)</f>
        <v>2075</v>
      </c>
      <c r="Y274" s="3">
        <f ca="1">IFERROR(__xludf.DUMMYFUNCTION("""COMPUTED_VALUE"""),363)</f>
        <v>363</v>
      </c>
      <c r="Z274" s="3">
        <f ca="1">IFERROR(__xludf.DUMMYFUNCTION("""COMPUTED_VALUE"""),1341)</f>
        <v>1341</v>
      </c>
      <c r="AA274" s="3">
        <f ca="1">IFERROR(__xludf.DUMMYFUNCTION("""COMPUTED_VALUE"""),371)</f>
        <v>371</v>
      </c>
      <c r="AB274" s="3">
        <f ca="1">IFERROR(__xludf.DUMMYFUNCTION("""COMPUTED_VALUE"""),0)</f>
        <v>0</v>
      </c>
      <c r="AC274" s="3">
        <f ca="1">IFERROR(__xludf.DUMMYFUNCTION("""COMPUTED_VALUE"""),3)</f>
        <v>3</v>
      </c>
      <c r="AD274" s="3" t="str">
        <f ca="1">IFERROR(__xludf.DUMMYFUNCTION("""COMPUTED_VALUE"""),"early")</f>
        <v>early</v>
      </c>
      <c r="AE274" s="3" t="str">
        <f ca="1">IFERROR(__xludf.DUMMYFUNCTION("""COMPUTED_VALUE"""),"2055-06-04T15:46:55.665841Z")</f>
        <v>2055-06-04T15:46:55.665841Z</v>
      </c>
      <c r="AF274" s="3" t="str">
        <f ca="1">IFERROR(__xludf.DUMMYFUNCTION("""COMPUTED_VALUE"""),"2055-06-04T15:53:06.963896Z")</f>
        <v>2055-06-04T15:53:06.963896Z</v>
      </c>
      <c r="AG274" s="3" t="str">
        <f ca="1">IFERROR(__xludf.DUMMYFUNCTION("""COMPUTED_VALUE"""),"2055-06-04T15:18:27.340719Z")</f>
        <v>2055-06-04T15:18:27.340719Z</v>
      </c>
      <c r="AH274" s="3" t="str">
        <f ca="1">IFERROR(__xludf.DUMMYFUNCTION("""COMPUTED_VALUE"""),"2055-06-04T15:24:34.865542Z")</f>
        <v>2055-06-04T15:24:34.865542Z</v>
      </c>
      <c r="AI274" s="3">
        <f ca="1">IFERROR(__xludf.DUMMYFUNCTION("""COMPUTED_VALUE"""),4.49)</f>
        <v>4.49</v>
      </c>
      <c r="AJ274" s="3">
        <f ca="1">IFERROR(__xludf.DUMMYFUNCTION("""COMPUTED_VALUE"""),2315)</f>
        <v>2315</v>
      </c>
      <c r="AK274" s="3">
        <f ca="1">IFERROR(__xludf.DUMMYFUNCTION("""COMPUTED_VALUE"""),7039)</f>
        <v>7039</v>
      </c>
      <c r="AL274" s="3">
        <f ca="1">IFERROR(__xludf.DUMMYFUNCTION("""COMPUTED_VALUE"""),763)</f>
        <v>763</v>
      </c>
    </row>
    <row r="275" spans="1:38" ht="13">
      <c r="A275" s="3">
        <f ca="1">IFERROR(__xludf.DUMMYFUNCTION("""COMPUTED_VALUE"""),1027)</f>
        <v>1027</v>
      </c>
      <c r="B275" s="3">
        <f ca="1">IFERROR(__xludf.DUMMYFUNCTION("""COMPUTED_VALUE"""),3)</f>
        <v>3</v>
      </c>
      <c r="C275" s="3">
        <f ca="1">IFERROR(__xludf.DUMMYFUNCTION("""COMPUTED_VALUE"""),4001)</f>
        <v>4001</v>
      </c>
      <c r="D275" s="3" t="str">
        <f ca="1">IFERROR(__xludf.DUMMYFUNCTION("""COMPUTED_VALUE"""),"Dashattan")</f>
        <v>Dashattan</v>
      </c>
      <c r="E275" s="3" t="str">
        <f ca="1">IFERROR(__xludf.DUMMYFUNCTION("""COMPUTED_VALUE"""),"Galaxy A")</f>
        <v>Galaxy A</v>
      </c>
      <c r="F275" s="3" t="str">
        <f ca="1">IFERROR(__xludf.DUMMYFUNCTION("""COMPUTED_VALUE"""),"Sean")</f>
        <v>Sean</v>
      </c>
      <c r="G275" s="3">
        <f ca="1">IFERROR(__xludf.DUMMYFUNCTION("""COMPUTED_VALUE"""),0)</f>
        <v>0</v>
      </c>
      <c r="H275" s="3" t="str">
        <f ca="1">IFERROR(__xludf.DUMMYFUNCTION("""COMPUTED_VALUE"""),"bicycle")</f>
        <v>bicycle</v>
      </c>
      <c r="I275" s="3" t="str">
        <f ca="1">IFERROR(__xludf.DUMMYFUNCTION("""COMPUTED_VALUE"""),"2055-06-09T16:07:47.428839Z")</f>
        <v>2055-06-09T16:07:47.428839Z</v>
      </c>
      <c r="J275" s="3" t="str">
        <f ca="1">IFERROR(__xludf.DUMMYFUNCTION("""COMPUTED_VALUE"""),"2055-06-09T17:16:09.508Z")</f>
        <v>2055-06-09T17:16:09.508Z</v>
      </c>
      <c r="K275" s="3" t="str">
        <f ca="1">IFERROR(__xludf.DUMMYFUNCTION("""COMPUTED_VALUE"""),"2055-06-09T16:56:30.508Z")</f>
        <v>2055-06-09T16:56:30.508Z</v>
      </c>
      <c r="L275" s="3">
        <f ca="1">IFERROR(__xludf.DUMMYFUNCTION("""COMPUTED_VALUE"""),1)</f>
        <v>1</v>
      </c>
      <c r="M275" s="3">
        <f ca="1">IFERROR(__xludf.DUMMYFUNCTION("""COMPUTED_VALUE"""),0)</f>
        <v>0</v>
      </c>
      <c r="N275" s="3" t="str">
        <f ca="1">IFERROR(__xludf.DUMMYFUNCTION("""COMPUTED_VALUE"""),"2055-06-09T16:28:43.11818Z")</f>
        <v>2055-06-09T16:28:43.11818Z</v>
      </c>
      <c r="O275" s="3" t="str">
        <f ca="1">IFERROR(__xludf.DUMMYFUNCTION("""COMPUTED_VALUE"""),"2055-06-09T16:37:01.078705Z")</f>
        <v>2055-06-09T16:37:01.078705Z</v>
      </c>
      <c r="P275" s="3" t="str">
        <f ca="1">IFERROR(__xludf.DUMMYFUNCTION("""COMPUTED_VALUE"""),"2055-06-09T16:07:54.781963Z")</f>
        <v>2055-06-09T16:07:54.781963Z</v>
      </c>
      <c r="Q275" s="3">
        <f ca="1">IFERROR(__xludf.DUMMYFUNCTION("""COMPUTED_VALUE"""),0)</f>
        <v>0</v>
      </c>
      <c r="R275" s="3" t="str">
        <f ca="1">IFERROR(__xludf.DUMMYFUNCTION("""COMPUTED_VALUE"""),"2055-06-09T16:08:52.001851Z")</f>
        <v>2055-06-09T16:08:52.001851Z</v>
      </c>
      <c r="S275" s="3" t="str">
        <f ca="1">IFERROR(__xludf.DUMMYFUNCTION("""COMPUTED_VALUE"""),"2055-06-09T16:13:44.837658Z")</f>
        <v>2055-06-09T16:13:44.837658Z</v>
      </c>
      <c r="T275" s="3"/>
      <c r="U275" s="4">
        <f ca="1">IFERROR(__xludf.DUMMYFUNCTION("""COMPUTED_VALUE"""),56774)</f>
        <v>56774</v>
      </c>
      <c r="V275" s="3">
        <f ca="1">IFERROR(__xludf.DUMMYFUNCTION("""COMPUTED_VALUE"""),4.2)</f>
        <v>4.2</v>
      </c>
      <c r="W275" s="3">
        <f ca="1">IFERROR(__xludf.DUMMYFUNCTION("""COMPUTED_VALUE"""),3500)</f>
        <v>3500</v>
      </c>
      <c r="X275" s="3">
        <f ca="1">IFERROR(__xludf.DUMMYFUNCTION("""COMPUTED_VALUE"""),1689)</f>
        <v>1689</v>
      </c>
      <c r="Y275" s="3">
        <f ca="1">IFERROR(__xludf.DUMMYFUNCTION("""COMPUTED_VALUE"""),292)</f>
        <v>292</v>
      </c>
      <c r="Z275" s="3">
        <f ca="1">IFERROR(__xludf.DUMMYFUNCTION("""COMPUTED_VALUE"""),899)</f>
        <v>899</v>
      </c>
      <c r="AA275" s="3">
        <f ca="1">IFERROR(__xludf.DUMMYFUNCTION("""COMPUTED_VALUE"""),498)</f>
        <v>498</v>
      </c>
      <c r="AB275" s="3">
        <f ca="1">IFERROR(__xludf.DUMMYFUNCTION("""COMPUTED_VALUE"""),0)</f>
        <v>0</v>
      </c>
      <c r="AC275" s="3">
        <f ca="1">IFERROR(__xludf.DUMMYFUNCTION("""COMPUTED_VALUE"""),3)</f>
        <v>3</v>
      </c>
      <c r="AD275" s="3" t="str">
        <f ca="1">IFERROR(__xludf.DUMMYFUNCTION("""COMPUTED_VALUE"""),"early")</f>
        <v>early</v>
      </c>
      <c r="AE275" s="3" t="str">
        <f ca="1">IFERROR(__xludf.DUMMYFUNCTION("""COMPUTED_VALUE"""),"2055-06-09T12:28:43.11818Z")</f>
        <v>2055-06-09T12:28:43.11818Z</v>
      </c>
      <c r="AF275" s="3" t="str">
        <f ca="1">IFERROR(__xludf.DUMMYFUNCTION("""COMPUTED_VALUE"""),"2055-06-09T12:37:01.078705Z")</f>
        <v>2055-06-09T12:37:01.078705Z</v>
      </c>
      <c r="AG275" s="3" t="str">
        <f ca="1">IFERROR(__xludf.DUMMYFUNCTION("""COMPUTED_VALUE"""),"2055-06-09T12:07:54.781963Z")</f>
        <v>2055-06-09T12:07:54.781963Z</v>
      </c>
      <c r="AH275" s="3" t="str">
        <f ca="1">IFERROR(__xludf.DUMMYFUNCTION("""COMPUTED_VALUE"""),"2055-06-09T12:13:44.837658Z")</f>
        <v>2055-06-09T12:13:44.837658Z</v>
      </c>
      <c r="AI275" s="3">
        <f ca="1">IFERROR(__xludf.DUMMYFUNCTION("""COMPUTED_VALUE"""),4.52)</f>
        <v>4.5199999999999996</v>
      </c>
      <c r="AJ275" s="3">
        <f ca="1">IFERROR(__xludf.DUMMYFUNCTION("""COMPUTED_VALUE"""),183)</f>
        <v>183</v>
      </c>
      <c r="AK275" s="3">
        <f ca="1">IFERROR(__xludf.DUMMYFUNCTION("""COMPUTED_VALUE"""),522)</f>
        <v>522</v>
      </c>
      <c r="AL275" s="3"/>
    </row>
    <row r="276" spans="1:38" ht="13">
      <c r="A276" s="3">
        <f ca="1">IFERROR(__xludf.DUMMYFUNCTION("""COMPUTED_VALUE"""),98)</f>
        <v>98</v>
      </c>
      <c r="B276" s="3">
        <f ca="1">IFERROR(__xludf.DUMMYFUNCTION("""COMPUTED_VALUE"""),5)</f>
        <v>5</v>
      </c>
      <c r="C276" s="3">
        <f ca="1">IFERROR(__xludf.DUMMYFUNCTION("""COMPUTED_VALUE"""),4001)</f>
        <v>4001</v>
      </c>
      <c r="D276" s="3" t="str">
        <f ca="1">IFERROR(__xludf.DUMMYFUNCTION("""COMPUTED_VALUE"""),"Dashattan")</f>
        <v>Dashattan</v>
      </c>
      <c r="E276" s="3" t="str">
        <f ca="1">IFERROR(__xludf.DUMMYFUNCTION("""COMPUTED_VALUE"""),"Galaxy A")</f>
        <v>Galaxy A</v>
      </c>
      <c r="F276" s="3" t="str">
        <f ca="1">IFERROR(__xludf.DUMMYFUNCTION("""COMPUTED_VALUE"""),"Ron")</f>
        <v>Ron</v>
      </c>
      <c r="G276" s="3">
        <f ca="1">IFERROR(__xludf.DUMMYFUNCTION("""COMPUTED_VALUE"""),0)</f>
        <v>0</v>
      </c>
      <c r="H276" s="3" t="str">
        <f ca="1">IFERROR(__xludf.DUMMYFUNCTION("""COMPUTED_VALUE"""),"bicycle")</f>
        <v>bicycle</v>
      </c>
      <c r="I276" s="3" t="str">
        <f ca="1">IFERROR(__xludf.DUMMYFUNCTION("""COMPUTED_VALUE"""),"2055-06-02T00:39:29.965712Z")</f>
        <v>2055-06-02T00:39:29.965712Z</v>
      </c>
      <c r="J276" s="3" t="str">
        <f ca="1">IFERROR(__xludf.DUMMYFUNCTION("""COMPUTED_VALUE"""),"2055-06-02T01:43:18.022Z")</f>
        <v>2055-06-02T01:43:18.022Z</v>
      </c>
      <c r="K276" s="3" t="str">
        <f ca="1">IFERROR(__xludf.DUMMYFUNCTION("""COMPUTED_VALUE"""),"2055-06-02T01:23:11.022Z")</f>
        <v>2055-06-02T01:23:11.022Z</v>
      </c>
      <c r="L276" s="3">
        <f ca="1">IFERROR(__xludf.DUMMYFUNCTION("""COMPUTED_VALUE"""),1)</f>
        <v>1</v>
      </c>
      <c r="M276" s="3">
        <f ca="1">IFERROR(__xludf.DUMMYFUNCTION("""COMPUTED_VALUE"""),0)</f>
        <v>0</v>
      </c>
      <c r="N276" s="3" t="str">
        <f ca="1">IFERROR(__xludf.DUMMYFUNCTION("""COMPUTED_VALUE"""),"2055-06-02T01:22:03.21685Z")</f>
        <v>2055-06-02T01:22:03.21685Z</v>
      </c>
      <c r="O276" s="3" t="str">
        <f ca="1">IFERROR(__xludf.DUMMYFUNCTION("""COMPUTED_VALUE"""),"2055-06-02T01:41:19.804943Z")</f>
        <v>2055-06-02T01:41:19.804943Z</v>
      </c>
      <c r="P276" s="3" t="str">
        <f ca="1">IFERROR(__xludf.DUMMYFUNCTION("""COMPUTED_VALUE"""),"2055-06-02T00:51:34.919155Z")</f>
        <v>2055-06-02T00:51:34.919155Z</v>
      </c>
      <c r="Q276" s="3">
        <f ca="1">IFERROR(__xludf.DUMMYFUNCTION("""COMPUTED_VALUE"""),0)</f>
        <v>0</v>
      </c>
      <c r="R276" s="3" t="str">
        <f ca="1">IFERROR(__xludf.DUMMYFUNCTION("""COMPUTED_VALUE"""),"2055-06-02T00:51:55.107862Z")</f>
        <v>2055-06-02T00:51:55.107862Z</v>
      </c>
      <c r="S276" s="3" t="str">
        <f ca="1">IFERROR(__xludf.DUMMYFUNCTION("""COMPUTED_VALUE"""),"2055-06-02T01:12:27.552845Z")</f>
        <v>2055-06-02T01:12:27.552845Z</v>
      </c>
      <c r="T276" s="3"/>
      <c r="U276" s="4">
        <f ca="1">IFERROR(__xludf.DUMMYFUNCTION("""COMPUTED_VALUE"""),56766)</f>
        <v>56766</v>
      </c>
      <c r="V276" s="3">
        <f ca="1">IFERROR(__xludf.DUMMYFUNCTION("""COMPUTED_VALUE"""),4.405620607)</f>
        <v>4.4056206070000004</v>
      </c>
      <c r="W276" s="3">
        <f ca="1">IFERROR(__xludf.DUMMYFUNCTION("""COMPUTED_VALUE"""),3500)</f>
        <v>3500</v>
      </c>
      <c r="X276" s="3">
        <f ca="1">IFERROR(__xludf.DUMMYFUNCTION("""COMPUTED_VALUE"""),2964)</f>
        <v>2964</v>
      </c>
      <c r="Y276" s="3">
        <f ca="1">IFERROR(__xludf.DUMMYFUNCTION("""COMPUTED_VALUE"""),1232)</f>
        <v>1232</v>
      </c>
      <c r="Z276" s="3">
        <f ca="1">IFERROR(__xludf.DUMMYFUNCTION("""COMPUTED_VALUE"""),576)</f>
        <v>576</v>
      </c>
      <c r="AA276" s="3">
        <f ca="1">IFERROR(__xludf.DUMMYFUNCTION("""COMPUTED_VALUE"""),1156)</f>
        <v>1156</v>
      </c>
      <c r="AB276" s="3">
        <f ca="1">IFERROR(__xludf.DUMMYFUNCTION("""COMPUTED_VALUE"""),0)</f>
        <v>0</v>
      </c>
      <c r="AC276" s="3">
        <f ca="1">IFERROR(__xludf.DUMMYFUNCTION("""COMPUTED_VALUE"""),3)</f>
        <v>3</v>
      </c>
      <c r="AD276" s="3" t="str">
        <f ca="1">IFERROR(__xludf.DUMMYFUNCTION("""COMPUTED_VALUE"""),"early")</f>
        <v>early</v>
      </c>
      <c r="AE276" s="3" t="str">
        <f ca="1">IFERROR(__xludf.DUMMYFUNCTION("""COMPUTED_VALUE"""),"2055-06-01T21:22:03.21685Z")</f>
        <v>2055-06-01T21:22:03.21685Z</v>
      </c>
      <c r="AF276" s="3" t="str">
        <f ca="1">IFERROR(__xludf.DUMMYFUNCTION("""COMPUTED_VALUE"""),"2055-06-01T21:41:19.804943Z")</f>
        <v>2055-06-01T21:41:19.804943Z</v>
      </c>
      <c r="AG276" s="3" t="str">
        <f ca="1">IFERROR(__xludf.DUMMYFUNCTION("""COMPUTED_VALUE"""),"2055-06-01T20:51:34.919155Z")</f>
        <v>2055-06-01T20:51:34.919155Z</v>
      </c>
      <c r="AH276" s="3" t="str">
        <f ca="1">IFERROR(__xludf.DUMMYFUNCTION("""COMPUTED_VALUE"""),"2055-06-01T21:12:27.552845Z")</f>
        <v>2055-06-01T21:12:27.552845Z</v>
      </c>
      <c r="AI276" s="3">
        <f ca="1">IFERROR(__xludf.DUMMYFUNCTION("""COMPUTED_VALUE"""),4.56)</f>
        <v>4.5599999999999996</v>
      </c>
      <c r="AJ276" s="3">
        <f ca="1">IFERROR(__xludf.DUMMYFUNCTION("""COMPUTED_VALUE"""),765)</f>
        <v>765</v>
      </c>
      <c r="AK276" s="3">
        <f ca="1">IFERROR(__xludf.DUMMYFUNCTION("""COMPUTED_VALUE"""),2618)</f>
        <v>2618</v>
      </c>
      <c r="AL276" s="3"/>
    </row>
    <row r="277" spans="1:38" ht="13">
      <c r="A277" s="3">
        <f ca="1">IFERROR(__xludf.DUMMYFUNCTION("""COMPUTED_VALUE"""),119)</f>
        <v>119</v>
      </c>
      <c r="B277" s="3"/>
      <c r="C277" s="3">
        <f ca="1">IFERROR(__xludf.DUMMYFUNCTION("""COMPUTED_VALUE"""),4001)</f>
        <v>4001</v>
      </c>
      <c r="D277" s="3" t="str">
        <f ca="1">IFERROR(__xludf.DUMMYFUNCTION("""COMPUTED_VALUE"""),"Dashattan")</f>
        <v>Dashattan</v>
      </c>
      <c r="E277" s="3" t="str">
        <f ca="1">IFERROR(__xludf.DUMMYFUNCTION("""COMPUTED_VALUE"""),"Galaxy A")</f>
        <v>Galaxy A</v>
      </c>
      <c r="F277" s="3" t="str">
        <f ca="1">IFERROR(__xludf.DUMMYFUNCTION("""COMPUTED_VALUE"""),"KC")</f>
        <v>KC</v>
      </c>
      <c r="G277" s="3">
        <f ca="1">IFERROR(__xludf.DUMMYFUNCTION("""COMPUTED_VALUE"""),0)</f>
        <v>0</v>
      </c>
      <c r="H277" s="3" t="str">
        <f ca="1">IFERROR(__xludf.DUMMYFUNCTION("""COMPUTED_VALUE"""),"car")</f>
        <v>car</v>
      </c>
      <c r="I277" s="3" t="str">
        <f ca="1">IFERROR(__xludf.DUMMYFUNCTION("""COMPUTED_VALUE"""),"2055-06-02T15:12:41.330333Z")</f>
        <v>2055-06-02T15:12:41.330333Z</v>
      </c>
      <c r="J277" s="3" t="str">
        <f ca="1">IFERROR(__xludf.DUMMYFUNCTION("""COMPUTED_VALUE"""),"2055-06-02T16:03:43.392Z")</f>
        <v>2055-06-02T16:03:43.392Z</v>
      </c>
      <c r="K277" s="3" t="str">
        <f ca="1">IFERROR(__xludf.DUMMYFUNCTION("""COMPUTED_VALUE"""),"2055-06-02T15:44:50.392Z")</f>
        <v>2055-06-02T15:44:50.392Z</v>
      </c>
      <c r="L277" s="3">
        <f ca="1">IFERROR(__xludf.DUMMYFUNCTION("""COMPUTED_VALUE"""),1)</f>
        <v>1</v>
      </c>
      <c r="M277" s="3">
        <f ca="1">IFERROR(__xludf.DUMMYFUNCTION("""COMPUTED_VALUE"""),0)</f>
        <v>0</v>
      </c>
      <c r="N277" s="3" t="str">
        <f ca="1">IFERROR(__xludf.DUMMYFUNCTION("""COMPUTED_VALUE"""),"2055-06-02T16:21:30.897089Z")</f>
        <v>2055-06-02T16:21:30.897089Z</v>
      </c>
      <c r="O277" s="3" t="str">
        <f ca="1">IFERROR(__xludf.DUMMYFUNCTION("""COMPUTED_VALUE"""),"2055-06-02T16:30:41.158579Z")</f>
        <v>2055-06-02T16:30:41.158579Z</v>
      </c>
      <c r="P277" s="3" t="str">
        <f ca="1">IFERROR(__xludf.DUMMYFUNCTION("""COMPUTED_VALUE"""),"2055-06-02T15:18:54.850455Z")</f>
        <v>2055-06-02T15:18:54.850455Z</v>
      </c>
      <c r="Q277" s="3">
        <f ca="1">IFERROR(__xludf.DUMMYFUNCTION("""COMPUTED_VALUE"""),0)</f>
        <v>0</v>
      </c>
      <c r="R277" s="3" t="str">
        <f ca="1">IFERROR(__xludf.DUMMYFUNCTION("""COMPUTED_VALUE"""),"2055-06-02T15:19:03.545636Z")</f>
        <v>2055-06-02T15:19:03.545636Z</v>
      </c>
      <c r="S277" s="3" t="str">
        <f ca="1">IFERROR(__xludf.DUMMYFUNCTION("""COMPUTED_VALUE"""),"2055-06-02T15:19:13.478361Z")</f>
        <v>2055-06-02T15:19:13.478361Z</v>
      </c>
      <c r="T277" s="3"/>
      <c r="U277" s="4">
        <f ca="1">IFERROR(__xludf.DUMMYFUNCTION("""COMPUTED_VALUE"""),56767)</f>
        <v>56767</v>
      </c>
      <c r="V277" s="3">
        <f ca="1">IFERROR(__xludf.DUMMYFUNCTION("""COMPUTED_VALUE"""),4.3)</f>
        <v>4.3</v>
      </c>
      <c r="W277" s="3">
        <f ca="1">IFERROR(__xludf.DUMMYFUNCTION("""COMPUTED_VALUE"""),3500)</f>
        <v>3500</v>
      </c>
      <c r="X277" s="3">
        <f ca="1">IFERROR(__xludf.DUMMYFUNCTION("""COMPUTED_VALUE"""),4298)</f>
        <v>4298</v>
      </c>
      <c r="Y277" s="3">
        <f ca="1">IFERROR(__xludf.DUMMYFUNCTION("""COMPUTED_VALUE"""),10)</f>
        <v>10</v>
      </c>
      <c r="Z277" s="3">
        <f ca="1">IFERROR(__xludf.DUMMYFUNCTION("""COMPUTED_VALUE"""),3737)</f>
        <v>3737</v>
      </c>
      <c r="AA277" s="3">
        <f ca="1">IFERROR(__xludf.DUMMYFUNCTION("""COMPUTED_VALUE"""),551)</f>
        <v>551</v>
      </c>
      <c r="AB277" s="3">
        <f ca="1">IFERROR(__xludf.DUMMYFUNCTION("""COMPUTED_VALUE"""),1)</f>
        <v>1</v>
      </c>
      <c r="AC277" s="3">
        <f ca="1">IFERROR(__xludf.DUMMYFUNCTION("""COMPUTED_VALUE"""),3)</f>
        <v>3</v>
      </c>
      <c r="AD277" s="3"/>
      <c r="AE277" s="3" t="str">
        <f ca="1">IFERROR(__xludf.DUMMYFUNCTION("""COMPUTED_VALUE"""),"2055-06-02T12:21:30.897089Z")</f>
        <v>2055-06-02T12:21:30.897089Z</v>
      </c>
      <c r="AF277" s="3" t="str">
        <f ca="1">IFERROR(__xludf.DUMMYFUNCTION("""COMPUTED_VALUE"""),"2055-06-02T12:30:41.158579Z")</f>
        <v>2055-06-02T12:30:41.158579Z</v>
      </c>
      <c r="AG277" s="3" t="str">
        <f ca="1">IFERROR(__xludf.DUMMYFUNCTION("""COMPUTED_VALUE"""),"2055-06-02T11:18:54.850455Z")</f>
        <v>2055-06-02T11:18:54.850455Z</v>
      </c>
      <c r="AH277" s="3" t="str">
        <f ca="1">IFERROR(__xludf.DUMMYFUNCTION("""COMPUTED_VALUE"""),"2055-06-02T11:19:13.478361Z")</f>
        <v>2055-06-02T11:19:13.478361Z</v>
      </c>
      <c r="AI277" s="3">
        <f ca="1">IFERROR(__xludf.DUMMYFUNCTION("""COMPUTED_VALUE"""),4.54)</f>
        <v>4.54</v>
      </c>
      <c r="AJ277" s="3">
        <f ca="1">IFERROR(__xludf.DUMMYFUNCTION("""COMPUTED_VALUE"""),2229)</f>
        <v>2229</v>
      </c>
      <c r="AK277" s="3">
        <f ca="1">IFERROR(__xludf.DUMMYFUNCTION("""COMPUTED_VALUE"""),6580)</f>
        <v>6580</v>
      </c>
      <c r="AL277" s="3"/>
    </row>
    <row r="278" spans="1:38" ht="13">
      <c r="A278" s="3">
        <f ca="1">IFERROR(__xludf.DUMMYFUNCTION("""COMPUTED_VALUE"""),258)</f>
        <v>258</v>
      </c>
      <c r="B278" s="3"/>
      <c r="C278" s="3">
        <f ca="1">IFERROR(__xludf.DUMMYFUNCTION("""COMPUTED_VALUE"""),4001)</f>
        <v>4001</v>
      </c>
      <c r="D278" s="3" t="str">
        <f ca="1">IFERROR(__xludf.DUMMYFUNCTION("""COMPUTED_VALUE"""),"Dashattan")</f>
        <v>Dashattan</v>
      </c>
      <c r="E278" s="3" t="str">
        <f ca="1">IFERROR(__xludf.DUMMYFUNCTION("""COMPUTED_VALUE"""),"Galaxy A")</f>
        <v>Galaxy A</v>
      </c>
      <c r="F278" s="3" t="str">
        <f ca="1">IFERROR(__xludf.DUMMYFUNCTION("""COMPUTED_VALUE"""),"KC")</f>
        <v>KC</v>
      </c>
      <c r="G278" s="3">
        <f ca="1">IFERROR(__xludf.DUMMYFUNCTION("""COMPUTED_VALUE"""),0)</f>
        <v>0</v>
      </c>
      <c r="H278" s="3" t="str">
        <f ca="1">IFERROR(__xludf.DUMMYFUNCTION("""COMPUTED_VALUE"""),"car")</f>
        <v>car</v>
      </c>
      <c r="I278" s="3" t="str">
        <f ca="1">IFERROR(__xludf.DUMMYFUNCTION("""COMPUTED_VALUE"""),"2055-06-03T14:34:23.735459Z")</f>
        <v>2055-06-03T14:34:23.735459Z</v>
      </c>
      <c r="J278" s="3" t="str">
        <f ca="1">IFERROR(__xludf.DUMMYFUNCTION("""COMPUTED_VALUE"""),"2055-06-03T15:09:12.792Z")</f>
        <v>2055-06-03T15:09:12.792Z</v>
      </c>
      <c r="K278" s="3" t="str">
        <f ca="1">IFERROR(__xludf.DUMMYFUNCTION("""COMPUTED_VALUE"""),"2055-06-03T15:04:05.792Z")</f>
        <v>2055-06-03T15:04:05.792Z</v>
      </c>
      <c r="L278" s="3">
        <f ca="1">IFERROR(__xludf.DUMMYFUNCTION("""COMPUTED_VALUE"""),1)</f>
        <v>1</v>
      </c>
      <c r="M278" s="3">
        <f ca="1">IFERROR(__xludf.DUMMYFUNCTION("""COMPUTED_VALUE"""),0)</f>
        <v>0</v>
      </c>
      <c r="N278" s="3" t="str">
        <f ca="1">IFERROR(__xludf.DUMMYFUNCTION("""COMPUTED_VALUE"""),"2055-06-03T15:03:33.947197Z")</f>
        <v>2055-06-03T15:03:33.947197Z</v>
      </c>
      <c r="O278" s="3" t="str">
        <f ca="1">IFERROR(__xludf.DUMMYFUNCTION("""COMPUTED_VALUE"""),"2055-06-03T15:11:24.420677Z")</f>
        <v>2055-06-03T15:11:24.420677Z</v>
      </c>
      <c r="P278" s="3" t="str">
        <f ca="1">IFERROR(__xludf.DUMMYFUNCTION("""COMPUTED_VALUE"""),"2055-06-03T14:41:14.1723Z")</f>
        <v>2055-06-03T14:41:14.1723Z</v>
      </c>
      <c r="Q278" s="3">
        <f ca="1">IFERROR(__xludf.DUMMYFUNCTION("""COMPUTED_VALUE"""),0)</f>
        <v>0</v>
      </c>
      <c r="R278" s="3" t="str">
        <f ca="1">IFERROR(__xludf.DUMMYFUNCTION("""COMPUTED_VALUE"""),"2055-06-03T14:42:04.101091Z")</f>
        <v>2055-06-03T14:42:04.101091Z</v>
      </c>
      <c r="S278" s="3" t="str">
        <f ca="1">IFERROR(__xludf.DUMMYFUNCTION("""COMPUTED_VALUE"""),"2055-06-03T14:50:59.00952Z")</f>
        <v>2055-06-03T14:50:59.00952Z</v>
      </c>
      <c r="T278" s="3"/>
      <c r="U278" s="4">
        <f ca="1">IFERROR(__xludf.DUMMYFUNCTION("""COMPUTED_VALUE"""),56768)</f>
        <v>56768</v>
      </c>
      <c r="V278" s="3">
        <f ca="1">IFERROR(__xludf.DUMMYFUNCTION("""COMPUTED_VALUE"""),3.979211633)</f>
        <v>3.9792116329999998</v>
      </c>
      <c r="W278" s="3">
        <f ca="1">IFERROR(__xludf.DUMMYFUNCTION("""COMPUTED_VALUE"""),3500)</f>
        <v>3500</v>
      </c>
      <c r="X278" s="3">
        <f ca="1">IFERROR(__xludf.DUMMYFUNCTION("""COMPUTED_VALUE"""),1760)</f>
        <v>1760</v>
      </c>
      <c r="Y278" s="3">
        <f ca="1">IFERROR(__xludf.DUMMYFUNCTION("""COMPUTED_VALUE"""),535)</f>
        <v>535</v>
      </c>
      <c r="Z278" s="3">
        <f ca="1">IFERROR(__xludf.DUMMYFUNCTION("""COMPUTED_VALUE"""),754)</f>
        <v>754</v>
      </c>
      <c r="AA278" s="3">
        <f ca="1">IFERROR(__xludf.DUMMYFUNCTION("""COMPUTED_VALUE"""),471)</f>
        <v>471</v>
      </c>
      <c r="AB278" s="3">
        <f ca="1">IFERROR(__xludf.DUMMYFUNCTION("""COMPUTED_VALUE"""),0)</f>
        <v>0</v>
      </c>
      <c r="AC278" s="3">
        <f ca="1">IFERROR(__xludf.DUMMYFUNCTION("""COMPUTED_VALUE"""),6)</f>
        <v>6</v>
      </c>
      <c r="AD278" s="3" t="str">
        <f ca="1">IFERROR(__xludf.DUMMYFUNCTION("""COMPUTED_VALUE"""),"early")</f>
        <v>early</v>
      </c>
      <c r="AE278" s="3" t="str">
        <f ca="1">IFERROR(__xludf.DUMMYFUNCTION("""COMPUTED_VALUE"""),"2055-06-03T11:03:33.947197Z")</f>
        <v>2055-06-03T11:03:33.947197Z</v>
      </c>
      <c r="AF278" s="3" t="str">
        <f ca="1">IFERROR(__xludf.DUMMYFUNCTION("""COMPUTED_VALUE"""),"2055-06-03T11:11:24.420677Z")</f>
        <v>2055-06-03T11:11:24.420677Z</v>
      </c>
      <c r="AG278" s="3" t="str">
        <f ca="1">IFERROR(__xludf.DUMMYFUNCTION("""COMPUTED_VALUE"""),"2055-06-03T10:41:14.1723Z")</f>
        <v>2055-06-03T10:41:14.1723Z</v>
      </c>
      <c r="AH278" s="3" t="str">
        <f ca="1">IFERROR(__xludf.DUMMYFUNCTION("""COMPUTED_VALUE"""),"2055-06-03T10:50:59.00952Z")</f>
        <v>2055-06-03T10:50:59.00952Z</v>
      </c>
      <c r="AI278" s="3">
        <f ca="1">IFERROR(__xludf.DUMMYFUNCTION("""COMPUTED_VALUE"""),4.54)</f>
        <v>4.54</v>
      </c>
      <c r="AJ278" s="3">
        <f ca="1">IFERROR(__xludf.DUMMYFUNCTION("""COMPUTED_VALUE"""),2229)</f>
        <v>2229</v>
      </c>
      <c r="AK278" s="3">
        <f ca="1">IFERROR(__xludf.DUMMYFUNCTION("""COMPUTED_VALUE"""),6580)</f>
        <v>6580</v>
      </c>
      <c r="AL278" s="3"/>
    </row>
    <row r="279" spans="1:38" ht="13">
      <c r="A279" s="3">
        <f ca="1">IFERROR(__xludf.DUMMYFUNCTION("""COMPUTED_VALUE"""),447)</f>
        <v>447</v>
      </c>
      <c r="B279" s="3">
        <f ca="1">IFERROR(__xludf.DUMMYFUNCTION("""COMPUTED_VALUE"""),5)</f>
        <v>5</v>
      </c>
      <c r="C279" s="3">
        <f ca="1">IFERROR(__xludf.DUMMYFUNCTION("""COMPUTED_VALUE"""),4050)</f>
        <v>4050</v>
      </c>
      <c r="D279" s="3" t="str">
        <f ca="1">IFERROR(__xludf.DUMMYFUNCTION("""COMPUTED_VALUE"""),"Doorlanta")</f>
        <v>Doorlanta</v>
      </c>
      <c r="E279" s="3" t="str">
        <f ca="1">IFERROR(__xludf.DUMMYFUNCTION("""COMPUTED_VALUE"""),"Galaxy A")</f>
        <v>Galaxy A</v>
      </c>
      <c r="F279" s="3" t="str">
        <f ca="1">IFERROR(__xludf.DUMMYFUNCTION("""COMPUTED_VALUE"""),"Merissa")</f>
        <v>Merissa</v>
      </c>
      <c r="G279" s="3">
        <f ca="1">IFERROR(__xludf.DUMMYFUNCTION("""COMPUTED_VALUE"""),0)</f>
        <v>0</v>
      </c>
      <c r="H279" s="3" t="str">
        <f ca="1">IFERROR(__xludf.DUMMYFUNCTION("""COMPUTED_VALUE"""),"car")</f>
        <v>car</v>
      </c>
      <c r="I279" s="3" t="str">
        <f ca="1">IFERROR(__xludf.DUMMYFUNCTION("""COMPUTED_VALUE"""),"2055-06-04T21:22:32.041501Z")</f>
        <v>2055-06-04T21:22:32.041501Z</v>
      </c>
      <c r="J279" s="3" t="str">
        <f ca="1">IFERROR(__xludf.DUMMYFUNCTION("""COMPUTED_VALUE"""),"2055-06-04T22:17:32.113Z")</f>
        <v>2055-06-04T22:17:32.113Z</v>
      </c>
      <c r="K279" s="3" t="str">
        <f ca="1">IFERROR(__xludf.DUMMYFUNCTION("""COMPUTED_VALUE"""),"2055-06-04T21:53:52.113Z")</f>
        <v>2055-06-04T21:53:52.113Z</v>
      </c>
      <c r="L279" s="3">
        <f ca="1">IFERROR(__xludf.DUMMYFUNCTION("""COMPUTED_VALUE"""),1)</f>
        <v>1</v>
      </c>
      <c r="M279" s="3">
        <f ca="1">IFERROR(__xludf.DUMMYFUNCTION("""COMPUTED_VALUE"""),0)</f>
        <v>0</v>
      </c>
      <c r="N279" s="3" t="str">
        <f ca="1">IFERROR(__xludf.DUMMYFUNCTION("""COMPUTED_VALUE"""),"2055-06-04T21:50:07.893517Z")</f>
        <v>2055-06-04T21:50:07.893517Z</v>
      </c>
      <c r="O279" s="3" t="str">
        <f ca="1">IFERROR(__xludf.DUMMYFUNCTION("""COMPUTED_VALUE"""),"2055-06-04T22:19:03.928392Z")</f>
        <v>2055-06-04T22:19:03.928392Z</v>
      </c>
      <c r="P279" s="3" t="str">
        <f ca="1">IFERROR(__xludf.DUMMYFUNCTION("""COMPUTED_VALUE"""),"2055-06-04T21:22:47.317015Z")</f>
        <v>2055-06-04T21:22:47.317015Z</v>
      </c>
      <c r="Q279" s="3">
        <f ca="1">IFERROR(__xludf.DUMMYFUNCTION("""COMPUTED_VALUE"""),0)</f>
        <v>0</v>
      </c>
      <c r="R279" s="3" t="str">
        <f ca="1">IFERROR(__xludf.DUMMYFUNCTION("""COMPUTED_VALUE"""),"2055-06-04T21:22:56.817793Z")</f>
        <v>2055-06-04T21:22:56.817793Z</v>
      </c>
      <c r="S279" s="3" t="str">
        <f ca="1">IFERROR(__xludf.DUMMYFUNCTION("""COMPUTED_VALUE"""),"2055-06-04T21:34:50.279002Z")</f>
        <v>2055-06-04T21:34:50.279002Z</v>
      </c>
      <c r="T279" s="3"/>
      <c r="U279" s="4">
        <f ca="1">IFERROR(__xludf.DUMMYFUNCTION("""COMPUTED_VALUE"""),56769)</f>
        <v>56769</v>
      </c>
      <c r="V279" s="3">
        <f ca="1">IFERROR(__xludf.DUMMYFUNCTION("""COMPUTED_VALUE"""),2.546577182)</f>
        <v>2.5465771820000001</v>
      </c>
      <c r="W279" s="3">
        <f ca="1">IFERROR(__xludf.DUMMYFUNCTION("""COMPUTED_VALUE"""),3500)</f>
        <v>3500</v>
      </c>
      <c r="X279" s="3">
        <f ca="1">IFERROR(__xludf.DUMMYFUNCTION("""COMPUTED_VALUE"""),3367)</f>
        <v>3367</v>
      </c>
      <c r="Y279" s="3">
        <f ca="1">IFERROR(__xludf.DUMMYFUNCTION("""COMPUTED_VALUE"""),714)</f>
        <v>714</v>
      </c>
      <c r="Z279" s="3">
        <f ca="1">IFERROR(__xludf.DUMMYFUNCTION("""COMPUTED_VALUE"""),917)</f>
        <v>917</v>
      </c>
      <c r="AA279" s="3">
        <f ca="1">IFERROR(__xludf.DUMMYFUNCTION("""COMPUTED_VALUE"""),1736)</f>
        <v>1736</v>
      </c>
      <c r="AB279" s="3">
        <f ca="1">IFERROR(__xludf.DUMMYFUNCTION("""COMPUTED_VALUE"""),0)</f>
        <v>0</v>
      </c>
      <c r="AC279" s="3">
        <f ca="1">IFERROR(__xludf.DUMMYFUNCTION("""COMPUTED_VALUE"""),3)</f>
        <v>3</v>
      </c>
      <c r="AD279" s="3" t="str">
        <f ca="1">IFERROR(__xludf.DUMMYFUNCTION("""COMPUTED_VALUE"""),"on time")</f>
        <v>on time</v>
      </c>
      <c r="AE279" s="3" t="str">
        <f ca="1">IFERROR(__xludf.DUMMYFUNCTION("""COMPUTED_VALUE"""),"2055-06-04T17:50:07.893517Z")</f>
        <v>2055-06-04T17:50:07.893517Z</v>
      </c>
      <c r="AF279" s="3" t="str">
        <f ca="1">IFERROR(__xludf.DUMMYFUNCTION("""COMPUTED_VALUE"""),"2055-06-04T18:19:03.928392Z")</f>
        <v>2055-06-04T18:19:03.928392Z</v>
      </c>
      <c r="AG279" s="3" t="str">
        <f ca="1">IFERROR(__xludf.DUMMYFUNCTION("""COMPUTED_VALUE"""),"2055-06-04T17:22:47.317015Z")</f>
        <v>2055-06-04T17:22:47.317015Z</v>
      </c>
      <c r="AH279" s="3" t="str">
        <f ca="1">IFERROR(__xludf.DUMMYFUNCTION("""COMPUTED_VALUE"""),"2055-06-04T17:34:50.279002Z")</f>
        <v>2055-06-04T17:34:50.279002Z</v>
      </c>
      <c r="AI279" s="3">
        <f ca="1">IFERROR(__xludf.DUMMYFUNCTION("""COMPUTED_VALUE"""),4.58)</f>
        <v>4.58</v>
      </c>
      <c r="AJ279" s="3">
        <f ca="1">IFERROR(__xludf.DUMMYFUNCTION("""COMPUTED_VALUE"""),679)</f>
        <v>679</v>
      </c>
      <c r="AK279" s="3">
        <f ca="1">IFERROR(__xludf.DUMMYFUNCTION("""COMPUTED_VALUE"""),2371)</f>
        <v>2371</v>
      </c>
      <c r="AL279" s="3">
        <f ca="1">IFERROR(__xludf.DUMMYFUNCTION("""COMPUTED_VALUE"""),1830)</f>
        <v>1830</v>
      </c>
    </row>
    <row r="280" spans="1:38" ht="13">
      <c r="A280" s="3">
        <f ca="1">IFERROR(__xludf.DUMMYFUNCTION("""COMPUTED_VALUE"""),990)</f>
        <v>990</v>
      </c>
      <c r="B280" s="3"/>
      <c r="C280" s="3">
        <f ca="1">IFERROR(__xludf.DUMMYFUNCTION("""COMPUTED_VALUE"""),4001)</f>
        <v>4001</v>
      </c>
      <c r="D280" s="3" t="str">
        <f ca="1">IFERROR(__xludf.DUMMYFUNCTION("""COMPUTED_VALUE"""),"Dashattan")</f>
        <v>Dashattan</v>
      </c>
      <c r="E280" s="3" t="str">
        <f ca="1">IFERROR(__xludf.DUMMYFUNCTION("""COMPUTED_VALUE"""),"Galaxy A")</f>
        <v>Galaxy A</v>
      </c>
      <c r="F280" s="3" t="str">
        <f ca="1">IFERROR(__xludf.DUMMYFUNCTION("""COMPUTED_VALUE"""),"Arya")</f>
        <v>Arya</v>
      </c>
      <c r="G280" s="3">
        <f ca="1">IFERROR(__xludf.DUMMYFUNCTION("""COMPUTED_VALUE"""),0)</f>
        <v>0</v>
      </c>
      <c r="H280" s="3" t="str">
        <f ca="1">IFERROR(__xludf.DUMMYFUNCTION("""COMPUTED_VALUE"""),"bicycle")</f>
        <v>bicycle</v>
      </c>
      <c r="I280" s="3" t="str">
        <f ca="1">IFERROR(__xludf.DUMMYFUNCTION("""COMPUTED_VALUE"""),"2055-06-08T23:48:17.122004Z")</f>
        <v>2055-06-08T23:48:17.122004Z</v>
      </c>
      <c r="J280" s="3" t="str">
        <f ca="1">IFERROR(__xludf.DUMMYFUNCTION("""COMPUTED_VALUE"""),"2055-06-09T00:50:40.186Z")</f>
        <v>2055-06-09T00:50:40.186Z</v>
      </c>
      <c r="K280" s="3" t="str">
        <f ca="1">IFERROR(__xludf.DUMMYFUNCTION("""COMPUTED_VALUE"""),"2055-06-09T00:28:46.186Z")</f>
        <v>2055-06-09T00:28:46.186Z</v>
      </c>
      <c r="L280" s="3">
        <f ca="1">IFERROR(__xludf.DUMMYFUNCTION("""COMPUTED_VALUE"""),1)</f>
        <v>1</v>
      </c>
      <c r="M280" s="3">
        <f ca="1">IFERROR(__xludf.DUMMYFUNCTION("""COMPUTED_VALUE"""),0)</f>
        <v>0</v>
      </c>
      <c r="N280" s="3" t="str">
        <f ca="1">IFERROR(__xludf.DUMMYFUNCTION("""COMPUTED_VALUE"""),"2055-06-09T00:11:10.740347Z")</f>
        <v>2055-06-09T00:11:10.740347Z</v>
      </c>
      <c r="O280" s="3" t="str">
        <f ca="1">IFERROR(__xludf.DUMMYFUNCTION("""COMPUTED_VALUE"""),"2055-06-09T00:23:15.902491Z")</f>
        <v>2055-06-09T00:23:15.902491Z</v>
      </c>
      <c r="P280" s="3" t="str">
        <f ca="1">IFERROR(__xludf.DUMMYFUNCTION("""COMPUTED_VALUE"""),"2055-06-08T23:59:35.038091Z")</f>
        <v>2055-06-08T23:59:35.038091Z</v>
      </c>
      <c r="Q280" s="3">
        <f ca="1">IFERROR(__xludf.DUMMYFUNCTION("""COMPUTED_VALUE"""),0)</f>
        <v>0</v>
      </c>
      <c r="R280" s="3" t="str">
        <f ca="1">IFERROR(__xludf.DUMMYFUNCTION("""COMPUTED_VALUE"""),"2055-06-08T23:59:47.5354Z")</f>
        <v>2055-06-08T23:59:47.5354Z</v>
      </c>
      <c r="S280" s="3" t="str">
        <f ca="1">IFERROR(__xludf.DUMMYFUNCTION("""COMPUTED_VALUE"""),"2055-06-09T00:05:57.706772Z")</f>
        <v>2055-06-09T00:05:57.706772Z</v>
      </c>
      <c r="T280" s="3"/>
      <c r="U280" s="4">
        <f ca="1">IFERROR(__xludf.DUMMYFUNCTION("""COMPUTED_VALUE"""),56773)</f>
        <v>56773</v>
      </c>
      <c r="V280" s="3">
        <f ca="1">IFERROR(__xludf.DUMMYFUNCTION("""COMPUTED_VALUE"""),4.8)</f>
        <v>4.8</v>
      </c>
      <c r="W280" s="3">
        <f ca="1">IFERROR(__xludf.DUMMYFUNCTION("""COMPUTED_VALUE"""),3500)</f>
        <v>3500</v>
      </c>
      <c r="X280" s="3">
        <f ca="1">IFERROR(__xludf.DUMMYFUNCTION("""COMPUTED_VALUE"""),1408)</f>
        <v>1408</v>
      </c>
      <c r="Y280" s="3">
        <f ca="1">IFERROR(__xludf.DUMMYFUNCTION("""COMPUTED_VALUE"""),370)</f>
        <v>370</v>
      </c>
      <c r="Z280" s="3">
        <f ca="1">IFERROR(__xludf.DUMMYFUNCTION("""COMPUTED_VALUE"""),313)</f>
        <v>313</v>
      </c>
      <c r="AA280" s="3">
        <f ca="1">IFERROR(__xludf.DUMMYFUNCTION("""COMPUTED_VALUE"""),725)</f>
        <v>725</v>
      </c>
      <c r="AB280" s="3">
        <f ca="1">IFERROR(__xludf.DUMMYFUNCTION("""COMPUTED_VALUE"""),0)</f>
        <v>0</v>
      </c>
      <c r="AC280" s="3">
        <f ca="1">IFERROR(__xludf.DUMMYFUNCTION("""COMPUTED_VALUE"""),6)</f>
        <v>6</v>
      </c>
      <c r="AD280" s="3" t="str">
        <f ca="1">IFERROR(__xludf.DUMMYFUNCTION("""COMPUTED_VALUE"""),"on time")</f>
        <v>on time</v>
      </c>
      <c r="AE280" s="3" t="str">
        <f ca="1">IFERROR(__xludf.DUMMYFUNCTION("""COMPUTED_VALUE"""),"2055-06-08T20:11:10.740347Z")</f>
        <v>2055-06-08T20:11:10.740347Z</v>
      </c>
      <c r="AF280" s="3" t="str">
        <f ca="1">IFERROR(__xludf.DUMMYFUNCTION("""COMPUTED_VALUE"""),"2055-06-08T20:23:15.902491Z")</f>
        <v>2055-06-08T20:23:15.902491Z</v>
      </c>
      <c r="AG280" s="3" t="str">
        <f ca="1">IFERROR(__xludf.DUMMYFUNCTION("""COMPUTED_VALUE"""),"2055-06-08T19:59:35.038091Z")</f>
        <v>2055-06-08T19:59:35.038091Z</v>
      </c>
      <c r="AH280" s="3" t="str">
        <f ca="1">IFERROR(__xludf.DUMMYFUNCTION("""COMPUTED_VALUE"""),"2055-06-08T20:05:57.706772Z")</f>
        <v>2055-06-08T20:05:57.706772Z</v>
      </c>
      <c r="AI280" s="3">
        <f ca="1">IFERROR(__xludf.DUMMYFUNCTION("""COMPUTED_VALUE"""),4.17)</f>
        <v>4.17</v>
      </c>
      <c r="AJ280" s="3">
        <f ca="1">IFERROR(__xludf.DUMMYFUNCTION("""COMPUTED_VALUE"""),457)</f>
        <v>457</v>
      </c>
      <c r="AK280" s="3">
        <f ca="1">IFERROR(__xludf.DUMMYFUNCTION("""COMPUTED_VALUE"""),1599)</f>
        <v>1599</v>
      </c>
      <c r="AL280" s="3"/>
    </row>
    <row r="281" spans="1:38" ht="13">
      <c r="A281" s="3">
        <f ca="1">IFERROR(__xludf.DUMMYFUNCTION("""COMPUTED_VALUE"""),995)</f>
        <v>995</v>
      </c>
      <c r="B281" s="3"/>
      <c r="C281" s="3">
        <f ca="1">IFERROR(__xludf.DUMMYFUNCTION("""COMPUTED_VALUE"""),4001)</f>
        <v>4001</v>
      </c>
      <c r="D281" s="3" t="str">
        <f ca="1">IFERROR(__xludf.DUMMYFUNCTION("""COMPUTED_VALUE"""),"Dashattan")</f>
        <v>Dashattan</v>
      </c>
      <c r="E281" s="3" t="str">
        <f ca="1">IFERROR(__xludf.DUMMYFUNCTION("""COMPUTED_VALUE"""),"Galaxy A")</f>
        <v>Galaxy A</v>
      </c>
      <c r="F281" s="3" t="str">
        <f ca="1">IFERROR(__xludf.DUMMYFUNCTION("""COMPUTED_VALUE"""),"J")</f>
        <v>J</v>
      </c>
      <c r="G281" s="3">
        <f ca="1">IFERROR(__xludf.DUMMYFUNCTION("""COMPUTED_VALUE"""),0)</f>
        <v>0</v>
      </c>
      <c r="H281" s="3" t="str">
        <f ca="1">IFERROR(__xludf.DUMMYFUNCTION("""COMPUTED_VALUE"""),"bicycle")</f>
        <v>bicycle</v>
      </c>
      <c r="I281" s="3" t="str">
        <f ca="1">IFERROR(__xludf.DUMMYFUNCTION("""COMPUTED_VALUE"""),"2055-06-09T00:15:09.617044Z")</f>
        <v>2055-06-09T00:15:09.617044Z</v>
      </c>
      <c r="J281" s="3" t="str">
        <f ca="1">IFERROR(__xludf.DUMMYFUNCTION("""COMPUTED_VALUE"""),"2055-06-09T01:08:10.682Z")</f>
        <v>2055-06-09T01:08:10.682Z</v>
      </c>
      <c r="K281" s="3" t="str">
        <f ca="1">IFERROR(__xludf.DUMMYFUNCTION("""COMPUTED_VALUE"""),"2055-06-09T00:53:03.682Z")</f>
        <v>2055-06-09T00:53:03.682Z</v>
      </c>
      <c r="L281" s="3">
        <f ca="1">IFERROR(__xludf.DUMMYFUNCTION("""COMPUTED_VALUE"""),1)</f>
        <v>1</v>
      </c>
      <c r="M281" s="3">
        <f ca="1">IFERROR(__xludf.DUMMYFUNCTION("""COMPUTED_VALUE"""),0)</f>
        <v>0</v>
      </c>
      <c r="N281" s="3" t="str">
        <f ca="1">IFERROR(__xludf.DUMMYFUNCTION("""COMPUTED_VALUE"""),"2055-06-09T00:47:08.398954Z")</f>
        <v>2055-06-09T00:47:08.398954Z</v>
      </c>
      <c r="O281" s="3" t="str">
        <f ca="1">IFERROR(__xludf.DUMMYFUNCTION("""COMPUTED_VALUE"""),"2055-06-09T00:56:58.948931Z")</f>
        <v>2055-06-09T00:56:58.948931Z</v>
      </c>
      <c r="P281" s="3" t="str">
        <f ca="1">IFERROR(__xludf.DUMMYFUNCTION("""COMPUTED_VALUE"""),"2055-06-09T00:19:35.2146Z")</f>
        <v>2055-06-09T00:19:35.2146Z</v>
      </c>
      <c r="Q281" s="3">
        <f ca="1">IFERROR(__xludf.DUMMYFUNCTION("""COMPUTED_VALUE"""),0)</f>
        <v>0</v>
      </c>
      <c r="R281" s="3" t="str">
        <f ca="1">IFERROR(__xludf.DUMMYFUNCTION("""COMPUTED_VALUE"""),"2055-06-09T00:19:46.629136Z")</f>
        <v>2055-06-09T00:19:46.629136Z</v>
      </c>
      <c r="S281" s="3" t="str">
        <f ca="1">IFERROR(__xludf.DUMMYFUNCTION("""COMPUTED_VALUE"""),"2055-06-09T00:35:31.442837Z")</f>
        <v>2055-06-09T00:35:31.442837Z</v>
      </c>
      <c r="T281" s="3"/>
      <c r="U281" s="4">
        <f ca="1">IFERROR(__xludf.DUMMYFUNCTION("""COMPUTED_VALUE"""),56773)</f>
        <v>56773</v>
      </c>
      <c r="V281" s="3">
        <f ca="1">IFERROR(__xludf.DUMMYFUNCTION("""COMPUTED_VALUE"""),3.746792397)</f>
        <v>3.7467923970000001</v>
      </c>
      <c r="W281" s="3">
        <f ca="1">IFERROR(__xludf.DUMMYFUNCTION("""COMPUTED_VALUE"""),3500)</f>
        <v>3500</v>
      </c>
      <c r="X281" s="3">
        <f ca="1">IFERROR(__xludf.DUMMYFUNCTION("""COMPUTED_VALUE"""),2232)</f>
        <v>2232</v>
      </c>
      <c r="Y281" s="3">
        <f ca="1">IFERROR(__xludf.DUMMYFUNCTION("""COMPUTED_VALUE"""),945)</f>
        <v>945</v>
      </c>
      <c r="Z281" s="3">
        <f ca="1">IFERROR(__xludf.DUMMYFUNCTION("""COMPUTED_VALUE"""),697)</f>
        <v>697</v>
      </c>
      <c r="AA281" s="3">
        <f ca="1">IFERROR(__xludf.DUMMYFUNCTION("""COMPUTED_VALUE"""),590)</f>
        <v>590</v>
      </c>
      <c r="AB281" s="3">
        <f ca="1">IFERROR(__xludf.DUMMYFUNCTION("""COMPUTED_VALUE"""),0)</f>
        <v>0</v>
      </c>
      <c r="AC281" s="3">
        <f ca="1">IFERROR(__xludf.DUMMYFUNCTION("""COMPUTED_VALUE"""),2)</f>
        <v>2</v>
      </c>
      <c r="AD281" s="3" t="str">
        <f ca="1">IFERROR(__xludf.DUMMYFUNCTION("""COMPUTED_VALUE"""),"late")</f>
        <v>late</v>
      </c>
      <c r="AE281" s="3" t="str">
        <f ca="1">IFERROR(__xludf.DUMMYFUNCTION("""COMPUTED_VALUE"""),"2055-06-08T20:47:08.398954Z")</f>
        <v>2055-06-08T20:47:08.398954Z</v>
      </c>
      <c r="AF281" s="3" t="str">
        <f ca="1">IFERROR(__xludf.DUMMYFUNCTION("""COMPUTED_VALUE"""),"2055-06-08T20:56:58.948931Z")</f>
        <v>2055-06-08T20:56:58.948931Z</v>
      </c>
      <c r="AG281" s="3" t="str">
        <f ca="1">IFERROR(__xludf.DUMMYFUNCTION("""COMPUTED_VALUE"""),"2055-06-08T20:19:35.2146Z")</f>
        <v>2055-06-08T20:19:35.2146Z</v>
      </c>
      <c r="AH281" s="3" t="str">
        <f ca="1">IFERROR(__xludf.DUMMYFUNCTION("""COMPUTED_VALUE"""),"2055-06-08T20:35:31.442837Z")</f>
        <v>2055-06-08T20:35:31.442837Z</v>
      </c>
      <c r="AI281" s="3">
        <f ca="1">IFERROR(__xludf.DUMMYFUNCTION("""COMPUTED_VALUE"""),4.6)</f>
        <v>4.5999999999999996</v>
      </c>
      <c r="AJ281" s="3">
        <f ca="1">IFERROR(__xludf.DUMMYFUNCTION("""COMPUTED_VALUE"""),292)</f>
        <v>292</v>
      </c>
      <c r="AK281" s="3">
        <f ca="1">IFERROR(__xludf.DUMMYFUNCTION("""COMPUTED_VALUE"""),1027)</f>
        <v>1027</v>
      </c>
      <c r="AL281" s="3">
        <f ca="1">IFERROR(__xludf.DUMMYFUNCTION("""COMPUTED_VALUE"""),26)</f>
        <v>26</v>
      </c>
    </row>
    <row r="282" spans="1:38" ht="13">
      <c r="A282" s="3">
        <f ca="1">IFERROR(__xludf.DUMMYFUNCTION("""COMPUTED_VALUE"""),681)</f>
        <v>681</v>
      </c>
      <c r="B282" s="3">
        <f ca="1">IFERROR(__xludf.DUMMYFUNCTION("""COMPUTED_VALUE"""),5)</f>
        <v>5</v>
      </c>
      <c r="C282" s="3">
        <f ca="1">IFERROR(__xludf.DUMMYFUNCTION("""COMPUTED_VALUE"""),4050)</f>
        <v>4050</v>
      </c>
      <c r="D282" s="3" t="str">
        <f ca="1">IFERROR(__xludf.DUMMYFUNCTION("""COMPUTED_VALUE"""),"Doorlanta")</f>
        <v>Doorlanta</v>
      </c>
      <c r="E282" s="3" t="str">
        <f ca="1">IFERROR(__xludf.DUMMYFUNCTION("""COMPUTED_VALUE"""),"Galaxy A")</f>
        <v>Galaxy A</v>
      </c>
      <c r="F282" s="3" t="str">
        <f ca="1">IFERROR(__xludf.DUMMYFUNCTION("""COMPUTED_VALUE"""),"Gabby")</f>
        <v>Gabby</v>
      </c>
      <c r="G282" s="3">
        <f ca="1">IFERROR(__xludf.DUMMYFUNCTION("""COMPUTED_VALUE"""),0)</f>
        <v>0</v>
      </c>
      <c r="H282" s="3" t="str">
        <f ca="1">IFERROR(__xludf.DUMMYFUNCTION("""COMPUTED_VALUE"""),"car")</f>
        <v>car</v>
      </c>
      <c r="I282" s="3" t="str">
        <f ca="1">IFERROR(__xludf.DUMMYFUNCTION("""COMPUTED_VALUE"""),"2055-06-05T23:36:17.900587Z")</f>
        <v>2055-06-05T23:36:17.900587Z</v>
      </c>
      <c r="J282" s="3" t="str">
        <f ca="1">IFERROR(__xludf.DUMMYFUNCTION("""COMPUTED_VALUE"""),"2055-06-06T00:26:17.988Z")</f>
        <v>2055-06-06T00:26:17.988Z</v>
      </c>
      <c r="K282" s="3" t="str">
        <f ca="1">IFERROR(__xludf.DUMMYFUNCTION("""COMPUTED_VALUE"""),"2055-06-06T00:01:56.988Z")</f>
        <v>2055-06-06T00:01:56.988Z</v>
      </c>
      <c r="L282" s="3">
        <f ca="1">IFERROR(__xludf.DUMMYFUNCTION("""COMPUTED_VALUE"""),1)</f>
        <v>1</v>
      </c>
      <c r="M282" s="3">
        <f ca="1">IFERROR(__xludf.DUMMYFUNCTION("""COMPUTED_VALUE"""),0)</f>
        <v>0</v>
      </c>
      <c r="N282" s="3" t="str">
        <f ca="1">IFERROR(__xludf.DUMMYFUNCTION("""COMPUTED_VALUE"""),"2055-06-05T23:53:57.881691Z")</f>
        <v>2055-06-05T23:53:57.881691Z</v>
      </c>
      <c r="O282" s="3" t="str">
        <f ca="1">IFERROR(__xludf.DUMMYFUNCTION("""COMPUTED_VALUE"""),"2055-06-06T00:07:55.810694Z")</f>
        <v>2055-06-06T00:07:55.810694Z</v>
      </c>
      <c r="P282" s="3" t="str">
        <f ca="1">IFERROR(__xludf.DUMMYFUNCTION("""COMPUTED_VALUE"""),"2055-06-05T23:36:28.004556Z")</f>
        <v>2055-06-05T23:36:28.004556Z</v>
      </c>
      <c r="Q282" s="3">
        <f ca="1">IFERROR(__xludf.DUMMYFUNCTION("""COMPUTED_VALUE"""),0)</f>
        <v>0</v>
      </c>
      <c r="R282" s="3" t="str">
        <f ca="1">IFERROR(__xludf.DUMMYFUNCTION("""COMPUTED_VALUE"""),"2055-06-05T23:36:39.539058Z")</f>
        <v>2055-06-05T23:36:39.539058Z</v>
      </c>
      <c r="S282" s="3" t="str">
        <f ca="1">IFERROR(__xludf.DUMMYFUNCTION("""COMPUTED_VALUE"""),"2055-06-05T23:42:47.306804Z")</f>
        <v>2055-06-05T23:42:47.306804Z</v>
      </c>
      <c r="T282" s="3"/>
      <c r="U282" s="4">
        <f ca="1">IFERROR(__xludf.DUMMYFUNCTION("""COMPUTED_VALUE"""),56770)</f>
        <v>56770</v>
      </c>
      <c r="V282" s="3">
        <f ca="1">IFERROR(__xludf.DUMMYFUNCTION("""COMPUTED_VALUE"""),4.7)</f>
        <v>4.7</v>
      </c>
      <c r="W282" s="3">
        <f ca="1">IFERROR(__xludf.DUMMYFUNCTION("""COMPUTED_VALUE"""),3500)</f>
        <v>3500</v>
      </c>
      <c r="X282" s="3">
        <f ca="1">IFERROR(__xludf.DUMMYFUNCTION("""COMPUTED_VALUE"""),1876)</f>
        <v>1876</v>
      </c>
      <c r="Y282" s="3">
        <f ca="1">IFERROR(__xludf.DUMMYFUNCTION("""COMPUTED_VALUE"""),368)</f>
        <v>368</v>
      </c>
      <c r="Z282" s="3">
        <f ca="1">IFERROR(__xludf.DUMMYFUNCTION("""COMPUTED_VALUE"""),670)</f>
        <v>670</v>
      </c>
      <c r="AA282" s="3">
        <f ca="1">IFERROR(__xludf.DUMMYFUNCTION("""COMPUTED_VALUE"""),838)</f>
        <v>838</v>
      </c>
      <c r="AB282" s="3">
        <f ca="1">IFERROR(__xludf.DUMMYFUNCTION("""COMPUTED_VALUE"""),0)</f>
        <v>0</v>
      </c>
      <c r="AC282" s="3">
        <f ca="1">IFERROR(__xludf.DUMMYFUNCTION("""COMPUTED_VALUE"""),2)</f>
        <v>2</v>
      </c>
      <c r="AD282" s="3" t="str">
        <f ca="1">IFERROR(__xludf.DUMMYFUNCTION("""COMPUTED_VALUE"""),"early")</f>
        <v>early</v>
      </c>
      <c r="AE282" s="3" t="str">
        <f ca="1">IFERROR(__xludf.DUMMYFUNCTION("""COMPUTED_VALUE"""),"2055-06-05T19:53:57.881691Z")</f>
        <v>2055-06-05T19:53:57.881691Z</v>
      </c>
      <c r="AF282" s="3" t="str">
        <f ca="1">IFERROR(__xludf.DUMMYFUNCTION("""COMPUTED_VALUE"""),"2055-06-05T20:07:55.810694Z")</f>
        <v>2055-06-05T20:07:55.810694Z</v>
      </c>
      <c r="AG282" s="3" t="str">
        <f ca="1">IFERROR(__xludf.DUMMYFUNCTION("""COMPUTED_VALUE"""),"2055-06-05T19:36:28.004556Z")</f>
        <v>2055-06-05T19:36:28.004556Z</v>
      </c>
      <c r="AH282" s="3" t="str">
        <f ca="1">IFERROR(__xludf.DUMMYFUNCTION("""COMPUTED_VALUE"""),"2055-06-05T19:42:47.306804Z")</f>
        <v>2055-06-05T19:42:47.306804Z</v>
      </c>
      <c r="AI282" s="3">
        <f ca="1">IFERROR(__xludf.DUMMYFUNCTION("""COMPUTED_VALUE"""),4.47826087)</f>
        <v>4.4782608699999997</v>
      </c>
      <c r="AJ282" s="3">
        <f ca="1">IFERROR(__xludf.DUMMYFUNCTION("""COMPUTED_VALUE"""),17)</f>
        <v>17</v>
      </c>
      <c r="AK282" s="3">
        <f ca="1">IFERROR(__xludf.DUMMYFUNCTION("""COMPUTED_VALUE"""),56)</f>
        <v>56</v>
      </c>
      <c r="AL282" s="3">
        <f ca="1">IFERROR(__xludf.DUMMYFUNCTION("""COMPUTED_VALUE"""),8)</f>
        <v>8</v>
      </c>
    </row>
    <row r="283" spans="1:38" ht="13">
      <c r="A283" s="3">
        <f ca="1">IFERROR(__xludf.DUMMYFUNCTION("""COMPUTED_VALUE"""),1484)</f>
        <v>1484</v>
      </c>
      <c r="B283" s="3"/>
      <c r="C283" s="3">
        <f ca="1">IFERROR(__xludf.DUMMYFUNCTION("""COMPUTED_VALUE"""),4001)</f>
        <v>4001</v>
      </c>
      <c r="D283" s="3" t="str">
        <f ca="1">IFERROR(__xludf.DUMMYFUNCTION("""COMPUTED_VALUE"""),"Dashattan")</f>
        <v>Dashattan</v>
      </c>
      <c r="E283" s="3" t="str">
        <f ca="1">IFERROR(__xludf.DUMMYFUNCTION("""COMPUTED_VALUE"""),"Galaxy A")</f>
        <v>Galaxy A</v>
      </c>
      <c r="F283" s="3" t="str">
        <f ca="1">IFERROR(__xludf.DUMMYFUNCTION("""COMPUTED_VALUE"""),"J")</f>
        <v>J</v>
      </c>
      <c r="G283" s="3">
        <f ca="1">IFERROR(__xludf.DUMMYFUNCTION("""COMPUTED_VALUE"""),0)</f>
        <v>0</v>
      </c>
      <c r="H283" s="3" t="str">
        <f ca="1">IFERROR(__xludf.DUMMYFUNCTION("""COMPUTED_VALUE"""),"bicycle")</f>
        <v>bicycle</v>
      </c>
      <c r="I283" s="3" t="str">
        <f ca="1">IFERROR(__xludf.DUMMYFUNCTION("""COMPUTED_VALUE"""),"2055-06-12T22:46:42.903232Z")</f>
        <v>2055-06-12T22:46:42.903232Z</v>
      </c>
      <c r="J283" s="3" t="str">
        <f ca="1">IFERROR(__xludf.DUMMYFUNCTION("""COMPUTED_VALUE"""),"2055-06-12T23:26:01.956Z")</f>
        <v>2055-06-12T23:26:01.956Z</v>
      </c>
      <c r="K283" s="3" t="str">
        <f ca="1">IFERROR(__xludf.DUMMYFUNCTION("""COMPUTED_VALUE"""),"2055-06-12T23:21:22.956Z")</f>
        <v>2055-06-12T23:21:22.956Z</v>
      </c>
      <c r="L283" s="3">
        <f ca="1">IFERROR(__xludf.DUMMYFUNCTION("""COMPUTED_VALUE"""),1)</f>
        <v>1</v>
      </c>
      <c r="M283" s="3">
        <f ca="1">IFERROR(__xludf.DUMMYFUNCTION("""COMPUTED_VALUE"""),0)</f>
        <v>0</v>
      </c>
      <c r="N283" s="3" t="str">
        <f ca="1">IFERROR(__xludf.DUMMYFUNCTION("""COMPUTED_VALUE"""),"2055-06-12T23:14:42.137449Z")</f>
        <v>2055-06-12T23:14:42.137449Z</v>
      </c>
      <c r="O283" s="3" t="str">
        <f ca="1">IFERROR(__xludf.DUMMYFUNCTION("""COMPUTED_VALUE"""),"2055-06-12T23:36:18.664869Z")</f>
        <v>2055-06-12T23:36:18.664869Z</v>
      </c>
      <c r="P283" s="3" t="str">
        <f ca="1">IFERROR(__xludf.DUMMYFUNCTION("""COMPUTED_VALUE"""),"2055-06-12T22:46:55.381876Z")</f>
        <v>2055-06-12T22:46:55.381876Z</v>
      </c>
      <c r="Q283" s="3">
        <f ca="1">IFERROR(__xludf.DUMMYFUNCTION("""COMPUTED_VALUE"""),0)</f>
        <v>0</v>
      </c>
      <c r="R283" s="3" t="str">
        <f ca="1">IFERROR(__xludf.DUMMYFUNCTION("""COMPUTED_VALUE"""),"2055-06-12T22:47:28.349629Z")</f>
        <v>2055-06-12T22:47:28.349629Z</v>
      </c>
      <c r="S283" s="3" t="str">
        <f ca="1">IFERROR(__xludf.DUMMYFUNCTION("""COMPUTED_VALUE"""),"2055-06-12T22:59:28.211961Z")</f>
        <v>2055-06-12T22:59:28.211961Z</v>
      </c>
      <c r="T283" s="3"/>
      <c r="U283" s="4">
        <f ca="1">IFERROR(__xludf.DUMMYFUNCTION("""COMPUTED_VALUE"""),56777)</f>
        <v>56777</v>
      </c>
      <c r="V283" s="3">
        <f ca="1">IFERROR(__xludf.DUMMYFUNCTION("""COMPUTED_VALUE"""),4.5)</f>
        <v>4.5</v>
      </c>
      <c r="W283" s="3">
        <f ca="1">IFERROR(__xludf.DUMMYFUNCTION("""COMPUTED_VALUE"""),3500)</f>
        <v>3500</v>
      </c>
      <c r="X283" s="3">
        <f ca="1">IFERROR(__xludf.DUMMYFUNCTION("""COMPUTED_VALUE"""),2930)</f>
        <v>2930</v>
      </c>
      <c r="Y283" s="3">
        <f ca="1">IFERROR(__xludf.DUMMYFUNCTION("""COMPUTED_VALUE"""),720)</f>
        <v>720</v>
      </c>
      <c r="Z283" s="3">
        <f ca="1">IFERROR(__xludf.DUMMYFUNCTION("""COMPUTED_VALUE"""),914)</f>
        <v>914</v>
      </c>
      <c r="AA283" s="3">
        <f ca="1">IFERROR(__xludf.DUMMYFUNCTION("""COMPUTED_VALUE"""),1296)</f>
        <v>1296</v>
      </c>
      <c r="AB283" s="3">
        <f ca="1">IFERROR(__xludf.DUMMYFUNCTION("""COMPUTED_VALUE"""),0)</f>
        <v>0</v>
      </c>
      <c r="AC283" s="3">
        <f ca="1">IFERROR(__xludf.DUMMYFUNCTION("""COMPUTED_VALUE"""),4)</f>
        <v>4</v>
      </c>
      <c r="AD283" s="3"/>
      <c r="AE283" s="3" t="str">
        <f ca="1">IFERROR(__xludf.DUMMYFUNCTION("""COMPUTED_VALUE"""),"2055-06-12T19:14:42.137449Z")</f>
        <v>2055-06-12T19:14:42.137449Z</v>
      </c>
      <c r="AF283" s="3" t="str">
        <f ca="1">IFERROR(__xludf.DUMMYFUNCTION("""COMPUTED_VALUE"""),"2055-06-12T19:36:18.664869Z")</f>
        <v>2055-06-12T19:36:18.664869Z</v>
      </c>
      <c r="AG283" s="3" t="str">
        <f ca="1">IFERROR(__xludf.DUMMYFUNCTION("""COMPUTED_VALUE"""),"2055-06-12T18:46:55.381876Z")</f>
        <v>2055-06-12T18:46:55.381876Z</v>
      </c>
      <c r="AH283" s="3" t="str">
        <f ca="1">IFERROR(__xludf.DUMMYFUNCTION("""COMPUTED_VALUE"""),"2055-06-12T18:59:28.211961Z")</f>
        <v>2055-06-12T18:59:28.211961Z</v>
      </c>
      <c r="AI283" s="3">
        <f ca="1">IFERROR(__xludf.DUMMYFUNCTION("""COMPUTED_VALUE"""),4.6)</f>
        <v>4.5999999999999996</v>
      </c>
      <c r="AJ283" s="3">
        <f ca="1">IFERROR(__xludf.DUMMYFUNCTION("""COMPUTED_VALUE"""),292)</f>
        <v>292</v>
      </c>
      <c r="AK283" s="3">
        <f ca="1">IFERROR(__xludf.DUMMYFUNCTION("""COMPUTED_VALUE"""),1027)</f>
        <v>1027</v>
      </c>
      <c r="AL283" s="3">
        <f ca="1">IFERROR(__xludf.DUMMYFUNCTION("""COMPUTED_VALUE"""),26)</f>
        <v>26</v>
      </c>
    </row>
    <row r="284" spans="1:38" ht="13">
      <c r="A284" s="3">
        <f ca="1">IFERROR(__xludf.DUMMYFUNCTION("""COMPUTED_VALUE"""),849)</f>
        <v>849</v>
      </c>
      <c r="B284" s="3">
        <f ca="1">IFERROR(__xludf.DUMMYFUNCTION("""COMPUTED_VALUE"""),5)</f>
        <v>5</v>
      </c>
      <c r="C284" s="3">
        <f ca="1">IFERROR(__xludf.DUMMYFUNCTION("""COMPUTED_VALUE"""),4001)</f>
        <v>4001</v>
      </c>
      <c r="D284" s="3" t="str">
        <f ca="1">IFERROR(__xludf.DUMMYFUNCTION("""COMPUTED_VALUE"""),"Dashattan")</f>
        <v>Dashattan</v>
      </c>
      <c r="E284" s="3" t="str">
        <f ca="1">IFERROR(__xludf.DUMMYFUNCTION("""COMPUTED_VALUE"""),"Galaxy A")</f>
        <v>Galaxy A</v>
      </c>
      <c r="F284" s="3" t="str">
        <f ca="1">IFERROR(__xludf.DUMMYFUNCTION("""COMPUTED_VALUE"""),"Rich")</f>
        <v>Rich</v>
      </c>
      <c r="G284" s="3">
        <f ca="1">IFERROR(__xludf.DUMMYFUNCTION("""COMPUTED_VALUE"""),0)</f>
        <v>0</v>
      </c>
      <c r="H284" s="3" t="str">
        <f ca="1">IFERROR(__xludf.DUMMYFUNCTION("""COMPUTED_VALUE"""),"car")</f>
        <v>car</v>
      </c>
      <c r="I284" s="3" t="str">
        <f ca="1">IFERROR(__xludf.DUMMYFUNCTION("""COMPUTED_VALUE"""),"2055-06-07T16:50:08.181858Z")</f>
        <v>2055-06-07T16:50:08.181858Z</v>
      </c>
      <c r="J284" s="3" t="str">
        <f ca="1">IFERROR(__xludf.DUMMYFUNCTION("""COMPUTED_VALUE"""),"2055-06-07T18:18:16.241Z")</f>
        <v>2055-06-07T18:18:16.241Z</v>
      </c>
      <c r="K284" s="3" t="str">
        <f ca="1">IFERROR(__xludf.DUMMYFUNCTION("""COMPUTED_VALUE"""),"2055-06-07T17:50:03.241Z")</f>
        <v>2055-06-07T17:50:03.241Z</v>
      </c>
      <c r="L284" s="3">
        <f ca="1">IFERROR(__xludf.DUMMYFUNCTION("""COMPUTED_VALUE"""),1)</f>
        <v>1</v>
      </c>
      <c r="M284" s="3">
        <f ca="1">IFERROR(__xludf.DUMMYFUNCTION("""COMPUTED_VALUE"""),0)</f>
        <v>0</v>
      </c>
      <c r="N284" s="3" t="str">
        <f ca="1">IFERROR(__xludf.DUMMYFUNCTION("""COMPUTED_VALUE"""),"2055-06-07T17:51:51.701312Z")</f>
        <v>2055-06-07T17:51:51.701312Z</v>
      </c>
      <c r="O284" s="3" t="str">
        <f ca="1">IFERROR(__xludf.DUMMYFUNCTION("""COMPUTED_VALUE"""),"2055-06-07T18:05:33.225442Z")</f>
        <v>2055-06-07T18:05:33.225442Z</v>
      </c>
      <c r="P284" s="3" t="str">
        <f ca="1">IFERROR(__xludf.DUMMYFUNCTION("""COMPUTED_VALUE"""),"2055-06-07T16:58:34.849243Z")</f>
        <v>2055-06-07T16:58:34.849243Z</v>
      </c>
      <c r="Q284" s="3">
        <f ca="1">IFERROR(__xludf.DUMMYFUNCTION("""COMPUTED_VALUE"""),0)</f>
        <v>0</v>
      </c>
      <c r="R284" s="3" t="str">
        <f ca="1">IFERROR(__xludf.DUMMYFUNCTION("""COMPUTED_VALUE"""),"2055-06-07T16:58:52.234672Z")</f>
        <v>2055-06-07T16:58:52.234672Z</v>
      </c>
      <c r="S284" s="3" t="str">
        <f ca="1">IFERROR(__xludf.DUMMYFUNCTION("""COMPUTED_VALUE"""),"2055-06-07T17:47:10.277643Z")</f>
        <v>2055-06-07T17:47:10.277643Z</v>
      </c>
      <c r="T284" s="3"/>
      <c r="U284" s="4">
        <f ca="1">IFERROR(__xludf.DUMMYFUNCTION("""COMPUTED_VALUE"""),56772)</f>
        <v>56772</v>
      </c>
      <c r="V284" s="3">
        <f ca="1">IFERROR(__xludf.DUMMYFUNCTION("""COMPUTED_VALUE"""),4.5)</f>
        <v>4.5</v>
      </c>
      <c r="W284" s="3">
        <f ca="1">IFERROR(__xludf.DUMMYFUNCTION("""COMPUTED_VALUE"""),3500)</f>
        <v>3500</v>
      </c>
      <c r="X284" s="3">
        <f ca="1">IFERROR(__xludf.DUMMYFUNCTION("""COMPUTED_VALUE"""),4001)</f>
        <v>4001</v>
      </c>
      <c r="Y284" s="3">
        <f ca="1">IFERROR(__xludf.DUMMYFUNCTION("""COMPUTED_VALUE"""),2898)</f>
        <v>2898</v>
      </c>
      <c r="Z284" s="3">
        <f ca="1">IFERROR(__xludf.DUMMYFUNCTION("""COMPUTED_VALUE"""),281)</f>
        <v>281</v>
      </c>
      <c r="AA284" s="3">
        <f ca="1">IFERROR(__xludf.DUMMYFUNCTION("""COMPUTED_VALUE"""),822)</f>
        <v>822</v>
      </c>
      <c r="AB284" s="3">
        <f ca="1">IFERROR(__xludf.DUMMYFUNCTION("""COMPUTED_VALUE"""),0)</f>
        <v>0</v>
      </c>
      <c r="AC284" s="3">
        <f ca="1">IFERROR(__xludf.DUMMYFUNCTION("""COMPUTED_VALUE"""),2)</f>
        <v>2</v>
      </c>
      <c r="AD284" s="3" t="str">
        <f ca="1">IFERROR(__xludf.DUMMYFUNCTION("""COMPUTED_VALUE"""),"late")</f>
        <v>late</v>
      </c>
      <c r="AE284" s="3" t="str">
        <f ca="1">IFERROR(__xludf.DUMMYFUNCTION("""COMPUTED_VALUE"""),"2055-06-07T13:51:51.701312Z")</f>
        <v>2055-06-07T13:51:51.701312Z</v>
      </c>
      <c r="AF284" s="3" t="str">
        <f ca="1">IFERROR(__xludf.DUMMYFUNCTION("""COMPUTED_VALUE"""),"2055-06-07T14:05:33.225442Z")</f>
        <v>2055-06-07T14:05:33.225442Z</v>
      </c>
      <c r="AG284" s="3" t="str">
        <f ca="1">IFERROR(__xludf.DUMMYFUNCTION("""COMPUTED_VALUE"""),"2055-06-07T12:58:34.849243Z")</f>
        <v>2055-06-07T12:58:34.849243Z</v>
      </c>
      <c r="AH284" s="3" t="str">
        <f ca="1">IFERROR(__xludf.DUMMYFUNCTION("""COMPUTED_VALUE"""),"2055-06-07T13:47:10.277643Z")</f>
        <v>2055-06-07T13:47:10.277643Z</v>
      </c>
      <c r="AI284" s="3">
        <f ca="1">IFERROR(__xludf.DUMMYFUNCTION("""COMPUTED_VALUE"""),4.26)</f>
        <v>4.26</v>
      </c>
      <c r="AJ284" s="3">
        <f ca="1">IFERROR(__xludf.DUMMYFUNCTION("""COMPUTED_VALUE"""),141)</f>
        <v>141</v>
      </c>
      <c r="AK284" s="3">
        <f ca="1">IFERROR(__xludf.DUMMYFUNCTION("""COMPUTED_VALUE"""),500)</f>
        <v>500</v>
      </c>
      <c r="AL284" s="3">
        <f ca="1">IFERROR(__xludf.DUMMYFUNCTION("""COMPUTED_VALUE"""),37)</f>
        <v>37</v>
      </c>
    </row>
    <row r="285" spans="1:38" ht="13">
      <c r="A285" s="3">
        <f ca="1">IFERROR(__xludf.DUMMYFUNCTION("""COMPUTED_VALUE"""),871)</f>
        <v>871</v>
      </c>
      <c r="B285" s="3">
        <f ca="1">IFERROR(__xludf.DUMMYFUNCTION("""COMPUTED_VALUE"""),5)</f>
        <v>5</v>
      </c>
      <c r="C285" s="3">
        <f ca="1">IFERROR(__xludf.DUMMYFUNCTION("""COMPUTED_VALUE"""),4050)</f>
        <v>4050</v>
      </c>
      <c r="D285" s="3" t="str">
        <f ca="1">IFERROR(__xludf.DUMMYFUNCTION("""COMPUTED_VALUE"""),"Doorlanta")</f>
        <v>Doorlanta</v>
      </c>
      <c r="E285" s="3" t="str">
        <f ca="1">IFERROR(__xludf.DUMMYFUNCTION("""COMPUTED_VALUE"""),"Galaxy A")</f>
        <v>Galaxy A</v>
      </c>
      <c r="F285" s="3" t="str">
        <f ca="1">IFERROR(__xludf.DUMMYFUNCTION("""COMPUTED_VALUE"""),"Cate")</f>
        <v>Cate</v>
      </c>
      <c r="G285" s="3">
        <f ca="1">IFERROR(__xludf.DUMMYFUNCTION("""COMPUTED_VALUE"""),0)</f>
        <v>0</v>
      </c>
      <c r="H285" s="3" t="str">
        <f ca="1">IFERROR(__xludf.DUMMYFUNCTION("""COMPUTED_VALUE"""),"car")</f>
        <v>car</v>
      </c>
      <c r="I285" s="3" t="str">
        <f ca="1">IFERROR(__xludf.DUMMYFUNCTION("""COMPUTED_VALUE"""),"2055-06-07T20:50:18.060932Z")</f>
        <v>2055-06-07T20:50:18.060932Z</v>
      </c>
      <c r="J285" s="3" t="str">
        <f ca="1">IFERROR(__xludf.DUMMYFUNCTION("""COMPUTED_VALUE"""),"2055-06-07T22:45:00Z")</f>
        <v>2055-06-07T22:45:00Z</v>
      </c>
      <c r="K285" s="3" t="str">
        <f ca="1">IFERROR(__xludf.DUMMYFUNCTION("""COMPUTED_VALUE"""),"2055-06-07T22:45:00Z")</f>
        <v>2055-06-07T22:45:00Z</v>
      </c>
      <c r="L285" s="3">
        <f ca="1">IFERROR(__xludf.DUMMYFUNCTION("""COMPUTED_VALUE"""),0)</f>
        <v>0</v>
      </c>
      <c r="M285" s="3">
        <f ca="1">IFERROR(__xludf.DUMMYFUNCTION("""COMPUTED_VALUE"""),0)</f>
        <v>0</v>
      </c>
      <c r="N285" s="3" t="str">
        <f ca="1">IFERROR(__xludf.DUMMYFUNCTION("""COMPUTED_VALUE"""),"2055-06-07T22:14:46.56306Z")</f>
        <v>2055-06-07T22:14:46.56306Z</v>
      </c>
      <c r="O285" s="3" t="str">
        <f ca="1">IFERROR(__xludf.DUMMYFUNCTION("""COMPUTED_VALUE"""),"2055-06-07T22:39:02.656355Z")</f>
        <v>2055-06-07T22:39:02.656355Z</v>
      </c>
      <c r="P285" s="3" t="str">
        <f ca="1">IFERROR(__xludf.DUMMYFUNCTION("""COMPUTED_VALUE"""),"2055-06-07T21:45:07.26831Z")</f>
        <v>2055-06-07T21:45:07.26831Z</v>
      </c>
      <c r="Q285" s="3">
        <f ca="1">IFERROR(__xludf.DUMMYFUNCTION("""COMPUTED_VALUE"""),0)</f>
        <v>0</v>
      </c>
      <c r="R285" s="3" t="str">
        <f ca="1">IFERROR(__xludf.DUMMYFUNCTION("""COMPUTED_VALUE"""),"2055-06-07T21:45:11.039791Z")</f>
        <v>2055-06-07T21:45:11.039791Z</v>
      </c>
      <c r="S285" s="3" t="str">
        <f ca="1">IFERROR(__xludf.DUMMYFUNCTION("""COMPUTED_VALUE"""),"2055-06-07T22:09:31.265633Z")</f>
        <v>2055-06-07T22:09:31.265633Z</v>
      </c>
      <c r="T285" s="3"/>
      <c r="U285" s="4">
        <f ca="1">IFERROR(__xludf.DUMMYFUNCTION("""COMPUTED_VALUE"""),56772)</f>
        <v>56772</v>
      </c>
      <c r="V285" s="3">
        <f ca="1">IFERROR(__xludf.DUMMYFUNCTION("""COMPUTED_VALUE"""),3.003698458)</f>
        <v>3.0036984580000001</v>
      </c>
      <c r="W285" s="3">
        <f ca="1">IFERROR(__xludf.DUMMYFUNCTION("""COMPUTED_VALUE"""),3500)</f>
        <v>3500</v>
      </c>
      <c r="X285" s="3">
        <f ca="1">IFERROR(__xludf.DUMMYFUNCTION("""COMPUTED_VALUE"""),3231)</f>
        <v>3231</v>
      </c>
      <c r="Y285" s="3">
        <f ca="1">IFERROR(__xludf.DUMMYFUNCTION("""COMPUTED_VALUE"""),1460)</f>
        <v>1460</v>
      </c>
      <c r="Z285" s="3">
        <f ca="1">IFERROR(__xludf.DUMMYFUNCTION("""COMPUTED_VALUE"""),315)</f>
        <v>315</v>
      </c>
      <c r="AA285" s="3">
        <f ca="1">IFERROR(__xludf.DUMMYFUNCTION("""COMPUTED_VALUE"""),1456)</f>
        <v>1456</v>
      </c>
      <c r="AB285" s="3">
        <f ca="1">IFERROR(__xludf.DUMMYFUNCTION("""COMPUTED_VALUE"""),0)</f>
        <v>0</v>
      </c>
      <c r="AC285" s="3">
        <f ca="1">IFERROR(__xludf.DUMMYFUNCTION("""COMPUTED_VALUE"""),3)</f>
        <v>3</v>
      </c>
      <c r="AD285" s="3" t="str">
        <f ca="1">IFERROR(__xludf.DUMMYFUNCTION("""COMPUTED_VALUE"""),"late")</f>
        <v>late</v>
      </c>
      <c r="AE285" s="3" t="str">
        <f ca="1">IFERROR(__xludf.DUMMYFUNCTION("""COMPUTED_VALUE"""),"2055-06-07T18:14:46.56306Z")</f>
        <v>2055-06-07T18:14:46.56306Z</v>
      </c>
      <c r="AF285" s="3" t="str">
        <f ca="1">IFERROR(__xludf.DUMMYFUNCTION("""COMPUTED_VALUE"""),"2055-06-07T18:39:02.656355Z")</f>
        <v>2055-06-07T18:39:02.656355Z</v>
      </c>
      <c r="AG285" s="3" t="str">
        <f ca="1">IFERROR(__xludf.DUMMYFUNCTION("""COMPUTED_VALUE"""),"2055-06-07T17:45:07.26831Z")</f>
        <v>2055-06-07T17:45:07.26831Z</v>
      </c>
      <c r="AH285" s="3" t="str">
        <f ca="1">IFERROR(__xludf.DUMMYFUNCTION("""COMPUTED_VALUE"""),"2055-06-07T18:09:31.265633Z")</f>
        <v>2055-06-07T18:09:31.265633Z</v>
      </c>
      <c r="AI285" s="3">
        <f ca="1">IFERROR(__xludf.DUMMYFUNCTION("""COMPUTED_VALUE"""),4.49)</f>
        <v>4.49</v>
      </c>
      <c r="AJ285" s="3">
        <f ca="1">IFERROR(__xludf.DUMMYFUNCTION("""COMPUTED_VALUE"""),2315)</f>
        <v>2315</v>
      </c>
      <c r="AK285" s="3">
        <f ca="1">IFERROR(__xludf.DUMMYFUNCTION("""COMPUTED_VALUE"""),7039)</f>
        <v>7039</v>
      </c>
      <c r="AL285" s="3">
        <f ca="1">IFERROR(__xludf.DUMMYFUNCTION("""COMPUTED_VALUE"""),763)</f>
        <v>763</v>
      </c>
    </row>
    <row r="286" spans="1:38" ht="13">
      <c r="A286" s="3">
        <f ca="1">IFERROR(__xludf.DUMMYFUNCTION("""COMPUTED_VALUE"""),211)</f>
        <v>211</v>
      </c>
      <c r="B286" s="3">
        <f ca="1">IFERROR(__xludf.DUMMYFUNCTION("""COMPUTED_VALUE"""),5)</f>
        <v>5</v>
      </c>
      <c r="C286" s="3">
        <f ca="1">IFERROR(__xludf.DUMMYFUNCTION("""COMPUTED_VALUE"""),4050)</f>
        <v>4050</v>
      </c>
      <c r="D286" s="3" t="str">
        <f ca="1">IFERROR(__xludf.DUMMYFUNCTION("""COMPUTED_VALUE"""),"Doorlanta")</f>
        <v>Doorlanta</v>
      </c>
      <c r="E286" s="3" t="str">
        <f ca="1">IFERROR(__xludf.DUMMYFUNCTION("""COMPUTED_VALUE"""),"Galaxy A")</f>
        <v>Galaxy A</v>
      </c>
      <c r="F286" s="3" t="str">
        <f ca="1">IFERROR(__xludf.DUMMYFUNCTION("""COMPUTED_VALUE"""),"Joe")</f>
        <v>Joe</v>
      </c>
      <c r="G286" s="3">
        <f ca="1">IFERROR(__xludf.DUMMYFUNCTION("""COMPUTED_VALUE"""),0)</f>
        <v>0</v>
      </c>
      <c r="H286" s="3" t="str">
        <f ca="1">IFERROR(__xludf.DUMMYFUNCTION("""COMPUTED_VALUE"""),"car")</f>
        <v>car</v>
      </c>
      <c r="I286" s="3" t="str">
        <f ca="1">IFERROR(__xludf.DUMMYFUNCTION("""COMPUTED_VALUE"""),"2055-06-02T23:35:39.121448Z")</f>
        <v>2055-06-02T23:35:39.121448Z</v>
      </c>
      <c r="J286" s="3" t="str">
        <f ca="1">IFERROR(__xludf.DUMMYFUNCTION("""COMPUTED_VALUE"""),"2055-06-03T00:20:39.191Z")</f>
        <v>2055-06-03T00:20:39.191Z</v>
      </c>
      <c r="K286" s="3" t="str">
        <f ca="1">IFERROR(__xludf.DUMMYFUNCTION("""COMPUTED_VALUE"""),"2055-06-03T00:05:25.191Z")</f>
        <v>2055-06-03T00:05:25.191Z</v>
      </c>
      <c r="L286" s="3">
        <f ca="1">IFERROR(__xludf.DUMMYFUNCTION("""COMPUTED_VALUE"""),1)</f>
        <v>1</v>
      </c>
      <c r="M286" s="3">
        <f ca="1">IFERROR(__xludf.DUMMYFUNCTION("""COMPUTED_VALUE"""),0)</f>
        <v>0</v>
      </c>
      <c r="N286" s="3" t="str">
        <f ca="1">IFERROR(__xludf.DUMMYFUNCTION("""COMPUTED_VALUE"""),"2055-06-03T00:15:49.501394Z")</f>
        <v>2055-06-03T00:15:49.501394Z</v>
      </c>
      <c r="O286" s="3" t="str">
        <f ca="1">IFERROR(__xludf.DUMMYFUNCTION("""COMPUTED_VALUE"""),"2055-06-03T00:26:49.554191Z")</f>
        <v>2055-06-03T00:26:49.554191Z</v>
      </c>
      <c r="P286" s="3" t="str">
        <f ca="1">IFERROR(__xludf.DUMMYFUNCTION("""COMPUTED_VALUE"""),"2055-06-02T23:39:27.748273Z")</f>
        <v>2055-06-02T23:39:27.748273Z</v>
      </c>
      <c r="Q286" s="3">
        <f ca="1">IFERROR(__xludf.DUMMYFUNCTION("""COMPUTED_VALUE"""),0)</f>
        <v>0</v>
      </c>
      <c r="R286" s="3" t="str">
        <f ca="1">IFERROR(__xludf.DUMMYFUNCTION("""COMPUTED_VALUE"""),"2055-06-02T23:40:20.320183Z")</f>
        <v>2055-06-02T23:40:20.320183Z</v>
      </c>
      <c r="S286" s="3" t="str">
        <f ca="1">IFERROR(__xludf.DUMMYFUNCTION("""COMPUTED_VALUE"""),"2055-06-03T00:13:25.818792Z")</f>
        <v>2055-06-03T00:13:25.818792Z</v>
      </c>
      <c r="T286" s="3"/>
      <c r="U286" s="4">
        <f ca="1">IFERROR(__xludf.DUMMYFUNCTION("""COMPUTED_VALUE"""),56767)</f>
        <v>56767</v>
      </c>
      <c r="V286" s="3">
        <f ca="1">IFERROR(__xludf.DUMMYFUNCTION("""COMPUTED_VALUE"""),4.7)</f>
        <v>4.7</v>
      </c>
      <c r="W286" s="3">
        <f ca="1">IFERROR(__xludf.DUMMYFUNCTION("""COMPUTED_VALUE"""),3500)</f>
        <v>3500</v>
      </c>
      <c r="X286" s="3">
        <f ca="1">IFERROR(__xludf.DUMMYFUNCTION("""COMPUTED_VALUE"""),2789)</f>
        <v>2789</v>
      </c>
      <c r="Y286" s="3">
        <f ca="1">IFERROR(__xludf.DUMMYFUNCTION("""COMPUTED_VALUE"""),1985)</f>
        <v>1985</v>
      </c>
      <c r="Z286" s="3">
        <f ca="1">IFERROR(__xludf.DUMMYFUNCTION("""COMPUTED_VALUE"""),144)</f>
        <v>144</v>
      </c>
      <c r="AA286" s="3">
        <f ca="1">IFERROR(__xludf.DUMMYFUNCTION("""COMPUTED_VALUE"""),660)</f>
        <v>660</v>
      </c>
      <c r="AB286" s="3">
        <f ca="1">IFERROR(__xludf.DUMMYFUNCTION("""COMPUTED_VALUE"""),0)</f>
        <v>0</v>
      </c>
      <c r="AC286" s="3">
        <f ca="1">IFERROR(__xludf.DUMMYFUNCTION("""COMPUTED_VALUE"""),2)</f>
        <v>2</v>
      </c>
      <c r="AD286" s="3" t="str">
        <f ca="1">IFERROR(__xludf.DUMMYFUNCTION("""COMPUTED_VALUE"""),"late")</f>
        <v>late</v>
      </c>
      <c r="AE286" s="3" t="str">
        <f ca="1">IFERROR(__xludf.DUMMYFUNCTION("""COMPUTED_VALUE"""),"2055-06-02T20:15:49.501394Z")</f>
        <v>2055-06-02T20:15:49.501394Z</v>
      </c>
      <c r="AF286" s="3" t="str">
        <f ca="1">IFERROR(__xludf.DUMMYFUNCTION("""COMPUTED_VALUE"""),"2055-06-02T20:26:49.554191Z")</f>
        <v>2055-06-02T20:26:49.554191Z</v>
      </c>
      <c r="AG286" s="3" t="str">
        <f ca="1">IFERROR(__xludf.DUMMYFUNCTION("""COMPUTED_VALUE"""),"2055-06-02T19:39:27.748273Z")</f>
        <v>2055-06-02T19:39:27.748273Z</v>
      </c>
      <c r="AH286" s="3" t="str">
        <f ca="1">IFERROR(__xludf.DUMMYFUNCTION("""COMPUTED_VALUE"""),"2055-06-02T20:13:25.818792Z")</f>
        <v>2055-06-02T20:13:25.818792Z</v>
      </c>
      <c r="AI286" s="3">
        <f ca="1">IFERROR(__xludf.DUMMYFUNCTION("""COMPUTED_VALUE"""),4.38)</f>
        <v>4.38</v>
      </c>
      <c r="AJ286" s="3">
        <f ca="1">IFERROR(__xludf.DUMMYFUNCTION("""COMPUTED_VALUE"""),196)</f>
        <v>196</v>
      </c>
      <c r="AK286" s="3">
        <f ca="1">IFERROR(__xludf.DUMMYFUNCTION("""COMPUTED_VALUE"""),626)</f>
        <v>626</v>
      </c>
      <c r="AL286" s="3"/>
    </row>
    <row r="287" spans="1:38" ht="13">
      <c r="A287" s="3">
        <f ca="1">IFERROR(__xludf.DUMMYFUNCTION("""COMPUTED_VALUE"""),482)</f>
        <v>482</v>
      </c>
      <c r="B287" s="3">
        <f ca="1">IFERROR(__xludf.DUMMYFUNCTION("""COMPUTED_VALUE"""),5)</f>
        <v>5</v>
      </c>
      <c r="C287" s="3">
        <f ca="1">IFERROR(__xludf.DUMMYFUNCTION("""COMPUTED_VALUE"""),4050)</f>
        <v>4050</v>
      </c>
      <c r="D287" s="3" t="str">
        <f ca="1">IFERROR(__xludf.DUMMYFUNCTION("""COMPUTED_VALUE"""),"Doorlanta")</f>
        <v>Doorlanta</v>
      </c>
      <c r="E287" s="3" t="str">
        <f ca="1">IFERROR(__xludf.DUMMYFUNCTION("""COMPUTED_VALUE"""),"Galaxy A")</f>
        <v>Galaxy A</v>
      </c>
      <c r="F287" s="3" t="str">
        <f ca="1">IFERROR(__xludf.DUMMYFUNCTION("""COMPUTED_VALUE"""),"Elon")</f>
        <v>Elon</v>
      </c>
      <c r="G287" s="3">
        <f ca="1">IFERROR(__xludf.DUMMYFUNCTION("""COMPUTED_VALUE"""),0)</f>
        <v>0</v>
      </c>
      <c r="H287" s="3" t="str">
        <f ca="1">IFERROR(__xludf.DUMMYFUNCTION("""COMPUTED_VALUE"""),"car")</f>
        <v>car</v>
      </c>
      <c r="I287" s="3" t="str">
        <f ca="1">IFERROR(__xludf.DUMMYFUNCTION("""COMPUTED_VALUE"""),"2055-06-04T23:09:50.746742Z")</f>
        <v>2055-06-04T23:09:50.746742Z</v>
      </c>
      <c r="J287" s="3" t="str">
        <f ca="1">IFERROR(__xludf.DUMMYFUNCTION("""COMPUTED_VALUE"""),"2055-06-05T00:04:34.813Z")</f>
        <v>2055-06-05T00:04:34.813Z</v>
      </c>
      <c r="K287" s="3" t="str">
        <f ca="1">IFERROR(__xludf.DUMMYFUNCTION("""COMPUTED_VALUE"""),"2055-06-04T23:54:27.813Z")</f>
        <v>2055-06-04T23:54:27.813Z</v>
      </c>
      <c r="L287" s="3">
        <f ca="1">IFERROR(__xludf.DUMMYFUNCTION("""COMPUTED_VALUE"""),1)</f>
        <v>1</v>
      </c>
      <c r="M287" s="3">
        <f ca="1">IFERROR(__xludf.DUMMYFUNCTION("""COMPUTED_VALUE"""),0)</f>
        <v>0</v>
      </c>
      <c r="N287" s="3" t="str">
        <f ca="1">IFERROR(__xludf.DUMMYFUNCTION("""COMPUTED_VALUE"""),"2055-06-04T23:35:22.429647Z")</f>
        <v>2055-06-04T23:35:22.429647Z</v>
      </c>
      <c r="O287" s="3" t="str">
        <f ca="1">IFERROR(__xludf.DUMMYFUNCTION("""COMPUTED_VALUE"""),"2055-06-05T00:00:44.548803Z")</f>
        <v>2055-06-05T00:00:44.548803Z</v>
      </c>
      <c r="P287" s="3" t="str">
        <f ca="1">IFERROR(__xludf.DUMMYFUNCTION("""COMPUTED_VALUE"""),"2055-06-04T23:11:47.422544Z")</f>
        <v>2055-06-04T23:11:47.422544Z</v>
      </c>
      <c r="Q287" s="3">
        <f ca="1">IFERROR(__xludf.DUMMYFUNCTION("""COMPUTED_VALUE"""),0)</f>
        <v>0</v>
      </c>
      <c r="R287" s="3" t="str">
        <f ca="1">IFERROR(__xludf.DUMMYFUNCTION("""COMPUTED_VALUE"""),"2055-06-04T23:11:50.438606Z")</f>
        <v>2055-06-04T23:11:50.438606Z</v>
      </c>
      <c r="S287" s="3" t="str">
        <f ca="1">IFERROR(__xludf.DUMMYFUNCTION("""COMPUTED_VALUE"""),"2055-06-04T23:32:54.956944Z")</f>
        <v>2055-06-04T23:32:54.956944Z</v>
      </c>
      <c r="T287" s="3"/>
      <c r="U287" s="4">
        <f ca="1">IFERROR(__xludf.DUMMYFUNCTION("""COMPUTED_VALUE"""),56769)</f>
        <v>56769</v>
      </c>
      <c r="V287" s="3">
        <f ca="1">IFERROR(__xludf.DUMMYFUNCTION("""COMPUTED_VALUE"""),3.285381535)</f>
        <v>3.285381535</v>
      </c>
      <c r="W287" s="3">
        <f ca="1">IFERROR(__xludf.DUMMYFUNCTION("""COMPUTED_VALUE"""),3500)</f>
        <v>3500</v>
      </c>
      <c r="X287" s="3">
        <f ca="1">IFERROR(__xludf.DUMMYFUNCTION("""COMPUTED_VALUE"""),2934)</f>
        <v>2934</v>
      </c>
      <c r="Y287" s="3">
        <f ca="1">IFERROR(__xludf.DUMMYFUNCTION("""COMPUTED_VALUE"""),1264)</f>
        <v>1264</v>
      </c>
      <c r="Z287" s="3">
        <f ca="1">IFERROR(__xludf.DUMMYFUNCTION("""COMPUTED_VALUE"""),148)</f>
        <v>148</v>
      </c>
      <c r="AA287" s="3">
        <f ca="1">IFERROR(__xludf.DUMMYFUNCTION("""COMPUTED_VALUE"""),1522)</f>
        <v>1522</v>
      </c>
      <c r="AB287" s="3">
        <f ca="1">IFERROR(__xludf.DUMMYFUNCTION("""COMPUTED_VALUE"""),1)</f>
        <v>1</v>
      </c>
      <c r="AC287" s="3">
        <f ca="1">IFERROR(__xludf.DUMMYFUNCTION("""COMPUTED_VALUE"""),4)</f>
        <v>4</v>
      </c>
      <c r="AD287" s="3"/>
      <c r="AE287" s="3" t="str">
        <f ca="1">IFERROR(__xludf.DUMMYFUNCTION("""COMPUTED_VALUE"""),"2055-06-04T19:35:22.429647Z")</f>
        <v>2055-06-04T19:35:22.429647Z</v>
      </c>
      <c r="AF287" s="3" t="str">
        <f ca="1">IFERROR(__xludf.DUMMYFUNCTION("""COMPUTED_VALUE"""),"2055-06-04T20:00:44.548803Z")</f>
        <v>2055-06-04T20:00:44.548803Z</v>
      </c>
      <c r="AG287" s="3" t="str">
        <f ca="1">IFERROR(__xludf.DUMMYFUNCTION("""COMPUTED_VALUE"""),"2055-06-04T19:11:47.422544Z")</f>
        <v>2055-06-04T19:11:47.422544Z</v>
      </c>
      <c r="AH287" s="3" t="str">
        <f ca="1">IFERROR(__xludf.DUMMYFUNCTION("""COMPUTED_VALUE"""),"2055-06-04T19:32:54.956944Z")</f>
        <v>2055-06-04T19:32:54.956944Z</v>
      </c>
      <c r="AI287" s="3">
        <f ca="1">IFERROR(__xludf.DUMMYFUNCTION("""COMPUTED_VALUE"""),4.62)</f>
        <v>4.62</v>
      </c>
      <c r="AJ287" s="3">
        <f ca="1">IFERROR(__xludf.DUMMYFUNCTION("""COMPUTED_VALUE"""),259)</f>
        <v>259</v>
      </c>
      <c r="AK287" s="3">
        <f ca="1">IFERROR(__xludf.DUMMYFUNCTION("""COMPUTED_VALUE"""),604)</f>
        <v>604</v>
      </c>
      <c r="AL287" s="3">
        <f ca="1">IFERROR(__xludf.DUMMYFUNCTION("""COMPUTED_VALUE"""),21)</f>
        <v>21</v>
      </c>
    </row>
    <row r="288" spans="1:38" ht="13">
      <c r="A288" s="3">
        <f ca="1">IFERROR(__xludf.DUMMYFUNCTION("""COMPUTED_VALUE"""),574)</f>
        <v>574</v>
      </c>
      <c r="B288" s="3">
        <f ca="1">IFERROR(__xludf.DUMMYFUNCTION("""COMPUTED_VALUE"""),5)</f>
        <v>5</v>
      </c>
      <c r="C288" s="3">
        <f ca="1">IFERROR(__xludf.DUMMYFUNCTION("""COMPUTED_VALUE"""),4050)</f>
        <v>4050</v>
      </c>
      <c r="D288" s="3" t="str">
        <f ca="1">IFERROR(__xludf.DUMMYFUNCTION("""COMPUTED_VALUE"""),"Doorlanta")</f>
        <v>Doorlanta</v>
      </c>
      <c r="E288" s="3" t="str">
        <f ca="1">IFERROR(__xludf.DUMMYFUNCTION("""COMPUTED_VALUE"""),"Galaxy A")</f>
        <v>Galaxy A</v>
      </c>
      <c r="F288" s="3" t="str">
        <f ca="1">IFERROR(__xludf.DUMMYFUNCTION("""COMPUTED_VALUE"""),"Ajay")</f>
        <v>Ajay</v>
      </c>
      <c r="G288" s="3">
        <f ca="1">IFERROR(__xludf.DUMMYFUNCTION("""COMPUTED_VALUE"""),0)</f>
        <v>0</v>
      </c>
      <c r="H288" s="3" t="str">
        <f ca="1">IFERROR(__xludf.DUMMYFUNCTION("""COMPUTED_VALUE"""),"car")</f>
        <v>car</v>
      </c>
      <c r="I288" s="3" t="str">
        <f ca="1">IFERROR(__xludf.DUMMYFUNCTION("""COMPUTED_VALUE"""),"2055-06-05T17:18:25.611352Z")</f>
        <v>2055-06-05T17:18:25.611352Z</v>
      </c>
      <c r="J288" s="3" t="str">
        <f ca="1">IFERROR(__xludf.DUMMYFUNCTION("""COMPUTED_VALUE"""),"2055-06-05T18:16:54.674Z")</f>
        <v>2055-06-05T18:16:54.674Z</v>
      </c>
      <c r="K288" s="3" t="str">
        <f ca="1">IFERROR(__xludf.DUMMYFUNCTION("""COMPUTED_VALUE"""),"2055-06-05T18:07:13.674Z")</f>
        <v>2055-06-05T18:07:13.674Z</v>
      </c>
      <c r="L288" s="3">
        <f ca="1">IFERROR(__xludf.DUMMYFUNCTION("""COMPUTED_VALUE"""),1)</f>
        <v>1</v>
      </c>
      <c r="M288" s="3">
        <f ca="1">IFERROR(__xludf.DUMMYFUNCTION("""COMPUTED_VALUE"""),0)</f>
        <v>0</v>
      </c>
      <c r="N288" s="3" t="str">
        <f ca="1">IFERROR(__xludf.DUMMYFUNCTION("""COMPUTED_VALUE"""),"2055-06-05T17:57:14.096954Z")</f>
        <v>2055-06-05T17:57:14.096954Z</v>
      </c>
      <c r="O288" s="3" t="str">
        <f ca="1">IFERROR(__xludf.DUMMYFUNCTION("""COMPUTED_VALUE"""),"2055-06-05T18:12:10.027202Z")</f>
        <v>2055-06-05T18:12:10.027202Z</v>
      </c>
      <c r="P288" s="3" t="str">
        <f ca="1">IFERROR(__xludf.DUMMYFUNCTION("""COMPUTED_VALUE"""),"2055-06-05T17:39:27.360145Z")</f>
        <v>2055-06-05T17:39:27.360145Z</v>
      </c>
      <c r="Q288" s="3">
        <f ca="1">IFERROR(__xludf.DUMMYFUNCTION("""COMPUTED_VALUE"""),0)</f>
        <v>0</v>
      </c>
      <c r="R288" s="3" t="str">
        <f ca="1">IFERROR(__xludf.DUMMYFUNCTION("""COMPUTED_VALUE"""),"2055-06-05T17:39:32.481018Z")</f>
        <v>2055-06-05T17:39:32.481018Z</v>
      </c>
      <c r="S288" s="3" t="str">
        <f ca="1">IFERROR(__xludf.DUMMYFUNCTION("""COMPUTED_VALUE"""),"2055-06-05T17:55:11.294344Z")</f>
        <v>2055-06-05T17:55:11.294344Z</v>
      </c>
      <c r="T288" s="3"/>
      <c r="U288" s="4">
        <f ca="1">IFERROR(__xludf.DUMMYFUNCTION("""COMPUTED_VALUE"""),56770)</f>
        <v>56770</v>
      </c>
      <c r="V288" s="3">
        <f ca="1">IFERROR(__xludf.DUMMYFUNCTION("""COMPUTED_VALUE"""),4.7)</f>
        <v>4.7</v>
      </c>
      <c r="W288" s="3">
        <f ca="1">IFERROR(__xludf.DUMMYFUNCTION("""COMPUTED_VALUE"""),3500)</f>
        <v>3500</v>
      </c>
      <c r="X288" s="3">
        <f ca="1">IFERROR(__xludf.DUMMYFUNCTION("""COMPUTED_VALUE"""),1958)</f>
        <v>1958</v>
      </c>
      <c r="Y288" s="3">
        <f ca="1">IFERROR(__xludf.DUMMYFUNCTION("""COMPUTED_VALUE"""),939)</f>
        <v>939</v>
      </c>
      <c r="Z288" s="3">
        <f ca="1">IFERROR(__xludf.DUMMYFUNCTION("""COMPUTED_VALUE"""),123)</f>
        <v>123</v>
      </c>
      <c r="AA288" s="3">
        <f ca="1">IFERROR(__xludf.DUMMYFUNCTION("""COMPUTED_VALUE"""),896)</f>
        <v>896</v>
      </c>
      <c r="AB288" s="3">
        <f ca="1">IFERROR(__xludf.DUMMYFUNCTION("""COMPUTED_VALUE"""),0)</f>
        <v>0</v>
      </c>
      <c r="AC288" s="3">
        <f ca="1">IFERROR(__xludf.DUMMYFUNCTION("""COMPUTED_VALUE"""),2)</f>
        <v>2</v>
      </c>
      <c r="AD288" s="3" t="str">
        <f ca="1">IFERROR(__xludf.DUMMYFUNCTION("""COMPUTED_VALUE"""),"late")</f>
        <v>late</v>
      </c>
      <c r="AE288" s="3" t="str">
        <f ca="1">IFERROR(__xludf.DUMMYFUNCTION("""COMPUTED_VALUE"""),"2055-06-05T13:57:14.096954Z")</f>
        <v>2055-06-05T13:57:14.096954Z</v>
      </c>
      <c r="AF288" s="3" t="str">
        <f ca="1">IFERROR(__xludf.DUMMYFUNCTION("""COMPUTED_VALUE"""),"2055-06-05T14:12:10.027202Z")</f>
        <v>2055-06-05T14:12:10.027202Z</v>
      </c>
      <c r="AG288" s="3" t="str">
        <f ca="1">IFERROR(__xludf.DUMMYFUNCTION("""COMPUTED_VALUE"""),"2055-06-05T13:39:27.360145Z")</f>
        <v>2055-06-05T13:39:27.360145Z</v>
      </c>
      <c r="AH288" s="3" t="str">
        <f ca="1">IFERROR(__xludf.DUMMYFUNCTION("""COMPUTED_VALUE"""),"2055-06-05T13:55:11.294344Z")</f>
        <v>2055-06-05T13:55:11.294344Z</v>
      </c>
      <c r="AI288" s="3">
        <f ca="1">IFERROR(__xludf.DUMMYFUNCTION("""COMPUTED_VALUE"""),4.57)</f>
        <v>4.57</v>
      </c>
      <c r="AJ288" s="3">
        <f ca="1">IFERROR(__xludf.DUMMYFUNCTION("""COMPUTED_VALUE"""),234)</f>
        <v>234</v>
      </c>
      <c r="AK288" s="3">
        <f ca="1">IFERROR(__xludf.DUMMYFUNCTION("""COMPUTED_VALUE"""),726)</f>
        <v>726</v>
      </c>
      <c r="AL288" s="3">
        <f ca="1">IFERROR(__xludf.DUMMYFUNCTION("""COMPUTED_VALUE"""),99)</f>
        <v>99</v>
      </c>
    </row>
    <row r="289" spans="1:38" ht="13">
      <c r="A289" s="3">
        <f ca="1">IFERROR(__xludf.DUMMYFUNCTION("""COMPUTED_VALUE"""),834)</f>
        <v>834</v>
      </c>
      <c r="B289" s="3">
        <f ca="1">IFERROR(__xludf.DUMMYFUNCTION("""COMPUTED_VALUE"""),5)</f>
        <v>5</v>
      </c>
      <c r="C289" s="3">
        <f ca="1">IFERROR(__xludf.DUMMYFUNCTION("""COMPUTED_VALUE"""),4050)</f>
        <v>4050</v>
      </c>
      <c r="D289" s="3" t="str">
        <f ca="1">IFERROR(__xludf.DUMMYFUNCTION("""COMPUTED_VALUE"""),"Doorlanta")</f>
        <v>Doorlanta</v>
      </c>
      <c r="E289" s="3" t="str">
        <f ca="1">IFERROR(__xludf.DUMMYFUNCTION("""COMPUTED_VALUE"""),"Galaxy A")</f>
        <v>Galaxy A</v>
      </c>
      <c r="F289" s="3" t="str">
        <f ca="1">IFERROR(__xludf.DUMMYFUNCTION("""COMPUTED_VALUE"""),"Cate")</f>
        <v>Cate</v>
      </c>
      <c r="G289" s="3">
        <f ca="1">IFERROR(__xludf.DUMMYFUNCTION("""COMPUTED_VALUE"""),0)</f>
        <v>0</v>
      </c>
      <c r="H289" s="3" t="str">
        <f ca="1">IFERROR(__xludf.DUMMYFUNCTION("""COMPUTED_VALUE"""),"car")</f>
        <v>car</v>
      </c>
      <c r="I289" s="3" t="str">
        <f ca="1">IFERROR(__xludf.DUMMYFUNCTION("""COMPUTED_VALUE"""),"2055-06-07T15:36:41.765381Z")</f>
        <v>2055-06-07T15:36:41.765381Z</v>
      </c>
      <c r="J289" s="3" t="str">
        <f ca="1">IFERROR(__xludf.DUMMYFUNCTION("""COMPUTED_VALUE"""),"2055-06-07T16:31:41.88Z")</f>
        <v>2055-06-07T16:31:41.88Z</v>
      </c>
      <c r="K289" s="3" t="str">
        <f ca="1">IFERROR(__xludf.DUMMYFUNCTION("""COMPUTED_VALUE"""),"2055-06-07T16:07:20.88Z")</f>
        <v>2055-06-07T16:07:20.88Z</v>
      </c>
      <c r="L289" s="3">
        <f ca="1">IFERROR(__xludf.DUMMYFUNCTION("""COMPUTED_VALUE"""),1)</f>
        <v>1</v>
      </c>
      <c r="M289" s="3">
        <f ca="1">IFERROR(__xludf.DUMMYFUNCTION("""COMPUTED_VALUE"""),0)</f>
        <v>0</v>
      </c>
      <c r="N289" s="3" t="str">
        <f ca="1">IFERROR(__xludf.DUMMYFUNCTION("""COMPUTED_VALUE"""),"2055-06-07T16:24:34.578447Z")</f>
        <v>2055-06-07T16:24:34.578447Z</v>
      </c>
      <c r="O289" s="3" t="str">
        <f ca="1">IFERROR(__xludf.DUMMYFUNCTION("""COMPUTED_VALUE"""),"2055-06-07T16:39:45.542821Z")</f>
        <v>2055-06-07T16:39:45.542821Z</v>
      </c>
      <c r="P289" s="3" t="str">
        <f ca="1">IFERROR(__xludf.DUMMYFUNCTION("""COMPUTED_VALUE"""),"2055-06-07T16:13:07.329525Z")</f>
        <v>2055-06-07T16:13:07.329525Z</v>
      </c>
      <c r="Q289" s="3">
        <f ca="1">IFERROR(__xludf.DUMMYFUNCTION("""COMPUTED_VALUE"""),0)</f>
        <v>0</v>
      </c>
      <c r="R289" s="3" t="str">
        <f ca="1">IFERROR(__xludf.DUMMYFUNCTION("""COMPUTED_VALUE"""),"2055-06-07T16:13:13.819665Z")</f>
        <v>2055-06-07T16:13:13.819665Z</v>
      </c>
      <c r="S289" s="3"/>
      <c r="T289" s="3"/>
      <c r="U289" s="4">
        <f ca="1">IFERROR(__xludf.DUMMYFUNCTION("""COMPUTED_VALUE"""),56772)</f>
        <v>56772</v>
      </c>
      <c r="V289" s="3">
        <f ca="1">IFERROR(__xludf.DUMMYFUNCTION("""COMPUTED_VALUE"""),4.5)</f>
        <v>4.5</v>
      </c>
      <c r="W289" s="3">
        <f ca="1">IFERROR(__xludf.DUMMYFUNCTION("""COMPUTED_VALUE"""),3500)</f>
        <v>3500</v>
      </c>
      <c r="X289" s="3">
        <f ca="1">IFERROR(__xludf.DUMMYFUNCTION("""COMPUTED_VALUE"""),1592)</f>
        <v>1592</v>
      </c>
      <c r="Y289" s="3"/>
      <c r="Z289" s="3"/>
      <c r="AA289" s="3">
        <f ca="1">IFERROR(__xludf.DUMMYFUNCTION("""COMPUTED_VALUE"""),911)</f>
        <v>911</v>
      </c>
      <c r="AB289" s="3">
        <f ca="1">IFERROR(__xludf.DUMMYFUNCTION("""COMPUTED_VALUE"""),0)</f>
        <v>0</v>
      </c>
      <c r="AC289" s="3">
        <f ca="1">IFERROR(__xludf.DUMMYFUNCTION("""COMPUTED_VALUE"""),2)</f>
        <v>2</v>
      </c>
      <c r="AD289" s="3"/>
      <c r="AE289" s="3" t="str">
        <f ca="1">IFERROR(__xludf.DUMMYFUNCTION("""COMPUTED_VALUE"""),"2055-06-07T12:24:34.578447Z")</f>
        <v>2055-06-07T12:24:34.578447Z</v>
      </c>
      <c r="AF289" s="3" t="str">
        <f ca="1">IFERROR(__xludf.DUMMYFUNCTION("""COMPUTED_VALUE"""),"2055-06-07T12:39:45.542821Z")</f>
        <v>2055-06-07T12:39:45.542821Z</v>
      </c>
      <c r="AG289" s="3" t="str">
        <f ca="1">IFERROR(__xludf.DUMMYFUNCTION("""COMPUTED_VALUE"""),"2055-06-07T12:13:07.329525Z")</f>
        <v>2055-06-07T12:13:07.329525Z</v>
      </c>
      <c r="AH289" s="3"/>
      <c r="AI289" s="3">
        <f ca="1">IFERROR(__xludf.DUMMYFUNCTION("""COMPUTED_VALUE"""),4.49)</f>
        <v>4.49</v>
      </c>
      <c r="AJ289" s="3">
        <f ca="1">IFERROR(__xludf.DUMMYFUNCTION("""COMPUTED_VALUE"""),2315)</f>
        <v>2315</v>
      </c>
      <c r="AK289" s="3">
        <f ca="1">IFERROR(__xludf.DUMMYFUNCTION("""COMPUTED_VALUE"""),7039)</f>
        <v>7039</v>
      </c>
      <c r="AL289" s="3">
        <f ca="1">IFERROR(__xludf.DUMMYFUNCTION("""COMPUTED_VALUE"""),763)</f>
        <v>763</v>
      </c>
    </row>
    <row r="290" spans="1:38" ht="13">
      <c r="A290" s="3">
        <f ca="1">IFERROR(__xludf.DUMMYFUNCTION("""COMPUTED_VALUE"""),1589)</f>
        <v>1589</v>
      </c>
      <c r="B290" s="3">
        <f ca="1">IFERROR(__xludf.DUMMYFUNCTION("""COMPUTED_VALUE"""),5)</f>
        <v>5</v>
      </c>
      <c r="C290" s="3">
        <f ca="1">IFERROR(__xludf.DUMMYFUNCTION("""COMPUTED_VALUE"""),4001)</f>
        <v>4001</v>
      </c>
      <c r="D290" s="3" t="str">
        <f ca="1">IFERROR(__xludf.DUMMYFUNCTION("""COMPUTED_VALUE"""),"Dashattan")</f>
        <v>Dashattan</v>
      </c>
      <c r="E290" s="3" t="str">
        <f ca="1">IFERROR(__xludf.DUMMYFUNCTION("""COMPUTED_VALUE"""),"Galaxy A")</f>
        <v>Galaxy A</v>
      </c>
      <c r="F290" s="3" t="str">
        <f ca="1">IFERROR(__xludf.DUMMYFUNCTION("""COMPUTED_VALUE"""),"Bunje")</f>
        <v>Bunje</v>
      </c>
      <c r="G290" s="3">
        <f ca="1">IFERROR(__xludf.DUMMYFUNCTION("""COMPUTED_VALUE"""),0)</f>
        <v>0</v>
      </c>
      <c r="H290" s="3" t="str">
        <f ca="1">IFERROR(__xludf.DUMMYFUNCTION("""COMPUTED_VALUE"""),"bicycle")</f>
        <v>bicycle</v>
      </c>
      <c r="I290" s="3" t="str">
        <f ca="1">IFERROR(__xludf.DUMMYFUNCTION("""COMPUTED_VALUE"""),"2055-06-13T19:32:38.362442Z")</f>
        <v>2055-06-13T19:32:38.362442Z</v>
      </c>
      <c r="J290" s="3" t="str">
        <f ca="1">IFERROR(__xludf.DUMMYFUNCTION("""COMPUTED_VALUE"""),"2055-06-13T22:45:00Z")</f>
        <v>2055-06-13T22:45:00Z</v>
      </c>
      <c r="K290" s="3" t="str">
        <f ca="1">IFERROR(__xludf.DUMMYFUNCTION("""COMPUTED_VALUE"""),"2055-06-13T22:45:00Z")</f>
        <v>2055-06-13T22:45:00Z</v>
      </c>
      <c r="L290" s="3">
        <f ca="1">IFERROR(__xludf.DUMMYFUNCTION("""COMPUTED_VALUE"""),0)</f>
        <v>0</v>
      </c>
      <c r="M290" s="3">
        <f ca="1">IFERROR(__xludf.DUMMYFUNCTION("""COMPUTED_VALUE"""),0)</f>
        <v>0</v>
      </c>
      <c r="N290" s="3" t="str">
        <f ca="1">IFERROR(__xludf.DUMMYFUNCTION("""COMPUTED_VALUE"""),"2055-06-13T21:55:44.270298Z")</f>
        <v>2055-06-13T21:55:44.270298Z</v>
      </c>
      <c r="O290" s="3" t="str">
        <f ca="1">IFERROR(__xludf.DUMMYFUNCTION("""COMPUTED_VALUE"""),"2055-06-13T22:04:18.073767Z")</f>
        <v>2055-06-13T22:04:18.073767Z</v>
      </c>
      <c r="P290" s="3" t="str">
        <f ca="1">IFERROR(__xludf.DUMMYFUNCTION("""COMPUTED_VALUE"""),"2055-06-13T21:45:28.326694Z")</f>
        <v>2055-06-13T21:45:28.326694Z</v>
      </c>
      <c r="Q290" s="3">
        <f ca="1">IFERROR(__xludf.DUMMYFUNCTION("""COMPUTED_VALUE"""),0)</f>
        <v>0</v>
      </c>
      <c r="R290" s="3" t="str">
        <f ca="1">IFERROR(__xludf.DUMMYFUNCTION("""COMPUTED_VALUE"""),"2055-06-13T21:45:32.7695Z")</f>
        <v>2055-06-13T21:45:32.7695Z</v>
      </c>
      <c r="S290" s="3" t="str">
        <f ca="1">IFERROR(__xludf.DUMMYFUNCTION("""COMPUTED_VALUE"""),"2055-06-13T21:49:25.32532Z")</f>
        <v>2055-06-13T21:49:25.32532Z</v>
      </c>
      <c r="T290" s="3"/>
      <c r="U290" s="4">
        <f ca="1">IFERROR(__xludf.DUMMYFUNCTION("""COMPUTED_VALUE"""),56778)</f>
        <v>56778</v>
      </c>
      <c r="V290" s="3">
        <f ca="1">IFERROR(__xludf.DUMMYFUNCTION("""COMPUTED_VALUE"""),4.2)</f>
        <v>4.2</v>
      </c>
      <c r="W290" s="3">
        <f ca="1">IFERROR(__xludf.DUMMYFUNCTION("""COMPUTED_VALUE"""),3500)</f>
        <v>3500</v>
      </c>
      <c r="X290" s="3">
        <f ca="1">IFERROR(__xludf.DUMMYFUNCTION("""COMPUTED_VALUE"""),1126)</f>
        <v>1126</v>
      </c>
      <c r="Y290" s="3">
        <f ca="1">IFERROR(__xludf.DUMMYFUNCTION("""COMPUTED_VALUE"""),233)</f>
        <v>233</v>
      </c>
      <c r="Z290" s="3">
        <f ca="1">IFERROR(__xludf.DUMMYFUNCTION("""COMPUTED_VALUE"""),379)</f>
        <v>379</v>
      </c>
      <c r="AA290" s="3">
        <f ca="1">IFERROR(__xludf.DUMMYFUNCTION("""COMPUTED_VALUE"""),514)</f>
        <v>514</v>
      </c>
      <c r="AB290" s="3">
        <f ca="1">IFERROR(__xludf.DUMMYFUNCTION("""COMPUTED_VALUE"""),0)</f>
        <v>0</v>
      </c>
      <c r="AC290" s="3">
        <f ca="1">IFERROR(__xludf.DUMMYFUNCTION("""COMPUTED_VALUE"""),6)</f>
        <v>6</v>
      </c>
      <c r="AD290" s="3" t="str">
        <f ca="1">IFERROR(__xludf.DUMMYFUNCTION("""COMPUTED_VALUE"""),"on time")</f>
        <v>on time</v>
      </c>
      <c r="AE290" s="3" t="str">
        <f ca="1">IFERROR(__xludf.DUMMYFUNCTION("""COMPUTED_VALUE"""),"2055-06-13T17:55:44.270298Z")</f>
        <v>2055-06-13T17:55:44.270298Z</v>
      </c>
      <c r="AF290" s="3" t="str">
        <f ca="1">IFERROR(__xludf.DUMMYFUNCTION("""COMPUTED_VALUE"""),"2055-06-13T18:04:18.073767Z")</f>
        <v>2055-06-13T18:04:18.073767Z</v>
      </c>
      <c r="AG290" s="3" t="str">
        <f ca="1">IFERROR(__xludf.DUMMYFUNCTION("""COMPUTED_VALUE"""),"2055-06-13T17:45:28.326694Z")</f>
        <v>2055-06-13T17:45:28.326694Z</v>
      </c>
      <c r="AH290" s="3" t="str">
        <f ca="1">IFERROR(__xludf.DUMMYFUNCTION("""COMPUTED_VALUE"""),"2055-06-13T17:49:25.32532Z")</f>
        <v>2055-06-13T17:49:25.32532Z</v>
      </c>
      <c r="AI290" s="3">
        <f ca="1">IFERROR(__xludf.DUMMYFUNCTION("""COMPUTED_VALUE"""),4.7)</f>
        <v>4.7</v>
      </c>
      <c r="AJ290" s="3">
        <f ca="1">IFERROR(__xludf.DUMMYFUNCTION("""COMPUTED_VALUE"""),443)</f>
        <v>443</v>
      </c>
      <c r="AK290" s="3">
        <f ca="1">IFERROR(__xludf.DUMMYFUNCTION("""COMPUTED_VALUE"""),1579)</f>
        <v>1579</v>
      </c>
      <c r="AL290" s="3"/>
    </row>
    <row r="291" spans="1:38" ht="13">
      <c r="A291" s="3">
        <f ca="1">IFERROR(__xludf.DUMMYFUNCTION("""COMPUTED_VALUE"""),1457)</f>
        <v>1457</v>
      </c>
      <c r="B291" s="3">
        <f ca="1">IFERROR(__xludf.DUMMYFUNCTION("""COMPUTED_VALUE"""),4)</f>
        <v>4</v>
      </c>
      <c r="C291" s="3">
        <f ca="1">IFERROR(__xludf.DUMMYFUNCTION("""COMPUTED_VALUE"""),4001)</f>
        <v>4001</v>
      </c>
      <c r="D291" s="3" t="str">
        <f ca="1">IFERROR(__xludf.DUMMYFUNCTION("""COMPUTED_VALUE"""),"Dashattan")</f>
        <v>Dashattan</v>
      </c>
      <c r="E291" s="3" t="str">
        <f ca="1">IFERROR(__xludf.DUMMYFUNCTION("""COMPUTED_VALUE"""),"Galaxy A")</f>
        <v>Galaxy A</v>
      </c>
      <c r="F291" s="3" t="str">
        <f ca="1">IFERROR(__xludf.DUMMYFUNCTION("""COMPUTED_VALUE"""),"Rojan")</f>
        <v>Rojan</v>
      </c>
      <c r="G291" s="3">
        <f ca="1">IFERROR(__xludf.DUMMYFUNCTION("""COMPUTED_VALUE"""),0)</f>
        <v>0</v>
      </c>
      <c r="H291" s="3" t="str">
        <f ca="1">IFERROR(__xludf.DUMMYFUNCTION("""COMPUTED_VALUE"""),"bicycle")</f>
        <v>bicycle</v>
      </c>
      <c r="I291" s="3" t="str">
        <f ca="1">IFERROR(__xludf.DUMMYFUNCTION("""COMPUTED_VALUE"""),"2055-06-12T21:32:44.795944Z")</f>
        <v>2055-06-12T21:32:44.795944Z</v>
      </c>
      <c r="J291" s="3" t="str">
        <f ca="1">IFERROR(__xludf.DUMMYFUNCTION("""COMPUTED_VALUE"""),"2055-06-13T01:00:00Z")</f>
        <v>2055-06-13T01:00:00Z</v>
      </c>
      <c r="K291" s="3" t="str">
        <f ca="1">IFERROR(__xludf.DUMMYFUNCTION("""COMPUTED_VALUE"""),"2055-06-13T01:00:00Z")</f>
        <v>2055-06-13T01:00:00Z</v>
      </c>
      <c r="L291" s="3">
        <f ca="1">IFERROR(__xludf.DUMMYFUNCTION("""COMPUTED_VALUE"""),0)</f>
        <v>0</v>
      </c>
      <c r="M291" s="3">
        <f ca="1">IFERROR(__xludf.DUMMYFUNCTION("""COMPUTED_VALUE"""),0)</f>
        <v>0</v>
      </c>
      <c r="N291" s="3" t="str">
        <f ca="1">IFERROR(__xludf.DUMMYFUNCTION("""COMPUTED_VALUE"""),"2055-06-13T00:29:00.461911Z")</f>
        <v>2055-06-13T00:29:00.461911Z</v>
      </c>
      <c r="O291" s="3" t="str">
        <f ca="1">IFERROR(__xludf.DUMMYFUNCTION("""COMPUTED_VALUE"""),"2055-06-13T00:38:01.588303Z")</f>
        <v>2055-06-13T00:38:01.588303Z</v>
      </c>
      <c r="P291" s="3" t="str">
        <f ca="1">IFERROR(__xludf.DUMMYFUNCTION("""COMPUTED_VALUE"""),"2055-06-13T00:14:36.110502Z")</f>
        <v>2055-06-13T00:14:36.110502Z</v>
      </c>
      <c r="Q291" s="3">
        <f ca="1">IFERROR(__xludf.DUMMYFUNCTION("""COMPUTED_VALUE"""),0)</f>
        <v>0</v>
      </c>
      <c r="R291" s="3" t="str">
        <f ca="1">IFERROR(__xludf.DUMMYFUNCTION("""COMPUTED_VALUE"""),"2055-06-13T00:14:40.858777Z")</f>
        <v>2055-06-13T00:14:40.858777Z</v>
      </c>
      <c r="S291" s="3" t="str">
        <f ca="1">IFERROR(__xludf.DUMMYFUNCTION("""COMPUTED_VALUE"""),"2055-06-13T00:23:19.524134Z")</f>
        <v>2055-06-13T00:23:19.524134Z</v>
      </c>
      <c r="T291" s="3"/>
      <c r="U291" s="4">
        <f ca="1">IFERROR(__xludf.DUMMYFUNCTION("""COMPUTED_VALUE"""),56777)</f>
        <v>56777</v>
      </c>
      <c r="V291" s="3">
        <f ca="1">IFERROR(__xludf.DUMMYFUNCTION("""COMPUTED_VALUE"""),4.342339894)</f>
        <v>4.3423398940000002</v>
      </c>
      <c r="W291" s="3">
        <f ca="1">IFERROR(__xludf.DUMMYFUNCTION("""COMPUTED_VALUE"""),3500)</f>
        <v>3500</v>
      </c>
      <c r="X291" s="3">
        <f ca="1">IFERROR(__xludf.DUMMYFUNCTION("""COMPUTED_VALUE"""),1401)</f>
        <v>1401</v>
      </c>
      <c r="Y291" s="3">
        <f ca="1">IFERROR(__xludf.DUMMYFUNCTION("""COMPUTED_VALUE"""),519)</f>
        <v>519</v>
      </c>
      <c r="Z291" s="3">
        <f ca="1">IFERROR(__xludf.DUMMYFUNCTION("""COMPUTED_VALUE"""),341)</f>
        <v>341</v>
      </c>
      <c r="AA291" s="3">
        <f ca="1">IFERROR(__xludf.DUMMYFUNCTION("""COMPUTED_VALUE"""),541)</f>
        <v>541</v>
      </c>
      <c r="AB291" s="3">
        <f ca="1">IFERROR(__xludf.DUMMYFUNCTION("""COMPUTED_VALUE"""),0)</f>
        <v>0</v>
      </c>
      <c r="AC291" s="3">
        <f ca="1">IFERROR(__xludf.DUMMYFUNCTION("""COMPUTED_VALUE"""),2)</f>
        <v>2</v>
      </c>
      <c r="AD291" s="3" t="str">
        <f ca="1">IFERROR(__xludf.DUMMYFUNCTION("""COMPUTED_VALUE"""),"late")</f>
        <v>late</v>
      </c>
      <c r="AE291" s="3" t="str">
        <f ca="1">IFERROR(__xludf.DUMMYFUNCTION("""COMPUTED_VALUE"""),"2055-06-12T20:29:00.461911Z")</f>
        <v>2055-06-12T20:29:00.461911Z</v>
      </c>
      <c r="AF291" s="3" t="str">
        <f ca="1">IFERROR(__xludf.DUMMYFUNCTION("""COMPUTED_VALUE"""),"2055-06-12T20:38:01.588303Z")</f>
        <v>2055-06-12T20:38:01.588303Z</v>
      </c>
      <c r="AG291" s="3" t="str">
        <f ca="1">IFERROR(__xludf.DUMMYFUNCTION("""COMPUTED_VALUE"""),"2055-06-12T20:14:36.110502Z")</f>
        <v>2055-06-12T20:14:36.110502Z</v>
      </c>
      <c r="AH291" s="3" t="str">
        <f ca="1">IFERROR(__xludf.DUMMYFUNCTION("""COMPUTED_VALUE"""),"2055-06-12T20:23:19.524134Z")</f>
        <v>2055-06-12T20:23:19.524134Z</v>
      </c>
      <c r="AI291" s="3">
        <f ca="1">IFERROR(__xludf.DUMMYFUNCTION("""COMPUTED_VALUE"""),4.58)</f>
        <v>4.58</v>
      </c>
      <c r="AJ291" s="3">
        <f ca="1">IFERROR(__xludf.DUMMYFUNCTION("""COMPUTED_VALUE"""),254)</f>
        <v>254</v>
      </c>
      <c r="AK291" s="3">
        <f ca="1">IFERROR(__xludf.DUMMYFUNCTION("""COMPUTED_VALUE"""),788)</f>
        <v>788</v>
      </c>
      <c r="AL291" s="3">
        <f ca="1">IFERROR(__xludf.DUMMYFUNCTION("""COMPUTED_VALUE"""),9)</f>
        <v>9</v>
      </c>
    </row>
    <row r="292" spans="1:38" ht="13">
      <c r="A292" s="3">
        <f ca="1">IFERROR(__xludf.DUMMYFUNCTION("""COMPUTED_VALUE"""),1068)</f>
        <v>1068</v>
      </c>
      <c r="B292" s="3"/>
      <c r="C292" s="3">
        <f ca="1">IFERROR(__xludf.DUMMYFUNCTION("""COMPUTED_VALUE"""),4001)</f>
        <v>4001</v>
      </c>
      <c r="D292" s="3" t="str">
        <f ca="1">IFERROR(__xludf.DUMMYFUNCTION("""COMPUTED_VALUE"""),"Dashattan")</f>
        <v>Dashattan</v>
      </c>
      <c r="E292" s="3" t="str">
        <f ca="1">IFERROR(__xludf.DUMMYFUNCTION("""COMPUTED_VALUE"""),"Galaxy A")</f>
        <v>Galaxy A</v>
      </c>
      <c r="F292" s="3" t="str">
        <f ca="1">IFERROR(__xludf.DUMMYFUNCTION("""COMPUTED_VALUE"""),"Arya")</f>
        <v>Arya</v>
      </c>
      <c r="G292" s="3">
        <f ca="1">IFERROR(__xludf.DUMMYFUNCTION("""COMPUTED_VALUE"""),0)</f>
        <v>0</v>
      </c>
      <c r="H292" s="3" t="str">
        <f ca="1">IFERROR(__xludf.DUMMYFUNCTION("""COMPUTED_VALUE"""),"bicycle")</f>
        <v>bicycle</v>
      </c>
      <c r="I292" s="3" t="str">
        <f ca="1">IFERROR(__xludf.DUMMYFUNCTION("""COMPUTED_VALUE"""),"2055-06-09T22:10:39.106531Z")</f>
        <v>2055-06-09T22:10:39.106531Z</v>
      </c>
      <c r="J292" s="3" t="str">
        <f ca="1">IFERROR(__xludf.DUMMYFUNCTION("""COMPUTED_VALUE"""),"2055-06-09T22:55:53.167Z")</f>
        <v>2055-06-09T22:55:53.167Z</v>
      </c>
      <c r="K292" s="3" t="str">
        <f ca="1">IFERROR(__xludf.DUMMYFUNCTION("""COMPUTED_VALUE"""),"2055-06-09T22:42:00.167Z")</f>
        <v>2055-06-09T22:42:00.167Z</v>
      </c>
      <c r="L292" s="3">
        <f ca="1">IFERROR(__xludf.DUMMYFUNCTION("""COMPUTED_VALUE"""),1)</f>
        <v>1</v>
      </c>
      <c r="M292" s="3">
        <f ca="1">IFERROR(__xludf.DUMMYFUNCTION("""COMPUTED_VALUE"""),0)</f>
        <v>0</v>
      </c>
      <c r="N292" s="3" t="str">
        <f ca="1">IFERROR(__xludf.DUMMYFUNCTION("""COMPUTED_VALUE"""),"2055-06-09T22:36:15.609786Z")</f>
        <v>2055-06-09T22:36:15.609786Z</v>
      </c>
      <c r="O292" s="3" t="str">
        <f ca="1">IFERROR(__xludf.DUMMYFUNCTION("""COMPUTED_VALUE"""),"2055-06-09T22:51:44.890758Z")</f>
        <v>2055-06-09T22:51:44.890758Z</v>
      </c>
      <c r="P292" s="3" t="str">
        <f ca="1">IFERROR(__xludf.DUMMYFUNCTION("""COMPUTED_VALUE"""),"2055-06-09T22:14:54.469967Z")</f>
        <v>2055-06-09T22:14:54.469967Z</v>
      </c>
      <c r="Q292" s="3">
        <f ca="1">IFERROR(__xludf.DUMMYFUNCTION("""COMPUTED_VALUE"""),0)</f>
        <v>0</v>
      </c>
      <c r="R292" s="3" t="str">
        <f ca="1">IFERROR(__xludf.DUMMYFUNCTION("""COMPUTED_VALUE"""),"2055-06-09T22:15:09.451403Z")</f>
        <v>2055-06-09T22:15:09.451403Z</v>
      </c>
      <c r="S292" s="3" t="str">
        <f ca="1">IFERROR(__xludf.DUMMYFUNCTION("""COMPUTED_VALUE"""),"2055-06-09T22:29:53.568387Z")</f>
        <v>2055-06-09T22:29:53.568387Z</v>
      </c>
      <c r="T292" s="3"/>
      <c r="U292" s="4">
        <f ca="1">IFERROR(__xludf.DUMMYFUNCTION("""COMPUTED_VALUE"""),56774)</f>
        <v>56774</v>
      </c>
      <c r="V292" s="3">
        <f ca="1">IFERROR(__xludf.DUMMYFUNCTION("""COMPUTED_VALUE"""),4.3)</f>
        <v>4.3</v>
      </c>
      <c r="W292" s="3">
        <f ca="1">IFERROR(__xludf.DUMMYFUNCTION("""COMPUTED_VALUE"""),3500)</f>
        <v>3500</v>
      </c>
      <c r="X292" s="3">
        <f ca="1">IFERROR(__xludf.DUMMYFUNCTION("""COMPUTED_VALUE"""),2195)</f>
        <v>2195</v>
      </c>
      <c r="Y292" s="3">
        <f ca="1">IFERROR(__xludf.DUMMYFUNCTION("""COMPUTED_VALUE"""),884)</f>
        <v>884</v>
      </c>
      <c r="Z292" s="3">
        <f ca="1">IFERROR(__xludf.DUMMYFUNCTION("""COMPUTED_VALUE"""),382)</f>
        <v>382</v>
      </c>
      <c r="AA292" s="3">
        <f ca="1">IFERROR(__xludf.DUMMYFUNCTION("""COMPUTED_VALUE"""),929)</f>
        <v>929</v>
      </c>
      <c r="AB292" s="3">
        <f ca="1">IFERROR(__xludf.DUMMYFUNCTION("""COMPUTED_VALUE"""),0)</f>
        <v>0</v>
      </c>
      <c r="AC292" s="3">
        <f ca="1">IFERROR(__xludf.DUMMYFUNCTION("""COMPUTED_VALUE"""),3)</f>
        <v>3</v>
      </c>
      <c r="AD292" s="3" t="str">
        <f ca="1">IFERROR(__xludf.DUMMYFUNCTION("""COMPUTED_VALUE"""),"late")</f>
        <v>late</v>
      </c>
      <c r="AE292" s="3" t="str">
        <f ca="1">IFERROR(__xludf.DUMMYFUNCTION("""COMPUTED_VALUE"""),"2055-06-09T18:36:15.609786Z")</f>
        <v>2055-06-09T18:36:15.609786Z</v>
      </c>
      <c r="AF292" s="3" t="str">
        <f ca="1">IFERROR(__xludf.DUMMYFUNCTION("""COMPUTED_VALUE"""),"2055-06-09T18:51:44.890758Z")</f>
        <v>2055-06-09T18:51:44.890758Z</v>
      </c>
      <c r="AG292" s="3" t="str">
        <f ca="1">IFERROR(__xludf.DUMMYFUNCTION("""COMPUTED_VALUE"""),"2055-06-09T18:14:54.469967Z")</f>
        <v>2055-06-09T18:14:54.469967Z</v>
      </c>
      <c r="AH292" s="3" t="str">
        <f ca="1">IFERROR(__xludf.DUMMYFUNCTION("""COMPUTED_VALUE"""),"2055-06-09T18:29:53.568387Z")</f>
        <v>2055-06-09T18:29:53.568387Z</v>
      </c>
      <c r="AI292" s="3">
        <f ca="1">IFERROR(__xludf.DUMMYFUNCTION("""COMPUTED_VALUE"""),4.17)</f>
        <v>4.17</v>
      </c>
      <c r="AJ292" s="3">
        <f ca="1">IFERROR(__xludf.DUMMYFUNCTION("""COMPUTED_VALUE"""),457)</f>
        <v>457</v>
      </c>
      <c r="AK292" s="3">
        <f ca="1">IFERROR(__xludf.DUMMYFUNCTION("""COMPUTED_VALUE"""),1599)</f>
        <v>1599</v>
      </c>
      <c r="AL292" s="3"/>
    </row>
    <row r="293" spans="1:38" ht="13">
      <c r="A293" s="3">
        <f ca="1">IFERROR(__xludf.DUMMYFUNCTION("""COMPUTED_VALUE"""),1480)</f>
        <v>1480</v>
      </c>
      <c r="B293" s="3">
        <f ca="1">IFERROR(__xludf.DUMMYFUNCTION("""COMPUTED_VALUE"""),5)</f>
        <v>5</v>
      </c>
      <c r="C293" s="3">
        <f ca="1">IFERROR(__xludf.DUMMYFUNCTION("""COMPUTED_VALUE"""),4001)</f>
        <v>4001</v>
      </c>
      <c r="D293" s="3" t="str">
        <f ca="1">IFERROR(__xludf.DUMMYFUNCTION("""COMPUTED_VALUE"""),"Dashattan")</f>
        <v>Dashattan</v>
      </c>
      <c r="E293" s="3" t="str">
        <f ca="1">IFERROR(__xludf.DUMMYFUNCTION("""COMPUTED_VALUE"""),"Galaxy A")</f>
        <v>Galaxy A</v>
      </c>
      <c r="F293" s="3" t="str">
        <f ca="1">IFERROR(__xludf.DUMMYFUNCTION("""COMPUTED_VALUE"""),"KC")</f>
        <v>KC</v>
      </c>
      <c r="G293" s="3">
        <f ca="1">IFERROR(__xludf.DUMMYFUNCTION("""COMPUTED_VALUE"""),0)</f>
        <v>0</v>
      </c>
      <c r="H293" s="3" t="str">
        <f ca="1">IFERROR(__xludf.DUMMYFUNCTION("""COMPUTED_VALUE"""),"car")</f>
        <v>car</v>
      </c>
      <c r="I293" s="3" t="str">
        <f ca="1">IFERROR(__xludf.DUMMYFUNCTION("""COMPUTED_VALUE"""),"2055-06-12T22:36:58.793639Z")</f>
        <v>2055-06-12T22:36:58.793639Z</v>
      </c>
      <c r="J293" s="3" t="str">
        <f ca="1">IFERROR(__xludf.DUMMYFUNCTION("""COMPUTED_VALUE"""),"2055-06-12T23:13:24.85Z")</f>
        <v>2055-06-12T23:13:24.85Z</v>
      </c>
      <c r="K293" s="3" t="str">
        <f ca="1">IFERROR(__xludf.DUMMYFUNCTION("""COMPUTED_VALUE"""),"2055-06-12T23:08:45.85Z")</f>
        <v>2055-06-12T23:08:45.85Z</v>
      </c>
      <c r="L293" s="3">
        <f ca="1">IFERROR(__xludf.DUMMYFUNCTION("""COMPUTED_VALUE"""),1)</f>
        <v>1</v>
      </c>
      <c r="M293" s="3">
        <f ca="1">IFERROR(__xludf.DUMMYFUNCTION("""COMPUTED_VALUE"""),0)</f>
        <v>0</v>
      </c>
      <c r="N293" s="3" t="str">
        <f ca="1">IFERROR(__xludf.DUMMYFUNCTION("""COMPUTED_VALUE"""),"2055-06-12T22:53:31.015783Z")</f>
        <v>2055-06-12T22:53:31.015783Z</v>
      </c>
      <c r="O293" s="3" t="str">
        <f ca="1">IFERROR(__xludf.DUMMYFUNCTION("""COMPUTED_VALUE"""),"2055-06-12T23:03:13.150583Z")</f>
        <v>2055-06-12T23:03:13.150583Z</v>
      </c>
      <c r="P293" s="3" t="str">
        <f ca="1">IFERROR(__xludf.DUMMYFUNCTION("""COMPUTED_VALUE"""),"2055-06-12T22:40:14.672912Z")</f>
        <v>2055-06-12T22:40:14.672912Z</v>
      </c>
      <c r="Q293" s="3">
        <f ca="1">IFERROR(__xludf.DUMMYFUNCTION("""COMPUTED_VALUE"""),0)</f>
        <v>0</v>
      </c>
      <c r="R293" s="3" t="str">
        <f ca="1">IFERROR(__xludf.DUMMYFUNCTION("""COMPUTED_VALUE"""),"2055-06-12T22:40:41.681547Z")</f>
        <v>2055-06-12T22:40:41.681547Z</v>
      </c>
      <c r="S293" s="3" t="str">
        <f ca="1">IFERROR(__xludf.DUMMYFUNCTION("""COMPUTED_VALUE"""),"2055-06-12T22:43:39.149843Z")</f>
        <v>2055-06-12T22:43:39.149843Z</v>
      </c>
      <c r="T293" s="3"/>
      <c r="U293" s="4">
        <f ca="1">IFERROR(__xludf.DUMMYFUNCTION("""COMPUTED_VALUE"""),56777)</f>
        <v>56777</v>
      </c>
      <c r="V293" s="3">
        <f ca="1">IFERROR(__xludf.DUMMYFUNCTION("""COMPUTED_VALUE"""),2.862817794)</f>
        <v>2.8628177940000001</v>
      </c>
      <c r="W293" s="3">
        <f ca="1">IFERROR(__xludf.DUMMYFUNCTION("""COMPUTED_VALUE"""),3500)</f>
        <v>3500</v>
      </c>
      <c r="X293" s="3">
        <f ca="1">IFERROR(__xludf.DUMMYFUNCTION("""COMPUTED_VALUE"""),1352)</f>
        <v>1352</v>
      </c>
      <c r="Y293" s="3">
        <f ca="1">IFERROR(__xludf.DUMMYFUNCTION("""COMPUTED_VALUE"""),178)</f>
        <v>178</v>
      </c>
      <c r="Z293" s="3">
        <f ca="1">IFERROR(__xludf.DUMMYFUNCTION("""COMPUTED_VALUE"""),592)</f>
        <v>592</v>
      </c>
      <c r="AA293" s="3">
        <f ca="1">IFERROR(__xludf.DUMMYFUNCTION("""COMPUTED_VALUE"""),582)</f>
        <v>582</v>
      </c>
      <c r="AB293" s="3">
        <f ca="1">IFERROR(__xludf.DUMMYFUNCTION("""COMPUTED_VALUE"""),0)</f>
        <v>0</v>
      </c>
      <c r="AC293" s="3">
        <f ca="1">IFERROR(__xludf.DUMMYFUNCTION("""COMPUTED_VALUE"""),4)</f>
        <v>4</v>
      </c>
      <c r="AD293" s="3" t="str">
        <f ca="1">IFERROR(__xludf.DUMMYFUNCTION("""COMPUTED_VALUE"""),"early")</f>
        <v>early</v>
      </c>
      <c r="AE293" s="3" t="str">
        <f ca="1">IFERROR(__xludf.DUMMYFUNCTION("""COMPUTED_VALUE"""),"2055-06-12T18:53:31.015783Z")</f>
        <v>2055-06-12T18:53:31.015783Z</v>
      </c>
      <c r="AF293" s="3" t="str">
        <f ca="1">IFERROR(__xludf.DUMMYFUNCTION("""COMPUTED_VALUE"""),"2055-06-12T19:03:13.150583Z")</f>
        <v>2055-06-12T19:03:13.150583Z</v>
      </c>
      <c r="AG293" s="3" t="str">
        <f ca="1">IFERROR(__xludf.DUMMYFUNCTION("""COMPUTED_VALUE"""),"2055-06-12T18:40:14.672912Z")</f>
        <v>2055-06-12T18:40:14.672912Z</v>
      </c>
      <c r="AH293" s="3" t="str">
        <f ca="1">IFERROR(__xludf.DUMMYFUNCTION("""COMPUTED_VALUE"""),"2055-06-12T18:43:39.149843Z")</f>
        <v>2055-06-12T18:43:39.149843Z</v>
      </c>
      <c r="AI293" s="3">
        <f ca="1">IFERROR(__xludf.DUMMYFUNCTION("""COMPUTED_VALUE"""),4.54)</f>
        <v>4.54</v>
      </c>
      <c r="AJ293" s="3">
        <f ca="1">IFERROR(__xludf.DUMMYFUNCTION("""COMPUTED_VALUE"""),2229)</f>
        <v>2229</v>
      </c>
      <c r="AK293" s="3">
        <f ca="1">IFERROR(__xludf.DUMMYFUNCTION("""COMPUTED_VALUE"""),6580)</f>
        <v>6580</v>
      </c>
      <c r="AL293" s="3"/>
    </row>
    <row r="294" spans="1:38" ht="13">
      <c r="A294" s="3">
        <f ca="1">IFERROR(__xludf.DUMMYFUNCTION("""COMPUTED_VALUE"""),438)</f>
        <v>438</v>
      </c>
      <c r="B294" s="3"/>
      <c r="C294" s="3">
        <f ca="1">IFERROR(__xludf.DUMMYFUNCTION("""COMPUTED_VALUE"""),4050)</f>
        <v>4050</v>
      </c>
      <c r="D294" s="3" t="str">
        <f ca="1">IFERROR(__xludf.DUMMYFUNCTION("""COMPUTED_VALUE"""),"Doorlanta")</f>
        <v>Doorlanta</v>
      </c>
      <c r="E294" s="3" t="str">
        <f ca="1">IFERROR(__xludf.DUMMYFUNCTION("""COMPUTED_VALUE"""),"Galaxy A")</f>
        <v>Galaxy A</v>
      </c>
      <c r="F294" s="3" t="str">
        <f ca="1">IFERROR(__xludf.DUMMYFUNCTION("""COMPUTED_VALUE"""),"Katelynn")</f>
        <v>Katelynn</v>
      </c>
      <c r="G294" s="3">
        <f ca="1">IFERROR(__xludf.DUMMYFUNCTION("""COMPUTED_VALUE"""),0)</f>
        <v>0</v>
      </c>
      <c r="H294" s="3" t="str">
        <f ca="1">IFERROR(__xludf.DUMMYFUNCTION("""COMPUTED_VALUE"""),"car")</f>
        <v>car</v>
      </c>
      <c r="I294" s="3" t="str">
        <f ca="1">IFERROR(__xludf.DUMMYFUNCTION("""COMPUTED_VALUE"""),"2055-06-04T20:24:10.296411Z")</f>
        <v>2055-06-04T20:24:10.296411Z</v>
      </c>
      <c r="J294" s="3" t="str">
        <f ca="1">IFERROR(__xludf.DUMMYFUNCTION("""COMPUTED_VALUE"""),"2055-06-04T21:15:00Z")</f>
        <v>2055-06-04T21:15:00Z</v>
      </c>
      <c r="K294" s="3" t="str">
        <f ca="1">IFERROR(__xludf.DUMMYFUNCTION("""COMPUTED_VALUE"""),"2055-06-04T21:15:00Z")</f>
        <v>2055-06-04T21:15:00Z</v>
      </c>
      <c r="L294" s="3">
        <f ca="1">IFERROR(__xludf.DUMMYFUNCTION("""COMPUTED_VALUE"""),0)</f>
        <v>0</v>
      </c>
      <c r="M294" s="3">
        <f ca="1">IFERROR(__xludf.DUMMYFUNCTION("""COMPUTED_VALUE"""),0)</f>
        <v>0</v>
      </c>
      <c r="N294" s="3" t="str">
        <f ca="1">IFERROR(__xludf.DUMMYFUNCTION("""COMPUTED_VALUE"""),"2055-06-04T20:42:01.363741Z")</f>
        <v>2055-06-04T20:42:01.363741Z</v>
      </c>
      <c r="O294" s="3" t="str">
        <f ca="1">IFERROR(__xludf.DUMMYFUNCTION("""COMPUTED_VALUE"""),"2055-06-04T20:55:58.750787Z")</f>
        <v>2055-06-04T20:55:58.750787Z</v>
      </c>
      <c r="P294" s="3" t="str">
        <f ca="1">IFERROR(__xludf.DUMMYFUNCTION("""COMPUTED_VALUE"""),"2055-06-04T20:30:07.329775Z")</f>
        <v>2055-06-04T20:30:07.329775Z</v>
      </c>
      <c r="Q294" s="3">
        <f ca="1">IFERROR(__xludf.DUMMYFUNCTION("""COMPUTED_VALUE"""),0)</f>
        <v>0</v>
      </c>
      <c r="R294" s="3" t="str">
        <f ca="1">IFERROR(__xludf.DUMMYFUNCTION("""COMPUTED_VALUE"""),"2055-06-04T20:30:51.1737Z")</f>
        <v>2055-06-04T20:30:51.1737Z</v>
      </c>
      <c r="S294" s="3" t="str">
        <f ca="1">IFERROR(__xludf.DUMMYFUNCTION("""COMPUTED_VALUE"""),"2055-06-04T20:36:41.411758Z")</f>
        <v>2055-06-04T20:36:41.411758Z</v>
      </c>
      <c r="T294" s="3"/>
      <c r="U294" s="4">
        <f ca="1">IFERROR(__xludf.DUMMYFUNCTION("""COMPUTED_VALUE"""),56769)</f>
        <v>56769</v>
      </c>
      <c r="V294" s="3">
        <f ca="1">IFERROR(__xludf.DUMMYFUNCTION("""COMPUTED_VALUE"""),4.5)</f>
        <v>4.5</v>
      </c>
      <c r="W294" s="3">
        <f ca="1">IFERROR(__xludf.DUMMYFUNCTION("""COMPUTED_VALUE"""),3500)</f>
        <v>3500</v>
      </c>
      <c r="X294" s="3">
        <f ca="1">IFERROR(__xludf.DUMMYFUNCTION("""COMPUTED_VALUE"""),1507)</f>
        <v>1507</v>
      </c>
      <c r="Y294" s="3">
        <f ca="1">IFERROR(__xludf.DUMMYFUNCTION("""COMPUTED_VALUE"""),350)</f>
        <v>350</v>
      </c>
      <c r="Z294" s="3">
        <f ca="1">IFERROR(__xludf.DUMMYFUNCTION("""COMPUTED_VALUE"""),320)</f>
        <v>320</v>
      </c>
      <c r="AA294" s="3">
        <f ca="1">IFERROR(__xludf.DUMMYFUNCTION("""COMPUTED_VALUE"""),837)</f>
        <v>837</v>
      </c>
      <c r="AB294" s="3">
        <f ca="1">IFERROR(__xludf.DUMMYFUNCTION("""COMPUTED_VALUE"""),0)</f>
        <v>0</v>
      </c>
      <c r="AC294" s="3">
        <f ca="1">IFERROR(__xludf.DUMMYFUNCTION("""COMPUTED_VALUE"""),5)</f>
        <v>5</v>
      </c>
      <c r="AD294" s="3" t="str">
        <f ca="1">IFERROR(__xludf.DUMMYFUNCTION("""COMPUTED_VALUE"""),"on time")</f>
        <v>on time</v>
      </c>
      <c r="AE294" s="3" t="str">
        <f ca="1">IFERROR(__xludf.DUMMYFUNCTION("""COMPUTED_VALUE"""),"2055-06-04T16:42:01.363741Z")</f>
        <v>2055-06-04T16:42:01.363741Z</v>
      </c>
      <c r="AF294" s="3" t="str">
        <f ca="1">IFERROR(__xludf.DUMMYFUNCTION("""COMPUTED_VALUE"""),"2055-06-04T16:55:58.750787Z")</f>
        <v>2055-06-04T16:55:58.750787Z</v>
      </c>
      <c r="AG294" s="3" t="str">
        <f ca="1">IFERROR(__xludf.DUMMYFUNCTION("""COMPUTED_VALUE"""),"2055-06-04T16:30:07.329775Z")</f>
        <v>2055-06-04T16:30:07.329775Z</v>
      </c>
      <c r="AH294" s="3" t="str">
        <f ca="1">IFERROR(__xludf.DUMMYFUNCTION("""COMPUTED_VALUE"""),"2055-06-04T16:36:41.411758Z")</f>
        <v>2055-06-04T16:36:41.411758Z</v>
      </c>
      <c r="AI294" s="3">
        <f ca="1">IFERROR(__xludf.DUMMYFUNCTION("""COMPUTED_VALUE"""),4.7)</f>
        <v>4.7</v>
      </c>
      <c r="AJ294" s="3">
        <f ca="1">IFERROR(__xludf.DUMMYFUNCTION("""COMPUTED_VALUE"""),1261)</f>
        <v>1261</v>
      </c>
      <c r="AK294" s="3">
        <f ca="1">IFERROR(__xludf.DUMMYFUNCTION("""COMPUTED_VALUE"""),3264)</f>
        <v>3264</v>
      </c>
      <c r="AL294" s="3">
        <f ca="1">IFERROR(__xludf.DUMMYFUNCTION("""COMPUTED_VALUE"""),232)</f>
        <v>232</v>
      </c>
    </row>
    <row r="295" spans="1:38" ht="13">
      <c r="A295" s="3">
        <f ca="1">IFERROR(__xludf.DUMMYFUNCTION("""COMPUTED_VALUE"""),34)</f>
        <v>34</v>
      </c>
      <c r="B295" s="3"/>
      <c r="C295" s="3">
        <f ca="1">IFERROR(__xludf.DUMMYFUNCTION("""COMPUTED_VALUE"""),4050)</f>
        <v>4050</v>
      </c>
      <c r="D295" s="3" t="str">
        <f ca="1">IFERROR(__xludf.DUMMYFUNCTION("""COMPUTED_VALUE"""),"Doorlanta")</f>
        <v>Doorlanta</v>
      </c>
      <c r="E295" s="3" t="str">
        <f ca="1">IFERROR(__xludf.DUMMYFUNCTION("""COMPUTED_VALUE"""),"Galaxy A")</f>
        <v>Galaxy A</v>
      </c>
      <c r="F295" s="3" t="str">
        <f ca="1">IFERROR(__xludf.DUMMYFUNCTION("""COMPUTED_VALUE"""),"Andy")</f>
        <v>Andy</v>
      </c>
      <c r="G295" s="3">
        <f ca="1">IFERROR(__xludf.DUMMYFUNCTION("""COMPUTED_VALUE"""),0)</f>
        <v>0</v>
      </c>
      <c r="H295" s="3" t="str">
        <f ca="1">IFERROR(__xludf.DUMMYFUNCTION("""COMPUTED_VALUE"""),"car")</f>
        <v>car</v>
      </c>
      <c r="I295" s="3" t="str">
        <f ca="1">IFERROR(__xludf.DUMMYFUNCTION("""COMPUTED_VALUE"""),"2055-06-01T20:52:06.946458Z")</f>
        <v>2055-06-01T20:52:06.946458Z</v>
      </c>
      <c r="J295" s="3" t="str">
        <f ca="1">IFERROR(__xludf.DUMMYFUNCTION("""COMPUTED_VALUE"""),"2055-06-01T21:49:07.026Z")</f>
        <v>2055-06-01T21:49:07.026Z</v>
      </c>
      <c r="K295" s="3" t="str">
        <f ca="1">IFERROR(__xludf.DUMMYFUNCTION("""COMPUTED_VALUE"""),"2055-06-01T21:29:00.026Z")</f>
        <v>2055-06-01T21:29:00.026Z</v>
      </c>
      <c r="L295" s="3">
        <f ca="1">IFERROR(__xludf.DUMMYFUNCTION("""COMPUTED_VALUE"""),1)</f>
        <v>1</v>
      </c>
      <c r="M295" s="3">
        <f ca="1">IFERROR(__xludf.DUMMYFUNCTION("""COMPUTED_VALUE"""),0)</f>
        <v>0</v>
      </c>
      <c r="N295" s="3" t="str">
        <f ca="1">IFERROR(__xludf.DUMMYFUNCTION("""COMPUTED_VALUE"""),"2055-06-01T21:12:09.926355Z")</f>
        <v>2055-06-01T21:12:09.926355Z</v>
      </c>
      <c r="O295" s="3" t="str">
        <f ca="1">IFERROR(__xludf.DUMMYFUNCTION("""COMPUTED_VALUE"""),"2055-06-01T21:32:50.312312Z")</f>
        <v>2055-06-01T21:32:50.312312Z</v>
      </c>
      <c r="P295" s="3" t="str">
        <f ca="1">IFERROR(__xludf.DUMMYFUNCTION("""COMPUTED_VALUE"""),"2055-06-01T20:54:27.329963Z")</f>
        <v>2055-06-01T20:54:27.329963Z</v>
      </c>
      <c r="Q295" s="3">
        <f ca="1">IFERROR(__xludf.DUMMYFUNCTION("""COMPUTED_VALUE"""),0)</f>
        <v>0</v>
      </c>
      <c r="R295" s="3" t="str">
        <f ca="1">IFERROR(__xludf.DUMMYFUNCTION("""COMPUTED_VALUE"""),"2055-06-01T20:54:38.655802Z")</f>
        <v>2055-06-01T20:54:38.655802Z</v>
      </c>
      <c r="S295" s="3" t="str">
        <f ca="1">IFERROR(__xludf.DUMMYFUNCTION("""COMPUTED_VALUE"""),"2055-06-01T20:54:55.713416Z")</f>
        <v>2055-06-01T20:54:55.713416Z</v>
      </c>
      <c r="T295" s="3"/>
      <c r="U295" s="4">
        <f ca="1">IFERROR(__xludf.DUMMYFUNCTION("""COMPUTED_VALUE"""),56766)</f>
        <v>56766</v>
      </c>
      <c r="V295" s="3">
        <f ca="1">IFERROR(__xludf.DUMMYFUNCTION("""COMPUTED_VALUE"""),4.7)</f>
        <v>4.7</v>
      </c>
      <c r="W295" s="3">
        <f ca="1">IFERROR(__xludf.DUMMYFUNCTION("""COMPUTED_VALUE"""),3500)</f>
        <v>3500</v>
      </c>
      <c r="X295" s="3">
        <f ca="1">IFERROR(__xludf.DUMMYFUNCTION("""COMPUTED_VALUE"""),2292)</f>
        <v>2292</v>
      </c>
      <c r="Y295" s="3">
        <f ca="1">IFERROR(__xludf.DUMMYFUNCTION("""COMPUTED_VALUE"""),17)</f>
        <v>17</v>
      </c>
      <c r="Z295" s="3">
        <f ca="1">IFERROR(__xludf.DUMMYFUNCTION("""COMPUTED_VALUE"""),1034)</f>
        <v>1034</v>
      </c>
      <c r="AA295" s="3">
        <f ca="1">IFERROR(__xludf.DUMMYFUNCTION("""COMPUTED_VALUE"""),1241)</f>
        <v>1241</v>
      </c>
      <c r="AB295" s="3">
        <f ca="1">IFERROR(__xludf.DUMMYFUNCTION("""COMPUTED_VALUE"""),0)</f>
        <v>0</v>
      </c>
      <c r="AC295" s="3">
        <f ca="1">IFERROR(__xludf.DUMMYFUNCTION("""COMPUTED_VALUE"""),4)</f>
        <v>4</v>
      </c>
      <c r="AD295" s="3"/>
      <c r="AE295" s="3" t="str">
        <f ca="1">IFERROR(__xludf.DUMMYFUNCTION("""COMPUTED_VALUE"""),"2055-06-01T17:12:09.926355Z")</f>
        <v>2055-06-01T17:12:09.926355Z</v>
      </c>
      <c r="AF295" s="3" t="str">
        <f ca="1">IFERROR(__xludf.DUMMYFUNCTION("""COMPUTED_VALUE"""),"2055-06-01T17:32:50.312312Z")</f>
        <v>2055-06-01T17:32:50.312312Z</v>
      </c>
      <c r="AG295" s="3" t="str">
        <f ca="1">IFERROR(__xludf.DUMMYFUNCTION("""COMPUTED_VALUE"""),"2055-06-01T16:54:27.329963Z")</f>
        <v>2055-06-01T16:54:27.329963Z</v>
      </c>
      <c r="AH295" s="3" t="str">
        <f ca="1">IFERROR(__xludf.DUMMYFUNCTION("""COMPUTED_VALUE"""),"2055-06-01T16:54:55.713416Z")</f>
        <v>2055-06-01T16:54:55.713416Z</v>
      </c>
      <c r="AI295" s="3">
        <f ca="1">IFERROR(__xludf.DUMMYFUNCTION("""COMPUTED_VALUE"""),4.5)</f>
        <v>4.5</v>
      </c>
      <c r="AJ295" s="3">
        <f ca="1">IFERROR(__xludf.DUMMYFUNCTION("""COMPUTED_VALUE"""),55)</f>
        <v>55</v>
      </c>
      <c r="AK295" s="3">
        <f ca="1">IFERROR(__xludf.DUMMYFUNCTION("""COMPUTED_VALUE"""),211)</f>
        <v>211</v>
      </c>
      <c r="AL295" s="3">
        <f ca="1">IFERROR(__xludf.DUMMYFUNCTION("""COMPUTED_VALUE"""),6)</f>
        <v>6</v>
      </c>
    </row>
    <row r="296" spans="1:38" ht="13">
      <c r="A296" s="3">
        <f ca="1">IFERROR(__xludf.DUMMYFUNCTION("""COMPUTED_VALUE"""),618)</f>
        <v>618</v>
      </c>
      <c r="B296" s="3">
        <f ca="1">IFERROR(__xludf.DUMMYFUNCTION("""COMPUTED_VALUE"""),5)</f>
        <v>5</v>
      </c>
      <c r="C296" s="3">
        <f ca="1">IFERROR(__xludf.DUMMYFUNCTION("""COMPUTED_VALUE"""),4050)</f>
        <v>4050</v>
      </c>
      <c r="D296" s="3" t="str">
        <f ca="1">IFERROR(__xludf.DUMMYFUNCTION("""COMPUTED_VALUE"""),"Doorlanta")</f>
        <v>Doorlanta</v>
      </c>
      <c r="E296" s="3" t="str">
        <f ca="1">IFERROR(__xludf.DUMMYFUNCTION("""COMPUTED_VALUE"""),"Galaxy A")</f>
        <v>Galaxy A</v>
      </c>
      <c r="F296" s="3" t="str">
        <f ca="1">IFERROR(__xludf.DUMMYFUNCTION("""COMPUTED_VALUE"""),"Katelynn")</f>
        <v>Katelynn</v>
      </c>
      <c r="G296" s="3">
        <f ca="1">IFERROR(__xludf.DUMMYFUNCTION("""COMPUTED_VALUE"""),0)</f>
        <v>0</v>
      </c>
      <c r="H296" s="3" t="str">
        <f ca="1">IFERROR(__xludf.DUMMYFUNCTION("""COMPUTED_VALUE"""),"car")</f>
        <v>car</v>
      </c>
      <c r="I296" s="3" t="str">
        <f ca="1">IFERROR(__xludf.DUMMYFUNCTION("""COMPUTED_VALUE"""),"2055-06-05T21:03:11.896152Z")</f>
        <v>2055-06-05T21:03:11.896152Z</v>
      </c>
      <c r="J296" s="3" t="str">
        <f ca="1">IFERROR(__xludf.DUMMYFUNCTION("""COMPUTED_VALUE"""),"2055-06-05T22:06:12.967Z")</f>
        <v>2055-06-05T22:06:12.967Z</v>
      </c>
      <c r="K296" s="3" t="str">
        <f ca="1">IFERROR(__xludf.DUMMYFUNCTION("""COMPUTED_VALUE"""),"2055-06-05T21:49:18.967Z")</f>
        <v>2055-06-05T21:49:18.967Z</v>
      </c>
      <c r="L296" s="3">
        <f ca="1">IFERROR(__xludf.DUMMYFUNCTION("""COMPUTED_VALUE"""),1)</f>
        <v>1</v>
      </c>
      <c r="M296" s="3">
        <f ca="1">IFERROR(__xludf.DUMMYFUNCTION("""COMPUTED_VALUE"""),0)</f>
        <v>0</v>
      </c>
      <c r="N296" s="3" t="str">
        <f ca="1">IFERROR(__xludf.DUMMYFUNCTION("""COMPUTED_VALUE"""),"2055-06-05T21:34:32.758587Z")</f>
        <v>2055-06-05T21:34:32.758587Z</v>
      </c>
      <c r="O296" s="3" t="str">
        <f ca="1">IFERROR(__xludf.DUMMYFUNCTION("""COMPUTED_VALUE"""),"2055-06-05T21:51:22.203572Z")</f>
        <v>2055-06-05T21:51:22.203572Z</v>
      </c>
      <c r="P296" s="3" t="str">
        <f ca="1">IFERROR(__xludf.DUMMYFUNCTION("""COMPUTED_VALUE"""),"2055-06-05T21:19:47.316442Z")</f>
        <v>2055-06-05T21:19:47.316442Z</v>
      </c>
      <c r="Q296" s="3">
        <f ca="1">IFERROR(__xludf.DUMMYFUNCTION("""COMPUTED_VALUE"""),0)</f>
        <v>0</v>
      </c>
      <c r="R296" s="3" t="str">
        <f ca="1">IFERROR(__xludf.DUMMYFUNCTION("""COMPUTED_VALUE"""),"2055-06-05T21:20:14.18577Z")</f>
        <v>2055-06-05T21:20:14.18577Z</v>
      </c>
      <c r="S296" s="3" t="str">
        <f ca="1">IFERROR(__xludf.DUMMYFUNCTION("""COMPUTED_VALUE"""),"2055-06-05T21:33:07.115872Z")</f>
        <v>2055-06-05T21:33:07.115872Z</v>
      </c>
      <c r="T296" s="3"/>
      <c r="U296" s="4">
        <f ca="1">IFERROR(__xludf.DUMMYFUNCTION("""COMPUTED_VALUE"""),56770)</f>
        <v>56770</v>
      </c>
      <c r="V296" s="3">
        <f ca="1">IFERROR(__xludf.DUMMYFUNCTION("""COMPUTED_VALUE"""),4.7)</f>
        <v>4.7</v>
      </c>
      <c r="W296" s="3">
        <f ca="1">IFERROR(__xludf.DUMMYFUNCTION("""COMPUTED_VALUE"""),3500)</f>
        <v>3500</v>
      </c>
      <c r="X296" s="3">
        <f ca="1">IFERROR(__xludf.DUMMYFUNCTION("""COMPUTED_VALUE"""),1868)</f>
        <v>1868</v>
      </c>
      <c r="Y296" s="3">
        <f ca="1">IFERROR(__xludf.DUMMYFUNCTION("""COMPUTED_VALUE"""),773)</f>
        <v>773</v>
      </c>
      <c r="Z296" s="3">
        <f ca="1">IFERROR(__xludf.DUMMYFUNCTION("""COMPUTED_VALUE"""),85)</f>
        <v>85</v>
      </c>
      <c r="AA296" s="3">
        <f ca="1">IFERROR(__xludf.DUMMYFUNCTION("""COMPUTED_VALUE"""),1010)</f>
        <v>1010</v>
      </c>
      <c r="AB296" s="3">
        <f ca="1">IFERROR(__xludf.DUMMYFUNCTION("""COMPUTED_VALUE"""),0)</f>
        <v>0</v>
      </c>
      <c r="AC296" s="3">
        <f ca="1">IFERROR(__xludf.DUMMYFUNCTION("""COMPUTED_VALUE"""),4)</f>
        <v>4</v>
      </c>
      <c r="AD296" s="3" t="str">
        <f ca="1">IFERROR(__xludf.DUMMYFUNCTION("""COMPUTED_VALUE"""),"late")</f>
        <v>late</v>
      </c>
      <c r="AE296" s="3" t="str">
        <f ca="1">IFERROR(__xludf.DUMMYFUNCTION("""COMPUTED_VALUE"""),"2055-06-05T17:34:32.758587Z")</f>
        <v>2055-06-05T17:34:32.758587Z</v>
      </c>
      <c r="AF296" s="3" t="str">
        <f ca="1">IFERROR(__xludf.DUMMYFUNCTION("""COMPUTED_VALUE"""),"2055-06-05T17:51:22.203572Z")</f>
        <v>2055-06-05T17:51:22.203572Z</v>
      </c>
      <c r="AG296" s="3" t="str">
        <f ca="1">IFERROR(__xludf.DUMMYFUNCTION("""COMPUTED_VALUE"""),"2055-06-05T17:19:47.316442Z")</f>
        <v>2055-06-05T17:19:47.316442Z</v>
      </c>
      <c r="AH296" s="3" t="str">
        <f ca="1">IFERROR(__xludf.DUMMYFUNCTION("""COMPUTED_VALUE"""),"2055-06-05T17:33:07.115872Z")</f>
        <v>2055-06-05T17:33:07.115872Z</v>
      </c>
      <c r="AI296" s="3">
        <f ca="1">IFERROR(__xludf.DUMMYFUNCTION("""COMPUTED_VALUE"""),4.7)</f>
        <v>4.7</v>
      </c>
      <c r="AJ296" s="3">
        <f ca="1">IFERROR(__xludf.DUMMYFUNCTION("""COMPUTED_VALUE"""),1261)</f>
        <v>1261</v>
      </c>
      <c r="AK296" s="3">
        <f ca="1">IFERROR(__xludf.DUMMYFUNCTION("""COMPUTED_VALUE"""),3264)</f>
        <v>3264</v>
      </c>
      <c r="AL296" s="3">
        <f ca="1">IFERROR(__xludf.DUMMYFUNCTION("""COMPUTED_VALUE"""),232)</f>
        <v>232</v>
      </c>
    </row>
    <row r="297" spans="1:38" ht="13">
      <c r="A297" s="3">
        <f ca="1">IFERROR(__xludf.DUMMYFUNCTION("""COMPUTED_VALUE"""),719)</f>
        <v>719</v>
      </c>
      <c r="B297" s="3">
        <f ca="1">IFERROR(__xludf.DUMMYFUNCTION("""COMPUTED_VALUE"""),5)</f>
        <v>5</v>
      </c>
      <c r="C297" s="3">
        <f ca="1">IFERROR(__xludf.DUMMYFUNCTION("""COMPUTED_VALUE"""),4001)</f>
        <v>4001</v>
      </c>
      <c r="D297" s="3" t="str">
        <f ca="1">IFERROR(__xludf.DUMMYFUNCTION("""COMPUTED_VALUE"""),"Dashattan")</f>
        <v>Dashattan</v>
      </c>
      <c r="E297" s="3" t="str">
        <f ca="1">IFERROR(__xludf.DUMMYFUNCTION("""COMPUTED_VALUE"""),"Galaxy A")</f>
        <v>Galaxy A</v>
      </c>
      <c r="F297" s="3" t="str">
        <f ca="1">IFERROR(__xludf.DUMMYFUNCTION("""COMPUTED_VALUE"""),"KC")</f>
        <v>KC</v>
      </c>
      <c r="G297" s="3">
        <f ca="1">IFERROR(__xludf.DUMMYFUNCTION("""COMPUTED_VALUE"""),0)</f>
        <v>0</v>
      </c>
      <c r="H297" s="3" t="str">
        <f ca="1">IFERROR(__xludf.DUMMYFUNCTION("""COMPUTED_VALUE"""),"car")</f>
        <v>car</v>
      </c>
      <c r="I297" s="3" t="str">
        <f ca="1">IFERROR(__xludf.DUMMYFUNCTION("""COMPUTED_VALUE"""),"2055-06-06T01:37:25.962002Z")</f>
        <v>2055-06-06T01:37:25.962002Z</v>
      </c>
      <c r="J297" s="3" t="str">
        <f ca="1">IFERROR(__xludf.DUMMYFUNCTION("""COMPUTED_VALUE"""),"2055-06-06T02:38:47.026Z")</f>
        <v>2055-06-06T02:38:47.026Z</v>
      </c>
      <c r="K297" s="3" t="str">
        <f ca="1">IFERROR(__xludf.DUMMYFUNCTION("""COMPUTED_VALUE"""),"2055-06-06T02:14:06.026Z")</f>
        <v>2055-06-06T02:14:06.026Z</v>
      </c>
      <c r="L297" s="3">
        <f ca="1">IFERROR(__xludf.DUMMYFUNCTION("""COMPUTED_VALUE"""),1)</f>
        <v>1</v>
      </c>
      <c r="M297" s="3">
        <f ca="1">IFERROR(__xludf.DUMMYFUNCTION("""COMPUTED_VALUE"""),0)</f>
        <v>0</v>
      </c>
      <c r="N297" s="3" t="str">
        <f ca="1">IFERROR(__xludf.DUMMYFUNCTION("""COMPUTED_VALUE"""),"2055-06-06T02:05:34.53508Z")</f>
        <v>2055-06-06T02:05:34.53508Z</v>
      </c>
      <c r="O297" s="3" t="str">
        <f ca="1">IFERROR(__xludf.DUMMYFUNCTION("""COMPUTED_VALUE"""),"2055-06-06T02:14:20.332708Z")</f>
        <v>2055-06-06T02:14:20.332708Z</v>
      </c>
      <c r="P297" s="3" t="str">
        <f ca="1">IFERROR(__xludf.DUMMYFUNCTION("""COMPUTED_VALUE"""),"2055-06-06T01:41:14.534557Z")</f>
        <v>2055-06-06T01:41:14.534557Z</v>
      </c>
      <c r="Q297" s="3">
        <f ca="1">IFERROR(__xludf.DUMMYFUNCTION("""COMPUTED_VALUE"""),0)</f>
        <v>0</v>
      </c>
      <c r="R297" s="3" t="str">
        <f ca="1">IFERROR(__xludf.DUMMYFUNCTION("""COMPUTED_VALUE"""),"2055-06-06T01:41:25.129345Z")</f>
        <v>2055-06-06T01:41:25.129345Z</v>
      </c>
      <c r="S297" s="3" t="str">
        <f ca="1">IFERROR(__xludf.DUMMYFUNCTION("""COMPUTED_VALUE"""),"2055-06-06T01:48:24.162082Z")</f>
        <v>2055-06-06T01:48:24.162082Z</v>
      </c>
      <c r="T297" s="3"/>
      <c r="U297" s="4">
        <f ca="1">IFERROR(__xludf.DUMMYFUNCTION("""COMPUTED_VALUE"""),56770)</f>
        <v>56770</v>
      </c>
      <c r="V297" s="3">
        <f ca="1">IFERROR(__xludf.DUMMYFUNCTION("""COMPUTED_VALUE"""),4.6)</f>
        <v>4.5999999999999996</v>
      </c>
      <c r="W297" s="3">
        <f ca="1">IFERROR(__xludf.DUMMYFUNCTION("""COMPUTED_VALUE"""),3500)</f>
        <v>3500</v>
      </c>
      <c r="X297" s="3">
        <f ca="1">IFERROR(__xludf.DUMMYFUNCTION("""COMPUTED_VALUE"""),1975)</f>
        <v>1975</v>
      </c>
      <c r="Y297" s="3">
        <f ca="1">IFERROR(__xludf.DUMMYFUNCTION("""COMPUTED_VALUE"""),419)</f>
        <v>419</v>
      </c>
      <c r="Z297" s="3">
        <f ca="1">IFERROR(__xludf.DUMMYFUNCTION("""COMPUTED_VALUE"""),1030)</f>
        <v>1030</v>
      </c>
      <c r="AA297" s="3">
        <f ca="1">IFERROR(__xludf.DUMMYFUNCTION("""COMPUTED_VALUE"""),526)</f>
        <v>526</v>
      </c>
      <c r="AB297" s="3">
        <f ca="1">IFERROR(__xludf.DUMMYFUNCTION("""COMPUTED_VALUE"""),1)</f>
        <v>1</v>
      </c>
      <c r="AC297" s="3">
        <f ca="1">IFERROR(__xludf.DUMMYFUNCTION("""COMPUTED_VALUE"""),2)</f>
        <v>2</v>
      </c>
      <c r="AD297" s="3"/>
      <c r="AE297" s="3" t="str">
        <f ca="1">IFERROR(__xludf.DUMMYFUNCTION("""COMPUTED_VALUE"""),"2055-06-05T22:05:34.53508Z")</f>
        <v>2055-06-05T22:05:34.53508Z</v>
      </c>
      <c r="AF297" s="3" t="str">
        <f ca="1">IFERROR(__xludf.DUMMYFUNCTION("""COMPUTED_VALUE"""),"2055-06-05T22:14:20.332708Z")</f>
        <v>2055-06-05T22:14:20.332708Z</v>
      </c>
      <c r="AG297" s="3" t="str">
        <f ca="1">IFERROR(__xludf.DUMMYFUNCTION("""COMPUTED_VALUE"""),"2055-06-05T21:41:14.534557Z")</f>
        <v>2055-06-05T21:41:14.534557Z</v>
      </c>
      <c r="AH297" s="3" t="str">
        <f ca="1">IFERROR(__xludf.DUMMYFUNCTION("""COMPUTED_VALUE"""),"2055-06-05T21:48:24.162082Z")</f>
        <v>2055-06-05T21:48:24.162082Z</v>
      </c>
      <c r="AI297" s="3">
        <f ca="1">IFERROR(__xludf.DUMMYFUNCTION("""COMPUTED_VALUE"""),4.54)</f>
        <v>4.54</v>
      </c>
      <c r="AJ297" s="3">
        <f ca="1">IFERROR(__xludf.DUMMYFUNCTION("""COMPUTED_VALUE"""),2229)</f>
        <v>2229</v>
      </c>
      <c r="AK297" s="3">
        <f ca="1">IFERROR(__xludf.DUMMYFUNCTION("""COMPUTED_VALUE"""),6580)</f>
        <v>6580</v>
      </c>
      <c r="AL297" s="3"/>
    </row>
    <row r="298" spans="1:38" ht="13">
      <c r="A298" s="3">
        <f ca="1">IFERROR(__xludf.DUMMYFUNCTION("""COMPUTED_VALUE"""),332)</f>
        <v>332</v>
      </c>
      <c r="B298" s="3">
        <f ca="1">IFERROR(__xludf.DUMMYFUNCTION("""COMPUTED_VALUE"""),5)</f>
        <v>5</v>
      </c>
      <c r="C298" s="3">
        <f ca="1">IFERROR(__xludf.DUMMYFUNCTION("""COMPUTED_VALUE"""),4050)</f>
        <v>4050</v>
      </c>
      <c r="D298" s="3" t="str">
        <f ca="1">IFERROR(__xludf.DUMMYFUNCTION("""COMPUTED_VALUE"""),"Doorlanta")</f>
        <v>Doorlanta</v>
      </c>
      <c r="E298" s="3" t="str">
        <f ca="1">IFERROR(__xludf.DUMMYFUNCTION("""COMPUTED_VALUE"""),"Galaxy A")</f>
        <v>Galaxy A</v>
      </c>
      <c r="F298" s="3" t="str">
        <f ca="1">IFERROR(__xludf.DUMMYFUNCTION("""COMPUTED_VALUE"""),"Hersh")</f>
        <v>Hersh</v>
      </c>
      <c r="G298" s="3">
        <f ca="1">IFERROR(__xludf.DUMMYFUNCTION("""COMPUTED_VALUE"""),0)</f>
        <v>0</v>
      </c>
      <c r="H298" s="3" t="str">
        <f ca="1">IFERROR(__xludf.DUMMYFUNCTION("""COMPUTED_VALUE"""),"car")</f>
        <v>car</v>
      </c>
      <c r="I298" s="3" t="str">
        <f ca="1">IFERROR(__xludf.DUMMYFUNCTION("""COMPUTED_VALUE"""),"2055-06-03T21:07:05.465529Z")</f>
        <v>2055-06-03T21:07:05.465529Z</v>
      </c>
      <c r="J298" s="3" t="str">
        <f ca="1">IFERROR(__xludf.DUMMYFUNCTION("""COMPUTED_VALUE"""),"2055-06-03T21:47:05.538Z")</f>
        <v>2055-06-03T21:47:05.538Z</v>
      </c>
      <c r="K298" s="3" t="str">
        <f ca="1">IFERROR(__xludf.DUMMYFUNCTION("""COMPUTED_VALUE"""),"2055-06-03T21:30:26.538Z")</f>
        <v>2055-06-03T21:30:26.538Z</v>
      </c>
      <c r="L298" s="3">
        <f ca="1">IFERROR(__xludf.DUMMYFUNCTION("""COMPUTED_VALUE"""),1)</f>
        <v>1</v>
      </c>
      <c r="M298" s="3">
        <f ca="1">IFERROR(__xludf.DUMMYFUNCTION("""COMPUTED_VALUE"""),0)</f>
        <v>0</v>
      </c>
      <c r="N298" s="3" t="str">
        <f ca="1">IFERROR(__xludf.DUMMYFUNCTION("""COMPUTED_VALUE"""),"2055-06-03T21:37:30.066394Z")</f>
        <v>2055-06-03T21:37:30.066394Z</v>
      </c>
      <c r="O298" s="3" t="str">
        <f ca="1">IFERROR(__xludf.DUMMYFUNCTION("""COMPUTED_VALUE"""),"2055-06-03T21:41:15.51694Z")</f>
        <v>2055-06-03T21:41:15.51694Z</v>
      </c>
      <c r="P298" s="3" t="str">
        <f ca="1">IFERROR(__xludf.DUMMYFUNCTION("""COMPUTED_VALUE"""),"2055-06-03T21:07:27.37536Z")</f>
        <v>2055-06-03T21:07:27.37536Z</v>
      </c>
      <c r="Q298" s="3">
        <f ca="1">IFERROR(__xludf.DUMMYFUNCTION("""COMPUTED_VALUE"""),0)</f>
        <v>0</v>
      </c>
      <c r="R298" s="3" t="str">
        <f ca="1">IFERROR(__xludf.DUMMYFUNCTION("""COMPUTED_VALUE"""),"2055-06-03T21:07:44.358582Z")</f>
        <v>2055-06-03T21:07:44.358582Z</v>
      </c>
      <c r="S298" s="3" t="str">
        <f ca="1">IFERROR(__xludf.DUMMYFUNCTION("""COMPUTED_VALUE"""),"2055-06-03T21:33:11.415686Z")</f>
        <v>2055-06-03T21:33:11.415686Z</v>
      </c>
      <c r="T298" s="3"/>
      <c r="U298" s="4">
        <f ca="1">IFERROR(__xludf.DUMMYFUNCTION("""COMPUTED_VALUE"""),56768)</f>
        <v>56768</v>
      </c>
      <c r="V298" s="3">
        <f ca="1">IFERROR(__xludf.DUMMYFUNCTION("""COMPUTED_VALUE"""),3.274736613)</f>
        <v>3.274736613</v>
      </c>
      <c r="W298" s="3">
        <f ca="1">IFERROR(__xludf.DUMMYFUNCTION("""COMPUTED_VALUE"""),3500)</f>
        <v>3500</v>
      </c>
      <c r="X298" s="3">
        <f ca="1">IFERROR(__xludf.DUMMYFUNCTION("""COMPUTED_VALUE"""),2011)</f>
        <v>2011</v>
      </c>
      <c r="Y298" s="3">
        <f ca="1">IFERROR(__xludf.DUMMYFUNCTION("""COMPUTED_VALUE"""),1527)</f>
        <v>1527</v>
      </c>
      <c r="Z298" s="3">
        <f ca="1">IFERROR(__xludf.DUMMYFUNCTION("""COMPUTED_VALUE"""),259)</f>
        <v>259</v>
      </c>
      <c r="AA298" s="3">
        <f ca="1">IFERROR(__xludf.DUMMYFUNCTION("""COMPUTED_VALUE"""),225)</f>
        <v>225</v>
      </c>
      <c r="AB298" s="3">
        <f ca="1">IFERROR(__xludf.DUMMYFUNCTION("""COMPUTED_VALUE"""),0)</f>
        <v>0</v>
      </c>
      <c r="AC298" s="3">
        <f ca="1">IFERROR(__xludf.DUMMYFUNCTION("""COMPUTED_VALUE"""),4)</f>
        <v>4</v>
      </c>
      <c r="AD298" s="3" t="str">
        <f ca="1">IFERROR(__xludf.DUMMYFUNCTION("""COMPUTED_VALUE"""),"late")</f>
        <v>late</v>
      </c>
      <c r="AE298" s="3" t="str">
        <f ca="1">IFERROR(__xludf.DUMMYFUNCTION("""COMPUTED_VALUE"""),"2055-06-03T17:37:30.066394Z")</f>
        <v>2055-06-03T17:37:30.066394Z</v>
      </c>
      <c r="AF298" s="3" t="str">
        <f ca="1">IFERROR(__xludf.DUMMYFUNCTION("""COMPUTED_VALUE"""),"2055-06-03T17:41:15.51694Z")</f>
        <v>2055-06-03T17:41:15.51694Z</v>
      </c>
      <c r="AG298" s="3" t="str">
        <f ca="1">IFERROR(__xludf.DUMMYFUNCTION("""COMPUTED_VALUE"""),"2055-06-03T17:07:27.37536Z")</f>
        <v>2055-06-03T17:07:27.37536Z</v>
      </c>
      <c r="AH298" s="3" t="str">
        <f ca="1">IFERROR(__xludf.DUMMYFUNCTION("""COMPUTED_VALUE"""),"2055-06-03T17:33:11.415686Z")</f>
        <v>2055-06-03T17:33:11.415686Z</v>
      </c>
      <c r="AI298" s="3">
        <f ca="1">IFERROR(__xludf.DUMMYFUNCTION("""COMPUTED_VALUE"""),4.7)</f>
        <v>4.7</v>
      </c>
      <c r="AJ298" s="3">
        <f ca="1">IFERROR(__xludf.DUMMYFUNCTION("""COMPUTED_VALUE"""),212)</f>
        <v>212</v>
      </c>
      <c r="AK298" s="3">
        <f ca="1">IFERROR(__xludf.DUMMYFUNCTION("""COMPUTED_VALUE"""),624)</f>
        <v>624</v>
      </c>
      <c r="AL298" s="3">
        <f ca="1">IFERROR(__xludf.DUMMYFUNCTION("""COMPUTED_VALUE"""),347)</f>
        <v>347</v>
      </c>
    </row>
    <row r="299" spans="1:38" ht="13">
      <c r="A299" s="3">
        <f ca="1">IFERROR(__xludf.DUMMYFUNCTION("""COMPUTED_VALUE"""),57)</f>
        <v>57</v>
      </c>
      <c r="B299" s="3">
        <f ca="1">IFERROR(__xludf.DUMMYFUNCTION("""COMPUTED_VALUE"""),5)</f>
        <v>5</v>
      </c>
      <c r="C299" s="3">
        <f ca="1">IFERROR(__xludf.DUMMYFUNCTION("""COMPUTED_VALUE"""),4001)</f>
        <v>4001</v>
      </c>
      <c r="D299" s="3" t="str">
        <f ca="1">IFERROR(__xludf.DUMMYFUNCTION("""COMPUTED_VALUE"""),"Dashattan")</f>
        <v>Dashattan</v>
      </c>
      <c r="E299" s="3" t="str">
        <f ca="1">IFERROR(__xludf.DUMMYFUNCTION("""COMPUTED_VALUE"""),"Galaxy A")</f>
        <v>Galaxy A</v>
      </c>
      <c r="F299" s="3" t="str">
        <f ca="1">IFERROR(__xludf.DUMMYFUNCTION("""COMPUTED_VALUE"""),"Samm")</f>
        <v>Samm</v>
      </c>
      <c r="G299" s="3">
        <f ca="1">IFERROR(__xludf.DUMMYFUNCTION("""COMPUTED_VALUE"""),0)</f>
        <v>0</v>
      </c>
      <c r="H299" s="3" t="str">
        <f ca="1">IFERROR(__xludf.DUMMYFUNCTION("""COMPUTED_VALUE"""),"car")</f>
        <v>car</v>
      </c>
      <c r="I299" s="3" t="str">
        <f ca="1">IFERROR(__xludf.DUMMYFUNCTION("""COMPUTED_VALUE"""),"2055-06-01T22:06:23.390079Z")</f>
        <v>2055-06-01T22:06:23.390079Z</v>
      </c>
      <c r="J299" s="3" t="str">
        <f ca="1">IFERROR(__xludf.DUMMYFUNCTION("""COMPUTED_VALUE"""),"2055-06-01T22:58:05.467Z")</f>
        <v>2055-06-01T22:58:05.467Z</v>
      </c>
      <c r="K299" s="3" t="str">
        <f ca="1">IFERROR(__xludf.DUMMYFUNCTION("""COMPUTED_VALUE"""),"2055-06-01T22:37:58.467Z")</f>
        <v>2055-06-01T22:37:58.467Z</v>
      </c>
      <c r="L299" s="3">
        <f ca="1">IFERROR(__xludf.DUMMYFUNCTION("""COMPUTED_VALUE"""),1)</f>
        <v>1</v>
      </c>
      <c r="M299" s="3">
        <f ca="1">IFERROR(__xludf.DUMMYFUNCTION("""COMPUTED_VALUE"""),0)</f>
        <v>0</v>
      </c>
      <c r="N299" s="3" t="str">
        <f ca="1">IFERROR(__xludf.DUMMYFUNCTION("""COMPUTED_VALUE"""),"2055-06-01T22:32:22.330715Z")</f>
        <v>2055-06-01T22:32:22.330715Z</v>
      </c>
      <c r="O299" s="3" t="str">
        <f ca="1">IFERROR(__xludf.DUMMYFUNCTION("""COMPUTED_VALUE"""),"2055-06-01T22:56:25.188488Z")</f>
        <v>2055-06-01T22:56:25.188488Z</v>
      </c>
      <c r="P299" s="3" t="str">
        <f ca="1">IFERROR(__xludf.DUMMYFUNCTION("""COMPUTED_VALUE"""),"2055-06-01T22:12:54.328326Z")</f>
        <v>2055-06-01T22:12:54.328326Z</v>
      </c>
      <c r="Q299" s="3">
        <f ca="1">IFERROR(__xludf.DUMMYFUNCTION("""COMPUTED_VALUE"""),0)</f>
        <v>0</v>
      </c>
      <c r="R299" s="3" t="str">
        <f ca="1">IFERROR(__xludf.DUMMYFUNCTION("""COMPUTED_VALUE"""),"2055-06-01T22:12:58.710038Z")</f>
        <v>2055-06-01T22:12:58.710038Z</v>
      </c>
      <c r="S299" s="3" t="str">
        <f ca="1">IFERROR(__xludf.DUMMYFUNCTION("""COMPUTED_VALUE"""),"2055-06-01T22:30:13.632357Z")</f>
        <v>2055-06-01T22:30:13.632357Z</v>
      </c>
      <c r="T299" s="3"/>
      <c r="U299" s="4">
        <f ca="1">IFERROR(__xludf.DUMMYFUNCTION("""COMPUTED_VALUE"""),56766)</f>
        <v>56766</v>
      </c>
      <c r="V299" s="3">
        <f ca="1">IFERROR(__xludf.DUMMYFUNCTION("""COMPUTED_VALUE"""),4.7)</f>
        <v>4.7</v>
      </c>
      <c r="W299" s="3">
        <f ca="1">IFERROR(__xludf.DUMMYFUNCTION("""COMPUTED_VALUE"""),3500)</f>
        <v>3500</v>
      </c>
      <c r="X299" s="3">
        <f ca="1">IFERROR(__xludf.DUMMYFUNCTION("""COMPUTED_VALUE"""),2607)</f>
        <v>2607</v>
      </c>
      <c r="Y299" s="3">
        <f ca="1">IFERROR(__xludf.DUMMYFUNCTION("""COMPUTED_VALUE"""),1035)</f>
        <v>1035</v>
      </c>
      <c r="Z299" s="3">
        <f ca="1">IFERROR(__xludf.DUMMYFUNCTION("""COMPUTED_VALUE"""),129)</f>
        <v>129</v>
      </c>
      <c r="AA299" s="3">
        <f ca="1">IFERROR(__xludf.DUMMYFUNCTION("""COMPUTED_VALUE"""),1443)</f>
        <v>1443</v>
      </c>
      <c r="AB299" s="3">
        <f ca="1">IFERROR(__xludf.DUMMYFUNCTION("""COMPUTED_VALUE"""),0)</f>
        <v>0</v>
      </c>
      <c r="AC299" s="3">
        <f ca="1">IFERROR(__xludf.DUMMYFUNCTION("""COMPUTED_VALUE"""),3)</f>
        <v>3</v>
      </c>
      <c r="AD299" s="3" t="str">
        <f ca="1">IFERROR(__xludf.DUMMYFUNCTION("""COMPUTED_VALUE"""),"late")</f>
        <v>late</v>
      </c>
      <c r="AE299" s="3" t="str">
        <f ca="1">IFERROR(__xludf.DUMMYFUNCTION("""COMPUTED_VALUE"""),"2055-06-01T18:32:22.330715Z")</f>
        <v>2055-06-01T18:32:22.330715Z</v>
      </c>
      <c r="AF299" s="3" t="str">
        <f ca="1">IFERROR(__xludf.DUMMYFUNCTION("""COMPUTED_VALUE"""),"2055-06-01T18:56:25.188488Z")</f>
        <v>2055-06-01T18:56:25.188488Z</v>
      </c>
      <c r="AG299" s="3" t="str">
        <f ca="1">IFERROR(__xludf.DUMMYFUNCTION("""COMPUTED_VALUE"""),"2055-06-01T18:12:54.328326Z")</f>
        <v>2055-06-01T18:12:54.328326Z</v>
      </c>
      <c r="AH299" s="3" t="str">
        <f ca="1">IFERROR(__xludf.DUMMYFUNCTION("""COMPUTED_VALUE"""),"2055-06-01T18:30:13.632357Z")</f>
        <v>2055-06-01T18:30:13.632357Z</v>
      </c>
      <c r="AI299" s="3">
        <f ca="1">IFERROR(__xludf.DUMMYFUNCTION("""COMPUTED_VALUE"""),4.03)</f>
        <v>4.03</v>
      </c>
      <c r="AJ299" s="3">
        <f ca="1">IFERROR(__xludf.DUMMYFUNCTION("""COMPUTED_VALUE"""),505)</f>
        <v>505</v>
      </c>
      <c r="AK299" s="3">
        <f ca="1">IFERROR(__xludf.DUMMYFUNCTION("""COMPUTED_VALUE"""),1721)</f>
        <v>1721</v>
      </c>
      <c r="AL299" s="3">
        <f ca="1">IFERROR(__xludf.DUMMYFUNCTION("""COMPUTED_VALUE"""),457)</f>
        <v>457</v>
      </c>
    </row>
    <row r="300" spans="1:38" ht="13">
      <c r="A300" s="3">
        <f ca="1">IFERROR(__xludf.DUMMYFUNCTION("""COMPUTED_VALUE"""),182)</f>
        <v>182</v>
      </c>
      <c r="B300" s="3">
        <f ca="1">IFERROR(__xludf.DUMMYFUNCTION("""COMPUTED_VALUE"""),5)</f>
        <v>5</v>
      </c>
      <c r="C300" s="3">
        <f ca="1">IFERROR(__xludf.DUMMYFUNCTION("""COMPUTED_VALUE"""),4050)</f>
        <v>4050</v>
      </c>
      <c r="D300" s="3" t="str">
        <f ca="1">IFERROR(__xludf.DUMMYFUNCTION("""COMPUTED_VALUE"""),"Doorlanta")</f>
        <v>Doorlanta</v>
      </c>
      <c r="E300" s="3" t="str">
        <f ca="1">IFERROR(__xludf.DUMMYFUNCTION("""COMPUTED_VALUE"""),"Galaxy A")</f>
        <v>Galaxy A</v>
      </c>
      <c r="F300" s="3" t="str">
        <f ca="1">IFERROR(__xludf.DUMMYFUNCTION("""COMPUTED_VALUE"""),"Cate")</f>
        <v>Cate</v>
      </c>
      <c r="G300" s="3">
        <f ca="1">IFERROR(__xludf.DUMMYFUNCTION("""COMPUTED_VALUE"""),0)</f>
        <v>0</v>
      </c>
      <c r="H300" s="3" t="str">
        <f ca="1">IFERROR(__xludf.DUMMYFUNCTION("""COMPUTED_VALUE"""),"car")</f>
        <v>car</v>
      </c>
      <c r="I300" s="3" t="str">
        <f ca="1">IFERROR(__xludf.DUMMYFUNCTION("""COMPUTED_VALUE"""),"2055-06-02T22:16:48.929058Z")</f>
        <v>2055-06-02T22:16:48.929058Z</v>
      </c>
      <c r="J300" s="3" t="str">
        <f ca="1">IFERROR(__xludf.DUMMYFUNCTION("""COMPUTED_VALUE"""),"2055-06-02T23:20:16.998Z")</f>
        <v>2055-06-02T23:20:16.998Z</v>
      </c>
      <c r="K300" s="3" t="str">
        <f ca="1">IFERROR(__xludf.DUMMYFUNCTION("""COMPUTED_VALUE"""),"2055-06-02T23:01:23.998Z")</f>
        <v>2055-06-02T23:01:23.998Z</v>
      </c>
      <c r="L300" s="3">
        <f ca="1">IFERROR(__xludf.DUMMYFUNCTION("""COMPUTED_VALUE"""),1)</f>
        <v>1</v>
      </c>
      <c r="M300" s="3">
        <f ca="1">IFERROR(__xludf.DUMMYFUNCTION("""COMPUTED_VALUE"""),0)</f>
        <v>0</v>
      </c>
      <c r="N300" s="3" t="str">
        <f ca="1">IFERROR(__xludf.DUMMYFUNCTION("""COMPUTED_VALUE"""),"2055-06-02T22:35:46.649955Z")</f>
        <v>2055-06-02T22:35:46.649955Z</v>
      </c>
      <c r="O300" s="3" t="str">
        <f ca="1">IFERROR(__xludf.DUMMYFUNCTION("""COMPUTED_VALUE"""),"2055-06-02T22:49:00.583538Z")</f>
        <v>2055-06-02T22:49:00.583538Z</v>
      </c>
      <c r="P300" s="3" t="str">
        <f ca="1">IFERROR(__xludf.DUMMYFUNCTION("""COMPUTED_VALUE"""),"2055-06-02T22:17:07.416419Z")</f>
        <v>2055-06-02T22:17:07.416419Z</v>
      </c>
      <c r="Q300" s="3">
        <f ca="1">IFERROR(__xludf.DUMMYFUNCTION("""COMPUTED_VALUE"""),0)</f>
        <v>0</v>
      </c>
      <c r="R300" s="3" t="str">
        <f ca="1">IFERROR(__xludf.DUMMYFUNCTION("""COMPUTED_VALUE"""),"2055-06-02T22:17:10.453182Z")</f>
        <v>2055-06-02T22:17:10.453182Z</v>
      </c>
      <c r="S300" s="3" t="str">
        <f ca="1">IFERROR(__xludf.DUMMYFUNCTION("""COMPUTED_VALUE"""),"2055-06-02T22:26:00.662408Z")</f>
        <v>2055-06-02T22:26:00.662408Z</v>
      </c>
      <c r="T300" s="3"/>
      <c r="U300" s="4">
        <f ca="1">IFERROR(__xludf.DUMMYFUNCTION("""COMPUTED_VALUE"""),56767)</f>
        <v>56767</v>
      </c>
      <c r="V300" s="3">
        <f ca="1">IFERROR(__xludf.DUMMYFUNCTION("""COMPUTED_VALUE"""),4.5)</f>
        <v>4.5</v>
      </c>
      <c r="W300" s="3">
        <f ca="1">IFERROR(__xludf.DUMMYFUNCTION("""COMPUTED_VALUE"""),3500)</f>
        <v>3500</v>
      </c>
      <c r="X300" s="3">
        <f ca="1">IFERROR(__xludf.DUMMYFUNCTION("""COMPUTED_VALUE"""),1910)</f>
        <v>1910</v>
      </c>
      <c r="Y300" s="3">
        <f ca="1">IFERROR(__xludf.DUMMYFUNCTION("""COMPUTED_VALUE"""),530)</f>
        <v>530</v>
      </c>
      <c r="Z300" s="3">
        <f ca="1">IFERROR(__xludf.DUMMYFUNCTION("""COMPUTED_VALUE"""),586)</f>
        <v>586</v>
      </c>
      <c r="AA300" s="3">
        <f ca="1">IFERROR(__xludf.DUMMYFUNCTION("""COMPUTED_VALUE"""),794)</f>
        <v>794</v>
      </c>
      <c r="AB300" s="3">
        <f ca="1">IFERROR(__xludf.DUMMYFUNCTION("""COMPUTED_VALUE"""),0)</f>
        <v>0</v>
      </c>
      <c r="AC300" s="3">
        <f ca="1">IFERROR(__xludf.DUMMYFUNCTION("""COMPUTED_VALUE"""),3)</f>
        <v>3</v>
      </c>
      <c r="AD300" s="3" t="str">
        <f ca="1">IFERROR(__xludf.DUMMYFUNCTION("""COMPUTED_VALUE"""),"early")</f>
        <v>early</v>
      </c>
      <c r="AE300" s="3" t="str">
        <f ca="1">IFERROR(__xludf.DUMMYFUNCTION("""COMPUTED_VALUE"""),"2055-06-02T18:35:46.649955Z")</f>
        <v>2055-06-02T18:35:46.649955Z</v>
      </c>
      <c r="AF300" s="3" t="str">
        <f ca="1">IFERROR(__xludf.DUMMYFUNCTION("""COMPUTED_VALUE"""),"2055-06-02T18:49:00.583538Z")</f>
        <v>2055-06-02T18:49:00.583538Z</v>
      </c>
      <c r="AG300" s="3" t="str">
        <f ca="1">IFERROR(__xludf.DUMMYFUNCTION("""COMPUTED_VALUE"""),"2055-06-02T18:17:07.416419Z")</f>
        <v>2055-06-02T18:17:07.416419Z</v>
      </c>
      <c r="AH300" s="3" t="str">
        <f ca="1">IFERROR(__xludf.DUMMYFUNCTION("""COMPUTED_VALUE"""),"2055-06-02T18:26:00.662408Z")</f>
        <v>2055-06-02T18:26:00.662408Z</v>
      </c>
      <c r="AI300" s="3">
        <f ca="1">IFERROR(__xludf.DUMMYFUNCTION("""COMPUTED_VALUE"""),4.49)</f>
        <v>4.49</v>
      </c>
      <c r="AJ300" s="3">
        <f ca="1">IFERROR(__xludf.DUMMYFUNCTION("""COMPUTED_VALUE"""),2315)</f>
        <v>2315</v>
      </c>
      <c r="AK300" s="3">
        <f ca="1">IFERROR(__xludf.DUMMYFUNCTION("""COMPUTED_VALUE"""),7039)</f>
        <v>7039</v>
      </c>
      <c r="AL300" s="3">
        <f ca="1">IFERROR(__xludf.DUMMYFUNCTION("""COMPUTED_VALUE"""),763)</f>
        <v>763</v>
      </c>
    </row>
    <row r="301" spans="1:38" ht="13">
      <c r="A301" s="3">
        <f ca="1">IFERROR(__xludf.DUMMYFUNCTION("""COMPUTED_VALUE"""),535)</f>
        <v>535</v>
      </c>
      <c r="B301" s="3">
        <f ca="1">IFERROR(__xludf.DUMMYFUNCTION("""COMPUTED_VALUE"""),5)</f>
        <v>5</v>
      </c>
      <c r="C301" s="3">
        <f ca="1">IFERROR(__xludf.DUMMYFUNCTION("""COMPUTED_VALUE"""),4001)</f>
        <v>4001</v>
      </c>
      <c r="D301" s="3" t="str">
        <f ca="1">IFERROR(__xludf.DUMMYFUNCTION("""COMPUTED_VALUE"""),"Dashattan")</f>
        <v>Dashattan</v>
      </c>
      <c r="E301" s="3" t="str">
        <f ca="1">IFERROR(__xludf.DUMMYFUNCTION("""COMPUTED_VALUE"""),"Galaxy A")</f>
        <v>Galaxy A</v>
      </c>
      <c r="F301" s="3" t="str">
        <f ca="1">IFERROR(__xludf.DUMMYFUNCTION("""COMPUTED_VALUE"""),"Arya")</f>
        <v>Arya</v>
      </c>
      <c r="G301" s="3">
        <f ca="1">IFERROR(__xludf.DUMMYFUNCTION("""COMPUTED_VALUE"""),0)</f>
        <v>0</v>
      </c>
      <c r="H301" s="3" t="str">
        <f ca="1">IFERROR(__xludf.DUMMYFUNCTION("""COMPUTED_VALUE"""),"bicycle")</f>
        <v>bicycle</v>
      </c>
      <c r="I301" s="3" t="str">
        <f ca="1">IFERROR(__xludf.DUMMYFUNCTION("""COMPUTED_VALUE"""),"2055-06-05T02:03:51.539705Z")</f>
        <v>2055-06-05T02:03:51.539705Z</v>
      </c>
      <c r="J301" s="3" t="str">
        <f ca="1">IFERROR(__xludf.DUMMYFUNCTION("""COMPUTED_VALUE"""),"2055-06-05T03:14:28.587Z")</f>
        <v>2055-06-05T03:14:28.587Z</v>
      </c>
      <c r="K301" s="3" t="str">
        <f ca="1">IFERROR(__xludf.DUMMYFUNCTION("""COMPUTED_VALUE"""),"2055-06-05T02:52:34.587Z")</f>
        <v>2055-06-05T02:52:34.587Z</v>
      </c>
      <c r="L301" s="3">
        <f ca="1">IFERROR(__xludf.DUMMYFUNCTION("""COMPUTED_VALUE"""),1)</f>
        <v>1</v>
      </c>
      <c r="M301" s="3">
        <f ca="1">IFERROR(__xludf.DUMMYFUNCTION("""COMPUTED_VALUE"""),0)</f>
        <v>0</v>
      </c>
      <c r="N301" s="3" t="str">
        <f ca="1">IFERROR(__xludf.DUMMYFUNCTION("""COMPUTED_VALUE"""),"2055-06-05T02:50:49.877086Z")</f>
        <v>2055-06-05T02:50:49.877086Z</v>
      </c>
      <c r="O301" s="3" t="str">
        <f ca="1">IFERROR(__xludf.DUMMYFUNCTION("""COMPUTED_VALUE"""),"2055-06-05T02:58:52.159763Z")</f>
        <v>2055-06-05T02:58:52.159763Z</v>
      </c>
      <c r="P301" s="3" t="str">
        <f ca="1">IFERROR(__xludf.DUMMYFUNCTION("""COMPUTED_VALUE"""),"2055-06-05T02:18:14.393541Z")</f>
        <v>2055-06-05T02:18:14.393541Z</v>
      </c>
      <c r="Q301" s="3">
        <f ca="1">IFERROR(__xludf.DUMMYFUNCTION("""COMPUTED_VALUE"""),0)</f>
        <v>0</v>
      </c>
      <c r="R301" s="3" t="str">
        <f ca="1">IFERROR(__xludf.DUMMYFUNCTION("""COMPUTED_VALUE"""),"2055-06-05T02:18:56.63536Z")</f>
        <v>2055-06-05T02:18:56.63536Z</v>
      </c>
      <c r="S301" s="3" t="str">
        <f ca="1">IFERROR(__xludf.DUMMYFUNCTION("""COMPUTED_VALUE"""),"2055-06-05T02:28:25.615842Z")</f>
        <v>2055-06-05T02:28:25.615842Z</v>
      </c>
      <c r="T301" s="3"/>
      <c r="U301" s="4">
        <f ca="1">IFERROR(__xludf.DUMMYFUNCTION("""COMPUTED_VALUE"""),56769)</f>
        <v>56769</v>
      </c>
      <c r="V301" s="3">
        <f ca="1">IFERROR(__xludf.DUMMYFUNCTION("""COMPUTED_VALUE"""),4.3)</f>
        <v>4.3</v>
      </c>
      <c r="W301" s="3">
        <f ca="1">IFERROR(__xludf.DUMMYFUNCTION("""COMPUTED_VALUE"""),3500)</f>
        <v>3500</v>
      </c>
      <c r="X301" s="3">
        <f ca="1">IFERROR(__xludf.DUMMYFUNCTION("""COMPUTED_VALUE"""),2396)</f>
        <v>2396</v>
      </c>
      <c r="Y301" s="3">
        <f ca="1">IFERROR(__xludf.DUMMYFUNCTION("""COMPUTED_VALUE"""),569)</f>
        <v>569</v>
      </c>
      <c r="Z301" s="3">
        <f ca="1">IFERROR(__xludf.DUMMYFUNCTION("""COMPUTED_VALUE"""),1344)</f>
        <v>1344</v>
      </c>
      <c r="AA301" s="3">
        <f ca="1">IFERROR(__xludf.DUMMYFUNCTION("""COMPUTED_VALUE"""),483)</f>
        <v>483</v>
      </c>
      <c r="AB301" s="3">
        <f ca="1">IFERROR(__xludf.DUMMYFUNCTION("""COMPUTED_VALUE"""),0)</f>
        <v>0</v>
      </c>
      <c r="AC301" s="3">
        <f ca="1">IFERROR(__xludf.DUMMYFUNCTION("""COMPUTED_VALUE"""),6)</f>
        <v>6</v>
      </c>
      <c r="AD301" s="3" t="str">
        <f ca="1">IFERROR(__xludf.DUMMYFUNCTION("""COMPUTED_VALUE"""),"early")</f>
        <v>early</v>
      </c>
      <c r="AE301" s="3" t="str">
        <f ca="1">IFERROR(__xludf.DUMMYFUNCTION("""COMPUTED_VALUE"""),"2055-06-04T22:50:49.877086Z")</f>
        <v>2055-06-04T22:50:49.877086Z</v>
      </c>
      <c r="AF301" s="3" t="str">
        <f ca="1">IFERROR(__xludf.DUMMYFUNCTION("""COMPUTED_VALUE"""),"2055-06-04T22:58:52.159763Z")</f>
        <v>2055-06-04T22:58:52.159763Z</v>
      </c>
      <c r="AG301" s="3" t="str">
        <f ca="1">IFERROR(__xludf.DUMMYFUNCTION("""COMPUTED_VALUE"""),"2055-06-04T22:18:14.393541Z")</f>
        <v>2055-06-04T22:18:14.393541Z</v>
      </c>
      <c r="AH301" s="3" t="str">
        <f ca="1">IFERROR(__xludf.DUMMYFUNCTION("""COMPUTED_VALUE"""),"2055-06-04T22:28:25.615842Z")</f>
        <v>2055-06-04T22:28:25.615842Z</v>
      </c>
      <c r="AI301" s="3">
        <f ca="1">IFERROR(__xludf.DUMMYFUNCTION("""COMPUTED_VALUE"""),4.17)</f>
        <v>4.17</v>
      </c>
      <c r="AJ301" s="3">
        <f ca="1">IFERROR(__xludf.DUMMYFUNCTION("""COMPUTED_VALUE"""),457)</f>
        <v>457</v>
      </c>
      <c r="AK301" s="3">
        <f ca="1">IFERROR(__xludf.DUMMYFUNCTION("""COMPUTED_VALUE"""),1599)</f>
        <v>1599</v>
      </c>
      <c r="AL301" s="3"/>
    </row>
    <row r="302" spans="1:38" ht="13">
      <c r="A302" s="3">
        <f ca="1">IFERROR(__xludf.DUMMYFUNCTION("""COMPUTED_VALUE"""),540)</f>
        <v>540</v>
      </c>
      <c r="B302" s="3">
        <f ca="1">IFERROR(__xludf.DUMMYFUNCTION("""COMPUTED_VALUE"""),5)</f>
        <v>5</v>
      </c>
      <c r="C302" s="3">
        <f ca="1">IFERROR(__xludf.DUMMYFUNCTION("""COMPUTED_VALUE"""),4001)</f>
        <v>4001</v>
      </c>
      <c r="D302" s="3" t="str">
        <f ca="1">IFERROR(__xludf.DUMMYFUNCTION("""COMPUTED_VALUE"""),"Dashattan")</f>
        <v>Dashattan</v>
      </c>
      <c r="E302" s="3" t="str">
        <f ca="1">IFERROR(__xludf.DUMMYFUNCTION("""COMPUTED_VALUE"""),"Galaxy A")</f>
        <v>Galaxy A</v>
      </c>
      <c r="F302" s="3" t="str">
        <f ca="1">IFERROR(__xludf.DUMMYFUNCTION("""COMPUTED_VALUE"""),"KC")</f>
        <v>KC</v>
      </c>
      <c r="G302" s="3">
        <f ca="1">IFERROR(__xludf.DUMMYFUNCTION("""COMPUTED_VALUE"""),0)</f>
        <v>0</v>
      </c>
      <c r="H302" s="3" t="str">
        <f ca="1">IFERROR(__xludf.DUMMYFUNCTION("""COMPUTED_VALUE"""),"car")</f>
        <v>car</v>
      </c>
      <c r="I302" s="3" t="str">
        <f ca="1">IFERROR(__xludf.DUMMYFUNCTION("""COMPUTED_VALUE"""),"2055-06-05T13:53:29.107378Z")</f>
        <v>2055-06-05T13:53:29.107378Z</v>
      </c>
      <c r="J302" s="3" t="str">
        <f ca="1">IFERROR(__xludf.DUMMYFUNCTION("""COMPUTED_VALUE"""),"2055-06-05T14:31:35.176Z")</f>
        <v>2055-06-05T14:31:35.176Z</v>
      </c>
      <c r="K302" s="3" t="str">
        <f ca="1">IFERROR(__xludf.DUMMYFUNCTION("""COMPUTED_VALUE"""),"2055-06-05T14:17:42.176Z")</f>
        <v>2055-06-05T14:17:42.176Z</v>
      </c>
      <c r="L302" s="3">
        <f ca="1">IFERROR(__xludf.DUMMYFUNCTION("""COMPUTED_VALUE"""),1)</f>
        <v>1</v>
      </c>
      <c r="M302" s="3">
        <f ca="1">IFERROR(__xludf.DUMMYFUNCTION("""COMPUTED_VALUE"""),0)</f>
        <v>0</v>
      </c>
      <c r="N302" s="3" t="str">
        <f ca="1">IFERROR(__xludf.DUMMYFUNCTION("""COMPUTED_VALUE"""),"2055-06-05T14:28:52.890877Z")</f>
        <v>2055-06-05T14:28:52.890877Z</v>
      </c>
      <c r="O302" s="3" t="str">
        <f ca="1">IFERROR(__xludf.DUMMYFUNCTION("""COMPUTED_VALUE"""),"2055-06-05T14:34:35.314614Z")</f>
        <v>2055-06-05T14:34:35.314614Z</v>
      </c>
      <c r="P302" s="3" t="str">
        <f ca="1">IFERROR(__xludf.DUMMYFUNCTION("""COMPUTED_VALUE"""),"2055-06-05T13:59:34.066014Z")</f>
        <v>2055-06-05T13:59:34.066014Z</v>
      </c>
      <c r="Q302" s="3">
        <f ca="1">IFERROR(__xludf.DUMMYFUNCTION("""COMPUTED_VALUE"""),0)</f>
        <v>0</v>
      </c>
      <c r="R302" s="3" t="str">
        <f ca="1">IFERROR(__xludf.DUMMYFUNCTION("""COMPUTED_VALUE"""),"2055-06-05T13:59:41.250272Z")</f>
        <v>2055-06-05T13:59:41.250272Z</v>
      </c>
      <c r="S302" s="3" t="str">
        <f ca="1">IFERROR(__xludf.DUMMYFUNCTION("""COMPUTED_VALUE"""),"2055-06-05T14:09:39.145413Z")</f>
        <v>2055-06-05T14:09:39.145413Z</v>
      </c>
      <c r="T302" s="3"/>
      <c r="U302" s="4">
        <f ca="1">IFERROR(__xludf.DUMMYFUNCTION("""COMPUTED_VALUE"""),56770)</f>
        <v>56770</v>
      </c>
      <c r="V302" s="3">
        <f ca="1">IFERROR(__xludf.DUMMYFUNCTION("""COMPUTED_VALUE"""),4.3)</f>
        <v>4.3</v>
      </c>
      <c r="W302" s="3">
        <f ca="1">IFERROR(__xludf.DUMMYFUNCTION("""COMPUTED_VALUE"""),3500)</f>
        <v>3500</v>
      </c>
      <c r="X302" s="3">
        <f ca="1">IFERROR(__xludf.DUMMYFUNCTION("""COMPUTED_VALUE"""),2094)</f>
        <v>2094</v>
      </c>
      <c r="Y302" s="3">
        <f ca="1">IFERROR(__xludf.DUMMYFUNCTION("""COMPUTED_VALUE"""),598)</f>
        <v>598</v>
      </c>
      <c r="Z302" s="3">
        <f ca="1">IFERROR(__xludf.DUMMYFUNCTION("""COMPUTED_VALUE"""),1153)</f>
        <v>1153</v>
      </c>
      <c r="AA302" s="3">
        <f ca="1">IFERROR(__xludf.DUMMYFUNCTION("""COMPUTED_VALUE"""),343)</f>
        <v>343</v>
      </c>
      <c r="AB302" s="3">
        <f ca="1">IFERROR(__xludf.DUMMYFUNCTION("""COMPUTED_VALUE"""),0)</f>
        <v>0</v>
      </c>
      <c r="AC302" s="3">
        <f ca="1">IFERROR(__xludf.DUMMYFUNCTION("""COMPUTED_VALUE"""),6)</f>
        <v>6</v>
      </c>
      <c r="AD302" s="3" t="str">
        <f ca="1">IFERROR(__xludf.DUMMYFUNCTION("""COMPUTED_VALUE"""),"on time")</f>
        <v>on time</v>
      </c>
      <c r="AE302" s="3" t="str">
        <f ca="1">IFERROR(__xludf.DUMMYFUNCTION("""COMPUTED_VALUE"""),"2055-06-05T10:28:52.890877Z")</f>
        <v>2055-06-05T10:28:52.890877Z</v>
      </c>
      <c r="AF302" s="3" t="str">
        <f ca="1">IFERROR(__xludf.DUMMYFUNCTION("""COMPUTED_VALUE"""),"2055-06-05T10:34:35.314614Z")</f>
        <v>2055-06-05T10:34:35.314614Z</v>
      </c>
      <c r="AG302" s="3" t="str">
        <f ca="1">IFERROR(__xludf.DUMMYFUNCTION("""COMPUTED_VALUE"""),"2055-06-05T09:59:34.066014Z")</f>
        <v>2055-06-05T09:59:34.066014Z</v>
      </c>
      <c r="AH302" s="3" t="str">
        <f ca="1">IFERROR(__xludf.DUMMYFUNCTION("""COMPUTED_VALUE"""),"2055-06-05T10:09:39.145413Z")</f>
        <v>2055-06-05T10:09:39.145413Z</v>
      </c>
      <c r="AI302" s="3">
        <f ca="1">IFERROR(__xludf.DUMMYFUNCTION("""COMPUTED_VALUE"""),4.54)</f>
        <v>4.54</v>
      </c>
      <c r="AJ302" s="3">
        <f ca="1">IFERROR(__xludf.DUMMYFUNCTION("""COMPUTED_VALUE"""),2229)</f>
        <v>2229</v>
      </c>
      <c r="AK302" s="3">
        <f ca="1">IFERROR(__xludf.DUMMYFUNCTION("""COMPUTED_VALUE"""),6580)</f>
        <v>6580</v>
      </c>
      <c r="AL302" s="3"/>
    </row>
    <row r="303" spans="1:38" ht="13">
      <c r="A303" s="3">
        <f ca="1">IFERROR(__xludf.DUMMYFUNCTION("""COMPUTED_VALUE"""),386)</f>
        <v>386</v>
      </c>
      <c r="B303" s="3"/>
      <c r="C303" s="3">
        <f ca="1">IFERROR(__xludf.DUMMYFUNCTION("""COMPUTED_VALUE"""),4050)</f>
        <v>4050</v>
      </c>
      <c r="D303" s="3" t="str">
        <f ca="1">IFERROR(__xludf.DUMMYFUNCTION("""COMPUTED_VALUE"""),"Doorlanta")</f>
        <v>Doorlanta</v>
      </c>
      <c r="E303" s="3" t="str">
        <f ca="1">IFERROR(__xludf.DUMMYFUNCTION("""COMPUTED_VALUE"""),"Galaxy A")</f>
        <v>Galaxy A</v>
      </c>
      <c r="F303" s="3" t="str">
        <f ca="1">IFERROR(__xludf.DUMMYFUNCTION("""COMPUTED_VALUE"""),"Andy")</f>
        <v>Andy</v>
      </c>
      <c r="G303" s="3">
        <f ca="1">IFERROR(__xludf.DUMMYFUNCTION("""COMPUTED_VALUE"""),0)</f>
        <v>0</v>
      </c>
      <c r="H303" s="3" t="str">
        <f ca="1">IFERROR(__xludf.DUMMYFUNCTION("""COMPUTED_VALUE"""),"car")</f>
        <v>car</v>
      </c>
      <c r="I303" s="3" t="str">
        <f ca="1">IFERROR(__xludf.DUMMYFUNCTION("""COMPUTED_VALUE"""),"2055-06-04T00:58:02.654029Z")</f>
        <v>2055-06-04T00:58:02.654029Z</v>
      </c>
      <c r="J303" s="3" t="str">
        <f ca="1">IFERROR(__xludf.DUMMYFUNCTION("""COMPUTED_VALUE"""),"2055-06-04T01:54:31.769Z")</f>
        <v>2055-06-04T01:54:31.769Z</v>
      </c>
      <c r="K303" s="3" t="str">
        <f ca="1">IFERROR(__xludf.DUMMYFUNCTION("""COMPUTED_VALUE"""),"2055-06-04T01:38:52.769Z")</f>
        <v>2055-06-04T01:38:52.769Z</v>
      </c>
      <c r="L303" s="3">
        <f ca="1">IFERROR(__xludf.DUMMYFUNCTION("""COMPUTED_VALUE"""),1)</f>
        <v>1</v>
      </c>
      <c r="M303" s="3">
        <f ca="1">IFERROR(__xludf.DUMMYFUNCTION("""COMPUTED_VALUE"""),0)</f>
        <v>0</v>
      </c>
      <c r="N303" s="3" t="str">
        <f ca="1">IFERROR(__xludf.DUMMYFUNCTION("""COMPUTED_VALUE"""),"2055-06-04T01:18:03.233885Z")</f>
        <v>2055-06-04T01:18:03.233885Z</v>
      </c>
      <c r="O303" s="3" t="str">
        <f ca="1">IFERROR(__xludf.DUMMYFUNCTION("""COMPUTED_VALUE"""),"2055-06-04T01:32:49.290323Z")</f>
        <v>2055-06-04T01:32:49.290323Z</v>
      </c>
      <c r="P303" s="3" t="str">
        <f ca="1">IFERROR(__xludf.DUMMYFUNCTION("""COMPUTED_VALUE"""),"2055-06-04T00:58:07.333463Z")</f>
        <v>2055-06-04T00:58:07.333463Z</v>
      </c>
      <c r="Q303" s="3">
        <f ca="1">IFERROR(__xludf.DUMMYFUNCTION("""COMPUTED_VALUE"""),0)</f>
        <v>0</v>
      </c>
      <c r="R303" s="3" t="str">
        <f ca="1">IFERROR(__xludf.DUMMYFUNCTION("""COMPUTED_VALUE"""),"2055-06-04T00:58:15.192622Z")</f>
        <v>2055-06-04T00:58:15.192622Z</v>
      </c>
      <c r="S303" s="3" t="str">
        <f ca="1">IFERROR(__xludf.DUMMYFUNCTION("""COMPUTED_VALUE"""),"2055-06-04T01:14:03.205076Z")</f>
        <v>2055-06-04T01:14:03.205076Z</v>
      </c>
      <c r="T303" s="3"/>
      <c r="U303" s="4">
        <f ca="1">IFERROR(__xludf.DUMMYFUNCTION("""COMPUTED_VALUE"""),56768)</f>
        <v>56768</v>
      </c>
      <c r="V303" s="3">
        <f ca="1">IFERROR(__xludf.DUMMYFUNCTION("""COMPUTED_VALUE"""),2.59109149)</f>
        <v>2.5910914900000002</v>
      </c>
      <c r="W303" s="3">
        <f ca="1">IFERROR(__xludf.DUMMYFUNCTION("""COMPUTED_VALUE"""),3500)</f>
        <v>3500</v>
      </c>
      <c r="X303" s="3">
        <f ca="1">IFERROR(__xludf.DUMMYFUNCTION("""COMPUTED_VALUE"""),2074)</f>
        <v>2074</v>
      </c>
      <c r="Y303" s="3">
        <f ca="1">IFERROR(__xludf.DUMMYFUNCTION("""COMPUTED_VALUE"""),948)</f>
        <v>948</v>
      </c>
      <c r="Z303" s="3">
        <f ca="1">IFERROR(__xludf.DUMMYFUNCTION("""COMPUTED_VALUE"""),240)</f>
        <v>240</v>
      </c>
      <c r="AA303" s="3">
        <f ca="1">IFERROR(__xludf.DUMMYFUNCTION("""COMPUTED_VALUE"""),886)</f>
        <v>886</v>
      </c>
      <c r="AB303" s="3">
        <f ca="1">IFERROR(__xludf.DUMMYFUNCTION("""COMPUTED_VALUE"""),0)</f>
        <v>0</v>
      </c>
      <c r="AC303" s="3">
        <f ca="1">IFERROR(__xludf.DUMMYFUNCTION("""COMPUTED_VALUE"""),12)</f>
        <v>12</v>
      </c>
      <c r="AD303" s="3" t="str">
        <f ca="1">IFERROR(__xludf.DUMMYFUNCTION("""COMPUTED_VALUE"""),"early")</f>
        <v>early</v>
      </c>
      <c r="AE303" s="3" t="str">
        <f ca="1">IFERROR(__xludf.DUMMYFUNCTION("""COMPUTED_VALUE"""),"2055-06-03T21:18:03.233885Z")</f>
        <v>2055-06-03T21:18:03.233885Z</v>
      </c>
      <c r="AF303" s="3" t="str">
        <f ca="1">IFERROR(__xludf.DUMMYFUNCTION("""COMPUTED_VALUE"""),"2055-06-03T21:32:49.290323Z")</f>
        <v>2055-06-03T21:32:49.290323Z</v>
      </c>
      <c r="AG303" s="3" t="str">
        <f ca="1">IFERROR(__xludf.DUMMYFUNCTION("""COMPUTED_VALUE"""),"2055-06-03T20:58:07.333463Z")</f>
        <v>2055-06-03T20:58:07.333463Z</v>
      </c>
      <c r="AH303" s="3" t="str">
        <f ca="1">IFERROR(__xludf.DUMMYFUNCTION("""COMPUTED_VALUE"""),"2055-06-03T21:14:03.205076Z")</f>
        <v>2055-06-03T21:14:03.205076Z</v>
      </c>
      <c r="AI303" s="3">
        <f ca="1">IFERROR(__xludf.DUMMYFUNCTION("""COMPUTED_VALUE"""),4.5)</f>
        <v>4.5</v>
      </c>
      <c r="AJ303" s="3">
        <f ca="1">IFERROR(__xludf.DUMMYFUNCTION("""COMPUTED_VALUE"""),55)</f>
        <v>55</v>
      </c>
      <c r="AK303" s="3">
        <f ca="1">IFERROR(__xludf.DUMMYFUNCTION("""COMPUTED_VALUE"""),211)</f>
        <v>211</v>
      </c>
      <c r="AL303" s="3">
        <f ca="1">IFERROR(__xludf.DUMMYFUNCTION("""COMPUTED_VALUE"""),6)</f>
        <v>6</v>
      </c>
    </row>
    <row r="304" spans="1:38" ht="13">
      <c r="A304" s="3">
        <f ca="1">IFERROR(__xludf.DUMMYFUNCTION("""COMPUTED_VALUE"""),885)</f>
        <v>885</v>
      </c>
      <c r="B304" s="3"/>
      <c r="C304" s="3">
        <f ca="1">IFERROR(__xludf.DUMMYFUNCTION("""COMPUTED_VALUE"""),4050)</f>
        <v>4050</v>
      </c>
      <c r="D304" s="3" t="str">
        <f ca="1">IFERROR(__xludf.DUMMYFUNCTION("""COMPUTED_VALUE"""),"Doorlanta")</f>
        <v>Doorlanta</v>
      </c>
      <c r="E304" s="3" t="str">
        <f ca="1">IFERROR(__xludf.DUMMYFUNCTION("""COMPUTED_VALUE"""),"Galaxy A")</f>
        <v>Galaxy A</v>
      </c>
      <c r="F304" s="3" t="str">
        <f ca="1">IFERROR(__xludf.DUMMYFUNCTION("""COMPUTED_VALUE"""),"Jagar")</f>
        <v>Jagar</v>
      </c>
      <c r="G304" s="3">
        <f ca="1">IFERROR(__xludf.DUMMYFUNCTION("""COMPUTED_VALUE"""),0)</f>
        <v>0</v>
      </c>
      <c r="H304" s="3" t="str">
        <f ca="1">IFERROR(__xludf.DUMMYFUNCTION("""COMPUTED_VALUE"""),"car")</f>
        <v>car</v>
      </c>
      <c r="I304" s="3" t="str">
        <f ca="1">IFERROR(__xludf.DUMMYFUNCTION("""COMPUTED_VALUE"""),"2055-06-07T23:00:04.541135Z")</f>
        <v>2055-06-07T23:00:04.541135Z</v>
      </c>
      <c r="J304" s="3" t="str">
        <f ca="1">IFERROR(__xludf.DUMMYFUNCTION("""COMPUTED_VALUE"""),"2055-06-07T23:50:56.59Z")</f>
        <v>2055-06-07T23:50:56.59Z</v>
      </c>
      <c r="K304" s="3" t="str">
        <f ca="1">IFERROR(__xludf.DUMMYFUNCTION("""COMPUTED_VALUE"""),"2055-06-07T23:40:49.59Z")</f>
        <v>2055-06-07T23:40:49.59Z</v>
      </c>
      <c r="L304" s="3">
        <f ca="1">IFERROR(__xludf.DUMMYFUNCTION("""COMPUTED_VALUE"""),1)</f>
        <v>1</v>
      </c>
      <c r="M304" s="3">
        <f ca="1">IFERROR(__xludf.DUMMYFUNCTION("""COMPUTED_VALUE"""),0)</f>
        <v>0</v>
      </c>
      <c r="N304" s="3" t="str">
        <f ca="1">IFERROR(__xludf.DUMMYFUNCTION("""COMPUTED_VALUE"""),"2055-06-07T23:35:09.200488Z")</f>
        <v>2055-06-07T23:35:09.200488Z</v>
      </c>
      <c r="O304" s="3" t="str">
        <f ca="1">IFERROR(__xludf.DUMMYFUNCTION("""COMPUTED_VALUE"""),"2055-06-07T23:46:42.870245Z")</f>
        <v>2055-06-07T23:46:42.870245Z</v>
      </c>
      <c r="P304" s="3" t="str">
        <f ca="1">IFERROR(__xludf.DUMMYFUNCTION("""COMPUTED_VALUE"""),"2055-06-07T23:01:47.562188Z")</f>
        <v>2055-06-07T23:01:47.562188Z</v>
      </c>
      <c r="Q304" s="3">
        <f ca="1">IFERROR(__xludf.DUMMYFUNCTION("""COMPUTED_VALUE"""),0)</f>
        <v>0</v>
      </c>
      <c r="R304" s="3" t="str">
        <f ca="1">IFERROR(__xludf.DUMMYFUNCTION("""COMPUTED_VALUE"""),"2055-06-07T23:02:37.938599Z")</f>
        <v>2055-06-07T23:02:37.938599Z</v>
      </c>
      <c r="S304" s="3" t="str">
        <f ca="1">IFERROR(__xludf.DUMMYFUNCTION("""COMPUTED_VALUE"""),"2055-06-07T23:04:02.385347Z")</f>
        <v>2055-06-07T23:04:02.385347Z</v>
      </c>
      <c r="T304" s="3"/>
      <c r="U304" s="4">
        <f ca="1">IFERROR(__xludf.DUMMYFUNCTION("""COMPUTED_VALUE"""),56772)</f>
        <v>56772</v>
      </c>
      <c r="V304" s="3">
        <f ca="1">IFERROR(__xludf.DUMMYFUNCTION("""COMPUTED_VALUE"""),4.5)</f>
        <v>4.5</v>
      </c>
      <c r="W304" s="3">
        <f ca="1">IFERROR(__xludf.DUMMYFUNCTION("""COMPUTED_VALUE"""),3500)</f>
        <v>3500</v>
      </c>
      <c r="X304" s="3">
        <f ca="1">IFERROR(__xludf.DUMMYFUNCTION("""COMPUTED_VALUE"""),2645)</f>
        <v>2645</v>
      </c>
      <c r="Y304" s="3">
        <f ca="1">IFERROR(__xludf.DUMMYFUNCTION("""COMPUTED_VALUE"""),85)</f>
        <v>85</v>
      </c>
      <c r="Z304" s="3">
        <f ca="1">IFERROR(__xludf.DUMMYFUNCTION("""COMPUTED_VALUE"""),1867)</f>
        <v>1867</v>
      </c>
      <c r="AA304" s="3">
        <f ca="1">IFERROR(__xludf.DUMMYFUNCTION("""COMPUTED_VALUE"""),693)</f>
        <v>693</v>
      </c>
      <c r="AB304" s="3">
        <f ca="1">IFERROR(__xludf.DUMMYFUNCTION("""COMPUTED_VALUE"""),0)</f>
        <v>0</v>
      </c>
      <c r="AC304" s="3">
        <f ca="1">IFERROR(__xludf.DUMMYFUNCTION("""COMPUTED_VALUE"""),2)</f>
        <v>2</v>
      </c>
      <c r="AD304" s="3" t="str">
        <f ca="1">IFERROR(__xludf.DUMMYFUNCTION("""COMPUTED_VALUE"""),"early")</f>
        <v>early</v>
      </c>
      <c r="AE304" s="3" t="str">
        <f ca="1">IFERROR(__xludf.DUMMYFUNCTION("""COMPUTED_VALUE"""),"2055-06-07T19:35:09.200488Z")</f>
        <v>2055-06-07T19:35:09.200488Z</v>
      </c>
      <c r="AF304" s="3" t="str">
        <f ca="1">IFERROR(__xludf.DUMMYFUNCTION("""COMPUTED_VALUE"""),"2055-06-07T19:46:42.870245Z")</f>
        <v>2055-06-07T19:46:42.870245Z</v>
      </c>
      <c r="AG304" s="3" t="str">
        <f ca="1">IFERROR(__xludf.DUMMYFUNCTION("""COMPUTED_VALUE"""),"2055-06-07T19:01:47.562188Z")</f>
        <v>2055-06-07T19:01:47.562188Z</v>
      </c>
      <c r="AH304" s="3" t="str">
        <f ca="1">IFERROR(__xludf.DUMMYFUNCTION("""COMPUTED_VALUE"""),"2055-06-07T19:04:02.385347Z")</f>
        <v>2055-06-07T19:04:02.385347Z</v>
      </c>
      <c r="AI304" s="3">
        <f ca="1">IFERROR(__xludf.DUMMYFUNCTION("""COMPUTED_VALUE"""),4.89)</f>
        <v>4.8899999999999997</v>
      </c>
      <c r="AJ304" s="3">
        <f ca="1">IFERROR(__xludf.DUMMYFUNCTION("""COMPUTED_VALUE"""),1778)</f>
        <v>1778</v>
      </c>
      <c r="AK304" s="3">
        <f ca="1">IFERROR(__xludf.DUMMYFUNCTION("""COMPUTED_VALUE"""),5138)</f>
        <v>5138</v>
      </c>
      <c r="AL304" s="3">
        <f ca="1">IFERROR(__xludf.DUMMYFUNCTION("""COMPUTED_VALUE"""),314)</f>
        <v>314</v>
      </c>
    </row>
    <row r="305" spans="1:38" ht="13">
      <c r="A305" s="3">
        <f ca="1">IFERROR(__xludf.DUMMYFUNCTION("""COMPUTED_VALUE"""),592)</f>
        <v>592</v>
      </c>
      <c r="B305" s="3"/>
      <c r="C305" s="3">
        <f ca="1">IFERROR(__xludf.DUMMYFUNCTION("""COMPUTED_VALUE"""),4050)</f>
        <v>4050</v>
      </c>
      <c r="D305" s="3" t="str">
        <f ca="1">IFERROR(__xludf.DUMMYFUNCTION("""COMPUTED_VALUE"""),"Doorlanta")</f>
        <v>Doorlanta</v>
      </c>
      <c r="E305" s="3" t="str">
        <f ca="1">IFERROR(__xludf.DUMMYFUNCTION("""COMPUTED_VALUE"""),"Galaxy A")</f>
        <v>Galaxy A</v>
      </c>
      <c r="F305" s="3" t="str">
        <f ca="1">IFERROR(__xludf.DUMMYFUNCTION("""COMPUTED_VALUE"""),"Cate")</f>
        <v>Cate</v>
      </c>
      <c r="G305" s="3">
        <f ca="1">IFERROR(__xludf.DUMMYFUNCTION("""COMPUTED_VALUE"""),0)</f>
        <v>0</v>
      </c>
      <c r="H305" s="3" t="str">
        <f ca="1">IFERROR(__xludf.DUMMYFUNCTION("""COMPUTED_VALUE"""),"car")</f>
        <v>car</v>
      </c>
      <c r="I305" s="3" t="str">
        <f ca="1">IFERROR(__xludf.DUMMYFUNCTION("""COMPUTED_VALUE"""),"2055-06-05T18:42:52.967436Z")</f>
        <v>2055-06-05T18:42:52.967436Z</v>
      </c>
      <c r="J305" s="3" t="str">
        <f ca="1">IFERROR(__xludf.DUMMYFUNCTION("""COMPUTED_VALUE"""),"2055-06-05T20:14:04.034Z")</f>
        <v>2055-06-05T20:14:04.034Z</v>
      </c>
      <c r="K305" s="3" t="str">
        <f ca="1">IFERROR(__xludf.DUMMYFUNCTION("""COMPUTED_VALUE"""),"2055-06-05T19:45:51.034Z")</f>
        <v>2055-06-05T19:45:51.034Z</v>
      </c>
      <c r="L305" s="3">
        <f ca="1">IFERROR(__xludf.DUMMYFUNCTION("""COMPUTED_VALUE"""),1)</f>
        <v>1</v>
      </c>
      <c r="M305" s="3">
        <f ca="1">IFERROR(__xludf.DUMMYFUNCTION("""COMPUTED_VALUE"""),0)</f>
        <v>0</v>
      </c>
      <c r="N305" s="3" t="str">
        <f ca="1">IFERROR(__xludf.DUMMYFUNCTION("""COMPUTED_VALUE"""),"2055-06-05T19:17:18.350912Z")</f>
        <v>2055-06-05T19:17:18.350912Z</v>
      </c>
      <c r="O305" s="3" t="str">
        <f ca="1">IFERROR(__xludf.DUMMYFUNCTION("""COMPUTED_VALUE"""),"2055-06-05T19:36:24.807109Z")</f>
        <v>2055-06-05T19:36:24.807109Z</v>
      </c>
      <c r="P305" s="3" t="str">
        <f ca="1">IFERROR(__xludf.DUMMYFUNCTION("""COMPUTED_VALUE"""),"2055-06-05T18:46:07.444459Z")</f>
        <v>2055-06-05T18:46:07.444459Z</v>
      </c>
      <c r="Q305" s="3">
        <f ca="1">IFERROR(__xludf.DUMMYFUNCTION("""COMPUTED_VALUE"""),0)</f>
        <v>0</v>
      </c>
      <c r="R305" s="3" t="str">
        <f ca="1">IFERROR(__xludf.DUMMYFUNCTION("""COMPUTED_VALUE"""),"2055-06-05T18:46:14.210961Z")</f>
        <v>2055-06-05T18:46:14.210961Z</v>
      </c>
      <c r="S305" s="3" t="str">
        <f ca="1">IFERROR(__xludf.DUMMYFUNCTION("""COMPUTED_VALUE"""),"2055-06-05T19:17:22.185747Z")</f>
        <v>2055-06-05T19:17:22.185747Z</v>
      </c>
      <c r="T305" s="3"/>
      <c r="U305" s="4">
        <f ca="1">IFERROR(__xludf.DUMMYFUNCTION("""COMPUTED_VALUE"""),56770)</f>
        <v>56770</v>
      </c>
      <c r="V305" s="3">
        <f ca="1">IFERROR(__xludf.DUMMYFUNCTION("""COMPUTED_VALUE"""),4.6)</f>
        <v>4.5999999999999996</v>
      </c>
      <c r="W305" s="3">
        <f ca="1">IFERROR(__xludf.DUMMYFUNCTION("""COMPUTED_VALUE"""),3500)</f>
        <v>3500</v>
      </c>
      <c r="X305" s="3">
        <f ca="1">IFERROR(__xludf.DUMMYFUNCTION("""COMPUTED_VALUE"""),3010)</f>
        <v>3010</v>
      </c>
      <c r="Y305" s="3">
        <f ca="1">IFERROR(__xludf.DUMMYFUNCTION("""COMPUTED_VALUE"""),1868)</f>
        <v>1868</v>
      </c>
      <c r="Z305" s="3"/>
      <c r="AA305" s="3">
        <f ca="1">IFERROR(__xludf.DUMMYFUNCTION("""COMPUTED_VALUE"""),1146)</f>
        <v>1146</v>
      </c>
      <c r="AB305" s="3">
        <f ca="1">IFERROR(__xludf.DUMMYFUNCTION("""COMPUTED_VALUE"""),0)</f>
        <v>0</v>
      </c>
      <c r="AC305" s="3">
        <f ca="1">IFERROR(__xludf.DUMMYFUNCTION("""COMPUTED_VALUE"""),6)</f>
        <v>6</v>
      </c>
      <c r="AD305" s="3" t="str">
        <f ca="1">IFERROR(__xludf.DUMMYFUNCTION("""COMPUTED_VALUE"""),"late")</f>
        <v>late</v>
      </c>
      <c r="AE305" s="3" t="str">
        <f ca="1">IFERROR(__xludf.DUMMYFUNCTION("""COMPUTED_VALUE"""),"2055-06-05T15:17:18.350912Z")</f>
        <v>2055-06-05T15:17:18.350912Z</v>
      </c>
      <c r="AF305" s="3" t="str">
        <f ca="1">IFERROR(__xludf.DUMMYFUNCTION("""COMPUTED_VALUE"""),"2055-06-05T15:36:24.807109Z")</f>
        <v>2055-06-05T15:36:24.807109Z</v>
      </c>
      <c r="AG305" s="3" t="str">
        <f ca="1">IFERROR(__xludf.DUMMYFUNCTION("""COMPUTED_VALUE"""),"2055-06-05T14:46:07.444459Z")</f>
        <v>2055-06-05T14:46:07.444459Z</v>
      </c>
      <c r="AH305" s="3" t="str">
        <f ca="1">IFERROR(__xludf.DUMMYFUNCTION("""COMPUTED_VALUE"""),"2055-06-05T15:17:22.185747Z")</f>
        <v>2055-06-05T15:17:22.185747Z</v>
      </c>
      <c r="AI305" s="3">
        <f ca="1">IFERROR(__xludf.DUMMYFUNCTION("""COMPUTED_VALUE"""),4.49)</f>
        <v>4.49</v>
      </c>
      <c r="AJ305" s="3">
        <f ca="1">IFERROR(__xludf.DUMMYFUNCTION("""COMPUTED_VALUE"""),2315)</f>
        <v>2315</v>
      </c>
      <c r="AK305" s="3">
        <f ca="1">IFERROR(__xludf.DUMMYFUNCTION("""COMPUTED_VALUE"""),7039)</f>
        <v>7039</v>
      </c>
      <c r="AL305" s="3">
        <f ca="1">IFERROR(__xludf.DUMMYFUNCTION("""COMPUTED_VALUE"""),763)</f>
        <v>763</v>
      </c>
    </row>
    <row r="306" spans="1:38" ht="13">
      <c r="A306" s="3">
        <f ca="1">IFERROR(__xludf.DUMMYFUNCTION("""COMPUTED_VALUE"""),1543)</f>
        <v>1543</v>
      </c>
      <c r="B306" s="3">
        <f ca="1">IFERROR(__xludf.DUMMYFUNCTION("""COMPUTED_VALUE"""),5)</f>
        <v>5</v>
      </c>
      <c r="C306" s="3">
        <f ca="1">IFERROR(__xludf.DUMMYFUNCTION("""COMPUTED_VALUE"""),4001)</f>
        <v>4001</v>
      </c>
      <c r="D306" s="3" t="str">
        <f ca="1">IFERROR(__xludf.DUMMYFUNCTION("""COMPUTED_VALUE"""),"Dashattan")</f>
        <v>Dashattan</v>
      </c>
      <c r="E306" s="3" t="str">
        <f ca="1">IFERROR(__xludf.DUMMYFUNCTION("""COMPUTED_VALUE"""),"Galaxy A")</f>
        <v>Galaxy A</v>
      </c>
      <c r="F306" s="3" t="str">
        <f ca="1">IFERROR(__xludf.DUMMYFUNCTION("""COMPUTED_VALUE"""),"J")</f>
        <v>J</v>
      </c>
      <c r="G306" s="3">
        <f ca="1">IFERROR(__xludf.DUMMYFUNCTION("""COMPUTED_VALUE"""),0)</f>
        <v>0</v>
      </c>
      <c r="H306" s="3" t="str">
        <f ca="1">IFERROR(__xludf.DUMMYFUNCTION("""COMPUTED_VALUE"""),"bicycle")</f>
        <v>bicycle</v>
      </c>
      <c r="I306" s="3" t="str">
        <f ca="1">IFERROR(__xludf.DUMMYFUNCTION("""COMPUTED_VALUE"""),"2055-06-13T01:46:17.184554Z")</f>
        <v>2055-06-13T01:46:17.184554Z</v>
      </c>
      <c r="J306" s="3" t="str">
        <f ca="1">IFERROR(__xludf.DUMMYFUNCTION("""COMPUTED_VALUE"""),"2055-06-13T02:49:19.229Z")</f>
        <v>2055-06-13T02:49:19.229Z</v>
      </c>
      <c r="K306" s="3" t="str">
        <f ca="1">IFERROR(__xludf.DUMMYFUNCTION("""COMPUTED_VALUE"""),"2055-06-13T02:26:01.229Z")</f>
        <v>2055-06-13T02:26:01.229Z</v>
      </c>
      <c r="L306" s="3">
        <f ca="1">IFERROR(__xludf.DUMMYFUNCTION("""COMPUTED_VALUE"""),1)</f>
        <v>1</v>
      </c>
      <c r="M306" s="3">
        <f ca="1">IFERROR(__xludf.DUMMYFUNCTION("""COMPUTED_VALUE"""),0)</f>
        <v>0</v>
      </c>
      <c r="N306" s="3" t="str">
        <f ca="1">IFERROR(__xludf.DUMMYFUNCTION("""COMPUTED_VALUE"""),"2055-06-13T02:12:59.010644Z")</f>
        <v>2055-06-13T02:12:59.010644Z</v>
      </c>
      <c r="O306" s="3" t="str">
        <f ca="1">IFERROR(__xludf.DUMMYFUNCTION("""COMPUTED_VALUE"""),"2055-06-13T02:32:05.934807Z")</f>
        <v>2055-06-13T02:32:05.934807Z</v>
      </c>
      <c r="P306" s="3" t="str">
        <f ca="1">IFERROR(__xludf.DUMMYFUNCTION("""COMPUTED_VALUE"""),"2055-06-13T01:53:14.466606Z")</f>
        <v>2055-06-13T01:53:14.466606Z</v>
      </c>
      <c r="Q306" s="3">
        <f ca="1">IFERROR(__xludf.DUMMYFUNCTION("""COMPUTED_VALUE"""),0)</f>
        <v>0</v>
      </c>
      <c r="R306" s="3" t="str">
        <f ca="1">IFERROR(__xludf.DUMMYFUNCTION("""COMPUTED_VALUE"""),"2055-06-13T01:53:18.810633Z")</f>
        <v>2055-06-13T01:53:18.810633Z</v>
      </c>
      <c r="S306" s="3" t="str">
        <f ca="1">IFERROR(__xludf.DUMMYFUNCTION("""COMPUTED_VALUE"""),"2055-06-13T02:09:24.343696Z")</f>
        <v>2055-06-13T02:09:24.343696Z</v>
      </c>
      <c r="T306" s="3"/>
      <c r="U306" s="4">
        <f ca="1">IFERROR(__xludf.DUMMYFUNCTION("""COMPUTED_VALUE"""),56777)</f>
        <v>56777</v>
      </c>
      <c r="V306" s="3">
        <f ca="1">IFERROR(__xludf.DUMMYFUNCTION("""COMPUTED_VALUE"""),3.588843297)</f>
        <v>3.5888432969999999</v>
      </c>
      <c r="W306" s="3">
        <f ca="1">IFERROR(__xludf.DUMMYFUNCTION("""COMPUTED_VALUE"""),3500)</f>
        <v>3500</v>
      </c>
      <c r="X306" s="3">
        <f ca="1">IFERROR(__xludf.DUMMYFUNCTION("""COMPUTED_VALUE"""),2327)</f>
        <v>2327</v>
      </c>
      <c r="Y306" s="3">
        <f ca="1">IFERROR(__xludf.DUMMYFUNCTION("""COMPUTED_VALUE"""),966)</f>
        <v>966</v>
      </c>
      <c r="Z306" s="3">
        <f ca="1">IFERROR(__xludf.DUMMYFUNCTION("""COMPUTED_VALUE"""),215)</f>
        <v>215</v>
      </c>
      <c r="AA306" s="3">
        <f ca="1">IFERROR(__xludf.DUMMYFUNCTION("""COMPUTED_VALUE"""),1146)</f>
        <v>1146</v>
      </c>
      <c r="AB306" s="3">
        <f ca="1">IFERROR(__xludf.DUMMYFUNCTION("""COMPUTED_VALUE"""),1)</f>
        <v>1</v>
      </c>
      <c r="AC306" s="3">
        <f ca="1">IFERROR(__xludf.DUMMYFUNCTION("""COMPUTED_VALUE"""),2)</f>
        <v>2</v>
      </c>
      <c r="AD306" s="3"/>
      <c r="AE306" s="3" t="str">
        <f ca="1">IFERROR(__xludf.DUMMYFUNCTION("""COMPUTED_VALUE"""),"2055-06-12T22:12:59.010644Z")</f>
        <v>2055-06-12T22:12:59.010644Z</v>
      </c>
      <c r="AF306" s="3" t="str">
        <f ca="1">IFERROR(__xludf.DUMMYFUNCTION("""COMPUTED_VALUE"""),"2055-06-12T22:32:05.934807Z")</f>
        <v>2055-06-12T22:32:05.934807Z</v>
      </c>
      <c r="AG306" s="3" t="str">
        <f ca="1">IFERROR(__xludf.DUMMYFUNCTION("""COMPUTED_VALUE"""),"2055-06-12T21:53:14.466606Z")</f>
        <v>2055-06-12T21:53:14.466606Z</v>
      </c>
      <c r="AH306" s="3" t="str">
        <f ca="1">IFERROR(__xludf.DUMMYFUNCTION("""COMPUTED_VALUE"""),"2055-06-12T22:09:24.343696Z")</f>
        <v>2055-06-12T22:09:24.343696Z</v>
      </c>
      <c r="AI306" s="3">
        <f ca="1">IFERROR(__xludf.DUMMYFUNCTION("""COMPUTED_VALUE"""),4.6)</f>
        <v>4.5999999999999996</v>
      </c>
      <c r="AJ306" s="3">
        <f ca="1">IFERROR(__xludf.DUMMYFUNCTION("""COMPUTED_VALUE"""),292)</f>
        <v>292</v>
      </c>
      <c r="AK306" s="3">
        <f ca="1">IFERROR(__xludf.DUMMYFUNCTION("""COMPUTED_VALUE"""),1027)</f>
        <v>1027</v>
      </c>
      <c r="AL306" s="3">
        <f ca="1">IFERROR(__xludf.DUMMYFUNCTION("""COMPUTED_VALUE"""),26)</f>
        <v>26</v>
      </c>
    </row>
    <row r="307" spans="1:38" ht="13">
      <c r="A307" s="3">
        <f ca="1">IFERROR(__xludf.DUMMYFUNCTION("""COMPUTED_VALUE"""),124)</f>
        <v>124</v>
      </c>
      <c r="B307" s="3"/>
      <c r="C307" s="3">
        <f ca="1">IFERROR(__xludf.DUMMYFUNCTION("""COMPUTED_VALUE"""),4050)</f>
        <v>4050</v>
      </c>
      <c r="D307" s="3" t="str">
        <f ca="1">IFERROR(__xludf.DUMMYFUNCTION("""COMPUTED_VALUE"""),"Doorlanta")</f>
        <v>Doorlanta</v>
      </c>
      <c r="E307" s="3" t="str">
        <f ca="1">IFERROR(__xludf.DUMMYFUNCTION("""COMPUTED_VALUE"""),"Galaxy A")</f>
        <v>Galaxy A</v>
      </c>
      <c r="F307" s="3" t="str">
        <f ca="1">IFERROR(__xludf.DUMMYFUNCTION("""COMPUTED_VALUE"""),"Ash")</f>
        <v>Ash</v>
      </c>
      <c r="G307" s="3">
        <f ca="1">IFERROR(__xludf.DUMMYFUNCTION("""COMPUTED_VALUE"""),0)</f>
        <v>0</v>
      </c>
      <c r="H307" s="3" t="str">
        <f ca="1">IFERROR(__xludf.DUMMYFUNCTION("""COMPUTED_VALUE"""),"car")</f>
        <v>car</v>
      </c>
      <c r="I307" s="3" t="str">
        <f ca="1">IFERROR(__xludf.DUMMYFUNCTION("""COMPUTED_VALUE"""),"2055-06-02T15:27:17.934424Z")</f>
        <v>2055-06-02T15:27:17.934424Z</v>
      </c>
      <c r="J307" s="3" t="str">
        <f ca="1">IFERROR(__xludf.DUMMYFUNCTION("""COMPUTED_VALUE"""),"2055-06-02T16:19:54.005Z")</f>
        <v>2055-06-02T16:19:54.005Z</v>
      </c>
      <c r="K307" s="3" t="str">
        <f ca="1">IFERROR(__xludf.DUMMYFUNCTION("""COMPUTED_VALUE"""),"2055-06-02T16:06:01.005Z")</f>
        <v>2055-06-02T16:06:01.005Z</v>
      </c>
      <c r="L307" s="3">
        <f ca="1">IFERROR(__xludf.DUMMYFUNCTION("""COMPUTED_VALUE"""),1)</f>
        <v>1</v>
      </c>
      <c r="M307" s="3">
        <f ca="1">IFERROR(__xludf.DUMMYFUNCTION("""COMPUTED_VALUE"""),0)</f>
        <v>0</v>
      </c>
      <c r="N307" s="3" t="str">
        <f ca="1">IFERROR(__xludf.DUMMYFUNCTION("""COMPUTED_VALUE"""),"2055-06-02T15:49:15.35727Z")</f>
        <v>2055-06-02T15:49:15.35727Z</v>
      </c>
      <c r="O307" s="3" t="str">
        <f ca="1">IFERROR(__xludf.DUMMYFUNCTION("""COMPUTED_VALUE"""),"2055-06-02T16:13:32.563972Z")</f>
        <v>2055-06-02T16:13:32.563972Z</v>
      </c>
      <c r="P307" s="3" t="str">
        <f ca="1">IFERROR(__xludf.DUMMYFUNCTION("""COMPUTED_VALUE"""),"2055-06-02T15:29:27.347054Z")</f>
        <v>2055-06-02T15:29:27.347054Z</v>
      </c>
      <c r="Q307" s="3">
        <f ca="1">IFERROR(__xludf.DUMMYFUNCTION("""COMPUTED_VALUE"""),0)</f>
        <v>0</v>
      </c>
      <c r="R307" s="3" t="str">
        <f ca="1">IFERROR(__xludf.DUMMYFUNCTION("""COMPUTED_VALUE"""),"2055-06-02T15:29:36.102452Z")</f>
        <v>2055-06-02T15:29:36.102452Z</v>
      </c>
      <c r="S307" s="3" t="str">
        <f ca="1">IFERROR(__xludf.DUMMYFUNCTION("""COMPUTED_VALUE"""),"2055-06-02T15:38:41.537246Z")</f>
        <v>2055-06-02T15:38:41.537246Z</v>
      </c>
      <c r="T307" s="3"/>
      <c r="U307" s="4">
        <f ca="1">IFERROR(__xludf.DUMMYFUNCTION("""COMPUTED_VALUE"""),56767)</f>
        <v>56767</v>
      </c>
      <c r="V307" s="3">
        <f ca="1">IFERROR(__xludf.DUMMYFUNCTION("""COMPUTED_VALUE"""),4.6)</f>
        <v>4.5999999999999996</v>
      </c>
      <c r="W307" s="3">
        <f ca="1">IFERROR(__xludf.DUMMYFUNCTION("""COMPUTED_VALUE"""),3500)</f>
        <v>3500</v>
      </c>
      <c r="X307" s="3">
        <f ca="1">IFERROR(__xludf.DUMMYFUNCTION("""COMPUTED_VALUE"""),2636)</f>
        <v>2636</v>
      </c>
      <c r="Y307" s="3">
        <f ca="1">IFERROR(__xludf.DUMMYFUNCTION("""COMPUTED_VALUE"""),545)</f>
        <v>545</v>
      </c>
      <c r="Z307" s="3">
        <f ca="1">IFERROR(__xludf.DUMMYFUNCTION("""COMPUTED_VALUE"""),634)</f>
        <v>634</v>
      </c>
      <c r="AA307" s="3">
        <f ca="1">IFERROR(__xludf.DUMMYFUNCTION("""COMPUTED_VALUE"""),1457)</f>
        <v>1457</v>
      </c>
      <c r="AB307" s="3">
        <f ca="1">IFERROR(__xludf.DUMMYFUNCTION("""COMPUTED_VALUE"""),0)</f>
        <v>0</v>
      </c>
      <c r="AC307" s="3">
        <f ca="1">IFERROR(__xludf.DUMMYFUNCTION("""COMPUTED_VALUE"""),6)</f>
        <v>6</v>
      </c>
      <c r="AD307" s="3" t="str">
        <f ca="1">IFERROR(__xludf.DUMMYFUNCTION("""COMPUTED_VALUE"""),"on time")</f>
        <v>on time</v>
      </c>
      <c r="AE307" s="3" t="str">
        <f ca="1">IFERROR(__xludf.DUMMYFUNCTION("""COMPUTED_VALUE"""),"2055-06-02T11:49:15.35727Z")</f>
        <v>2055-06-02T11:49:15.35727Z</v>
      </c>
      <c r="AF307" s="3" t="str">
        <f ca="1">IFERROR(__xludf.DUMMYFUNCTION("""COMPUTED_VALUE"""),"2055-06-02T12:13:32.563972Z")</f>
        <v>2055-06-02T12:13:32.563972Z</v>
      </c>
      <c r="AG307" s="3" t="str">
        <f ca="1">IFERROR(__xludf.DUMMYFUNCTION("""COMPUTED_VALUE"""),"2055-06-02T11:29:27.347054Z")</f>
        <v>2055-06-02T11:29:27.347054Z</v>
      </c>
      <c r="AH307" s="3" t="str">
        <f ca="1">IFERROR(__xludf.DUMMYFUNCTION("""COMPUTED_VALUE"""),"2055-06-02T11:38:41.537246Z")</f>
        <v>2055-06-02T11:38:41.537246Z</v>
      </c>
      <c r="AI307" s="3">
        <f ca="1">IFERROR(__xludf.DUMMYFUNCTION("""COMPUTED_VALUE"""),4.66)</f>
        <v>4.66</v>
      </c>
      <c r="AJ307" s="3">
        <f ca="1">IFERROR(__xludf.DUMMYFUNCTION("""COMPUTED_VALUE"""),161)</f>
        <v>161</v>
      </c>
      <c r="AK307" s="3">
        <f ca="1">IFERROR(__xludf.DUMMYFUNCTION("""COMPUTED_VALUE"""),398)</f>
        <v>398</v>
      </c>
      <c r="AL307" s="3"/>
    </row>
    <row r="308" spans="1:38" ht="13">
      <c r="A308" s="3">
        <f ca="1">IFERROR(__xludf.DUMMYFUNCTION("""COMPUTED_VALUE"""),67)</f>
        <v>67</v>
      </c>
      <c r="B308" s="3"/>
      <c r="C308" s="3">
        <f ca="1">IFERROR(__xludf.DUMMYFUNCTION("""COMPUTED_VALUE"""),4001)</f>
        <v>4001</v>
      </c>
      <c r="D308" s="3" t="str">
        <f ca="1">IFERROR(__xludf.DUMMYFUNCTION("""COMPUTED_VALUE"""),"Dashattan")</f>
        <v>Dashattan</v>
      </c>
      <c r="E308" s="3" t="str">
        <f ca="1">IFERROR(__xludf.DUMMYFUNCTION("""COMPUTED_VALUE"""),"Galaxy A")</f>
        <v>Galaxy A</v>
      </c>
      <c r="F308" s="3" t="str">
        <f ca="1">IFERROR(__xludf.DUMMYFUNCTION("""COMPUTED_VALUE"""),"Arya")</f>
        <v>Arya</v>
      </c>
      <c r="G308" s="3">
        <f ca="1">IFERROR(__xludf.DUMMYFUNCTION("""COMPUTED_VALUE"""),0)</f>
        <v>0</v>
      </c>
      <c r="H308" s="3" t="str">
        <f ca="1">IFERROR(__xludf.DUMMYFUNCTION("""COMPUTED_VALUE"""),"bicycle")</f>
        <v>bicycle</v>
      </c>
      <c r="I308" s="3" t="str">
        <f ca="1">IFERROR(__xludf.DUMMYFUNCTION("""COMPUTED_VALUE"""),"2055-06-01T22:43:15.672735Z")</f>
        <v>2055-06-01T22:43:15.672735Z</v>
      </c>
      <c r="J308" s="3" t="str">
        <f ca="1">IFERROR(__xludf.DUMMYFUNCTION("""COMPUTED_VALUE"""),"2055-06-01T23:38:16.73Z")</f>
        <v>2055-06-01T23:38:16.73Z</v>
      </c>
      <c r="K308" s="3" t="str">
        <f ca="1">IFERROR(__xludf.DUMMYFUNCTION("""COMPUTED_VALUE"""),"2055-06-01T23:16:22.73Z")</f>
        <v>2055-06-01T23:16:22.73Z</v>
      </c>
      <c r="L308" s="3">
        <f ca="1">IFERROR(__xludf.DUMMYFUNCTION("""COMPUTED_VALUE"""),1)</f>
        <v>1</v>
      </c>
      <c r="M308" s="3">
        <f ca="1">IFERROR(__xludf.DUMMYFUNCTION("""COMPUTED_VALUE"""),0)</f>
        <v>0</v>
      </c>
      <c r="N308" s="3" t="str">
        <f ca="1">IFERROR(__xludf.DUMMYFUNCTION("""COMPUTED_VALUE"""),"2055-06-01T23:10:54.405726Z")</f>
        <v>2055-06-01T23:10:54.405726Z</v>
      </c>
      <c r="O308" s="3" t="str">
        <f ca="1">IFERROR(__xludf.DUMMYFUNCTION("""COMPUTED_VALUE"""),"2055-06-01T23:17:53.429063Z")</f>
        <v>2055-06-01T23:17:53.429063Z</v>
      </c>
      <c r="P308" s="3" t="str">
        <f ca="1">IFERROR(__xludf.DUMMYFUNCTION("""COMPUTED_VALUE"""),"2055-06-01T22:55:54.725462Z")</f>
        <v>2055-06-01T22:55:54.725462Z</v>
      </c>
      <c r="Q308" s="3">
        <f ca="1">IFERROR(__xludf.DUMMYFUNCTION("""COMPUTED_VALUE"""),0)</f>
        <v>0</v>
      </c>
      <c r="R308" s="3" t="str">
        <f ca="1">IFERROR(__xludf.DUMMYFUNCTION("""COMPUTED_VALUE"""),"2055-06-01T22:56:07.166004Z")</f>
        <v>2055-06-01T22:56:07.166004Z</v>
      </c>
      <c r="S308" s="3" t="str">
        <f ca="1">IFERROR(__xludf.DUMMYFUNCTION("""COMPUTED_VALUE"""),"2055-06-01T23:10:54.425366Z")</f>
        <v>2055-06-01T23:10:54.425366Z</v>
      </c>
      <c r="T308" s="3"/>
      <c r="U308" s="4">
        <f ca="1">IFERROR(__xludf.DUMMYFUNCTION("""COMPUTED_VALUE"""),56766)</f>
        <v>56766</v>
      </c>
      <c r="V308" s="3">
        <f ca="1">IFERROR(__xludf.DUMMYFUNCTION("""COMPUTED_VALUE"""),4.5)</f>
        <v>4.5</v>
      </c>
      <c r="W308" s="3">
        <f ca="1">IFERROR(__xludf.DUMMYFUNCTION("""COMPUTED_VALUE"""),3500)</f>
        <v>3500</v>
      </c>
      <c r="X308" s="3">
        <f ca="1">IFERROR(__xludf.DUMMYFUNCTION("""COMPUTED_VALUE"""),1306)</f>
        <v>1306</v>
      </c>
      <c r="Y308" s="3">
        <f ca="1">IFERROR(__xludf.DUMMYFUNCTION("""COMPUTED_VALUE"""),887)</f>
        <v>887</v>
      </c>
      <c r="Z308" s="3"/>
      <c r="AA308" s="3">
        <f ca="1">IFERROR(__xludf.DUMMYFUNCTION("""COMPUTED_VALUE"""),419)</f>
        <v>419</v>
      </c>
      <c r="AB308" s="3">
        <f ca="1">IFERROR(__xludf.DUMMYFUNCTION("""COMPUTED_VALUE"""),0)</f>
        <v>0</v>
      </c>
      <c r="AC308" s="3">
        <f ca="1">IFERROR(__xludf.DUMMYFUNCTION("""COMPUTED_VALUE"""),4)</f>
        <v>4</v>
      </c>
      <c r="AD308" s="3" t="str">
        <f ca="1">IFERROR(__xludf.DUMMYFUNCTION("""COMPUTED_VALUE"""),"late")</f>
        <v>late</v>
      </c>
      <c r="AE308" s="3" t="str">
        <f ca="1">IFERROR(__xludf.DUMMYFUNCTION("""COMPUTED_VALUE"""),"2055-06-01T19:10:54.405726Z")</f>
        <v>2055-06-01T19:10:54.405726Z</v>
      </c>
      <c r="AF308" s="3" t="str">
        <f ca="1">IFERROR(__xludf.DUMMYFUNCTION("""COMPUTED_VALUE"""),"2055-06-01T19:17:53.429063Z")</f>
        <v>2055-06-01T19:17:53.429063Z</v>
      </c>
      <c r="AG308" s="3" t="str">
        <f ca="1">IFERROR(__xludf.DUMMYFUNCTION("""COMPUTED_VALUE"""),"2055-06-01T18:55:54.725462Z")</f>
        <v>2055-06-01T18:55:54.725462Z</v>
      </c>
      <c r="AH308" s="3" t="str">
        <f ca="1">IFERROR(__xludf.DUMMYFUNCTION("""COMPUTED_VALUE"""),"2055-06-01T19:10:54.425366Z")</f>
        <v>2055-06-01T19:10:54.425366Z</v>
      </c>
      <c r="AI308" s="3">
        <f ca="1">IFERROR(__xludf.DUMMYFUNCTION("""COMPUTED_VALUE"""),4.17)</f>
        <v>4.17</v>
      </c>
      <c r="AJ308" s="3">
        <f ca="1">IFERROR(__xludf.DUMMYFUNCTION("""COMPUTED_VALUE"""),457)</f>
        <v>457</v>
      </c>
      <c r="AK308" s="3">
        <f ca="1">IFERROR(__xludf.DUMMYFUNCTION("""COMPUTED_VALUE"""),1599)</f>
        <v>1599</v>
      </c>
      <c r="AL308" s="3"/>
    </row>
    <row r="309" spans="1:38" ht="13">
      <c r="A309" s="3">
        <f ca="1">IFERROR(__xludf.DUMMYFUNCTION("""COMPUTED_VALUE"""),164)</f>
        <v>164</v>
      </c>
      <c r="B309" s="3">
        <f ca="1">IFERROR(__xludf.DUMMYFUNCTION("""COMPUTED_VALUE"""),4)</f>
        <v>4</v>
      </c>
      <c r="C309" s="3">
        <f ca="1">IFERROR(__xludf.DUMMYFUNCTION("""COMPUTED_VALUE"""),4050)</f>
        <v>4050</v>
      </c>
      <c r="D309" s="3" t="str">
        <f ca="1">IFERROR(__xludf.DUMMYFUNCTION("""COMPUTED_VALUE"""),"Doorlanta")</f>
        <v>Doorlanta</v>
      </c>
      <c r="E309" s="3" t="str">
        <f ca="1">IFERROR(__xludf.DUMMYFUNCTION("""COMPUTED_VALUE"""),"Galaxy A")</f>
        <v>Galaxy A</v>
      </c>
      <c r="F309" s="3" t="str">
        <f ca="1">IFERROR(__xludf.DUMMYFUNCTION("""COMPUTED_VALUE"""),"Hersh")</f>
        <v>Hersh</v>
      </c>
      <c r="G309" s="3">
        <f ca="1">IFERROR(__xludf.DUMMYFUNCTION("""COMPUTED_VALUE"""),0)</f>
        <v>0</v>
      </c>
      <c r="H309" s="3" t="str">
        <f ca="1">IFERROR(__xludf.DUMMYFUNCTION("""COMPUTED_VALUE"""),"car")</f>
        <v>car</v>
      </c>
      <c r="I309" s="3" t="str">
        <f ca="1">IFERROR(__xludf.DUMMYFUNCTION("""COMPUTED_VALUE"""),"2055-06-02T20:58:21.649246Z")</f>
        <v>2055-06-02T20:58:21.649246Z</v>
      </c>
      <c r="J309" s="3" t="str">
        <f ca="1">IFERROR(__xludf.DUMMYFUNCTION("""COMPUTED_VALUE"""),"2055-06-02T21:53:21.732Z")</f>
        <v>2055-06-02T21:53:21.732Z</v>
      </c>
      <c r="K309" s="3" t="str">
        <f ca="1">IFERROR(__xludf.DUMMYFUNCTION("""COMPUTED_VALUE"""),"2055-06-02T21:32:32.732Z")</f>
        <v>2055-06-02T21:32:32.732Z</v>
      </c>
      <c r="L309" s="3">
        <f ca="1">IFERROR(__xludf.DUMMYFUNCTION("""COMPUTED_VALUE"""),1)</f>
        <v>1</v>
      </c>
      <c r="M309" s="3">
        <f ca="1">IFERROR(__xludf.DUMMYFUNCTION("""COMPUTED_VALUE"""),0)</f>
        <v>0</v>
      </c>
      <c r="N309" s="3" t="str">
        <f ca="1">IFERROR(__xludf.DUMMYFUNCTION("""COMPUTED_VALUE"""),"2055-06-02T21:56:46.484053Z")</f>
        <v>2055-06-02T21:56:46.484053Z</v>
      </c>
      <c r="O309" s="3" t="str">
        <f ca="1">IFERROR(__xludf.DUMMYFUNCTION("""COMPUTED_VALUE"""),"2055-06-02T22:20:04.801073Z")</f>
        <v>2055-06-02T22:20:04.801073Z</v>
      </c>
      <c r="P309" s="3" t="str">
        <f ca="1">IFERROR(__xludf.DUMMYFUNCTION("""COMPUTED_VALUE"""),"2055-06-02T20:58:27.339909Z")</f>
        <v>2055-06-02T20:58:27.339909Z</v>
      </c>
      <c r="Q309" s="3">
        <f ca="1">IFERROR(__xludf.DUMMYFUNCTION("""COMPUTED_VALUE"""),0)</f>
        <v>0</v>
      </c>
      <c r="R309" s="3" t="str">
        <f ca="1">IFERROR(__xludf.DUMMYFUNCTION("""COMPUTED_VALUE"""),"2055-06-02T20:58:39.499155Z")</f>
        <v>2055-06-02T20:58:39.499155Z</v>
      </c>
      <c r="S309" s="3" t="str">
        <f ca="1">IFERROR(__xludf.DUMMYFUNCTION("""COMPUTED_VALUE"""),"2055-06-02T21:20:35.271337Z")</f>
        <v>2055-06-02T21:20:35.271337Z</v>
      </c>
      <c r="T309" s="3"/>
      <c r="U309" s="4">
        <f ca="1">IFERROR(__xludf.DUMMYFUNCTION("""COMPUTED_VALUE"""),56767)</f>
        <v>56767</v>
      </c>
      <c r="V309" s="3">
        <f ca="1">IFERROR(__xludf.DUMMYFUNCTION("""COMPUTED_VALUE"""),4.7)</f>
        <v>4.7</v>
      </c>
      <c r="W309" s="3">
        <f ca="1">IFERROR(__xludf.DUMMYFUNCTION("""COMPUTED_VALUE"""),3000)</f>
        <v>3000</v>
      </c>
      <c r="X309" s="3">
        <f ca="1">IFERROR(__xludf.DUMMYFUNCTION("""COMPUTED_VALUE"""),4885)</f>
        <v>4885</v>
      </c>
      <c r="Y309" s="3">
        <f ca="1">IFERROR(__xludf.DUMMYFUNCTION("""COMPUTED_VALUE"""),1316)</f>
        <v>1316</v>
      </c>
      <c r="Z309" s="3">
        <f ca="1">IFERROR(__xludf.DUMMYFUNCTION("""COMPUTED_VALUE"""),2171)</f>
        <v>2171</v>
      </c>
      <c r="AA309" s="3">
        <f ca="1">IFERROR(__xludf.DUMMYFUNCTION("""COMPUTED_VALUE"""),1398)</f>
        <v>1398</v>
      </c>
      <c r="AB309" s="3">
        <f ca="1">IFERROR(__xludf.DUMMYFUNCTION("""COMPUTED_VALUE"""),0)</f>
        <v>0</v>
      </c>
      <c r="AC309" s="3">
        <f ca="1">IFERROR(__xludf.DUMMYFUNCTION("""COMPUTED_VALUE"""),4)</f>
        <v>4</v>
      </c>
      <c r="AD309" s="3" t="str">
        <f ca="1">IFERROR(__xludf.DUMMYFUNCTION("""COMPUTED_VALUE"""),"early")</f>
        <v>early</v>
      </c>
      <c r="AE309" s="3" t="str">
        <f ca="1">IFERROR(__xludf.DUMMYFUNCTION("""COMPUTED_VALUE"""),"2055-06-02T17:56:46.484053Z")</f>
        <v>2055-06-02T17:56:46.484053Z</v>
      </c>
      <c r="AF309" s="3" t="str">
        <f ca="1">IFERROR(__xludf.DUMMYFUNCTION("""COMPUTED_VALUE"""),"2055-06-02T18:20:04.801073Z")</f>
        <v>2055-06-02T18:20:04.801073Z</v>
      </c>
      <c r="AG309" s="3" t="str">
        <f ca="1">IFERROR(__xludf.DUMMYFUNCTION("""COMPUTED_VALUE"""),"2055-06-02T16:58:27.339909Z")</f>
        <v>2055-06-02T16:58:27.339909Z</v>
      </c>
      <c r="AH309" s="3" t="str">
        <f ca="1">IFERROR(__xludf.DUMMYFUNCTION("""COMPUTED_VALUE"""),"2055-06-02T17:20:35.271337Z")</f>
        <v>2055-06-02T17:20:35.271337Z</v>
      </c>
      <c r="AI309" s="3">
        <f ca="1">IFERROR(__xludf.DUMMYFUNCTION("""COMPUTED_VALUE"""),4.7)</f>
        <v>4.7</v>
      </c>
      <c r="AJ309" s="3">
        <f ca="1">IFERROR(__xludf.DUMMYFUNCTION("""COMPUTED_VALUE"""),212)</f>
        <v>212</v>
      </c>
      <c r="AK309" s="3">
        <f ca="1">IFERROR(__xludf.DUMMYFUNCTION("""COMPUTED_VALUE"""),624)</f>
        <v>624</v>
      </c>
      <c r="AL309" s="3">
        <f ca="1">IFERROR(__xludf.DUMMYFUNCTION("""COMPUTED_VALUE"""),347)</f>
        <v>347</v>
      </c>
    </row>
    <row r="310" spans="1:38" ht="13">
      <c r="A310" s="3">
        <f ca="1">IFERROR(__xludf.DUMMYFUNCTION("""COMPUTED_VALUE"""),198)</f>
        <v>198</v>
      </c>
      <c r="B310" s="3">
        <f ca="1">IFERROR(__xludf.DUMMYFUNCTION("""COMPUTED_VALUE"""),5)</f>
        <v>5</v>
      </c>
      <c r="C310" s="3">
        <f ca="1">IFERROR(__xludf.DUMMYFUNCTION("""COMPUTED_VALUE"""),4050)</f>
        <v>4050</v>
      </c>
      <c r="D310" s="3" t="str">
        <f ca="1">IFERROR(__xludf.DUMMYFUNCTION("""COMPUTED_VALUE"""),"Doorlanta")</f>
        <v>Doorlanta</v>
      </c>
      <c r="E310" s="3" t="str">
        <f ca="1">IFERROR(__xludf.DUMMYFUNCTION("""COMPUTED_VALUE"""),"Galaxy A")</f>
        <v>Galaxy A</v>
      </c>
      <c r="F310" s="3" t="str">
        <f ca="1">IFERROR(__xludf.DUMMYFUNCTION("""COMPUTED_VALUE"""),"Josh")</f>
        <v>Josh</v>
      </c>
      <c r="G310" s="3">
        <f ca="1">IFERROR(__xludf.DUMMYFUNCTION("""COMPUTED_VALUE"""),0)</f>
        <v>0</v>
      </c>
      <c r="H310" s="3" t="str">
        <f ca="1">IFERROR(__xludf.DUMMYFUNCTION("""COMPUTED_VALUE"""),"car")</f>
        <v>car</v>
      </c>
      <c r="I310" s="3" t="str">
        <f ca="1">IFERROR(__xludf.DUMMYFUNCTION("""COMPUTED_VALUE"""),"2055-06-02T23:00:58.544939Z")</f>
        <v>2055-06-02T23:00:58.544939Z</v>
      </c>
      <c r="J310" s="3" t="str">
        <f ca="1">IFERROR(__xludf.DUMMYFUNCTION("""COMPUTED_VALUE"""),"2055-06-02T23:48:48.601Z")</f>
        <v>2055-06-02T23:48:48.601Z</v>
      </c>
      <c r="K310" s="3" t="str">
        <f ca="1">IFERROR(__xludf.DUMMYFUNCTION("""COMPUTED_VALUE"""),"2055-06-02T23:39:09.601Z")</f>
        <v>2055-06-02T23:39:09.601Z</v>
      </c>
      <c r="L310" s="3">
        <f ca="1">IFERROR(__xludf.DUMMYFUNCTION("""COMPUTED_VALUE"""),1)</f>
        <v>1</v>
      </c>
      <c r="M310" s="3">
        <f ca="1">IFERROR(__xludf.DUMMYFUNCTION("""COMPUTED_VALUE"""),0)</f>
        <v>0</v>
      </c>
      <c r="N310" s="3" t="str">
        <f ca="1">IFERROR(__xludf.DUMMYFUNCTION("""COMPUTED_VALUE"""),"2055-06-02T23:31:23.011178Z")</f>
        <v>2055-06-02T23:31:23.011178Z</v>
      </c>
      <c r="O310" s="3" t="str">
        <f ca="1">IFERROR(__xludf.DUMMYFUNCTION("""COMPUTED_VALUE"""),"2055-06-02T23:48:09.945431Z")</f>
        <v>2055-06-02T23:48:09.945431Z</v>
      </c>
      <c r="P310" s="3" t="str">
        <f ca="1">IFERROR(__xludf.DUMMYFUNCTION("""COMPUTED_VALUE"""),"2055-06-02T23:02:47.348167Z")</f>
        <v>2055-06-02T23:02:47.348167Z</v>
      </c>
      <c r="Q310" s="3">
        <f ca="1">IFERROR(__xludf.DUMMYFUNCTION("""COMPUTED_VALUE"""),0)</f>
        <v>0</v>
      </c>
      <c r="R310" s="3" t="str">
        <f ca="1">IFERROR(__xludf.DUMMYFUNCTION("""COMPUTED_VALUE"""),"2055-06-02T23:02:56.353344Z")</f>
        <v>2055-06-02T23:02:56.353344Z</v>
      </c>
      <c r="S310" s="3" t="str">
        <f ca="1">IFERROR(__xludf.DUMMYFUNCTION("""COMPUTED_VALUE"""),"2055-06-02T23:20:10.50027Z")</f>
        <v>2055-06-02T23:20:10.50027Z</v>
      </c>
      <c r="T310" s="3"/>
      <c r="U310" s="4">
        <f ca="1">IFERROR(__xludf.DUMMYFUNCTION("""COMPUTED_VALUE"""),56767)</f>
        <v>56767</v>
      </c>
      <c r="V310" s="3">
        <f ca="1">IFERROR(__xludf.DUMMYFUNCTION("""COMPUTED_VALUE"""),4.7)</f>
        <v>4.7</v>
      </c>
      <c r="W310" s="3">
        <f ca="1">IFERROR(__xludf.DUMMYFUNCTION("""COMPUTED_VALUE"""),3000)</f>
        <v>3000</v>
      </c>
      <c r="X310" s="3">
        <f ca="1">IFERROR(__xludf.DUMMYFUNCTION("""COMPUTED_VALUE"""),2713)</f>
        <v>2713</v>
      </c>
      <c r="Y310" s="3">
        <f ca="1">IFERROR(__xludf.DUMMYFUNCTION("""COMPUTED_VALUE"""),1034)</f>
        <v>1034</v>
      </c>
      <c r="Z310" s="3">
        <f ca="1">IFERROR(__xludf.DUMMYFUNCTION("""COMPUTED_VALUE"""),673)</f>
        <v>673</v>
      </c>
      <c r="AA310" s="3">
        <f ca="1">IFERROR(__xludf.DUMMYFUNCTION("""COMPUTED_VALUE"""),1006)</f>
        <v>1006</v>
      </c>
      <c r="AB310" s="3">
        <f ca="1">IFERROR(__xludf.DUMMYFUNCTION("""COMPUTED_VALUE"""),0)</f>
        <v>0</v>
      </c>
      <c r="AC310" s="3">
        <f ca="1">IFERROR(__xludf.DUMMYFUNCTION("""COMPUTED_VALUE"""),2)</f>
        <v>2</v>
      </c>
      <c r="AD310" s="3" t="str">
        <f ca="1">IFERROR(__xludf.DUMMYFUNCTION("""COMPUTED_VALUE"""),"on time")</f>
        <v>on time</v>
      </c>
      <c r="AE310" s="3" t="str">
        <f ca="1">IFERROR(__xludf.DUMMYFUNCTION("""COMPUTED_VALUE"""),"2055-06-02T19:31:23.011178Z")</f>
        <v>2055-06-02T19:31:23.011178Z</v>
      </c>
      <c r="AF310" s="3" t="str">
        <f ca="1">IFERROR(__xludf.DUMMYFUNCTION("""COMPUTED_VALUE"""),"2055-06-02T19:48:09.945431Z")</f>
        <v>2055-06-02T19:48:09.945431Z</v>
      </c>
      <c r="AG310" s="3" t="str">
        <f ca="1">IFERROR(__xludf.DUMMYFUNCTION("""COMPUTED_VALUE"""),"2055-06-02T19:02:47.348167Z")</f>
        <v>2055-06-02T19:02:47.348167Z</v>
      </c>
      <c r="AH310" s="3" t="str">
        <f ca="1">IFERROR(__xludf.DUMMYFUNCTION("""COMPUTED_VALUE"""),"2055-06-02T19:20:10.50027Z")</f>
        <v>2055-06-02T19:20:10.50027Z</v>
      </c>
      <c r="AI310" s="3">
        <f ca="1">IFERROR(__xludf.DUMMYFUNCTION("""COMPUTED_VALUE"""),4.77)</f>
        <v>4.7699999999999996</v>
      </c>
      <c r="AJ310" s="3">
        <f ca="1">IFERROR(__xludf.DUMMYFUNCTION("""COMPUTED_VALUE"""),426)</f>
        <v>426</v>
      </c>
      <c r="AK310" s="3">
        <f ca="1">IFERROR(__xludf.DUMMYFUNCTION("""COMPUTED_VALUE"""),1226)</f>
        <v>1226</v>
      </c>
      <c r="AL310" s="3">
        <f ca="1">IFERROR(__xludf.DUMMYFUNCTION("""COMPUTED_VALUE"""),85)</f>
        <v>85</v>
      </c>
    </row>
    <row r="311" spans="1:38" ht="13">
      <c r="A311" s="3">
        <f ca="1">IFERROR(__xludf.DUMMYFUNCTION("""COMPUTED_VALUE"""),325)</f>
        <v>325</v>
      </c>
      <c r="B311" s="3">
        <f ca="1">IFERROR(__xludf.DUMMYFUNCTION("""COMPUTED_VALUE"""),5)</f>
        <v>5</v>
      </c>
      <c r="C311" s="3">
        <f ca="1">IFERROR(__xludf.DUMMYFUNCTION("""COMPUTED_VALUE"""),4001)</f>
        <v>4001</v>
      </c>
      <c r="D311" s="3" t="str">
        <f ca="1">IFERROR(__xludf.DUMMYFUNCTION("""COMPUTED_VALUE"""),"Dashattan")</f>
        <v>Dashattan</v>
      </c>
      <c r="E311" s="3" t="str">
        <f ca="1">IFERROR(__xludf.DUMMYFUNCTION("""COMPUTED_VALUE"""),"Galaxy A")</f>
        <v>Galaxy A</v>
      </c>
      <c r="F311" s="3" t="str">
        <f ca="1">IFERROR(__xludf.DUMMYFUNCTION("""COMPUTED_VALUE"""),"KC")</f>
        <v>KC</v>
      </c>
      <c r="G311" s="3">
        <f ca="1">IFERROR(__xludf.DUMMYFUNCTION("""COMPUTED_VALUE"""),0)</f>
        <v>0</v>
      </c>
      <c r="H311" s="3" t="str">
        <f ca="1">IFERROR(__xludf.DUMMYFUNCTION("""COMPUTED_VALUE"""),"car")</f>
        <v>car</v>
      </c>
      <c r="I311" s="3" t="str">
        <f ca="1">IFERROR(__xludf.DUMMYFUNCTION("""COMPUTED_VALUE"""),"2055-06-03T20:17:12.510549Z")</f>
        <v>2055-06-03T20:17:12.510549Z</v>
      </c>
      <c r="J311" s="3" t="str">
        <f ca="1">IFERROR(__xludf.DUMMYFUNCTION("""COMPUTED_VALUE"""),"2055-06-03T21:10:15.583Z")</f>
        <v>2055-06-03T21:10:15.583Z</v>
      </c>
      <c r="K311" s="3" t="str">
        <f ca="1">IFERROR(__xludf.DUMMYFUNCTION("""COMPUTED_VALUE"""),"2055-06-03T20:50:36.583Z")</f>
        <v>2055-06-03T20:50:36.583Z</v>
      </c>
      <c r="L311" s="3">
        <f ca="1">IFERROR(__xludf.DUMMYFUNCTION("""COMPUTED_VALUE"""),1)</f>
        <v>1</v>
      </c>
      <c r="M311" s="3">
        <f ca="1">IFERROR(__xludf.DUMMYFUNCTION("""COMPUTED_VALUE"""),0)</f>
        <v>0</v>
      </c>
      <c r="N311" s="3" t="str">
        <f ca="1">IFERROR(__xludf.DUMMYFUNCTION("""COMPUTED_VALUE"""),"2055-06-03T20:36:34.030601Z")</f>
        <v>2055-06-03T20:36:34.030601Z</v>
      </c>
      <c r="O311" s="3" t="str">
        <f ca="1">IFERROR(__xludf.DUMMYFUNCTION("""COMPUTED_VALUE"""),"2055-06-03T20:56:37.666849Z")</f>
        <v>2055-06-03T20:56:37.666849Z</v>
      </c>
      <c r="P311" s="3" t="str">
        <f ca="1">IFERROR(__xludf.DUMMYFUNCTION("""COMPUTED_VALUE"""),"2055-06-03T20:23:14.147312Z")</f>
        <v>2055-06-03T20:23:14.147312Z</v>
      </c>
      <c r="Q311" s="3">
        <f ca="1">IFERROR(__xludf.DUMMYFUNCTION("""COMPUTED_VALUE"""),0)</f>
        <v>0</v>
      </c>
      <c r="R311" s="3" t="str">
        <f ca="1">IFERROR(__xludf.DUMMYFUNCTION("""COMPUTED_VALUE"""),"2055-06-03T20:23:27.102757Z")</f>
        <v>2055-06-03T20:23:27.102757Z</v>
      </c>
      <c r="S311" s="3" t="str">
        <f ca="1">IFERROR(__xludf.DUMMYFUNCTION("""COMPUTED_VALUE"""),"2055-06-03T20:26:18.05157Z")</f>
        <v>2055-06-03T20:26:18.05157Z</v>
      </c>
      <c r="T311" s="3"/>
      <c r="U311" s="4">
        <f ca="1">IFERROR(__xludf.DUMMYFUNCTION("""COMPUTED_VALUE"""),56768)</f>
        <v>56768</v>
      </c>
      <c r="V311" s="3">
        <f ca="1">IFERROR(__xludf.DUMMYFUNCTION("""COMPUTED_VALUE"""),4.6)</f>
        <v>4.5999999999999996</v>
      </c>
      <c r="W311" s="3">
        <f ca="1">IFERROR(__xludf.DUMMYFUNCTION("""COMPUTED_VALUE"""),3000)</f>
        <v>3000</v>
      </c>
      <c r="X311" s="3">
        <f ca="1">IFERROR(__xludf.DUMMYFUNCTION("""COMPUTED_VALUE"""),1990)</f>
        <v>1990</v>
      </c>
      <c r="Y311" s="3">
        <f ca="1">IFERROR(__xludf.DUMMYFUNCTION("""COMPUTED_VALUE"""),171)</f>
        <v>171</v>
      </c>
      <c r="Z311" s="3">
        <f ca="1">IFERROR(__xludf.DUMMYFUNCTION("""COMPUTED_VALUE"""),616)</f>
        <v>616</v>
      </c>
      <c r="AA311" s="3">
        <f ca="1">IFERROR(__xludf.DUMMYFUNCTION("""COMPUTED_VALUE"""),1203)</f>
        <v>1203</v>
      </c>
      <c r="AB311" s="3">
        <f ca="1">IFERROR(__xludf.DUMMYFUNCTION("""COMPUTED_VALUE"""),0)</f>
        <v>0</v>
      </c>
      <c r="AC311" s="3">
        <f ca="1">IFERROR(__xludf.DUMMYFUNCTION("""COMPUTED_VALUE"""),3)</f>
        <v>3</v>
      </c>
      <c r="AD311" s="3" t="str">
        <f ca="1">IFERROR(__xludf.DUMMYFUNCTION("""COMPUTED_VALUE"""),"on time")</f>
        <v>on time</v>
      </c>
      <c r="AE311" s="3" t="str">
        <f ca="1">IFERROR(__xludf.DUMMYFUNCTION("""COMPUTED_VALUE"""),"2055-06-03T16:36:34.030601Z")</f>
        <v>2055-06-03T16:36:34.030601Z</v>
      </c>
      <c r="AF311" s="3" t="str">
        <f ca="1">IFERROR(__xludf.DUMMYFUNCTION("""COMPUTED_VALUE"""),"2055-06-03T16:56:37.666849Z")</f>
        <v>2055-06-03T16:56:37.666849Z</v>
      </c>
      <c r="AG311" s="3" t="str">
        <f ca="1">IFERROR(__xludf.DUMMYFUNCTION("""COMPUTED_VALUE"""),"2055-06-03T16:23:14.147312Z")</f>
        <v>2055-06-03T16:23:14.147312Z</v>
      </c>
      <c r="AH311" s="3" t="str">
        <f ca="1">IFERROR(__xludf.DUMMYFUNCTION("""COMPUTED_VALUE"""),"2055-06-03T16:26:18.05157Z")</f>
        <v>2055-06-03T16:26:18.05157Z</v>
      </c>
      <c r="AI311" s="3">
        <f ca="1">IFERROR(__xludf.DUMMYFUNCTION("""COMPUTED_VALUE"""),4.54)</f>
        <v>4.54</v>
      </c>
      <c r="AJ311" s="3">
        <f ca="1">IFERROR(__xludf.DUMMYFUNCTION("""COMPUTED_VALUE"""),2229)</f>
        <v>2229</v>
      </c>
      <c r="AK311" s="3">
        <f ca="1">IFERROR(__xludf.DUMMYFUNCTION("""COMPUTED_VALUE"""),6580)</f>
        <v>6580</v>
      </c>
      <c r="AL311" s="3"/>
    </row>
    <row r="312" spans="1:38" ht="13">
      <c r="A312" s="3">
        <f ca="1">IFERROR(__xludf.DUMMYFUNCTION("""COMPUTED_VALUE"""),460)</f>
        <v>460</v>
      </c>
      <c r="B312" s="3">
        <f ca="1">IFERROR(__xludf.DUMMYFUNCTION("""COMPUTED_VALUE"""),5)</f>
        <v>5</v>
      </c>
      <c r="C312" s="3">
        <f ca="1">IFERROR(__xludf.DUMMYFUNCTION("""COMPUTED_VALUE"""),4050)</f>
        <v>4050</v>
      </c>
      <c r="D312" s="3" t="str">
        <f ca="1">IFERROR(__xludf.DUMMYFUNCTION("""COMPUTED_VALUE"""),"Doorlanta")</f>
        <v>Doorlanta</v>
      </c>
      <c r="E312" s="3" t="str">
        <f ca="1">IFERROR(__xludf.DUMMYFUNCTION("""COMPUTED_VALUE"""),"Galaxy A")</f>
        <v>Galaxy A</v>
      </c>
      <c r="F312" s="3" t="str">
        <f ca="1">IFERROR(__xludf.DUMMYFUNCTION("""COMPUTED_VALUE"""),"Josh")</f>
        <v>Josh</v>
      </c>
      <c r="G312" s="3">
        <f ca="1">IFERROR(__xludf.DUMMYFUNCTION("""COMPUTED_VALUE"""),0)</f>
        <v>0</v>
      </c>
      <c r="H312" s="3" t="str">
        <f ca="1">IFERROR(__xludf.DUMMYFUNCTION("""COMPUTED_VALUE"""),"car")</f>
        <v>car</v>
      </c>
      <c r="I312" s="3" t="str">
        <f ca="1">IFERROR(__xludf.DUMMYFUNCTION("""COMPUTED_VALUE"""),"2055-06-04T22:18:06.833799Z")</f>
        <v>2055-06-04T22:18:06.833799Z</v>
      </c>
      <c r="J312" s="3" t="str">
        <f ca="1">IFERROR(__xludf.DUMMYFUNCTION("""COMPUTED_VALUE"""),"2055-06-04T23:13:32.902Z")</f>
        <v>2055-06-04T23:13:32.902Z</v>
      </c>
      <c r="K312" s="3" t="str">
        <f ca="1">IFERROR(__xludf.DUMMYFUNCTION("""COMPUTED_VALUE"""),"2055-06-04T23:03:25.902Z")</f>
        <v>2055-06-04T23:03:25.902Z</v>
      </c>
      <c r="L312" s="3">
        <f ca="1">IFERROR(__xludf.DUMMYFUNCTION("""COMPUTED_VALUE"""),1)</f>
        <v>1</v>
      </c>
      <c r="M312" s="3">
        <f ca="1">IFERROR(__xludf.DUMMYFUNCTION("""COMPUTED_VALUE"""),0)</f>
        <v>0</v>
      </c>
      <c r="N312" s="3" t="str">
        <f ca="1">IFERROR(__xludf.DUMMYFUNCTION("""COMPUTED_VALUE"""),"2055-06-04T22:38:30.658533Z")</f>
        <v>2055-06-04T22:38:30.658533Z</v>
      </c>
      <c r="O312" s="3" t="str">
        <f ca="1">IFERROR(__xludf.DUMMYFUNCTION("""COMPUTED_VALUE"""),"2055-06-04T22:59:07.935059Z")</f>
        <v>2055-06-04T22:59:07.935059Z</v>
      </c>
      <c r="P312" s="3" t="str">
        <f ca="1">IFERROR(__xludf.DUMMYFUNCTION("""COMPUTED_VALUE"""),"2055-06-04T22:18:27.475936Z")</f>
        <v>2055-06-04T22:18:27.475936Z</v>
      </c>
      <c r="Q312" s="3">
        <f ca="1">IFERROR(__xludf.DUMMYFUNCTION("""COMPUTED_VALUE"""),0)</f>
        <v>0</v>
      </c>
      <c r="R312" s="3" t="str">
        <f ca="1">IFERROR(__xludf.DUMMYFUNCTION("""COMPUTED_VALUE"""),"2055-06-04T22:18:47.745048Z")</f>
        <v>2055-06-04T22:18:47.745048Z</v>
      </c>
      <c r="S312" s="3" t="str">
        <f ca="1">IFERROR(__xludf.DUMMYFUNCTION("""COMPUTED_VALUE"""),"2055-06-04T22:29:47.396118Z")</f>
        <v>2055-06-04T22:29:47.396118Z</v>
      </c>
      <c r="T312" s="3"/>
      <c r="U312" s="4">
        <f ca="1">IFERROR(__xludf.DUMMYFUNCTION("""COMPUTED_VALUE"""),56769)</f>
        <v>56769</v>
      </c>
      <c r="V312" s="3">
        <f ca="1">IFERROR(__xludf.DUMMYFUNCTION("""COMPUTED_VALUE"""),4.6)</f>
        <v>4.5999999999999996</v>
      </c>
      <c r="W312" s="3">
        <f ca="1">IFERROR(__xludf.DUMMYFUNCTION("""COMPUTED_VALUE"""),3000)</f>
        <v>3000</v>
      </c>
      <c r="X312" s="3">
        <f ca="1">IFERROR(__xludf.DUMMYFUNCTION("""COMPUTED_VALUE"""),2420)</f>
        <v>2420</v>
      </c>
      <c r="Y312" s="3">
        <f ca="1">IFERROR(__xludf.DUMMYFUNCTION("""COMPUTED_VALUE"""),660)</f>
        <v>660</v>
      </c>
      <c r="Z312" s="3">
        <f ca="1">IFERROR(__xludf.DUMMYFUNCTION("""COMPUTED_VALUE"""),523)</f>
        <v>523</v>
      </c>
      <c r="AA312" s="3">
        <f ca="1">IFERROR(__xludf.DUMMYFUNCTION("""COMPUTED_VALUE"""),1237)</f>
        <v>1237</v>
      </c>
      <c r="AB312" s="3">
        <f ca="1">IFERROR(__xludf.DUMMYFUNCTION("""COMPUTED_VALUE"""),0)</f>
        <v>0</v>
      </c>
      <c r="AC312" s="3">
        <f ca="1">IFERROR(__xludf.DUMMYFUNCTION("""COMPUTED_VALUE"""),2)</f>
        <v>2</v>
      </c>
      <c r="AD312" s="3" t="str">
        <f ca="1">IFERROR(__xludf.DUMMYFUNCTION("""COMPUTED_VALUE"""),"on time")</f>
        <v>on time</v>
      </c>
      <c r="AE312" s="3" t="str">
        <f ca="1">IFERROR(__xludf.DUMMYFUNCTION("""COMPUTED_VALUE"""),"2055-06-04T18:38:30.658533Z")</f>
        <v>2055-06-04T18:38:30.658533Z</v>
      </c>
      <c r="AF312" s="3" t="str">
        <f ca="1">IFERROR(__xludf.DUMMYFUNCTION("""COMPUTED_VALUE"""),"2055-06-04T18:59:07.935059Z")</f>
        <v>2055-06-04T18:59:07.935059Z</v>
      </c>
      <c r="AG312" s="3" t="str">
        <f ca="1">IFERROR(__xludf.DUMMYFUNCTION("""COMPUTED_VALUE"""),"2055-06-04T18:18:27.475936Z")</f>
        <v>2055-06-04T18:18:27.475936Z</v>
      </c>
      <c r="AH312" s="3" t="str">
        <f ca="1">IFERROR(__xludf.DUMMYFUNCTION("""COMPUTED_VALUE"""),"2055-06-04T18:29:47.396118Z")</f>
        <v>2055-06-04T18:29:47.396118Z</v>
      </c>
      <c r="AI312" s="3">
        <f ca="1">IFERROR(__xludf.DUMMYFUNCTION("""COMPUTED_VALUE"""),4.77)</f>
        <v>4.7699999999999996</v>
      </c>
      <c r="AJ312" s="3">
        <f ca="1">IFERROR(__xludf.DUMMYFUNCTION("""COMPUTED_VALUE"""),426)</f>
        <v>426</v>
      </c>
      <c r="AK312" s="3">
        <f ca="1">IFERROR(__xludf.DUMMYFUNCTION("""COMPUTED_VALUE"""),1226)</f>
        <v>1226</v>
      </c>
      <c r="AL312" s="3">
        <f ca="1">IFERROR(__xludf.DUMMYFUNCTION("""COMPUTED_VALUE"""),85)</f>
        <v>85</v>
      </c>
    </row>
    <row r="313" spans="1:38" ht="13">
      <c r="A313" s="3">
        <f ca="1">IFERROR(__xludf.DUMMYFUNCTION("""COMPUTED_VALUE"""),527)</f>
        <v>527</v>
      </c>
      <c r="B313" s="3"/>
      <c r="C313" s="3">
        <f ca="1">IFERROR(__xludf.DUMMYFUNCTION("""COMPUTED_VALUE"""),4050)</f>
        <v>4050</v>
      </c>
      <c r="D313" s="3" t="str">
        <f ca="1">IFERROR(__xludf.DUMMYFUNCTION("""COMPUTED_VALUE"""),"Doorlanta")</f>
        <v>Doorlanta</v>
      </c>
      <c r="E313" s="3" t="str">
        <f ca="1">IFERROR(__xludf.DUMMYFUNCTION("""COMPUTED_VALUE"""),"Galaxy A")</f>
        <v>Galaxy A</v>
      </c>
      <c r="F313" s="3" t="str">
        <f ca="1">IFERROR(__xludf.DUMMYFUNCTION("""COMPUTED_VALUE"""),"Matt")</f>
        <v>Matt</v>
      </c>
      <c r="G313" s="3">
        <f ca="1">IFERROR(__xludf.DUMMYFUNCTION("""COMPUTED_VALUE"""),0)</f>
        <v>0</v>
      </c>
      <c r="H313" s="3" t="str">
        <f ca="1">IFERROR(__xludf.DUMMYFUNCTION("""COMPUTED_VALUE"""),"car")</f>
        <v>car</v>
      </c>
      <c r="I313" s="3" t="str">
        <f ca="1">IFERROR(__xludf.DUMMYFUNCTION("""COMPUTED_VALUE"""),"2055-06-05T01:29:12.988004Z")</f>
        <v>2055-06-05T01:29:12.988004Z</v>
      </c>
      <c r="J313" s="3" t="str">
        <f ca="1">IFERROR(__xludf.DUMMYFUNCTION("""COMPUTED_VALUE"""),"2055-06-05T02:16:46.139Z")</f>
        <v>2055-06-05T02:16:46.139Z</v>
      </c>
      <c r="K313" s="3" t="str">
        <f ca="1">IFERROR(__xludf.DUMMYFUNCTION("""COMPUTED_VALUE"""),"2055-06-05T02:07:53.139Z")</f>
        <v>2055-06-05T02:07:53.139Z</v>
      </c>
      <c r="L313" s="3">
        <f ca="1">IFERROR(__xludf.DUMMYFUNCTION("""COMPUTED_VALUE"""),1)</f>
        <v>1</v>
      </c>
      <c r="M313" s="3">
        <f ca="1">IFERROR(__xludf.DUMMYFUNCTION("""COMPUTED_VALUE"""),0)</f>
        <v>0</v>
      </c>
      <c r="N313" s="3" t="str">
        <f ca="1">IFERROR(__xludf.DUMMYFUNCTION("""COMPUTED_VALUE"""),"2055-06-05T02:05:37.217012Z")</f>
        <v>2055-06-05T02:05:37.217012Z</v>
      </c>
      <c r="O313" s="3" t="str">
        <f ca="1">IFERROR(__xludf.DUMMYFUNCTION("""COMPUTED_VALUE"""),"2055-06-05T02:23:55.248645Z")</f>
        <v>2055-06-05T02:23:55.248645Z</v>
      </c>
      <c r="P313" s="3" t="str">
        <f ca="1">IFERROR(__xludf.DUMMYFUNCTION("""COMPUTED_VALUE"""),"2055-06-05T01:29:27.408431Z")</f>
        <v>2055-06-05T01:29:27.408431Z</v>
      </c>
      <c r="Q313" s="3">
        <f ca="1">IFERROR(__xludf.DUMMYFUNCTION("""COMPUTED_VALUE"""),0)</f>
        <v>0</v>
      </c>
      <c r="R313" s="3" t="str">
        <f ca="1">IFERROR(__xludf.DUMMYFUNCTION("""COMPUTED_VALUE"""),"2055-06-05T01:29:38.136029Z")</f>
        <v>2055-06-05T01:29:38.136029Z</v>
      </c>
      <c r="S313" s="3"/>
      <c r="T313" s="3"/>
      <c r="U313" s="4">
        <f ca="1">IFERROR(__xludf.DUMMYFUNCTION("""COMPUTED_VALUE"""),56769)</f>
        <v>56769</v>
      </c>
      <c r="V313" s="3">
        <f ca="1">IFERROR(__xludf.DUMMYFUNCTION("""COMPUTED_VALUE"""),4.4)</f>
        <v>4.4000000000000004</v>
      </c>
      <c r="W313" s="3">
        <f ca="1">IFERROR(__xludf.DUMMYFUNCTION("""COMPUTED_VALUE"""),3000)</f>
        <v>3000</v>
      </c>
      <c r="X313" s="3">
        <f ca="1">IFERROR(__xludf.DUMMYFUNCTION("""COMPUTED_VALUE"""),3257)</f>
        <v>3257</v>
      </c>
      <c r="Y313" s="3"/>
      <c r="Z313" s="3"/>
      <c r="AA313" s="3">
        <f ca="1">IFERROR(__xludf.DUMMYFUNCTION("""COMPUTED_VALUE"""),1098)</f>
        <v>1098</v>
      </c>
      <c r="AB313" s="3">
        <f ca="1">IFERROR(__xludf.DUMMYFUNCTION("""COMPUTED_VALUE"""),0)</f>
        <v>0</v>
      </c>
      <c r="AC313" s="3">
        <f ca="1">IFERROR(__xludf.DUMMYFUNCTION("""COMPUTED_VALUE"""),2)</f>
        <v>2</v>
      </c>
      <c r="AD313" s="3"/>
      <c r="AE313" s="3" t="str">
        <f ca="1">IFERROR(__xludf.DUMMYFUNCTION("""COMPUTED_VALUE"""),"2055-06-04T22:05:37.217012Z")</f>
        <v>2055-06-04T22:05:37.217012Z</v>
      </c>
      <c r="AF313" s="3" t="str">
        <f ca="1">IFERROR(__xludf.DUMMYFUNCTION("""COMPUTED_VALUE"""),"2055-06-04T22:23:55.248645Z")</f>
        <v>2055-06-04T22:23:55.248645Z</v>
      </c>
      <c r="AG313" s="3" t="str">
        <f ca="1">IFERROR(__xludf.DUMMYFUNCTION("""COMPUTED_VALUE"""),"2055-06-04T21:29:27.408431Z")</f>
        <v>2055-06-04T21:29:27.408431Z</v>
      </c>
      <c r="AH313" s="3"/>
      <c r="AI313" s="3">
        <f ca="1">IFERROR(__xludf.DUMMYFUNCTION("""COMPUTED_VALUE"""),4.22)</f>
        <v>4.22</v>
      </c>
      <c r="AJ313" s="3">
        <f ca="1">IFERROR(__xludf.DUMMYFUNCTION("""COMPUTED_VALUE"""),1551)</f>
        <v>1551</v>
      </c>
      <c r="AK313" s="3">
        <f ca="1">IFERROR(__xludf.DUMMYFUNCTION("""COMPUTED_VALUE"""),4625)</f>
        <v>4625</v>
      </c>
      <c r="AL313" s="3"/>
    </row>
    <row r="314" spans="1:38" ht="13">
      <c r="A314" s="3">
        <f ca="1">IFERROR(__xludf.DUMMYFUNCTION("""COMPUTED_VALUE"""),619)</f>
        <v>619</v>
      </c>
      <c r="B314" s="3">
        <f ca="1">IFERROR(__xludf.DUMMYFUNCTION("""COMPUTED_VALUE"""),5)</f>
        <v>5</v>
      </c>
      <c r="C314" s="3">
        <f ca="1">IFERROR(__xludf.DUMMYFUNCTION("""COMPUTED_VALUE"""),4001)</f>
        <v>4001</v>
      </c>
      <c r="D314" s="3" t="str">
        <f ca="1">IFERROR(__xludf.DUMMYFUNCTION("""COMPUTED_VALUE"""),"Dashattan")</f>
        <v>Dashattan</v>
      </c>
      <c r="E314" s="3" t="str">
        <f ca="1">IFERROR(__xludf.DUMMYFUNCTION("""COMPUTED_VALUE"""),"Galaxy A")</f>
        <v>Galaxy A</v>
      </c>
      <c r="F314" s="3" t="str">
        <f ca="1">IFERROR(__xludf.DUMMYFUNCTION("""COMPUTED_VALUE"""),"Bill")</f>
        <v>Bill</v>
      </c>
      <c r="G314" s="3">
        <f ca="1">IFERROR(__xludf.DUMMYFUNCTION("""COMPUTED_VALUE"""),0)</f>
        <v>0</v>
      </c>
      <c r="H314" s="3" t="str">
        <f ca="1">IFERROR(__xludf.DUMMYFUNCTION("""COMPUTED_VALUE"""),"car")</f>
        <v>car</v>
      </c>
      <c r="I314" s="3" t="str">
        <f ca="1">IFERROR(__xludf.DUMMYFUNCTION("""COMPUTED_VALUE"""),"2055-06-05T21:05:00.691766Z")</f>
        <v>2055-06-05T21:05:00.691766Z</v>
      </c>
      <c r="J314" s="3" t="str">
        <f ca="1">IFERROR(__xludf.DUMMYFUNCTION("""COMPUTED_VALUE"""),"2055-06-05T21:42:34.784Z")</f>
        <v>2055-06-05T21:42:34.784Z</v>
      </c>
      <c r="K314" s="3" t="str">
        <f ca="1">IFERROR(__xludf.DUMMYFUNCTION("""COMPUTED_VALUE"""),"2055-06-05T21:38:41.784Z")</f>
        <v>2055-06-05T21:38:41.784Z</v>
      </c>
      <c r="L314" s="3">
        <f ca="1">IFERROR(__xludf.DUMMYFUNCTION("""COMPUTED_VALUE"""),1)</f>
        <v>1</v>
      </c>
      <c r="M314" s="3">
        <f ca="1">IFERROR(__xludf.DUMMYFUNCTION("""COMPUTED_VALUE"""),0)</f>
        <v>0</v>
      </c>
      <c r="N314" s="3" t="str">
        <f ca="1">IFERROR(__xludf.DUMMYFUNCTION("""COMPUTED_VALUE"""),"2055-06-05T21:40:47.559464Z")</f>
        <v>2055-06-05T21:40:47.559464Z</v>
      </c>
      <c r="O314" s="3" t="str">
        <f ca="1">IFERROR(__xludf.DUMMYFUNCTION("""COMPUTED_VALUE"""),"2055-06-05T21:57:32.119578Z")</f>
        <v>2055-06-05T21:57:32.119578Z</v>
      </c>
      <c r="P314" s="3" t="str">
        <f ca="1">IFERROR(__xludf.DUMMYFUNCTION("""COMPUTED_VALUE"""),"2055-06-05T21:08:14.462138Z")</f>
        <v>2055-06-05T21:08:14.462138Z</v>
      </c>
      <c r="Q314" s="3">
        <f ca="1">IFERROR(__xludf.DUMMYFUNCTION("""COMPUTED_VALUE"""),0)</f>
        <v>0</v>
      </c>
      <c r="R314" s="3" t="str">
        <f ca="1">IFERROR(__xludf.DUMMYFUNCTION("""COMPUTED_VALUE"""),"2055-06-05T21:08:24.15345Z")</f>
        <v>2055-06-05T21:08:24.15345Z</v>
      </c>
      <c r="S314" s="3" t="str">
        <f ca="1">IFERROR(__xludf.DUMMYFUNCTION("""COMPUTED_VALUE"""),"2055-06-05T21:38:33.426965Z")</f>
        <v>2055-06-05T21:38:33.426965Z</v>
      </c>
      <c r="T314" s="3"/>
      <c r="U314" s="4">
        <f ca="1">IFERROR(__xludf.DUMMYFUNCTION("""COMPUTED_VALUE"""),56770)</f>
        <v>56770</v>
      </c>
      <c r="V314" s="3">
        <f ca="1">IFERROR(__xludf.DUMMYFUNCTION("""COMPUTED_VALUE"""),4.5)</f>
        <v>4.5</v>
      </c>
      <c r="W314" s="3">
        <f ca="1">IFERROR(__xludf.DUMMYFUNCTION("""COMPUTED_VALUE"""),3000)</f>
        <v>3000</v>
      </c>
      <c r="X314" s="3">
        <f ca="1">IFERROR(__xludf.DUMMYFUNCTION("""COMPUTED_VALUE"""),2948)</f>
        <v>2948</v>
      </c>
      <c r="Y314" s="3">
        <f ca="1">IFERROR(__xludf.DUMMYFUNCTION("""COMPUTED_VALUE"""),1809)</f>
        <v>1809</v>
      </c>
      <c r="Z314" s="3">
        <f ca="1">IFERROR(__xludf.DUMMYFUNCTION("""COMPUTED_VALUE"""),134)</f>
        <v>134</v>
      </c>
      <c r="AA314" s="3">
        <f ca="1">IFERROR(__xludf.DUMMYFUNCTION("""COMPUTED_VALUE"""),1005)</f>
        <v>1005</v>
      </c>
      <c r="AB314" s="3">
        <f ca="1">IFERROR(__xludf.DUMMYFUNCTION("""COMPUTED_VALUE"""),0)</f>
        <v>0</v>
      </c>
      <c r="AC314" s="3">
        <f ca="1">IFERROR(__xludf.DUMMYFUNCTION("""COMPUTED_VALUE"""),2)</f>
        <v>2</v>
      </c>
      <c r="AD314" s="3" t="str">
        <f ca="1">IFERROR(__xludf.DUMMYFUNCTION("""COMPUTED_VALUE"""),"late")</f>
        <v>late</v>
      </c>
      <c r="AE314" s="3" t="str">
        <f ca="1">IFERROR(__xludf.DUMMYFUNCTION("""COMPUTED_VALUE"""),"2055-06-05T17:40:47.559464Z")</f>
        <v>2055-06-05T17:40:47.559464Z</v>
      </c>
      <c r="AF314" s="3" t="str">
        <f ca="1">IFERROR(__xludf.DUMMYFUNCTION("""COMPUTED_VALUE"""),"2055-06-05T17:57:32.119578Z")</f>
        <v>2055-06-05T17:57:32.119578Z</v>
      </c>
      <c r="AG314" s="3" t="str">
        <f ca="1">IFERROR(__xludf.DUMMYFUNCTION("""COMPUTED_VALUE"""),"2055-06-05T17:08:14.462138Z")</f>
        <v>2055-06-05T17:08:14.462138Z</v>
      </c>
      <c r="AH314" s="3" t="str">
        <f ca="1">IFERROR(__xludf.DUMMYFUNCTION("""COMPUTED_VALUE"""),"2055-06-05T17:38:33.426965Z")</f>
        <v>2055-06-05T17:38:33.426965Z</v>
      </c>
      <c r="AI314" s="3">
        <f ca="1">IFERROR(__xludf.DUMMYFUNCTION("""COMPUTED_VALUE"""),4.46)</f>
        <v>4.46</v>
      </c>
      <c r="AJ314" s="3">
        <f ca="1">IFERROR(__xludf.DUMMYFUNCTION("""COMPUTED_VALUE"""),148)</f>
        <v>148</v>
      </c>
      <c r="AK314" s="3">
        <f ca="1">IFERROR(__xludf.DUMMYFUNCTION("""COMPUTED_VALUE"""),435)</f>
        <v>435</v>
      </c>
      <c r="AL314" s="3"/>
    </row>
    <row r="315" spans="1:38" ht="13">
      <c r="A315" s="3">
        <f ca="1">IFERROR(__xludf.DUMMYFUNCTION("""COMPUTED_VALUE"""),750)</f>
        <v>750</v>
      </c>
      <c r="B315" s="3"/>
      <c r="C315" s="3">
        <f ca="1">IFERROR(__xludf.DUMMYFUNCTION("""COMPUTED_VALUE"""),4050)</f>
        <v>4050</v>
      </c>
      <c r="D315" s="3" t="str">
        <f ca="1">IFERROR(__xludf.DUMMYFUNCTION("""COMPUTED_VALUE"""),"Doorlanta")</f>
        <v>Doorlanta</v>
      </c>
      <c r="E315" s="3" t="str">
        <f ca="1">IFERROR(__xludf.DUMMYFUNCTION("""COMPUTED_VALUE"""),"Galaxy A")</f>
        <v>Galaxy A</v>
      </c>
      <c r="F315" s="3" t="str">
        <f ca="1">IFERROR(__xludf.DUMMYFUNCTION("""COMPUTED_VALUE"""),"Joe")</f>
        <v>Joe</v>
      </c>
      <c r="G315" s="3">
        <f ca="1">IFERROR(__xludf.DUMMYFUNCTION("""COMPUTED_VALUE"""),0)</f>
        <v>0</v>
      </c>
      <c r="H315" s="3" t="str">
        <f ca="1">IFERROR(__xludf.DUMMYFUNCTION("""COMPUTED_VALUE"""),"car")</f>
        <v>car</v>
      </c>
      <c r="I315" s="3" t="str">
        <f ca="1">IFERROR(__xludf.DUMMYFUNCTION("""COMPUTED_VALUE"""),"2055-06-06T17:30:35.919706Z")</f>
        <v>2055-06-06T17:30:35.919706Z</v>
      </c>
      <c r="J315" s="3" t="str">
        <f ca="1">IFERROR(__xludf.DUMMYFUNCTION("""COMPUTED_VALUE"""),"2055-06-06T18:15:36.074Z")</f>
        <v>2055-06-06T18:15:36.074Z</v>
      </c>
      <c r="K315" s="3" t="str">
        <f ca="1">IFERROR(__xludf.DUMMYFUNCTION("""COMPUTED_VALUE"""),"2055-06-06T17:53:45.074Z")</f>
        <v>2055-06-06T17:53:45.074Z</v>
      </c>
      <c r="L315" s="3">
        <f ca="1">IFERROR(__xludf.DUMMYFUNCTION("""COMPUTED_VALUE"""),1)</f>
        <v>1</v>
      </c>
      <c r="M315" s="3">
        <f ca="1">IFERROR(__xludf.DUMMYFUNCTION("""COMPUTED_VALUE"""),0)</f>
        <v>0</v>
      </c>
      <c r="N315" s="3" t="str">
        <f ca="1">IFERROR(__xludf.DUMMYFUNCTION("""COMPUTED_VALUE"""),"2055-06-06T17:55:30.32519Z")</f>
        <v>2055-06-06T17:55:30.32519Z</v>
      </c>
      <c r="O315" s="3" t="str">
        <f ca="1">IFERROR(__xludf.DUMMYFUNCTION("""COMPUTED_VALUE"""),"2055-06-06T18:04:39.517534Z")</f>
        <v>2055-06-06T18:04:39.517534Z</v>
      </c>
      <c r="P315" s="3" t="str">
        <f ca="1">IFERROR(__xludf.DUMMYFUNCTION("""COMPUTED_VALUE"""),"2055-06-06T17:31:47.24201Z")</f>
        <v>2055-06-06T17:31:47.24201Z</v>
      </c>
      <c r="Q315" s="3">
        <f ca="1">IFERROR(__xludf.DUMMYFUNCTION("""COMPUTED_VALUE"""),0)</f>
        <v>0</v>
      </c>
      <c r="R315" s="3" t="str">
        <f ca="1">IFERROR(__xludf.DUMMYFUNCTION("""COMPUTED_VALUE"""),"2055-06-06T17:31:52.994113Z")</f>
        <v>2055-06-06T17:31:52.994113Z</v>
      </c>
      <c r="S315" s="3" t="str">
        <f ca="1">IFERROR(__xludf.DUMMYFUNCTION("""COMPUTED_VALUE"""),"2055-06-06T17:54:58.449149Z")</f>
        <v>2055-06-06T17:54:58.449149Z</v>
      </c>
      <c r="T315" s="3"/>
      <c r="U315" s="4">
        <f ca="1">IFERROR(__xludf.DUMMYFUNCTION("""COMPUTED_VALUE"""),56771)</f>
        <v>56771</v>
      </c>
      <c r="V315" s="3">
        <f ca="1">IFERROR(__xludf.DUMMYFUNCTION("""COMPUTED_VALUE"""),4.8)</f>
        <v>4.8</v>
      </c>
      <c r="W315" s="3">
        <f ca="1">IFERROR(__xludf.DUMMYFUNCTION("""COMPUTED_VALUE"""),3000)</f>
        <v>3000</v>
      </c>
      <c r="X315" s="3">
        <f ca="1">IFERROR(__xludf.DUMMYFUNCTION("""COMPUTED_VALUE"""),1967)</f>
        <v>1967</v>
      </c>
      <c r="Y315" s="3">
        <f ca="1">IFERROR(__xludf.DUMMYFUNCTION("""COMPUTED_VALUE"""),1386)</f>
        <v>1386</v>
      </c>
      <c r="Z315" s="3">
        <f ca="1">IFERROR(__xludf.DUMMYFUNCTION("""COMPUTED_VALUE"""),32)</f>
        <v>32</v>
      </c>
      <c r="AA315" s="3">
        <f ca="1">IFERROR(__xludf.DUMMYFUNCTION("""COMPUTED_VALUE"""),549)</f>
        <v>549</v>
      </c>
      <c r="AB315" s="3">
        <f ca="1">IFERROR(__xludf.DUMMYFUNCTION("""COMPUTED_VALUE"""),0)</f>
        <v>0</v>
      </c>
      <c r="AC315" s="3">
        <f ca="1">IFERROR(__xludf.DUMMYFUNCTION("""COMPUTED_VALUE"""),4)</f>
        <v>4</v>
      </c>
      <c r="AD315" s="3" t="str">
        <f ca="1">IFERROR(__xludf.DUMMYFUNCTION("""COMPUTED_VALUE"""),"late")</f>
        <v>late</v>
      </c>
      <c r="AE315" s="3" t="str">
        <f ca="1">IFERROR(__xludf.DUMMYFUNCTION("""COMPUTED_VALUE"""),"2055-06-06T13:55:30.32519Z")</f>
        <v>2055-06-06T13:55:30.32519Z</v>
      </c>
      <c r="AF315" s="3" t="str">
        <f ca="1">IFERROR(__xludf.DUMMYFUNCTION("""COMPUTED_VALUE"""),"2055-06-06T14:04:39.517534Z")</f>
        <v>2055-06-06T14:04:39.517534Z</v>
      </c>
      <c r="AG315" s="3" t="str">
        <f ca="1">IFERROR(__xludf.DUMMYFUNCTION("""COMPUTED_VALUE"""),"2055-06-06T13:31:47.24201Z")</f>
        <v>2055-06-06T13:31:47.24201Z</v>
      </c>
      <c r="AH315" s="3" t="str">
        <f ca="1">IFERROR(__xludf.DUMMYFUNCTION("""COMPUTED_VALUE"""),"2055-06-06T13:54:58.449149Z")</f>
        <v>2055-06-06T13:54:58.449149Z</v>
      </c>
      <c r="AI315" s="3">
        <f ca="1">IFERROR(__xludf.DUMMYFUNCTION("""COMPUTED_VALUE"""),4.38)</f>
        <v>4.38</v>
      </c>
      <c r="AJ315" s="3">
        <f ca="1">IFERROR(__xludf.DUMMYFUNCTION("""COMPUTED_VALUE"""),196)</f>
        <v>196</v>
      </c>
      <c r="AK315" s="3">
        <f ca="1">IFERROR(__xludf.DUMMYFUNCTION("""COMPUTED_VALUE"""),626)</f>
        <v>626</v>
      </c>
      <c r="AL315" s="3"/>
    </row>
    <row r="316" spans="1:38" ht="13">
      <c r="A316" s="3">
        <f ca="1">IFERROR(__xludf.DUMMYFUNCTION("""COMPUTED_VALUE"""),957)</f>
        <v>957</v>
      </c>
      <c r="B316" s="3">
        <f ca="1">IFERROR(__xludf.DUMMYFUNCTION("""COMPUTED_VALUE"""),5)</f>
        <v>5</v>
      </c>
      <c r="C316" s="3">
        <f ca="1">IFERROR(__xludf.DUMMYFUNCTION("""COMPUTED_VALUE"""),4001)</f>
        <v>4001</v>
      </c>
      <c r="D316" s="3" t="str">
        <f ca="1">IFERROR(__xludf.DUMMYFUNCTION("""COMPUTED_VALUE"""),"Dashattan")</f>
        <v>Dashattan</v>
      </c>
      <c r="E316" s="3" t="str">
        <f ca="1">IFERROR(__xludf.DUMMYFUNCTION("""COMPUTED_VALUE"""),"Galaxy A")</f>
        <v>Galaxy A</v>
      </c>
      <c r="F316" s="3" t="str">
        <f ca="1">IFERROR(__xludf.DUMMYFUNCTION("""COMPUTED_VALUE"""),"KC")</f>
        <v>KC</v>
      </c>
      <c r="G316" s="3">
        <f ca="1">IFERROR(__xludf.DUMMYFUNCTION("""COMPUTED_VALUE"""),0)</f>
        <v>0</v>
      </c>
      <c r="H316" s="3" t="str">
        <f ca="1">IFERROR(__xludf.DUMMYFUNCTION("""COMPUTED_VALUE"""),"car")</f>
        <v>car</v>
      </c>
      <c r="I316" s="3" t="str">
        <f ca="1">IFERROR(__xludf.DUMMYFUNCTION("""COMPUTED_VALUE"""),"2055-06-08T18:42:29.635853Z")</f>
        <v>2055-06-08T18:42:29.635853Z</v>
      </c>
      <c r="J316" s="3" t="str">
        <f ca="1">IFERROR(__xludf.DUMMYFUNCTION("""COMPUTED_VALUE"""),"2055-06-08T20:11:32.697Z")</f>
        <v>2055-06-08T20:11:32.697Z</v>
      </c>
      <c r="K316" s="3" t="str">
        <f ca="1">IFERROR(__xludf.DUMMYFUNCTION("""COMPUTED_VALUE"""),"2055-06-08T19:43:19.697Z")</f>
        <v>2055-06-08T19:43:19.697Z</v>
      </c>
      <c r="L316" s="3">
        <f ca="1">IFERROR(__xludf.DUMMYFUNCTION("""COMPUTED_VALUE"""),1)</f>
        <v>1</v>
      </c>
      <c r="M316" s="3">
        <f ca="1">IFERROR(__xludf.DUMMYFUNCTION("""COMPUTED_VALUE"""),0)</f>
        <v>0</v>
      </c>
      <c r="N316" s="3" t="str">
        <f ca="1">IFERROR(__xludf.DUMMYFUNCTION("""COMPUTED_VALUE"""),"2055-06-08T19:47:00.102911Z")</f>
        <v>2055-06-08T19:47:00.102911Z</v>
      </c>
      <c r="O316" s="3" t="str">
        <f ca="1">IFERROR(__xludf.DUMMYFUNCTION("""COMPUTED_VALUE"""),"2055-06-08T20:02:40.948932Z")</f>
        <v>2055-06-08T20:02:40.948932Z</v>
      </c>
      <c r="P316" s="3" t="str">
        <f ca="1">IFERROR(__xludf.DUMMYFUNCTION("""COMPUTED_VALUE"""),"2055-06-08T19:29:26.898465Z")</f>
        <v>2055-06-08T19:29:26.898465Z</v>
      </c>
      <c r="Q316" s="3">
        <f ca="1">IFERROR(__xludf.DUMMYFUNCTION("""COMPUTED_VALUE"""),1)</f>
        <v>1</v>
      </c>
      <c r="R316" s="3" t="str">
        <f ca="1">IFERROR(__xludf.DUMMYFUNCTION("""COMPUTED_VALUE"""),"2055-06-08T19:29:38.346963Z")</f>
        <v>2055-06-08T19:29:38.346963Z</v>
      </c>
      <c r="S316" s="3" t="str">
        <f ca="1">IFERROR(__xludf.DUMMYFUNCTION("""COMPUTED_VALUE"""),"2055-06-08T19:42:33.978666Z")</f>
        <v>2055-06-08T19:42:33.978666Z</v>
      </c>
      <c r="T316" s="3"/>
      <c r="U316" s="4">
        <f ca="1">IFERROR(__xludf.DUMMYFUNCTION("""COMPUTED_VALUE"""),56773)</f>
        <v>56773</v>
      </c>
      <c r="V316" s="3">
        <f ca="1">IFERROR(__xludf.DUMMYFUNCTION("""COMPUTED_VALUE"""),4.5)</f>
        <v>4.5</v>
      </c>
      <c r="W316" s="3">
        <f ca="1">IFERROR(__xludf.DUMMYFUNCTION("""COMPUTED_VALUE"""),3000)</f>
        <v>3000</v>
      </c>
      <c r="X316" s="3">
        <f ca="1">IFERROR(__xludf.DUMMYFUNCTION("""COMPUTED_VALUE"""),1982)</f>
        <v>1982</v>
      </c>
      <c r="Y316" s="3">
        <f ca="1">IFERROR(__xludf.DUMMYFUNCTION("""COMPUTED_VALUE"""),775)</f>
        <v>775</v>
      </c>
      <c r="Z316" s="3">
        <f ca="1">IFERROR(__xludf.DUMMYFUNCTION("""COMPUTED_VALUE"""),267)</f>
        <v>267</v>
      </c>
      <c r="AA316" s="3">
        <f ca="1">IFERROR(__xludf.DUMMYFUNCTION("""COMPUTED_VALUE"""),940)</f>
        <v>940</v>
      </c>
      <c r="AB316" s="3">
        <f ca="1">IFERROR(__xludf.DUMMYFUNCTION("""COMPUTED_VALUE"""),1)</f>
        <v>1</v>
      </c>
      <c r="AC316" s="3">
        <f ca="1">IFERROR(__xludf.DUMMYFUNCTION("""COMPUTED_VALUE"""),3)</f>
        <v>3</v>
      </c>
      <c r="AD316" s="3"/>
      <c r="AE316" s="3" t="str">
        <f ca="1">IFERROR(__xludf.DUMMYFUNCTION("""COMPUTED_VALUE"""),"2055-06-08T15:47:00.102911Z")</f>
        <v>2055-06-08T15:47:00.102911Z</v>
      </c>
      <c r="AF316" s="3" t="str">
        <f ca="1">IFERROR(__xludf.DUMMYFUNCTION("""COMPUTED_VALUE"""),"2055-06-08T16:02:40.948932Z")</f>
        <v>2055-06-08T16:02:40.948932Z</v>
      </c>
      <c r="AG316" s="3" t="str">
        <f ca="1">IFERROR(__xludf.DUMMYFUNCTION("""COMPUTED_VALUE"""),"2055-06-08T15:29:26.898465Z")</f>
        <v>2055-06-08T15:29:26.898465Z</v>
      </c>
      <c r="AH316" s="3" t="str">
        <f ca="1">IFERROR(__xludf.DUMMYFUNCTION("""COMPUTED_VALUE"""),"2055-06-08T15:42:33.978666Z")</f>
        <v>2055-06-08T15:42:33.978666Z</v>
      </c>
      <c r="AI316" s="3">
        <f ca="1">IFERROR(__xludf.DUMMYFUNCTION("""COMPUTED_VALUE"""),4.54)</f>
        <v>4.54</v>
      </c>
      <c r="AJ316" s="3">
        <f ca="1">IFERROR(__xludf.DUMMYFUNCTION("""COMPUTED_VALUE"""),2229)</f>
        <v>2229</v>
      </c>
      <c r="AK316" s="3">
        <f ca="1">IFERROR(__xludf.DUMMYFUNCTION("""COMPUTED_VALUE"""),6580)</f>
        <v>6580</v>
      </c>
      <c r="AL316" s="3"/>
    </row>
    <row r="317" spans="1:38" ht="13">
      <c r="A317" s="3">
        <f ca="1">IFERROR(__xludf.DUMMYFUNCTION("""COMPUTED_VALUE"""),1365)</f>
        <v>1365</v>
      </c>
      <c r="B317" s="3"/>
      <c r="C317" s="3">
        <f ca="1">IFERROR(__xludf.DUMMYFUNCTION("""COMPUTED_VALUE"""),4001)</f>
        <v>4001</v>
      </c>
      <c r="D317" s="3" t="str">
        <f ca="1">IFERROR(__xludf.DUMMYFUNCTION("""COMPUTED_VALUE"""),"Dashattan")</f>
        <v>Dashattan</v>
      </c>
      <c r="E317" s="3" t="str">
        <f ca="1">IFERROR(__xludf.DUMMYFUNCTION("""COMPUTED_VALUE"""),"Galaxy A")</f>
        <v>Galaxy A</v>
      </c>
      <c r="F317" s="3" t="str">
        <f ca="1">IFERROR(__xludf.DUMMYFUNCTION("""COMPUTED_VALUE"""),"Rojan")</f>
        <v>Rojan</v>
      </c>
      <c r="G317" s="3">
        <f ca="1">IFERROR(__xludf.DUMMYFUNCTION("""COMPUTED_VALUE"""),0)</f>
        <v>0</v>
      </c>
      <c r="H317" s="3" t="str">
        <f ca="1">IFERROR(__xludf.DUMMYFUNCTION("""COMPUTED_VALUE"""),"bicycle")</f>
        <v>bicycle</v>
      </c>
      <c r="I317" s="3" t="str">
        <f ca="1">IFERROR(__xludf.DUMMYFUNCTION("""COMPUTED_VALUE"""),"2055-06-12T00:59:08.528947Z")</f>
        <v>2055-06-12T00:59:08.528947Z</v>
      </c>
      <c r="J317" s="3" t="str">
        <f ca="1">IFERROR(__xludf.DUMMYFUNCTION("""COMPUTED_VALUE"""),"2055-06-12T01:54:11.608Z")</f>
        <v>2055-06-12T01:54:11.608Z</v>
      </c>
      <c r="K317" s="3" t="str">
        <f ca="1">IFERROR(__xludf.DUMMYFUNCTION("""COMPUTED_VALUE"""),"2055-06-12T01:35:18.608Z")</f>
        <v>2055-06-12T01:35:18.608Z</v>
      </c>
      <c r="L317" s="3">
        <f ca="1">IFERROR(__xludf.DUMMYFUNCTION("""COMPUTED_VALUE"""),1)</f>
        <v>1</v>
      </c>
      <c r="M317" s="3">
        <f ca="1">IFERROR(__xludf.DUMMYFUNCTION("""COMPUTED_VALUE"""),0)</f>
        <v>0</v>
      </c>
      <c r="N317" s="3" t="str">
        <f ca="1">IFERROR(__xludf.DUMMYFUNCTION("""COMPUTED_VALUE"""),"2055-06-12T01:27:49.035047Z")</f>
        <v>2055-06-12T01:27:49.035047Z</v>
      </c>
      <c r="O317" s="3" t="str">
        <f ca="1">IFERROR(__xludf.DUMMYFUNCTION("""COMPUTED_VALUE"""),"2055-06-12T01:39:53.588369Z")</f>
        <v>2055-06-12T01:39:53.588369Z</v>
      </c>
      <c r="P317" s="3" t="str">
        <f ca="1">IFERROR(__xludf.DUMMYFUNCTION("""COMPUTED_VALUE"""),"2055-06-12T01:05:14.35961Z")</f>
        <v>2055-06-12T01:05:14.35961Z</v>
      </c>
      <c r="Q317" s="3">
        <f ca="1">IFERROR(__xludf.DUMMYFUNCTION("""COMPUTED_VALUE"""),0)</f>
        <v>0</v>
      </c>
      <c r="R317" s="3" t="str">
        <f ca="1">IFERROR(__xludf.DUMMYFUNCTION("""COMPUTED_VALUE"""),"2055-06-12T01:05:26.760604Z")</f>
        <v>2055-06-12T01:05:26.760604Z</v>
      </c>
      <c r="S317" s="3" t="str">
        <f ca="1">IFERROR(__xludf.DUMMYFUNCTION("""COMPUTED_VALUE"""),"2055-06-12T01:15:05.374236Z")</f>
        <v>2055-06-12T01:15:05.374236Z</v>
      </c>
      <c r="T317" s="3"/>
      <c r="U317" s="4">
        <f ca="1">IFERROR(__xludf.DUMMYFUNCTION("""COMPUTED_VALUE"""),56776)</f>
        <v>56776</v>
      </c>
      <c r="V317" s="3">
        <f ca="1">IFERROR(__xludf.DUMMYFUNCTION("""COMPUTED_VALUE"""),4.4)</f>
        <v>4.4000000000000004</v>
      </c>
      <c r="W317" s="3">
        <f ca="1">IFERROR(__xludf.DUMMYFUNCTION("""COMPUTED_VALUE"""),3000)</f>
        <v>3000</v>
      </c>
      <c r="X317" s="3">
        <f ca="1">IFERROR(__xludf.DUMMYFUNCTION("""COMPUTED_VALUE"""),2067)</f>
        <v>2067</v>
      </c>
      <c r="Y317" s="3">
        <f ca="1">IFERROR(__xludf.DUMMYFUNCTION("""COMPUTED_VALUE"""),579)</f>
        <v>579</v>
      </c>
      <c r="Z317" s="3">
        <f ca="1">IFERROR(__xludf.DUMMYFUNCTION("""COMPUTED_VALUE"""),764)</f>
        <v>764</v>
      </c>
      <c r="AA317" s="3">
        <f ca="1">IFERROR(__xludf.DUMMYFUNCTION("""COMPUTED_VALUE"""),724)</f>
        <v>724</v>
      </c>
      <c r="AB317" s="3">
        <f ca="1">IFERROR(__xludf.DUMMYFUNCTION("""COMPUTED_VALUE"""),0)</f>
        <v>0</v>
      </c>
      <c r="AC317" s="3">
        <f ca="1">IFERROR(__xludf.DUMMYFUNCTION("""COMPUTED_VALUE"""),2)</f>
        <v>2</v>
      </c>
      <c r="AD317" s="3" t="str">
        <f ca="1">IFERROR(__xludf.DUMMYFUNCTION("""COMPUTED_VALUE"""),"early")</f>
        <v>early</v>
      </c>
      <c r="AE317" s="3" t="str">
        <f ca="1">IFERROR(__xludf.DUMMYFUNCTION("""COMPUTED_VALUE"""),"2055-06-11T21:27:49.035047Z")</f>
        <v>2055-06-11T21:27:49.035047Z</v>
      </c>
      <c r="AF317" s="3" t="str">
        <f ca="1">IFERROR(__xludf.DUMMYFUNCTION("""COMPUTED_VALUE"""),"2055-06-11T21:39:53.588369Z")</f>
        <v>2055-06-11T21:39:53.588369Z</v>
      </c>
      <c r="AG317" s="3" t="str">
        <f ca="1">IFERROR(__xludf.DUMMYFUNCTION("""COMPUTED_VALUE"""),"2055-06-11T21:05:14.35961Z")</f>
        <v>2055-06-11T21:05:14.35961Z</v>
      </c>
      <c r="AH317" s="3" t="str">
        <f ca="1">IFERROR(__xludf.DUMMYFUNCTION("""COMPUTED_VALUE"""),"2055-06-11T21:15:05.374236Z")</f>
        <v>2055-06-11T21:15:05.374236Z</v>
      </c>
      <c r="AI317" s="3">
        <f ca="1">IFERROR(__xludf.DUMMYFUNCTION("""COMPUTED_VALUE"""),4.58)</f>
        <v>4.58</v>
      </c>
      <c r="AJ317" s="3">
        <f ca="1">IFERROR(__xludf.DUMMYFUNCTION("""COMPUTED_VALUE"""),254)</f>
        <v>254</v>
      </c>
      <c r="AK317" s="3">
        <f ca="1">IFERROR(__xludf.DUMMYFUNCTION("""COMPUTED_VALUE"""),788)</f>
        <v>788</v>
      </c>
      <c r="AL317" s="3">
        <f ca="1">IFERROR(__xludf.DUMMYFUNCTION("""COMPUTED_VALUE"""),9)</f>
        <v>9</v>
      </c>
    </row>
    <row r="318" spans="1:38" ht="13">
      <c r="A318" s="3">
        <f ca="1">IFERROR(__xludf.DUMMYFUNCTION("""COMPUTED_VALUE"""),1467)</f>
        <v>1467</v>
      </c>
      <c r="B318" s="3"/>
      <c r="C318" s="3">
        <f ca="1">IFERROR(__xludf.DUMMYFUNCTION("""COMPUTED_VALUE"""),4001)</f>
        <v>4001</v>
      </c>
      <c r="D318" s="3" t="str">
        <f ca="1">IFERROR(__xludf.DUMMYFUNCTION("""COMPUTED_VALUE"""),"Dashattan")</f>
        <v>Dashattan</v>
      </c>
      <c r="E318" s="3" t="str">
        <f ca="1">IFERROR(__xludf.DUMMYFUNCTION("""COMPUTED_VALUE"""),"Galaxy A")</f>
        <v>Galaxy A</v>
      </c>
      <c r="F318" s="3" t="str">
        <f ca="1">IFERROR(__xludf.DUMMYFUNCTION("""COMPUTED_VALUE"""),"KC")</f>
        <v>KC</v>
      </c>
      <c r="G318" s="3">
        <f ca="1">IFERROR(__xludf.DUMMYFUNCTION("""COMPUTED_VALUE"""),0)</f>
        <v>0</v>
      </c>
      <c r="H318" s="3" t="str">
        <f ca="1">IFERROR(__xludf.DUMMYFUNCTION("""COMPUTED_VALUE"""),"car")</f>
        <v>car</v>
      </c>
      <c r="I318" s="3" t="str">
        <f ca="1">IFERROR(__xludf.DUMMYFUNCTION("""COMPUTED_VALUE"""),"2055-06-12T21:52:17.921283Z")</f>
        <v>2055-06-12T21:52:17.921283Z</v>
      </c>
      <c r="J318" s="3" t="str">
        <f ca="1">IFERROR(__xludf.DUMMYFUNCTION("""COMPUTED_VALUE"""),"2055-06-12T22:53:42.975Z")</f>
        <v>2055-06-12T22:53:42.975Z</v>
      </c>
      <c r="K318" s="3" t="str">
        <f ca="1">IFERROR(__xludf.DUMMYFUNCTION("""COMPUTED_VALUE"""),"2055-06-12T22:34:49.975Z")</f>
        <v>2055-06-12T22:34:49.975Z</v>
      </c>
      <c r="L318" s="3">
        <f ca="1">IFERROR(__xludf.DUMMYFUNCTION("""COMPUTED_VALUE"""),1)</f>
        <v>1</v>
      </c>
      <c r="M318" s="3">
        <f ca="1">IFERROR(__xludf.DUMMYFUNCTION("""COMPUTED_VALUE"""),0)</f>
        <v>0</v>
      </c>
      <c r="N318" s="3" t="str">
        <f ca="1">IFERROR(__xludf.DUMMYFUNCTION("""COMPUTED_VALUE"""),"2055-06-12T22:13:07.679434Z")</f>
        <v>2055-06-12T22:13:07.679434Z</v>
      </c>
      <c r="O318" s="3" t="str">
        <f ca="1">IFERROR(__xludf.DUMMYFUNCTION("""COMPUTED_VALUE"""),"2055-06-12T22:26:04.744407Z")</f>
        <v>2055-06-12T22:26:04.744407Z</v>
      </c>
      <c r="P318" s="3" t="str">
        <f ca="1">IFERROR(__xludf.DUMMYFUNCTION("""COMPUTED_VALUE"""),"2055-06-12T21:52:34.808415Z")</f>
        <v>2055-06-12T21:52:34.808415Z</v>
      </c>
      <c r="Q318" s="3">
        <f ca="1">IFERROR(__xludf.DUMMYFUNCTION("""COMPUTED_VALUE"""),0)</f>
        <v>0</v>
      </c>
      <c r="R318" s="3" t="str">
        <f ca="1">IFERROR(__xludf.DUMMYFUNCTION("""COMPUTED_VALUE"""),"2055-06-12T21:52:45.697494Z")</f>
        <v>2055-06-12T21:52:45.697494Z</v>
      </c>
      <c r="S318" s="3" t="str">
        <f ca="1">IFERROR(__xludf.DUMMYFUNCTION("""COMPUTED_VALUE"""),"2055-06-12T21:57:53.608102Z")</f>
        <v>2055-06-12T21:57:53.608102Z</v>
      </c>
      <c r="T318" s="3"/>
      <c r="U318" s="4">
        <f ca="1">IFERROR(__xludf.DUMMYFUNCTION("""COMPUTED_VALUE"""),56777)</f>
        <v>56777</v>
      </c>
      <c r="V318" s="3">
        <f ca="1">IFERROR(__xludf.DUMMYFUNCTION("""COMPUTED_VALUE"""),4.4)</f>
        <v>4.4000000000000004</v>
      </c>
      <c r="W318" s="3">
        <f ca="1">IFERROR(__xludf.DUMMYFUNCTION("""COMPUTED_VALUE"""),3000)</f>
        <v>3000</v>
      </c>
      <c r="X318" s="3">
        <f ca="1">IFERROR(__xludf.DUMMYFUNCTION("""COMPUTED_VALUE"""),1999)</f>
        <v>1999</v>
      </c>
      <c r="Y318" s="3">
        <f ca="1">IFERROR(__xludf.DUMMYFUNCTION("""COMPUTED_VALUE"""),308)</f>
        <v>308</v>
      </c>
      <c r="Z318" s="3">
        <f ca="1">IFERROR(__xludf.DUMMYFUNCTION("""COMPUTED_VALUE"""),914)</f>
        <v>914</v>
      </c>
      <c r="AA318" s="3">
        <f ca="1">IFERROR(__xludf.DUMMYFUNCTION("""COMPUTED_VALUE"""),777)</f>
        <v>777</v>
      </c>
      <c r="AB318" s="3">
        <f ca="1">IFERROR(__xludf.DUMMYFUNCTION("""COMPUTED_VALUE"""),0)</f>
        <v>0</v>
      </c>
      <c r="AC318" s="3">
        <f ca="1">IFERROR(__xludf.DUMMYFUNCTION("""COMPUTED_VALUE"""),3)</f>
        <v>3</v>
      </c>
      <c r="AD318" s="3" t="str">
        <f ca="1">IFERROR(__xludf.DUMMYFUNCTION("""COMPUTED_VALUE"""),"early")</f>
        <v>early</v>
      </c>
      <c r="AE318" s="3" t="str">
        <f ca="1">IFERROR(__xludf.DUMMYFUNCTION("""COMPUTED_VALUE"""),"2055-06-12T18:13:07.679434Z")</f>
        <v>2055-06-12T18:13:07.679434Z</v>
      </c>
      <c r="AF318" s="3" t="str">
        <f ca="1">IFERROR(__xludf.DUMMYFUNCTION("""COMPUTED_VALUE"""),"2055-06-12T18:26:04.744407Z")</f>
        <v>2055-06-12T18:26:04.744407Z</v>
      </c>
      <c r="AG318" s="3" t="str">
        <f ca="1">IFERROR(__xludf.DUMMYFUNCTION("""COMPUTED_VALUE"""),"2055-06-12T17:52:34.808415Z")</f>
        <v>2055-06-12T17:52:34.808415Z</v>
      </c>
      <c r="AH318" s="3" t="str">
        <f ca="1">IFERROR(__xludf.DUMMYFUNCTION("""COMPUTED_VALUE"""),"2055-06-12T17:57:53.608102Z")</f>
        <v>2055-06-12T17:57:53.608102Z</v>
      </c>
      <c r="AI318" s="3">
        <f ca="1">IFERROR(__xludf.DUMMYFUNCTION("""COMPUTED_VALUE"""),4.54)</f>
        <v>4.54</v>
      </c>
      <c r="AJ318" s="3">
        <f ca="1">IFERROR(__xludf.DUMMYFUNCTION("""COMPUTED_VALUE"""),2229)</f>
        <v>2229</v>
      </c>
      <c r="AK318" s="3">
        <f ca="1">IFERROR(__xludf.DUMMYFUNCTION("""COMPUTED_VALUE"""),6580)</f>
        <v>6580</v>
      </c>
      <c r="AL318" s="3"/>
    </row>
    <row r="319" spans="1:38" ht="13">
      <c r="A319" s="3">
        <f ca="1">IFERROR(__xludf.DUMMYFUNCTION("""COMPUTED_VALUE"""),816)</f>
        <v>816</v>
      </c>
      <c r="B319" s="3"/>
      <c r="C319" s="3">
        <f ca="1">IFERROR(__xludf.DUMMYFUNCTION("""COMPUTED_VALUE"""),4001)</f>
        <v>4001</v>
      </c>
      <c r="D319" s="3" t="str">
        <f ca="1">IFERROR(__xludf.DUMMYFUNCTION("""COMPUTED_VALUE"""),"Dashattan")</f>
        <v>Dashattan</v>
      </c>
      <c r="E319" s="3" t="str">
        <f ca="1">IFERROR(__xludf.DUMMYFUNCTION("""COMPUTED_VALUE"""),"Galaxy A")</f>
        <v>Galaxy A</v>
      </c>
      <c r="F319" s="3" t="str">
        <f ca="1">IFERROR(__xludf.DUMMYFUNCTION("""COMPUTED_VALUE"""),"KC")</f>
        <v>KC</v>
      </c>
      <c r="G319" s="3">
        <f ca="1">IFERROR(__xludf.DUMMYFUNCTION("""COMPUTED_VALUE"""),0)</f>
        <v>0</v>
      </c>
      <c r="H319" s="3" t="str">
        <f ca="1">IFERROR(__xludf.DUMMYFUNCTION("""COMPUTED_VALUE"""),"car")</f>
        <v>car</v>
      </c>
      <c r="I319" s="3" t="str">
        <f ca="1">IFERROR(__xludf.DUMMYFUNCTION("""COMPUTED_VALUE"""),"2055-06-07T01:22:55.352389Z")</f>
        <v>2055-06-07T01:22:55.352389Z</v>
      </c>
      <c r="J319" s="3" t="str">
        <f ca="1">IFERROR(__xludf.DUMMYFUNCTION("""COMPUTED_VALUE"""),"2055-06-07T02:03:19.432Z")</f>
        <v>2055-06-07T02:03:19.432Z</v>
      </c>
      <c r="K319" s="3" t="str">
        <f ca="1">IFERROR(__xludf.DUMMYFUNCTION("""COMPUTED_VALUE"""),"2055-06-07T01:58:40.432Z")</f>
        <v>2055-06-07T01:58:40.432Z</v>
      </c>
      <c r="L319" s="3">
        <f ca="1">IFERROR(__xludf.DUMMYFUNCTION("""COMPUTED_VALUE"""),1)</f>
        <v>1</v>
      </c>
      <c r="M319" s="3">
        <f ca="1">IFERROR(__xludf.DUMMYFUNCTION("""COMPUTED_VALUE"""),0)</f>
        <v>0</v>
      </c>
      <c r="N319" s="3" t="str">
        <f ca="1">IFERROR(__xludf.DUMMYFUNCTION("""COMPUTED_VALUE"""),"2055-06-07T01:45:23.662391Z")</f>
        <v>2055-06-07T01:45:23.662391Z</v>
      </c>
      <c r="O319" s="3" t="str">
        <f ca="1">IFERROR(__xludf.DUMMYFUNCTION("""COMPUTED_VALUE"""),"2055-06-07T01:50:48.646555Z")</f>
        <v>2055-06-07T01:50:48.646555Z</v>
      </c>
      <c r="P319" s="3" t="str">
        <f ca="1">IFERROR(__xludf.DUMMYFUNCTION("""COMPUTED_VALUE"""),"2055-06-07T01:27:54.204462Z")</f>
        <v>2055-06-07T01:27:54.204462Z</v>
      </c>
      <c r="Q319" s="3">
        <f ca="1">IFERROR(__xludf.DUMMYFUNCTION("""COMPUTED_VALUE"""),0)</f>
        <v>0</v>
      </c>
      <c r="R319" s="3" t="str">
        <f ca="1">IFERROR(__xludf.DUMMYFUNCTION("""COMPUTED_VALUE"""),"2055-06-07T01:28:05.964567Z")</f>
        <v>2055-06-07T01:28:05.964567Z</v>
      </c>
      <c r="S319" s="3" t="str">
        <f ca="1">IFERROR(__xludf.DUMMYFUNCTION("""COMPUTED_VALUE"""),"2055-06-07T01:43:29.513382Z")</f>
        <v>2055-06-07T01:43:29.513382Z</v>
      </c>
      <c r="T319" s="3"/>
      <c r="U319" s="4">
        <f ca="1">IFERROR(__xludf.DUMMYFUNCTION("""COMPUTED_VALUE"""),56771)</f>
        <v>56771</v>
      </c>
      <c r="V319" s="3">
        <f ca="1">IFERROR(__xludf.DUMMYFUNCTION("""COMPUTED_VALUE"""),4.5)</f>
        <v>4.5</v>
      </c>
      <c r="W319" s="3">
        <f ca="1">IFERROR(__xludf.DUMMYFUNCTION("""COMPUTED_VALUE"""),3000)</f>
        <v>3000</v>
      </c>
      <c r="X319" s="3">
        <f ca="1">IFERROR(__xludf.DUMMYFUNCTION("""COMPUTED_VALUE"""),1363)</f>
        <v>1363</v>
      </c>
      <c r="Y319" s="3">
        <f ca="1">IFERROR(__xludf.DUMMYFUNCTION("""COMPUTED_VALUE"""),924)</f>
        <v>924</v>
      </c>
      <c r="Z319" s="3">
        <f ca="1">IFERROR(__xludf.DUMMYFUNCTION("""COMPUTED_VALUE"""),114)</f>
        <v>114</v>
      </c>
      <c r="AA319" s="3">
        <f ca="1">IFERROR(__xludf.DUMMYFUNCTION("""COMPUTED_VALUE"""),325)</f>
        <v>325</v>
      </c>
      <c r="AB319" s="3">
        <f ca="1">IFERROR(__xludf.DUMMYFUNCTION("""COMPUTED_VALUE"""),0)</f>
        <v>0</v>
      </c>
      <c r="AC319" s="3">
        <f ca="1">IFERROR(__xludf.DUMMYFUNCTION("""COMPUTED_VALUE"""),3)</f>
        <v>3</v>
      </c>
      <c r="AD319" s="3" t="str">
        <f ca="1">IFERROR(__xludf.DUMMYFUNCTION("""COMPUTED_VALUE"""),"late")</f>
        <v>late</v>
      </c>
      <c r="AE319" s="3" t="str">
        <f ca="1">IFERROR(__xludf.DUMMYFUNCTION("""COMPUTED_VALUE"""),"2055-06-06T21:45:23.662391Z")</f>
        <v>2055-06-06T21:45:23.662391Z</v>
      </c>
      <c r="AF319" s="3" t="str">
        <f ca="1">IFERROR(__xludf.DUMMYFUNCTION("""COMPUTED_VALUE"""),"2055-06-06T21:50:48.646555Z")</f>
        <v>2055-06-06T21:50:48.646555Z</v>
      </c>
      <c r="AG319" s="3" t="str">
        <f ca="1">IFERROR(__xludf.DUMMYFUNCTION("""COMPUTED_VALUE"""),"2055-06-06T21:27:54.204462Z")</f>
        <v>2055-06-06T21:27:54.204462Z</v>
      </c>
      <c r="AH319" s="3" t="str">
        <f ca="1">IFERROR(__xludf.DUMMYFUNCTION("""COMPUTED_VALUE"""),"2055-06-06T21:43:29.513382Z")</f>
        <v>2055-06-06T21:43:29.513382Z</v>
      </c>
      <c r="AI319" s="3">
        <f ca="1">IFERROR(__xludf.DUMMYFUNCTION("""COMPUTED_VALUE"""),4.54)</f>
        <v>4.54</v>
      </c>
      <c r="AJ319" s="3">
        <f ca="1">IFERROR(__xludf.DUMMYFUNCTION("""COMPUTED_VALUE"""),2229)</f>
        <v>2229</v>
      </c>
      <c r="AK319" s="3">
        <f ca="1">IFERROR(__xludf.DUMMYFUNCTION("""COMPUTED_VALUE"""),6580)</f>
        <v>6580</v>
      </c>
      <c r="AL319" s="3"/>
    </row>
    <row r="320" spans="1:38" ht="13">
      <c r="A320" s="3">
        <f ca="1">IFERROR(__xludf.DUMMYFUNCTION("""COMPUTED_VALUE"""),133)</f>
        <v>133</v>
      </c>
      <c r="B320" s="3">
        <f ca="1">IFERROR(__xludf.DUMMYFUNCTION("""COMPUTED_VALUE"""),5)</f>
        <v>5</v>
      </c>
      <c r="C320" s="3">
        <f ca="1">IFERROR(__xludf.DUMMYFUNCTION("""COMPUTED_VALUE"""),4050)</f>
        <v>4050</v>
      </c>
      <c r="D320" s="3" t="str">
        <f ca="1">IFERROR(__xludf.DUMMYFUNCTION("""COMPUTED_VALUE"""),"Doorlanta")</f>
        <v>Doorlanta</v>
      </c>
      <c r="E320" s="3" t="str">
        <f ca="1">IFERROR(__xludf.DUMMYFUNCTION("""COMPUTED_VALUE"""),"Galaxy A")</f>
        <v>Galaxy A</v>
      </c>
      <c r="F320" s="3" t="str">
        <f ca="1">IFERROR(__xludf.DUMMYFUNCTION("""COMPUTED_VALUE"""),"Katelynn")</f>
        <v>Katelynn</v>
      </c>
      <c r="G320" s="3">
        <f ca="1">IFERROR(__xludf.DUMMYFUNCTION("""COMPUTED_VALUE"""),0)</f>
        <v>0</v>
      </c>
      <c r="H320" s="3" t="str">
        <f ca="1">IFERROR(__xludf.DUMMYFUNCTION("""COMPUTED_VALUE"""),"car")</f>
        <v>car</v>
      </c>
      <c r="I320" s="3" t="str">
        <f ca="1">IFERROR(__xludf.DUMMYFUNCTION("""COMPUTED_VALUE"""),"2055-06-02T16:07:33.883339Z")</f>
        <v>2055-06-02T16:07:33.883339Z</v>
      </c>
      <c r="J320" s="3" t="str">
        <f ca="1">IFERROR(__xludf.DUMMYFUNCTION("""COMPUTED_VALUE"""),"2055-06-02T17:02:33.969Z")</f>
        <v>2055-06-02T17:02:33.969Z</v>
      </c>
      <c r="K320" s="3" t="str">
        <f ca="1">IFERROR(__xludf.DUMMYFUNCTION("""COMPUTED_VALUE"""),"2055-06-02T16:32:30.969Z")</f>
        <v>2055-06-02T16:32:30.969Z</v>
      </c>
      <c r="L320" s="3">
        <f ca="1">IFERROR(__xludf.DUMMYFUNCTION("""COMPUTED_VALUE"""),1)</f>
        <v>1</v>
      </c>
      <c r="M320" s="3">
        <f ca="1">IFERROR(__xludf.DUMMYFUNCTION("""COMPUTED_VALUE"""),0)</f>
        <v>0</v>
      </c>
      <c r="N320" s="3" t="str">
        <f ca="1">IFERROR(__xludf.DUMMYFUNCTION("""COMPUTED_VALUE"""),"2055-06-02T16:27:29.550897Z")</f>
        <v>2055-06-02T16:27:29.550897Z</v>
      </c>
      <c r="O320" s="3" t="str">
        <f ca="1">IFERROR(__xludf.DUMMYFUNCTION("""COMPUTED_VALUE"""),"2055-06-02T16:40:35.483687Z")</f>
        <v>2055-06-02T16:40:35.483687Z</v>
      </c>
      <c r="P320" s="3" t="str">
        <f ca="1">IFERROR(__xludf.DUMMYFUNCTION("""COMPUTED_VALUE"""),"2055-06-02T16:07:47.282124Z")</f>
        <v>2055-06-02T16:07:47.282124Z</v>
      </c>
      <c r="Q320" s="3">
        <f ca="1">IFERROR(__xludf.DUMMYFUNCTION("""COMPUTED_VALUE"""),0)</f>
        <v>0</v>
      </c>
      <c r="R320" s="3" t="str">
        <f ca="1">IFERROR(__xludf.DUMMYFUNCTION("""COMPUTED_VALUE"""),"2055-06-02T16:08:00.710963Z")</f>
        <v>2055-06-02T16:08:00.710963Z</v>
      </c>
      <c r="S320" s="3" t="str">
        <f ca="1">IFERROR(__xludf.DUMMYFUNCTION("""COMPUTED_VALUE"""),"2055-06-02T16:16:03.99696Z")</f>
        <v>2055-06-02T16:16:03.99696Z</v>
      </c>
      <c r="T320" s="3"/>
      <c r="U320" s="4">
        <f ca="1">IFERROR(__xludf.DUMMYFUNCTION("""COMPUTED_VALUE"""),56767)</f>
        <v>56767</v>
      </c>
      <c r="V320" s="3">
        <f ca="1">IFERROR(__xludf.DUMMYFUNCTION("""COMPUTED_VALUE"""),4.6)</f>
        <v>4.5999999999999996</v>
      </c>
      <c r="W320" s="3">
        <f ca="1">IFERROR(__xludf.DUMMYFUNCTION("""COMPUTED_VALUE"""),3000)</f>
        <v>3000</v>
      </c>
      <c r="X320" s="3">
        <f ca="1">IFERROR(__xludf.DUMMYFUNCTION("""COMPUTED_VALUE"""),1955)</f>
        <v>1955</v>
      </c>
      <c r="Y320" s="3">
        <f ca="1">IFERROR(__xludf.DUMMYFUNCTION("""COMPUTED_VALUE"""),483)</f>
        <v>483</v>
      </c>
      <c r="Z320" s="3">
        <f ca="1">IFERROR(__xludf.DUMMYFUNCTION("""COMPUTED_VALUE"""),686)</f>
        <v>686</v>
      </c>
      <c r="AA320" s="3">
        <f ca="1">IFERROR(__xludf.DUMMYFUNCTION("""COMPUTED_VALUE"""),786)</f>
        <v>786</v>
      </c>
      <c r="AB320" s="3">
        <f ca="1">IFERROR(__xludf.DUMMYFUNCTION("""COMPUTED_VALUE"""),1)</f>
        <v>1</v>
      </c>
      <c r="AC320" s="3">
        <f ca="1">IFERROR(__xludf.DUMMYFUNCTION("""COMPUTED_VALUE"""),14)</f>
        <v>14</v>
      </c>
      <c r="AD320" s="3"/>
      <c r="AE320" s="3" t="str">
        <f ca="1">IFERROR(__xludf.DUMMYFUNCTION("""COMPUTED_VALUE"""),"2055-06-02T12:27:29.550897Z")</f>
        <v>2055-06-02T12:27:29.550897Z</v>
      </c>
      <c r="AF320" s="3" t="str">
        <f ca="1">IFERROR(__xludf.DUMMYFUNCTION("""COMPUTED_VALUE"""),"2055-06-02T12:40:35.483687Z")</f>
        <v>2055-06-02T12:40:35.483687Z</v>
      </c>
      <c r="AG320" s="3" t="str">
        <f ca="1">IFERROR(__xludf.DUMMYFUNCTION("""COMPUTED_VALUE"""),"2055-06-02T12:07:47.282124Z")</f>
        <v>2055-06-02T12:07:47.282124Z</v>
      </c>
      <c r="AH320" s="3" t="str">
        <f ca="1">IFERROR(__xludf.DUMMYFUNCTION("""COMPUTED_VALUE"""),"2055-06-02T12:16:03.99696Z")</f>
        <v>2055-06-02T12:16:03.99696Z</v>
      </c>
      <c r="AI320" s="3">
        <f ca="1">IFERROR(__xludf.DUMMYFUNCTION("""COMPUTED_VALUE"""),4.7)</f>
        <v>4.7</v>
      </c>
      <c r="AJ320" s="3">
        <f ca="1">IFERROR(__xludf.DUMMYFUNCTION("""COMPUTED_VALUE"""),1261)</f>
        <v>1261</v>
      </c>
      <c r="AK320" s="3">
        <f ca="1">IFERROR(__xludf.DUMMYFUNCTION("""COMPUTED_VALUE"""),3264)</f>
        <v>3264</v>
      </c>
      <c r="AL320" s="3">
        <f ca="1">IFERROR(__xludf.DUMMYFUNCTION("""COMPUTED_VALUE"""),232)</f>
        <v>232</v>
      </c>
    </row>
    <row r="321" spans="1:38" ht="13">
      <c r="A321" s="3">
        <f ca="1">IFERROR(__xludf.DUMMYFUNCTION("""COMPUTED_VALUE"""),1495)</f>
        <v>1495</v>
      </c>
      <c r="B321" s="3">
        <f ca="1">IFERROR(__xludf.DUMMYFUNCTION("""COMPUTED_VALUE"""),5)</f>
        <v>5</v>
      </c>
      <c r="C321" s="3">
        <f ca="1">IFERROR(__xludf.DUMMYFUNCTION("""COMPUTED_VALUE"""),4001)</f>
        <v>4001</v>
      </c>
      <c r="D321" s="3" t="str">
        <f ca="1">IFERROR(__xludf.DUMMYFUNCTION("""COMPUTED_VALUE"""),"Dashattan")</f>
        <v>Dashattan</v>
      </c>
      <c r="E321" s="3" t="str">
        <f ca="1">IFERROR(__xludf.DUMMYFUNCTION("""COMPUTED_VALUE"""),"Galaxy A")</f>
        <v>Galaxy A</v>
      </c>
      <c r="F321" s="3" t="str">
        <f ca="1">IFERROR(__xludf.DUMMYFUNCTION("""COMPUTED_VALUE"""),"KC")</f>
        <v>KC</v>
      </c>
      <c r="G321" s="3">
        <f ca="1">IFERROR(__xludf.DUMMYFUNCTION("""COMPUTED_VALUE"""),0)</f>
        <v>0</v>
      </c>
      <c r="H321" s="3" t="str">
        <f ca="1">IFERROR(__xludf.DUMMYFUNCTION("""COMPUTED_VALUE"""),"car")</f>
        <v>car</v>
      </c>
      <c r="I321" s="3" t="str">
        <f ca="1">IFERROR(__xludf.DUMMYFUNCTION("""COMPUTED_VALUE"""),"2055-06-12T23:24:39.672248Z")</f>
        <v>2055-06-12T23:24:39.672248Z</v>
      </c>
      <c r="J321" s="3" t="str">
        <f ca="1">IFERROR(__xludf.DUMMYFUNCTION("""COMPUTED_VALUE"""),"2055-06-13T00:04:38.769Z")</f>
        <v>2055-06-13T00:04:38.769Z</v>
      </c>
      <c r="K321" s="3" t="str">
        <f ca="1">IFERROR(__xludf.DUMMYFUNCTION("""COMPUTED_VALUE"""),"2055-06-12T23:57:44.769Z")</f>
        <v>2055-06-12T23:57:44.769Z</v>
      </c>
      <c r="L321" s="3">
        <f ca="1">IFERROR(__xludf.DUMMYFUNCTION("""COMPUTED_VALUE"""),1)</f>
        <v>1</v>
      </c>
      <c r="M321" s="3">
        <f ca="1">IFERROR(__xludf.DUMMYFUNCTION("""COMPUTED_VALUE"""),0)</f>
        <v>0</v>
      </c>
      <c r="N321" s="3" t="str">
        <f ca="1">IFERROR(__xludf.DUMMYFUNCTION("""COMPUTED_VALUE"""),"2055-06-12T23:55:17.0331Z")</f>
        <v>2055-06-12T23:55:17.0331Z</v>
      </c>
      <c r="O321" s="3" t="str">
        <f ca="1">IFERROR(__xludf.DUMMYFUNCTION("""COMPUTED_VALUE"""),"2055-06-13T00:03:36.514693Z")</f>
        <v>2055-06-13T00:03:36.514693Z</v>
      </c>
      <c r="P321" s="3" t="str">
        <f ca="1">IFERROR(__xludf.DUMMYFUNCTION("""COMPUTED_VALUE"""),"2055-06-12T23:27:55.747352Z")</f>
        <v>2055-06-12T23:27:55.747352Z</v>
      </c>
      <c r="Q321" s="3">
        <f ca="1">IFERROR(__xludf.DUMMYFUNCTION("""COMPUTED_VALUE"""),0)</f>
        <v>0</v>
      </c>
      <c r="R321" s="3" t="str">
        <f ca="1">IFERROR(__xludf.DUMMYFUNCTION("""COMPUTED_VALUE"""),"2055-06-12T23:28:14.824601Z")</f>
        <v>2055-06-12T23:28:14.824601Z</v>
      </c>
      <c r="S321" s="3" t="str">
        <f ca="1">IFERROR(__xludf.DUMMYFUNCTION("""COMPUTED_VALUE"""),"2055-06-12T23:35:27.893788Z")</f>
        <v>2055-06-12T23:35:27.893788Z</v>
      </c>
      <c r="T321" s="3"/>
      <c r="U321" s="4">
        <f ca="1">IFERROR(__xludf.DUMMYFUNCTION("""COMPUTED_VALUE"""),56777)</f>
        <v>56777</v>
      </c>
      <c r="V321" s="3">
        <f ca="1">IFERROR(__xludf.DUMMYFUNCTION("""COMPUTED_VALUE"""),4.4)</f>
        <v>4.4000000000000004</v>
      </c>
      <c r="W321" s="3">
        <f ca="1">IFERROR(__xludf.DUMMYFUNCTION("""COMPUTED_VALUE"""),3000)</f>
        <v>3000</v>
      </c>
      <c r="X321" s="3">
        <f ca="1">IFERROR(__xludf.DUMMYFUNCTION("""COMPUTED_VALUE"""),2122)</f>
        <v>2122</v>
      </c>
      <c r="Y321" s="3">
        <f ca="1">IFERROR(__xludf.DUMMYFUNCTION("""COMPUTED_VALUE"""),433)</f>
        <v>433</v>
      </c>
      <c r="Z321" s="3">
        <f ca="1">IFERROR(__xludf.DUMMYFUNCTION("""COMPUTED_VALUE"""),1190)</f>
        <v>1190</v>
      </c>
      <c r="AA321" s="3">
        <f ca="1">IFERROR(__xludf.DUMMYFUNCTION("""COMPUTED_VALUE"""),499)</f>
        <v>499</v>
      </c>
      <c r="AB321" s="3">
        <f ca="1">IFERROR(__xludf.DUMMYFUNCTION("""COMPUTED_VALUE"""),0)</f>
        <v>0</v>
      </c>
      <c r="AC321" s="3">
        <f ca="1">IFERROR(__xludf.DUMMYFUNCTION("""COMPUTED_VALUE"""),3)</f>
        <v>3</v>
      </c>
      <c r="AD321" s="3" t="str">
        <f ca="1">IFERROR(__xludf.DUMMYFUNCTION("""COMPUTED_VALUE"""),"on time")</f>
        <v>on time</v>
      </c>
      <c r="AE321" s="3" t="str">
        <f ca="1">IFERROR(__xludf.DUMMYFUNCTION("""COMPUTED_VALUE"""),"2055-06-12T19:55:17.0331Z")</f>
        <v>2055-06-12T19:55:17.0331Z</v>
      </c>
      <c r="AF321" s="3" t="str">
        <f ca="1">IFERROR(__xludf.DUMMYFUNCTION("""COMPUTED_VALUE"""),"2055-06-12T20:03:36.514693Z")</f>
        <v>2055-06-12T20:03:36.514693Z</v>
      </c>
      <c r="AG321" s="3" t="str">
        <f ca="1">IFERROR(__xludf.DUMMYFUNCTION("""COMPUTED_VALUE"""),"2055-06-12T19:27:55.747352Z")</f>
        <v>2055-06-12T19:27:55.747352Z</v>
      </c>
      <c r="AH321" s="3" t="str">
        <f ca="1">IFERROR(__xludf.DUMMYFUNCTION("""COMPUTED_VALUE"""),"2055-06-12T19:35:27.893788Z")</f>
        <v>2055-06-12T19:35:27.893788Z</v>
      </c>
      <c r="AI321" s="3">
        <f ca="1">IFERROR(__xludf.DUMMYFUNCTION("""COMPUTED_VALUE"""),4.54)</f>
        <v>4.54</v>
      </c>
      <c r="AJ321" s="3">
        <f ca="1">IFERROR(__xludf.DUMMYFUNCTION("""COMPUTED_VALUE"""),2229)</f>
        <v>2229</v>
      </c>
      <c r="AK321" s="3">
        <f ca="1">IFERROR(__xludf.DUMMYFUNCTION("""COMPUTED_VALUE"""),6580)</f>
        <v>6580</v>
      </c>
      <c r="AL321" s="3"/>
    </row>
    <row r="322" spans="1:38" ht="13">
      <c r="A322" s="3">
        <f ca="1">IFERROR(__xludf.DUMMYFUNCTION("""COMPUTED_VALUE"""),449)</f>
        <v>449</v>
      </c>
      <c r="B322" s="3">
        <f ca="1">IFERROR(__xludf.DUMMYFUNCTION("""COMPUTED_VALUE"""),5)</f>
        <v>5</v>
      </c>
      <c r="C322" s="3">
        <f ca="1">IFERROR(__xludf.DUMMYFUNCTION("""COMPUTED_VALUE"""),4050)</f>
        <v>4050</v>
      </c>
      <c r="D322" s="3" t="str">
        <f ca="1">IFERROR(__xludf.DUMMYFUNCTION("""COMPUTED_VALUE"""),"Doorlanta")</f>
        <v>Doorlanta</v>
      </c>
      <c r="E322" s="3" t="str">
        <f ca="1">IFERROR(__xludf.DUMMYFUNCTION("""COMPUTED_VALUE"""),"Galaxy A")</f>
        <v>Galaxy A</v>
      </c>
      <c r="F322" s="3" t="str">
        <f ca="1">IFERROR(__xludf.DUMMYFUNCTION("""COMPUTED_VALUE"""),"Cate")</f>
        <v>Cate</v>
      </c>
      <c r="G322" s="3">
        <f ca="1">IFERROR(__xludf.DUMMYFUNCTION("""COMPUTED_VALUE"""),0)</f>
        <v>0</v>
      </c>
      <c r="H322" s="3" t="str">
        <f ca="1">IFERROR(__xludf.DUMMYFUNCTION("""COMPUTED_VALUE"""),"car")</f>
        <v>car</v>
      </c>
      <c r="I322" s="3" t="str">
        <f ca="1">IFERROR(__xludf.DUMMYFUNCTION("""COMPUTED_VALUE"""),"2055-06-04T21:29:07.939864Z")</f>
        <v>2055-06-04T21:29:07.939864Z</v>
      </c>
      <c r="J322" s="3" t="str">
        <f ca="1">IFERROR(__xludf.DUMMYFUNCTION("""COMPUTED_VALUE"""),"2055-06-04T22:37:54.022Z")</f>
        <v>2055-06-04T22:37:54.022Z</v>
      </c>
      <c r="K322" s="3" t="str">
        <f ca="1">IFERROR(__xludf.DUMMYFUNCTION("""COMPUTED_VALUE"""),"2055-06-04T22:24:01.022Z")</f>
        <v>2055-06-04T22:24:01.022Z</v>
      </c>
      <c r="L322" s="3">
        <f ca="1">IFERROR(__xludf.DUMMYFUNCTION("""COMPUTED_VALUE"""),1)</f>
        <v>1</v>
      </c>
      <c r="M322" s="3">
        <f ca="1">IFERROR(__xludf.DUMMYFUNCTION("""COMPUTED_VALUE"""),0)</f>
        <v>0</v>
      </c>
      <c r="N322" s="3" t="str">
        <f ca="1">IFERROR(__xludf.DUMMYFUNCTION("""COMPUTED_VALUE"""),"2055-06-04T21:41:19.108453Z")</f>
        <v>2055-06-04T21:41:19.108453Z</v>
      </c>
      <c r="O322" s="3" t="str">
        <f ca="1">IFERROR(__xludf.DUMMYFUNCTION("""COMPUTED_VALUE"""),"2055-06-04T21:57:45.574973Z")</f>
        <v>2055-06-04T21:57:45.574973Z</v>
      </c>
      <c r="P322" s="3" t="str">
        <f ca="1">IFERROR(__xludf.DUMMYFUNCTION("""COMPUTED_VALUE"""),"2055-06-04T21:29:27.371057Z")</f>
        <v>2055-06-04T21:29:27.371057Z</v>
      </c>
      <c r="Q322" s="3">
        <f ca="1">IFERROR(__xludf.DUMMYFUNCTION("""COMPUTED_VALUE"""),0)</f>
        <v>0</v>
      </c>
      <c r="R322" s="3" t="str">
        <f ca="1">IFERROR(__xludf.DUMMYFUNCTION("""COMPUTED_VALUE"""),"2055-06-04T21:29:32.704786Z")</f>
        <v>2055-06-04T21:29:32.704786Z</v>
      </c>
      <c r="S322" s="3" t="str">
        <f ca="1">IFERROR(__xludf.DUMMYFUNCTION("""COMPUTED_VALUE"""),"2055-06-04T21:36:30.483331Z")</f>
        <v>2055-06-04T21:36:30.483331Z</v>
      </c>
      <c r="T322" s="3"/>
      <c r="U322" s="4">
        <f ca="1">IFERROR(__xludf.DUMMYFUNCTION("""COMPUTED_VALUE"""),56769)</f>
        <v>56769</v>
      </c>
      <c r="V322" s="3">
        <f ca="1">IFERROR(__xludf.DUMMYFUNCTION("""COMPUTED_VALUE"""),4.3)</f>
        <v>4.3</v>
      </c>
      <c r="W322" s="3">
        <f ca="1">IFERROR(__xludf.DUMMYFUNCTION("""COMPUTED_VALUE"""),3000)</f>
        <v>3000</v>
      </c>
      <c r="X322" s="3">
        <f ca="1">IFERROR(__xludf.DUMMYFUNCTION("""COMPUTED_VALUE"""),1693)</f>
        <v>1693</v>
      </c>
      <c r="Y322" s="3">
        <f ca="1">IFERROR(__xludf.DUMMYFUNCTION("""COMPUTED_VALUE"""),418)</f>
        <v>418</v>
      </c>
      <c r="Z322" s="3">
        <f ca="1">IFERROR(__xludf.DUMMYFUNCTION("""COMPUTED_VALUE"""),289)</f>
        <v>289</v>
      </c>
      <c r="AA322" s="3">
        <f ca="1">IFERROR(__xludf.DUMMYFUNCTION("""COMPUTED_VALUE"""),986)</f>
        <v>986</v>
      </c>
      <c r="AB322" s="3">
        <f ca="1">IFERROR(__xludf.DUMMYFUNCTION("""COMPUTED_VALUE"""),0)</f>
        <v>0</v>
      </c>
      <c r="AC322" s="3">
        <f ca="1">IFERROR(__xludf.DUMMYFUNCTION("""COMPUTED_VALUE"""),1)</f>
        <v>1</v>
      </c>
      <c r="AD322" s="3" t="str">
        <f ca="1">IFERROR(__xludf.DUMMYFUNCTION("""COMPUTED_VALUE"""),"early")</f>
        <v>early</v>
      </c>
      <c r="AE322" s="3" t="str">
        <f ca="1">IFERROR(__xludf.DUMMYFUNCTION("""COMPUTED_VALUE"""),"2055-06-04T17:41:19.108453Z")</f>
        <v>2055-06-04T17:41:19.108453Z</v>
      </c>
      <c r="AF322" s="3" t="str">
        <f ca="1">IFERROR(__xludf.DUMMYFUNCTION("""COMPUTED_VALUE"""),"2055-06-04T17:57:45.574973Z")</f>
        <v>2055-06-04T17:57:45.574973Z</v>
      </c>
      <c r="AG322" s="3" t="str">
        <f ca="1">IFERROR(__xludf.DUMMYFUNCTION("""COMPUTED_VALUE"""),"2055-06-04T17:29:27.371057Z")</f>
        <v>2055-06-04T17:29:27.371057Z</v>
      </c>
      <c r="AH322" s="3" t="str">
        <f ca="1">IFERROR(__xludf.DUMMYFUNCTION("""COMPUTED_VALUE"""),"2055-06-04T17:36:30.483331Z")</f>
        <v>2055-06-04T17:36:30.483331Z</v>
      </c>
      <c r="AI322" s="3">
        <f ca="1">IFERROR(__xludf.DUMMYFUNCTION("""COMPUTED_VALUE"""),4.49)</f>
        <v>4.49</v>
      </c>
      <c r="AJ322" s="3">
        <f ca="1">IFERROR(__xludf.DUMMYFUNCTION("""COMPUTED_VALUE"""),2315)</f>
        <v>2315</v>
      </c>
      <c r="AK322" s="3">
        <f ca="1">IFERROR(__xludf.DUMMYFUNCTION("""COMPUTED_VALUE"""),7039)</f>
        <v>7039</v>
      </c>
      <c r="AL322" s="3">
        <f ca="1">IFERROR(__xludf.DUMMYFUNCTION("""COMPUTED_VALUE"""),763)</f>
        <v>763</v>
      </c>
    </row>
    <row r="323" spans="1:38" ht="13">
      <c r="A323" s="3">
        <f ca="1">IFERROR(__xludf.DUMMYFUNCTION("""COMPUTED_VALUE"""),244)</f>
        <v>244</v>
      </c>
      <c r="B323" s="3"/>
      <c r="C323" s="3">
        <f ca="1">IFERROR(__xludf.DUMMYFUNCTION("""COMPUTED_VALUE"""),4001)</f>
        <v>4001</v>
      </c>
      <c r="D323" s="3" t="str">
        <f ca="1">IFERROR(__xludf.DUMMYFUNCTION("""COMPUTED_VALUE"""),"Dashattan")</f>
        <v>Dashattan</v>
      </c>
      <c r="E323" s="3" t="str">
        <f ca="1">IFERROR(__xludf.DUMMYFUNCTION("""COMPUTED_VALUE"""),"Galaxy A")</f>
        <v>Galaxy A</v>
      </c>
      <c r="F323" s="3" t="str">
        <f ca="1">IFERROR(__xludf.DUMMYFUNCTION("""COMPUTED_VALUE"""),"Ron")</f>
        <v>Ron</v>
      </c>
      <c r="G323" s="3">
        <f ca="1">IFERROR(__xludf.DUMMYFUNCTION("""COMPUTED_VALUE"""),0)</f>
        <v>0</v>
      </c>
      <c r="H323" s="3" t="str">
        <f ca="1">IFERROR(__xludf.DUMMYFUNCTION("""COMPUTED_VALUE"""),"bicycle")</f>
        <v>bicycle</v>
      </c>
      <c r="I323" s="3" t="str">
        <f ca="1">IFERROR(__xludf.DUMMYFUNCTION("""COMPUTED_VALUE"""),"2055-06-03T01:34:32.557841Z")</f>
        <v>2055-06-03T01:34:32.557841Z</v>
      </c>
      <c r="J323" s="3" t="str">
        <f ca="1">IFERROR(__xludf.DUMMYFUNCTION("""COMPUTED_VALUE"""),"2055-06-03T02:38:21.618Z")</f>
        <v>2055-06-03T02:38:21.618Z</v>
      </c>
      <c r="K323" s="3" t="str">
        <f ca="1">IFERROR(__xludf.DUMMYFUNCTION("""COMPUTED_VALUE"""),"2055-06-03T02:28:40.618Z")</f>
        <v>2055-06-03T02:28:40.618Z</v>
      </c>
      <c r="L323" s="3">
        <f ca="1">IFERROR(__xludf.DUMMYFUNCTION("""COMPUTED_VALUE"""),1)</f>
        <v>1</v>
      </c>
      <c r="M323" s="3">
        <f ca="1">IFERROR(__xludf.DUMMYFUNCTION("""COMPUTED_VALUE"""),0)</f>
        <v>0</v>
      </c>
      <c r="N323" s="3" t="str">
        <f ca="1">IFERROR(__xludf.DUMMYFUNCTION("""COMPUTED_VALUE"""),"2055-06-03T02:02:50.778661Z")</f>
        <v>2055-06-03T02:02:50.778661Z</v>
      </c>
      <c r="O323" s="3" t="str">
        <f ca="1">IFERROR(__xludf.DUMMYFUNCTION("""COMPUTED_VALUE"""),"2055-06-03T02:20:48.551566Z")</f>
        <v>2055-06-03T02:20:48.551566Z</v>
      </c>
      <c r="P323" s="3" t="str">
        <f ca="1">IFERROR(__xludf.DUMMYFUNCTION("""COMPUTED_VALUE"""),"2055-06-03T01:55:14.390844Z")</f>
        <v>2055-06-03T01:55:14.390844Z</v>
      </c>
      <c r="Q323" s="3">
        <f ca="1">IFERROR(__xludf.DUMMYFUNCTION("""COMPUTED_VALUE"""),0)</f>
        <v>0</v>
      </c>
      <c r="R323" s="3" t="str">
        <f ca="1">IFERROR(__xludf.DUMMYFUNCTION("""COMPUTED_VALUE"""),"2055-06-03T01:56:19.634559Z")</f>
        <v>2055-06-03T01:56:19.634559Z</v>
      </c>
      <c r="S323" s="3"/>
      <c r="T323" s="3"/>
      <c r="U323" s="4">
        <f ca="1">IFERROR(__xludf.DUMMYFUNCTION("""COMPUTED_VALUE"""),56767)</f>
        <v>56767</v>
      </c>
      <c r="V323" s="3">
        <f ca="1">IFERROR(__xludf.DUMMYFUNCTION("""COMPUTED_VALUE"""),4.4)</f>
        <v>4.4000000000000004</v>
      </c>
      <c r="W323" s="3">
        <f ca="1">IFERROR(__xludf.DUMMYFUNCTION("""COMPUTED_VALUE"""),3000)</f>
        <v>3000</v>
      </c>
      <c r="X323" s="3">
        <f ca="1">IFERROR(__xludf.DUMMYFUNCTION("""COMPUTED_VALUE"""),1469)</f>
        <v>1469</v>
      </c>
      <c r="Y323" s="3"/>
      <c r="Z323" s="3"/>
      <c r="AA323" s="3">
        <f ca="1">IFERROR(__xludf.DUMMYFUNCTION("""COMPUTED_VALUE"""),1078)</f>
        <v>1078</v>
      </c>
      <c r="AB323" s="3">
        <f ca="1">IFERROR(__xludf.DUMMYFUNCTION("""COMPUTED_VALUE"""),0)</f>
        <v>0</v>
      </c>
      <c r="AC323" s="3">
        <f ca="1">IFERROR(__xludf.DUMMYFUNCTION("""COMPUTED_VALUE"""),3)</f>
        <v>3</v>
      </c>
      <c r="AD323" s="3"/>
      <c r="AE323" s="3" t="str">
        <f ca="1">IFERROR(__xludf.DUMMYFUNCTION("""COMPUTED_VALUE"""),"2055-06-02T22:02:50.778661Z")</f>
        <v>2055-06-02T22:02:50.778661Z</v>
      </c>
      <c r="AF323" s="3" t="str">
        <f ca="1">IFERROR(__xludf.DUMMYFUNCTION("""COMPUTED_VALUE"""),"2055-06-02T22:20:48.551566Z")</f>
        <v>2055-06-02T22:20:48.551566Z</v>
      </c>
      <c r="AG323" s="3" t="str">
        <f ca="1">IFERROR(__xludf.DUMMYFUNCTION("""COMPUTED_VALUE"""),"2055-06-02T21:55:14.390844Z")</f>
        <v>2055-06-02T21:55:14.390844Z</v>
      </c>
      <c r="AH323" s="3"/>
      <c r="AI323" s="3">
        <f ca="1">IFERROR(__xludf.DUMMYFUNCTION("""COMPUTED_VALUE"""),4.56)</f>
        <v>4.5599999999999996</v>
      </c>
      <c r="AJ323" s="3">
        <f ca="1">IFERROR(__xludf.DUMMYFUNCTION("""COMPUTED_VALUE"""),765)</f>
        <v>765</v>
      </c>
      <c r="AK323" s="3">
        <f ca="1">IFERROR(__xludf.DUMMYFUNCTION("""COMPUTED_VALUE"""),2618)</f>
        <v>2618</v>
      </c>
      <c r="AL323" s="3"/>
    </row>
    <row r="324" spans="1:38" ht="13">
      <c r="A324" s="3">
        <f ca="1">IFERROR(__xludf.DUMMYFUNCTION("""COMPUTED_VALUE"""),902)</f>
        <v>902</v>
      </c>
      <c r="B324" s="3"/>
      <c r="C324" s="3">
        <f ca="1">IFERROR(__xludf.DUMMYFUNCTION("""COMPUTED_VALUE"""),4050)</f>
        <v>4050</v>
      </c>
      <c r="D324" s="3" t="str">
        <f ca="1">IFERROR(__xludf.DUMMYFUNCTION("""COMPUTED_VALUE"""),"Doorlanta")</f>
        <v>Doorlanta</v>
      </c>
      <c r="E324" s="3" t="str">
        <f ca="1">IFERROR(__xludf.DUMMYFUNCTION("""COMPUTED_VALUE"""),"Galaxy A")</f>
        <v>Galaxy A</v>
      </c>
      <c r="F324" s="3" t="str">
        <f ca="1">IFERROR(__xludf.DUMMYFUNCTION("""COMPUTED_VALUE"""),"Jagar")</f>
        <v>Jagar</v>
      </c>
      <c r="G324" s="3">
        <f ca="1">IFERROR(__xludf.DUMMYFUNCTION("""COMPUTED_VALUE"""),0)</f>
        <v>0</v>
      </c>
      <c r="H324" s="3" t="str">
        <f ca="1">IFERROR(__xludf.DUMMYFUNCTION("""COMPUTED_VALUE"""),"car")</f>
        <v>car</v>
      </c>
      <c r="I324" s="3" t="str">
        <f ca="1">IFERROR(__xludf.DUMMYFUNCTION("""COMPUTED_VALUE"""),"2055-06-08T00:14:13.26931Z")</f>
        <v>2055-06-08T00:14:13.26931Z</v>
      </c>
      <c r="J324" s="3" t="str">
        <f ca="1">IFERROR(__xludf.DUMMYFUNCTION("""COMPUTED_VALUE"""),"2055-06-08T01:11:04.33Z")</f>
        <v>2055-06-08T01:11:04.33Z</v>
      </c>
      <c r="K324" s="3" t="str">
        <f ca="1">IFERROR(__xludf.DUMMYFUNCTION("""COMPUTED_VALUE"""),"2055-06-08T00:49:10.33Z")</f>
        <v>2055-06-08T00:49:10.33Z</v>
      </c>
      <c r="L324" s="3">
        <f ca="1">IFERROR(__xludf.DUMMYFUNCTION("""COMPUTED_VALUE"""),1)</f>
        <v>1</v>
      </c>
      <c r="M324" s="3">
        <f ca="1">IFERROR(__xludf.DUMMYFUNCTION("""COMPUTED_VALUE"""),0)</f>
        <v>0</v>
      </c>
      <c r="N324" s="3" t="str">
        <f ca="1">IFERROR(__xludf.DUMMYFUNCTION("""COMPUTED_VALUE"""),"2055-06-08T01:31:46.8015Z")</f>
        <v>2055-06-08T01:31:46.8015Z</v>
      </c>
      <c r="O324" s="3" t="str">
        <f ca="1">IFERROR(__xludf.DUMMYFUNCTION("""COMPUTED_VALUE"""),"2055-06-08T01:31:59.693284Z")</f>
        <v>2055-06-08T01:31:59.693284Z</v>
      </c>
      <c r="P324" s="3" t="str">
        <f ca="1">IFERROR(__xludf.DUMMYFUNCTION("""COMPUTED_VALUE"""),"2055-06-08T00:16:07.394914Z")</f>
        <v>2055-06-08T00:16:07.394914Z</v>
      </c>
      <c r="Q324" s="3">
        <f ca="1">IFERROR(__xludf.DUMMYFUNCTION("""COMPUTED_VALUE"""),0)</f>
        <v>0</v>
      </c>
      <c r="R324" s="3" t="str">
        <f ca="1">IFERROR(__xludf.DUMMYFUNCTION("""COMPUTED_VALUE"""),"2055-06-08T00:17:15.992395Z")</f>
        <v>2055-06-08T00:17:15.992395Z</v>
      </c>
      <c r="S324" s="3"/>
      <c r="T324" s="3"/>
      <c r="U324" s="4">
        <f ca="1">IFERROR(__xludf.DUMMYFUNCTION("""COMPUTED_VALUE"""),56772)</f>
        <v>56772</v>
      </c>
      <c r="V324" s="3">
        <f ca="1">IFERROR(__xludf.DUMMYFUNCTION("""COMPUTED_VALUE"""),4.6)</f>
        <v>4.5999999999999996</v>
      </c>
      <c r="W324" s="3">
        <f ca="1">IFERROR(__xludf.DUMMYFUNCTION("""COMPUTED_VALUE"""),3000)</f>
        <v>3000</v>
      </c>
      <c r="X324" s="3">
        <f ca="1">IFERROR(__xludf.DUMMYFUNCTION("""COMPUTED_VALUE"""),4484)</f>
        <v>4484</v>
      </c>
      <c r="Y324" s="3"/>
      <c r="Z324" s="3"/>
      <c r="AA324" s="3">
        <f ca="1">IFERROR(__xludf.DUMMYFUNCTION("""COMPUTED_VALUE"""),13)</f>
        <v>13</v>
      </c>
      <c r="AB324" s="3">
        <f ca="1">IFERROR(__xludf.DUMMYFUNCTION("""COMPUTED_VALUE"""),0)</f>
        <v>0</v>
      </c>
      <c r="AC324" s="3">
        <f ca="1">IFERROR(__xludf.DUMMYFUNCTION("""COMPUTED_VALUE"""),5)</f>
        <v>5</v>
      </c>
      <c r="AD324" s="3"/>
      <c r="AE324" s="3" t="str">
        <f ca="1">IFERROR(__xludf.DUMMYFUNCTION("""COMPUTED_VALUE"""),"2055-06-07T21:31:46.8015Z")</f>
        <v>2055-06-07T21:31:46.8015Z</v>
      </c>
      <c r="AF324" s="3" t="str">
        <f ca="1">IFERROR(__xludf.DUMMYFUNCTION("""COMPUTED_VALUE"""),"2055-06-07T21:31:59.693284Z")</f>
        <v>2055-06-07T21:31:59.693284Z</v>
      </c>
      <c r="AG324" s="3" t="str">
        <f ca="1">IFERROR(__xludf.DUMMYFUNCTION("""COMPUTED_VALUE"""),"2055-06-07T20:16:07.394914Z")</f>
        <v>2055-06-07T20:16:07.394914Z</v>
      </c>
      <c r="AH324" s="3"/>
      <c r="AI324" s="3">
        <f ca="1">IFERROR(__xludf.DUMMYFUNCTION("""COMPUTED_VALUE"""),4.89)</f>
        <v>4.8899999999999997</v>
      </c>
      <c r="AJ324" s="3">
        <f ca="1">IFERROR(__xludf.DUMMYFUNCTION("""COMPUTED_VALUE"""),1778)</f>
        <v>1778</v>
      </c>
      <c r="AK324" s="3">
        <f ca="1">IFERROR(__xludf.DUMMYFUNCTION("""COMPUTED_VALUE"""),5138)</f>
        <v>5138</v>
      </c>
      <c r="AL324" s="3">
        <f ca="1">IFERROR(__xludf.DUMMYFUNCTION("""COMPUTED_VALUE"""),314)</f>
        <v>314</v>
      </c>
    </row>
    <row r="325" spans="1:38" ht="13">
      <c r="A325" s="3">
        <f ca="1">IFERROR(__xludf.DUMMYFUNCTION("""COMPUTED_VALUE"""),326)</f>
        <v>326</v>
      </c>
      <c r="B325" s="3"/>
      <c r="C325" s="3">
        <f ca="1">IFERROR(__xludf.DUMMYFUNCTION("""COMPUTED_VALUE"""),4050)</f>
        <v>4050</v>
      </c>
      <c r="D325" s="3" t="str">
        <f ca="1">IFERROR(__xludf.DUMMYFUNCTION("""COMPUTED_VALUE"""),"Doorlanta")</f>
        <v>Doorlanta</v>
      </c>
      <c r="E325" s="3" t="str">
        <f ca="1">IFERROR(__xludf.DUMMYFUNCTION("""COMPUTED_VALUE"""),"Galaxy A")</f>
        <v>Galaxy A</v>
      </c>
      <c r="F325" s="3" t="str">
        <f ca="1">IFERROR(__xludf.DUMMYFUNCTION("""COMPUTED_VALUE"""),"Jagar")</f>
        <v>Jagar</v>
      </c>
      <c r="G325" s="3">
        <f ca="1">IFERROR(__xludf.DUMMYFUNCTION("""COMPUTED_VALUE"""),0)</f>
        <v>0</v>
      </c>
      <c r="H325" s="3" t="str">
        <f ca="1">IFERROR(__xludf.DUMMYFUNCTION("""COMPUTED_VALUE"""),"car")</f>
        <v>car</v>
      </c>
      <c r="I325" s="3" t="str">
        <f ca="1">IFERROR(__xludf.DUMMYFUNCTION("""COMPUTED_VALUE"""),"2055-06-03T20:46:12.047092Z")</f>
        <v>2055-06-03T20:46:12.047092Z</v>
      </c>
      <c r="J325" s="3" t="str">
        <f ca="1">IFERROR(__xludf.DUMMYFUNCTION("""COMPUTED_VALUE"""),"2055-06-03T21:49:18.115Z")</f>
        <v>2055-06-03T21:49:18.115Z</v>
      </c>
      <c r="K325" s="3" t="str">
        <f ca="1">IFERROR(__xludf.DUMMYFUNCTION("""COMPUTED_VALUE"""),"2055-06-03T21:30:25.115Z")</f>
        <v>2055-06-03T21:30:25.115Z</v>
      </c>
      <c r="L325" s="3">
        <f ca="1">IFERROR(__xludf.DUMMYFUNCTION("""COMPUTED_VALUE"""),1)</f>
        <v>1</v>
      </c>
      <c r="M325" s="3">
        <f ca="1">IFERROR(__xludf.DUMMYFUNCTION("""COMPUTED_VALUE"""),0)</f>
        <v>0</v>
      </c>
      <c r="N325" s="3" t="str">
        <f ca="1">IFERROR(__xludf.DUMMYFUNCTION("""COMPUTED_VALUE"""),"2055-06-03T21:11:47.736234Z")</f>
        <v>2055-06-03T21:11:47.736234Z</v>
      </c>
      <c r="O325" s="3" t="str">
        <f ca="1">IFERROR(__xludf.DUMMYFUNCTION("""COMPUTED_VALUE"""),"2055-06-03T21:31:10.329123Z")</f>
        <v>2055-06-03T21:31:10.329123Z</v>
      </c>
      <c r="P325" s="3" t="str">
        <f ca="1">IFERROR(__xludf.DUMMYFUNCTION("""COMPUTED_VALUE"""),"2055-06-03T20:46:27.268861Z")</f>
        <v>2055-06-03T20:46:27.268861Z</v>
      </c>
      <c r="Q325" s="3">
        <f ca="1">IFERROR(__xludf.DUMMYFUNCTION("""COMPUTED_VALUE"""),0)</f>
        <v>0</v>
      </c>
      <c r="R325" s="3" t="str">
        <f ca="1">IFERROR(__xludf.DUMMYFUNCTION("""COMPUTED_VALUE"""),"2055-06-03T20:46:35.466587Z")</f>
        <v>2055-06-03T20:46:35.466587Z</v>
      </c>
      <c r="S325" s="3" t="str">
        <f ca="1">IFERROR(__xludf.DUMMYFUNCTION("""COMPUTED_VALUE"""),"2055-06-03T21:07:03.088052Z")</f>
        <v>2055-06-03T21:07:03.088052Z</v>
      </c>
      <c r="T325" s="3"/>
      <c r="U325" s="4">
        <f ca="1">IFERROR(__xludf.DUMMYFUNCTION("""COMPUTED_VALUE"""),56768)</f>
        <v>56768</v>
      </c>
      <c r="V325" s="3">
        <f ca="1">IFERROR(__xludf.DUMMYFUNCTION("""COMPUTED_VALUE"""),4.5)</f>
        <v>4.5</v>
      </c>
      <c r="W325" s="3">
        <f ca="1">IFERROR(__xludf.DUMMYFUNCTION("""COMPUTED_VALUE"""),3000)</f>
        <v>3000</v>
      </c>
      <c r="X325" s="3">
        <f ca="1">IFERROR(__xludf.DUMMYFUNCTION("""COMPUTED_VALUE"""),2675)</f>
        <v>2675</v>
      </c>
      <c r="Y325" s="3">
        <f ca="1">IFERROR(__xludf.DUMMYFUNCTION("""COMPUTED_VALUE"""),1228)</f>
        <v>1228</v>
      </c>
      <c r="Z325" s="3">
        <f ca="1">IFERROR(__xludf.DUMMYFUNCTION("""COMPUTED_VALUE"""),284)</f>
        <v>284</v>
      </c>
      <c r="AA325" s="3">
        <f ca="1">IFERROR(__xludf.DUMMYFUNCTION("""COMPUTED_VALUE"""),1163)</f>
        <v>1163</v>
      </c>
      <c r="AB325" s="3">
        <f ca="1">IFERROR(__xludf.DUMMYFUNCTION("""COMPUTED_VALUE"""),0)</f>
        <v>0</v>
      </c>
      <c r="AC325" s="3">
        <f ca="1">IFERROR(__xludf.DUMMYFUNCTION("""COMPUTED_VALUE"""),8)</f>
        <v>8</v>
      </c>
      <c r="AD325" s="3" t="str">
        <f ca="1">IFERROR(__xludf.DUMMYFUNCTION("""COMPUTED_VALUE"""),"late")</f>
        <v>late</v>
      </c>
      <c r="AE325" s="3" t="str">
        <f ca="1">IFERROR(__xludf.DUMMYFUNCTION("""COMPUTED_VALUE"""),"2055-06-03T17:11:47.736234Z")</f>
        <v>2055-06-03T17:11:47.736234Z</v>
      </c>
      <c r="AF325" s="3" t="str">
        <f ca="1">IFERROR(__xludf.DUMMYFUNCTION("""COMPUTED_VALUE"""),"2055-06-03T17:31:10.329123Z")</f>
        <v>2055-06-03T17:31:10.329123Z</v>
      </c>
      <c r="AG325" s="3" t="str">
        <f ca="1">IFERROR(__xludf.DUMMYFUNCTION("""COMPUTED_VALUE"""),"2055-06-03T16:46:27.268861Z")</f>
        <v>2055-06-03T16:46:27.268861Z</v>
      </c>
      <c r="AH325" s="3" t="str">
        <f ca="1">IFERROR(__xludf.DUMMYFUNCTION("""COMPUTED_VALUE"""),"2055-06-03T17:07:03.088052Z")</f>
        <v>2055-06-03T17:07:03.088052Z</v>
      </c>
      <c r="AI325" s="3">
        <f ca="1">IFERROR(__xludf.DUMMYFUNCTION("""COMPUTED_VALUE"""),4.89)</f>
        <v>4.8899999999999997</v>
      </c>
      <c r="AJ325" s="3">
        <f ca="1">IFERROR(__xludf.DUMMYFUNCTION("""COMPUTED_VALUE"""),1778)</f>
        <v>1778</v>
      </c>
      <c r="AK325" s="3">
        <f ca="1">IFERROR(__xludf.DUMMYFUNCTION("""COMPUTED_VALUE"""),5138)</f>
        <v>5138</v>
      </c>
      <c r="AL325" s="3">
        <f ca="1">IFERROR(__xludf.DUMMYFUNCTION("""COMPUTED_VALUE"""),314)</f>
        <v>314</v>
      </c>
    </row>
    <row r="326" spans="1:38" ht="13">
      <c r="A326" s="3">
        <f ca="1">IFERROR(__xludf.DUMMYFUNCTION("""COMPUTED_VALUE"""),72)</f>
        <v>72</v>
      </c>
      <c r="B326" s="3">
        <f ca="1">IFERROR(__xludf.DUMMYFUNCTION("""COMPUTED_VALUE"""),1)</f>
        <v>1</v>
      </c>
      <c r="C326" s="3">
        <f ca="1">IFERROR(__xludf.DUMMYFUNCTION("""COMPUTED_VALUE"""),4050)</f>
        <v>4050</v>
      </c>
      <c r="D326" s="3" t="str">
        <f ca="1">IFERROR(__xludf.DUMMYFUNCTION("""COMPUTED_VALUE"""),"Doorlanta")</f>
        <v>Doorlanta</v>
      </c>
      <c r="E326" s="3" t="str">
        <f ca="1">IFERROR(__xludf.DUMMYFUNCTION("""COMPUTED_VALUE"""),"Galaxy A")</f>
        <v>Galaxy A</v>
      </c>
      <c r="F326" s="3" t="str">
        <f ca="1">IFERROR(__xludf.DUMMYFUNCTION("""COMPUTED_VALUE"""),"Hanna")</f>
        <v>Hanna</v>
      </c>
      <c r="G326" s="3">
        <f ca="1">IFERROR(__xludf.DUMMYFUNCTION("""COMPUTED_VALUE"""),0)</f>
        <v>0</v>
      </c>
      <c r="H326" s="3" t="str">
        <f ca="1">IFERROR(__xludf.DUMMYFUNCTION("""COMPUTED_VALUE"""),"car")</f>
        <v>car</v>
      </c>
      <c r="I326" s="3" t="str">
        <f ca="1">IFERROR(__xludf.DUMMYFUNCTION("""COMPUTED_VALUE"""),"2055-06-01T22:58:33.160986Z")</f>
        <v>2055-06-01T22:58:33.160986Z</v>
      </c>
      <c r="J326" s="3" t="str">
        <f ca="1">IFERROR(__xludf.DUMMYFUNCTION("""COMPUTED_VALUE"""),"2055-06-01T23:52:59.233Z")</f>
        <v>2055-06-01T23:52:59.233Z</v>
      </c>
      <c r="K326" s="3" t="str">
        <f ca="1">IFERROR(__xludf.DUMMYFUNCTION("""COMPUTED_VALUE"""),"2055-06-01T23:42:52.233Z")</f>
        <v>2055-06-01T23:42:52.233Z</v>
      </c>
      <c r="L326" s="3">
        <f ca="1">IFERROR(__xludf.DUMMYFUNCTION("""COMPUTED_VALUE"""),1)</f>
        <v>1</v>
      </c>
      <c r="M326" s="3">
        <f ca="1">IFERROR(__xludf.DUMMYFUNCTION("""COMPUTED_VALUE"""),0)</f>
        <v>0</v>
      </c>
      <c r="N326" s="3" t="str">
        <f ca="1">IFERROR(__xludf.DUMMYFUNCTION("""COMPUTED_VALUE"""),"2055-06-01T23:42:08.746017Z")</f>
        <v>2055-06-01T23:42:08.746017Z</v>
      </c>
      <c r="O326" s="3" t="str">
        <f ca="1">IFERROR(__xludf.DUMMYFUNCTION("""COMPUTED_VALUE"""),"2055-06-02T00:11:44.974947Z")</f>
        <v>2055-06-02T00:11:44.974947Z</v>
      </c>
      <c r="P326" s="3" t="str">
        <f ca="1">IFERROR(__xludf.DUMMYFUNCTION("""COMPUTED_VALUE"""),"2055-06-01T22:59:07.401431Z")</f>
        <v>2055-06-01T22:59:07.401431Z</v>
      </c>
      <c r="Q326" s="3">
        <f ca="1">IFERROR(__xludf.DUMMYFUNCTION("""COMPUTED_VALUE"""),0)</f>
        <v>0</v>
      </c>
      <c r="R326" s="3" t="str">
        <f ca="1">IFERROR(__xludf.DUMMYFUNCTION("""COMPUTED_VALUE"""),"2055-06-01T22:59:23.625809Z")</f>
        <v>2055-06-01T22:59:23.625809Z</v>
      </c>
      <c r="S326" s="3"/>
      <c r="T326" s="3"/>
      <c r="U326" s="4">
        <f ca="1">IFERROR(__xludf.DUMMYFUNCTION("""COMPUTED_VALUE"""),56766)</f>
        <v>56766</v>
      </c>
      <c r="V326" s="3">
        <f ca="1">IFERROR(__xludf.DUMMYFUNCTION("""COMPUTED_VALUE"""),4.4)</f>
        <v>4.4000000000000004</v>
      </c>
      <c r="W326" s="3">
        <f ca="1">IFERROR(__xludf.DUMMYFUNCTION("""COMPUTED_VALUE"""),3000)</f>
        <v>3000</v>
      </c>
      <c r="X326" s="3">
        <f ca="1">IFERROR(__xludf.DUMMYFUNCTION("""COMPUTED_VALUE"""),4341)</f>
        <v>4341</v>
      </c>
      <c r="Y326" s="3"/>
      <c r="Z326" s="3"/>
      <c r="AA326" s="3">
        <f ca="1">IFERROR(__xludf.DUMMYFUNCTION("""COMPUTED_VALUE"""),1776)</f>
        <v>1776</v>
      </c>
      <c r="AB326" s="3">
        <f ca="1">IFERROR(__xludf.DUMMYFUNCTION("""COMPUTED_VALUE"""),0)</f>
        <v>0</v>
      </c>
      <c r="AC326" s="3">
        <f ca="1">IFERROR(__xludf.DUMMYFUNCTION("""COMPUTED_VALUE"""),2)</f>
        <v>2</v>
      </c>
      <c r="AD326" s="3"/>
      <c r="AE326" s="3" t="str">
        <f ca="1">IFERROR(__xludf.DUMMYFUNCTION("""COMPUTED_VALUE"""),"2055-06-01T19:42:08.746017Z")</f>
        <v>2055-06-01T19:42:08.746017Z</v>
      </c>
      <c r="AF326" s="3" t="str">
        <f ca="1">IFERROR(__xludf.DUMMYFUNCTION("""COMPUTED_VALUE"""),"2055-06-01T20:11:44.974947Z")</f>
        <v>2055-06-01T20:11:44.974947Z</v>
      </c>
      <c r="AG326" s="3" t="str">
        <f ca="1">IFERROR(__xludf.DUMMYFUNCTION("""COMPUTED_VALUE"""),"2055-06-01T18:59:07.401431Z")</f>
        <v>2055-06-01T18:59:07.401431Z</v>
      </c>
      <c r="AH326" s="3"/>
      <c r="AI326" s="3">
        <f ca="1">IFERROR(__xludf.DUMMYFUNCTION("""COMPUTED_VALUE"""),4.79)</f>
        <v>4.79</v>
      </c>
      <c r="AJ326" s="3">
        <f ca="1">IFERROR(__xludf.DUMMYFUNCTION("""COMPUTED_VALUE"""),1007)</f>
        <v>1007</v>
      </c>
      <c r="AK326" s="3">
        <f ca="1">IFERROR(__xludf.DUMMYFUNCTION("""COMPUTED_VALUE"""),2899)</f>
        <v>2899</v>
      </c>
      <c r="AL326" s="3">
        <f ca="1">IFERROR(__xludf.DUMMYFUNCTION("""COMPUTED_VALUE"""),1301)</f>
        <v>1301</v>
      </c>
    </row>
    <row r="327" spans="1:38" ht="13">
      <c r="A327" s="3">
        <f ca="1">IFERROR(__xludf.DUMMYFUNCTION("""COMPUTED_VALUE"""),554)</f>
        <v>554</v>
      </c>
      <c r="B327" s="3">
        <f ca="1">IFERROR(__xludf.DUMMYFUNCTION("""COMPUTED_VALUE"""),1)</f>
        <v>1</v>
      </c>
      <c r="C327" s="3">
        <f ca="1">IFERROR(__xludf.DUMMYFUNCTION("""COMPUTED_VALUE"""),4050)</f>
        <v>4050</v>
      </c>
      <c r="D327" s="3" t="str">
        <f ca="1">IFERROR(__xludf.DUMMYFUNCTION("""COMPUTED_VALUE"""),"Doorlanta")</f>
        <v>Doorlanta</v>
      </c>
      <c r="E327" s="3" t="str">
        <f ca="1">IFERROR(__xludf.DUMMYFUNCTION("""COMPUTED_VALUE"""),"Galaxy A")</f>
        <v>Galaxy A</v>
      </c>
      <c r="F327" s="3" t="str">
        <f ca="1">IFERROR(__xludf.DUMMYFUNCTION("""COMPUTED_VALUE"""),"Cate")</f>
        <v>Cate</v>
      </c>
      <c r="G327" s="3">
        <f ca="1">IFERROR(__xludf.DUMMYFUNCTION("""COMPUTED_VALUE"""),0)</f>
        <v>0</v>
      </c>
      <c r="H327" s="3" t="str">
        <f ca="1">IFERROR(__xludf.DUMMYFUNCTION("""COMPUTED_VALUE"""),"car")</f>
        <v>car</v>
      </c>
      <c r="I327" s="3" t="str">
        <f ca="1">IFERROR(__xludf.DUMMYFUNCTION("""COMPUTED_VALUE"""),"2055-06-05T15:34:57.09557Z")</f>
        <v>2055-06-05T15:34:57.09557Z</v>
      </c>
      <c r="J327" s="3" t="str">
        <f ca="1">IFERROR(__xludf.DUMMYFUNCTION("""COMPUTED_VALUE"""),"2055-06-05T16:36:05.173Z")</f>
        <v>2055-06-05T16:36:05.173Z</v>
      </c>
      <c r="K327" s="3" t="str">
        <f ca="1">IFERROR(__xludf.DUMMYFUNCTION("""COMPUTED_VALUE"""),"2055-06-05T16:17:12.173Z")</f>
        <v>2055-06-05T16:17:12.173Z</v>
      </c>
      <c r="L327" s="3">
        <f ca="1">IFERROR(__xludf.DUMMYFUNCTION("""COMPUTED_VALUE"""),1)</f>
        <v>1</v>
      </c>
      <c r="M327" s="3">
        <f ca="1">IFERROR(__xludf.DUMMYFUNCTION("""COMPUTED_VALUE"""),0)</f>
        <v>0</v>
      </c>
      <c r="N327" s="3" t="str">
        <f ca="1">IFERROR(__xludf.DUMMYFUNCTION("""COMPUTED_VALUE"""),"2055-06-05T17:17:25.745427Z")</f>
        <v>2055-06-05T17:17:25.745427Z</v>
      </c>
      <c r="O327" s="3" t="str">
        <f ca="1">IFERROR(__xludf.DUMMYFUNCTION("""COMPUTED_VALUE"""),"2055-06-05T17:31:33.621313Z")</f>
        <v>2055-06-05T17:31:33.621313Z</v>
      </c>
      <c r="P327" s="3" t="str">
        <f ca="1">IFERROR(__xludf.DUMMYFUNCTION("""COMPUTED_VALUE"""),"2055-06-05T16:30:07.255916Z")</f>
        <v>2055-06-05T16:30:07.255916Z</v>
      </c>
      <c r="Q327" s="3">
        <f ca="1">IFERROR(__xludf.DUMMYFUNCTION("""COMPUTED_VALUE"""),0)</f>
        <v>0</v>
      </c>
      <c r="R327" s="3" t="str">
        <f ca="1">IFERROR(__xludf.DUMMYFUNCTION("""COMPUTED_VALUE"""),"2055-06-05T16:30:10.478416Z")</f>
        <v>2055-06-05T16:30:10.478416Z</v>
      </c>
      <c r="S327" s="3"/>
      <c r="T327" s="3"/>
      <c r="U327" s="4">
        <f ca="1">IFERROR(__xludf.DUMMYFUNCTION("""COMPUTED_VALUE"""),56770)</f>
        <v>56770</v>
      </c>
      <c r="V327" s="3">
        <f ca="1">IFERROR(__xludf.DUMMYFUNCTION("""COMPUTED_VALUE"""),4.5)</f>
        <v>4.5</v>
      </c>
      <c r="W327" s="3">
        <f ca="1">IFERROR(__xludf.DUMMYFUNCTION("""COMPUTED_VALUE"""),3000)</f>
        <v>3000</v>
      </c>
      <c r="X327" s="3">
        <f ca="1">IFERROR(__xludf.DUMMYFUNCTION("""COMPUTED_VALUE"""),3683)</f>
        <v>3683</v>
      </c>
      <c r="Y327" s="3"/>
      <c r="Z327" s="3"/>
      <c r="AA327" s="3">
        <f ca="1">IFERROR(__xludf.DUMMYFUNCTION("""COMPUTED_VALUE"""),848)</f>
        <v>848</v>
      </c>
      <c r="AB327" s="3">
        <f ca="1">IFERROR(__xludf.DUMMYFUNCTION("""COMPUTED_VALUE"""),0)</f>
        <v>0</v>
      </c>
      <c r="AC327" s="3">
        <f ca="1">IFERROR(__xludf.DUMMYFUNCTION("""COMPUTED_VALUE"""),6)</f>
        <v>6</v>
      </c>
      <c r="AD327" s="3"/>
      <c r="AE327" s="3" t="str">
        <f ca="1">IFERROR(__xludf.DUMMYFUNCTION("""COMPUTED_VALUE"""),"2055-06-05T13:17:25.745427Z")</f>
        <v>2055-06-05T13:17:25.745427Z</v>
      </c>
      <c r="AF327" s="3" t="str">
        <f ca="1">IFERROR(__xludf.DUMMYFUNCTION("""COMPUTED_VALUE"""),"2055-06-05T13:31:33.621313Z")</f>
        <v>2055-06-05T13:31:33.621313Z</v>
      </c>
      <c r="AG327" s="3" t="str">
        <f ca="1">IFERROR(__xludf.DUMMYFUNCTION("""COMPUTED_VALUE"""),"2055-06-05T12:30:07.255916Z")</f>
        <v>2055-06-05T12:30:07.255916Z</v>
      </c>
      <c r="AH327" s="3"/>
      <c r="AI327" s="3">
        <f ca="1">IFERROR(__xludf.DUMMYFUNCTION("""COMPUTED_VALUE"""),4.49)</f>
        <v>4.49</v>
      </c>
      <c r="AJ327" s="3">
        <f ca="1">IFERROR(__xludf.DUMMYFUNCTION("""COMPUTED_VALUE"""),2315)</f>
        <v>2315</v>
      </c>
      <c r="AK327" s="3">
        <f ca="1">IFERROR(__xludf.DUMMYFUNCTION("""COMPUTED_VALUE"""),7039)</f>
        <v>7039</v>
      </c>
      <c r="AL327" s="3">
        <f ca="1">IFERROR(__xludf.DUMMYFUNCTION("""COMPUTED_VALUE"""),763)</f>
        <v>763</v>
      </c>
    </row>
    <row r="328" spans="1:38" ht="13">
      <c r="A328" s="3">
        <f ca="1">IFERROR(__xludf.DUMMYFUNCTION("""COMPUTED_VALUE"""),1513)</f>
        <v>1513</v>
      </c>
      <c r="B328" s="3">
        <f ca="1">IFERROR(__xludf.DUMMYFUNCTION("""COMPUTED_VALUE"""),5)</f>
        <v>5</v>
      </c>
      <c r="C328" s="3">
        <f ca="1">IFERROR(__xludf.DUMMYFUNCTION("""COMPUTED_VALUE"""),4001)</f>
        <v>4001</v>
      </c>
      <c r="D328" s="3" t="str">
        <f ca="1">IFERROR(__xludf.DUMMYFUNCTION("""COMPUTED_VALUE"""),"Dashattan")</f>
        <v>Dashattan</v>
      </c>
      <c r="E328" s="3" t="str">
        <f ca="1">IFERROR(__xludf.DUMMYFUNCTION("""COMPUTED_VALUE"""),"Galaxy A")</f>
        <v>Galaxy A</v>
      </c>
      <c r="F328" s="3" t="str">
        <f ca="1">IFERROR(__xludf.DUMMYFUNCTION("""COMPUTED_VALUE"""),"J")</f>
        <v>J</v>
      </c>
      <c r="G328" s="3">
        <f ca="1">IFERROR(__xludf.DUMMYFUNCTION("""COMPUTED_VALUE"""),0)</f>
        <v>0</v>
      </c>
      <c r="H328" s="3" t="str">
        <f ca="1">IFERROR(__xludf.DUMMYFUNCTION("""COMPUTED_VALUE"""),"bicycle")</f>
        <v>bicycle</v>
      </c>
      <c r="I328" s="3" t="str">
        <f ca="1">IFERROR(__xludf.DUMMYFUNCTION("""COMPUTED_VALUE"""),"2055-06-13T00:04:42.771537Z")</f>
        <v>2055-06-13T00:04:42.771537Z</v>
      </c>
      <c r="J328" s="3" t="str">
        <f ca="1">IFERROR(__xludf.DUMMYFUNCTION("""COMPUTED_VALUE"""),"2055-06-13T01:02:03.837Z")</f>
        <v>2055-06-13T01:02:03.837Z</v>
      </c>
      <c r="K328" s="3" t="str">
        <f ca="1">IFERROR(__xludf.DUMMYFUNCTION("""COMPUTED_VALUE"""),"2055-06-13T00:40:09.837Z")</f>
        <v>2055-06-13T00:40:09.837Z</v>
      </c>
      <c r="L328" s="3">
        <f ca="1">IFERROR(__xludf.DUMMYFUNCTION("""COMPUTED_VALUE"""),1)</f>
        <v>1</v>
      </c>
      <c r="M328" s="3">
        <f ca="1">IFERROR(__xludf.DUMMYFUNCTION("""COMPUTED_VALUE"""),0)</f>
        <v>0</v>
      </c>
      <c r="N328" s="3" t="str">
        <f ca="1">IFERROR(__xludf.DUMMYFUNCTION("""COMPUTED_VALUE"""),"2055-06-13T00:39:46.756678Z")</f>
        <v>2055-06-13T00:39:46.756678Z</v>
      </c>
      <c r="O328" s="3" t="str">
        <f ca="1">IFERROR(__xludf.DUMMYFUNCTION("""COMPUTED_VALUE"""),"2055-06-13T01:18:17.940059Z")</f>
        <v>2055-06-13T01:18:17.940059Z</v>
      </c>
      <c r="P328" s="3" t="str">
        <f ca="1">IFERROR(__xludf.DUMMYFUNCTION("""COMPUTED_VALUE"""),"2055-06-13T00:08:34.128393Z")</f>
        <v>2055-06-13T00:08:34.128393Z</v>
      </c>
      <c r="Q328" s="3">
        <f ca="1">IFERROR(__xludf.DUMMYFUNCTION("""COMPUTED_VALUE"""),0)</f>
        <v>0</v>
      </c>
      <c r="R328" s="3" t="str">
        <f ca="1">IFERROR(__xludf.DUMMYFUNCTION("""COMPUTED_VALUE"""),"2055-06-13T00:09:27.413773Z")</f>
        <v>2055-06-13T00:09:27.413773Z</v>
      </c>
      <c r="S328" s="3" t="str">
        <f ca="1">IFERROR(__xludf.DUMMYFUNCTION("""COMPUTED_VALUE"""),"2055-06-13T00:24:27.697691Z")</f>
        <v>2055-06-13T00:24:27.697691Z</v>
      </c>
      <c r="T328" s="3"/>
      <c r="U328" s="4">
        <f ca="1">IFERROR(__xludf.DUMMYFUNCTION("""COMPUTED_VALUE"""),56777)</f>
        <v>56777</v>
      </c>
      <c r="V328" s="3">
        <f ca="1">IFERROR(__xludf.DUMMYFUNCTION("""COMPUTED_VALUE"""),4.6)</f>
        <v>4.5999999999999996</v>
      </c>
      <c r="W328" s="3">
        <f ca="1">IFERROR(__xludf.DUMMYFUNCTION("""COMPUTED_VALUE"""),3000)</f>
        <v>3000</v>
      </c>
      <c r="X328" s="3">
        <f ca="1">IFERROR(__xludf.DUMMYFUNCTION("""COMPUTED_VALUE"""),4130)</f>
        <v>4130</v>
      </c>
      <c r="Y328" s="3">
        <f ca="1">IFERROR(__xludf.DUMMYFUNCTION("""COMPUTED_VALUE"""),900)</f>
        <v>900</v>
      </c>
      <c r="Z328" s="3">
        <f ca="1">IFERROR(__xludf.DUMMYFUNCTION("""COMPUTED_VALUE"""),919)</f>
        <v>919</v>
      </c>
      <c r="AA328" s="3">
        <f ca="1">IFERROR(__xludf.DUMMYFUNCTION("""COMPUTED_VALUE"""),2311)</f>
        <v>2311</v>
      </c>
      <c r="AB328" s="3">
        <f ca="1">IFERROR(__xludf.DUMMYFUNCTION("""COMPUTED_VALUE"""),1)</f>
        <v>1</v>
      </c>
      <c r="AC328" s="3">
        <f ca="1">IFERROR(__xludf.DUMMYFUNCTION("""COMPUTED_VALUE"""),2)</f>
        <v>2</v>
      </c>
      <c r="AD328" s="3"/>
      <c r="AE328" s="3" t="str">
        <f ca="1">IFERROR(__xludf.DUMMYFUNCTION("""COMPUTED_VALUE"""),"2055-06-12T20:39:46.756678Z")</f>
        <v>2055-06-12T20:39:46.756678Z</v>
      </c>
      <c r="AF328" s="3" t="str">
        <f ca="1">IFERROR(__xludf.DUMMYFUNCTION("""COMPUTED_VALUE"""),"2055-06-12T21:18:17.940059Z")</f>
        <v>2055-06-12T21:18:17.940059Z</v>
      </c>
      <c r="AG328" s="3" t="str">
        <f ca="1">IFERROR(__xludf.DUMMYFUNCTION("""COMPUTED_VALUE"""),"2055-06-12T20:08:34.128393Z")</f>
        <v>2055-06-12T20:08:34.128393Z</v>
      </c>
      <c r="AH328" s="3" t="str">
        <f ca="1">IFERROR(__xludf.DUMMYFUNCTION("""COMPUTED_VALUE"""),"2055-06-12T20:24:27.697691Z")</f>
        <v>2055-06-12T20:24:27.697691Z</v>
      </c>
      <c r="AI328" s="3">
        <f ca="1">IFERROR(__xludf.DUMMYFUNCTION("""COMPUTED_VALUE"""),4.6)</f>
        <v>4.5999999999999996</v>
      </c>
      <c r="AJ328" s="3">
        <f ca="1">IFERROR(__xludf.DUMMYFUNCTION("""COMPUTED_VALUE"""),292)</f>
        <v>292</v>
      </c>
      <c r="AK328" s="3">
        <f ca="1">IFERROR(__xludf.DUMMYFUNCTION("""COMPUTED_VALUE"""),1027)</f>
        <v>1027</v>
      </c>
      <c r="AL328" s="3">
        <f ca="1">IFERROR(__xludf.DUMMYFUNCTION("""COMPUTED_VALUE"""),26)</f>
        <v>26</v>
      </c>
    </row>
    <row r="329" spans="1:38" ht="13">
      <c r="A329" s="3">
        <f ca="1">IFERROR(__xludf.DUMMYFUNCTION("""COMPUTED_VALUE"""),1403)</f>
        <v>1403</v>
      </c>
      <c r="B329" s="3">
        <f ca="1">IFERROR(__xludf.DUMMYFUNCTION("""COMPUTED_VALUE"""),3)</f>
        <v>3</v>
      </c>
      <c r="C329" s="3">
        <f ca="1">IFERROR(__xludf.DUMMYFUNCTION("""COMPUTED_VALUE"""),4001)</f>
        <v>4001</v>
      </c>
      <c r="D329" s="3" t="str">
        <f ca="1">IFERROR(__xludf.DUMMYFUNCTION("""COMPUTED_VALUE"""),"Dashattan")</f>
        <v>Dashattan</v>
      </c>
      <c r="E329" s="3" t="str">
        <f ca="1">IFERROR(__xludf.DUMMYFUNCTION("""COMPUTED_VALUE"""),"Galaxy A")</f>
        <v>Galaxy A</v>
      </c>
      <c r="F329" s="3" t="str">
        <f ca="1">IFERROR(__xludf.DUMMYFUNCTION("""COMPUTED_VALUE"""),"Rojan")</f>
        <v>Rojan</v>
      </c>
      <c r="G329" s="3">
        <f ca="1">IFERROR(__xludf.DUMMYFUNCTION("""COMPUTED_VALUE"""),0)</f>
        <v>0</v>
      </c>
      <c r="H329" s="3" t="str">
        <f ca="1">IFERROR(__xludf.DUMMYFUNCTION("""COMPUTED_VALUE"""),"bicycle")</f>
        <v>bicycle</v>
      </c>
      <c r="I329" s="3" t="str">
        <f ca="1">IFERROR(__xludf.DUMMYFUNCTION("""COMPUTED_VALUE"""),"2055-06-12T16:52:17.088755Z")</f>
        <v>2055-06-12T16:52:17.088755Z</v>
      </c>
      <c r="J329" s="3" t="str">
        <f ca="1">IFERROR(__xludf.DUMMYFUNCTION("""COMPUTED_VALUE"""),"2055-06-12T18:08:51.241Z")</f>
        <v>2055-06-12T18:08:51.241Z</v>
      </c>
      <c r="K329" s="3" t="str">
        <f ca="1">IFERROR(__xludf.DUMMYFUNCTION("""COMPUTED_VALUE"""),"2055-06-12T17:49:58.241Z")</f>
        <v>2055-06-12T17:49:58.241Z</v>
      </c>
      <c r="L329" s="3">
        <f ca="1">IFERROR(__xludf.DUMMYFUNCTION("""COMPUTED_VALUE"""),1)</f>
        <v>1</v>
      </c>
      <c r="M329" s="3">
        <f ca="1">IFERROR(__xludf.DUMMYFUNCTION("""COMPUTED_VALUE"""),0)</f>
        <v>0</v>
      </c>
      <c r="N329" s="3" t="str">
        <f ca="1">IFERROR(__xludf.DUMMYFUNCTION("""COMPUTED_VALUE"""),"2055-06-12T17:32:45.107534Z")</f>
        <v>2055-06-12T17:32:45.107534Z</v>
      </c>
      <c r="O329" s="3" t="str">
        <f ca="1">IFERROR(__xludf.DUMMYFUNCTION("""COMPUTED_VALUE"""),"2055-06-12T17:39:47.184Z")</f>
        <v>2055-06-12T17:39:47.184Z</v>
      </c>
      <c r="P329" s="3" t="str">
        <f ca="1">IFERROR(__xludf.DUMMYFUNCTION("""COMPUTED_VALUE"""),"2055-06-12T16:52:34.345721Z")</f>
        <v>2055-06-12T16:52:34.345721Z</v>
      </c>
      <c r="Q329" s="3">
        <f ca="1">IFERROR(__xludf.DUMMYFUNCTION("""COMPUTED_VALUE"""),0)</f>
        <v>0</v>
      </c>
      <c r="R329" s="3" t="str">
        <f ca="1">IFERROR(__xludf.DUMMYFUNCTION("""COMPUTED_VALUE"""),"2055-06-12T16:52:47.193861Z")</f>
        <v>2055-06-12T16:52:47.193861Z</v>
      </c>
      <c r="S329" s="3" t="str">
        <f ca="1">IFERROR(__xludf.DUMMYFUNCTION("""COMPUTED_VALUE"""),"2055-06-12T16:58:46.435229Z")</f>
        <v>2055-06-12T16:58:46.435229Z</v>
      </c>
      <c r="T329" s="3"/>
      <c r="U329" s="4">
        <f ca="1">IFERROR(__xludf.DUMMYFUNCTION("""COMPUTED_VALUE"""),56777)</f>
        <v>56777</v>
      </c>
      <c r="V329" s="3">
        <f ca="1">IFERROR(__xludf.DUMMYFUNCTION("""COMPUTED_VALUE"""),4.3)</f>
        <v>4.3</v>
      </c>
      <c r="W329" s="3">
        <f ca="1">IFERROR(__xludf.DUMMYFUNCTION("""COMPUTED_VALUE"""),3000)</f>
        <v>3000</v>
      </c>
      <c r="X329" s="3">
        <f ca="1">IFERROR(__xludf.DUMMYFUNCTION("""COMPUTED_VALUE"""),2820)</f>
        <v>2820</v>
      </c>
      <c r="Y329" s="3">
        <f ca="1">IFERROR(__xludf.DUMMYFUNCTION("""COMPUTED_VALUE"""),359)</f>
        <v>359</v>
      </c>
      <c r="Z329" s="3">
        <f ca="1">IFERROR(__xludf.DUMMYFUNCTION("""COMPUTED_VALUE"""),2039)</f>
        <v>2039</v>
      </c>
      <c r="AA329" s="3">
        <f ca="1">IFERROR(__xludf.DUMMYFUNCTION("""COMPUTED_VALUE"""),422)</f>
        <v>422</v>
      </c>
      <c r="AB329" s="3">
        <f ca="1">IFERROR(__xludf.DUMMYFUNCTION("""COMPUTED_VALUE"""),0)</f>
        <v>0</v>
      </c>
      <c r="AC329" s="3">
        <f ca="1">IFERROR(__xludf.DUMMYFUNCTION("""COMPUTED_VALUE"""),3)</f>
        <v>3</v>
      </c>
      <c r="AD329" s="3" t="str">
        <f ca="1">IFERROR(__xludf.DUMMYFUNCTION("""COMPUTED_VALUE"""),"early")</f>
        <v>early</v>
      </c>
      <c r="AE329" s="3" t="str">
        <f ca="1">IFERROR(__xludf.DUMMYFUNCTION("""COMPUTED_VALUE"""),"2055-06-12T13:32:45.107534Z")</f>
        <v>2055-06-12T13:32:45.107534Z</v>
      </c>
      <c r="AF329" s="3" t="str">
        <f ca="1">IFERROR(__xludf.DUMMYFUNCTION("""COMPUTED_VALUE"""),"2055-06-12T13:39:47.184Z")</f>
        <v>2055-06-12T13:39:47.184Z</v>
      </c>
      <c r="AG329" s="3" t="str">
        <f ca="1">IFERROR(__xludf.DUMMYFUNCTION("""COMPUTED_VALUE"""),"2055-06-12T12:52:34.345721Z")</f>
        <v>2055-06-12T12:52:34.345721Z</v>
      </c>
      <c r="AH329" s="3" t="str">
        <f ca="1">IFERROR(__xludf.DUMMYFUNCTION("""COMPUTED_VALUE"""),"2055-06-12T12:58:46.435229Z")</f>
        <v>2055-06-12T12:58:46.435229Z</v>
      </c>
      <c r="AI329" s="3">
        <f ca="1">IFERROR(__xludf.DUMMYFUNCTION("""COMPUTED_VALUE"""),4.58)</f>
        <v>4.58</v>
      </c>
      <c r="AJ329" s="3">
        <f ca="1">IFERROR(__xludf.DUMMYFUNCTION("""COMPUTED_VALUE"""),254)</f>
        <v>254</v>
      </c>
      <c r="AK329" s="3">
        <f ca="1">IFERROR(__xludf.DUMMYFUNCTION("""COMPUTED_VALUE"""),788)</f>
        <v>788</v>
      </c>
      <c r="AL329" s="3">
        <f ca="1">IFERROR(__xludf.DUMMYFUNCTION("""COMPUTED_VALUE"""),9)</f>
        <v>9</v>
      </c>
    </row>
    <row r="330" spans="1:38" ht="13">
      <c r="A330" s="3">
        <f ca="1">IFERROR(__xludf.DUMMYFUNCTION("""COMPUTED_VALUE"""),1038)</f>
        <v>1038</v>
      </c>
      <c r="B330" s="3">
        <f ca="1">IFERROR(__xludf.DUMMYFUNCTION("""COMPUTED_VALUE"""),5)</f>
        <v>5</v>
      </c>
      <c r="C330" s="3">
        <f ca="1">IFERROR(__xludf.DUMMYFUNCTION("""COMPUTED_VALUE"""),4001)</f>
        <v>4001</v>
      </c>
      <c r="D330" s="3" t="str">
        <f ca="1">IFERROR(__xludf.DUMMYFUNCTION("""COMPUTED_VALUE"""),"Dashattan")</f>
        <v>Dashattan</v>
      </c>
      <c r="E330" s="3" t="str">
        <f ca="1">IFERROR(__xludf.DUMMYFUNCTION("""COMPUTED_VALUE"""),"Galaxy A")</f>
        <v>Galaxy A</v>
      </c>
      <c r="F330" s="3" t="str">
        <f ca="1">IFERROR(__xludf.DUMMYFUNCTION("""COMPUTED_VALUE"""),"Arya")</f>
        <v>Arya</v>
      </c>
      <c r="G330" s="3">
        <f ca="1">IFERROR(__xludf.DUMMYFUNCTION("""COMPUTED_VALUE"""),0)</f>
        <v>0</v>
      </c>
      <c r="H330" s="3" t="str">
        <f ca="1">IFERROR(__xludf.DUMMYFUNCTION("""COMPUTED_VALUE"""),"bicycle")</f>
        <v>bicycle</v>
      </c>
      <c r="I330" s="3" t="str">
        <f ca="1">IFERROR(__xludf.DUMMYFUNCTION("""COMPUTED_VALUE"""),"2055-06-09T17:18:18.945008Z")</f>
        <v>2055-06-09T17:18:18.945008Z</v>
      </c>
      <c r="J330" s="3" t="str">
        <f ca="1">IFERROR(__xludf.DUMMYFUNCTION("""COMPUTED_VALUE"""),"2055-06-09T17:57:47Z")</f>
        <v>2055-06-09T17:57:47Z</v>
      </c>
      <c r="K330" s="3" t="str">
        <f ca="1">IFERROR(__xludf.DUMMYFUNCTION("""COMPUTED_VALUE"""),"2055-06-09T17:47:40Z")</f>
        <v>2055-06-09T17:47:40Z</v>
      </c>
      <c r="L330" s="3">
        <f ca="1">IFERROR(__xludf.DUMMYFUNCTION("""COMPUTED_VALUE"""),1)</f>
        <v>1</v>
      </c>
      <c r="M330" s="3">
        <f ca="1">IFERROR(__xludf.DUMMYFUNCTION("""COMPUTED_VALUE"""),0)</f>
        <v>0</v>
      </c>
      <c r="N330" s="3" t="str">
        <f ca="1">IFERROR(__xludf.DUMMYFUNCTION("""COMPUTED_VALUE"""),"2055-06-09T17:34:40.645127Z")</f>
        <v>2055-06-09T17:34:40.645127Z</v>
      </c>
      <c r="O330" s="3" t="str">
        <f ca="1">IFERROR(__xludf.DUMMYFUNCTION("""COMPUTED_VALUE"""),"2055-06-09T17:44:24.273999Z")</f>
        <v>2055-06-09T17:44:24.273999Z</v>
      </c>
      <c r="P330" s="3" t="str">
        <f ca="1">IFERROR(__xludf.DUMMYFUNCTION("""COMPUTED_VALUE"""),"2055-06-09T17:21:34.547814Z")</f>
        <v>2055-06-09T17:21:34.547814Z</v>
      </c>
      <c r="Q330" s="3">
        <f ca="1">IFERROR(__xludf.DUMMYFUNCTION("""COMPUTED_VALUE"""),0)</f>
        <v>0</v>
      </c>
      <c r="R330" s="3" t="str">
        <f ca="1">IFERROR(__xludf.DUMMYFUNCTION("""COMPUTED_VALUE"""),"2055-06-09T17:21:44.373294Z")</f>
        <v>2055-06-09T17:21:44.373294Z</v>
      </c>
      <c r="S330" s="3"/>
      <c r="T330" s="3"/>
      <c r="U330" s="4">
        <f ca="1">IFERROR(__xludf.DUMMYFUNCTION("""COMPUTED_VALUE"""),56774)</f>
        <v>56774</v>
      </c>
      <c r="V330" s="3">
        <f ca="1">IFERROR(__xludf.DUMMYFUNCTION("""COMPUTED_VALUE"""),3.979211633)</f>
        <v>3.9792116329999998</v>
      </c>
      <c r="W330" s="3">
        <f ca="1">IFERROR(__xludf.DUMMYFUNCTION("""COMPUTED_VALUE"""),3000)</f>
        <v>3000</v>
      </c>
      <c r="X330" s="3">
        <f ca="1">IFERROR(__xludf.DUMMYFUNCTION("""COMPUTED_VALUE"""),1360)</f>
        <v>1360</v>
      </c>
      <c r="Y330" s="3"/>
      <c r="Z330" s="3"/>
      <c r="AA330" s="3">
        <f ca="1">IFERROR(__xludf.DUMMYFUNCTION("""COMPUTED_VALUE"""),584)</f>
        <v>584</v>
      </c>
      <c r="AB330" s="3">
        <f ca="1">IFERROR(__xludf.DUMMYFUNCTION("""COMPUTED_VALUE"""),0)</f>
        <v>0</v>
      </c>
      <c r="AC330" s="3">
        <f ca="1">IFERROR(__xludf.DUMMYFUNCTION("""COMPUTED_VALUE"""),4)</f>
        <v>4</v>
      </c>
      <c r="AD330" s="3"/>
      <c r="AE330" s="3" t="str">
        <f ca="1">IFERROR(__xludf.DUMMYFUNCTION("""COMPUTED_VALUE"""),"2055-06-09T13:34:40.645127Z")</f>
        <v>2055-06-09T13:34:40.645127Z</v>
      </c>
      <c r="AF330" s="3" t="str">
        <f ca="1">IFERROR(__xludf.DUMMYFUNCTION("""COMPUTED_VALUE"""),"2055-06-09T13:44:24.273999Z")</f>
        <v>2055-06-09T13:44:24.273999Z</v>
      </c>
      <c r="AG330" s="3" t="str">
        <f ca="1">IFERROR(__xludf.DUMMYFUNCTION("""COMPUTED_VALUE"""),"2055-06-09T13:21:34.547814Z")</f>
        <v>2055-06-09T13:21:34.547814Z</v>
      </c>
      <c r="AH330" s="3"/>
      <c r="AI330" s="3">
        <f ca="1">IFERROR(__xludf.DUMMYFUNCTION("""COMPUTED_VALUE"""),4.17)</f>
        <v>4.17</v>
      </c>
      <c r="AJ330" s="3">
        <f ca="1">IFERROR(__xludf.DUMMYFUNCTION("""COMPUTED_VALUE"""),457)</f>
        <v>457</v>
      </c>
      <c r="AK330" s="3">
        <f ca="1">IFERROR(__xludf.DUMMYFUNCTION("""COMPUTED_VALUE"""),1599)</f>
        <v>1599</v>
      </c>
      <c r="AL330" s="3"/>
    </row>
    <row r="331" spans="1:38" ht="13">
      <c r="A331" s="3">
        <f ca="1">IFERROR(__xludf.DUMMYFUNCTION("""COMPUTED_VALUE"""),1311)</f>
        <v>1311</v>
      </c>
      <c r="B331" s="3"/>
      <c r="C331" s="3">
        <f ca="1">IFERROR(__xludf.DUMMYFUNCTION("""COMPUTED_VALUE"""),4001)</f>
        <v>4001</v>
      </c>
      <c r="D331" s="3" t="str">
        <f ca="1">IFERROR(__xludf.DUMMYFUNCTION("""COMPUTED_VALUE"""),"Dashattan")</f>
        <v>Dashattan</v>
      </c>
      <c r="E331" s="3" t="str">
        <f ca="1">IFERROR(__xludf.DUMMYFUNCTION("""COMPUTED_VALUE"""),"Galaxy A")</f>
        <v>Galaxy A</v>
      </c>
      <c r="F331" s="3" t="str">
        <f ca="1">IFERROR(__xludf.DUMMYFUNCTION("""COMPUTED_VALUE"""),"Rojan")</f>
        <v>Rojan</v>
      </c>
      <c r="G331" s="3">
        <f ca="1">IFERROR(__xludf.DUMMYFUNCTION("""COMPUTED_VALUE"""),0)</f>
        <v>0</v>
      </c>
      <c r="H331" s="3" t="str">
        <f ca="1">IFERROR(__xludf.DUMMYFUNCTION("""COMPUTED_VALUE"""),"bicycle")</f>
        <v>bicycle</v>
      </c>
      <c r="I331" s="3" t="str">
        <f ca="1">IFERROR(__xludf.DUMMYFUNCTION("""COMPUTED_VALUE"""),"2055-06-11T21:44:05.881452Z")</f>
        <v>2055-06-11T21:44:05.881452Z</v>
      </c>
      <c r="J331" s="3" t="str">
        <f ca="1">IFERROR(__xludf.DUMMYFUNCTION("""COMPUTED_VALUE"""),"2055-06-11T22:29:33.953Z")</f>
        <v>2055-06-11T22:29:33.953Z</v>
      </c>
      <c r="K331" s="3" t="str">
        <f ca="1">IFERROR(__xludf.DUMMYFUNCTION("""COMPUTED_VALUE"""),"2055-06-11T22:10:40.953Z")</f>
        <v>2055-06-11T22:10:40.953Z</v>
      </c>
      <c r="L331" s="3">
        <f ca="1">IFERROR(__xludf.DUMMYFUNCTION("""COMPUTED_VALUE"""),1)</f>
        <v>1</v>
      </c>
      <c r="M331" s="3">
        <f ca="1">IFERROR(__xludf.DUMMYFUNCTION("""COMPUTED_VALUE"""),0)</f>
        <v>0</v>
      </c>
      <c r="N331" s="3" t="str">
        <f ca="1">IFERROR(__xludf.DUMMYFUNCTION("""COMPUTED_VALUE"""),"2055-06-11T21:58:06.683442Z")</f>
        <v>2055-06-11T21:58:06.683442Z</v>
      </c>
      <c r="O331" s="3" t="str">
        <f ca="1">IFERROR(__xludf.DUMMYFUNCTION("""COMPUTED_VALUE"""),"2055-06-11T22:14:17.006063Z")</f>
        <v>2055-06-11T22:14:17.006063Z</v>
      </c>
      <c r="P331" s="3" t="str">
        <f ca="1">IFERROR(__xludf.DUMMYFUNCTION("""COMPUTED_VALUE"""),"2055-06-11T21:45:54.448079Z")</f>
        <v>2055-06-11T21:45:54.448079Z</v>
      </c>
      <c r="Q331" s="3">
        <f ca="1">IFERROR(__xludf.DUMMYFUNCTION("""COMPUTED_VALUE"""),0)</f>
        <v>0</v>
      </c>
      <c r="R331" s="3" t="str">
        <f ca="1">IFERROR(__xludf.DUMMYFUNCTION("""COMPUTED_VALUE"""),"2055-06-11T21:46:04.305703Z")</f>
        <v>2055-06-11T21:46:04.305703Z</v>
      </c>
      <c r="S331" s="3" t="str">
        <f ca="1">IFERROR(__xludf.DUMMYFUNCTION("""COMPUTED_VALUE"""),"2055-06-11T21:51:57.513508Z")</f>
        <v>2055-06-11T21:51:57.513508Z</v>
      </c>
      <c r="T331" s="3"/>
      <c r="U331" s="4">
        <f ca="1">IFERROR(__xludf.DUMMYFUNCTION("""COMPUTED_VALUE"""),56776)</f>
        <v>56776</v>
      </c>
      <c r="V331" s="3">
        <f ca="1">IFERROR(__xludf.DUMMYFUNCTION("""COMPUTED_VALUE"""),3.49339893)</f>
        <v>3.4933989300000001</v>
      </c>
      <c r="W331" s="3">
        <f ca="1">IFERROR(__xludf.DUMMYFUNCTION("""COMPUTED_VALUE"""),3000)</f>
        <v>3000</v>
      </c>
      <c r="X331" s="3">
        <f ca="1">IFERROR(__xludf.DUMMYFUNCTION("""COMPUTED_VALUE"""),1693)</f>
        <v>1693</v>
      </c>
      <c r="Y331" s="3">
        <f ca="1">IFERROR(__xludf.DUMMYFUNCTION("""COMPUTED_VALUE"""),353)</f>
        <v>353</v>
      </c>
      <c r="Z331" s="3">
        <f ca="1">IFERROR(__xludf.DUMMYFUNCTION("""COMPUTED_VALUE"""),369)</f>
        <v>369</v>
      </c>
      <c r="AA331" s="3">
        <f ca="1">IFERROR(__xludf.DUMMYFUNCTION("""COMPUTED_VALUE"""),971)</f>
        <v>971</v>
      </c>
      <c r="AB331" s="3">
        <f ca="1">IFERROR(__xludf.DUMMYFUNCTION("""COMPUTED_VALUE"""),0)</f>
        <v>0</v>
      </c>
      <c r="AC331" s="3">
        <f ca="1">IFERROR(__xludf.DUMMYFUNCTION("""COMPUTED_VALUE"""),4)</f>
        <v>4</v>
      </c>
      <c r="AD331" s="3" t="str">
        <f ca="1">IFERROR(__xludf.DUMMYFUNCTION("""COMPUTED_VALUE"""),"on time")</f>
        <v>on time</v>
      </c>
      <c r="AE331" s="3" t="str">
        <f ca="1">IFERROR(__xludf.DUMMYFUNCTION("""COMPUTED_VALUE"""),"2055-06-11T17:58:06.683442Z")</f>
        <v>2055-06-11T17:58:06.683442Z</v>
      </c>
      <c r="AF331" s="3" t="str">
        <f ca="1">IFERROR(__xludf.DUMMYFUNCTION("""COMPUTED_VALUE"""),"2055-06-11T18:14:17.006063Z")</f>
        <v>2055-06-11T18:14:17.006063Z</v>
      </c>
      <c r="AG331" s="3" t="str">
        <f ca="1">IFERROR(__xludf.DUMMYFUNCTION("""COMPUTED_VALUE"""),"2055-06-11T17:45:54.448079Z")</f>
        <v>2055-06-11T17:45:54.448079Z</v>
      </c>
      <c r="AH331" s="3" t="str">
        <f ca="1">IFERROR(__xludf.DUMMYFUNCTION("""COMPUTED_VALUE"""),"2055-06-11T17:51:57.513508Z")</f>
        <v>2055-06-11T17:51:57.513508Z</v>
      </c>
      <c r="AI331" s="3">
        <f ca="1">IFERROR(__xludf.DUMMYFUNCTION("""COMPUTED_VALUE"""),4.58)</f>
        <v>4.58</v>
      </c>
      <c r="AJ331" s="3">
        <f ca="1">IFERROR(__xludf.DUMMYFUNCTION("""COMPUTED_VALUE"""),254)</f>
        <v>254</v>
      </c>
      <c r="AK331" s="3">
        <f ca="1">IFERROR(__xludf.DUMMYFUNCTION("""COMPUTED_VALUE"""),788)</f>
        <v>788</v>
      </c>
      <c r="AL331" s="3">
        <f ca="1">IFERROR(__xludf.DUMMYFUNCTION("""COMPUTED_VALUE"""),9)</f>
        <v>9</v>
      </c>
    </row>
    <row r="332" spans="1:38" ht="13">
      <c r="A332" s="3">
        <f ca="1">IFERROR(__xludf.DUMMYFUNCTION("""COMPUTED_VALUE"""),464)</f>
        <v>464</v>
      </c>
      <c r="B332" s="3"/>
      <c r="C332" s="3">
        <f ca="1">IFERROR(__xludf.DUMMYFUNCTION("""COMPUTED_VALUE"""),4050)</f>
        <v>4050</v>
      </c>
      <c r="D332" s="3" t="str">
        <f ca="1">IFERROR(__xludf.DUMMYFUNCTION("""COMPUTED_VALUE"""),"Doorlanta")</f>
        <v>Doorlanta</v>
      </c>
      <c r="E332" s="3" t="str">
        <f ca="1">IFERROR(__xludf.DUMMYFUNCTION("""COMPUTED_VALUE"""),"Galaxy A")</f>
        <v>Galaxy A</v>
      </c>
      <c r="F332" s="3" t="str">
        <f ca="1">IFERROR(__xludf.DUMMYFUNCTION("""COMPUTED_VALUE"""),"Joe")</f>
        <v>Joe</v>
      </c>
      <c r="G332" s="3">
        <f ca="1">IFERROR(__xludf.DUMMYFUNCTION("""COMPUTED_VALUE"""),0)</f>
        <v>0</v>
      </c>
      <c r="H332" s="3" t="str">
        <f ca="1">IFERROR(__xludf.DUMMYFUNCTION("""COMPUTED_VALUE"""),"car")</f>
        <v>car</v>
      </c>
      <c r="I332" s="3" t="str">
        <f ca="1">IFERROR(__xludf.DUMMYFUNCTION("""COMPUTED_VALUE"""),"2055-06-04T22:30:15.675089Z")</f>
        <v>2055-06-04T22:30:15.675089Z</v>
      </c>
      <c r="J332" s="3" t="str">
        <f ca="1">IFERROR(__xludf.DUMMYFUNCTION("""COMPUTED_VALUE"""),"2055-06-04T23:45:28.742Z")</f>
        <v>2055-06-04T23:45:28.742Z</v>
      </c>
      <c r="K332" s="3" t="str">
        <f ca="1">IFERROR(__xludf.DUMMYFUNCTION("""COMPUTED_VALUE"""),"2055-06-04T23:20:47.742Z")</f>
        <v>2055-06-04T23:20:47.742Z</v>
      </c>
      <c r="L332" s="3">
        <f ca="1">IFERROR(__xludf.DUMMYFUNCTION("""COMPUTED_VALUE"""),1)</f>
        <v>1</v>
      </c>
      <c r="M332" s="3">
        <f ca="1">IFERROR(__xludf.DUMMYFUNCTION("""COMPUTED_VALUE"""),0)</f>
        <v>0</v>
      </c>
      <c r="N332" s="3" t="str">
        <f ca="1">IFERROR(__xludf.DUMMYFUNCTION("""COMPUTED_VALUE"""),"2055-06-04T23:24:48.302164Z")</f>
        <v>2055-06-04T23:24:48.302164Z</v>
      </c>
      <c r="O332" s="3" t="str">
        <f ca="1">IFERROR(__xludf.DUMMYFUNCTION("""COMPUTED_VALUE"""),"2055-06-04T23:33:31.247731Z")</f>
        <v>2055-06-04T23:33:31.247731Z</v>
      </c>
      <c r="P332" s="3" t="str">
        <f ca="1">IFERROR(__xludf.DUMMYFUNCTION("""COMPUTED_VALUE"""),"2055-06-04T22:37:07.684495Z")</f>
        <v>2055-06-04T22:37:07.684495Z</v>
      </c>
      <c r="Q332" s="3">
        <f ca="1">IFERROR(__xludf.DUMMYFUNCTION("""COMPUTED_VALUE"""),0)</f>
        <v>0</v>
      </c>
      <c r="R332" s="3" t="str">
        <f ca="1">IFERROR(__xludf.DUMMYFUNCTION("""COMPUTED_VALUE"""),"2055-06-04T22:37:10.919701Z")</f>
        <v>2055-06-04T22:37:10.919701Z</v>
      </c>
      <c r="S332" s="3" t="str">
        <f ca="1">IFERROR(__xludf.DUMMYFUNCTION("""COMPUTED_VALUE"""),"2055-06-04T22:46:44.101497Z")</f>
        <v>2055-06-04T22:46:44.101497Z</v>
      </c>
      <c r="T332" s="3"/>
      <c r="U332" s="4">
        <f ca="1">IFERROR(__xludf.DUMMYFUNCTION("""COMPUTED_VALUE"""),56769)</f>
        <v>56769</v>
      </c>
      <c r="V332" s="3">
        <f ca="1">IFERROR(__xludf.DUMMYFUNCTION("""COMPUTED_VALUE"""),3.918013461)</f>
        <v>3.9180134610000001</v>
      </c>
      <c r="W332" s="3">
        <f ca="1">IFERROR(__xludf.DUMMYFUNCTION("""COMPUTED_VALUE"""),3000)</f>
        <v>3000</v>
      </c>
      <c r="X332" s="3">
        <f ca="1">IFERROR(__xludf.DUMMYFUNCTION("""COMPUTED_VALUE"""),3381)</f>
        <v>3381</v>
      </c>
      <c r="Y332" s="3">
        <f ca="1">IFERROR(__xludf.DUMMYFUNCTION("""COMPUTED_VALUE"""),574)</f>
        <v>574</v>
      </c>
      <c r="Z332" s="3">
        <f ca="1">IFERROR(__xludf.DUMMYFUNCTION("""COMPUTED_VALUE"""),2284)</f>
        <v>2284</v>
      </c>
      <c r="AA332" s="3">
        <f ca="1">IFERROR(__xludf.DUMMYFUNCTION("""COMPUTED_VALUE"""),523)</f>
        <v>523</v>
      </c>
      <c r="AB332" s="3">
        <f ca="1">IFERROR(__xludf.DUMMYFUNCTION("""COMPUTED_VALUE"""),0)</f>
        <v>0</v>
      </c>
      <c r="AC332" s="3">
        <f ca="1">IFERROR(__xludf.DUMMYFUNCTION("""COMPUTED_VALUE"""),2)</f>
        <v>2</v>
      </c>
      <c r="AD332" s="3" t="str">
        <f ca="1">IFERROR(__xludf.DUMMYFUNCTION("""COMPUTED_VALUE"""),"early")</f>
        <v>early</v>
      </c>
      <c r="AE332" s="3" t="str">
        <f ca="1">IFERROR(__xludf.DUMMYFUNCTION("""COMPUTED_VALUE"""),"2055-06-04T19:24:48.302164Z")</f>
        <v>2055-06-04T19:24:48.302164Z</v>
      </c>
      <c r="AF332" s="3" t="str">
        <f ca="1">IFERROR(__xludf.DUMMYFUNCTION("""COMPUTED_VALUE"""),"2055-06-04T19:33:31.247731Z")</f>
        <v>2055-06-04T19:33:31.247731Z</v>
      </c>
      <c r="AG332" s="3" t="str">
        <f ca="1">IFERROR(__xludf.DUMMYFUNCTION("""COMPUTED_VALUE"""),"2055-06-04T18:37:07.684495Z")</f>
        <v>2055-06-04T18:37:07.684495Z</v>
      </c>
      <c r="AH332" s="3" t="str">
        <f ca="1">IFERROR(__xludf.DUMMYFUNCTION("""COMPUTED_VALUE"""),"2055-06-04T18:46:44.101497Z")</f>
        <v>2055-06-04T18:46:44.101497Z</v>
      </c>
      <c r="AI332" s="3">
        <f ca="1">IFERROR(__xludf.DUMMYFUNCTION("""COMPUTED_VALUE"""),4.38)</f>
        <v>4.38</v>
      </c>
      <c r="AJ332" s="3">
        <f ca="1">IFERROR(__xludf.DUMMYFUNCTION("""COMPUTED_VALUE"""),196)</f>
        <v>196</v>
      </c>
      <c r="AK332" s="3">
        <f ca="1">IFERROR(__xludf.DUMMYFUNCTION("""COMPUTED_VALUE"""),626)</f>
        <v>626</v>
      </c>
      <c r="AL332" s="3"/>
    </row>
    <row r="333" spans="1:38" ht="13">
      <c r="A333" s="3">
        <f ca="1">IFERROR(__xludf.DUMMYFUNCTION("""COMPUTED_VALUE"""),1472)</f>
        <v>1472</v>
      </c>
      <c r="B333" s="3"/>
      <c r="C333" s="3">
        <f ca="1">IFERROR(__xludf.DUMMYFUNCTION("""COMPUTED_VALUE"""),4001)</f>
        <v>4001</v>
      </c>
      <c r="D333" s="3" t="str">
        <f ca="1">IFERROR(__xludf.DUMMYFUNCTION("""COMPUTED_VALUE"""),"Dashattan")</f>
        <v>Dashattan</v>
      </c>
      <c r="E333" s="3" t="str">
        <f ca="1">IFERROR(__xludf.DUMMYFUNCTION("""COMPUTED_VALUE"""),"Galaxy A")</f>
        <v>Galaxy A</v>
      </c>
      <c r="F333" s="3" t="str">
        <f ca="1">IFERROR(__xludf.DUMMYFUNCTION("""COMPUTED_VALUE"""),"Ron")</f>
        <v>Ron</v>
      </c>
      <c r="G333" s="3">
        <f ca="1">IFERROR(__xludf.DUMMYFUNCTION("""COMPUTED_VALUE"""),0)</f>
        <v>0</v>
      </c>
      <c r="H333" s="3" t="str">
        <f ca="1">IFERROR(__xludf.DUMMYFUNCTION("""COMPUTED_VALUE"""),"bicycle")</f>
        <v>bicycle</v>
      </c>
      <c r="I333" s="3" t="str">
        <f ca="1">IFERROR(__xludf.DUMMYFUNCTION("""COMPUTED_VALUE"""),"2055-06-12T22:13:27.649677Z")</f>
        <v>2055-06-12T22:13:27.649677Z</v>
      </c>
      <c r="J333" s="3" t="str">
        <f ca="1">IFERROR(__xludf.DUMMYFUNCTION("""COMPUTED_VALUE"""),"2055-06-13T01:15:00Z")</f>
        <v>2055-06-13T01:15:00Z</v>
      </c>
      <c r="K333" s="3" t="str">
        <f ca="1">IFERROR(__xludf.DUMMYFUNCTION("""COMPUTED_VALUE"""),"2055-06-13T01:15:00Z")</f>
        <v>2055-06-13T01:15:00Z</v>
      </c>
      <c r="L333" s="3">
        <f ca="1">IFERROR(__xludf.DUMMYFUNCTION("""COMPUTED_VALUE"""),0)</f>
        <v>0</v>
      </c>
      <c r="M333" s="3">
        <f ca="1">IFERROR(__xludf.DUMMYFUNCTION("""COMPUTED_VALUE"""),0)</f>
        <v>0</v>
      </c>
      <c r="N333" s="3" t="str">
        <f ca="1">IFERROR(__xludf.DUMMYFUNCTION("""COMPUTED_VALUE"""),"2055-06-13T00:49:10.304095Z")</f>
        <v>2055-06-13T00:49:10.304095Z</v>
      </c>
      <c r="O333" s="3" t="str">
        <f ca="1">IFERROR(__xludf.DUMMYFUNCTION("""COMPUTED_VALUE"""),"2055-06-13T01:06:30.818279Z")</f>
        <v>2055-06-13T01:06:30.818279Z</v>
      </c>
      <c r="P333" s="3" t="str">
        <f ca="1">IFERROR(__xludf.DUMMYFUNCTION("""COMPUTED_VALUE"""),"2055-06-13T00:20:55.576248Z")</f>
        <v>2055-06-13T00:20:55.576248Z</v>
      </c>
      <c r="Q333" s="3">
        <f ca="1">IFERROR(__xludf.DUMMYFUNCTION("""COMPUTED_VALUE"""),0)</f>
        <v>0</v>
      </c>
      <c r="R333" s="3" t="str">
        <f ca="1">IFERROR(__xludf.DUMMYFUNCTION("""COMPUTED_VALUE"""),"2055-06-13T00:21:26.262827Z")</f>
        <v>2055-06-13T00:21:26.262827Z</v>
      </c>
      <c r="S333" s="3" t="str">
        <f ca="1">IFERROR(__xludf.DUMMYFUNCTION("""COMPUTED_VALUE"""),"2055-06-13T00:37:32.517911Z")</f>
        <v>2055-06-13T00:37:32.517911Z</v>
      </c>
      <c r="T333" s="3"/>
      <c r="U333" s="4">
        <f ca="1">IFERROR(__xludf.DUMMYFUNCTION("""COMPUTED_VALUE"""),56777)</f>
        <v>56777</v>
      </c>
      <c r="V333" s="3">
        <f ca="1">IFERROR(__xludf.DUMMYFUNCTION("""COMPUTED_VALUE"""),4.4)</f>
        <v>4.4000000000000004</v>
      </c>
      <c r="W333" s="3">
        <f ca="1">IFERROR(__xludf.DUMMYFUNCTION("""COMPUTED_VALUE"""),3000)</f>
        <v>3000</v>
      </c>
      <c r="X333" s="3">
        <f ca="1">IFERROR(__xludf.DUMMYFUNCTION("""COMPUTED_VALUE"""),2704)</f>
        <v>2704</v>
      </c>
      <c r="Y333" s="3">
        <f ca="1">IFERROR(__xludf.DUMMYFUNCTION("""COMPUTED_VALUE"""),966)</f>
        <v>966</v>
      </c>
      <c r="Z333" s="3">
        <f ca="1">IFERROR(__xludf.DUMMYFUNCTION("""COMPUTED_VALUE"""),698)</f>
        <v>698</v>
      </c>
      <c r="AA333" s="3">
        <f ca="1">IFERROR(__xludf.DUMMYFUNCTION("""COMPUTED_VALUE"""),1040)</f>
        <v>1040</v>
      </c>
      <c r="AB333" s="3">
        <f ca="1">IFERROR(__xludf.DUMMYFUNCTION("""COMPUTED_VALUE"""),0)</f>
        <v>0</v>
      </c>
      <c r="AC333" s="3">
        <f ca="1">IFERROR(__xludf.DUMMYFUNCTION("""COMPUTED_VALUE"""),4)</f>
        <v>4</v>
      </c>
      <c r="AD333" s="3" t="str">
        <f ca="1">IFERROR(__xludf.DUMMYFUNCTION("""COMPUTED_VALUE"""),"on time")</f>
        <v>on time</v>
      </c>
      <c r="AE333" s="3" t="str">
        <f ca="1">IFERROR(__xludf.DUMMYFUNCTION("""COMPUTED_VALUE"""),"2055-06-12T20:49:10.304095Z")</f>
        <v>2055-06-12T20:49:10.304095Z</v>
      </c>
      <c r="AF333" s="3" t="str">
        <f ca="1">IFERROR(__xludf.DUMMYFUNCTION("""COMPUTED_VALUE"""),"2055-06-12T21:06:30.818279Z")</f>
        <v>2055-06-12T21:06:30.818279Z</v>
      </c>
      <c r="AG333" s="3" t="str">
        <f ca="1">IFERROR(__xludf.DUMMYFUNCTION("""COMPUTED_VALUE"""),"2055-06-12T20:20:55.576248Z")</f>
        <v>2055-06-12T20:20:55.576248Z</v>
      </c>
      <c r="AH333" s="3" t="str">
        <f ca="1">IFERROR(__xludf.DUMMYFUNCTION("""COMPUTED_VALUE"""),"2055-06-12T20:37:32.517911Z")</f>
        <v>2055-06-12T20:37:32.517911Z</v>
      </c>
      <c r="AI333" s="3">
        <f ca="1">IFERROR(__xludf.DUMMYFUNCTION("""COMPUTED_VALUE"""),4.56)</f>
        <v>4.5599999999999996</v>
      </c>
      <c r="AJ333" s="3">
        <f ca="1">IFERROR(__xludf.DUMMYFUNCTION("""COMPUTED_VALUE"""),765)</f>
        <v>765</v>
      </c>
      <c r="AK333" s="3">
        <f ca="1">IFERROR(__xludf.DUMMYFUNCTION("""COMPUTED_VALUE"""),2618)</f>
        <v>2618</v>
      </c>
      <c r="AL333" s="3"/>
    </row>
    <row r="334" spans="1:38" ht="13">
      <c r="A334" s="3">
        <f ca="1">IFERROR(__xludf.DUMMYFUNCTION("""COMPUTED_VALUE"""),130)</f>
        <v>130</v>
      </c>
      <c r="B334" s="3">
        <f ca="1">IFERROR(__xludf.DUMMYFUNCTION("""COMPUTED_VALUE"""),5)</f>
        <v>5</v>
      </c>
      <c r="C334" s="3">
        <f ca="1">IFERROR(__xludf.DUMMYFUNCTION("""COMPUTED_VALUE"""),4001)</f>
        <v>4001</v>
      </c>
      <c r="D334" s="3" t="str">
        <f ca="1">IFERROR(__xludf.DUMMYFUNCTION("""COMPUTED_VALUE"""),"Dashattan")</f>
        <v>Dashattan</v>
      </c>
      <c r="E334" s="3" t="str">
        <f ca="1">IFERROR(__xludf.DUMMYFUNCTION("""COMPUTED_VALUE"""),"Galaxy A")</f>
        <v>Galaxy A</v>
      </c>
      <c r="F334" s="3" t="str">
        <f ca="1">IFERROR(__xludf.DUMMYFUNCTION("""COMPUTED_VALUE"""),"Arya")</f>
        <v>Arya</v>
      </c>
      <c r="G334" s="3">
        <f ca="1">IFERROR(__xludf.DUMMYFUNCTION("""COMPUTED_VALUE"""),0)</f>
        <v>0</v>
      </c>
      <c r="H334" s="3" t="str">
        <f ca="1">IFERROR(__xludf.DUMMYFUNCTION("""COMPUTED_VALUE"""),"bicycle")</f>
        <v>bicycle</v>
      </c>
      <c r="I334" s="3" t="str">
        <f ca="1">IFERROR(__xludf.DUMMYFUNCTION("""COMPUTED_VALUE"""),"2055-06-02T16:02:17.316234Z")</f>
        <v>2055-06-02T16:02:17.316234Z</v>
      </c>
      <c r="J334" s="3" t="str">
        <f ca="1">IFERROR(__xludf.DUMMYFUNCTION("""COMPUTED_VALUE"""),"2055-06-02T17:16:10.379Z")</f>
        <v>2055-06-02T17:16:10.379Z</v>
      </c>
      <c r="K334" s="3" t="str">
        <f ca="1">IFERROR(__xludf.DUMMYFUNCTION("""COMPUTED_VALUE"""),"2055-06-02T16:54:16.379Z")</f>
        <v>2055-06-02T16:54:16.379Z</v>
      </c>
      <c r="L334" s="3">
        <f ca="1">IFERROR(__xludf.DUMMYFUNCTION("""COMPUTED_VALUE"""),1)</f>
        <v>1</v>
      </c>
      <c r="M334" s="3">
        <f ca="1">IFERROR(__xludf.DUMMYFUNCTION("""COMPUTED_VALUE"""),0)</f>
        <v>0</v>
      </c>
      <c r="N334" s="3" t="str">
        <f ca="1">IFERROR(__xludf.DUMMYFUNCTION("""COMPUTED_VALUE"""),"2055-06-02T16:45:28.471607Z")</f>
        <v>2055-06-02T16:45:28.471607Z</v>
      </c>
      <c r="O334" s="3" t="str">
        <f ca="1">IFERROR(__xludf.DUMMYFUNCTION("""COMPUTED_VALUE"""),"2055-06-02T16:59:34.92808Z")</f>
        <v>2055-06-02T16:59:34.92808Z</v>
      </c>
      <c r="P334" s="3" t="str">
        <f ca="1">IFERROR(__xludf.DUMMYFUNCTION("""COMPUTED_VALUE"""),"2055-06-02T16:07:34.402166Z")</f>
        <v>2055-06-02T16:07:34.402166Z</v>
      </c>
      <c r="Q334" s="3">
        <f ca="1">IFERROR(__xludf.DUMMYFUNCTION("""COMPUTED_VALUE"""),0)</f>
        <v>0</v>
      </c>
      <c r="R334" s="3" t="str">
        <f ca="1">IFERROR(__xludf.DUMMYFUNCTION("""COMPUTED_VALUE"""),"2055-06-02T16:07:38.94121Z")</f>
        <v>2055-06-02T16:07:38.94121Z</v>
      </c>
      <c r="S334" s="3" t="str">
        <f ca="1">IFERROR(__xludf.DUMMYFUNCTION("""COMPUTED_VALUE"""),"2055-06-02T16:30:01.298369Z")</f>
        <v>2055-06-02T16:30:01.298369Z</v>
      </c>
      <c r="T334" s="3"/>
      <c r="U334" s="4">
        <f ca="1">IFERROR(__xludf.DUMMYFUNCTION("""COMPUTED_VALUE"""),56767)</f>
        <v>56767</v>
      </c>
      <c r="V334" s="3">
        <f ca="1">IFERROR(__xludf.DUMMYFUNCTION("""COMPUTED_VALUE"""),3.9)</f>
        <v>3.9</v>
      </c>
      <c r="W334" s="3">
        <f ca="1">IFERROR(__xludf.DUMMYFUNCTION("""COMPUTED_VALUE"""),3000)</f>
        <v>3000</v>
      </c>
      <c r="X334" s="3">
        <f ca="1">IFERROR(__xludf.DUMMYFUNCTION("""COMPUTED_VALUE"""),3116)</f>
        <v>3116</v>
      </c>
      <c r="Y334" s="3">
        <f ca="1">IFERROR(__xludf.DUMMYFUNCTION("""COMPUTED_VALUE"""),1343)</f>
        <v>1343</v>
      </c>
      <c r="Z334" s="3">
        <f ca="1">IFERROR(__xludf.DUMMYFUNCTION("""COMPUTED_VALUE"""),927)</f>
        <v>927</v>
      </c>
      <c r="AA334" s="3">
        <f ca="1">IFERROR(__xludf.DUMMYFUNCTION("""COMPUTED_VALUE"""),846)</f>
        <v>846</v>
      </c>
      <c r="AB334" s="3">
        <f ca="1">IFERROR(__xludf.DUMMYFUNCTION("""COMPUTED_VALUE"""),0)</f>
        <v>0</v>
      </c>
      <c r="AC334" s="3">
        <f ca="1">IFERROR(__xludf.DUMMYFUNCTION("""COMPUTED_VALUE"""),8)</f>
        <v>8</v>
      </c>
      <c r="AD334" s="3" t="str">
        <f ca="1">IFERROR(__xludf.DUMMYFUNCTION("""COMPUTED_VALUE"""),"early")</f>
        <v>early</v>
      </c>
      <c r="AE334" s="3" t="str">
        <f ca="1">IFERROR(__xludf.DUMMYFUNCTION("""COMPUTED_VALUE"""),"2055-06-02T12:45:28.471607Z")</f>
        <v>2055-06-02T12:45:28.471607Z</v>
      </c>
      <c r="AF334" s="3" t="str">
        <f ca="1">IFERROR(__xludf.DUMMYFUNCTION("""COMPUTED_VALUE"""),"2055-06-02T12:59:34.92808Z")</f>
        <v>2055-06-02T12:59:34.92808Z</v>
      </c>
      <c r="AG334" s="3" t="str">
        <f ca="1">IFERROR(__xludf.DUMMYFUNCTION("""COMPUTED_VALUE"""),"2055-06-02T12:07:34.402166Z")</f>
        <v>2055-06-02T12:07:34.402166Z</v>
      </c>
      <c r="AH334" s="3" t="str">
        <f ca="1">IFERROR(__xludf.DUMMYFUNCTION("""COMPUTED_VALUE"""),"2055-06-02T12:30:01.298369Z")</f>
        <v>2055-06-02T12:30:01.298369Z</v>
      </c>
      <c r="AI334" s="3">
        <f ca="1">IFERROR(__xludf.DUMMYFUNCTION("""COMPUTED_VALUE"""),4.17)</f>
        <v>4.17</v>
      </c>
      <c r="AJ334" s="3">
        <f ca="1">IFERROR(__xludf.DUMMYFUNCTION("""COMPUTED_VALUE"""),457)</f>
        <v>457</v>
      </c>
      <c r="AK334" s="3">
        <f ca="1">IFERROR(__xludf.DUMMYFUNCTION("""COMPUTED_VALUE"""),1599)</f>
        <v>1599</v>
      </c>
      <c r="AL334" s="3"/>
    </row>
    <row r="335" spans="1:38" ht="13">
      <c r="A335" s="3">
        <f ca="1">IFERROR(__xludf.DUMMYFUNCTION("""COMPUTED_VALUE"""),147)</f>
        <v>147</v>
      </c>
      <c r="B335" s="3"/>
      <c r="C335" s="3">
        <f ca="1">IFERROR(__xludf.DUMMYFUNCTION("""COMPUTED_VALUE"""),4050)</f>
        <v>4050</v>
      </c>
      <c r="D335" s="3" t="str">
        <f ca="1">IFERROR(__xludf.DUMMYFUNCTION("""COMPUTED_VALUE"""),"Doorlanta")</f>
        <v>Doorlanta</v>
      </c>
      <c r="E335" s="3" t="str">
        <f ca="1">IFERROR(__xludf.DUMMYFUNCTION("""COMPUTED_VALUE"""),"Galaxy A")</f>
        <v>Galaxy A</v>
      </c>
      <c r="F335" s="3" t="str">
        <f ca="1">IFERROR(__xludf.DUMMYFUNCTION("""COMPUTED_VALUE"""),"Elon")</f>
        <v>Elon</v>
      </c>
      <c r="G335" s="3">
        <f ca="1">IFERROR(__xludf.DUMMYFUNCTION("""COMPUTED_VALUE"""),0)</f>
        <v>0</v>
      </c>
      <c r="H335" s="3" t="str">
        <f ca="1">IFERROR(__xludf.DUMMYFUNCTION("""COMPUTED_VALUE"""),"car")</f>
        <v>car</v>
      </c>
      <c r="I335" s="3" t="str">
        <f ca="1">IFERROR(__xludf.DUMMYFUNCTION("""COMPUTED_VALUE"""),"2055-06-02T17:33:44.640539Z")</f>
        <v>2055-06-02T17:33:44.640539Z</v>
      </c>
      <c r="J335" s="3" t="str">
        <f ca="1">IFERROR(__xludf.DUMMYFUNCTION("""COMPUTED_VALUE"""),"2055-06-02T18:40:48.729Z")</f>
        <v>2055-06-02T18:40:48.729Z</v>
      </c>
      <c r="K335" s="3" t="str">
        <f ca="1">IFERROR(__xludf.DUMMYFUNCTION("""COMPUTED_VALUE"""),"2055-06-02T18:20:41.729Z")</f>
        <v>2055-06-02T18:20:41.729Z</v>
      </c>
      <c r="L335" s="3">
        <f ca="1">IFERROR(__xludf.DUMMYFUNCTION("""COMPUTED_VALUE"""),1)</f>
        <v>1</v>
      </c>
      <c r="M335" s="3">
        <f ca="1">IFERROR(__xludf.DUMMYFUNCTION("""COMPUTED_VALUE"""),0)</f>
        <v>0</v>
      </c>
      <c r="N335" s="3" t="str">
        <f ca="1">IFERROR(__xludf.DUMMYFUNCTION("""COMPUTED_VALUE"""),"2055-06-02T17:56:51.787311Z")</f>
        <v>2055-06-02T17:56:51.787311Z</v>
      </c>
      <c r="O335" s="3" t="str">
        <f ca="1">IFERROR(__xludf.DUMMYFUNCTION("""COMPUTED_VALUE"""),"2055-06-02T18:17:09.613003Z")</f>
        <v>2055-06-02T18:17:09.613003Z</v>
      </c>
      <c r="P335" s="3" t="str">
        <f ca="1">IFERROR(__xludf.DUMMYFUNCTION("""COMPUTED_VALUE"""),"2055-06-02T17:36:07.374318Z")</f>
        <v>2055-06-02T17:36:07.374318Z</v>
      </c>
      <c r="Q335" s="3">
        <f ca="1">IFERROR(__xludf.DUMMYFUNCTION("""COMPUTED_VALUE"""),0)</f>
        <v>0</v>
      </c>
      <c r="R335" s="3" t="str">
        <f ca="1">IFERROR(__xludf.DUMMYFUNCTION("""COMPUTED_VALUE"""),"2055-06-02T17:36:20.757069Z")</f>
        <v>2055-06-02T17:36:20.757069Z</v>
      </c>
      <c r="S335" s="3" t="str">
        <f ca="1">IFERROR(__xludf.DUMMYFUNCTION("""COMPUTED_VALUE"""),"2055-06-02T17:54:03.054114Z")</f>
        <v>2055-06-02T17:54:03.054114Z</v>
      </c>
      <c r="T335" s="3"/>
      <c r="U335" s="4">
        <f ca="1">IFERROR(__xludf.DUMMYFUNCTION("""COMPUTED_VALUE"""),56767)</f>
        <v>56767</v>
      </c>
      <c r="V335" s="3">
        <f ca="1">IFERROR(__xludf.DUMMYFUNCTION("""COMPUTED_VALUE"""),4.5)</f>
        <v>4.5</v>
      </c>
      <c r="W335" s="3">
        <f ca="1">IFERROR(__xludf.DUMMYFUNCTION("""COMPUTED_VALUE"""),3000)</f>
        <v>3000</v>
      </c>
      <c r="X335" s="3">
        <f ca="1">IFERROR(__xludf.DUMMYFUNCTION("""COMPUTED_VALUE"""),2449)</f>
        <v>2449</v>
      </c>
      <c r="Y335" s="3">
        <f ca="1">IFERROR(__xludf.DUMMYFUNCTION("""COMPUTED_VALUE"""),1063)</f>
        <v>1063</v>
      </c>
      <c r="Z335" s="3">
        <f ca="1">IFERROR(__xludf.DUMMYFUNCTION("""COMPUTED_VALUE"""),168)</f>
        <v>168</v>
      </c>
      <c r="AA335" s="3">
        <f ca="1">IFERROR(__xludf.DUMMYFUNCTION("""COMPUTED_VALUE"""),1218)</f>
        <v>1218</v>
      </c>
      <c r="AB335" s="3">
        <f ca="1">IFERROR(__xludf.DUMMYFUNCTION("""COMPUTED_VALUE"""),0)</f>
        <v>0</v>
      </c>
      <c r="AC335" s="3">
        <f ca="1">IFERROR(__xludf.DUMMYFUNCTION("""COMPUTED_VALUE"""),1)</f>
        <v>1</v>
      </c>
      <c r="AD335" s="3" t="str">
        <f ca="1">IFERROR(__xludf.DUMMYFUNCTION("""COMPUTED_VALUE"""),"on time")</f>
        <v>on time</v>
      </c>
      <c r="AE335" s="3" t="str">
        <f ca="1">IFERROR(__xludf.DUMMYFUNCTION("""COMPUTED_VALUE"""),"2055-06-02T13:56:51.787311Z")</f>
        <v>2055-06-02T13:56:51.787311Z</v>
      </c>
      <c r="AF335" s="3" t="str">
        <f ca="1">IFERROR(__xludf.DUMMYFUNCTION("""COMPUTED_VALUE"""),"2055-06-02T14:17:09.613003Z")</f>
        <v>2055-06-02T14:17:09.613003Z</v>
      </c>
      <c r="AG335" s="3" t="str">
        <f ca="1">IFERROR(__xludf.DUMMYFUNCTION("""COMPUTED_VALUE"""),"2055-06-02T13:36:07.374318Z")</f>
        <v>2055-06-02T13:36:07.374318Z</v>
      </c>
      <c r="AH335" s="3" t="str">
        <f ca="1">IFERROR(__xludf.DUMMYFUNCTION("""COMPUTED_VALUE"""),"2055-06-02T13:54:03.054114Z")</f>
        <v>2055-06-02T13:54:03.054114Z</v>
      </c>
      <c r="AI335" s="3">
        <f ca="1">IFERROR(__xludf.DUMMYFUNCTION("""COMPUTED_VALUE"""),4.62)</f>
        <v>4.62</v>
      </c>
      <c r="AJ335" s="3">
        <f ca="1">IFERROR(__xludf.DUMMYFUNCTION("""COMPUTED_VALUE"""),259)</f>
        <v>259</v>
      </c>
      <c r="AK335" s="3">
        <f ca="1">IFERROR(__xludf.DUMMYFUNCTION("""COMPUTED_VALUE"""),604)</f>
        <v>604</v>
      </c>
      <c r="AL335" s="3">
        <f ca="1">IFERROR(__xludf.DUMMYFUNCTION("""COMPUTED_VALUE"""),21)</f>
        <v>21</v>
      </c>
    </row>
    <row r="336" spans="1:38" ht="13">
      <c r="A336" s="3">
        <f ca="1">IFERROR(__xludf.DUMMYFUNCTION("""COMPUTED_VALUE"""),597)</f>
        <v>597</v>
      </c>
      <c r="B336" s="3"/>
      <c r="C336" s="3">
        <f ca="1">IFERROR(__xludf.DUMMYFUNCTION("""COMPUTED_VALUE"""),4001)</f>
        <v>4001</v>
      </c>
      <c r="D336" s="3" t="str">
        <f ca="1">IFERROR(__xludf.DUMMYFUNCTION("""COMPUTED_VALUE"""),"Dashattan")</f>
        <v>Dashattan</v>
      </c>
      <c r="E336" s="3" t="str">
        <f ca="1">IFERROR(__xludf.DUMMYFUNCTION("""COMPUTED_VALUE"""),"Galaxy A")</f>
        <v>Galaxy A</v>
      </c>
      <c r="F336" s="3" t="str">
        <f ca="1">IFERROR(__xludf.DUMMYFUNCTION("""COMPUTED_VALUE"""),"Eddy")</f>
        <v>Eddy</v>
      </c>
      <c r="G336" s="3">
        <f ca="1">IFERROR(__xludf.DUMMYFUNCTION("""COMPUTED_VALUE"""),0)</f>
        <v>0</v>
      </c>
      <c r="H336" s="3" t="str">
        <f ca="1">IFERROR(__xludf.DUMMYFUNCTION("""COMPUTED_VALUE"""),"car")</f>
        <v>car</v>
      </c>
      <c r="I336" s="3" t="str">
        <f ca="1">IFERROR(__xludf.DUMMYFUNCTION("""COMPUTED_VALUE"""),"2055-06-05T19:13:05.321653Z")</f>
        <v>2055-06-05T19:13:05.321653Z</v>
      </c>
      <c r="J336" s="3" t="str">
        <f ca="1">IFERROR(__xludf.DUMMYFUNCTION("""COMPUTED_VALUE"""),"2055-06-05T20:08:27.405Z")</f>
        <v>2055-06-05T20:08:27.405Z</v>
      </c>
      <c r="K336" s="3" t="str">
        <f ca="1">IFERROR(__xludf.DUMMYFUNCTION("""COMPUTED_VALUE"""),"2055-06-05T19:48:48.405Z")</f>
        <v>2055-06-05T19:48:48.405Z</v>
      </c>
      <c r="L336" s="3">
        <f ca="1">IFERROR(__xludf.DUMMYFUNCTION("""COMPUTED_VALUE"""),1)</f>
        <v>1</v>
      </c>
      <c r="M336" s="3">
        <f ca="1">IFERROR(__xludf.DUMMYFUNCTION("""COMPUTED_VALUE"""),0)</f>
        <v>0</v>
      </c>
      <c r="N336" s="3" t="str">
        <f ca="1">IFERROR(__xludf.DUMMYFUNCTION("""COMPUTED_VALUE"""),"2055-06-05T19:34:04.615654Z")</f>
        <v>2055-06-05T19:34:04.615654Z</v>
      </c>
      <c r="O336" s="3" t="str">
        <f ca="1">IFERROR(__xludf.DUMMYFUNCTION("""COMPUTED_VALUE"""),"2055-06-05T20:23:51.936637Z")</f>
        <v>2055-06-05T20:23:51.936637Z</v>
      </c>
      <c r="P336" s="3" t="str">
        <f ca="1">IFERROR(__xludf.DUMMYFUNCTION("""COMPUTED_VALUE"""),"2055-06-05T19:19:14.198057Z")</f>
        <v>2055-06-05T19:19:14.198057Z</v>
      </c>
      <c r="Q336" s="3">
        <f ca="1">IFERROR(__xludf.DUMMYFUNCTION("""COMPUTED_VALUE"""),0)</f>
        <v>0</v>
      </c>
      <c r="R336" s="3" t="str">
        <f ca="1">IFERROR(__xludf.DUMMYFUNCTION("""COMPUTED_VALUE"""),"2055-06-05T19:21:02.356521Z")</f>
        <v>2055-06-05T19:21:02.356521Z</v>
      </c>
      <c r="S336" s="3" t="str">
        <f ca="1">IFERROR(__xludf.DUMMYFUNCTION("""COMPUTED_VALUE"""),"2055-06-05T19:31:26.617044Z")</f>
        <v>2055-06-05T19:31:26.617044Z</v>
      </c>
      <c r="T336" s="3"/>
      <c r="U336" s="4">
        <f ca="1">IFERROR(__xludf.DUMMYFUNCTION("""COMPUTED_VALUE"""),56770)</f>
        <v>56770</v>
      </c>
      <c r="V336" s="3">
        <f ca="1">IFERROR(__xludf.DUMMYFUNCTION("""COMPUTED_VALUE"""),3.649797111)</f>
        <v>3.6497971109999998</v>
      </c>
      <c r="W336" s="3">
        <f ca="1">IFERROR(__xludf.DUMMYFUNCTION("""COMPUTED_VALUE"""),3000)</f>
        <v>3000</v>
      </c>
      <c r="X336" s="3">
        <f ca="1">IFERROR(__xludf.DUMMYFUNCTION("""COMPUTED_VALUE"""),3769)</f>
        <v>3769</v>
      </c>
      <c r="Y336" s="3">
        <f ca="1">IFERROR(__xludf.DUMMYFUNCTION("""COMPUTED_VALUE"""),624)</f>
        <v>624</v>
      </c>
      <c r="Z336" s="3">
        <f ca="1">IFERROR(__xludf.DUMMYFUNCTION("""COMPUTED_VALUE"""),158)</f>
        <v>158</v>
      </c>
      <c r="AA336" s="3">
        <f ca="1">IFERROR(__xludf.DUMMYFUNCTION("""COMPUTED_VALUE"""),2987)</f>
        <v>2987</v>
      </c>
      <c r="AB336" s="3">
        <f ca="1">IFERROR(__xludf.DUMMYFUNCTION("""COMPUTED_VALUE"""),0)</f>
        <v>0</v>
      </c>
      <c r="AC336" s="3">
        <f ca="1">IFERROR(__xludf.DUMMYFUNCTION("""COMPUTED_VALUE"""),2)</f>
        <v>2</v>
      </c>
      <c r="AD336" s="3" t="str">
        <f ca="1">IFERROR(__xludf.DUMMYFUNCTION("""COMPUTED_VALUE"""),"on time")</f>
        <v>on time</v>
      </c>
      <c r="AE336" s="3" t="str">
        <f ca="1">IFERROR(__xludf.DUMMYFUNCTION("""COMPUTED_VALUE"""),"2055-06-05T15:34:04.615654Z")</f>
        <v>2055-06-05T15:34:04.615654Z</v>
      </c>
      <c r="AF336" s="3" t="str">
        <f ca="1">IFERROR(__xludf.DUMMYFUNCTION("""COMPUTED_VALUE"""),"2055-06-05T16:23:51.936637Z")</f>
        <v>2055-06-05T16:23:51.936637Z</v>
      </c>
      <c r="AG336" s="3" t="str">
        <f ca="1">IFERROR(__xludf.DUMMYFUNCTION("""COMPUTED_VALUE"""),"2055-06-05T15:19:14.198057Z")</f>
        <v>2055-06-05T15:19:14.198057Z</v>
      </c>
      <c r="AH336" s="3" t="str">
        <f ca="1">IFERROR(__xludf.DUMMYFUNCTION("""COMPUTED_VALUE"""),"2055-06-05T15:31:26.617044Z")</f>
        <v>2055-06-05T15:31:26.617044Z</v>
      </c>
      <c r="AI336" s="3">
        <f ca="1">IFERROR(__xludf.DUMMYFUNCTION("""COMPUTED_VALUE"""),4.44)</f>
        <v>4.4400000000000004</v>
      </c>
      <c r="AJ336" s="3">
        <f ca="1">IFERROR(__xludf.DUMMYFUNCTION("""COMPUTED_VALUE"""),80)</f>
        <v>80</v>
      </c>
      <c r="AK336" s="3">
        <f ca="1">IFERROR(__xludf.DUMMYFUNCTION("""COMPUTED_VALUE"""),290)</f>
        <v>290</v>
      </c>
      <c r="AL336" s="3">
        <f ca="1">IFERROR(__xludf.DUMMYFUNCTION("""COMPUTED_VALUE"""),31)</f>
        <v>31</v>
      </c>
    </row>
    <row r="337" spans="1:38" ht="13">
      <c r="A337" s="3">
        <f ca="1">IFERROR(__xludf.DUMMYFUNCTION("""COMPUTED_VALUE"""),771)</f>
        <v>771</v>
      </c>
      <c r="B337" s="3">
        <f ca="1">IFERROR(__xludf.DUMMYFUNCTION("""COMPUTED_VALUE"""),5)</f>
        <v>5</v>
      </c>
      <c r="C337" s="3">
        <f ca="1">IFERROR(__xludf.DUMMYFUNCTION("""COMPUTED_VALUE"""),4050)</f>
        <v>4050</v>
      </c>
      <c r="D337" s="3" t="str">
        <f ca="1">IFERROR(__xludf.DUMMYFUNCTION("""COMPUTED_VALUE"""),"Doorlanta")</f>
        <v>Doorlanta</v>
      </c>
      <c r="E337" s="3" t="str">
        <f ca="1">IFERROR(__xludf.DUMMYFUNCTION("""COMPUTED_VALUE"""),"Galaxy A")</f>
        <v>Galaxy A</v>
      </c>
      <c r="F337" s="3" t="str">
        <f ca="1">IFERROR(__xludf.DUMMYFUNCTION("""COMPUTED_VALUE"""),"Carol")</f>
        <v>Carol</v>
      </c>
      <c r="G337" s="3">
        <f ca="1">IFERROR(__xludf.DUMMYFUNCTION("""COMPUTED_VALUE"""),0)</f>
        <v>0</v>
      </c>
      <c r="H337" s="3" t="str">
        <f ca="1">IFERROR(__xludf.DUMMYFUNCTION("""COMPUTED_VALUE"""),"car")</f>
        <v>car</v>
      </c>
      <c r="I337" s="3" t="str">
        <f ca="1">IFERROR(__xludf.DUMMYFUNCTION("""COMPUTED_VALUE"""),"2055-06-06T21:51:39.477344Z")</f>
        <v>2055-06-06T21:51:39.477344Z</v>
      </c>
      <c r="J337" s="3" t="str">
        <f ca="1">IFERROR(__xludf.DUMMYFUNCTION("""COMPUTED_VALUE"""),"2055-06-06T22:38:08.554Z")</f>
        <v>2055-06-06T22:38:08.554Z</v>
      </c>
      <c r="K337" s="3" t="str">
        <f ca="1">IFERROR(__xludf.DUMMYFUNCTION("""COMPUTED_VALUE"""),"2055-06-06T22:28:29.554Z")</f>
        <v>2055-06-06T22:28:29.554Z</v>
      </c>
      <c r="L337" s="3">
        <f ca="1">IFERROR(__xludf.DUMMYFUNCTION("""COMPUTED_VALUE"""),1)</f>
        <v>1</v>
      </c>
      <c r="M337" s="3">
        <f ca="1">IFERROR(__xludf.DUMMYFUNCTION("""COMPUTED_VALUE"""),0)</f>
        <v>0</v>
      </c>
      <c r="N337" s="3" t="str">
        <f ca="1">IFERROR(__xludf.DUMMYFUNCTION("""COMPUTED_VALUE"""),"2055-06-06T22:07:29.689304Z")</f>
        <v>2055-06-06T22:07:29.689304Z</v>
      </c>
      <c r="O337" s="3" t="str">
        <f ca="1">IFERROR(__xludf.DUMMYFUNCTION("""COMPUTED_VALUE"""),"2055-06-06T22:36:46.054508Z")</f>
        <v>2055-06-06T22:36:46.054508Z</v>
      </c>
      <c r="P337" s="3" t="str">
        <f ca="1">IFERROR(__xludf.DUMMYFUNCTION("""COMPUTED_VALUE"""),"2055-06-06T21:52:07.378575Z")</f>
        <v>2055-06-06T21:52:07.378575Z</v>
      </c>
      <c r="Q337" s="3">
        <f ca="1">IFERROR(__xludf.DUMMYFUNCTION("""COMPUTED_VALUE"""),0)</f>
        <v>0</v>
      </c>
      <c r="R337" s="3" t="str">
        <f ca="1">IFERROR(__xludf.DUMMYFUNCTION("""COMPUTED_VALUE"""),"2055-06-06T21:52:28.611487Z")</f>
        <v>2055-06-06T21:52:28.611487Z</v>
      </c>
      <c r="S337" s="3" t="str">
        <f ca="1">IFERROR(__xludf.DUMMYFUNCTION("""COMPUTED_VALUE"""),"2055-06-06T21:56:26.567094Z")</f>
        <v>2055-06-06T21:56:26.567094Z</v>
      </c>
      <c r="T337" s="3"/>
      <c r="U337" s="4">
        <f ca="1">IFERROR(__xludf.DUMMYFUNCTION("""COMPUTED_VALUE"""),56771)</f>
        <v>56771</v>
      </c>
      <c r="V337" s="3">
        <f ca="1">IFERROR(__xludf.DUMMYFUNCTION("""COMPUTED_VALUE"""),4.7)</f>
        <v>4.7</v>
      </c>
      <c r="W337" s="3">
        <f ca="1">IFERROR(__xludf.DUMMYFUNCTION("""COMPUTED_VALUE"""),3000)</f>
        <v>3000</v>
      </c>
      <c r="X337" s="3">
        <f ca="1">IFERROR(__xludf.DUMMYFUNCTION("""COMPUTED_VALUE"""),2658)</f>
        <v>2658</v>
      </c>
      <c r="Y337" s="3">
        <f ca="1">IFERROR(__xludf.DUMMYFUNCTION("""COMPUTED_VALUE"""),238)</f>
        <v>238</v>
      </c>
      <c r="Z337" s="3">
        <f ca="1">IFERROR(__xludf.DUMMYFUNCTION("""COMPUTED_VALUE"""),663)</f>
        <v>663</v>
      </c>
      <c r="AA337" s="3">
        <f ca="1">IFERROR(__xludf.DUMMYFUNCTION("""COMPUTED_VALUE"""),1757)</f>
        <v>1757</v>
      </c>
      <c r="AB337" s="3">
        <f ca="1">IFERROR(__xludf.DUMMYFUNCTION("""COMPUTED_VALUE"""),1)</f>
        <v>1</v>
      </c>
      <c r="AC337" s="3">
        <f ca="1">IFERROR(__xludf.DUMMYFUNCTION("""COMPUTED_VALUE"""),4)</f>
        <v>4</v>
      </c>
      <c r="AD337" s="3"/>
      <c r="AE337" s="3" t="str">
        <f ca="1">IFERROR(__xludf.DUMMYFUNCTION("""COMPUTED_VALUE"""),"2055-06-06T18:07:29.689304Z")</f>
        <v>2055-06-06T18:07:29.689304Z</v>
      </c>
      <c r="AF337" s="3" t="str">
        <f ca="1">IFERROR(__xludf.DUMMYFUNCTION("""COMPUTED_VALUE"""),"2055-06-06T18:36:46.054508Z")</f>
        <v>2055-06-06T18:36:46.054508Z</v>
      </c>
      <c r="AG337" s="3" t="str">
        <f ca="1">IFERROR(__xludf.DUMMYFUNCTION("""COMPUTED_VALUE"""),"2055-06-06T17:52:07.378575Z")</f>
        <v>2055-06-06T17:52:07.378575Z</v>
      </c>
      <c r="AH337" s="3" t="str">
        <f ca="1">IFERROR(__xludf.DUMMYFUNCTION("""COMPUTED_VALUE"""),"2055-06-06T17:56:26.567094Z")</f>
        <v>2055-06-06T17:56:26.567094Z</v>
      </c>
      <c r="AI337" s="3">
        <f ca="1">IFERROR(__xludf.DUMMYFUNCTION("""COMPUTED_VALUE"""),4.452054795)</f>
        <v>4.4520547949999996</v>
      </c>
      <c r="AJ337" s="3">
        <f ca="1">IFERROR(__xludf.DUMMYFUNCTION("""COMPUTED_VALUE"""),59)</f>
        <v>59</v>
      </c>
      <c r="AK337" s="3">
        <f ca="1">IFERROR(__xludf.DUMMYFUNCTION("""COMPUTED_VALUE"""),171)</f>
        <v>171</v>
      </c>
      <c r="AL337" s="3">
        <f ca="1">IFERROR(__xludf.DUMMYFUNCTION("""COMPUTED_VALUE"""),52)</f>
        <v>52</v>
      </c>
    </row>
    <row r="338" spans="1:38" ht="13">
      <c r="A338" s="3">
        <f ca="1">IFERROR(__xludf.DUMMYFUNCTION("""COMPUTED_VALUE"""),1045)</f>
        <v>1045</v>
      </c>
      <c r="B338" s="3"/>
      <c r="C338" s="3">
        <f ca="1">IFERROR(__xludf.DUMMYFUNCTION("""COMPUTED_VALUE"""),4001)</f>
        <v>4001</v>
      </c>
      <c r="D338" s="3" t="str">
        <f ca="1">IFERROR(__xludf.DUMMYFUNCTION("""COMPUTED_VALUE"""),"Dashattan")</f>
        <v>Dashattan</v>
      </c>
      <c r="E338" s="3" t="str">
        <f ca="1">IFERROR(__xludf.DUMMYFUNCTION("""COMPUTED_VALUE"""),"Galaxy A")</f>
        <v>Galaxy A</v>
      </c>
      <c r="F338" s="3" t="str">
        <f ca="1">IFERROR(__xludf.DUMMYFUNCTION("""COMPUTED_VALUE"""),"Sean")</f>
        <v>Sean</v>
      </c>
      <c r="G338" s="3">
        <f ca="1">IFERROR(__xludf.DUMMYFUNCTION("""COMPUTED_VALUE"""),0)</f>
        <v>0</v>
      </c>
      <c r="H338" s="3" t="str">
        <f ca="1">IFERROR(__xludf.DUMMYFUNCTION("""COMPUTED_VALUE"""),"bicycle")</f>
        <v>bicycle</v>
      </c>
      <c r="I338" s="3" t="str">
        <f ca="1">IFERROR(__xludf.DUMMYFUNCTION("""COMPUTED_VALUE"""),"2055-06-09T18:19:15.157665Z")</f>
        <v>2055-06-09T18:19:15.157665Z</v>
      </c>
      <c r="J338" s="3" t="str">
        <f ca="1">IFERROR(__xludf.DUMMYFUNCTION("""COMPUTED_VALUE"""),"2055-06-09T19:24:59.229Z")</f>
        <v>2055-06-09T19:24:59.229Z</v>
      </c>
      <c r="K338" s="3" t="str">
        <f ca="1">IFERROR(__xludf.DUMMYFUNCTION("""COMPUTED_VALUE"""),"2055-06-09T19:01:41.229Z")</f>
        <v>2055-06-09T19:01:41.229Z</v>
      </c>
      <c r="L338" s="3">
        <f ca="1">IFERROR(__xludf.DUMMYFUNCTION("""COMPUTED_VALUE"""),1)</f>
        <v>1</v>
      </c>
      <c r="M338" s="3">
        <f ca="1">IFERROR(__xludf.DUMMYFUNCTION("""COMPUTED_VALUE"""),0)</f>
        <v>0</v>
      </c>
      <c r="N338" s="3" t="str">
        <f ca="1">IFERROR(__xludf.DUMMYFUNCTION("""COMPUTED_VALUE"""),"2055-06-09T19:12:28.838713Z")</f>
        <v>2055-06-09T19:12:28.838713Z</v>
      </c>
      <c r="O338" s="3" t="str">
        <f ca="1">IFERROR(__xludf.DUMMYFUNCTION("""COMPUTED_VALUE"""),"2055-06-09T19:26:29.400864Z")</f>
        <v>2055-06-09T19:26:29.400864Z</v>
      </c>
      <c r="P338" s="3" t="str">
        <f ca="1">IFERROR(__xludf.DUMMYFUNCTION("""COMPUTED_VALUE"""),"2055-06-09T18:51:34.152557Z")</f>
        <v>2055-06-09T18:51:34.152557Z</v>
      </c>
      <c r="Q338" s="3">
        <f ca="1">IFERROR(__xludf.DUMMYFUNCTION("""COMPUTED_VALUE"""),0)</f>
        <v>0</v>
      </c>
      <c r="R338" s="3" t="str">
        <f ca="1">IFERROR(__xludf.DUMMYFUNCTION("""COMPUTED_VALUE"""),"2055-06-09T18:53:23.273878Z")</f>
        <v>2055-06-09T18:53:23.273878Z</v>
      </c>
      <c r="S338" s="3" t="str">
        <f ca="1">IFERROR(__xludf.DUMMYFUNCTION("""COMPUTED_VALUE"""),"2055-06-09T19:08:22.852639Z")</f>
        <v>2055-06-09T19:08:22.852639Z</v>
      </c>
      <c r="T338" s="3"/>
      <c r="U338" s="4">
        <f ca="1">IFERROR(__xludf.DUMMYFUNCTION("""COMPUTED_VALUE"""),56774)</f>
        <v>56774</v>
      </c>
      <c r="V338" s="3">
        <f ca="1">IFERROR(__xludf.DUMMYFUNCTION("""COMPUTED_VALUE"""),3.649797111)</f>
        <v>3.6497971109999998</v>
      </c>
      <c r="W338" s="3">
        <f ca="1">IFERROR(__xludf.DUMMYFUNCTION("""COMPUTED_VALUE"""),3000)</f>
        <v>3000</v>
      </c>
      <c r="X338" s="3">
        <f ca="1">IFERROR(__xludf.DUMMYFUNCTION("""COMPUTED_VALUE"""),1986)</f>
        <v>1986</v>
      </c>
      <c r="Y338" s="3">
        <f ca="1">IFERROR(__xludf.DUMMYFUNCTION("""COMPUTED_VALUE"""),899)</f>
        <v>899</v>
      </c>
      <c r="Z338" s="3">
        <f ca="1">IFERROR(__xludf.DUMMYFUNCTION("""COMPUTED_VALUE"""),246)</f>
        <v>246</v>
      </c>
      <c r="AA338" s="3">
        <f ca="1">IFERROR(__xludf.DUMMYFUNCTION("""COMPUTED_VALUE"""),841)</f>
        <v>841</v>
      </c>
      <c r="AB338" s="3">
        <f ca="1">IFERROR(__xludf.DUMMYFUNCTION("""COMPUTED_VALUE"""),0)</f>
        <v>0</v>
      </c>
      <c r="AC338" s="3">
        <f ca="1">IFERROR(__xludf.DUMMYFUNCTION("""COMPUTED_VALUE"""),2)</f>
        <v>2</v>
      </c>
      <c r="AD338" s="3" t="str">
        <f ca="1">IFERROR(__xludf.DUMMYFUNCTION("""COMPUTED_VALUE"""),"late")</f>
        <v>late</v>
      </c>
      <c r="AE338" s="3" t="str">
        <f ca="1">IFERROR(__xludf.DUMMYFUNCTION("""COMPUTED_VALUE"""),"2055-06-09T15:12:28.838713Z")</f>
        <v>2055-06-09T15:12:28.838713Z</v>
      </c>
      <c r="AF338" s="3" t="str">
        <f ca="1">IFERROR(__xludf.DUMMYFUNCTION("""COMPUTED_VALUE"""),"2055-06-09T15:26:29.400864Z")</f>
        <v>2055-06-09T15:26:29.400864Z</v>
      </c>
      <c r="AG338" s="3" t="str">
        <f ca="1">IFERROR(__xludf.DUMMYFUNCTION("""COMPUTED_VALUE"""),"2055-06-09T14:51:34.152557Z")</f>
        <v>2055-06-09T14:51:34.152557Z</v>
      </c>
      <c r="AH338" s="3" t="str">
        <f ca="1">IFERROR(__xludf.DUMMYFUNCTION("""COMPUTED_VALUE"""),"2055-06-09T15:08:22.852639Z")</f>
        <v>2055-06-09T15:08:22.852639Z</v>
      </c>
      <c r="AI338" s="3">
        <f ca="1">IFERROR(__xludf.DUMMYFUNCTION("""COMPUTED_VALUE"""),4.52)</f>
        <v>4.5199999999999996</v>
      </c>
      <c r="AJ338" s="3">
        <f ca="1">IFERROR(__xludf.DUMMYFUNCTION("""COMPUTED_VALUE"""),183)</f>
        <v>183</v>
      </c>
      <c r="AK338" s="3">
        <f ca="1">IFERROR(__xludf.DUMMYFUNCTION("""COMPUTED_VALUE"""),522)</f>
        <v>522</v>
      </c>
      <c r="AL338" s="3"/>
    </row>
    <row r="339" spans="1:38" ht="13">
      <c r="A339" s="3">
        <f ca="1">IFERROR(__xludf.DUMMYFUNCTION("""COMPUTED_VALUE"""),95)</f>
        <v>95</v>
      </c>
      <c r="B339" s="3">
        <f ca="1">IFERROR(__xludf.DUMMYFUNCTION("""COMPUTED_VALUE"""),5)</f>
        <v>5</v>
      </c>
      <c r="C339" s="3">
        <f ca="1">IFERROR(__xludf.DUMMYFUNCTION("""COMPUTED_VALUE"""),4001)</f>
        <v>4001</v>
      </c>
      <c r="D339" s="3" t="str">
        <f ca="1">IFERROR(__xludf.DUMMYFUNCTION("""COMPUTED_VALUE"""),"Dashattan")</f>
        <v>Dashattan</v>
      </c>
      <c r="E339" s="3" t="str">
        <f ca="1">IFERROR(__xludf.DUMMYFUNCTION("""COMPUTED_VALUE"""),"Galaxy A")</f>
        <v>Galaxy A</v>
      </c>
      <c r="F339" s="3" t="str">
        <f ca="1">IFERROR(__xludf.DUMMYFUNCTION("""COMPUTED_VALUE"""),"Bunje")</f>
        <v>Bunje</v>
      </c>
      <c r="G339" s="3">
        <f ca="1">IFERROR(__xludf.DUMMYFUNCTION("""COMPUTED_VALUE"""),0)</f>
        <v>0</v>
      </c>
      <c r="H339" s="3" t="str">
        <f ca="1">IFERROR(__xludf.DUMMYFUNCTION("""COMPUTED_VALUE"""),"bicycle")</f>
        <v>bicycle</v>
      </c>
      <c r="I339" s="3" t="str">
        <f ca="1">IFERROR(__xludf.DUMMYFUNCTION("""COMPUTED_VALUE"""),"2055-06-02T00:22:01.30579Z")</f>
        <v>2055-06-02T00:22:01.30579Z</v>
      </c>
      <c r="J339" s="3" t="str">
        <f ca="1">IFERROR(__xludf.DUMMYFUNCTION("""COMPUTED_VALUE"""),"2055-06-02T01:31:50.374Z")</f>
        <v>2055-06-02T01:31:50.374Z</v>
      </c>
      <c r="K339" s="3" t="str">
        <f ca="1">IFERROR(__xludf.DUMMYFUNCTION("""COMPUTED_VALUE"""),"2055-06-02T01:16:43.374Z")</f>
        <v>2055-06-02T01:16:43.374Z</v>
      </c>
      <c r="L339" s="3">
        <f ca="1">IFERROR(__xludf.DUMMYFUNCTION("""COMPUTED_VALUE"""),1)</f>
        <v>1</v>
      </c>
      <c r="M339" s="3">
        <f ca="1">IFERROR(__xludf.DUMMYFUNCTION("""COMPUTED_VALUE"""),0)</f>
        <v>0</v>
      </c>
      <c r="N339" s="3" t="str">
        <f ca="1">IFERROR(__xludf.DUMMYFUNCTION("""COMPUTED_VALUE"""),"2055-06-02T00:53:26.041539Z")</f>
        <v>2055-06-02T00:53:26.041539Z</v>
      </c>
      <c r="O339" s="3" t="str">
        <f ca="1">IFERROR(__xludf.DUMMYFUNCTION("""COMPUTED_VALUE"""),"2055-06-02T01:11:08.511943Z")</f>
        <v>2055-06-02T01:11:08.511943Z</v>
      </c>
      <c r="P339" s="3" t="str">
        <f ca="1">IFERROR(__xludf.DUMMYFUNCTION("""COMPUTED_VALUE"""),"2055-06-02T00:34:34.864498Z")</f>
        <v>2055-06-02T00:34:34.864498Z</v>
      </c>
      <c r="Q339" s="3">
        <f ca="1">IFERROR(__xludf.DUMMYFUNCTION("""COMPUTED_VALUE"""),0)</f>
        <v>0</v>
      </c>
      <c r="R339" s="3" t="str">
        <f ca="1">IFERROR(__xludf.DUMMYFUNCTION("""COMPUTED_VALUE"""),"2055-06-02T00:34:59.47718Z")</f>
        <v>2055-06-02T00:34:59.47718Z</v>
      </c>
      <c r="S339" s="3" t="str">
        <f ca="1">IFERROR(__xludf.DUMMYFUNCTION("""COMPUTED_VALUE"""),"2055-06-02T00:40:28.648223Z")</f>
        <v>2055-06-02T00:40:28.648223Z</v>
      </c>
      <c r="T339" s="3"/>
      <c r="U339" s="4">
        <f ca="1">IFERROR(__xludf.DUMMYFUNCTION("""COMPUTED_VALUE"""),56766)</f>
        <v>56766</v>
      </c>
      <c r="V339" s="3">
        <f ca="1">IFERROR(__xludf.DUMMYFUNCTION("""COMPUTED_VALUE"""),4.4)</f>
        <v>4.4000000000000004</v>
      </c>
      <c r="W339" s="3">
        <f ca="1">IFERROR(__xludf.DUMMYFUNCTION("""COMPUTED_VALUE"""),3000)</f>
        <v>3000</v>
      </c>
      <c r="X339" s="3">
        <f ca="1">IFERROR(__xludf.DUMMYFUNCTION("""COMPUTED_VALUE"""),2169)</f>
        <v>2169</v>
      </c>
      <c r="Y339" s="3">
        <f ca="1">IFERROR(__xludf.DUMMYFUNCTION("""COMPUTED_VALUE"""),329)</f>
        <v>329</v>
      </c>
      <c r="Z339" s="3">
        <f ca="1">IFERROR(__xludf.DUMMYFUNCTION("""COMPUTED_VALUE"""),778)</f>
        <v>778</v>
      </c>
      <c r="AA339" s="3">
        <f ca="1">IFERROR(__xludf.DUMMYFUNCTION("""COMPUTED_VALUE"""),1062)</f>
        <v>1062</v>
      </c>
      <c r="AB339" s="3">
        <f ca="1">IFERROR(__xludf.DUMMYFUNCTION("""COMPUTED_VALUE"""),0)</f>
        <v>0</v>
      </c>
      <c r="AC339" s="3">
        <f ca="1">IFERROR(__xludf.DUMMYFUNCTION("""COMPUTED_VALUE"""),6)</f>
        <v>6</v>
      </c>
      <c r="AD339" s="3" t="str">
        <f ca="1">IFERROR(__xludf.DUMMYFUNCTION("""COMPUTED_VALUE"""),"early")</f>
        <v>early</v>
      </c>
      <c r="AE339" s="3" t="str">
        <f ca="1">IFERROR(__xludf.DUMMYFUNCTION("""COMPUTED_VALUE"""),"2055-06-01T20:53:26.041539Z")</f>
        <v>2055-06-01T20:53:26.041539Z</v>
      </c>
      <c r="AF339" s="3" t="str">
        <f ca="1">IFERROR(__xludf.DUMMYFUNCTION("""COMPUTED_VALUE"""),"2055-06-01T21:11:08.511943Z")</f>
        <v>2055-06-01T21:11:08.511943Z</v>
      </c>
      <c r="AG339" s="3" t="str">
        <f ca="1">IFERROR(__xludf.DUMMYFUNCTION("""COMPUTED_VALUE"""),"2055-06-01T20:34:34.864498Z")</f>
        <v>2055-06-01T20:34:34.864498Z</v>
      </c>
      <c r="AH339" s="3" t="str">
        <f ca="1">IFERROR(__xludf.DUMMYFUNCTION("""COMPUTED_VALUE"""),"2055-06-01T20:40:28.648223Z")</f>
        <v>2055-06-01T20:40:28.648223Z</v>
      </c>
      <c r="AI339" s="3">
        <f ca="1">IFERROR(__xludf.DUMMYFUNCTION("""COMPUTED_VALUE"""),4.7)</f>
        <v>4.7</v>
      </c>
      <c r="AJ339" s="3">
        <f ca="1">IFERROR(__xludf.DUMMYFUNCTION("""COMPUTED_VALUE"""),443)</f>
        <v>443</v>
      </c>
      <c r="AK339" s="3">
        <f ca="1">IFERROR(__xludf.DUMMYFUNCTION("""COMPUTED_VALUE"""),1579)</f>
        <v>1579</v>
      </c>
      <c r="AL339" s="3"/>
    </row>
    <row r="340" spans="1:38" ht="13">
      <c r="A340" s="3">
        <f ca="1">IFERROR(__xludf.DUMMYFUNCTION("""COMPUTED_VALUE"""),890)</f>
        <v>890</v>
      </c>
      <c r="B340" s="3">
        <f ca="1">IFERROR(__xludf.DUMMYFUNCTION("""COMPUTED_VALUE"""),5)</f>
        <v>5</v>
      </c>
      <c r="C340" s="3">
        <f ca="1">IFERROR(__xludf.DUMMYFUNCTION("""COMPUTED_VALUE"""),4050)</f>
        <v>4050</v>
      </c>
      <c r="D340" s="3" t="str">
        <f ca="1">IFERROR(__xludf.DUMMYFUNCTION("""COMPUTED_VALUE"""),"Doorlanta")</f>
        <v>Doorlanta</v>
      </c>
      <c r="E340" s="3" t="str">
        <f ca="1">IFERROR(__xludf.DUMMYFUNCTION("""COMPUTED_VALUE"""),"Galaxy A")</f>
        <v>Galaxy A</v>
      </c>
      <c r="F340" s="3" t="str">
        <f ca="1">IFERROR(__xludf.DUMMYFUNCTION("""COMPUTED_VALUE"""),"Abhai")</f>
        <v>Abhai</v>
      </c>
      <c r="G340" s="3">
        <f ca="1">IFERROR(__xludf.DUMMYFUNCTION("""COMPUTED_VALUE"""),0)</f>
        <v>0</v>
      </c>
      <c r="H340" s="3" t="str">
        <f ca="1">IFERROR(__xludf.DUMMYFUNCTION("""COMPUTED_VALUE"""),"car")</f>
        <v>car</v>
      </c>
      <c r="I340" s="3" t="str">
        <f ca="1">IFERROR(__xludf.DUMMYFUNCTION("""COMPUTED_VALUE"""),"2055-06-07T23:20:16.662095Z")</f>
        <v>2055-06-07T23:20:16.662095Z</v>
      </c>
      <c r="J340" s="3" t="str">
        <f ca="1">IFERROR(__xludf.DUMMYFUNCTION("""COMPUTED_VALUE"""),"2055-06-08T00:15:16.714Z")</f>
        <v>2055-06-08T00:15:16.714Z</v>
      </c>
      <c r="K340" s="3" t="str">
        <f ca="1">IFERROR(__xludf.DUMMYFUNCTION("""COMPUTED_VALUE"""),"2055-06-07T23:47:13.714Z")</f>
        <v>2055-06-07T23:47:13.714Z</v>
      </c>
      <c r="L340" s="3">
        <f ca="1">IFERROR(__xludf.DUMMYFUNCTION("""COMPUTED_VALUE"""),1)</f>
        <v>1</v>
      </c>
      <c r="M340" s="3">
        <f ca="1">IFERROR(__xludf.DUMMYFUNCTION("""COMPUTED_VALUE"""),0)</f>
        <v>0</v>
      </c>
      <c r="N340" s="3" t="str">
        <f ca="1">IFERROR(__xludf.DUMMYFUNCTION("""COMPUTED_VALUE"""),"2055-06-07T23:44:43.464016Z")</f>
        <v>2055-06-07T23:44:43.464016Z</v>
      </c>
      <c r="O340" s="3" t="str">
        <f ca="1">IFERROR(__xludf.DUMMYFUNCTION("""COMPUTED_VALUE"""),"2055-06-07T23:50:19.213194Z")</f>
        <v>2055-06-07T23:50:19.213194Z</v>
      </c>
      <c r="P340" s="3" t="str">
        <f ca="1">IFERROR(__xludf.DUMMYFUNCTION("""COMPUTED_VALUE"""),"2055-06-07T23:25:47.47115Z")</f>
        <v>2055-06-07T23:25:47.47115Z</v>
      </c>
      <c r="Q340" s="3">
        <f ca="1">IFERROR(__xludf.DUMMYFUNCTION("""COMPUTED_VALUE"""),0)</f>
        <v>0</v>
      </c>
      <c r="R340" s="3" t="str">
        <f ca="1">IFERROR(__xludf.DUMMYFUNCTION("""COMPUTED_VALUE"""),"2055-06-07T23:25:54.043714Z")</f>
        <v>2055-06-07T23:25:54.043714Z</v>
      </c>
      <c r="S340" s="3"/>
      <c r="T340" s="3"/>
      <c r="U340" s="4">
        <f ca="1">IFERROR(__xludf.DUMMYFUNCTION("""COMPUTED_VALUE"""),56772)</f>
        <v>56772</v>
      </c>
      <c r="V340" s="3">
        <f ca="1">IFERROR(__xludf.DUMMYFUNCTION("""COMPUTED_VALUE"""),4.6)</f>
        <v>4.5999999999999996</v>
      </c>
      <c r="W340" s="3">
        <f ca="1">IFERROR(__xludf.DUMMYFUNCTION("""COMPUTED_VALUE"""),3000)</f>
        <v>3000</v>
      </c>
      <c r="X340" s="3">
        <f ca="1">IFERROR(__xludf.DUMMYFUNCTION("""COMPUTED_VALUE"""),1465)</f>
        <v>1465</v>
      </c>
      <c r="Y340" s="3"/>
      <c r="Z340" s="3"/>
      <c r="AA340" s="3">
        <f ca="1">IFERROR(__xludf.DUMMYFUNCTION("""COMPUTED_VALUE"""),336)</f>
        <v>336</v>
      </c>
      <c r="AB340" s="3">
        <f ca="1">IFERROR(__xludf.DUMMYFUNCTION("""COMPUTED_VALUE"""),0)</f>
        <v>0</v>
      </c>
      <c r="AC340" s="3">
        <f ca="1">IFERROR(__xludf.DUMMYFUNCTION("""COMPUTED_VALUE"""),3)</f>
        <v>3</v>
      </c>
      <c r="AD340" s="3"/>
      <c r="AE340" s="3" t="str">
        <f ca="1">IFERROR(__xludf.DUMMYFUNCTION("""COMPUTED_VALUE"""),"2055-06-07T19:44:43.464016Z")</f>
        <v>2055-06-07T19:44:43.464016Z</v>
      </c>
      <c r="AF340" s="3" t="str">
        <f ca="1">IFERROR(__xludf.DUMMYFUNCTION("""COMPUTED_VALUE"""),"2055-06-07T19:50:19.213194Z")</f>
        <v>2055-06-07T19:50:19.213194Z</v>
      </c>
      <c r="AG340" s="3" t="str">
        <f ca="1">IFERROR(__xludf.DUMMYFUNCTION("""COMPUTED_VALUE"""),"2055-06-07T19:25:47.47115Z")</f>
        <v>2055-06-07T19:25:47.47115Z</v>
      </c>
      <c r="AH340" s="3"/>
      <c r="AI340" s="3">
        <f ca="1">IFERROR(__xludf.DUMMYFUNCTION("""COMPUTED_VALUE"""),4.56)</f>
        <v>4.5599999999999996</v>
      </c>
      <c r="AJ340" s="3">
        <f ca="1">IFERROR(__xludf.DUMMYFUNCTION("""COMPUTED_VALUE"""),344)</f>
        <v>344</v>
      </c>
      <c r="AK340" s="3">
        <f ca="1">IFERROR(__xludf.DUMMYFUNCTION("""COMPUTED_VALUE"""),947)</f>
        <v>947</v>
      </c>
      <c r="AL340" s="3">
        <f ca="1">IFERROR(__xludf.DUMMYFUNCTION("""COMPUTED_VALUE"""),22)</f>
        <v>22</v>
      </c>
    </row>
    <row r="341" spans="1:38" ht="13">
      <c r="A341" s="3">
        <f ca="1">IFERROR(__xludf.DUMMYFUNCTION("""COMPUTED_VALUE"""),919)</f>
        <v>919</v>
      </c>
      <c r="B341" s="3">
        <f ca="1">IFERROR(__xludf.DUMMYFUNCTION("""COMPUTED_VALUE"""),1)</f>
        <v>1</v>
      </c>
      <c r="C341" s="3">
        <f ca="1">IFERROR(__xludf.DUMMYFUNCTION("""COMPUTED_VALUE"""),4001)</f>
        <v>4001</v>
      </c>
      <c r="D341" s="3" t="str">
        <f ca="1">IFERROR(__xludf.DUMMYFUNCTION("""COMPUTED_VALUE"""),"Dashattan")</f>
        <v>Dashattan</v>
      </c>
      <c r="E341" s="3" t="str">
        <f ca="1">IFERROR(__xludf.DUMMYFUNCTION("""COMPUTED_VALUE"""),"Galaxy A")</f>
        <v>Galaxy A</v>
      </c>
      <c r="F341" s="3" t="str">
        <f ca="1">IFERROR(__xludf.DUMMYFUNCTION("""COMPUTED_VALUE"""),"Rachael")</f>
        <v>Rachael</v>
      </c>
      <c r="G341" s="3">
        <f ca="1">IFERROR(__xludf.DUMMYFUNCTION("""COMPUTED_VALUE"""),0)</f>
        <v>0</v>
      </c>
      <c r="H341" s="3" t="str">
        <f ca="1">IFERROR(__xludf.DUMMYFUNCTION("""COMPUTED_VALUE"""),"bicycle")</f>
        <v>bicycle</v>
      </c>
      <c r="I341" s="3" t="str">
        <f ca="1">IFERROR(__xludf.DUMMYFUNCTION("""COMPUTED_VALUE"""),"2055-06-08T11:45:42.528991Z")</f>
        <v>2055-06-08T11:45:42.528991Z</v>
      </c>
      <c r="J341" s="3" t="str">
        <f ca="1">IFERROR(__xludf.DUMMYFUNCTION("""COMPUTED_VALUE"""),"2055-06-08T13:00:00Z")</f>
        <v>2055-06-08T13:00:00Z</v>
      </c>
      <c r="K341" s="3" t="str">
        <f ca="1">IFERROR(__xludf.DUMMYFUNCTION("""COMPUTED_VALUE"""),"2055-06-08T13:00:00Z")</f>
        <v>2055-06-08T13:00:00Z</v>
      </c>
      <c r="L341" s="3">
        <f ca="1">IFERROR(__xludf.DUMMYFUNCTION("""COMPUTED_VALUE"""),0)</f>
        <v>0</v>
      </c>
      <c r="M341" s="3">
        <f ca="1">IFERROR(__xludf.DUMMYFUNCTION("""COMPUTED_VALUE"""),0)</f>
        <v>0</v>
      </c>
      <c r="N341" s="3" t="str">
        <f ca="1">IFERROR(__xludf.DUMMYFUNCTION("""COMPUTED_VALUE"""),"2055-06-08T13:47:18.316705Z")</f>
        <v>2055-06-08T13:47:18.316705Z</v>
      </c>
      <c r="O341" s="3" t="str">
        <f ca="1">IFERROR(__xludf.DUMMYFUNCTION("""COMPUTED_VALUE"""),"2055-06-08T14:01:35.126631Z")</f>
        <v>2055-06-08T14:01:35.126631Z</v>
      </c>
      <c r="P341" s="3" t="str">
        <f ca="1">IFERROR(__xludf.DUMMYFUNCTION("""COMPUTED_VALUE"""),"2055-06-08T13:27:33.550764Z")</f>
        <v>2055-06-08T13:27:33.550764Z</v>
      </c>
      <c r="Q341" s="3">
        <f ca="1">IFERROR(__xludf.DUMMYFUNCTION("""COMPUTED_VALUE"""),1)</f>
        <v>1</v>
      </c>
      <c r="R341" s="3" t="str">
        <f ca="1">IFERROR(__xludf.DUMMYFUNCTION("""COMPUTED_VALUE"""),"2055-06-08T13:27:41.200529Z")</f>
        <v>2055-06-08T13:27:41.200529Z</v>
      </c>
      <c r="S341" s="3" t="str">
        <f ca="1">IFERROR(__xludf.DUMMYFUNCTION("""COMPUTED_VALUE"""),"2055-06-08T13:47:21.367629Z")</f>
        <v>2055-06-08T13:47:21.367629Z</v>
      </c>
      <c r="T341" s="3"/>
      <c r="U341" s="4">
        <f ca="1">IFERROR(__xludf.DUMMYFUNCTION("""COMPUTED_VALUE"""),56773)</f>
        <v>56773</v>
      </c>
      <c r="V341" s="3">
        <f ca="1">IFERROR(__xludf.DUMMYFUNCTION("""COMPUTED_VALUE"""),4.4)</f>
        <v>4.4000000000000004</v>
      </c>
      <c r="W341" s="3">
        <f ca="1">IFERROR(__xludf.DUMMYFUNCTION("""COMPUTED_VALUE"""),3000)</f>
        <v>3000</v>
      </c>
      <c r="X341" s="3">
        <f ca="1">IFERROR(__xludf.DUMMYFUNCTION("""COMPUTED_VALUE"""),2034)</f>
        <v>2034</v>
      </c>
      <c r="Y341" s="3">
        <f ca="1">IFERROR(__xludf.DUMMYFUNCTION("""COMPUTED_VALUE"""),1180)</f>
        <v>1180</v>
      </c>
      <c r="Z341" s="3"/>
      <c r="AA341" s="3">
        <f ca="1">IFERROR(__xludf.DUMMYFUNCTION("""COMPUTED_VALUE"""),857)</f>
        <v>857</v>
      </c>
      <c r="AB341" s="3">
        <f ca="1">IFERROR(__xludf.DUMMYFUNCTION("""COMPUTED_VALUE"""),0)</f>
        <v>0</v>
      </c>
      <c r="AC341" s="3">
        <f ca="1">IFERROR(__xludf.DUMMYFUNCTION("""COMPUTED_VALUE"""),2)</f>
        <v>2</v>
      </c>
      <c r="AD341" s="3" t="str">
        <f ca="1">IFERROR(__xludf.DUMMYFUNCTION("""COMPUTED_VALUE"""),"late")</f>
        <v>late</v>
      </c>
      <c r="AE341" s="3" t="str">
        <f ca="1">IFERROR(__xludf.DUMMYFUNCTION("""COMPUTED_VALUE"""),"2055-06-08T09:47:18.316705Z")</f>
        <v>2055-06-08T09:47:18.316705Z</v>
      </c>
      <c r="AF341" s="3" t="str">
        <f ca="1">IFERROR(__xludf.DUMMYFUNCTION("""COMPUTED_VALUE"""),"2055-06-08T10:01:35.126631Z")</f>
        <v>2055-06-08T10:01:35.126631Z</v>
      </c>
      <c r="AG341" s="3" t="str">
        <f ca="1">IFERROR(__xludf.DUMMYFUNCTION("""COMPUTED_VALUE"""),"2055-06-08T09:27:33.550764Z")</f>
        <v>2055-06-08T09:27:33.550764Z</v>
      </c>
      <c r="AH341" s="3" t="str">
        <f ca="1">IFERROR(__xludf.DUMMYFUNCTION("""COMPUTED_VALUE"""),"2055-06-08T09:47:21.367629Z")</f>
        <v>2055-06-08T09:47:21.367629Z</v>
      </c>
      <c r="AI341" s="3">
        <f ca="1">IFERROR(__xludf.DUMMYFUNCTION("""COMPUTED_VALUE"""),4.47)</f>
        <v>4.47</v>
      </c>
      <c r="AJ341" s="3">
        <f ca="1">IFERROR(__xludf.DUMMYFUNCTION("""COMPUTED_VALUE"""),78)</f>
        <v>78</v>
      </c>
      <c r="AK341" s="3">
        <f ca="1">IFERROR(__xludf.DUMMYFUNCTION("""COMPUTED_VALUE"""),278)</f>
        <v>278</v>
      </c>
      <c r="AL341" s="3">
        <f ca="1">IFERROR(__xludf.DUMMYFUNCTION("""COMPUTED_VALUE"""),26)</f>
        <v>26</v>
      </c>
    </row>
    <row r="342" spans="1:38" ht="13">
      <c r="A342" s="3">
        <f ca="1">IFERROR(__xludf.DUMMYFUNCTION("""COMPUTED_VALUE"""),648)</f>
        <v>648</v>
      </c>
      <c r="B342" s="3">
        <f ca="1">IFERROR(__xludf.DUMMYFUNCTION("""COMPUTED_VALUE"""),5)</f>
        <v>5</v>
      </c>
      <c r="C342" s="3">
        <f ca="1">IFERROR(__xludf.DUMMYFUNCTION("""COMPUTED_VALUE"""),4050)</f>
        <v>4050</v>
      </c>
      <c r="D342" s="3" t="str">
        <f ca="1">IFERROR(__xludf.DUMMYFUNCTION("""COMPUTED_VALUE"""),"Doorlanta")</f>
        <v>Doorlanta</v>
      </c>
      <c r="E342" s="3" t="str">
        <f ca="1">IFERROR(__xludf.DUMMYFUNCTION("""COMPUTED_VALUE"""),"Galaxy A")</f>
        <v>Galaxy A</v>
      </c>
      <c r="F342" s="3" t="str">
        <f ca="1">IFERROR(__xludf.DUMMYFUNCTION("""COMPUTED_VALUE"""),"Kev")</f>
        <v>Kev</v>
      </c>
      <c r="G342" s="3">
        <f ca="1">IFERROR(__xludf.DUMMYFUNCTION("""COMPUTED_VALUE"""),0)</f>
        <v>0</v>
      </c>
      <c r="H342" s="3" t="str">
        <f ca="1">IFERROR(__xludf.DUMMYFUNCTION("""COMPUTED_VALUE"""),"car")</f>
        <v>car</v>
      </c>
      <c r="I342" s="3" t="str">
        <f ca="1">IFERROR(__xludf.DUMMYFUNCTION("""COMPUTED_VALUE"""),"2055-06-05T22:22:09.041319Z")</f>
        <v>2055-06-05T22:22:09.041319Z</v>
      </c>
      <c r="J342" s="3" t="str">
        <f ca="1">IFERROR(__xludf.DUMMYFUNCTION("""COMPUTED_VALUE"""),"2055-06-05T23:17:09.123Z")</f>
        <v>2055-06-05T23:17:09.123Z</v>
      </c>
      <c r="K342" s="3" t="str">
        <f ca="1">IFERROR(__xludf.DUMMYFUNCTION("""COMPUTED_VALUE"""),"2055-06-05T22:55:29.123Z")</f>
        <v>2055-06-05T22:55:29.123Z</v>
      </c>
      <c r="L342" s="3">
        <f ca="1">IFERROR(__xludf.DUMMYFUNCTION("""COMPUTED_VALUE"""),1)</f>
        <v>1</v>
      </c>
      <c r="M342" s="3">
        <f ca="1">IFERROR(__xludf.DUMMYFUNCTION("""COMPUTED_VALUE"""),0)</f>
        <v>0</v>
      </c>
      <c r="N342" s="3" t="str">
        <f ca="1">IFERROR(__xludf.DUMMYFUNCTION("""COMPUTED_VALUE"""),"2055-06-05T22:40:07.622269Z")</f>
        <v>2055-06-05T22:40:07.622269Z</v>
      </c>
      <c r="O342" s="3" t="str">
        <f ca="1">IFERROR(__xludf.DUMMYFUNCTION("""COMPUTED_VALUE"""),"2055-06-05T22:51:46.459353Z")</f>
        <v>2055-06-05T22:51:46.459353Z</v>
      </c>
      <c r="P342" s="3" t="str">
        <f ca="1">IFERROR(__xludf.DUMMYFUNCTION("""COMPUTED_VALUE"""),"2055-06-05T22:23:07.590634Z")</f>
        <v>2055-06-05T22:23:07.590634Z</v>
      </c>
      <c r="Q342" s="3">
        <f ca="1">IFERROR(__xludf.DUMMYFUNCTION("""COMPUTED_VALUE"""),0)</f>
        <v>0</v>
      </c>
      <c r="R342" s="3" t="str">
        <f ca="1">IFERROR(__xludf.DUMMYFUNCTION("""COMPUTED_VALUE"""),"2055-06-05T22:23:19.959156Z")</f>
        <v>2055-06-05T22:23:19.959156Z</v>
      </c>
      <c r="S342" s="3" t="str">
        <f ca="1">IFERROR(__xludf.DUMMYFUNCTION("""COMPUTED_VALUE"""),"2055-06-05T22:42:35.358491Z")</f>
        <v>2055-06-05T22:42:35.358491Z</v>
      </c>
      <c r="T342" s="3"/>
      <c r="U342" s="4">
        <f ca="1">IFERROR(__xludf.DUMMYFUNCTION("""COMPUTED_VALUE"""),56770)</f>
        <v>56770</v>
      </c>
      <c r="V342" s="3">
        <f ca="1">IFERROR(__xludf.DUMMYFUNCTION("""COMPUTED_VALUE"""),4.8)</f>
        <v>4.8</v>
      </c>
      <c r="W342" s="3">
        <f ca="1">IFERROR(__xludf.DUMMYFUNCTION("""COMPUTED_VALUE"""),3000)</f>
        <v>3000</v>
      </c>
      <c r="X342" s="3">
        <f ca="1">IFERROR(__xludf.DUMMYFUNCTION("""COMPUTED_VALUE"""),1707)</f>
        <v>1707</v>
      </c>
      <c r="Y342" s="3">
        <f ca="1">IFERROR(__xludf.DUMMYFUNCTION("""COMPUTED_VALUE"""),1156)</f>
        <v>1156</v>
      </c>
      <c r="Z342" s="3"/>
      <c r="AA342" s="3">
        <f ca="1">IFERROR(__xludf.DUMMYFUNCTION("""COMPUTED_VALUE"""),699)</f>
        <v>699</v>
      </c>
      <c r="AB342" s="3">
        <f ca="1">IFERROR(__xludf.DUMMYFUNCTION("""COMPUTED_VALUE"""),0)</f>
        <v>0</v>
      </c>
      <c r="AC342" s="3">
        <f ca="1">IFERROR(__xludf.DUMMYFUNCTION("""COMPUTED_VALUE"""),3)</f>
        <v>3</v>
      </c>
      <c r="AD342" s="3" t="str">
        <f ca="1">IFERROR(__xludf.DUMMYFUNCTION("""COMPUTED_VALUE"""),"late")</f>
        <v>late</v>
      </c>
      <c r="AE342" s="3" t="str">
        <f ca="1">IFERROR(__xludf.DUMMYFUNCTION("""COMPUTED_VALUE"""),"2055-06-05T18:40:07.622269Z")</f>
        <v>2055-06-05T18:40:07.622269Z</v>
      </c>
      <c r="AF342" s="3" t="str">
        <f ca="1">IFERROR(__xludf.DUMMYFUNCTION("""COMPUTED_VALUE"""),"2055-06-05T18:51:46.459353Z")</f>
        <v>2055-06-05T18:51:46.459353Z</v>
      </c>
      <c r="AG342" s="3" t="str">
        <f ca="1">IFERROR(__xludf.DUMMYFUNCTION("""COMPUTED_VALUE"""),"2055-06-05T18:23:07.590634Z")</f>
        <v>2055-06-05T18:23:07.590634Z</v>
      </c>
      <c r="AH342" s="3" t="str">
        <f ca="1">IFERROR(__xludf.DUMMYFUNCTION("""COMPUTED_VALUE"""),"2055-06-05T18:42:35.358491Z")</f>
        <v>2055-06-05T18:42:35.358491Z</v>
      </c>
      <c r="AI342" s="3">
        <f ca="1">IFERROR(__xludf.DUMMYFUNCTION("""COMPUTED_VALUE"""),4.740740741)</f>
        <v>4.7407407409999998</v>
      </c>
      <c r="AJ342" s="3">
        <f ca="1">IFERROR(__xludf.DUMMYFUNCTION("""COMPUTED_VALUE"""),43)</f>
        <v>43</v>
      </c>
      <c r="AK342" s="3">
        <f ca="1">IFERROR(__xludf.DUMMYFUNCTION("""COMPUTED_VALUE"""),144)</f>
        <v>144</v>
      </c>
      <c r="AL342" s="3">
        <f ca="1">IFERROR(__xludf.DUMMYFUNCTION("""COMPUTED_VALUE"""),80)</f>
        <v>80</v>
      </c>
    </row>
    <row r="343" spans="1:38" ht="13">
      <c r="A343" s="3">
        <f ca="1">IFERROR(__xludf.DUMMYFUNCTION("""COMPUTED_VALUE"""),780)</f>
        <v>780</v>
      </c>
      <c r="B343" s="3">
        <f ca="1">IFERROR(__xludf.DUMMYFUNCTION("""COMPUTED_VALUE"""),5)</f>
        <v>5</v>
      </c>
      <c r="C343" s="3">
        <f ca="1">IFERROR(__xludf.DUMMYFUNCTION("""COMPUTED_VALUE"""),4050)</f>
        <v>4050</v>
      </c>
      <c r="D343" s="3" t="str">
        <f ca="1">IFERROR(__xludf.DUMMYFUNCTION("""COMPUTED_VALUE"""),"Doorlanta")</f>
        <v>Doorlanta</v>
      </c>
      <c r="E343" s="3" t="str">
        <f ca="1">IFERROR(__xludf.DUMMYFUNCTION("""COMPUTED_VALUE"""),"Galaxy A")</f>
        <v>Galaxy A</v>
      </c>
      <c r="F343" s="3" t="str">
        <f ca="1">IFERROR(__xludf.DUMMYFUNCTION("""COMPUTED_VALUE"""),"Carol")</f>
        <v>Carol</v>
      </c>
      <c r="G343" s="3">
        <f ca="1">IFERROR(__xludf.DUMMYFUNCTION("""COMPUTED_VALUE"""),0)</f>
        <v>0</v>
      </c>
      <c r="H343" s="3" t="str">
        <f ca="1">IFERROR(__xludf.DUMMYFUNCTION("""COMPUTED_VALUE"""),"car")</f>
        <v>car</v>
      </c>
      <c r="I343" s="3" t="str">
        <f ca="1">IFERROR(__xludf.DUMMYFUNCTION("""COMPUTED_VALUE"""),"2055-06-06T22:33:47.817577Z")</f>
        <v>2055-06-06T22:33:47.817577Z</v>
      </c>
      <c r="J343" s="3" t="str">
        <f ca="1">IFERROR(__xludf.DUMMYFUNCTION("""COMPUTED_VALUE"""),"2055-06-06T23:43:49.865Z")</f>
        <v>2055-06-06T23:43:49.865Z</v>
      </c>
      <c r="K343" s="3" t="str">
        <f ca="1">IFERROR(__xludf.DUMMYFUNCTION("""COMPUTED_VALUE"""),"2055-06-06T23:28:00.865Z")</f>
        <v>2055-06-06T23:28:00.865Z</v>
      </c>
      <c r="L343" s="3">
        <f ca="1">IFERROR(__xludf.DUMMYFUNCTION("""COMPUTED_VALUE"""),1)</f>
        <v>1</v>
      </c>
      <c r="M343" s="3">
        <f ca="1">IFERROR(__xludf.DUMMYFUNCTION("""COMPUTED_VALUE"""),0)</f>
        <v>0</v>
      </c>
      <c r="N343" s="3" t="str">
        <f ca="1">IFERROR(__xludf.DUMMYFUNCTION("""COMPUTED_VALUE"""),"2055-06-06T23:16:04.853453Z")</f>
        <v>2055-06-06T23:16:04.853453Z</v>
      </c>
      <c r="O343" s="3" t="str">
        <f ca="1">IFERROR(__xludf.DUMMYFUNCTION("""COMPUTED_VALUE"""),"2055-06-06T23:26:24.357092Z")</f>
        <v>2055-06-06T23:26:24.357092Z</v>
      </c>
      <c r="P343" s="3" t="str">
        <f ca="1">IFERROR(__xludf.DUMMYFUNCTION("""COMPUTED_VALUE"""),"2055-06-06T22:36:47.512171Z")</f>
        <v>2055-06-06T22:36:47.512171Z</v>
      </c>
      <c r="Q343" s="3">
        <f ca="1">IFERROR(__xludf.DUMMYFUNCTION("""COMPUTED_VALUE"""),0)</f>
        <v>0</v>
      </c>
      <c r="R343" s="3" t="str">
        <f ca="1">IFERROR(__xludf.DUMMYFUNCTION("""COMPUTED_VALUE"""),"2055-06-06T22:36:50.975823Z")</f>
        <v>2055-06-06T22:36:50.975823Z</v>
      </c>
      <c r="S343" s="3" t="str">
        <f ca="1">IFERROR(__xludf.DUMMYFUNCTION("""COMPUTED_VALUE"""),"2055-06-06T23:14:14.468798Z")</f>
        <v>2055-06-06T23:14:14.468798Z</v>
      </c>
      <c r="T343" s="3"/>
      <c r="U343" s="4">
        <f ca="1">IFERROR(__xludf.DUMMYFUNCTION("""COMPUTED_VALUE"""),56771)</f>
        <v>56771</v>
      </c>
      <c r="V343" s="3">
        <f ca="1">IFERROR(__xludf.DUMMYFUNCTION("""COMPUTED_VALUE"""),4.6)</f>
        <v>4.5999999999999996</v>
      </c>
      <c r="W343" s="3">
        <f ca="1">IFERROR(__xludf.DUMMYFUNCTION("""COMPUTED_VALUE"""),3000)</f>
        <v>3000</v>
      </c>
      <c r="X343" s="3">
        <f ca="1">IFERROR(__xludf.DUMMYFUNCTION("""COMPUTED_VALUE"""),2974)</f>
        <v>2974</v>
      </c>
      <c r="Y343" s="3">
        <f ca="1">IFERROR(__xludf.DUMMYFUNCTION("""COMPUTED_VALUE"""),2244)</f>
        <v>2244</v>
      </c>
      <c r="Z343" s="3">
        <f ca="1">IFERROR(__xludf.DUMMYFUNCTION("""COMPUTED_VALUE"""),110)</f>
        <v>110</v>
      </c>
      <c r="AA343" s="3">
        <f ca="1">IFERROR(__xludf.DUMMYFUNCTION("""COMPUTED_VALUE"""),620)</f>
        <v>620</v>
      </c>
      <c r="AB343" s="3">
        <f ca="1">IFERROR(__xludf.DUMMYFUNCTION("""COMPUTED_VALUE"""),0)</f>
        <v>0</v>
      </c>
      <c r="AC343" s="3">
        <f ca="1">IFERROR(__xludf.DUMMYFUNCTION("""COMPUTED_VALUE"""),2)</f>
        <v>2</v>
      </c>
      <c r="AD343" s="3" t="str">
        <f ca="1">IFERROR(__xludf.DUMMYFUNCTION("""COMPUTED_VALUE"""),"late")</f>
        <v>late</v>
      </c>
      <c r="AE343" s="3" t="str">
        <f ca="1">IFERROR(__xludf.DUMMYFUNCTION("""COMPUTED_VALUE"""),"2055-06-06T19:16:04.853453Z")</f>
        <v>2055-06-06T19:16:04.853453Z</v>
      </c>
      <c r="AF343" s="3" t="str">
        <f ca="1">IFERROR(__xludf.DUMMYFUNCTION("""COMPUTED_VALUE"""),"2055-06-06T19:26:24.357092Z")</f>
        <v>2055-06-06T19:26:24.357092Z</v>
      </c>
      <c r="AG343" s="3" t="str">
        <f ca="1">IFERROR(__xludf.DUMMYFUNCTION("""COMPUTED_VALUE"""),"2055-06-06T18:36:47.512171Z")</f>
        <v>2055-06-06T18:36:47.512171Z</v>
      </c>
      <c r="AH343" s="3" t="str">
        <f ca="1">IFERROR(__xludf.DUMMYFUNCTION("""COMPUTED_VALUE"""),"2055-06-06T19:14:14.468798Z")</f>
        <v>2055-06-06T19:14:14.468798Z</v>
      </c>
      <c r="AI343" s="3">
        <f ca="1">IFERROR(__xludf.DUMMYFUNCTION("""COMPUTED_VALUE"""),4.452054795)</f>
        <v>4.4520547949999996</v>
      </c>
      <c r="AJ343" s="3">
        <f ca="1">IFERROR(__xludf.DUMMYFUNCTION("""COMPUTED_VALUE"""),59)</f>
        <v>59</v>
      </c>
      <c r="AK343" s="3">
        <f ca="1">IFERROR(__xludf.DUMMYFUNCTION("""COMPUTED_VALUE"""),171)</f>
        <v>171</v>
      </c>
      <c r="AL343" s="3">
        <f ca="1">IFERROR(__xludf.DUMMYFUNCTION("""COMPUTED_VALUE"""),52)</f>
        <v>52</v>
      </c>
    </row>
    <row r="344" spans="1:38" ht="13">
      <c r="A344" s="3">
        <f ca="1">IFERROR(__xludf.DUMMYFUNCTION("""COMPUTED_VALUE"""),560)</f>
        <v>560</v>
      </c>
      <c r="B344" s="3">
        <f ca="1">IFERROR(__xludf.DUMMYFUNCTION("""COMPUTED_VALUE"""),5)</f>
        <v>5</v>
      </c>
      <c r="C344" s="3">
        <f ca="1">IFERROR(__xludf.DUMMYFUNCTION("""COMPUTED_VALUE"""),4050)</f>
        <v>4050</v>
      </c>
      <c r="D344" s="3" t="str">
        <f ca="1">IFERROR(__xludf.DUMMYFUNCTION("""COMPUTED_VALUE"""),"Doorlanta")</f>
        <v>Doorlanta</v>
      </c>
      <c r="E344" s="3" t="str">
        <f ca="1">IFERROR(__xludf.DUMMYFUNCTION("""COMPUTED_VALUE"""),"Galaxy A")</f>
        <v>Galaxy A</v>
      </c>
      <c r="F344" s="3" t="str">
        <f ca="1">IFERROR(__xludf.DUMMYFUNCTION("""COMPUTED_VALUE"""),"Ajay")</f>
        <v>Ajay</v>
      </c>
      <c r="G344" s="3">
        <f ca="1">IFERROR(__xludf.DUMMYFUNCTION("""COMPUTED_VALUE"""),0)</f>
        <v>0</v>
      </c>
      <c r="H344" s="3" t="str">
        <f ca="1">IFERROR(__xludf.DUMMYFUNCTION("""COMPUTED_VALUE"""),"car")</f>
        <v>car</v>
      </c>
      <c r="I344" s="3" t="str">
        <f ca="1">IFERROR(__xludf.DUMMYFUNCTION("""COMPUTED_VALUE"""),"2055-06-05T16:06:55.116621Z")</f>
        <v>2055-06-05T16:06:55.116621Z</v>
      </c>
      <c r="J344" s="3" t="str">
        <f ca="1">IFERROR(__xludf.DUMMYFUNCTION("""COMPUTED_VALUE"""),"2055-06-05T17:08:05.207Z")</f>
        <v>2055-06-05T17:08:05.207Z</v>
      </c>
      <c r="K344" s="3" t="str">
        <f ca="1">IFERROR(__xludf.DUMMYFUNCTION("""COMPUTED_VALUE"""),"2055-06-05T16:47:58.207Z")</f>
        <v>2055-06-05T16:47:58.207Z</v>
      </c>
      <c r="L344" s="3">
        <f ca="1">IFERROR(__xludf.DUMMYFUNCTION("""COMPUTED_VALUE"""),1)</f>
        <v>1</v>
      </c>
      <c r="M344" s="3">
        <f ca="1">IFERROR(__xludf.DUMMYFUNCTION("""COMPUTED_VALUE"""),0)</f>
        <v>0</v>
      </c>
      <c r="N344" s="3" t="str">
        <f ca="1">IFERROR(__xludf.DUMMYFUNCTION("""COMPUTED_VALUE"""),"2055-06-05T16:28:35.441961Z")</f>
        <v>2055-06-05T16:28:35.441961Z</v>
      </c>
      <c r="O344" s="3" t="str">
        <f ca="1">IFERROR(__xludf.DUMMYFUNCTION("""COMPUTED_VALUE"""),"2055-06-05T16:39:27.029425Z")</f>
        <v>2055-06-05T16:39:27.029425Z</v>
      </c>
      <c r="P344" s="3" t="str">
        <f ca="1">IFERROR(__xludf.DUMMYFUNCTION("""COMPUTED_VALUE"""),"2055-06-05T16:16:27.356092Z")</f>
        <v>2055-06-05T16:16:27.356092Z</v>
      </c>
      <c r="Q344" s="3">
        <f ca="1">IFERROR(__xludf.DUMMYFUNCTION("""COMPUTED_VALUE"""),0)</f>
        <v>0</v>
      </c>
      <c r="R344" s="3" t="str">
        <f ca="1">IFERROR(__xludf.DUMMYFUNCTION("""COMPUTED_VALUE"""),"2055-06-05T16:16:34.81938Z")</f>
        <v>2055-06-05T16:16:34.81938Z</v>
      </c>
      <c r="S344" s="3" t="str">
        <f ca="1">IFERROR(__xludf.DUMMYFUNCTION("""COMPUTED_VALUE"""),"2055-06-05T16:25:34.493648Z")</f>
        <v>2055-06-05T16:25:34.493648Z</v>
      </c>
      <c r="T344" s="3"/>
      <c r="U344" s="4">
        <f ca="1">IFERROR(__xludf.DUMMYFUNCTION("""COMPUTED_VALUE"""),56770)</f>
        <v>56770</v>
      </c>
      <c r="V344" s="3">
        <f ca="1">IFERROR(__xludf.DUMMYFUNCTION("""COMPUTED_VALUE"""),4.7)</f>
        <v>4.7</v>
      </c>
      <c r="W344" s="3">
        <f ca="1">IFERROR(__xludf.DUMMYFUNCTION("""COMPUTED_VALUE"""),3000)</f>
        <v>3000</v>
      </c>
      <c r="X344" s="3">
        <f ca="1">IFERROR(__xludf.DUMMYFUNCTION("""COMPUTED_VALUE"""),1373)</f>
        <v>1373</v>
      </c>
      <c r="Y344" s="3">
        <f ca="1">IFERROR(__xludf.DUMMYFUNCTION("""COMPUTED_VALUE"""),540)</f>
        <v>540</v>
      </c>
      <c r="Z344" s="3">
        <f ca="1">IFERROR(__xludf.DUMMYFUNCTION("""COMPUTED_VALUE"""),181)</f>
        <v>181</v>
      </c>
      <c r="AA344" s="3">
        <f ca="1">IFERROR(__xludf.DUMMYFUNCTION("""COMPUTED_VALUE"""),652)</f>
        <v>652</v>
      </c>
      <c r="AB344" s="3">
        <f ca="1">IFERROR(__xludf.DUMMYFUNCTION("""COMPUTED_VALUE"""),0)</f>
        <v>0</v>
      </c>
      <c r="AC344" s="3">
        <f ca="1">IFERROR(__xludf.DUMMYFUNCTION("""COMPUTED_VALUE"""),4)</f>
        <v>4</v>
      </c>
      <c r="AD344" s="3" t="str">
        <f ca="1">IFERROR(__xludf.DUMMYFUNCTION("""COMPUTED_VALUE"""),"on time")</f>
        <v>on time</v>
      </c>
      <c r="AE344" s="3" t="str">
        <f ca="1">IFERROR(__xludf.DUMMYFUNCTION("""COMPUTED_VALUE"""),"2055-06-05T12:28:35.441961Z")</f>
        <v>2055-06-05T12:28:35.441961Z</v>
      </c>
      <c r="AF344" s="3" t="str">
        <f ca="1">IFERROR(__xludf.DUMMYFUNCTION("""COMPUTED_VALUE"""),"2055-06-05T12:39:27.029425Z")</f>
        <v>2055-06-05T12:39:27.029425Z</v>
      </c>
      <c r="AG344" s="3" t="str">
        <f ca="1">IFERROR(__xludf.DUMMYFUNCTION("""COMPUTED_VALUE"""),"2055-06-05T12:16:27.356092Z")</f>
        <v>2055-06-05T12:16:27.356092Z</v>
      </c>
      <c r="AH344" s="3" t="str">
        <f ca="1">IFERROR(__xludf.DUMMYFUNCTION("""COMPUTED_VALUE"""),"2055-06-05T12:25:34.493648Z")</f>
        <v>2055-06-05T12:25:34.493648Z</v>
      </c>
      <c r="AI344" s="3">
        <f ca="1">IFERROR(__xludf.DUMMYFUNCTION("""COMPUTED_VALUE"""),4.57)</f>
        <v>4.57</v>
      </c>
      <c r="AJ344" s="3">
        <f ca="1">IFERROR(__xludf.DUMMYFUNCTION("""COMPUTED_VALUE"""),234)</f>
        <v>234</v>
      </c>
      <c r="AK344" s="3">
        <f ca="1">IFERROR(__xludf.DUMMYFUNCTION("""COMPUTED_VALUE"""),726)</f>
        <v>726</v>
      </c>
      <c r="AL344" s="3">
        <f ca="1">IFERROR(__xludf.DUMMYFUNCTION("""COMPUTED_VALUE"""),99)</f>
        <v>99</v>
      </c>
    </row>
    <row r="345" spans="1:38" ht="13">
      <c r="A345" s="3">
        <f ca="1">IFERROR(__xludf.DUMMYFUNCTION("""COMPUTED_VALUE"""),944)</f>
        <v>944</v>
      </c>
      <c r="B345" s="3"/>
      <c r="C345" s="3">
        <f ca="1">IFERROR(__xludf.DUMMYFUNCTION("""COMPUTED_VALUE"""),4001)</f>
        <v>4001</v>
      </c>
      <c r="D345" s="3" t="str">
        <f ca="1">IFERROR(__xludf.DUMMYFUNCTION("""COMPUTED_VALUE"""),"Dashattan")</f>
        <v>Dashattan</v>
      </c>
      <c r="E345" s="3" t="str">
        <f ca="1">IFERROR(__xludf.DUMMYFUNCTION("""COMPUTED_VALUE"""),"Galaxy A")</f>
        <v>Galaxy A</v>
      </c>
      <c r="F345" s="3" t="str">
        <f ca="1">IFERROR(__xludf.DUMMYFUNCTION("""COMPUTED_VALUE"""),"Rachael")</f>
        <v>Rachael</v>
      </c>
      <c r="G345" s="3">
        <f ca="1">IFERROR(__xludf.DUMMYFUNCTION("""COMPUTED_VALUE"""),0)</f>
        <v>0</v>
      </c>
      <c r="H345" s="3" t="str">
        <f ca="1">IFERROR(__xludf.DUMMYFUNCTION("""COMPUTED_VALUE"""),"bicycle")</f>
        <v>bicycle</v>
      </c>
      <c r="I345" s="3" t="str">
        <f ca="1">IFERROR(__xludf.DUMMYFUNCTION("""COMPUTED_VALUE"""),"2055-06-08T16:29:55.847621Z")</f>
        <v>2055-06-08T16:29:55.847621Z</v>
      </c>
      <c r="J345" s="3" t="str">
        <f ca="1">IFERROR(__xludf.DUMMYFUNCTION("""COMPUTED_VALUE"""),"2055-06-08T17:07:33.935Z")</f>
        <v>2055-06-08T17:07:33.935Z</v>
      </c>
      <c r="K345" s="3" t="str">
        <f ca="1">IFERROR(__xludf.DUMMYFUNCTION("""COMPUTED_VALUE"""),"2055-06-08T17:02:26.935Z")</f>
        <v>2055-06-08T17:02:26.935Z</v>
      </c>
      <c r="L345" s="3">
        <f ca="1">IFERROR(__xludf.DUMMYFUNCTION("""COMPUTED_VALUE"""),1)</f>
        <v>1</v>
      </c>
      <c r="M345" s="3">
        <f ca="1">IFERROR(__xludf.DUMMYFUNCTION("""COMPUTED_VALUE"""),0)</f>
        <v>0</v>
      </c>
      <c r="N345" s="3" t="str">
        <f ca="1">IFERROR(__xludf.DUMMYFUNCTION("""COMPUTED_VALUE"""),"2055-06-08T17:03:52.738705Z")</f>
        <v>2055-06-08T17:03:52.738705Z</v>
      </c>
      <c r="O345" s="3" t="str">
        <f ca="1">IFERROR(__xludf.DUMMYFUNCTION("""COMPUTED_VALUE"""),"2055-06-08T20:06:59.512666Z")</f>
        <v>2055-06-08T20:06:59.512666Z</v>
      </c>
      <c r="P345" s="3" t="str">
        <f ca="1">IFERROR(__xludf.DUMMYFUNCTION("""COMPUTED_VALUE"""),"2055-06-08T16:40:15.226342Z")</f>
        <v>2055-06-08T16:40:15.226342Z</v>
      </c>
      <c r="Q345" s="3">
        <f ca="1">IFERROR(__xludf.DUMMYFUNCTION("""COMPUTED_VALUE"""),0)</f>
        <v>0</v>
      </c>
      <c r="R345" s="3" t="str">
        <f ca="1">IFERROR(__xludf.DUMMYFUNCTION("""COMPUTED_VALUE"""),"2055-06-08T16:40:28.247132Z")</f>
        <v>2055-06-08T16:40:28.247132Z</v>
      </c>
      <c r="S345" s="3" t="str">
        <f ca="1">IFERROR(__xludf.DUMMYFUNCTION("""COMPUTED_VALUE"""),"2055-06-08T17:03:55.445968Z")</f>
        <v>2055-06-08T17:03:55.445968Z</v>
      </c>
      <c r="T345" s="3"/>
      <c r="U345" s="4">
        <f ca="1">IFERROR(__xludf.DUMMYFUNCTION("""COMPUTED_VALUE"""),56773)</f>
        <v>56773</v>
      </c>
      <c r="V345" s="3">
        <f ca="1">IFERROR(__xludf.DUMMYFUNCTION("""COMPUTED_VALUE"""),4.5)</f>
        <v>4.5</v>
      </c>
      <c r="W345" s="3">
        <f ca="1">IFERROR(__xludf.DUMMYFUNCTION("""COMPUTED_VALUE"""),3000)</f>
        <v>3000</v>
      </c>
      <c r="X345" s="3">
        <f ca="1">IFERROR(__xludf.DUMMYFUNCTION("""COMPUTED_VALUE"""),12391)</f>
        <v>12391</v>
      </c>
      <c r="Y345" s="3">
        <f ca="1">IFERROR(__xludf.DUMMYFUNCTION("""COMPUTED_VALUE"""),1407)</f>
        <v>1407</v>
      </c>
      <c r="Z345" s="3"/>
      <c r="AA345" s="3">
        <f ca="1">IFERROR(__xludf.DUMMYFUNCTION("""COMPUTED_VALUE"""),10987)</f>
        <v>10987</v>
      </c>
      <c r="AB345" s="3">
        <f ca="1">IFERROR(__xludf.DUMMYFUNCTION("""COMPUTED_VALUE"""),0)</f>
        <v>0</v>
      </c>
      <c r="AC345" s="3">
        <f ca="1">IFERROR(__xludf.DUMMYFUNCTION("""COMPUTED_VALUE"""),5)</f>
        <v>5</v>
      </c>
      <c r="AD345" s="3"/>
      <c r="AE345" s="3" t="str">
        <f ca="1">IFERROR(__xludf.DUMMYFUNCTION("""COMPUTED_VALUE"""),"2055-06-08T13:03:52.738705Z")</f>
        <v>2055-06-08T13:03:52.738705Z</v>
      </c>
      <c r="AF345" s="3" t="str">
        <f ca="1">IFERROR(__xludf.DUMMYFUNCTION("""COMPUTED_VALUE"""),"2055-06-08T16:06:59.512666Z")</f>
        <v>2055-06-08T16:06:59.512666Z</v>
      </c>
      <c r="AG345" s="3" t="str">
        <f ca="1">IFERROR(__xludf.DUMMYFUNCTION("""COMPUTED_VALUE"""),"2055-06-08T12:40:15.226342Z")</f>
        <v>2055-06-08T12:40:15.226342Z</v>
      </c>
      <c r="AH345" s="3" t="str">
        <f ca="1">IFERROR(__xludf.DUMMYFUNCTION("""COMPUTED_VALUE"""),"2055-06-08T13:03:55.445968Z")</f>
        <v>2055-06-08T13:03:55.445968Z</v>
      </c>
      <c r="AI345" s="3">
        <f ca="1">IFERROR(__xludf.DUMMYFUNCTION("""COMPUTED_VALUE"""),4.47)</f>
        <v>4.47</v>
      </c>
      <c r="AJ345" s="3">
        <f ca="1">IFERROR(__xludf.DUMMYFUNCTION("""COMPUTED_VALUE"""),78)</f>
        <v>78</v>
      </c>
      <c r="AK345" s="3">
        <f ca="1">IFERROR(__xludf.DUMMYFUNCTION("""COMPUTED_VALUE"""),278)</f>
        <v>278</v>
      </c>
      <c r="AL345" s="3">
        <f ca="1">IFERROR(__xludf.DUMMYFUNCTION("""COMPUTED_VALUE"""),26)</f>
        <v>26</v>
      </c>
    </row>
    <row r="346" spans="1:38" ht="13">
      <c r="A346" s="3">
        <f ca="1">IFERROR(__xludf.DUMMYFUNCTION("""COMPUTED_VALUE"""),1559)</f>
        <v>1559</v>
      </c>
      <c r="B346" s="3">
        <f ca="1">IFERROR(__xludf.DUMMYFUNCTION("""COMPUTED_VALUE"""),5)</f>
        <v>5</v>
      </c>
      <c r="C346" s="3">
        <f ca="1">IFERROR(__xludf.DUMMYFUNCTION("""COMPUTED_VALUE"""),4001)</f>
        <v>4001</v>
      </c>
      <c r="D346" s="3" t="str">
        <f ca="1">IFERROR(__xludf.DUMMYFUNCTION("""COMPUTED_VALUE"""),"Dashattan")</f>
        <v>Dashattan</v>
      </c>
      <c r="E346" s="3" t="str">
        <f ca="1">IFERROR(__xludf.DUMMYFUNCTION("""COMPUTED_VALUE"""),"Galaxy A")</f>
        <v>Galaxy A</v>
      </c>
      <c r="F346" s="3" t="str">
        <f ca="1">IFERROR(__xludf.DUMMYFUNCTION("""COMPUTED_VALUE"""),"Mike")</f>
        <v>Mike</v>
      </c>
      <c r="G346" s="3">
        <f ca="1">IFERROR(__xludf.DUMMYFUNCTION("""COMPUTED_VALUE"""),0)</f>
        <v>0</v>
      </c>
      <c r="H346" s="3" t="str">
        <f ca="1">IFERROR(__xludf.DUMMYFUNCTION("""COMPUTED_VALUE"""),"bicycle")</f>
        <v>bicycle</v>
      </c>
      <c r="I346" s="3" t="str">
        <f ca="1">IFERROR(__xludf.DUMMYFUNCTION("""COMPUTED_VALUE"""),"2055-06-13T15:17:32.332022Z")</f>
        <v>2055-06-13T15:17:32.332022Z</v>
      </c>
      <c r="J346" s="3" t="str">
        <f ca="1">IFERROR(__xludf.DUMMYFUNCTION("""COMPUTED_VALUE"""),"2055-06-13T16:08:50.394Z")</f>
        <v>2055-06-13T16:08:50.394Z</v>
      </c>
      <c r="K346" s="3" t="str">
        <f ca="1">IFERROR(__xludf.DUMMYFUNCTION("""COMPUTED_VALUE"""),"2055-06-13T15:53:43.394Z")</f>
        <v>2055-06-13T15:53:43.394Z</v>
      </c>
      <c r="L346" s="3">
        <f ca="1">IFERROR(__xludf.DUMMYFUNCTION("""COMPUTED_VALUE"""),1)</f>
        <v>1</v>
      </c>
      <c r="M346" s="3">
        <f ca="1">IFERROR(__xludf.DUMMYFUNCTION("""COMPUTED_VALUE"""),0)</f>
        <v>0</v>
      </c>
      <c r="N346" s="3" t="str">
        <f ca="1">IFERROR(__xludf.DUMMYFUNCTION("""COMPUTED_VALUE"""),"2055-06-13T15:47:18.131123Z")</f>
        <v>2055-06-13T15:47:18.131123Z</v>
      </c>
      <c r="O346" s="3" t="str">
        <f ca="1">IFERROR(__xludf.DUMMYFUNCTION("""COMPUTED_VALUE"""),"2055-06-13T16:20:19.785734Z")</f>
        <v>2055-06-13T16:20:19.785734Z</v>
      </c>
      <c r="P346" s="3" t="str">
        <f ca="1">IFERROR(__xludf.DUMMYFUNCTION("""COMPUTED_VALUE"""),"2055-06-13T15:21:14.253368Z")</f>
        <v>2055-06-13T15:21:14.253368Z</v>
      </c>
      <c r="Q346" s="3">
        <f ca="1">IFERROR(__xludf.DUMMYFUNCTION("""COMPUTED_VALUE"""),0)</f>
        <v>0</v>
      </c>
      <c r="R346" s="3" t="str">
        <f ca="1">IFERROR(__xludf.DUMMYFUNCTION("""COMPUTED_VALUE"""),"2055-06-13T15:21:31.125989Z")</f>
        <v>2055-06-13T15:21:31.125989Z</v>
      </c>
      <c r="S346" s="3" t="str">
        <f ca="1">IFERROR(__xludf.DUMMYFUNCTION("""COMPUTED_VALUE"""),"2055-06-13T15:42:02.171838Z")</f>
        <v>2055-06-13T15:42:02.171838Z</v>
      </c>
      <c r="T346" s="3"/>
      <c r="U346" s="4">
        <f ca="1">IFERROR(__xludf.DUMMYFUNCTION("""COMPUTED_VALUE"""),56778)</f>
        <v>56778</v>
      </c>
      <c r="V346" s="3">
        <f ca="1">IFERROR(__xludf.DUMMYFUNCTION("""COMPUTED_VALUE"""),3.125244956)</f>
        <v>3.125244956</v>
      </c>
      <c r="W346" s="3">
        <f ca="1">IFERROR(__xludf.DUMMYFUNCTION("""COMPUTED_VALUE"""),3000)</f>
        <v>3000</v>
      </c>
      <c r="X346" s="3">
        <f ca="1">IFERROR(__xludf.DUMMYFUNCTION("""COMPUTED_VALUE"""),3528)</f>
        <v>3528</v>
      </c>
      <c r="Y346" s="3">
        <f ca="1">IFERROR(__xludf.DUMMYFUNCTION("""COMPUTED_VALUE"""),1231)</f>
        <v>1231</v>
      </c>
      <c r="Z346" s="3">
        <f ca="1">IFERROR(__xludf.DUMMYFUNCTION("""COMPUTED_VALUE"""),316)</f>
        <v>316</v>
      </c>
      <c r="AA346" s="3">
        <f ca="1">IFERROR(__xludf.DUMMYFUNCTION("""COMPUTED_VALUE"""),1981)</f>
        <v>1981</v>
      </c>
      <c r="AB346" s="3">
        <f ca="1">IFERROR(__xludf.DUMMYFUNCTION("""COMPUTED_VALUE"""),0)</f>
        <v>0</v>
      </c>
      <c r="AC346" s="3">
        <f ca="1">IFERROR(__xludf.DUMMYFUNCTION("""COMPUTED_VALUE"""),3)</f>
        <v>3</v>
      </c>
      <c r="AD346" s="3" t="str">
        <f ca="1">IFERROR(__xludf.DUMMYFUNCTION("""COMPUTED_VALUE"""),"late")</f>
        <v>late</v>
      </c>
      <c r="AE346" s="3" t="str">
        <f ca="1">IFERROR(__xludf.DUMMYFUNCTION("""COMPUTED_VALUE"""),"2055-06-13T11:47:18.131123Z")</f>
        <v>2055-06-13T11:47:18.131123Z</v>
      </c>
      <c r="AF346" s="3" t="str">
        <f ca="1">IFERROR(__xludf.DUMMYFUNCTION("""COMPUTED_VALUE"""),"2055-06-13T12:20:19.785734Z")</f>
        <v>2055-06-13T12:20:19.785734Z</v>
      </c>
      <c r="AG346" s="3" t="str">
        <f ca="1">IFERROR(__xludf.DUMMYFUNCTION("""COMPUTED_VALUE"""),"2055-06-13T11:21:14.253368Z")</f>
        <v>2055-06-13T11:21:14.253368Z</v>
      </c>
      <c r="AH346" s="3" t="str">
        <f ca="1">IFERROR(__xludf.DUMMYFUNCTION("""COMPUTED_VALUE"""),"2055-06-13T11:42:02.171838Z")</f>
        <v>2055-06-13T11:42:02.171838Z</v>
      </c>
      <c r="AI346" s="3">
        <f ca="1">IFERROR(__xludf.DUMMYFUNCTION("""COMPUTED_VALUE"""),4.63)</f>
        <v>4.63</v>
      </c>
      <c r="AJ346" s="3">
        <f ca="1">IFERROR(__xludf.DUMMYFUNCTION("""COMPUTED_VALUE"""),242)</f>
        <v>242</v>
      </c>
      <c r="AK346" s="3">
        <f ca="1">IFERROR(__xludf.DUMMYFUNCTION("""COMPUTED_VALUE"""),736)</f>
        <v>736</v>
      </c>
      <c r="AL346" s="3"/>
    </row>
    <row r="347" spans="1:38" ht="13">
      <c r="A347" s="3">
        <f ca="1">IFERROR(__xludf.DUMMYFUNCTION("""COMPUTED_VALUE"""),886)</f>
        <v>886</v>
      </c>
      <c r="B347" s="3"/>
      <c r="C347" s="3">
        <f ca="1">IFERROR(__xludf.DUMMYFUNCTION("""COMPUTED_VALUE"""),4050)</f>
        <v>4050</v>
      </c>
      <c r="D347" s="3" t="str">
        <f ca="1">IFERROR(__xludf.DUMMYFUNCTION("""COMPUTED_VALUE"""),"Doorlanta")</f>
        <v>Doorlanta</v>
      </c>
      <c r="E347" s="3" t="str">
        <f ca="1">IFERROR(__xludf.DUMMYFUNCTION("""COMPUTED_VALUE"""),"Galaxy A")</f>
        <v>Galaxy A</v>
      </c>
      <c r="F347" s="3" t="str">
        <f ca="1">IFERROR(__xludf.DUMMYFUNCTION("""COMPUTED_VALUE"""),"Hanna")</f>
        <v>Hanna</v>
      </c>
      <c r="G347" s="3">
        <f ca="1">IFERROR(__xludf.DUMMYFUNCTION("""COMPUTED_VALUE"""),0)</f>
        <v>0</v>
      </c>
      <c r="H347" s="3" t="str">
        <f ca="1">IFERROR(__xludf.DUMMYFUNCTION("""COMPUTED_VALUE"""),"car")</f>
        <v>car</v>
      </c>
      <c r="I347" s="3" t="str">
        <f ca="1">IFERROR(__xludf.DUMMYFUNCTION("""COMPUTED_VALUE"""),"2055-06-07T23:01:25.351329Z")</f>
        <v>2055-06-07T23:01:25.351329Z</v>
      </c>
      <c r="J347" s="3" t="str">
        <f ca="1">IFERROR(__xludf.DUMMYFUNCTION("""COMPUTED_VALUE"""),"2055-06-08T00:13:53.438Z")</f>
        <v>2055-06-08T00:13:53.438Z</v>
      </c>
      <c r="K347" s="3" t="str">
        <f ca="1">IFERROR(__xludf.DUMMYFUNCTION("""COMPUTED_VALUE"""),"2055-06-07T23:50:35.438Z")</f>
        <v>2055-06-07T23:50:35.438Z</v>
      </c>
      <c r="L347" s="3">
        <f ca="1">IFERROR(__xludf.DUMMYFUNCTION("""COMPUTED_VALUE"""),1)</f>
        <v>1</v>
      </c>
      <c r="M347" s="3">
        <f ca="1">IFERROR(__xludf.DUMMYFUNCTION("""COMPUTED_VALUE"""),0)</f>
        <v>0</v>
      </c>
      <c r="N347" s="3" t="str">
        <f ca="1">IFERROR(__xludf.DUMMYFUNCTION("""COMPUTED_VALUE"""),"2055-06-07T23:45:34.623735Z")</f>
        <v>2055-06-07T23:45:34.623735Z</v>
      </c>
      <c r="O347" s="3" t="str">
        <f ca="1">IFERROR(__xludf.DUMMYFUNCTION("""COMPUTED_VALUE"""),"2055-06-07T23:58:43.19214Z")</f>
        <v>2055-06-07T23:58:43.19214Z</v>
      </c>
      <c r="P347" s="3" t="str">
        <f ca="1">IFERROR(__xludf.DUMMYFUNCTION("""COMPUTED_VALUE"""),"2055-06-07T23:10:27.298417Z")</f>
        <v>2055-06-07T23:10:27.298417Z</v>
      </c>
      <c r="Q347" s="3">
        <f ca="1">IFERROR(__xludf.DUMMYFUNCTION("""COMPUTED_VALUE"""),0)</f>
        <v>0</v>
      </c>
      <c r="R347" s="3" t="str">
        <f ca="1">IFERROR(__xludf.DUMMYFUNCTION("""COMPUTED_VALUE"""),"2055-06-07T23:10:38.75454Z")</f>
        <v>2055-06-07T23:10:38.75454Z</v>
      </c>
      <c r="S347" s="3" t="str">
        <f ca="1">IFERROR(__xludf.DUMMYFUNCTION("""COMPUTED_VALUE"""),"2055-06-07T23:43:46.709423Z")</f>
        <v>2055-06-07T23:43:46.709423Z</v>
      </c>
      <c r="T347" s="3"/>
      <c r="U347" s="4">
        <f ca="1">IFERROR(__xludf.DUMMYFUNCTION("""COMPUTED_VALUE"""),56772)</f>
        <v>56772</v>
      </c>
      <c r="V347" s="3">
        <f ca="1">IFERROR(__xludf.DUMMYFUNCTION("""COMPUTED_VALUE"""),4.7)</f>
        <v>4.7</v>
      </c>
      <c r="W347" s="3">
        <f ca="1">IFERROR(__xludf.DUMMYFUNCTION("""COMPUTED_VALUE"""),3000)</f>
        <v>3000</v>
      </c>
      <c r="X347" s="3">
        <f ca="1">IFERROR(__xludf.DUMMYFUNCTION("""COMPUTED_VALUE"""),2885)</f>
        <v>2885</v>
      </c>
      <c r="Y347" s="3">
        <f ca="1">IFERROR(__xludf.DUMMYFUNCTION("""COMPUTED_VALUE"""),1988)</f>
        <v>1988</v>
      </c>
      <c r="Z347" s="3">
        <f ca="1">IFERROR(__xludf.DUMMYFUNCTION("""COMPUTED_VALUE"""),108)</f>
        <v>108</v>
      </c>
      <c r="AA347" s="3">
        <f ca="1">IFERROR(__xludf.DUMMYFUNCTION("""COMPUTED_VALUE"""),789)</f>
        <v>789</v>
      </c>
      <c r="AB347" s="3">
        <f ca="1">IFERROR(__xludf.DUMMYFUNCTION("""COMPUTED_VALUE"""),0)</f>
        <v>0</v>
      </c>
      <c r="AC347" s="3">
        <f ca="1">IFERROR(__xludf.DUMMYFUNCTION("""COMPUTED_VALUE"""),2)</f>
        <v>2</v>
      </c>
      <c r="AD347" s="3" t="str">
        <f ca="1">IFERROR(__xludf.DUMMYFUNCTION("""COMPUTED_VALUE"""),"late")</f>
        <v>late</v>
      </c>
      <c r="AE347" s="3" t="str">
        <f ca="1">IFERROR(__xludf.DUMMYFUNCTION("""COMPUTED_VALUE"""),"2055-06-07T19:45:34.623735Z")</f>
        <v>2055-06-07T19:45:34.623735Z</v>
      </c>
      <c r="AF347" s="3" t="str">
        <f ca="1">IFERROR(__xludf.DUMMYFUNCTION("""COMPUTED_VALUE"""),"2055-06-07T19:58:43.19214Z")</f>
        <v>2055-06-07T19:58:43.19214Z</v>
      </c>
      <c r="AG347" s="3" t="str">
        <f ca="1">IFERROR(__xludf.DUMMYFUNCTION("""COMPUTED_VALUE"""),"2055-06-07T19:10:27.298417Z")</f>
        <v>2055-06-07T19:10:27.298417Z</v>
      </c>
      <c r="AH347" s="3" t="str">
        <f ca="1">IFERROR(__xludf.DUMMYFUNCTION("""COMPUTED_VALUE"""),"2055-06-07T19:43:46.709423Z")</f>
        <v>2055-06-07T19:43:46.709423Z</v>
      </c>
      <c r="AI347" s="3">
        <f ca="1">IFERROR(__xludf.DUMMYFUNCTION("""COMPUTED_VALUE"""),4.79)</f>
        <v>4.79</v>
      </c>
      <c r="AJ347" s="3">
        <f ca="1">IFERROR(__xludf.DUMMYFUNCTION("""COMPUTED_VALUE"""),1007)</f>
        <v>1007</v>
      </c>
      <c r="AK347" s="3">
        <f ca="1">IFERROR(__xludf.DUMMYFUNCTION("""COMPUTED_VALUE"""),2899)</f>
        <v>2899</v>
      </c>
      <c r="AL347" s="3">
        <f ca="1">IFERROR(__xludf.DUMMYFUNCTION("""COMPUTED_VALUE"""),1301)</f>
        <v>1301</v>
      </c>
    </row>
    <row r="348" spans="1:38" ht="13">
      <c r="A348" s="3">
        <f ca="1">IFERROR(__xludf.DUMMYFUNCTION("""COMPUTED_VALUE"""),763)</f>
        <v>763</v>
      </c>
      <c r="B348" s="3">
        <f ca="1">IFERROR(__xludf.DUMMYFUNCTION("""COMPUTED_VALUE"""),5)</f>
        <v>5</v>
      </c>
      <c r="C348" s="3">
        <f ca="1">IFERROR(__xludf.DUMMYFUNCTION("""COMPUTED_VALUE"""),4050)</f>
        <v>4050</v>
      </c>
      <c r="D348" s="3" t="str">
        <f ca="1">IFERROR(__xludf.DUMMYFUNCTION("""COMPUTED_VALUE"""),"Doorlanta")</f>
        <v>Doorlanta</v>
      </c>
      <c r="E348" s="3" t="str">
        <f ca="1">IFERROR(__xludf.DUMMYFUNCTION("""COMPUTED_VALUE"""),"Galaxy A")</f>
        <v>Galaxy A</v>
      </c>
      <c r="F348" s="3" t="str">
        <f ca="1">IFERROR(__xludf.DUMMYFUNCTION("""COMPUTED_VALUE"""),"Hersh")</f>
        <v>Hersh</v>
      </c>
      <c r="G348" s="3">
        <f ca="1">IFERROR(__xludf.DUMMYFUNCTION("""COMPUTED_VALUE"""),0)</f>
        <v>0</v>
      </c>
      <c r="H348" s="3" t="str">
        <f ca="1">IFERROR(__xludf.DUMMYFUNCTION("""COMPUTED_VALUE"""),"car")</f>
        <v>car</v>
      </c>
      <c r="I348" s="3" t="str">
        <f ca="1">IFERROR(__xludf.DUMMYFUNCTION("""COMPUTED_VALUE"""),"2055-06-06T20:49:22.056881Z")</f>
        <v>2055-06-06T20:49:22.056881Z</v>
      </c>
      <c r="J348" s="3" t="str">
        <f ca="1">IFERROR(__xludf.DUMMYFUNCTION("""COMPUTED_VALUE"""),"2055-06-06T21:34:22.116Z")</f>
        <v>2055-06-06T21:34:22.116Z</v>
      </c>
      <c r="K348" s="3" t="str">
        <f ca="1">IFERROR(__xludf.DUMMYFUNCTION("""COMPUTED_VALUE"""),"2055-06-06T21:15:26.116Z")</f>
        <v>2055-06-06T21:15:26.116Z</v>
      </c>
      <c r="L348" s="3">
        <f ca="1">IFERROR(__xludf.DUMMYFUNCTION("""COMPUTED_VALUE"""),1)</f>
        <v>1</v>
      </c>
      <c r="M348" s="3">
        <f ca="1">IFERROR(__xludf.DUMMYFUNCTION("""COMPUTED_VALUE"""),0)</f>
        <v>0</v>
      </c>
      <c r="N348" s="3" t="str">
        <f ca="1">IFERROR(__xludf.DUMMYFUNCTION("""COMPUTED_VALUE"""),"2055-06-06T21:24:02.692103Z")</f>
        <v>2055-06-06T21:24:02.692103Z</v>
      </c>
      <c r="O348" s="3" t="str">
        <f ca="1">IFERROR(__xludf.DUMMYFUNCTION("""COMPUTED_VALUE"""),"2055-06-06T21:42:23.006018Z")</f>
        <v>2055-06-06T21:42:23.006018Z</v>
      </c>
      <c r="P348" s="3" t="str">
        <f ca="1">IFERROR(__xludf.DUMMYFUNCTION("""COMPUTED_VALUE"""),"2055-06-06T20:49:27.297561Z")</f>
        <v>2055-06-06T20:49:27.297561Z</v>
      </c>
      <c r="Q348" s="3">
        <f ca="1">IFERROR(__xludf.DUMMYFUNCTION("""COMPUTED_VALUE"""),0)</f>
        <v>0</v>
      </c>
      <c r="R348" s="3" t="str">
        <f ca="1">IFERROR(__xludf.DUMMYFUNCTION("""COMPUTED_VALUE"""),"2055-06-06T20:49:39.612322Z")</f>
        <v>2055-06-06T20:49:39.612322Z</v>
      </c>
      <c r="S348" s="3" t="str">
        <f ca="1">IFERROR(__xludf.DUMMYFUNCTION("""COMPUTED_VALUE"""),"2055-06-06T21:00:28.316379Z")</f>
        <v>2055-06-06T21:00:28.316379Z</v>
      </c>
      <c r="T348" s="3"/>
      <c r="U348" s="4">
        <f ca="1">IFERROR(__xludf.DUMMYFUNCTION("""COMPUTED_VALUE"""),56771)</f>
        <v>56771</v>
      </c>
      <c r="V348" s="3">
        <f ca="1">IFERROR(__xludf.DUMMYFUNCTION("""COMPUTED_VALUE"""),4.7)</f>
        <v>4.7</v>
      </c>
      <c r="W348" s="3">
        <f ca="1">IFERROR(__xludf.DUMMYFUNCTION("""COMPUTED_VALUE"""),3000)</f>
        <v>3000</v>
      </c>
      <c r="X348" s="3">
        <f ca="1">IFERROR(__xludf.DUMMYFUNCTION("""COMPUTED_VALUE"""),3164)</f>
        <v>3164</v>
      </c>
      <c r="Y348" s="3">
        <f ca="1">IFERROR(__xludf.DUMMYFUNCTION("""COMPUTED_VALUE"""),649)</f>
        <v>649</v>
      </c>
      <c r="Z348" s="3">
        <f ca="1">IFERROR(__xludf.DUMMYFUNCTION("""COMPUTED_VALUE"""),1414)</f>
        <v>1414</v>
      </c>
      <c r="AA348" s="3">
        <f ca="1">IFERROR(__xludf.DUMMYFUNCTION("""COMPUTED_VALUE"""),1101)</f>
        <v>1101</v>
      </c>
      <c r="AB348" s="3">
        <f ca="1">IFERROR(__xludf.DUMMYFUNCTION("""COMPUTED_VALUE"""),0)</f>
        <v>0</v>
      </c>
      <c r="AC348" s="3">
        <f ca="1">IFERROR(__xludf.DUMMYFUNCTION("""COMPUTED_VALUE"""),2)</f>
        <v>2</v>
      </c>
      <c r="AD348" s="3" t="str">
        <f ca="1">IFERROR(__xludf.DUMMYFUNCTION("""COMPUTED_VALUE"""),"on time")</f>
        <v>on time</v>
      </c>
      <c r="AE348" s="3" t="str">
        <f ca="1">IFERROR(__xludf.DUMMYFUNCTION("""COMPUTED_VALUE"""),"2055-06-06T17:24:02.692103Z")</f>
        <v>2055-06-06T17:24:02.692103Z</v>
      </c>
      <c r="AF348" s="3" t="str">
        <f ca="1">IFERROR(__xludf.DUMMYFUNCTION("""COMPUTED_VALUE"""),"2055-06-06T17:42:23.006018Z")</f>
        <v>2055-06-06T17:42:23.006018Z</v>
      </c>
      <c r="AG348" s="3" t="str">
        <f ca="1">IFERROR(__xludf.DUMMYFUNCTION("""COMPUTED_VALUE"""),"2055-06-06T16:49:27.297561Z")</f>
        <v>2055-06-06T16:49:27.297561Z</v>
      </c>
      <c r="AH348" s="3" t="str">
        <f ca="1">IFERROR(__xludf.DUMMYFUNCTION("""COMPUTED_VALUE"""),"2055-06-06T17:00:28.316379Z")</f>
        <v>2055-06-06T17:00:28.316379Z</v>
      </c>
      <c r="AI348" s="3">
        <f ca="1">IFERROR(__xludf.DUMMYFUNCTION("""COMPUTED_VALUE"""),4.7)</f>
        <v>4.7</v>
      </c>
      <c r="AJ348" s="3">
        <f ca="1">IFERROR(__xludf.DUMMYFUNCTION("""COMPUTED_VALUE"""),212)</f>
        <v>212</v>
      </c>
      <c r="AK348" s="3">
        <f ca="1">IFERROR(__xludf.DUMMYFUNCTION("""COMPUTED_VALUE"""),624)</f>
        <v>624</v>
      </c>
      <c r="AL348" s="3">
        <f ca="1">IFERROR(__xludf.DUMMYFUNCTION("""COMPUTED_VALUE"""),347)</f>
        <v>347</v>
      </c>
    </row>
    <row r="349" spans="1:38" ht="13">
      <c r="A349" s="3">
        <f ca="1">IFERROR(__xludf.DUMMYFUNCTION("""COMPUTED_VALUE"""),620)</f>
        <v>620</v>
      </c>
      <c r="B349" s="3">
        <f ca="1">IFERROR(__xludf.DUMMYFUNCTION("""COMPUTED_VALUE"""),5)</f>
        <v>5</v>
      </c>
      <c r="C349" s="3">
        <f ca="1">IFERROR(__xludf.DUMMYFUNCTION("""COMPUTED_VALUE"""),4050)</f>
        <v>4050</v>
      </c>
      <c r="D349" s="3" t="str">
        <f ca="1">IFERROR(__xludf.DUMMYFUNCTION("""COMPUTED_VALUE"""),"Doorlanta")</f>
        <v>Doorlanta</v>
      </c>
      <c r="E349" s="3" t="str">
        <f ca="1">IFERROR(__xludf.DUMMYFUNCTION("""COMPUTED_VALUE"""),"Galaxy A")</f>
        <v>Galaxy A</v>
      </c>
      <c r="F349" s="3" t="str">
        <f ca="1">IFERROR(__xludf.DUMMYFUNCTION("""COMPUTED_VALUE"""),"Benn")</f>
        <v>Benn</v>
      </c>
      <c r="G349" s="3">
        <f ca="1">IFERROR(__xludf.DUMMYFUNCTION("""COMPUTED_VALUE"""),0)</f>
        <v>0</v>
      </c>
      <c r="H349" s="3" t="str">
        <f ca="1">IFERROR(__xludf.DUMMYFUNCTION("""COMPUTED_VALUE"""),"car")</f>
        <v>car</v>
      </c>
      <c r="I349" s="3" t="str">
        <f ca="1">IFERROR(__xludf.DUMMYFUNCTION("""COMPUTED_VALUE"""),"2055-06-05T21:09:40.857981Z")</f>
        <v>2055-06-05T21:09:40.857981Z</v>
      </c>
      <c r="J349" s="3" t="str">
        <f ca="1">IFERROR(__xludf.DUMMYFUNCTION("""COMPUTED_VALUE"""),"2055-06-05T22:04:41.05Z")</f>
        <v>2055-06-05T22:04:41.05Z</v>
      </c>
      <c r="K349" s="3" t="str">
        <f ca="1">IFERROR(__xludf.DUMMYFUNCTION("""COMPUTED_VALUE"""),"2055-06-05T21:39:07.05Z")</f>
        <v>2055-06-05T21:39:07.05Z</v>
      </c>
      <c r="L349" s="3">
        <f ca="1">IFERROR(__xludf.DUMMYFUNCTION("""COMPUTED_VALUE"""),1)</f>
        <v>1</v>
      </c>
      <c r="M349" s="3">
        <f ca="1">IFERROR(__xludf.DUMMYFUNCTION("""COMPUTED_VALUE"""),0)</f>
        <v>0</v>
      </c>
      <c r="N349" s="3" t="str">
        <f ca="1">IFERROR(__xludf.DUMMYFUNCTION("""COMPUTED_VALUE"""),"2055-06-05T21:25:40.92229Z")</f>
        <v>2055-06-05T21:25:40.92229Z</v>
      </c>
      <c r="O349" s="3" t="str">
        <f ca="1">IFERROR(__xludf.DUMMYFUNCTION("""COMPUTED_VALUE"""),"2055-06-05T21:32:41.968334Z")</f>
        <v>2055-06-05T21:32:41.968334Z</v>
      </c>
      <c r="P349" s="3" t="str">
        <f ca="1">IFERROR(__xludf.DUMMYFUNCTION("""COMPUTED_VALUE"""),"2055-06-05T21:09:47.363879Z")</f>
        <v>2055-06-05T21:09:47.363879Z</v>
      </c>
      <c r="Q349" s="3">
        <f ca="1">IFERROR(__xludf.DUMMYFUNCTION("""COMPUTED_VALUE"""),0)</f>
        <v>0</v>
      </c>
      <c r="R349" s="3" t="str">
        <f ca="1">IFERROR(__xludf.DUMMYFUNCTION("""COMPUTED_VALUE"""),"2055-06-05T21:10:12.890124Z")</f>
        <v>2055-06-05T21:10:12.890124Z</v>
      </c>
      <c r="S349" s="3" t="str">
        <f ca="1">IFERROR(__xludf.DUMMYFUNCTION("""COMPUTED_VALUE"""),"2055-06-05T21:12:03.863509Z")</f>
        <v>2055-06-05T21:12:03.863509Z</v>
      </c>
      <c r="T349" s="3"/>
      <c r="U349" s="4">
        <f ca="1">IFERROR(__xludf.DUMMYFUNCTION("""COMPUTED_VALUE"""),56770)</f>
        <v>56770</v>
      </c>
      <c r="V349" s="3">
        <f ca="1">IFERROR(__xludf.DUMMYFUNCTION("""COMPUTED_VALUE"""),4.8)</f>
        <v>4.8</v>
      </c>
      <c r="W349" s="3">
        <f ca="1">IFERROR(__xludf.DUMMYFUNCTION("""COMPUTED_VALUE"""),3000)</f>
        <v>3000</v>
      </c>
      <c r="X349" s="3">
        <f ca="1">IFERROR(__xludf.DUMMYFUNCTION("""COMPUTED_VALUE"""),1349)</f>
        <v>1349</v>
      </c>
      <c r="Y349" s="3">
        <f ca="1">IFERROR(__xludf.DUMMYFUNCTION("""COMPUTED_VALUE"""),111)</f>
        <v>111</v>
      </c>
      <c r="Z349" s="3">
        <f ca="1">IFERROR(__xludf.DUMMYFUNCTION("""COMPUTED_VALUE"""),817)</f>
        <v>817</v>
      </c>
      <c r="AA349" s="3">
        <f ca="1">IFERROR(__xludf.DUMMYFUNCTION("""COMPUTED_VALUE"""),421)</f>
        <v>421</v>
      </c>
      <c r="AB349" s="3">
        <f ca="1">IFERROR(__xludf.DUMMYFUNCTION("""COMPUTED_VALUE"""),0)</f>
        <v>0</v>
      </c>
      <c r="AC349" s="3">
        <f ca="1">IFERROR(__xludf.DUMMYFUNCTION("""COMPUTED_VALUE"""),4)</f>
        <v>4</v>
      </c>
      <c r="AD349" s="3" t="str">
        <f ca="1">IFERROR(__xludf.DUMMYFUNCTION("""COMPUTED_VALUE"""),"early")</f>
        <v>early</v>
      </c>
      <c r="AE349" s="3" t="str">
        <f ca="1">IFERROR(__xludf.DUMMYFUNCTION("""COMPUTED_VALUE"""),"2055-06-05T17:25:40.92229Z")</f>
        <v>2055-06-05T17:25:40.92229Z</v>
      </c>
      <c r="AF349" s="3" t="str">
        <f ca="1">IFERROR(__xludf.DUMMYFUNCTION("""COMPUTED_VALUE"""),"2055-06-05T17:32:41.968334Z")</f>
        <v>2055-06-05T17:32:41.968334Z</v>
      </c>
      <c r="AG349" s="3" t="str">
        <f ca="1">IFERROR(__xludf.DUMMYFUNCTION("""COMPUTED_VALUE"""),"2055-06-05T17:09:47.363879Z")</f>
        <v>2055-06-05T17:09:47.363879Z</v>
      </c>
      <c r="AH349" s="3" t="str">
        <f ca="1">IFERROR(__xludf.DUMMYFUNCTION("""COMPUTED_VALUE"""),"2055-06-05T17:12:03.863509Z")</f>
        <v>2055-06-05T17:12:03.863509Z</v>
      </c>
      <c r="AI349" s="3">
        <f ca="1">IFERROR(__xludf.DUMMYFUNCTION("""COMPUTED_VALUE"""),4.63)</f>
        <v>4.63</v>
      </c>
      <c r="AJ349" s="3">
        <f ca="1">IFERROR(__xludf.DUMMYFUNCTION("""COMPUTED_VALUE"""),241)</f>
        <v>241</v>
      </c>
      <c r="AK349" s="3">
        <f ca="1">IFERROR(__xludf.DUMMYFUNCTION("""COMPUTED_VALUE"""),995)</f>
        <v>995</v>
      </c>
      <c r="AL349" s="3">
        <f ca="1">IFERROR(__xludf.DUMMYFUNCTION("""COMPUTED_VALUE"""),626)</f>
        <v>626</v>
      </c>
    </row>
    <row r="350" spans="1:38" ht="13">
      <c r="A350" s="3">
        <f ca="1">IFERROR(__xludf.DUMMYFUNCTION("""COMPUTED_VALUE"""),488)</f>
        <v>488</v>
      </c>
      <c r="B350" s="3">
        <f ca="1">IFERROR(__xludf.DUMMYFUNCTION("""COMPUTED_VALUE"""),5)</f>
        <v>5</v>
      </c>
      <c r="C350" s="3">
        <f ca="1">IFERROR(__xludf.DUMMYFUNCTION("""COMPUTED_VALUE"""),4050)</f>
        <v>4050</v>
      </c>
      <c r="D350" s="3" t="str">
        <f ca="1">IFERROR(__xludf.DUMMYFUNCTION("""COMPUTED_VALUE"""),"Doorlanta")</f>
        <v>Doorlanta</v>
      </c>
      <c r="E350" s="3" t="str">
        <f ca="1">IFERROR(__xludf.DUMMYFUNCTION("""COMPUTED_VALUE"""),"Galaxy A")</f>
        <v>Galaxy A</v>
      </c>
      <c r="F350" s="3" t="str">
        <f ca="1">IFERROR(__xludf.DUMMYFUNCTION("""COMPUTED_VALUE"""),"Matthew")</f>
        <v>Matthew</v>
      </c>
      <c r="G350" s="3">
        <f ca="1">IFERROR(__xludf.DUMMYFUNCTION("""COMPUTED_VALUE"""),0)</f>
        <v>0</v>
      </c>
      <c r="H350" s="3" t="str">
        <f ca="1">IFERROR(__xludf.DUMMYFUNCTION("""COMPUTED_VALUE"""),"car")</f>
        <v>car</v>
      </c>
      <c r="I350" s="3" t="str">
        <f ca="1">IFERROR(__xludf.DUMMYFUNCTION("""COMPUTED_VALUE"""),"2055-06-04T23:26:41.942129Z")</f>
        <v>2055-06-04T23:26:41.942129Z</v>
      </c>
      <c r="J350" s="3" t="str">
        <f ca="1">IFERROR(__xludf.DUMMYFUNCTION("""COMPUTED_VALUE"""),"2055-06-05T00:23:33.998Z")</f>
        <v>2055-06-05T00:23:33.998Z</v>
      </c>
      <c r="K350" s="3" t="str">
        <f ca="1">IFERROR(__xludf.DUMMYFUNCTION("""COMPUTED_VALUE"""),"2055-06-05T00:03:54.998Z")</f>
        <v>2055-06-05T00:03:54.998Z</v>
      </c>
      <c r="L350" s="3">
        <f ca="1">IFERROR(__xludf.DUMMYFUNCTION("""COMPUTED_VALUE"""),1)</f>
        <v>1</v>
      </c>
      <c r="M350" s="3">
        <f ca="1">IFERROR(__xludf.DUMMYFUNCTION("""COMPUTED_VALUE"""),0)</f>
        <v>0</v>
      </c>
      <c r="N350" s="3" t="str">
        <f ca="1">IFERROR(__xludf.DUMMYFUNCTION("""COMPUTED_VALUE"""),"2055-06-04T23:58:15.937199Z")</f>
        <v>2055-06-04T23:58:15.937199Z</v>
      </c>
      <c r="O350" s="3" t="str">
        <f ca="1">IFERROR(__xludf.DUMMYFUNCTION("""COMPUTED_VALUE"""),"2055-06-05T00:16:42.572781Z")</f>
        <v>2055-06-05T00:16:42.572781Z</v>
      </c>
      <c r="P350" s="3" t="str">
        <f ca="1">IFERROR(__xludf.DUMMYFUNCTION("""COMPUTED_VALUE"""),"2055-06-04T23:27:47.361877Z")</f>
        <v>2055-06-04T23:27:47.361877Z</v>
      </c>
      <c r="Q350" s="3">
        <f ca="1">IFERROR(__xludf.DUMMYFUNCTION("""COMPUTED_VALUE"""),0)</f>
        <v>0</v>
      </c>
      <c r="R350" s="3" t="str">
        <f ca="1">IFERROR(__xludf.DUMMYFUNCTION("""COMPUTED_VALUE"""),"2055-06-04T23:28:45.761631Z")</f>
        <v>2055-06-04T23:28:45.761631Z</v>
      </c>
      <c r="S350" s="3"/>
      <c r="T350" s="3"/>
      <c r="U350" s="4">
        <f ca="1">IFERROR(__xludf.DUMMYFUNCTION("""COMPUTED_VALUE"""),56769)</f>
        <v>56769</v>
      </c>
      <c r="V350" s="3">
        <f ca="1">IFERROR(__xludf.DUMMYFUNCTION("""COMPUTED_VALUE"""),4.6)</f>
        <v>4.5999999999999996</v>
      </c>
      <c r="W350" s="3">
        <f ca="1">IFERROR(__xludf.DUMMYFUNCTION("""COMPUTED_VALUE"""),3000)</f>
        <v>3000</v>
      </c>
      <c r="X350" s="3">
        <f ca="1">IFERROR(__xludf.DUMMYFUNCTION("""COMPUTED_VALUE"""),2877)</f>
        <v>2877</v>
      </c>
      <c r="Y350" s="3"/>
      <c r="Z350" s="3"/>
      <c r="AA350" s="3">
        <f ca="1">IFERROR(__xludf.DUMMYFUNCTION("""COMPUTED_VALUE"""),1107)</f>
        <v>1107</v>
      </c>
      <c r="AB350" s="3">
        <f ca="1">IFERROR(__xludf.DUMMYFUNCTION("""COMPUTED_VALUE"""),0)</f>
        <v>0</v>
      </c>
      <c r="AC350" s="3">
        <f ca="1">IFERROR(__xludf.DUMMYFUNCTION("""COMPUTED_VALUE"""),6)</f>
        <v>6</v>
      </c>
      <c r="AD350" s="3"/>
      <c r="AE350" s="3" t="str">
        <f ca="1">IFERROR(__xludf.DUMMYFUNCTION("""COMPUTED_VALUE"""),"2055-06-04T19:58:15.937199Z")</f>
        <v>2055-06-04T19:58:15.937199Z</v>
      </c>
      <c r="AF350" s="3" t="str">
        <f ca="1">IFERROR(__xludf.DUMMYFUNCTION("""COMPUTED_VALUE"""),"2055-06-04T20:16:42.572781Z")</f>
        <v>2055-06-04T20:16:42.572781Z</v>
      </c>
      <c r="AG350" s="3" t="str">
        <f ca="1">IFERROR(__xludf.DUMMYFUNCTION("""COMPUTED_VALUE"""),"2055-06-04T19:27:47.361877Z")</f>
        <v>2055-06-04T19:27:47.361877Z</v>
      </c>
      <c r="AH350" s="3"/>
      <c r="AI350" s="3">
        <f ca="1">IFERROR(__xludf.DUMMYFUNCTION("""COMPUTED_VALUE"""),4.411111111)</f>
        <v>4.4111111110000003</v>
      </c>
      <c r="AJ350" s="3">
        <f ca="1">IFERROR(__xludf.DUMMYFUNCTION("""COMPUTED_VALUE"""),68)</f>
        <v>68</v>
      </c>
      <c r="AK350" s="3">
        <f ca="1">IFERROR(__xludf.DUMMYFUNCTION("""COMPUTED_VALUE"""),223)</f>
        <v>223</v>
      </c>
      <c r="AL350" s="3">
        <f ca="1">IFERROR(__xludf.DUMMYFUNCTION("""COMPUTED_VALUE"""),118)</f>
        <v>118</v>
      </c>
    </row>
    <row r="351" spans="1:38" ht="13">
      <c r="A351" s="3">
        <f ca="1">IFERROR(__xludf.DUMMYFUNCTION("""COMPUTED_VALUE"""),43)</f>
        <v>43</v>
      </c>
      <c r="B351" s="3"/>
      <c r="C351" s="3">
        <f ca="1">IFERROR(__xludf.DUMMYFUNCTION("""COMPUTED_VALUE"""),4001)</f>
        <v>4001</v>
      </c>
      <c r="D351" s="3" t="str">
        <f ca="1">IFERROR(__xludf.DUMMYFUNCTION("""COMPUTED_VALUE"""),"Dashattan")</f>
        <v>Dashattan</v>
      </c>
      <c r="E351" s="3" t="str">
        <f ca="1">IFERROR(__xludf.DUMMYFUNCTION("""COMPUTED_VALUE"""),"Galaxy A")</f>
        <v>Galaxy A</v>
      </c>
      <c r="F351" s="3" t="str">
        <f ca="1">IFERROR(__xludf.DUMMYFUNCTION("""COMPUTED_VALUE"""),"Ron")</f>
        <v>Ron</v>
      </c>
      <c r="G351" s="3">
        <f ca="1">IFERROR(__xludf.DUMMYFUNCTION("""COMPUTED_VALUE"""),0)</f>
        <v>0</v>
      </c>
      <c r="H351" s="3" t="str">
        <f ca="1">IFERROR(__xludf.DUMMYFUNCTION("""COMPUTED_VALUE"""),"bicycle")</f>
        <v>bicycle</v>
      </c>
      <c r="I351" s="3" t="str">
        <f ca="1">IFERROR(__xludf.DUMMYFUNCTION("""COMPUTED_VALUE"""),"2055-06-01T21:28:28.414995Z")</f>
        <v>2055-06-01T21:28:28.414995Z</v>
      </c>
      <c r="J351" s="3" t="str">
        <f ca="1">IFERROR(__xludf.DUMMYFUNCTION("""COMPUTED_VALUE"""),"2055-06-01T22:28:53.484Z")</f>
        <v>2055-06-01T22:28:53.484Z</v>
      </c>
      <c r="K351" s="3" t="str">
        <f ca="1">IFERROR(__xludf.DUMMYFUNCTION("""COMPUTED_VALUE"""),"2055-06-01T22:15:00.484Z")</f>
        <v>2055-06-01T22:15:00.484Z</v>
      </c>
      <c r="L351" s="3">
        <f ca="1">IFERROR(__xludf.DUMMYFUNCTION("""COMPUTED_VALUE"""),1)</f>
        <v>1</v>
      </c>
      <c r="M351" s="3">
        <f ca="1">IFERROR(__xludf.DUMMYFUNCTION("""COMPUTED_VALUE"""),0)</f>
        <v>0</v>
      </c>
      <c r="N351" s="3" t="str">
        <f ca="1">IFERROR(__xludf.DUMMYFUNCTION("""COMPUTED_VALUE"""),"2055-06-01T22:01:28.740935Z")</f>
        <v>2055-06-01T22:01:28.740935Z</v>
      </c>
      <c r="O351" s="3" t="str">
        <f ca="1">IFERROR(__xludf.DUMMYFUNCTION("""COMPUTED_VALUE"""),"2055-06-01T22:21:44.189111Z")</f>
        <v>2055-06-01T22:21:44.189111Z</v>
      </c>
      <c r="P351" s="3" t="str">
        <f ca="1">IFERROR(__xludf.DUMMYFUNCTION("""COMPUTED_VALUE"""),"2055-06-01T21:31:14.20834Z")</f>
        <v>2055-06-01T21:31:14.20834Z</v>
      </c>
      <c r="Q351" s="3">
        <f ca="1">IFERROR(__xludf.DUMMYFUNCTION("""COMPUTED_VALUE"""),0)</f>
        <v>0</v>
      </c>
      <c r="R351" s="3" t="str">
        <f ca="1">IFERROR(__xludf.DUMMYFUNCTION("""COMPUTED_VALUE"""),"2055-06-01T21:31:20.343366Z")</f>
        <v>2055-06-01T21:31:20.343366Z</v>
      </c>
      <c r="S351" s="3" t="str">
        <f ca="1">IFERROR(__xludf.DUMMYFUNCTION("""COMPUTED_VALUE"""),"2055-06-01T21:47:24.75223Z")</f>
        <v>2055-06-01T21:47:24.75223Z</v>
      </c>
      <c r="T351" s="3"/>
      <c r="U351" s="4">
        <f ca="1">IFERROR(__xludf.DUMMYFUNCTION("""COMPUTED_VALUE"""),56766)</f>
        <v>56766</v>
      </c>
      <c r="V351" s="3">
        <f ca="1">IFERROR(__xludf.DUMMYFUNCTION("""COMPUTED_VALUE"""),4.5)</f>
        <v>4.5</v>
      </c>
      <c r="W351" s="3">
        <f ca="1">IFERROR(__xludf.DUMMYFUNCTION("""COMPUTED_VALUE"""),3000)</f>
        <v>3000</v>
      </c>
      <c r="X351" s="3">
        <f ca="1">IFERROR(__xludf.DUMMYFUNCTION("""COMPUTED_VALUE"""),3024)</f>
        <v>3024</v>
      </c>
      <c r="Y351" s="3">
        <f ca="1">IFERROR(__xludf.DUMMYFUNCTION("""COMPUTED_VALUE"""),964)</f>
        <v>964</v>
      </c>
      <c r="Z351" s="3">
        <f ca="1">IFERROR(__xludf.DUMMYFUNCTION("""COMPUTED_VALUE"""),844)</f>
        <v>844</v>
      </c>
      <c r="AA351" s="3">
        <f ca="1">IFERROR(__xludf.DUMMYFUNCTION("""COMPUTED_VALUE"""),1216)</f>
        <v>1216</v>
      </c>
      <c r="AB351" s="3">
        <f ca="1">IFERROR(__xludf.DUMMYFUNCTION("""COMPUTED_VALUE"""),0)</f>
        <v>0</v>
      </c>
      <c r="AC351" s="3">
        <f ca="1">IFERROR(__xludf.DUMMYFUNCTION("""COMPUTED_VALUE"""),3)</f>
        <v>3</v>
      </c>
      <c r="AD351" s="3" t="str">
        <f ca="1">IFERROR(__xludf.DUMMYFUNCTION("""COMPUTED_VALUE"""),"early")</f>
        <v>early</v>
      </c>
      <c r="AE351" s="3" t="str">
        <f ca="1">IFERROR(__xludf.DUMMYFUNCTION("""COMPUTED_VALUE"""),"2055-06-01T18:01:28.740935Z")</f>
        <v>2055-06-01T18:01:28.740935Z</v>
      </c>
      <c r="AF351" s="3" t="str">
        <f ca="1">IFERROR(__xludf.DUMMYFUNCTION("""COMPUTED_VALUE"""),"2055-06-01T18:21:44.189111Z")</f>
        <v>2055-06-01T18:21:44.189111Z</v>
      </c>
      <c r="AG351" s="3" t="str">
        <f ca="1">IFERROR(__xludf.DUMMYFUNCTION("""COMPUTED_VALUE"""),"2055-06-01T17:31:14.20834Z")</f>
        <v>2055-06-01T17:31:14.20834Z</v>
      </c>
      <c r="AH351" s="3" t="str">
        <f ca="1">IFERROR(__xludf.DUMMYFUNCTION("""COMPUTED_VALUE"""),"2055-06-01T17:47:24.75223Z")</f>
        <v>2055-06-01T17:47:24.75223Z</v>
      </c>
      <c r="AI351" s="3">
        <f ca="1">IFERROR(__xludf.DUMMYFUNCTION("""COMPUTED_VALUE"""),4.56)</f>
        <v>4.5599999999999996</v>
      </c>
      <c r="AJ351" s="3">
        <f ca="1">IFERROR(__xludf.DUMMYFUNCTION("""COMPUTED_VALUE"""),765)</f>
        <v>765</v>
      </c>
      <c r="AK351" s="3">
        <f ca="1">IFERROR(__xludf.DUMMYFUNCTION("""COMPUTED_VALUE"""),2618)</f>
        <v>2618</v>
      </c>
      <c r="AL351" s="3"/>
    </row>
    <row r="352" spans="1:38" ht="13">
      <c r="A352" s="3">
        <f ca="1">IFERROR(__xludf.DUMMYFUNCTION("""COMPUTED_VALUE"""),348)</f>
        <v>348</v>
      </c>
      <c r="B352" s="3"/>
      <c r="C352" s="3">
        <f ca="1">IFERROR(__xludf.DUMMYFUNCTION("""COMPUTED_VALUE"""),4050)</f>
        <v>4050</v>
      </c>
      <c r="D352" s="3" t="str">
        <f ca="1">IFERROR(__xludf.DUMMYFUNCTION("""COMPUTED_VALUE"""),"Doorlanta")</f>
        <v>Doorlanta</v>
      </c>
      <c r="E352" s="3" t="str">
        <f ca="1">IFERROR(__xludf.DUMMYFUNCTION("""COMPUTED_VALUE"""),"Galaxy A")</f>
        <v>Galaxy A</v>
      </c>
      <c r="F352" s="3" t="str">
        <f ca="1">IFERROR(__xludf.DUMMYFUNCTION("""COMPUTED_VALUE"""),"Elon")</f>
        <v>Elon</v>
      </c>
      <c r="G352" s="3">
        <f ca="1">IFERROR(__xludf.DUMMYFUNCTION("""COMPUTED_VALUE"""),0)</f>
        <v>0</v>
      </c>
      <c r="H352" s="3" t="str">
        <f ca="1">IFERROR(__xludf.DUMMYFUNCTION("""COMPUTED_VALUE"""),"car")</f>
        <v>car</v>
      </c>
      <c r="I352" s="3" t="str">
        <f ca="1">IFERROR(__xludf.DUMMYFUNCTION("""COMPUTED_VALUE"""),"2055-06-03T22:33:39.054428Z")</f>
        <v>2055-06-03T22:33:39.054428Z</v>
      </c>
      <c r="J352" s="3" t="str">
        <f ca="1">IFERROR(__xludf.DUMMYFUNCTION("""COMPUTED_VALUE"""),"2055-06-03T23:28:39.13Z")</f>
        <v>2055-06-03T23:28:39.13Z</v>
      </c>
      <c r="K352" s="3" t="str">
        <f ca="1">IFERROR(__xludf.DUMMYFUNCTION("""COMPUTED_VALUE"""),"2055-06-03T23:06:05.13Z")</f>
        <v>2055-06-03T23:06:05.13Z</v>
      </c>
      <c r="L352" s="3">
        <f ca="1">IFERROR(__xludf.DUMMYFUNCTION("""COMPUTED_VALUE"""),1)</f>
        <v>1</v>
      </c>
      <c r="M352" s="3">
        <f ca="1">IFERROR(__xludf.DUMMYFUNCTION("""COMPUTED_VALUE"""),0)</f>
        <v>0</v>
      </c>
      <c r="N352" s="3" t="str">
        <f ca="1">IFERROR(__xludf.DUMMYFUNCTION("""COMPUTED_VALUE"""),"2055-06-03T22:50:49.744728Z")</f>
        <v>2055-06-03T22:50:49.744728Z</v>
      </c>
      <c r="O352" s="3" t="str">
        <f ca="1">IFERROR(__xludf.DUMMYFUNCTION("""COMPUTED_VALUE"""),"2055-06-03T23:08:35.686044Z")</f>
        <v>2055-06-03T23:08:35.686044Z</v>
      </c>
      <c r="P352" s="3" t="str">
        <f ca="1">IFERROR(__xludf.DUMMYFUNCTION("""COMPUTED_VALUE"""),"2055-06-03T22:33:47.403277Z")</f>
        <v>2055-06-03T22:33:47.403277Z</v>
      </c>
      <c r="Q352" s="3">
        <f ca="1">IFERROR(__xludf.DUMMYFUNCTION("""COMPUTED_VALUE"""),0)</f>
        <v>0</v>
      </c>
      <c r="R352" s="3" t="str">
        <f ca="1">IFERROR(__xludf.DUMMYFUNCTION("""COMPUTED_VALUE"""),"2055-06-03T22:34:00.753385Z")</f>
        <v>2055-06-03T22:34:00.753385Z</v>
      </c>
      <c r="S352" s="3" t="str">
        <f ca="1">IFERROR(__xludf.DUMMYFUNCTION("""COMPUTED_VALUE"""),"2055-06-03T22:57:17.151669Z")</f>
        <v>2055-06-03T22:57:17.151669Z</v>
      </c>
      <c r="T352" s="3"/>
      <c r="U352" s="4">
        <f ca="1">IFERROR(__xludf.DUMMYFUNCTION("""COMPUTED_VALUE"""),56768)</f>
        <v>56768</v>
      </c>
      <c r="V352" s="3">
        <f ca="1">IFERROR(__xludf.DUMMYFUNCTION("""COMPUTED_VALUE"""),4.3)</f>
        <v>4.3</v>
      </c>
      <c r="W352" s="3">
        <f ca="1">IFERROR(__xludf.DUMMYFUNCTION("""COMPUTED_VALUE"""),3000)</f>
        <v>3000</v>
      </c>
      <c r="X352" s="3">
        <f ca="1">IFERROR(__xludf.DUMMYFUNCTION("""COMPUTED_VALUE"""),2075)</f>
        <v>2075</v>
      </c>
      <c r="Y352" s="3">
        <f ca="1">IFERROR(__xludf.DUMMYFUNCTION("""COMPUTED_VALUE"""),1397)</f>
        <v>1397</v>
      </c>
      <c r="Z352" s="3"/>
      <c r="AA352" s="3">
        <f ca="1">IFERROR(__xludf.DUMMYFUNCTION("""COMPUTED_VALUE"""),1066)</f>
        <v>1066</v>
      </c>
      <c r="AB352" s="3">
        <f ca="1">IFERROR(__xludf.DUMMYFUNCTION("""COMPUTED_VALUE"""),0)</f>
        <v>0</v>
      </c>
      <c r="AC352" s="3">
        <f ca="1">IFERROR(__xludf.DUMMYFUNCTION("""COMPUTED_VALUE"""),2)</f>
        <v>2</v>
      </c>
      <c r="AD352" s="3" t="str">
        <f ca="1">IFERROR(__xludf.DUMMYFUNCTION("""COMPUTED_VALUE"""),"early")</f>
        <v>early</v>
      </c>
      <c r="AE352" s="3" t="str">
        <f ca="1">IFERROR(__xludf.DUMMYFUNCTION("""COMPUTED_VALUE"""),"2055-06-03T18:50:49.744728Z")</f>
        <v>2055-06-03T18:50:49.744728Z</v>
      </c>
      <c r="AF352" s="3" t="str">
        <f ca="1">IFERROR(__xludf.DUMMYFUNCTION("""COMPUTED_VALUE"""),"2055-06-03T19:08:35.686044Z")</f>
        <v>2055-06-03T19:08:35.686044Z</v>
      </c>
      <c r="AG352" s="3" t="str">
        <f ca="1">IFERROR(__xludf.DUMMYFUNCTION("""COMPUTED_VALUE"""),"2055-06-03T18:33:47.403277Z")</f>
        <v>2055-06-03T18:33:47.403277Z</v>
      </c>
      <c r="AH352" s="3" t="str">
        <f ca="1">IFERROR(__xludf.DUMMYFUNCTION("""COMPUTED_VALUE"""),"2055-06-03T18:57:17.151669Z")</f>
        <v>2055-06-03T18:57:17.151669Z</v>
      </c>
      <c r="AI352" s="3">
        <f ca="1">IFERROR(__xludf.DUMMYFUNCTION("""COMPUTED_VALUE"""),4.62)</f>
        <v>4.62</v>
      </c>
      <c r="AJ352" s="3">
        <f ca="1">IFERROR(__xludf.DUMMYFUNCTION("""COMPUTED_VALUE"""),259)</f>
        <v>259</v>
      </c>
      <c r="AK352" s="3">
        <f ca="1">IFERROR(__xludf.DUMMYFUNCTION("""COMPUTED_VALUE"""),604)</f>
        <v>604</v>
      </c>
      <c r="AL352" s="3">
        <f ca="1">IFERROR(__xludf.DUMMYFUNCTION("""COMPUTED_VALUE"""),21)</f>
        <v>21</v>
      </c>
    </row>
    <row r="353" spans="1:38" ht="13">
      <c r="A353" s="3">
        <f ca="1">IFERROR(__xludf.DUMMYFUNCTION("""COMPUTED_VALUE"""),693)</f>
        <v>693</v>
      </c>
      <c r="B353" s="3"/>
      <c r="C353" s="3">
        <f ca="1">IFERROR(__xludf.DUMMYFUNCTION("""COMPUTED_VALUE"""),4050)</f>
        <v>4050</v>
      </c>
      <c r="D353" s="3" t="str">
        <f ca="1">IFERROR(__xludf.DUMMYFUNCTION("""COMPUTED_VALUE"""),"Doorlanta")</f>
        <v>Doorlanta</v>
      </c>
      <c r="E353" s="3" t="str">
        <f ca="1">IFERROR(__xludf.DUMMYFUNCTION("""COMPUTED_VALUE"""),"Galaxy A")</f>
        <v>Galaxy A</v>
      </c>
      <c r="F353" s="3" t="str">
        <f ca="1">IFERROR(__xludf.DUMMYFUNCTION("""COMPUTED_VALUE"""),"Joe")</f>
        <v>Joe</v>
      </c>
      <c r="G353" s="3">
        <f ca="1">IFERROR(__xludf.DUMMYFUNCTION("""COMPUTED_VALUE"""),0)</f>
        <v>0</v>
      </c>
      <c r="H353" s="3" t="str">
        <f ca="1">IFERROR(__xludf.DUMMYFUNCTION("""COMPUTED_VALUE"""),"car")</f>
        <v>car</v>
      </c>
      <c r="I353" s="3" t="str">
        <f ca="1">IFERROR(__xludf.DUMMYFUNCTION("""COMPUTED_VALUE"""),"2055-06-06T00:02:57.04412Z")</f>
        <v>2055-06-06T00:02:57.04412Z</v>
      </c>
      <c r="J353" s="3" t="str">
        <f ca="1">IFERROR(__xludf.DUMMYFUNCTION("""COMPUTED_VALUE"""),"2055-06-06T01:14:21.122Z")</f>
        <v>2055-06-06T01:14:21.122Z</v>
      </c>
      <c r="K353" s="3" t="str">
        <f ca="1">IFERROR(__xludf.DUMMYFUNCTION("""COMPUTED_VALUE"""),"2055-06-06T00:49:40.122Z")</f>
        <v>2055-06-06T00:49:40.122Z</v>
      </c>
      <c r="L353" s="3">
        <f ca="1">IFERROR(__xludf.DUMMYFUNCTION("""COMPUTED_VALUE"""),1)</f>
        <v>1</v>
      </c>
      <c r="M353" s="3">
        <f ca="1">IFERROR(__xludf.DUMMYFUNCTION("""COMPUTED_VALUE"""),0)</f>
        <v>0</v>
      </c>
      <c r="N353" s="3" t="str">
        <f ca="1">IFERROR(__xludf.DUMMYFUNCTION("""COMPUTED_VALUE"""),"2055-06-06T00:17:50.407986Z")</f>
        <v>2055-06-06T00:17:50.407986Z</v>
      </c>
      <c r="O353" s="3" t="str">
        <f ca="1">IFERROR(__xludf.DUMMYFUNCTION("""COMPUTED_VALUE"""),"2055-06-06T00:34:15.851374Z")</f>
        <v>2055-06-06T00:34:15.851374Z</v>
      </c>
      <c r="P353" s="3" t="str">
        <f ca="1">IFERROR(__xludf.DUMMYFUNCTION("""COMPUTED_VALUE"""),"2055-06-06T00:11:27.482693Z")</f>
        <v>2055-06-06T00:11:27.482693Z</v>
      </c>
      <c r="Q353" s="3">
        <f ca="1">IFERROR(__xludf.DUMMYFUNCTION("""COMPUTED_VALUE"""),0)</f>
        <v>0</v>
      </c>
      <c r="R353" s="3" t="str">
        <f ca="1">IFERROR(__xludf.DUMMYFUNCTION("""COMPUTED_VALUE"""),"2055-06-06T00:11:33.141796Z")</f>
        <v>2055-06-06T00:11:33.141796Z</v>
      </c>
      <c r="S353" s="3" t="str">
        <f ca="1">IFERROR(__xludf.DUMMYFUNCTION("""COMPUTED_VALUE"""),"2055-06-06T00:18:26.692522Z")</f>
        <v>2055-06-06T00:18:26.692522Z</v>
      </c>
      <c r="T353" s="3"/>
      <c r="U353" s="4">
        <f ca="1">IFERROR(__xludf.DUMMYFUNCTION("""COMPUTED_VALUE"""),56770)</f>
        <v>56770</v>
      </c>
      <c r="V353" s="3">
        <f ca="1">IFERROR(__xludf.DUMMYFUNCTION("""COMPUTED_VALUE"""),4.8)</f>
        <v>4.8</v>
      </c>
      <c r="W353" s="3">
        <f ca="1">IFERROR(__xludf.DUMMYFUNCTION("""COMPUTED_VALUE"""),3000)</f>
        <v>3000</v>
      </c>
      <c r="X353" s="3">
        <f ca="1">IFERROR(__xludf.DUMMYFUNCTION("""COMPUTED_VALUE"""),1362)</f>
        <v>1362</v>
      </c>
      <c r="Y353" s="3">
        <f ca="1">IFERROR(__xludf.DUMMYFUNCTION("""COMPUTED_VALUE"""),413)</f>
        <v>413</v>
      </c>
      <c r="Z353" s="3"/>
      <c r="AA353" s="3">
        <f ca="1">IFERROR(__xludf.DUMMYFUNCTION("""COMPUTED_VALUE"""),985)</f>
        <v>985</v>
      </c>
      <c r="AB353" s="3">
        <f ca="1">IFERROR(__xludf.DUMMYFUNCTION("""COMPUTED_VALUE"""),0)</f>
        <v>0</v>
      </c>
      <c r="AC353" s="3">
        <f ca="1">IFERROR(__xludf.DUMMYFUNCTION("""COMPUTED_VALUE"""),3)</f>
        <v>3</v>
      </c>
      <c r="AD353" s="3" t="str">
        <f ca="1">IFERROR(__xludf.DUMMYFUNCTION("""COMPUTED_VALUE"""),"late")</f>
        <v>late</v>
      </c>
      <c r="AE353" s="3" t="str">
        <f ca="1">IFERROR(__xludf.DUMMYFUNCTION("""COMPUTED_VALUE"""),"2055-06-05T20:17:50.407986Z")</f>
        <v>2055-06-05T20:17:50.407986Z</v>
      </c>
      <c r="AF353" s="3" t="str">
        <f ca="1">IFERROR(__xludf.DUMMYFUNCTION("""COMPUTED_VALUE"""),"2055-06-05T20:34:15.851374Z")</f>
        <v>2055-06-05T20:34:15.851374Z</v>
      </c>
      <c r="AG353" s="3" t="str">
        <f ca="1">IFERROR(__xludf.DUMMYFUNCTION("""COMPUTED_VALUE"""),"2055-06-05T20:11:27.482693Z")</f>
        <v>2055-06-05T20:11:27.482693Z</v>
      </c>
      <c r="AH353" s="3" t="str">
        <f ca="1">IFERROR(__xludf.DUMMYFUNCTION("""COMPUTED_VALUE"""),"2055-06-05T20:18:26.692522Z")</f>
        <v>2055-06-05T20:18:26.692522Z</v>
      </c>
      <c r="AI353" s="3">
        <f ca="1">IFERROR(__xludf.DUMMYFUNCTION("""COMPUTED_VALUE"""),4.38)</f>
        <v>4.38</v>
      </c>
      <c r="AJ353" s="3">
        <f ca="1">IFERROR(__xludf.DUMMYFUNCTION("""COMPUTED_VALUE"""),196)</f>
        <v>196</v>
      </c>
      <c r="AK353" s="3">
        <f ca="1">IFERROR(__xludf.DUMMYFUNCTION("""COMPUTED_VALUE"""),626)</f>
        <v>626</v>
      </c>
      <c r="AL353" s="3"/>
    </row>
    <row r="354" spans="1:38" ht="13">
      <c r="A354" s="3">
        <f ca="1">IFERROR(__xludf.DUMMYFUNCTION("""COMPUTED_VALUE"""),795)</f>
        <v>795</v>
      </c>
      <c r="B354" s="3"/>
      <c r="C354" s="3">
        <f ca="1">IFERROR(__xludf.DUMMYFUNCTION("""COMPUTED_VALUE"""),4050)</f>
        <v>4050</v>
      </c>
      <c r="D354" s="3" t="str">
        <f ca="1">IFERROR(__xludf.DUMMYFUNCTION("""COMPUTED_VALUE"""),"Doorlanta")</f>
        <v>Doorlanta</v>
      </c>
      <c r="E354" s="3" t="str">
        <f ca="1">IFERROR(__xludf.DUMMYFUNCTION("""COMPUTED_VALUE"""),"Galaxy A")</f>
        <v>Galaxy A</v>
      </c>
      <c r="F354" s="3" t="str">
        <f ca="1">IFERROR(__xludf.DUMMYFUNCTION("""COMPUTED_VALUE"""),"Hersh")</f>
        <v>Hersh</v>
      </c>
      <c r="G354" s="3">
        <f ca="1">IFERROR(__xludf.DUMMYFUNCTION("""COMPUTED_VALUE"""),0)</f>
        <v>0</v>
      </c>
      <c r="H354" s="3" t="str">
        <f ca="1">IFERROR(__xludf.DUMMYFUNCTION("""COMPUTED_VALUE"""),"car")</f>
        <v>car</v>
      </c>
      <c r="I354" s="3" t="str">
        <f ca="1">IFERROR(__xludf.DUMMYFUNCTION("""COMPUTED_VALUE"""),"2055-06-06T23:39:05.611101Z")</f>
        <v>2055-06-06T23:39:05.611101Z</v>
      </c>
      <c r="J354" s="3" t="str">
        <f ca="1">IFERROR(__xludf.DUMMYFUNCTION("""COMPUTED_VALUE"""),"2055-06-07T00:34:05.696Z")</f>
        <v>2055-06-07T00:34:05.696Z</v>
      </c>
      <c r="K354" s="3" t="str">
        <f ca="1">IFERROR(__xludf.DUMMYFUNCTION("""COMPUTED_VALUE"""),"2055-06-07T00:06:55.696Z")</f>
        <v>2055-06-07T00:06:55.696Z</v>
      </c>
      <c r="L354" s="3">
        <f ca="1">IFERROR(__xludf.DUMMYFUNCTION("""COMPUTED_VALUE"""),1)</f>
        <v>1</v>
      </c>
      <c r="M354" s="3">
        <f ca="1">IFERROR(__xludf.DUMMYFUNCTION("""COMPUTED_VALUE"""),0)</f>
        <v>0</v>
      </c>
      <c r="N354" s="3" t="str">
        <f ca="1">IFERROR(__xludf.DUMMYFUNCTION("""COMPUTED_VALUE"""),"2055-06-07T00:02:50.737295Z")</f>
        <v>2055-06-07T00:02:50.737295Z</v>
      </c>
      <c r="O354" s="3" t="str">
        <f ca="1">IFERROR(__xludf.DUMMYFUNCTION("""COMPUTED_VALUE"""),"2055-06-07T00:15:26.832701Z")</f>
        <v>2055-06-07T00:15:26.832701Z</v>
      </c>
      <c r="P354" s="3" t="str">
        <f ca="1">IFERROR(__xludf.DUMMYFUNCTION("""COMPUTED_VALUE"""),"2055-06-06T23:39:27.526198Z")</f>
        <v>2055-06-06T23:39:27.526198Z</v>
      </c>
      <c r="Q354" s="3">
        <f ca="1">IFERROR(__xludf.DUMMYFUNCTION("""COMPUTED_VALUE"""),0)</f>
        <v>0</v>
      </c>
      <c r="R354" s="3" t="str">
        <f ca="1">IFERROR(__xludf.DUMMYFUNCTION("""COMPUTED_VALUE"""),"2055-06-06T23:39:42.940933Z")</f>
        <v>2055-06-06T23:39:42.940933Z</v>
      </c>
      <c r="S354" s="3" t="str">
        <f ca="1">IFERROR(__xludf.DUMMYFUNCTION("""COMPUTED_VALUE"""),"2055-06-06T23:41:18.423529Z")</f>
        <v>2055-06-06T23:41:18.423529Z</v>
      </c>
      <c r="T354" s="3"/>
      <c r="U354" s="4">
        <f ca="1">IFERROR(__xludf.DUMMYFUNCTION("""COMPUTED_VALUE"""),56771)</f>
        <v>56771</v>
      </c>
      <c r="V354" s="3">
        <f ca="1">IFERROR(__xludf.DUMMYFUNCTION("""COMPUTED_VALUE"""),3.582206251)</f>
        <v>3.5822062510000001</v>
      </c>
      <c r="W354" s="3">
        <f ca="1">IFERROR(__xludf.DUMMYFUNCTION("""COMPUTED_VALUE"""),3000)</f>
        <v>3000</v>
      </c>
      <c r="X354" s="3">
        <f ca="1">IFERROR(__xludf.DUMMYFUNCTION("""COMPUTED_VALUE"""),2144)</f>
        <v>2144</v>
      </c>
      <c r="Y354" s="3">
        <f ca="1">IFERROR(__xludf.DUMMYFUNCTION("""COMPUTED_VALUE"""),96)</f>
        <v>96</v>
      </c>
      <c r="Z354" s="3">
        <f ca="1">IFERROR(__xludf.DUMMYFUNCTION("""COMPUTED_VALUE"""),1292)</f>
        <v>1292</v>
      </c>
      <c r="AA354" s="3">
        <f ca="1">IFERROR(__xludf.DUMMYFUNCTION("""COMPUTED_VALUE"""),756)</f>
        <v>756</v>
      </c>
      <c r="AB354" s="3">
        <f ca="1">IFERROR(__xludf.DUMMYFUNCTION("""COMPUTED_VALUE"""),0)</f>
        <v>0</v>
      </c>
      <c r="AC354" s="3">
        <f ca="1">IFERROR(__xludf.DUMMYFUNCTION("""COMPUTED_VALUE"""),3)</f>
        <v>3</v>
      </c>
      <c r="AD354" s="3" t="str">
        <f ca="1">IFERROR(__xludf.DUMMYFUNCTION("""COMPUTED_VALUE"""),"early")</f>
        <v>early</v>
      </c>
      <c r="AE354" s="3" t="str">
        <f ca="1">IFERROR(__xludf.DUMMYFUNCTION("""COMPUTED_VALUE"""),"2055-06-06T20:02:50.737295Z")</f>
        <v>2055-06-06T20:02:50.737295Z</v>
      </c>
      <c r="AF354" s="3" t="str">
        <f ca="1">IFERROR(__xludf.DUMMYFUNCTION("""COMPUTED_VALUE"""),"2055-06-06T20:15:26.832701Z")</f>
        <v>2055-06-06T20:15:26.832701Z</v>
      </c>
      <c r="AG354" s="3" t="str">
        <f ca="1">IFERROR(__xludf.DUMMYFUNCTION("""COMPUTED_VALUE"""),"2055-06-06T19:39:27.526198Z")</f>
        <v>2055-06-06T19:39:27.526198Z</v>
      </c>
      <c r="AH354" s="3" t="str">
        <f ca="1">IFERROR(__xludf.DUMMYFUNCTION("""COMPUTED_VALUE"""),"2055-06-06T19:41:18.423529Z")</f>
        <v>2055-06-06T19:41:18.423529Z</v>
      </c>
      <c r="AI354" s="3">
        <f ca="1">IFERROR(__xludf.DUMMYFUNCTION("""COMPUTED_VALUE"""),4.7)</f>
        <v>4.7</v>
      </c>
      <c r="AJ354" s="3">
        <f ca="1">IFERROR(__xludf.DUMMYFUNCTION("""COMPUTED_VALUE"""),212)</f>
        <v>212</v>
      </c>
      <c r="AK354" s="3">
        <f ca="1">IFERROR(__xludf.DUMMYFUNCTION("""COMPUTED_VALUE"""),624)</f>
        <v>624</v>
      </c>
      <c r="AL354" s="3">
        <f ca="1">IFERROR(__xludf.DUMMYFUNCTION("""COMPUTED_VALUE"""),347)</f>
        <v>347</v>
      </c>
    </row>
    <row r="355" spans="1:38" ht="13">
      <c r="A355" s="3">
        <f ca="1">IFERROR(__xludf.DUMMYFUNCTION("""COMPUTED_VALUE"""),669)</f>
        <v>669</v>
      </c>
      <c r="B355" s="3"/>
      <c r="C355" s="3">
        <f ca="1">IFERROR(__xludf.DUMMYFUNCTION("""COMPUTED_VALUE"""),4050)</f>
        <v>4050</v>
      </c>
      <c r="D355" s="3" t="str">
        <f ca="1">IFERROR(__xludf.DUMMYFUNCTION("""COMPUTED_VALUE"""),"Doorlanta")</f>
        <v>Doorlanta</v>
      </c>
      <c r="E355" s="3" t="str">
        <f ca="1">IFERROR(__xludf.DUMMYFUNCTION("""COMPUTED_VALUE"""),"Galaxy A")</f>
        <v>Galaxy A</v>
      </c>
      <c r="F355" s="3" t="str">
        <f ca="1">IFERROR(__xludf.DUMMYFUNCTION("""COMPUTED_VALUE"""),"Katelynn")</f>
        <v>Katelynn</v>
      </c>
      <c r="G355" s="3">
        <f ca="1">IFERROR(__xludf.DUMMYFUNCTION("""COMPUTED_VALUE"""),0)</f>
        <v>0</v>
      </c>
      <c r="H355" s="3" t="str">
        <f ca="1">IFERROR(__xludf.DUMMYFUNCTION("""COMPUTED_VALUE"""),"car")</f>
        <v>car</v>
      </c>
      <c r="I355" s="3" t="str">
        <f ca="1">IFERROR(__xludf.DUMMYFUNCTION("""COMPUTED_VALUE"""),"2055-06-05T23:11:26.934519Z")</f>
        <v>2055-06-05T23:11:26.934519Z</v>
      </c>
      <c r="J355" s="3" t="str">
        <f ca="1">IFERROR(__xludf.DUMMYFUNCTION("""COMPUTED_VALUE"""),"2055-06-06T00:29:43.018Z")</f>
        <v>2055-06-06T00:29:43.018Z</v>
      </c>
      <c r="K355" s="3" t="str">
        <f ca="1">IFERROR(__xludf.DUMMYFUNCTION("""COMPUTED_VALUE"""),"2055-06-06T00:03:54.018Z")</f>
        <v>2055-06-06T00:03:54.018Z</v>
      </c>
      <c r="L355" s="3">
        <f ca="1">IFERROR(__xludf.DUMMYFUNCTION("""COMPUTED_VALUE"""),1)</f>
        <v>1</v>
      </c>
      <c r="M355" s="3">
        <f ca="1">IFERROR(__xludf.DUMMYFUNCTION("""COMPUTED_VALUE"""),0)</f>
        <v>0</v>
      </c>
      <c r="N355" s="3" t="str">
        <f ca="1">IFERROR(__xludf.DUMMYFUNCTION("""COMPUTED_VALUE"""),"2055-06-05T23:36:09.944523Z")</f>
        <v>2055-06-05T23:36:09.944523Z</v>
      </c>
      <c r="O355" s="3" t="str">
        <f ca="1">IFERROR(__xludf.DUMMYFUNCTION("""COMPUTED_VALUE"""),"2055-06-05T23:46:26.945255Z")</f>
        <v>2055-06-05T23:46:26.945255Z</v>
      </c>
      <c r="P355" s="3" t="str">
        <f ca="1">IFERROR(__xludf.DUMMYFUNCTION("""COMPUTED_VALUE"""),"2055-06-05T23:18:07.67858Z")</f>
        <v>2055-06-05T23:18:07.67858Z</v>
      </c>
      <c r="Q355" s="3">
        <f ca="1">IFERROR(__xludf.DUMMYFUNCTION("""COMPUTED_VALUE"""),0)</f>
        <v>0</v>
      </c>
      <c r="R355" s="3" t="str">
        <f ca="1">IFERROR(__xludf.DUMMYFUNCTION("""COMPUTED_VALUE"""),"2055-06-05T23:18:27.350287Z")</f>
        <v>2055-06-05T23:18:27.350287Z</v>
      </c>
      <c r="S355" s="3" t="str">
        <f ca="1">IFERROR(__xludf.DUMMYFUNCTION("""COMPUTED_VALUE"""),"2055-06-05T23:28:34.370234Z")</f>
        <v>2055-06-05T23:28:34.370234Z</v>
      </c>
      <c r="T355" s="3"/>
      <c r="U355" s="4">
        <f ca="1">IFERROR(__xludf.DUMMYFUNCTION("""COMPUTED_VALUE"""),56770)</f>
        <v>56770</v>
      </c>
      <c r="V355" s="3">
        <f ca="1">IFERROR(__xludf.DUMMYFUNCTION("""COMPUTED_VALUE"""),4.7)</f>
        <v>4.7</v>
      </c>
      <c r="W355" s="3">
        <f ca="1">IFERROR(__xludf.DUMMYFUNCTION("""COMPUTED_VALUE"""),3000)</f>
        <v>3000</v>
      </c>
      <c r="X355" s="3">
        <f ca="1">IFERROR(__xludf.DUMMYFUNCTION("""COMPUTED_VALUE"""),1679)</f>
        <v>1679</v>
      </c>
      <c r="Y355" s="3">
        <f ca="1">IFERROR(__xludf.DUMMYFUNCTION("""COMPUTED_VALUE"""),607)</f>
        <v>607</v>
      </c>
      <c r="Z355" s="3">
        <f ca="1">IFERROR(__xludf.DUMMYFUNCTION("""COMPUTED_VALUE"""),455)</f>
        <v>455</v>
      </c>
      <c r="AA355" s="3">
        <f ca="1">IFERROR(__xludf.DUMMYFUNCTION("""COMPUTED_VALUE"""),617)</f>
        <v>617</v>
      </c>
      <c r="AB355" s="3">
        <f ca="1">IFERROR(__xludf.DUMMYFUNCTION("""COMPUTED_VALUE"""),0)</f>
        <v>0</v>
      </c>
      <c r="AC355" s="3">
        <f ca="1">IFERROR(__xludf.DUMMYFUNCTION("""COMPUTED_VALUE"""),2)</f>
        <v>2</v>
      </c>
      <c r="AD355" s="3" t="str">
        <f ca="1">IFERROR(__xludf.DUMMYFUNCTION("""COMPUTED_VALUE"""),"late")</f>
        <v>late</v>
      </c>
      <c r="AE355" s="3" t="str">
        <f ca="1">IFERROR(__xludf.DUMMYFUNCTION("""COMPUTED_VALUE"""),"2055-06-05T19:36:09.944523Z")</f>
        <v>2055-06-05T19:36:09.944523Z</v>
      </c>
      <c r="AF355" s="3" t="str">
        <f ca="1">IFERROR(__xludf.DUMMYFUNCTION("""COMPUTED_VALUE"""),"2055-06-05T19:46:26.945255Z")</f>
        <v>2055-06-05T19:46:26.945255Z</v>
      </c>
      <c r="AG355" s="3" t="str">
        <f ca="1">IFERROR(__xludf.DUMMYFUNCTION("""COMPUTED_VALUE"""),"2055-06-05T19:18:07.67858Z")</f>
        <v>2055-06-05T19:18:07.67858Z</v>
      </c>
      <c r="AH355" s="3" t="str">
        <f ca="1">IFERROR(__xludf.DUMMYFUNCTION("""COMPUTED_VALUE"""),"2055-06-05T19:28:34.370234Z")</f>
        <v>2055-06-05T19:28:34.370234Z</v>
      </c>
      <c r="AI355" s="3">
        <f ca="1">IFERROR(__xludf.DUMMYFUNCTION("""COMPUTED_VALUE"""),4.7)</f>
        <v>4.7</v>
      </c>
      <c r="AJ355" s="3">
        <f ca="1">IFERROR(__xludf.DUMMYFUNCTION("""COMPUTED_VALUE"""),1261)</f>
        <v>1261</v>
      </c>
      <c r="AK355" s="3">
        <f ca="1">IFERROR(__xludf.DUMMYFUNCTION("""COMPUTED_VALUE"""),3264)</f>
        <v>3264</v>
      </c>
      <c r="AL355" s="3">
        <f ca="1">IFERROR(__xludf.DUMMYFUNCTION("""COMPUTED_VALUE"""),232)</f>
        <v>232</v>
      </c>
    </row>
    <row r="356" spans="1:38" ht="13">
      <c r="A356" s="3">
        <f ca="1">IFERROR(__xludf.DUMMYFUNCTION("""COMPUTED_VALUE"""),284)</f>
        <v>284</v>
      </c>
      <c r="B356" s="3"/>
      <c r="C356" s="3">
        <f ca="1">IFERROR(__xludf.DUMMYFUNCTION("""COMPUTED_VALUE"""),4050)</f>
        <v>4050</v>
      </c>
      <c r="D356" s="3" t="str">
        <f ca="1">IFERROR(__xludf.DUMMYFUNCTION("""COMPUTED_VALUE"""),"Doorlanta")</f>
        <v>Doorlanta</v>
      </c>
      <c r="E356" s="3" t="str">
        <f ca="1">IFERROR(__xludf.DUMMYFUNCTION("""COMPUTED_VALUE"""),"Galaxy A")</f>
        <v>Galaxy A</v>
      </c>
      <c r="F356" s="3" t="str">
        <f ca="1">IFERROR(__xludf.DUMMYFUNCTION("""COMPUTED_VALUE"""),"Cate")</f>
        <v>Cate</v>
      </c>
      <c r="G356" s="3">
        <f ca="1">IFERROR(__xludf.DUMMYFUNCTION("""COMPUTED_VALUE"""),0)</f>
        <v>0</v>
      </c>
      <c r="H356" s="3" t="str">
        <f ca="1">IFERROR(__xludf.DUMMYFUNCTION("""COMPUTED_VALUE"""),"car")</f>
        <v>car</v>
      </c>
      <c r="I356" s="3" t="str">
        <f ca="1">IFERROR(__xludf.DUMMYFUNCTION("""COMPUTED_VALUE"""),"2055-06-03T16:18:07.752416Z")</f>
        <v>2055-06-03T16:18:07.752416Z</v>
      </c>
      <c r="J356" s="3" t="str">
        <f ca="1">IFERROR(__xludf.DUMMYFUNCTION("""COMPUTED_VALUE"""),"2055-06-03T17:34:32.841Z")</f>
        <v>2055-06-03T17:34:32.841Z</v>
      </c>
      <c r="K356" s="3" t="str">
        <f ca="1">IFERROR(__xludf.DUMMYFUNCTION("""COMPUTED_VALUE"""),"2055-06-03T17:12:38.841Z")</f>
        <v>2055-06-03T17:12:38.841Z</v>
      </c>
      <c r="L356" s="3">
        <f ca="1">IFERROR(__xludf.DUMMYFUNCTION("""COMPUTED_VALUE"""),1)</f>
        <v>1</v>
      </c>
      <c r="M356" s="3">
        <f ca="1">IFERROR(__xludf.DUMMYFUNCTION("""COMPUTED_VALUE"""),0)</f>
        <v>0</v>
      </c>
      <c r="N356" s="3" t="str">
        <f ca="1">IFERROR(__xludf.DUMMYFUNCTION("""COMPUTED_VALUE"""),"2055-06-03T16:54:28.464461Z")</f>
        <v>2055-06-03T16:54:28.464461Z</v>
      </c>
      <c r="O356" s="3" t="str">
        <f ca="1">IFERROR(__xludf.DUMMYFUNCTION("""COMPUTED_VALUE"""),"2055-06-03T17:09:17.368395Z")</f>
        <v>2055-06-03T17:09:17.368395Z</v>
      </c>
      <c r="P356" s="3" t="str">
        <f ca="1">IFERROR(__xludf.DUMMYFUNCTION("""COMPUTED_VALUE"""),"2055-06-03T16:20:47.445679Z")</f>
        <v>2055-06-03T16:20:47.445679Z</v>
      </c>
      <c r="Q356" s="3">
        <f ca="1">IFERROR(__xludf.DUMMYFUNCTION("""COMPUTED_VALUE"""),0)</f>
        <v>0</v>
      </c>
      <c r="R356" s="3" t="str">
        <f ca="1">IFERROR(__xludf.DUMMYFUNCTION("""COMPUTED_VALUE"""),"2055-06-03T16:20:52.614175Z")</f>
        <v>2055-06-03T16:20:52.614175Z</v>
      </c>
      <c r="S356" s="3" t="str">
        <f ca="1">IFERROR(__xludf.DUMMYFUNCTION("""COMPUTED_VALUE"""),"2055-06-03T16:33:47.405643Z")</f>
        <v>2055-06-03T16:33:47.405643Z</v>
      </c>
      <c r="T356" s="3"/>
      <c r="U356" s="4">
        <f ca="1">IFERROR(__xludf.DUMMYFUNCTION("""COMPUTED_VALUE"""),56768)</f>
        <v>56768</v>
      </c>
      <c r="V356" s="3">
        <f ca="1">IFERROR(__xludf.DUMMYFUNCTION("""COMPUTED_VALUE"""),4.5)</f>
        <v>4.5</v>
      </c>
      <c r="W356" s="3">
        <f ca="1">IFERROR(__xludf.DUMMYFUNCTION("""COMPUTED_VALUE"""),3000)</f>
        <v>3000</v>
      </c>
      <c r="X356" s="3">
        <f ca="1">IFERROR(__xludf.DUMMYFUNCTION("""COMPUTED_VALUE"""),2905)</f>
        <v>2905</v>
      </c>
      <c r="Y356" s="3">
        <f ca="1">IFERROR(__xludf.DUMMYFUNCTION("""COMPUTED_VALUE"""),775)</f>
        <v>775</v>
      </c>
      <c r="Z356" s="3">
        <f ca="1">IFERROR(__xludf.DUMMYFUNCTION("""COMPUTED_VALUE"""),1241)</f>
        <v>1241</v>
      </c>
      <c r="AA356" s="3">
        <f ca="1">IFERROR(__xludf.DUMMYFUNCTION("""COMPUTED_VALUE"""),889)</f>
        <v>889</v>
      </c>
      <c r="AB356" s="3">
        <f ca="1">IFERROR(__xludf.DUMMYFUNCTION("""COMPUTED_VALUE"""),0)</f>
        <v>0</v>
      </c>
      <c r="AC356" s="3">
        <f ca="1">IFERROR(__xludf.DUMMYFUNCTION("""COMPUTED_VALUE"""),3)</f>
        <v>3</v>
      </c>
      <c r="AD356" s="3" t="str">
        <f ca="1">IFERROR(__xludf.DUMMYFUNCTION("""COMPUTED_VALUE"""),"early")</f>
        <v>early</v>
      </c>
      <c r="AE356" s="3" t="str">
        <f ca="1">IFERROR(__xludf.DUMMYFUNCTION("""COMPUTED_VALUE"""),"2055-06-03T12:54:28.464461Z")</f>
        <v>2055-06-03T12:54:28.464461Z</v>
      </c>
      <c r="AF356" s="3" t="str">
        <f ca="1">IFERROR(__xludf.DUMMYFUNCTION("""COMPUTED_VALUE"""),"2055-06-03T13:09:17.368395Z")</f>
        <v>2055-06-03T13:09:17.368395Z</v>
      </c>
      <c r="AG356" s="3" t="str">
        <f ca="1">IFERROR(__xludf.DUMMYFUNCTION("""COMPUTED_VALUE"""),"2055-06-03T12:20:47.445679Z")</f>
        <v>2055-06-03T12:20:47.445679Z</v>
      </c>
      <c r="AH356" s="3" t="str">
        <f ca="1">IFERROR(__xludf.DUMMYFUNCTION("""COMPUTED_VALUE"""),"2055-06-03T12:33:47.405643Z")</f>
        <v>2055-06-03T12:33:47.405643Z</v>
      </c>
      <c r="AI356" s="3">
        <f ca="1">IFERROR(__xludf.DUMMYFUNCTION("""COMPUTED_VALUE"""),4.49)</f>
        <v>4.49</v>
      </c>
      <c r="AJ356" s="3">
        <f ca="1">IFERROR(__xludf.DUMMYFUNCTION("""COMPUTED_VALUE"""),2315)</f>
        <v>2315</v>
      </c>
      <c r="AK356" s="3">
        <f ca="1">IFERROR(__xludf.DUMMYFUNCTION("""COMPUTED_VALUE"""),7039)</f>
        <v>7039</v>
      </c>
      <c r="AL356" s="3">
        <f ca="1">IFERROR(__xludf.DUMMYFUNCTION("""COMPUTED_VALUE"""),763)</f>
        <v>763</v>
      </c>
    </row>
    <row r="357" spans="1:38" ht="13">
      <c r="A357" s="3">
        <f ca="1">IFERROR(__xludf.DUMMYFUNCTION("""COMPUTED_VALUE"""),163)</f>
        <v>163</v>
      </c>
      <c r="B357" s="3">
        <f ca="1">IFERROR(__xludf.DUMMYFUNCTION("""COMPUTED_VALUE"""),5)</f>
        <v>5</v>
      </c>
      <c r="C357" s="3">
        <f ca="1">IFERROR(__xludf.DUMMYFUNCTION("""COMPUTED_VALUE"""),4050)</f>
        <v>4050</v>
      </c>
      <c r="D357" s="3" t="str">
        <f ca="1">IFERROR(__xludf.DUMMYFUNCTION("""COMPUTED_VALUE"""),"Doorlanta")</f>
        <v>Doorlanta</v>
      </c>
      <c r="E357" s="3" t="str">
        <f ca="1">IFERROR(__xludf.DUMMYFUNCTION("""COMPUTED_VALUE"""),"Galaxy A")</f>
        <v>Galaxy A</v>
      </c>
      <c r="F357" s="3" t="str">
        <f ca="1">IFERROR(__xludf.DUMMYFUNCTION("""COMPUTED_VALUE"""),"Matt")</f>
        <v>Matt</v>
      </c>
      <c r="G357" s="3">
        <f ca="1">IFERROR(__xludf.DUMMYFUNCTION("""COMPUTED_VALUE"""),0)</f>
        <v>0</v>
      </c>
      <c r="H357" s="3" t="str">
        <f ca="1">IFERROR(__xludf.DUMMYFUNCTION("""COMPUTED_VALUE"""),"car")</f>
        <v>car</v>
      </c>
      <c r="I357" s="3" t="str">
        <f ca="1">IFERROR(__xludf.DUMMYFUNCTION("""COMPUTED_VALUE"""),"2055-06-02T20:49:57.568916Z")</f>
        <v>2055-06-02T20:49:57.568916Z</v>
      </c>
      <c r="J357" s="3" t="str">
        <f ca="1">IFERROR(__xludf.DUMMYFUNCTION("""COMPUTED_VALUE"""),"2055-06-02T21:48:37.641Z")</f>
        <v>2055-06-02T21:48:37.641Z</v>
      </c>
      <c r="K357" s="3" t="str">
        <f ca="1">IFERROR(__xludf.DUMMYFUNCTION("""COMPUTED_VALUE"""),"2055-06-02T21:28:30.641Z")</f>
        <v>2055-06-02T21:28:30.641Z</v>
      </c>
      <c r="L357" s="3">
        <f ca="1">IFERROR(__xludf.DUMMYFUNCTION("""COMPUTED_VALUE"""),1)</f>
        <v>1</v>
      </c>
      <c r="M357" s="3">
        <f ca="1">IFERROR(__xludf.DUMMYFUNCTION("""COMPUTED_VALUE"""),0)</f>
        <v>0</v>
      </c>
      <c r="N357" s="3" t="str">
        <f ca="1">IFERROR(__xludf.DUMMYFUNCTION("""COMPUTED_VALUE"""),"2055-06-02T21:14:00.259121Z")</f>
        <v>2055-06-02T21:14:00.259121Z</v>
      </c>
      <c r="O357" s="3" t="str">
        <f ca="1">IFERROR(__xludf.DUMMYFUNCTION("""COMPUTED_VALUE"""),"2055-06-02T21:35:51.138989Z")</f>
        <v>2055-06-02T21:35:51.138989Z</v>
      </c>
      <c r="P357" s="3" t="str">
        <f ca="1">IFERROR(__xludf.DUMMYFUNCTION("""COMPUTED_VALUE"""),"2055-06-02T20:59:42.843617Z")</f>
        <v>2055-06-02T20:59:42.843617Z</v>
      </c>
      <c r="Q357" s="3">
        <f ca="1">IFERROR(__xludf.DUMMYFUNCTION("""COMPUTED_VALUE"""),1)</f>
        <v>1</v>
      </c>
      <c r="R357" s="3" t="str">
        <f ca="1">IFERROR(__xludf.DUMMYFUNCTION("""COMPUTED_VALUE"""),"2055-06-02T21:00:14.435727Z")</f>
        <v>2055-06-02T21:00:14.435727Z</v>
      </c>
      <c r="S357" s="3" t="str">
        <f ca="1">IFERROR(__xludf.DUMMYFUNCTION("""COMPUTED_VALUE"""),"2055-06-02T21:10:40.252813Z")</f>
        <v>2055-06-02T21:10:40.252813Z</v>
      </c>
      <c r="T357" s="3"/>
      <c r="U357" s="4">
        <f ca="1">IFERROR(__xludf.DUMMYFUNCTION("""COMPUTED_VALUE"""),56767)</f>
        <v>56767</v>
      </c>
      <c r="V357" s="3">
        <f ca="1">IFERROR(__xludf.DUMMYFUNCTION("""COMPUTED_VALUE"""),3.769433614)</f>
        <v>3.769433614</v>
      </c>
      <c r="W357" s="3">
        <f ca="1">IFERROR(__xludf.DUMMYFUNCTION("""COMPUTED_VALUE"""),3000)</f>
        <v>3000</v>
      </c>
      <c r="X357" s="3">
        <f ca="1">IFERROR(__xludf.DUMMYFUNCTION("""COMPUTED_VALUE"""),2137)</f>
        <v>2137</v>
      </c>
      <c r="Y357" s="3">
        <f ca="1">IFERROR(__xludf.DUMMYFUNCTION("""COMPUTED_VALUE"""),626)</f>
        <v>626</v>
      </c>
      <c r="Z357" s="3">
        <f ca="1">IFERROR(__xludf.DUMMYFUNCTION("""COMPUTED_VALUE"""),200)</f>
        <v>200</v>
      </c>
      <c r="AA357" s="3">
        <f ca="1">IFERROR(__xludf.DUMMYFUNCTION("""COMPUTED_VALUE"""),1311)</f>
        <v>1311</v>
      </c>
      <c r="AB357" s="3">
        <f ca="1">IFERROR(__xludf.DUMMYFUNCTION("""COMPUTED_VALUE"""),0)</f>
        <v>0</v>
      </c>
      <c r="AC357" s="3">
        <f ca="1">IFERROR(__xludf.DUMMYFUNCTION("""COMPUTED_VALUE"""),2)</f>
        <v>2</v>
      </c>
      <c r="AD357" s="3" t="str">
        <f ca="1">IFERROR(__xludf.DUMMYFUNCTION("""COMPUTED_VALUE"""),"late")</f>
        <v>late</v>
      </c>
      <c r="AE357" s="3" t="str">
        <f ca="1">IFERROR(__xludf.DUMMYFUNCTION("""COMPUTED_VALUE"""),"2055-06-02T17:14:00.259121Z")</f>
        <v>2055-06-02T17:14:00.259121Z</v>
      </c>
      <c r="AF357" s="3" t="str">
        <f ca="1">IFERROR(__xludf.DUMMYFUNCTION("""COMPUTED_VALUE"""),"2055-06-02T17:35:51.138989Z")</f>
        <v>2055-06-02T17:35:51.138989Z</v>
      </c>
      <c r="AG357" s="3" t="str">
        <f ca="1">IFERROR(__xludf.DUMMYFUNCTION("""COMPUTED_VALUE"""),"2055-06-02T16:59:42.843617Z")</f>
        <v>2055-06-02T16:59:42.843617Z</v>
      </c>
      <c r="AH357" s="3" t="str">
        <f ca="1">IFERROR(__xludf.DUMMYFUNCTION("""COMPUTED_VALUE"""),"2055-06-02T17:10:40.252813Z")</f>
        <v>2055-06-02T17:10:40.252813Z</v>
      </c>
      <c r="AI357" s="3">
        <f ca="1">IFERROR(__xludf.DUMMYFUNCTION("""COMPUTED_VALUE"""),4.22)</f>
        <v>4.22</v>
      </c>
      <c r="AJ357" s="3">
        <f ca="1">IFERROR(__xludf.DUMMYFUNCTION("""COMPUTED_VALUE"""),1551)</f>
        <v>1551</v>
      </c>
      <c r="AK357" s="3">
        <f ca="1">IFERROR(__xludf.DUMMYFUNCTION("""COMPUTED_VALUE"""),4625)</f>
        <v>4625</v>
      </c>
      <c r="AL357" s="3"/>
    </row>
    <row r="358" spans="1:38" ht="13">
      <c r="A358" s="3">
        <f ca="1">IFERROR(__xludf.DUMMYFUNCTION("""COMPUTED_VALUE"""),837)</f>
        <v>837</v>
      </c>
      <c r="B358" s="3"/>
      <c r="C358" s="3">
        <f ca="1">IFERROR(__xludf.DUMMYFUNCTION("""COMPUTED_VALUE"""),4050)</f>
        <v>4050</v>
      </c>
      <c r="D358" s="3" t="str">
        <f ca="1">IFERROR(__xludf.DUMMYFUNCTION("""COMPUTED_VALUE"""),"Doorlanta")</f>
        <v>Doorlanta</v>
      </c>
      <c r="E358" s="3" t="str">
        <f ca="1">IFERROR(__xludf.DUMMYFUNCTION("""COMPUTED_VALUE"""),"Galaxy A")</f>
        <v>Galaxy A</v>
      </c>
      <c r="F358" s="3" t="str">
        <f ca="1">IFERROR(__xludf.DUMMYFUNCTION("""COMPUTED_VALUE"""),"Joe")</f>
        <v>Joe</v>
      </c>
      <c r="G358" s="3">
        <f ca="1">IFERROR(__xludf.DUMMYFUNCTION("""COMPUTED_VALUE"""),0)</f>
        <v>0</v>
      </c>
      <c r="H358" s="3" t="str">
        <f ca="1">IFERROR(__xludf.DUMMYFUNCTION("""COMPUTED_VALUE"""),"car")</f>
        <v>car</v>
      </c>
      <c r="I358" s="3" t="str">
        <f ca="1">IFERROR(__xludf.DUMMYFUNCTION("""COMPUTED_VALUE"""),"2055-06-07T15:56:05.692138Z")</f>
        <v>2055-06-07T15:56:05.692138Z</v>
      </c>
      <c r="J358" s="3" t="str">
        <f ca="1">IFERROR(__xludf.DUMMYFUNCTION("""COMPUTED_VALUE"""),"2055-06-07T16:55:55.775Z")</f>
        <v>2055-06-07T16:55:55.775Z</v>
      </c>
      <c r="K358" s="3" t="str">
        <f ca="1">IFERROR(__xludf.DUMMYFUNCTION("""COMPUTED_VALUE"""),"2055-06-07T16:37:02.775Z")</f>
        <v>2055-06-07T16:37:02.775Z</v>
      </c>
      <c r="L358" s="3">
        <f ca="1">IFERROR(__xludf.DUMMYFUNCTION("""COMPUTED_VALUE"""),1)</f>
        <v>1</v>
      </c>
      <c r="M358" s="3">
        <f ca="1">IFERROR(__xludf.DUMMYFUNCTION("""COMPUTED_VALUE"""),0)</f>
        <v>0</v>
      </c>
      <c r="N358" s="3" t="str">
        <f ca="1">IFERROR(__xludf.DUMMYFUNCTION("""COMPUTED_VALUE"""),"2055-06-07T16:38:12.780882Z")</f>
        <v>2055-06-07T16:38:12.780882Z</v>
      </c>
      <c r="O358" s="3" t="str">
        <f ca="1">IFERROR(__xludf.DUMMYFUNCTION("""COMPUTED_VALUE"""),"2055-06-07T17:12:11.564302Z")</f>
        <v>2055-06-07T17:12:11.564302Z</v>
      </c>
      <c r="P358" s="3" t="str">
        <f ca="1">IFERROR(__xludf.DUMMYFUNCTION("""COMPUTED_VALUE"""),"2055-06-07T15:58:27.285834Z")</f>
        <v>2055-06-07T15:58:27.285834Z</v>
      </c>
      <c r="Q358" s="3">
        <f ca="1">IFERROR(__xludf.DUMMYFUNCTION("""COMPUTED_VALUE"""),0)</f>
        <v>0</v>
      </c>
      <c r="R358" s="3" t="str">
        <f ca="1">IFERROR(__xludf.DUMMYFUNCTION("""COMPUTED_VALUE"""),"2055-06-07T15:58:34.668836Z")</f>
        <v>2055-06-07T15:58:34.668836Z</v>
      </c>
      <c r="S358" s="3" t="str">
        <f ca="1">IFERROR(__xludf.DUMMYFUNCTION("""COMPUTED_VALUE"""),"2055-06-07T16:35:20.179709Z")</f>
        <v>2055-06-07T16:35:20.179709Z</v>
      </c>
      <c r="T358" s="3"/>
      <c r="U358" s="4">
        <f ca="1">IFERROR(__xludf.DUMMYFUNCTION("""COMPUTED_VALUE"""),56772)</f>
        <v>56772</v>
      </c>
      <c r="V358" s="3">
        <f ca="1">IFERROR(__xludf.DUMMYFUNCTION("""COMPUTED_VALUE"""),4.2)</f>
        <v>4.2</v>
      </c>
      <c r="W358" s="3">
        <f ca="1">IFERROR(__xludf.DUMMYFUNCTION("""COMPUTED_VALUE"""),3000)</f>
        <v>3000</v>
      </c>
      <c r="X358" s="3">
        <f ca="1">IFERROR(__xludf.DUMMYFUNCTION("""COMPUTED_VALUE"""),4417)</f>
        <v>4417</v>
      </c>
      <c r="Y358" s="3">
        <f ca="1">IFERROR(__xludf.DUMMYFUNCTION("""COMPUTED_VALUE"""),2206)</f>
        <v>2206</v>
      </c>
      <c r="Z358" s="3">
        <f ca="1">IFERROR(__xludf.DUMMYFUNCTION("""COMPUTED_VALUE"""),172)</f>
        <v>172</v>
      </c>
      <c r="AA358" s="3">
        <f ca="1">IFERROR(__xludf.DUMMYFUNCTION("""COMPUTED_VALUE"""),2039)</f>
        <v>2039</v>
      </c>
      <c r="AB358" s="3">
        <f ca="1">IFERROR(__xludf.DUMMYFUNCTION("""COMPUTED_VALUE"""),0)</f>
        <v>0</v>
      </c>
      <c r="AC358" s="3">
        <f ca="1">IFERROR(__xludf.DUMMYFUNCTION("""COMPUTED_VALUE"""),3)</f>
        <v>3</v>
      </c>
      <c r="AD358" s="3" t="str">
        <f ca="1">IFERROR(__xludf.DUMMYFUNCTION("""COMPUTED_VALUE"""),"late")</f>
        <v>late</v>
      </c>
      <c r="AE358" s="3" t="str">
        <f ca="1">IFERROR(__xludf.DUMMYFUNCTION("""COMPUTED_VALUE"""),"2055-06-07T12:38:12.780882Z")</f>
        <v>2055-06-07T12:38:12.780882Z</v>
      </c>
      <c r="AF358" s="3" t="str">
        <f ca="1">IFERROR(__xludf.DUMMYFUNCTION("""COMPUTED_VALUE"""),"2055-06-07T13:12:11.564302Z")</f>
        <v>2055-06-07T13:12:11.564302Z</v>
      </c>
      <c r="AG358" s="3" t="str">
        <f ca="1">IFERROR(__xludf.DUMMYFUNCTION("""COMPUTED_VALUE"""),"2055-06-07T11:58:27.285834Z")</f>
        <v>2055-06-07T11:58:27.285834Z</v>
      </c>
      <c r="AH358" s="3" t="str">
        <f ca="1">IFERROR(__xludf.DUMMYFUNCTION("""COMPUTED_VALUE"""),"2055-06-07T12:35:20.179709Z")</f>
        <v>2055-06-07T12:35:20.179709Z</v>
      </c>
      <c r="AI358" s="3">
        <f ca="1">IFERROR(__xludf.DUMMYFUNCTION("""COMPUTED_VALUE"""),4.38)</f>
        <v>4.38</v>
      </c>
      <c r="AJ358" s="3">
        <f ca="1">IFERROR(__xludf.DUMMYFUNCTION("""COMPUTED_VALUE"""),196)</f>
        <v>196</v>
      </c>
      <c r="AK358" s="3">
        <f ca="1">IFERROR(__xludf.DUMMYFUNCTION("""COMPUTED_VALUE"""),626)</f>
        <v>626</v>
      </c>
      <c r="AL358" s="3"/>
    </row>
    <row r="359" spans="1:38" ht="13">
      <c r="A359" s="3">
        <f ca="1">IFERROR(__xludf.DUMMYFUNCTION("""COMPUTED_VALUE"""),193)</f>
        <v>193</v>
      </c>
      <c r="B359" s="3"/>
      <c r="C359" s="3">
        <f ca="1">IFERROR(__xludf.DUMMYFUNCTION("""COMPUTED_VALUE"""),4050)</f>
        <v>4050</v>
      </c>
      <c r="D359" s="3" t="str">
        <f ca="1">IFERROR(__xludf.DUMMYFUNCTION("""COMPUTED_VALUE"""),"Doorlanta")</f>
        <v>Doorlanta</v>
      </c>
      <c r="E359" s="3" t="str">
        <f ca="1">IFERROR(__xludf.DUMMYFUNCTION("""COMPUTED_VALUE"""),"Galaxy A")</f>
        <v>Galaxy A</v>
      </c>
      <c r="F359" s="3" t="str">
        <f ca="1">IFERROR(__xludf.DUMMYFUNCTION("""COMPUTED_VALUE"""),"Matt")</f>
        <v>Matt</v>
      </c>
      <c r="G359" s="3">
        <f ca="1">IFERROR(__xludf.DUMMYFUNCTION("""COMPUTED_VALUE"""),0)</f>
        <v>0</v>
      </c>
      <c r="H359" s="3" t="str">
        <f ca="1">IFERROR(__xludf.DUMMYFUNCTION("""COMPUTED_VALUE"""),"car")</f>
        <v>car</v>
      </c>
      <c r="I359" s="3" t="str">
        <f ca="1">IFERROR(__xludf.DUMMYFUNCTION("""COMPUTED_VALUE"""),"2055-06-02T22:40:46.99148Z")</f>
        <v>2055-06-02T22:40:46.99148Z</v>
      </c>
      <c r="J359" s="3" t="str">
        <f ca="1">IFERROR(__xludf.DUMMYFUNCTION("""COMPUTED_VALUE"""),"2055-06-02T23:41:37.053Z")</f>
        <v>2055-06-02T23:41:37.053Z</v>
      </c>
      <c r="K359" s="3" t="str">
        <f ca="1">IFERROR(__xludf.DUMMYFUNCTION("""COMPUTED_VALUE"""),"2055-06-02T23:22:44.053Z")</f>
        <v>2055-06-02T23:22:44.053Z</v>
      </c>
      <c r="L359" s="3">
        <f ca="1">IFERROR(__xludf.DUMMYFUNCTION("""COMPUTED_VALUE"""),1)</f>
        <v>1</v>
      </c>
      <c r="M359" s="3">
        <f ca="1">IFERROR(__xludf.DUMMYFUNCTION("""COMPUTED_VALUE"""),0)</f>
        <v>0</v>
      </c>
      <c r="N359" s="3" t="str">
        <f ca="1">IFERROR(__xludf.DUMMYFUNCTION("""COMPUTED_VALUE"""),"2055-06-02T23:18:08.395219Z")</f>
        <v>2055-06-02T23:18:08.395219Z</v>
      </c>
      <c r="O359" s="3" t="str">
        <f ca="1">IFERROR(__xludf.DUMMYFUNCTION("""COMPUTED_VALUE"""),"2055-06-02T23:48:10.624264Z")</f>
        <v>2055-06-02T23:48:10.624264Z</v>
      </c>
      <c r="P359" s="3" t="str">
        <f ca="1">IFERROR(__xludf.DUMMYFUNCTION("""COMPUTED_VALUE"""),"2055-06-02T22:41:07.457784Z")</f>
        <v>2055-06-02T22:41:07.457784Z</v>
      </c>
      <c r="Q359" s="3">
        <f ca="1">IFERROR(__xludf.DUMMYFUNCTION("""COMPUTED_VALUE"""),0)</f>
        <v>0</v>
      </c>
      <c r="R359" s="3" t="str">
        <f ca="1">IFERROR(__xludf.DUMMYFUNCTION("""COMPUTED_VALUE"""),"2055-06-02T22:41:22.292416Z")</f>
        <v>2055-06-02T22:41:22.292416Z</v>
      </c>
      <c r="S359" s="3" t="str">
        <f ca="1">IFERROR(__xludf.DUMMYFUNCTION("""COMPUTED_VALUE"""),"2055-06-02T23:13:43.964752Z")</f>
        <v>2055-06-02T23:13:43.964752Z</v>
      </c>
      <c r="T359" s="3"/>
      <c r="U359" s="4">
        <f ca="1">IFERROR(__xludf.DUMMYFUNCTION("""COMPUTED_VALUE"""),56767)</f>
        <v>56767</v>
      </c>
      <c r="V359" s="3">
        <f ca="1">IFERROR(__xludf.DUMMYFUNCTION("""COMPUTED_VALUE"""),4)</f>
        <v>4</v>
      </c>
      <c r="W359" s="3">
        <f ca="1">IFERROR(__xludf.DUMMYFUNCTION("""COMPUTED_VALUE"""),3000)</f>
        <v>3000</v>
      </c>
      <c r="X359" s="3">
        <f ca="1">IFERROR(__xludf.DUMMYFUNCTION("""COMPUTED_VALUE"""),4008)</f>
        <v>4008</v>
      </c>
      <c r="Y359" s="3">
        <f ca="1">IFERROR(__xludf.DUMMYFUNCTION("""COMPUTED_VALUE"""),1941)</f>
        <v>1941</v>
      </c>
      <c r="Z359" s="3">
        <f ca="1">IFERROR(__xludf.DUMMYFUNCTION("""COMPUTED_VALUE"""),265)</f>
        <v>265</v>
      </c>
      <c r="AA359" s="3">
        <f ca="1">IFERROR(__xludf.DUMMYFUNCTION("""COMPUTED_VALUE"""),1802)</f>
        <v>1802</v>
      </c>
      <c r="AB359" s="3">
        <f ca="1">IFERROR(__xludf.DUMMYFUNCTION("""COMPUTED_VALUE"""),0)</f>
        <v>0</v>
      </c>
      <c r="AC359" s="3">
        <f ca="1">IFERROR(__xludf.DUMMYFUNCTION("""COMPUTED_VALUE"""),3)</f>
        <v>3</v>
      </c>
      <c r="AD359" s="3" t="str">
        <f ca="1">IFERROR(__xludf.DUMMYFUNCTION("""COMPUTED_VALUE"""),"late")</f>
        <v>late</v>
      </c>
      <c r="AE359" s="3" t="str">
        <f ca="1">IFERROR(__xludf.DUMMYFUNCTION("""COMPUTED_VALUE"""),"2055-06-02T19:18:08.395219Z")</f>
        <v>2055-06-02T19:18:08.395219Z</v>
      </c>
      <c r="AF359" s="3" t="str">
        <f ca="1">IFERROR(__xludf.DUMMYFUNCTION("""COMPUTED_VALUE"""),"2055-06-02T19:48:10.624264Z")</f>
        <v>2055-06-02T19:48:10.624264Z</v>
      </c>
      <c r="AG359" s="3" t="str">
        <f ca="1">IFERROR(__xludf.DUMMYFUNCTION("""COMPUTED_VALUE"""),"2055-06-02T18:41:07.457784Z")</f>
        <v>2055-06-02T18:41:07.457784Z</v>
      </c>
      <c r="AH359" s="3" t="str">
        <f ca="1">IFERROR(__xludf.DUMMYFUNCTION("""COMPUTED_VALUE"""),"2055-06-02T19:13:43.964752Z")</f>
        <v>2055-06-02T19:13:43.964752Z</v>
      </c>
      <c r="AI359" s="3">
        <f ca="1">IFERROR(__xludf.DUMMYFUNCTION("""COMPUTED_VALUE"""),4.22)</f>
        <v>4.22</v>
      </c>
      <c r="AJ359" s="3">
        <f ca="1">IFERROR(__xludf.DUMMYFUNCTION("""COMPUTED_VALUE"""),1551)</f>
        <v>1551</v>
      </c>
      <c r="AK359" s="3">
        <f ca="1">IFERROR(__xludf.DUMMYFUNCTION("""COMPUTED_VALUE"""),4625)</f>
        <v>4625</v>
      </c>
      <c r="AL359" s="3"/>
    </row>
    <row r="360" spans="1:38" ht="13">
      <c r="A360" s="3">
        <f ca="1">IFERROR(__xludf.DUMMYFUNCTION("""COMPUTED_VALUE"""),748)</f>
        <v>748</v>
      </c>
      <c r="B360" s="3">
        <f ca="1">IFERROR(__xludf.DUMMYFUNCTION("""COMPUTED_VALUE"""),5)</f>
        <v>5</v>
      </c>
      <c r="C360" s="3">
        <f ca="1">IFERROR(__xludf.DUMMYFUNCTION("""COMPUTED_VALUE"""),4001)</f>
        <v>4001</v>
      </c>
      <c r="D360" s="3" t="str">
        <f ca="1">IFERROR(__xludf.DUMMYFUNCTION("""COMPUTED_VALUE"""),"Dashattan")</f>
        <v>Dashattan</v>
      </c>
      <c r="E360" s="3" t="str">
        <f ca="1">IFERROR(__xludf.DUMMYFUNCTION("""COMPUTED_VALUE"""),"Galaxy A")</f>
        <v>Galaxy A</v>
      </c>
      <c r="F360" s="3" t="str">
        <f ca="1">IFERROR(__xludf.DUMMYFUNCTION("""COMPUTED_VALUE"""),"Sean")</f>
        <v>Sean</v>
      </c>
      <c r="G360" s="3">
        <f ca="1">IFERROR(__xludf.DUMMYFUNCTION("""COMPUTED_VALUE"""),0)</f>
        <v>0</v>
      </c>
      <c r="H360" s="3" t="str">
        <f ca="1">IFERROR(__xludf.DUMMYFUNCTION("""COMPUTED_VALUE"""),"bicycle")</f>
        <v>bicycle</v>
      </c>
      <c r="I360" s="3" t="str">
        <f ca="1">IFERROR(__xludf.DUMMYFUNCTION("""COMPUTED_VALUE"""),"2055-06-06T17:17:36.319962Z")</f>
        <v>2055-06-06T17:17:36.319962Z</v>
      </c>
      <c r="J360" s="3" t="str">
        <f ca="1">IFERROR(__xludf.DUMMYFUNCTION("""COMPUTED_VALUE"""),"2055-06-06T17:55:51.398Z")</f>
        <v>2055-06-06T17:55:51.398Z</v>
      </c>
      <c r="K360" s="3" t="str">
        <f ca="1">IFERROR(__xludf.DUMMYFUNCTION("""COMPUTED_VALUE"""),"2055-06-06T17:45:44.398Z")</f>
        <v>2055-06-06T17:45:44.398Z</v>
      </c>
      <c r="L360" s="3">
        <f ca="1">IFERROR(__xludf.DUMMYFUNCTION("""COMPUTED_VALUE"""),1)</f>
        <v>1</v>
      </c>
      <c r="M360" s="3">
        <f ca="1">IFERROR(__xludf.DUMMYFUNCTION("""COMPUTED_VALUE"""),0)</f>
        <v>0</v>
      </c>
      <c r="N360" s="3" t="str">
        <f ca="1">IFERROR(__xludf.DUMMYFUNCTION("""COMPUTED_VALUE"""),"2055-06-06T17:29:09.567086Z")</f>
        <v>2055-06-06T17:29:09.567086Z</v>
      </c>
      <c r="O360" s="3" t="str">
        <f ca="1">IFERROR(__xludf.DUMMYFUNCTION("""COMPUTED_VALUE"""),"2055-06-06T17:37:59.491604Z")</f>
        <v>2055-06-06T17:37:59.491604Z</v>
      </c>
      <c r="P360" s="3" t="str">
        <f ca="1">IFERROR(__xludf.DUMMYFUNCTION("""COMPUTED_VALUE"""),"2055-06-06T17:20:34.352601Z")</f>
        <v>2055-06-06T17:20:34.352601Z</v>
      </c>
      <c r="Q360" s="3">
        <f ca="1">IFERROR(__xludf.DUMMYFUNCTION("""COMPUTED_VALUE"""),0)</f>
        <v>0</v>
      </c>
      <c r="R360" s="3" t="str">
        <f ca="1">IFERROR(__xludf.DUMMYFUNCTION("""COMPUTED_VALUE"""),"2055-06-06T17:20:50.08123Z")</f>
        <v>2055-06-06T17:20:50.08123Z</v>
      </c>
      <c r="S360" s="3" t="str">
        <f ca="1">IFERROR(__xludf.DUMMYFUNCTION("""COMPUTED_VALUE"""),"2055-06-06T17:25:09.596824Z")</f>
        <v>2055-06-06T17:25:09.596824Z</v>
      </c>
      <c r="T360" s="3"/>
      <c r="U360" s="4">
        <f ca="1">IFERROR(__xludf.DUMMYFUNCTION("""COMPUTED_VALUE"""),56771)</f>
        <v>56771</v>
      </c>
      <c r="V360" s="3">
        <f ca="1">IFERROR(__xludf.DUMMYFUNCTION("""COMPUTED_VALUE"""),3.379793039)</f>
        <v>3.3797930389999999</v>
      </c>
      <c r="W360" s="3">
        <f ca="1">IFERROR(__xludf.DUMMYFUNCTION("""COMPUTED_VALUE"""),3000)</f>
        <v>3000</v>
      </c>
      <c r="X360" s="3">
        <f ca="1">IFERROR(__xludf.DUMMYFUNCTION("""COMPUTED_VALUE"""),1029)</f>
        <v>1029</v>
      </c>
      <c r="Y360" s="3">
        <f ca="1">IFERROR(__xludf.DUMMYFUNCTION("""COMPUTED_VALUE"""),259)</f>
        <v>259</v>
      </c>
      <c r="Z360" s="3">
        <f ca="1">IFERROR(__xludf.DUMMYFUNCTION("""COMPUTED_VALUE"""),240)</f>
        <v>240</v>
      </c>
      <c r="AA360" s="3">
        <f ca="1">IFERROR(__xludf.DUMMYFUNCTION("""COMPUTED_VALUE"""),530)</f>
        <v>530</v>
      </c>
      <c r="AB360" s="3">
        <f ca="1">IFERROR(__xludf.DUMMYFUNCTION("""COMPUTED_VALUE"""),0)</f>
        <v>0</v>
      </c>
      <c r="AC360" s="3">
        <f ca="1">IFERROR(__xludf.DUMMYFUNCTION("""COMPUTED_VALUE"""),2)</f>
        <v>2</v>
      </c>
      <c r="AD360" s="3" t="str">
        <f ca="1">IFERROR(__xludf.DUMMYFUNCTION("""COMPUTED_VALUE"""),"on time")</f>
        <v>on time</v>
      </c>
      <c r="AE360" s="3" t="str">
        <f ca="1">IFERROR(__xludf.DUMMYFUNCTION("""COMPUTED_VALUE"""),"2055-06-06T13:29:09.567086Z")</f>
        <v>2055-06-06T13:29:09.567086Z</v>
      </c>
      <c r="AF360" s="3" t="str">
        <f ca="1">IFERROR(__xludf.DUMMYFUNCTION("""COMPUTED_VALUE"""),"2055-06-06T13:37:59.491604Z")</f>
        <v>2055-06-06T13:37:59.491604Z</v>
      </c>
      <c r="AG360" s="3" t="str">
        <f ca="1">IFERROR(__xludf.DUMMYFUNCTION("""COMPUTED_VALUE"""),"2055-06-06T13:20:34.352601Z")</f>
        <v>2055-06-06T13:20:34.352601Z</v>
      </c>
      <c r="AH360" s="3" t="str">
        <f ca="1">IFERROR(__xludf.DUMMYFUNCTION("""COMPUTED_VALUE"""),"2055-06-06T13:25:09.596824Z")</f>
        <v>2055-06-06T13:25:09.596824Z</v>
      </c>
      <c r="AI360" s="3">
        <f ca="1">IFERROR(__xludf.DUMMYFUNCTION("""COMPUTED_VALUE"""),4.52)</f>
        <v>4.5199999999999996</v>
      </c>
      <c r="AJ360" s="3">
        <f ca="1">IFERROR(__xludf.DUMMYFUNCTION("""COMPUTED_VALUE"""),183)</f>
        <v>183</v>
      </c>
      <c r="AK360" s="3">
        <f ca="1">IFERROR(__xludf.DUMMYFUNCTION("""COMPUTED_VALUE"""),522)</f>
        <v>522</v>
      </c>
      <c r="AL360" s="3"/>
    </row>
    <row r="361" spans="1:38" ht="13">
      <c r="A361" s="3">
        <f ca="1">IFERROR(__xludf.DUMMYFUNCTION("""COMPUTED_VALUE"""),651)</f>
        <v>651</v>
      </c>
      <c r="B361" s="3">
        <f ca="1">IFERROR(__xludf.DUMMYFUNCTION("""COMPUTED_VALUE"""),5)</f>
        <v>5</v>
      </c>
      <c r="C361" s="3">
        <f ca="1">IFERROR(__xludf.DUMMYFUNCTION("""COMPUTED_VALUE"""),4050)</f>
        <v>4050</v>
      </c>
      <c r="D361" s="3" t="str">
        <f ca="1">IFERROR(__xludf.DUMMYFUNCTION("""COMPUTED_VALUE"""),"Doorlanta")</f>
        <v>Doorlanta</v>
      </c>
      <c r="E361" s="3" t="str">
        <f ca="1">IFERROR(__xludf.DUMMYFUNCTION("""COMPUTED_VALUE"""),"Galaxy A")</f>
        <v>Galaxy A</v>
      </c>
      <c r="F361" s="3" t="str">
        <f ca="1">IFERROR(__xludf.DUMMYFUNCTION("""COMPUTED_VALUE"""),"Benn")</f>
        <v>Benn</v>
      </c>
      <c r="G361" s="3">
        <f ca="1">IFERROR(__xludf.DUMMYFUNCTION("""COMPUTED_VALUE"""),0)</f>
        <v>0</v>
      </c>
      <c r="H361" s="3" t="str">
        <f ca="1">IFERROR(__xludf.DUMMYFUNCTION("""COMPUTED_VALUE"""),"car")</f>
        <v>car</v>
      </c>
      <c r="I361" s="3" t="str">
        <f ca="1">IFERROR(__xludf.DUMMYFUNCTION("""COMPUTED_VALUE"""),"2055-06-05T22:29:23.76135Z")</f>
        <v>2055-06-05T22:29:23.76135Z</v>
      </c>
      <c r="J361" s="3" t="str">
        <f ca="1">IFERROR(__xludf.DUMMYFUNCTION("""COMPUTED_VALUE"""),"2055-06-05T23:22:31.863Z")</f>
        <v>2055-06-05T23:22:31.863Z</v>
      </c>
      <c r="K361" s="3" t="str">
        <f ca="1">IFERROR(__xludf.DUMMYFUNCTION("""COMPUTED_VALUE"""),"2055-06-05T23:12:24.863Z")</f>
        <v>2055-06-05T23:12:24.863Z</v>
      </c>
      <c r="L361" s="3">
        <f ca="1">IFERROR(__xludf.DUMMYFUNCTION("""COMPUTED_VALUE"""),1)</f>
        <v>1</v>
      </c>
      <c r="M361" s="3">
        <f ca="1">IFERROR(__xludf.DUMMYFUNCTION("""COMPUTED_VALUE"""),0)</f>
        <v>0</v>
      </c>
      <c r="N361" s="3" t="str">
        <f ca="1">IFERROR(__xludf.DUMMYFUNCTION("""COMPUTED_VALUE"""),"2055-06-05T22:47:21.136699Z")</f>
        <v>2055-06-05T22:47:21.136699Z</v>
      </c>
      <c r="O361" s="3" t="str">
        <f ca="1">IFERROR(__xludf.DUMMYFUNCTION("""COMPUTED_VALUE"""),"2055-06-05T23:15:20.185431Z")</f>
        <v>2055-06-05T23:15:20.185431Z</v>
      </c>
      <c r="P361" s="3" t="str">
        <f ca="1">IFERROR(__xludf.DUMMYFUNCTION("""COMPUTED_VALUE"""),"2055-06-05T22:34:07.962086Z")</f>
        <v>2055-06-05T22:34:07.962086Z</v>
      </c>
      <c r="Q361" s="3">
        <f ca="1">IFERROR(__xludf.DUMMYFUNCTION("""COMPUTED_VALUE"""),0)</f>
        <v>0</v>
      </c>
      <c r="R361" s="3" t="str">
        <f ca="1">IFERROR(__xludf.DUMMYFUNCTION("""COMPUTED_VALUE"""),"2055-06-05T22:34:59.911622Z")</f>
        <v>2055-06-05T22:34:59.911622Z</v>
      </c>
      <c r="S361" s="3" t="str">
        <f ca="1">IFERROR(__xludf.DUMMYFUNCTION("""COMPUTED_VALUE"""),"2055-06-05T22:40:34.846247Z")</f>
        <v>2055-06-05T22:40:34.846247Z</v>
      </c>
      <c r="T361" s="3"/>
      <c r="U361" s="4">
        <f ca="1">IFERROR(__xludf.DUMMYFUNCTION("""COMPUTED_VALUE"""),56770)</f>
        <v>56770</v>
      </c>
      <c r="V361" s="3">
        <f ca="1">IFERROR(__xludf.DUMMYFUNCTION("""COMPUTED_VALUE"""),4.7)</f>
        <v>4.7</v>
      </c>
      <c r="W361" s="3">
        <f ca="1">IFERROR(__xludf.DUMMYFUNCTION("""COMPUTED_VALUE"""),3000)</f>
        <v>3000</v>
      </c>
      <c r="X361" s="3">
        <f ca="1">IFERROR(__xludf.DUMMYFUNCTION("""COMPUTED_VALUE"""),2421)</f>
        <v>2421</v>
      </c>
      <c r="Y361" s="3">
        <f ca="1">IFERROR(__xludf.DUMMYFUNCTION("""COMPUTED_VALUE"""),335)</f>
        <v>335</v>
      </c>
      <c r="Z361" s="3">
        <f ca="1">IFERROR(__xludf.DUMMYFUNCTION("""COMPUTED_VALUE"""),407)</f>
        <v>407</v>
      </c>
      <c r="AA361" s="3">
        <f ca="1">IFERROR(__xludf.DUMMYFUNCTION("""COMPUTED_VALUE"""),1679)</f>
        <v>1679</v>
      </c>
      <c r="AB361" s="3">
        <f ca="1">IFERROR(__xludf.DUMMYFUNCTION("""COMPUTED_VALUE"""),0)</f>
        <v>0</v>
      </c>
      <c r="AC361" s="3">
        <f ca="1">IFERROR(__xludf.DUMMYFUNCTION("""COMPUTED_VALUE"""),3)</f>
        <v>3</v>
      </c>
      <c r="AD361" s="3" t="str">
        <f ca="1">IFERROR(__xludf.DUMMYFUNCTION("""COMPUTED_VALUE"""),"on time")</f>
        <v>on time</v>
      </c>
      <c r="AE361" s="3" t="str">
        <f ca="1">IFERROR(__xludf.DUMMYFUNCTION("""COMPUTED_VALUE"""),"2055-06-05T18:47:21.136699Z")</f>
        <v>2055-06-05T18:47:21.136699Z</v>
      </c>
      <c r="AF361" s="3" t="str">
        <f ca="1">IFERROR(__xludf.DUMMYFUNCTION("""COMPUTED_VALUE"""),"2055-06-05T19:15:20.185431Z")</f>
        <v>2055-06-05T19:15:20.185431Z</v>
      </c>
      <c r="AG361" s="3" t="str">
        <f ca="1">IFERROR(__xludf.DUMMYFUNCTION("""COMPUTED_VALUE"""),"2055-06-05T18:34:07.962086Z")</f>
        <v>2055-06-05T18:34:07.962086Z</v>
      </c>
      <c r="AH361" s="3" t="str">
        <f ca="1">IFERROR(__xludf.DUMMYFUNCTION("""COMPUTED_VALUE"""),"2055-06-05T18:40:34.846247Z")</f>
        <v>2055-06-05T18:40:34.846247Z</v>
      </c>
      <c r="AI361" s="3">
        <f ca="1">IFERROR(__xludf.DUMMYFUNCTION("""COMPUTED_VALUE"""),4.63)</f>
        <v>4.63</v>
      </c>
      <c r="AJ361" s="3">
        <f ca="1">IFERROR(__xludf.DUMMYFUNCTION("""COMPUTED_VALUE"""),241)</f>
        <v>241</v>
      </c>
      <c r="AK361" s="3">
        <f ca="1">IFERROR(__xludf.DUMMYFUNCTION("""COMPUTED_VALUE"""),995)</f>
        <v>995</v>
      </c>
      <c r="AL361" s="3">
        <f ca="1">IFERROR(__xludf.DUMMYFUNCTION("""COMPUTED_VALUE"""),626)</f>
        <v>626</v>
      </c>
    </row>
    <row r="362" spans="1:38" ht="13">
      <c r="A362" s="3">
        <f ca="1">IFERROR(__xludf.DUMMYFUNCTION("""COMPUTED_VALUE"""),340)</f>
        <v>340</v>
      </c>
      <c r="B362" s="3">
        <f ca="1">IFERROR(__xludf.DUMMYFUNCTION("""COMPUTED_VALUE"""),5)</f>
        <v>5</v>
      </c>
      <c r="C362" s="3">
        <f ca="1">IFERROR(__xludf.DUMMYFUNCTION("""COMPUTED_VALUE"""),4050)</f>
        <v>4050</v>
      </c>
      <c r="D362" s="3" t="str">
        <f ca="1">IFERROR(__xludf.DUMMYFUNCTION("""COMPUTED_VALUE"""),"Doorlanta")</f>
        <v>Doorlanta</v>
      </c>
      <c r="E362" s="3" t="str">
        <f ca="1">IFERROR(__xludf.DUMMYFUNCTION("""COMPUTED_VALUE"""),"Galaxy A")</f>
        <v>Galaxy A</v>
      </c>
      <c r="F362" s="3" t="str">
        <f ca="1">IFERROR(__xludf.DUMMYFUNCTION("""COMPUTED_VALUE"""),"Andy")</f>
        <v>Andy</v>
      </c>
      <c r="G362" s="3">
        <f ca="1">IFERROR(__xludf.DUMMYFUNCTION("""COMPUTED_VALUE"""),0)</f>
        <v>0</v>
      </c>
      <c r="H362" s="3" t="str">
        <f ca="1">IFERROR(__xludf.DUMMYFUNCTION("""COMPUTED_VALUE"""),"car")</f>
        <v>car</v>
      </c>
      <c r="I362" s="3" t="str">
        <f ca="1">IFERROR(__xludf.DUMMYFUNCTION("""COMPUTED_VALUE"""),"2055-06-03T21:54:33.462953Z")</f>
        <v>2055-06-03T21:54:33.462953Z</v>
      </c>
      <c r="J362" s="3" t="str">
        <f ca="1">IFERROR(__xludf.DUMMYFUNCTION("""COMPUTED_VALUE"""),"2055-06-03T23:00:57.54Z")</f>
        <v>2055-06-03T23:00:57.54Z</v>
      </c>
      <c r="K362" s="3" t="str">
        <f ca="1">IFERROR(__xludf.DUMMYFUNCTION("""COMPUTED_VALUE"""),"2055-06-03T22:41:16.54Z")</f>
        <v>2055-06-03T22:41:16.54Z</v>
      </c>
      <c r="L362" s="3">
        <f ca="1">IFERROR(__xludf.DUMMYFUNCTION("""COMPUTED_VALUE"""),1)</f>
        <v>1</v>
      </c>
      <c r="M362" s="3">
        <f ca="1">IFERROR(__xludf.DUMMYFUNCTION("""COMPUTED_VALUE"""),0)</f>
        <v>0</v>
      </c>
      <c r="N362" s="3" t="str">
        <f ca="1">IFERROR(__xludf.DUMMYFUNCTION("""COMPUTED_VALUE"""),"2055-06-03T22:33:58.336249Z")</f>
        <v>2055-06-03T22:33:58.336249Z</v>
      </c>
      <c r="O362" s="3" t="str">
        <f ca="1">IFERROR(__xludf.DUMMYFUNCTION("""COMPUTED_VALUE"""),"2055-06-03T22:49:26.68629Z")</f>
        <v>2055-06-03T22:49:26.68629Z</v>
      </c>
      <c r="P362" s="3" t="str">
        <f ca="1">IFERROR(__xludf.DUMMYFUNCTION("""COMPUTED_VALUE"""),"2055-06-03T22:23:07.358923Z")</f>
        <v>2055-06-03T22:23:07.358923Z</v>
      </c>
      <c r="Q362" s="3">
        <f ca="1">IFERROR(__xludf.DUMMYFUNCTION("""COMPUTED_VALUE"""),0)</f>
        <v>0</v>
      </c>
      <c r="R362" s="3" t="str">
        <f ca="1">IFERROR(__xludf.DUMMYFUNCTION("""COMPUTED_VALUE"""),"2055-06-03T22:23:10.518251Z")</f>
        <v>2055-06-03T22:23:10.518251Z</v>
      </c>
      <c r="S362" s="3" t="str">
        <f ca="1">IFERROR(__xludf.DUMMYFUNCTION("""COMPUTED_VALUE"""),"2055-06-03T22:31:25.293028Z")</f>
        <v>2055-06-03T22:31:25.293028Z</v>
      </c>
      <c r="T362" s="3"/>
      <c r="U362" s="4">
        <f ca="1">IFERROR(__xludf.DUMMYFUNCTION("""COMPUTED_VALUE"""),56768)</f>
        <v>56768</v>
      </c>
      <c r="V362" s="3">
        <f ca="1">IFERROR(__xludf.DUMMYFUNCTION("""COMPUTED_VALUE"""),4.7)</f>
        <v>4.7</v>
      </c>
      <c r="W362" s="3">
        <f ca="1">IFERROR(__xludf.DUMMYFUNCTION("""COMPUTED_VALUE"""),3000)</f>
        <v>3000</v>
      </c>
      <c r="X362" s="3">
        <f ca="1">IFERROR(__xludf.DUMMYFUNCTION("""COMPUTED_VALUE"""),1576)</f>
        <v>1576</v>
      </c>
      <c r="Y362" s="3">
        <f ca="1">IFERROR(__xludf.DUMMYFUNCTION("""COMPUTED_VALUE"""),495)</f>
        <v>495</v>
      </c>
      <c r="Z362" s="3">
        <f ca="1">IFERROR(__xludf.DUMMYFUNCTION("""COMPUTED_VALUE"""),153)</f>
        <v>153</v>
      </c>
      <c r="AA362" s="3">
        <f ca="1">IFERROR(__xludf.DUMMYFUNCTION("""COMPUTED_VALUE"""),928)</f>
        <v>928</v>
      </c>
      <c r="AB362" s="3">
        <f ca="1">IFERROR(__xludf.DUMMYFUNCTION("""COMPUTED_VALUE"""),0)</f>
        <v>0</v>
      </c>
      <c r="AC362" s="3">
        <f ca="1">IFERROR(__xludf.DUMMYFUNCTION("""COMPUTED_VALUE"""),2)</f>
        <v>2</v>
      </c>
      <c r="AD362" s="3"/>
      <c r="AE362" s="3" t="str">
        <f ca="1">IFERROR(__xludf.DUMMYFUNCTION("""COMPUTED_VALUE"""),"2055-06-03T18:33:58.336249Z")</f>
        <v>2055-06-03T18:33:58.336249Z</v>
      </c>
      <c r="AF362" s="3" t="str">
        <f ca="1">IFERROR(__xludf.DUMMYFUNCTION("""COMPUTED_VALUE"""),"2055-06-03T18:49:26.68629Z")</f>
        <v>2055-06-03T18:49:26.68629Z</v>
      </c>
      <c r="AG362" s="3" t="str">
        <f ca="1">IFERROR(__xludf.DUMMYFUNCTION("""COMPUTED_VALUE"""),"2055-06-03T18:23:07.358923Z")</f>
        <v>2055-06-03T18:23:07.358923Z</v>
      </c>
      <c r="AH362" s="3" t="str">
        <f ca="1">IFERROR(__xludf.DUMMYFUNCTION("""COMPUTED_VALUE"""),"2055-06-03T18:31:25.293028Z")</f>
        <v>2055-06-03T18:31:25.293028Z</v>
      </c>
      <c r="AI362" s="3">
        <f ca="1">IFERROR(__xludf.DUMMYFUNCTION("""COMPUTED_VALUE"""),4.5)</f>
        <v>4.5</v>
      </c>
      <c r="AJ362" s="3">
        <f ca="1">IFERROR(__xludf.DUMMYFUNCTION("""COMPUTED_VALUE"""),55)</f>
        <v>55</v>
      </c>
      <c r="AK362" s="3">
        <f ca="1">IFERROR(__xludf.DUMMYFUNCTION("""COMPUTED_VALUE"""),211)</f>
        <v>211</v>
      </c>
      <c r="AL362" s="3">
        <f ca="1">IFERROR(__xludf.DUMMYFUNCTION("""COMPUTED_VALUE"""),6)</f>
        <v>6</v>
      </c>
    </row>
    <row r="363" spans="1:38" ht="13">
      <c r="A363" s="3">
        <f ca="1">IFERROR(__xludf.DUMMYFUNCTION("""COMPUTED_VALUE"""),467)</f>
        <v>467</v>
      </c>
      <c r="B363" s="3">
        <f ca="1">IFERROR(__xludf.DUMMYFUNCTION("""COMPUTED_VALUE"""),4)</f>
        <v>4</v>
      </c>
      <c r="C363" s="3">
        <f ca="1">IFERROR(__xludf.DUMMYFUNCTION("""COMPUTED_VALUE"""),4050)</f>
        <v>4050</v>
      </c>
      <c r="D363" s="3" t="str">
        <f ca="1">IFERROR(__xludf.DUMMYFUNCTION("""COMPUTED_VALUE"""),"Doorlanta")</f>
        <v>Doorlanta</v>
      </c>
      <c r="E363" s="3" t="str">
        <f ca="1">IFERROR(__xludf.DUMMYFUNCTION("""COMPUTED_VALUE"""),"Galaxy A")</f>
        <v>Galaxy A</v>
      </c>
      <c r="F363" s="3" t="str">
        <f ca="1">IFERROR(__xludf.DUMMYFUNCTION("""COMPUTED_VALUE"""),"Katelynn")</f>
        <v>Katelynn</v>
      </c>
      <c r="G363" s="3">
        <f ca="1">IFERROR(__xludf.DUMMYFUNCTION("""COMPUTED_VALUE"""),0)</f>
        <v>0</v>
      </c>
      <c r="H363" s="3" t="str">
        <f ca="1">IFERROR(__xludf.DUMMYFUNCTION("""COMPUTED_VALUE"""),"car")</f>
        <v>car</v>
      </c>
      <c r="I363" s="3" t="str">
        <f ca="1">IFERROR(__xludf.DUMMYFUNCTION("""COMPUTED_VALUE"""),"2055-06-04T22:36:20.592633Z")</f>
        <v>2055-06-04T22:36:20.592633Z</v>
      </c>
      <c r="J363" s="3" t="str">
        <f ca="1">IFERROR(__xludf.DUMMYFUNCTION("""COMPUTED_VALUE"""),"2055-06-04T23:44:54.668Z")</f>
        <v>2055-06-04T23:44:54.668Z</v>
      </c>
      <c r="K363" s="3" t="str">
        <f ca="1">IFERROR(__xludf.DUMMYFUNCTION("""COMPUTED_VALUE"""),"2055-06-04T23:23:00.668Z")</f>
        <v>2055-06-04T23:23:00.668Z</v>
      </c>
      <c r="L363" s="3">
        <f ca="1">IFERROR(__xludf.DUMMYFUNCTION("""COMPUTED_VALUE"""),1)</f>
        <v>1</v>
      </c>
      <c r="M363" s="3">
        <f ca="1">IFERROR(__xludf.DUMMYFUNCTION("""COMPUTED_VALUE"""),0)</f>
        <v>0</v>
      </c>
      <c r="N363" s="3" t="str">
        <f ca="1">IFERROR(__xludf.DUMMYFUNCTION("""COMPUTED_VALUE"""),"2055-06-04T22:56:38.722916Z")</f>
        <v>2055-06-04T22:56:38.722916Z</v>
      </c>
      <c r="O363" s="3" t="str">
        <f ca="1">IFERROR(__xludf.DUMMYFUNCTION("""COMPUTED_VALUE"""),"2055-06-04T23:10:35.171271Z")</f>
        <v>2055-06-04T23:10:35.171271Z</v>
      </c>
      <c r="P363" s="3" t="str">
        <f ca="1">IFERROR(__xludf.DUMMYFUNCTION("""COMPUTED_VALUE"""),"2055-06-04T22:44:27.276203Z")</f>
        <v>2055-06-04T22:44:27.276203Z</v>
      </c>
      <c r="Q363" s="3">
        <f ca="1">IFERROR(__xludf.DUMMYFUNCTION("""COMPUTED_VALUE"""),0)</f>
        <v>0</v>
      </c>
      <c r="R363" s="3" t="str">
        <f ca="1">IFERROR(__xludf.DUMMYFUNCTION("""COMPUTED_VALUE"""),"2055-06-04T22:44:45.169385Z")</f>
        <v>2055-06-04T22:44:45.169385Z</v>
      </c>
      <c r="S363" s="3" t="str">
        <f ca="1">IFERROR(__xludf.DUMMYFUNCTION("""COMPUTED_VALUE"""),"2055-06-04T22:49:47.590471Z")</f>
        <v>2055-06-04T22:49:47.590471Z</v>
      </c>
      <c r="T363" s="3"/>
      <c r="U363" s="4">
        <f ca="1">IFERROR(__xludf.DUMMYFUNCTION("""COMPUTED_VALUE"""),56769)</f>
        <v>56769</v>
      </c>
      <c r="V363" s="3">
        <f ca="1">IFERROR(__xludf.DUMMYFUNCTION("""COMPUTED_VALUE"""),4.5)</f>
        <v>4.5</v>
      </c>
      <c r="W363" s="3">
        <f ca="1">IFERROR(__xludf.DUMMYFUNCTION("""COMPUTED_VALUE"""),3000)</f>
        <v>3000</v>
      </c>
      <c r="X363" s="3">
        <f ca="1">IFERROR(__xludf.DUMMYFUNCTION("""COMPUTED_VALUE"""),1550)</f>
        <v>1550</v>
      </c>
      <c r="Y363" s="3">
        <f ca="1">IFERROR(__xludf.DUMMYFUNCTION("""COMPUTED_VALUE"""),302)</f>
        <v>302</v>
      </c>
      <c r="Z363" s="3">
        <f ca="1">IFERROR(__xludf.DUMMYFUNCTION("""COMPUTED_VALUE"""),411)</f>
        <v>411</v>
      </c>
      <c r="AA363" s="3">
        <f ca="1">IFERROR(__xludf.DUMMYFUNCTION("""COMPUTED_VALUE"""),837)</f>
        <v>837</v>
      </c>
      <c r="AB363" s="3">
        <f ca="1">IFERROR(__xludf.DUMMYFUNCTION("""COMPUTED_VALUE"""),0)</f>
        <v>0</v>
      </c>
      <c r="AC363" s="3">
        <f ca="1">IFERROR(__xludf.DUMMYFUNCTION("""COMPUTED_VALUE"""),3)</f>
        <v>3</v>
      </c>
      <c r="AD363" s="3" t="str">
        <f ca="1">IFERROR(__xludf.DUMMYFUNCTION("""COMPUTED_VALUE"""),"early")</f>
        <v>early</v>
      </c>
      <c r="AE363" s="3" t="str">
        <f ca="1">IFERROR(__xludf.DUMMYFUNCTION("""COMPUTED_VALUE"""),"2055-06-04T18:56:38.722916Z")</f>
        <v>2055-06-04T18:56:38.722916Z</v>
      </c>
      <c r="AF363" s="3" t="str">
        <f ca="1">IFERROR(__xludf.DUMMYFUNCTION("""COMPUTED_VALUE"""),"2055-06-04T19:10:35.171271Z")</f>
        <v>2055-06-04T19:10:35.171271Z</v>
      </c>
      <c r="AG363" s="3" t="str">
        <f ca="1">IFERROR(__xludf.DUMMYFUNCTION("""COMPUTED_VALUE"""),"2055-06-04T18:44:27.276203Z")</f>
        <v>2055-06-04T18:44:27.276203Z</v>
      </c>
      <c r="AH363" s="3" t="str">
        <f ca="1">IFERROR(__xludf.DUMMYFUNCTION("""COMPUTED_VALUE"""),"2055-06-04T18:49:47.590471Z")</f>
        <v>2055-06-04T18:49:47.590471Z</v>
      </c>
      <c r="AI363" s="3">
        <f ca="1">IFERROR(__xludf.DUMMYFUNCTION("""COMPUTED_VALUE"""),4.7)</f>
        <v>4.7</v>
      </c>
      <c r="AJ363" s="3">
        <f ca="1">IFERROR(__xludf.DUMMYFUNCTION("""COMPUTED_VALUE"""),1261)</f>
        <v>1261</v>
      </c>
      <c r="AK363" s="3">
        <f ca="1">IFERROR(__xludf.DUMMYFUNCTION("""COMPUTED_VALUE"""),3264)</f>
        <v>3264</v>
      </c>
      <c r="AL363" s="3">
        <f ca="1">IFERROR(__xludf.DUMMYFUNCTION("""COMPUTED_VALUE"""),232)</f>
        <v>232</v>
      </c>
    </row>
    <row r="364" spans="1:38" ht="13">
      <c r="A364" s="3">
        <f ca="1">IFERROR(__xludf.DUMMYFUNCTION("""COMPUTED_VALUE"""),694)</f>
        <v>694</v>
      </c>
      <c r="B364" s="3"/>
      <c r="C364" s="3">
        <f ca="1">IFERROR(__xludf.DUMMYFUNCTION("""COMPUTED_VALUE"""),4050)</f>
        <v>4050</v>
      </c>
      <c r="D364" s="3" t="str">
        <f ca="1">IFERROR(__xludf.DUMMYFUNCTION("""COMPUTED_VALUE"""),"Doorlanta")</f>
        <v>Doorlanta</v>
      </c>
      <c r="E364" s="3" t="str">
        <f ca="1">IFERROR(__xludf.DUMMYFUNCTION("""COMPUTED_VALUE"""),"Galaxy A")</f>
        <v>Galaxy A</v>
      </c>
      <c r="F364" s="3" t="str">
        <f ca="1">IFERROR(__xludf.DUMMYFUNCTION("""COMPUTED_VALUE"""),"Cate")</f>
        <v>Cate</v>
      </c>
      <c r="G364" s="3">
        <f ca="1">IFERROR(__xludf.DUMMYFUNCTION("""COMPUTED_VALUE"""),0)</f>
        <v>0</v>
      </c>
      <c r="H364" s="3" t="str">
        <f ca="1">IFERROR(__xludf.DUMMYFUNCTION("""COMPUTED_VALUE"""),"car")</f>
        <v>car</v>
      </c>
      <c r="I364" s="3" t="str">
        <f ca="1">IFERROR(__xludf.DUMMYFUNCTION("""COMPUTED_VALUE"""),"2055-06-06T00:02:58.662849Z")</f>
        <v>2055-06-06T00:02:58.662849Z</v>
      </c>
      <c r="J364" s="3" t="str">
        <f ca="1">IFERROR(__xludf.DUMMYFUNCTION("""COMPUTED_VALUE"""),"2055-06-06T01:10:23.746Z")</f>
        <v>2055-06-06T01:10:23.746Z</v>
      </c>
      <c r="K364" s="3" t="str">
        <f ca="1">IFERROR(__xludf.DUMMYFUNCTION("""COMPUTED_VALUE"""),"2055-06-06T00:48:29.746Z")</f>
        <v>2055-06-06T00:48:29.746Z</v>
      </c>
      <c r="L364" s="3">
        <f ca="1">IFERROR(__xludf.DUMMYFUNCTION("""COMPUTED_VALUE"""),1)</f>
        <v>1</v>
      </c>
      <c r="M364" s="3">
        <f ca="1">IFERROR(__xludf.DUMMYFUNCTION("""COMPUTED_VALUE"""),0)</f>
        <v>0</v>
      </c>
      <c r="N364" s="3" t="str">
        <f ca="1">IFERROR(__xludf.DUMMYFUNCTION("""COMPUTED_VALUE"""),"2055-06-06T00:38:35.595995Z")</f>
        <v>2055-06-06T00:38:35.595995Z</v>
      </c>
      <c r="O364" s="3" t="str">
        <f ca="1">IFERROR(__xludf.DUMMYFUNCTION("""COMPUTED_VALUE"""),"2055-06-06T00:54:47.196117Z")</f>
        <v>2055-06-06T00:54:47.196117Z</v>
      </c>
      <c r="P364" s="3" t="str">
        <f ca="1">IFERROR(__xludf.DUMMYFUNCTION("""COMPUTED_VALUE"""),"2055-06-06T00:10:47.436499Z")</f>
        <v>2055-06-06T00:10:47.436499Z</v>
      </c>
      <c r="Q364" s="3">
        <f ca="1">IFERROR(__xludf.DUMMYFUNCTION("""COMPUTED_VALUE"""),0)</f>
        <v>0</v>
      </c>
      <c r="R364" s="3" t="str">
        <f ca="1">IFERROR(__xludf.DUMMYFUNCTION("""COMPUTED_VALUE"""),"2055-06-06T00:10:58.559977Z")</f>
        <v>2055-06-06T00:10:58.559977Z</v>
      </c>
      <c r="S364" s="3" t="str">
        <f ca="1">IFERROR(__xludf.DUMMYFUNCTION("""COMPUTED_VALUE"""),"2055-06-06T00:35:38.464702Z")</f>
        <v>2055-06-06T00:35:38.464702Z</v>
      </c>
      <c r="T364" s="3"/>
      <c r="U364" s="4">
        <f ca="1">IFERROR(__xludf.DUMMYFUNCTION("""COMPUTED_VALUE"""),56770)</f>
        <v>56770</v>
      </c>
      <c r="V364" s="3">
        <f ca="1">IFERROR(__xludf.DUMMYFUNCTION("""COMPUTED_VALUE"""),4.7)</f>
        <v>4.7</v>
      </c>
      <c r="W364" s="3">
        <f ca="1">IFERROR(__xludf.DUMMYFUNCTION("""COMPUTED_VALUE"""),3000)</f>
        <v>3000</v>
      </c>
      <c r="X364" s="3">
        <f ca="1">IFERROR(__xludf.DUMMYFUNCTION("""COMPUTED_VALUE"""),2629)</f>
        <v>2629</v>
      </c>
      <c r="Y364" s="3">
        <f ca="1">IFERROR(__xludf.DUMMYFUNCTION("""COMPUTED_VALUE"""),1480)</f>
        <v>1480</v>
      </c>
      <c r="Z364" s="3">
        <f ca="1">IFERROR(__xludf.DUMMYFUNCTION("""COMPUTED_VALUE"""),177)</f>
        <v>177</v>
      </c>
      <c r="AA364" s="3">
        <f ca="1">IFERROR(__xludf.DUMMYFUNCTION("""COMPUTED_VALUE"""),972)</f>
        <v>972</v>
      </c>
      <c r="AB364" s="3">
        <f ca="1">IFERROR(__xludf.DUMMYFUNCTION("""COMPUTED_VALUE"""),1)</f>
        <v>1</v>
      </c>
      <c r="AC364" s="3">
        <f ca="1">IFERROR(__xludf.DUMMYFUNCTION("""COMPUTED_VALUE"""),2)</f>
        <v>2</v>
      </c>
      <c r="AD364" s="3"/>
      <c r="AE364" s="3" t="str">
        <f ca="1">IFERROR(__xludf.DUMMYFUNCTION("""COMPUTED_VALUE"""),"2055-06-05T20:38:35.595995Z")</f>
        <v>2055-06-05T20:38:35.595995Z</v>
      </c>
      <c r="AF364" s="3" t="str">
        <f ca="1">IFERROR(__xludf.DUMMYFUNCTION("""COMPUTED_VALUE"""),"2055-06-05T20:54:47.196117Z")</f>
        <v>2055-06-05T20:54:47.196117Z</v>
      </c>
      <c r="AG364" s="3" t="str">
        <f ca="1">IFERROR(__xludf.DUMMYFUNCTION("""COMPUTED_VALUE"""),"2055-06-05T20:10:47.436499Z")</f>
        <v>2055-06-05T20:10:47.436499Z</v>
      </c>
      <c r="AH364" s="3" t="str">
        <f ca="1">IFERROR(__xludf.DUMMYFUNCTION("""COMPUTED_VALUE"""),"2055-06-05T20:35:38.464702Z")</f>
        <v>2055-06-05T20:35:38.464702Z</v>
      </c>
      <c r="AI364" s="3">
        <f ca="1">IFERROR(__xludf.DUMMYFUNCTION("""COMPUTED_VALUE"""),4.49)</f>
        <v>4.49</v>
      </c>
      <c r="AJ364" s="3">
        <f ca="1">IFERROR(__xludf.DUMMYFUNCTION("""COMPUTED_VALUE"""),2315)</f>
        <v>2315</v>
      </c>
      <c r="AK364" s="3">
        <f ca="1">IFERROR(__xludf.DUMMYFUNCTION("""COMPUTED_VALUE"""),7039)</f>
        <v>7039</v>
      </c>
      <c r="AL364" s="3">
        <f ca="1">IFERROR(__xludf.DUMMYFUNCTION("""COMPUTED_VALUE"""),763)</f>
        <v>763</v>
      </c>
    </row>
    <row r="365" spans="1:38" ht="13">
      <c r="A365" s="3">
        <f ca="1">IFERROR(__xludf.DUMMYFUNCTION("""COMPUTED_VALUE"""),477)</f>
        <v>477</v>
      </c>
      <c r="B365" s="3"/>
      <c r="C365" s="3">
        <f ca="1">IFERROR(__xludf.DUMMYFUNCTION("""COMPUTED_VALUE"""),4050)</f>
        <v>4050</v>
      </c>
      <c r="D365" s="3" t="str">
        <f ca="1">IFERROR(__xludf.DUMMYFUNCTION("""COMPUTED_VALUE"""),"Doorlanta")</f>
        <v>Doorlanta</v>
      </c>
      <c r="E365" s="3" t="str">
        <f ca="1">IFERROR(__xludf.DUMMYFUNCTION("""COMPUTED_VALUE"""),"Galaxy A")</f>
        <v>Galaxy A</v>
      </c>
      <c r="F365" s="3" t="str">
        <f ca="1">IFERROR(__xludf.DUMMYFUNCTION("""COMPUTED_VALUE"""),"Abhai")</f>
        <v>Abhai</v>
      </c>
      <c r="G365" s="3">
        <f ca="1">IFERROR(__xludf.DUMMYFUNCTION("""COMPUTED_VALUE"""),0)</f>
        <v>0</v>
      </c>
      <c r="H365" s="3" t="str">
        <f ca="1">IFERROR(__xludf.DUMMYFUNCTION("""COMPUTED_VALUE"""),"car")</f>
        <v>car</v>
      </c>
      <c r="I365" s="3" t="str">
        <f ca="1">IFERROR(__xludf.DUMMYFUNCTION("""COMPUTED_VALUE"""),"2055-06-04T22:51:46.490773Z")</f>
        <v>2055-06-04T22:51:46.490773Z</v>
      </c>
      <c r="J365" s="3" t="str">
        <f ca="1">IFERROR(__xludf.DUMMYFUNCTION("""COMPUTED_VALUE"""),"2055-06-04T23:41:54.568Z")</f>
        <v>2055-06-04T23:41:54.568Z</v>
      </c>
      <c r="K365" s="3" t="str">
        <f ca="1">IFERROR(__xludf.DUMMYFUNCTION("""COMPUTED_VALUE"""),"2055-06-04T23:30:00.568Z")</f>
        <v>2055-06-04T23:30:00.568Z</v>
      </c>
      <c r="L365" s="3">
        <f ca="1">IFERROR(__xludf.DUMMYFUNCTION("""COMPUTED_VALUE"""),1)</f>
        <v>1</v>
      </c>
      <c r="M365" s="3">
        <f ca="1">IFERROR(__xludf.DUMMYFUNCTION("""COMPUTED_VALUE"""),0)</f>
        <v>0</v>
      </c>
      <c r="N365" s="3" t="str">
        <f ca="1">IFERROR(__xludf.DUMMYFUNCTION("""COMPUTED_VALUE"""),"2055-06-04T23:18:02.124091Z")</f>
        <v>2055-06-04T23:18:02.124091Z</v>
      </c>
      <c r="O365" s="3" t="str">
        <f ca="1">IFERROR(__xludf.DUMMYFUNCTION("""COMPUTED_VALUE"""),"2055-06-04T23:31:32.969243Z")</f>
        <v>2055-06-04T23:31:32.969243Z</v>
      </c>
      <c r="P365" s="3" t="str">
        <f ca="1">IFERROR(__xludf.DUMMYFUNCTION("""COMPUTED_VALUE"""),"2055-06-04T23:00:27.64876Z")</f>
        <v>2055-06-04T23:00:27.64876Z</v>
      </c>
      <c r="Q365" s="3">
        <f ca="1">IFERROR(__xludf.DUMMYFUNCTION("""COMPUTED_VALUE"""),0)</f>
        <v>0</v>
      </c>
      <c r="R365" s="3" t="str">
        <f ca="1">IFERROR(__xludf.DUMMYFUNCTION("""COMPUTED_VALUE"""),"2055-06-04T23:00:33.968646Z")</f>
        <v>2055-06-04T23:00:33.968646Z</v>
      </c>
      <c r="S365" s="3" t="str">
        <f ca="1">IFERROR(__xludf.DUMMYFUNCTION("""COMPUTED_VALUE"""),"2055-06-04T23:05:28.290068Z")</f>
        <v>2055-06-04T23:05:28.290068Z</v>
      </c>
      <c r="T365" s="3"/>
      <c r="U365" s="4">
        <f ca="1">IFERROR(__xludf.DUMMYFUNCTION("""COMPUTED_VALUE"""),56769)</f>
        <v>56769</v>
      </c>
      <c r="V365" s="3">
        <f ca="1">IFERROR(__xludf.DUMMYFUNCTION("""COMPUTED_VALUE"""),3.501498169)</f>
        <v>3.501498169</v>
      </c>
      <c r="W365" s="3">
        <f ca="1">IFERROR(__xludf.DUMMYFUNCTION("""COMPUTED_VALUE"""),3000)</f>
        <v>3000</v>
      </c>
      <c r="X365" s="3">
        <f ca="1">IFERROR(__xludf.DUMMYFUNCTION("""COMPUTED_VALUE"""),1859)</f>
        <v>1859</v>
      </c>
      <c r="Y365" s="3">
        <f ca="1">IFERROR(__xludf.DUMMYFUNCTION("""COMPUTED_VALUE"""),295)</f>
        <v>295</v>
      </c>
      <c r="Z365" s="3">
        <f ca="1">IFERROR(__xludf.DUMMYFUNCTION("""COMPUTED_VALUE"""),754)</f>
        <v>754</v>
      </c>
      <c r="AA365" s="3">
        <f ca="1">IFERROR(__xludf.DUMMYFUNCTION("""COMPUTED_VALUE"""),810)</f>
        <v>810</v>
      </c>
      <c r="AB365" s="3">
        <f ca="1">IFERROR(__xludf.DUMMYFUNCTION("""COMPUTED_VALUE"""),0)</f>
        <v>0</v>
      </c>
      <c r="AC365" s="3">
        <f ca="1">IFERROR(__xludf.DUMMYFUNCTION("""COMPUTED_VALUE"""),7)</f>
        <v>7</v>
      </c>
      <c r="AD365" s="3" t="str">
        <f ca="1">IFERROR(__xludf.DUMMYFUNCTION("""COMPUTED_VALUE"""),"early")</f>
        <v>early</v>
      </c>
      <c r="AE365" s="3" t="str">
        <f ca="1">IFERROR(__xludf.DUMMYFUNCTION("""COMPUTED_VALUE"""),"2055-06-04T19:18:02.124091Z")</f>
        <v>2055-06-04T19:18:02.124091Z</v>
      </c>
      <c r="AF365" s="3" t="str">
        <f ca="1">IFERROR(__xludf.DUMMYFUNCTION("""COMPUTED_VALUE"""),"2055-06-04T19:31:32.969243Z")</f>
        <v>2055-06-04T19:31:32.969243Z</v>
      </c>
      <c r="AG365" s="3" t="str">
        <f ca="1">IFERROR(__xludf.DUMMYFUNCTION("""COMPUTED_VALUE"""),"2055-06-04T19:00:27.64876Z")</f>
        <v>2055-06-04T19:00:27.64876Z</v>
      </c>
      <c r="AH365" s="3" t="str">
        <f ca="1">IFERROR(__xludf.DUMMYFUNCTION("""COMPUTED_VALUE"""),"2055-06-04T19:05:28.290068Z")</f>
        <v>2055-06-04T19:05:28.290068Z</v>
      </c>
      <c r="AI365" s="3">
        <f ca="1">IFERROR(__xludf.DUMMYFUNCTION("""COMPUTED_VALUE"""),4.56)</f>
        <v>4.5599999999999996</v>
      </c>
      <c r="AJ365" s="3">
        <f ca="1">IFERROR(__xludf.DUMMYFUNCTION("""COMPUTED_VALUE"""),344)</f>
        <v>344</v>
      </c>
      <c r="AK365" s="3">
        <f ca="1">IFERROR(__xludf.DUMMYFUNCTION("""COMPUTED_VALUE"""),947)</f>
        <v>947</v>
      </c>
      <c r="AL365" s="3">
        <f ca="1">IFERROR(__xludf.DUMMYFUNCTION("""COMPUTED_VALUE"""),22)</f>
        <v>22</v>
      </c>
    </row>
    <row r="366" spans="1:38" ht="13">
      <c r="A366" s="3">
        <f ca="1">IFERROR(__xludf.DUMMYFUNCTION("""COMPUTED_VALUE"""),289)</f>
        <v>289</v>
      </c>
      <c r="B366" s="3"/>
      <c r="C366" s="3">
        <f ca="1">IFERROR(__xludf.DUMMYFUNCTION("""COMPUTED_VALUE"""),4050)</f>
        <v>4050</v>
      </c>
      <c r="D366" s="3" t="str">
        <f ca="1">IFERROR(__xludf.DUMMYFUNCTION("""COMPUTED_VALUE"""),"Doorlanta")</f>
        <v>Doorlanta</v>
      </c>
      <c r="E366" s="3" t="str">
        <f ca="1">IFERROR(__xludf.DUMMYFUNCTION("""COMPUTED_VALUE"""),"Galaxy A")</f>
        <v>Galaxy A</v>
      </c>
      <c r="F366" s="3" t="str">
        <f ca="1">IFERROR(__xludf.DUMMYFUNCTION("""COMPUTED_VALUE"""),"Matt")</f>
        <v>Matt</v>
      </c>
      <c r="G366" s="3">
        <f ca="1">IFERROR(__xludf.DUMMYFUNCTION("""COMPUTED_VALUE"""),0)</f>
        <v>0</v>
      </c>
      <c r="H366" s="3" t="str">
        <f ca="1">IFERROR(__xludf.DUMMYFUNCTION("""COMPUTED_VALUE"""),"car")</f>
        <v>car</v>
      </c>
      <c r="I366" s="3" t="str">
        <f ca="1">IFERROR(__xludf.DUMMYFUNCTION("""COMPUTED_VALUE"""),"2055-06-03T16:39:29.328927Z")</f>
        <v>2055-06-03T16:39:29.328927Z</v>
      </c>
      <c r="J366" s="3" t="str">
        <f ca="1">IFERROR(__xludf.DUMMYFUNCTION("""COMPUTED_VALUE"""),"2055-06-03T17:46:41.415Z")</f>
        <v>2055-06-03T17:46:41.415Z</v>
      </c>
      <c r="K366" s="3" t="str">
        <f ca="1">IFERROR(__xludf.DUMMYFUNCTION("""COMPUTED_VALUE"""),"2055-06-03T17:24:47.415Z")</f>
        <v>2055-06-03T17:24:47.415Z</v>
      </c>
      <c r="L366" s="3">
        <f ca="1">IFERROR(__xludf.DUMMYFUNCTION("""COMPUTED_VALUE"""),1)</f>
        <v>1</v>
      </c>
      <c r="M366" s="3">
        <f ca="1">IFERROR(__xludf.DUMMYFUNCTION("""COMPUTED_VALUE"""),0)</f>
        <v>0</v>
      </c>
      <c r="N366" s="3" t="str">
        <f ca="1">IFERROR(__xludf.DUMMYFUNCTION("""COMPUTED_VALUE"""),"2055-06-03T17:12:57.04685Z")</f>
        <v>2055-06-03T17:12:57.04685Z</v>
      </c>
      <c r="O366" s="3" t="str">
        <f ca="1">IFERROR(__xludf.DUMMYFUNCTION("""COMPUTED_VALUE"""),"2055-06-03T17:24:42.244663Z")</f>
        <v>2055-06-03T17:24:42.244663Z</v>
      </c>
      <c r="P366" s="3" t="str">
        <f ca="1">IFERROR(__xludf.DUMMYFUNCTION("""COMPUTED_VALUE"""),"2055-06-03T16:47:07.494409Z")</f>
        <v>2055-06-03T16:47:07.494409Z</v>
      </c>
      <c r="Q366" s="3">
        <f ca="1">IFERROR(__xludf.DUMMYFUNCTION("""COMPUTED_VALUE"""),0)</f>
        <v>0</v>
      </c>
      <c r="R366" s="3" t="str">
        <f ca="1">IFERROR(__xludf.DUMMYFUNCTION("""COMPUTED_VALUE"""),"2055-06-03T16:47:13.420475Z")</f>
        <v>2055-06-03T16:47:13.420475Z</v>
      </c>
      <c r="S366" s="3" t="str">
        <f ca="1">IFERROR(__xludf.DUMMYFUNCTION("""COMPUTED_VALUE"""),"2055-06-03T17:05:50.5291Z")</f>
        <v>2055-06-03T17:05:50.5291Z</v>
      </c>
      <c r="T366" s="3"/>
      <c r="U366" s="4">
        <f ca="1">IFERROR(__xludf.DUMMYFUNCTION("""COMPUTED_VALUE"""),56768)</f>
        <v>56768</v>
      </c>
      <c r="V366" s="3">
        <f ca="1">IFERROR(__xludf.DUMMYFUNCTION("""COMPUTED_VALUE"""),4.5)</f>
        <v>4.5</v>
      </c>
      <c r="W366" s="3">
        <f ca="1">IFERROR(__xludf.DUMMYFUNCTION("""COMPUTED_VALUE"""),3000)</f>
        <v>3000</v>
      </c>
      <c r="X366" s="3">
        <f ca="1">IFERROR(__xludf.DUMMYFUNCTION("""COMPUTED_VALUE"""),2249)</f>
        <v>2249</v>
      </c>
      <c r="Y366" s="3">
        <f ca="1">IFERROR(__xludf.DUMMYFUNCTION("""COMPUTED_VALUE"""),1117)</f>
        <v>1117</v>
      </c>
      <c r="Z366" s="3">
        <f ca="1">IFERROR(__xludf.DUMMYFUNCTION("""COMPUTED_VALUE"""),427)</f>
        <v>427</v>
      </c>
      <c r="AA366" s="3">
        <f ca="1">IFERROR(__xludf.DUMMYFUNCTION("""COMPUTED_VALUE"""),705)</f>
        <v>705</v>
      </c>
      <c r="AB366" s="3">
        <f ca="1">IFERROR(__xludf.DUMMYFUNCTION("""COMPUTED_VALUE"""),0)</f>
        <v>0</v>
      </c>
      <c r="AC366" s="3">
        <f ca="1">IFERROR(__xludf.DUMMYFUNCTION("""COMPUTED_VALUE"""),3)</f>
        <v>3</v>
      </c>
      <c r="AD366" s="3" t="str">
        <f ca="1">IFERROR(__xludf.DUMMYFUNCTION("""COMPUTED_VALUE"""),"late")</f>
        <v>late</v>
      </c>
      <c r="AE366" s="3" t="str">
        <f ca="1">IFERROR(__xludf.DUMMYFUNCTION("""COMPUTED_VALUE"""),"2055-06-03T13:12:57.04685Z")</f>
        <v>2055-06-03T13:12:57.04685Z</v>
      </c>
      <c r="AF366" s="3" t="str">
        <f ca="1">IFERROR(__xludf.DUMMYFUNCTION("""COMPUTED_VALUE"""),"2055-06-03T13:24:42.244663Z")</f>
        <v>2055-06-03T13:24:42.244663Z</v>
      </c>
      <c r="AG366" s="3" t="str">
        <f ca="1">IFERROR(__xludf.DUMMYFUNCTION("""COMPUTED_VALUE"""),"2055-06-03T12:47:07.494409Z")</f>
        <v>2055-06-03T12:47:07.494409Z</v>
      </c>
      <c r="AH366" s="3" t="str">
        <f ca="1">IFERROR(__xludf.DUMMYFUNCTION("""COMPUTED_VALUE"""),"2055-06-03T13:05:50.5291Z")</f>
        <v>2055-06-03T13:05:50.5291Z</v>
      </c>
      <c r="AI366" s="3">
        <f ca="1">IFERROR(__xludf.DUMMYFUNCTION("""COMPUTED_VALUE"""),4.22)</f>
        <v>4.22</v>
      </c>
      <c r="AJ366" s="3">
        <f ca="1">IFERROR(__xludf.DUMMYFUNCTION("""COMPUTED_VALUE"""),1551)</f>
        <v>1551</v>
      </c>
      <c r="AK366" s="3">
        <f ca="1">IFERROR(__xludf.DUMMYFUNCTION("""COMPUTED_VALUE"""),4625)</f>
        <v>4625</v>
      </c>
      <c r="AL366" s="3"/>
    </row>
    <row r="367" spans="1:38" ht="13">
      <c r="A367" s="3">
        <f ca="1">IFERROR(__xludf.DUMMYFUNCTION("""COMPUTED_VALUE"""),203)</f>
        <v>203</v>
      </c>
      <c r="B367" s="3">
        <f ca="1">IFERROR(__xludf.DUMMYFUNCTION("""COMPUTED_VALUE"""),3)</f>
        <v>3</v>
      </c>
      <c r="C367" s="3">
        <f ca="1">IFERROR(__xludf.DUMMYFUNCTION("""COMPUTED_VALUE"""),4050)</f>
        <v>4050</v>
      </c>
      <c r="D367" s="3" t="str">
        <f ca="1">IFERROR(__xludf.DUMMYFUNCTION("""COMPUTED_VALUE"""),"Doorlanta")</f>
        <v>Doorlanta</v>
      </c>
      <c r="E367" s="3" t="str">
        <f ca="1">IFERROR(__xludf.DUMMYFUNCTION("""COMPUTED_VALUE"""),"Galaxy A")</f>
        <v>Galaxy A</v>
      </c>
      <c r="F367" s="3" t="str">
        <f ca="1">IFERROR(__xludf.DUMMYFUNCTION("""COMPUTED_VALUE"""),"Elon")</f>
        <v>Elon</v>
      </c>
      <c r="G367" s="3">
        <f ca="1">IFERROR(__xludf.DUMMYFUNCTION("""COMPUTED_VALUE"""),0)</f>
        <v>0</v>
      </c>
      <c r="H367" s="3" t="str">
        <f ca="1">IFERROR(__xludf.DUMMYFUNCTION("""COMPUTED_VALUE"""),"car")</f>
        <v>car</v>
      </c>
      <c r="I367" s="3" t="str">
        <f ca="1">IFERROR(__xludf.DUMMYFUNCTION("""COMPUTED_VALUE"""),"2055-06-02T23:22:04.454466Z")</f>
        <v>2055-06-02T23:22:04.454466Z</v>
      </c>
      <c r="J367" s="3" t="str">
        <f ca="1">IFERROR(__xludf.DUMMYFUNCTION("""COMPUTED_VALUE"""),"2055-06-03T00:12:04.541Z")</f>
        <v>2055-06-03T00:12:04.541Z</v>
      </c>
      <c r="K367" s="3" t="str">
        <f ca="1">IFERROR(__xludf.DUMMYFUNCTION("""COMPUTED_VALUE"""),"2055-06-02T23:51:12.541Z")</f>
        <v>2055-06-02T23:51:12.541Z</v>
      </c>
      <c r="L367" s="3">
        <f ca="1">IFERROR(__xludf.DUMMYFUNCTION("""COMPUTED_VALUE"""),1)</f>
        <v>1</v>
      </c>
      <c r="M367" s="3">
        <f ca="1">IFERROR(__xludf.DUMMYFUNCTION("""COMPUTED_VALUE"""),0)</f>
        <v>0</v>
      </c>
      <c r="N367" s="3" t="str">
        <f ca="1">IFERROR(__xludf.DUMMYFUNCTION("""COMPUTED_VALUE"""),"2055-06-02T23:35:08.501291Z")</f>
        <v>2055-06-02T23:35:08.501291Z</v>
      </c>
      <c r="O367" s="3" t="str">
        <f ca="1">IFERROR(__xludf.DUMMYFUNCTION("""COMPUTED_VALUE"""),"2055-06-02T23:45:17.564943Z")</f>
        <v>2055-06-02T23:45:17.564943Z</v>
      </c>
      <c r="P367" s="3" t="str">
        <f ca="1">IFERROR(__xludf.DUMMYFUNCTION("""COMPUTED_VALUE"""),"2055-06-02T23:22:07.471865Z")</f>
        <v>2055-06-02T23:22:07.471865Z</v>
      </c>
      <c r="Q367" s="3">
        <f ca="1">IFERROR(__xludf.DUMMYFUNCTION("""COMPUTED_VALUE"""),0)</f>
        <v>0</v>
      </c>
      <c r="R367" s="3" t="str">
        <f ca="1">IFERROR(__xludf.DUMMYFUNCTION("""COMPUTED_VALUE"""),"2055-06-02T23:22:10.453552Z")</f>
        <v>2055-06-02T23:22:10.453552Z</v>
      </c>
      <c r="S367" s="3" t="str">
        <f ca="1">IFERROR(__xludf.DUMMYFUNCTION("""COMPUTED_VALUE"""),"2055-06-02T23:34:19.176067Z")</f>
        <v>2055-06-02T23:34:19.176067Z</v>
      </c>
      <c r="T367" s="3"/>
      <c r="U367" s="4">
        <f ca="1">IFERROR(__xludf.DUMMYFUNCTION("""COMPUTED_VALUE"""),56767)</f>
        <v>56767</v>
      </c>
      <c r="V367" s="3">
        <f ca="1">IFERROR(__xludf.DUMMYFUNCTION("""COMPUTED_VALUE"""),4.5)</f>
        <v>4.5</v>
      </c>
      <c r="W367" s="3">
        <f ca="1">IFERROR(__xludf.DUMMYFUNCTION("""COMPUTED_VALUE"""),3000)</f>
        <v>3000</v>
      </c>
      <c r="X367" s="3">
        <f ca="1">IFERROR(__xludf.DUMMYFUNCTION("""COMPUTED_VALUE"""),1387)</f>
        <v>1387</v>
      </c>
      <c r="Y367" s="3">
        <f ca="1">IFERROR(__xludf.DUMMYFUNCTION("""COMPUTED_VALUE"""),729)</f>
        <v>729</v>
      </c>
      <c r="Z367" s="3">
        <f ca="1">IFERROR(__xludf.DUMMYFUNCTION("""COMPUTED_VALUE"""),49)</f>
        <v>49</v>
      </c>
      <c r="AA367" s="3">
        <f ca="1">IFERROR(__xludf.DUMMYFUNCTION("""COMPUTED_VALUE"""),609)</f>
        <v>609</v>
      </c>
      <c r="AB367" s="3">
        <f ca="1">IFERROR(__xludf.DUMMYFUNCTION("""COMPUTED_VALUE"""),0)</f>
        <v>0</v>
      </c>
      <c r="AC367" s="3">
        <f ca="1">IFERROR(__xludf.DUMMYFUNCTION("""COMPUTED_VALUE"""),4)</f>
        <v>4</v>
      </c>
      <c r="AD367" s="3" t="str">
        <f ca="1">IFERROR(__xludf.DUMMYFUNCTION("""COMPUTED_VALUE"""),"on time")</f>
        <v>on time</v>
      </c>
      <c r="AE367" s="3" t="str">
        <f ca="1">IFERROR(__xludf.DUMMYFUNCTION("""COMPUTED_VALUE"""),"2055-06-02T19:35:08.501291Z")</f>
        <v>2055-06-02T19:35:08.501291Z</v>
      </c>
      <c r="AF367" s="3" t="str">
        <f ca="1">IFERROR(__xludf.DUMMYFUNCTION("""COMPUTED_VALUE"""),"2055-06-02T19:45:17.564943Z")</f>
        <v>2055-06-02T19:45:17.564943Z</v>
      </c>
      <c r="AG367" s="3" t="str">
        <f ca="1">IFERROR(__xludf.DUMMYFUNCTION("""COMPUTED_VALUE"""),"2055-06-02T19:22:07.471865Z")</f>
        <v>2055-06-02T19:22:07.471865Z</v>
      </c>
      <c r="AH367" s="3" t="str">
        <f ca="1">IFERROR(__xludf.DUMMYFUNCTION("""COMPUTED_VALUE"""),"2055-06-02T19:34:19.176067Z")</f>
        <v>2055-06-02T19:34:19.176067Z</v>
      </c>
      <c r="AI367" s="3">
        <f ca="1">IFERROR(__xludf.DUMMYFUNCTION("""COMPUTED_VALUE"""),4.62)</f>
        <v>4.62</v>
      </c>
      <c r="AJ367" s="3">
        <f ca="1">IFERROR(__xludf.DUMMYFUNCTION("""COMPUTED_VALUE"""),259)</f>
        <v>259</v>
      </c>
      <c r="AK367" s="3">
        <f ca="1">IFERROR(__xludf.DUMMYFUNCTION("""COMPUTED_VALUE"""),604)</f>
        <v>604</v>
      </c>
      <c r="AL367" s="3">
        <f ca="1">IFERROR(__xludf.DUMMYFUNCTION("""COMPUTED_VALUE"""),21)</f>
        <v>21</v>
      </c>
    </row>
    <row r="368" spans="1:38" ht="13">
      <c r="A368" s="3">
        <f ca="1">IFERROR(__xludf.DUMMYFUNCTION("""COMPUTED_VALUE"""),347)</f>
        <v>347</v>
      </c>
      <c r="B368" s="3"/>
      <c r="C368" s="3">
        <f ca="1">IFERROR(__xludf.DUMMYFUNCTION("""COMPUTED_VALUE"""),4001)</f>
        <v>4001</v>
      </c>
      <c r="D368" s="3" t="str">
        <f ca="1">IFERROR(__xludf.DUMMYFUNCTION("""COMPUTED_VALUE"""),"Dashattan")</f>
        <v>Dashattan</v>
      </c>
      <c r="E368" s="3" t="str">
        <f ca="1">IFERROR(__xludf.DUMMYFUNCTION("""COMPUTED_VALUE"""),"Galaxy A")</f>
        <v>Galaxy A</v>
      </c>
      <c r="F368" s="3" t="str">
        <f ca="1">IFERROR(__xludf.DUMMYFUNCTION("""COMPUTED_VALUE"""),"KC")</f>
        <v>KC</v>
      </c>
      <c r="G368" s="3">
        <f ca="1">IFERROR(__xludf.DUMMYFUNCTION("""COMPUTED_VALUE"""),0)</f>
        <v>0</v>
      </c>
      <c r="H368" s="3" t="str">
        <f ca="1">IFERROR(__xludf.DUMMYFUNCTION("""COMPUTED_VALUE"""),"car")</f>
        <v>car</v>
      </c>
      <c r="I368" s="3" t="str">
        <f ca="1">IFERROR(__xludf.DUMMYFUNCTION("""COMPUTED_VALUE"""),"2055-06-03T22:27:21.508463Z")</f>
        <v>2055-06-03T22:27:21.508463Z</v>
      </c>
      <c r="J368" s="3" t="str">
        <f ca="1">IFERROR(__xludf.DUMMYFUNCTION("""COMPUTED_VALUE"""),"2055-06-03T23:31:54.563Z")</f>
        <v>2055-06-03T23:31:54.563Z</v>
      </c>
      <c r="K368" s="3" t="str">
        <f ca="1">IFERROR(__xludf.DUMMYFUNCTION("""COMPUTED_VALUE"""),"2055-06-03T23:13:01.563Z")</f>
        <v>2055-06-03T23:13:01.563Z</v>
      </c>
      <c r="L368" s="3">
        <f ca="1">IFERROR(__xludf.DUMMYFUNCTION("""COMPUTED_VALUE"""),1)</f>
        <v>1</v>
      </c>
      <c r="M368" s="3">
        <f ca="1">IFERROR(__xludf.DUMMYFUNCTION("""COMPUTED_VALUE"""),0)</f>
        <v>0</v>
      </c>
      <c r="N368" s="3" t="str">
        <f ca="1">IFERROR(__xludf.DUMMYFUNCTION("""COMPUTED_VALUE"""),"2055-06-03T22:48:38.46057Z")</f>
        <v>2055-06-03T22:48:38.46057Z</v>
      </c>
      <c r="O368" s="3" t="str">
        <f ca="1">IFERROR(__xludf.DUMMYFUNCTION("""COMPUTED_VALUE"""),"2055-06-03T22:58:06.878974Z")</f>
        <v>2055-06-03T22:58:06.878974Z</v>
      </c>
      <c r="P368" s="3" t="str">
        <f ca="1">IFERROR(__xludf.DUMMYFUNCTION("""COMPUTED_VALUE"""),"2055-06-03T22:27:34.54429Z")</f>
        <v>2055-06-03T22:27:34.54429Z</v>
      </c>
      <c r="Q368" s="3">
        <f ca="1">IFERROR(__xludf.DUMMYFUNCTION("""COMPUTED_VALUE"""),0)</f>
        <v>0</v>
      </c>
      <c r="R368" s="3" t="str">
        <f ca="1">IFERROR(__xludf.DUMMYFUNCTION("""COMPUTED_VALUE"""),"2055-06-03T22:27:52.40377Z")</f>
        <v>2055-06-03T22:27:52.40377Z</v>
      </c>
      <c r="S368" s="3" t="str">
        <f ca="1">IFERROR(__xludf.DUMMYFUNCTION("""COMPUTED_VALUE"""),"2055-06-03T22:37:30.549678Z")</f>
        <v>2055-06-03T22:37:30.549678Z</v>
      </c>
      <c r="T368" s="3"/>
      <c r="U368" s="4">
        <f ca="1">IFERROR(__xludf.DUMMYFUNCTION("""COMPUTED_VALUE"""),56768)</f>
        <v>56768</v>
      </c>
      <c r="V368" s="3">
        <f ca="1">IFERROR(__xludf.DUMMYFUNCTION("""COMPUTED_VALUE"""),3.600245585)</f>
        <v>3.6002455850000001</v>
      </c>
      <c r="W368" s="3">
        <f ca="1">IFERROR(__xludf.DUMMYFUNCTION("""COMPUTED_VALUE"""),3000)</f>
        <v>3000</v>
      </c>
      <c r="X368" s="3">
        <f ca="1">IFERROR(__xludf.DUMMYFUNCTION("""COMPUTED_VALUE"""),1814)</f>
        <v>1814</v>
      </c>
      <c r="Y368" s="3">
        <f ca="1">IFERROR(__xludf.DUMMYFUNCTION("""COMPUTED_VALUE"""),578)</f>
        <v>578</v>
      </c>
      <c r="Z368" s="3">
        <f ca="1">IFERROR(__xludf.DUMMYFUNCTION("""COMPUTED_VALUE"""),668)</f>
        <v>668</v>
      </c>
      <c r="AA368" s="3">
        <f ca="1">IFERROR(__xludf.DUMMYFUNCTION("""COMPUTED_VALUE"""),568)</f>
        <v>568</v>
      </c>
      <c r="AB368" s="3">
        <f ca="1">IFERROR(__xludf.DUMMYFUNCTION("""COMPUTED_VALUE"""),0)</f>
        <v>0</v>
      </c>
      <c r="AC368" s="3">
        <f ca="1">IFERROR(__xludf.DUMMYFUNCTION("""COMPUTED_VALUE"""),4)</f>
        <v>4</v>
      </c>
      <c r="AD368" s="3" t="str">
        <f ca="1">IFERROR(__xludf.DUMMYFUNCTION("""COMPUTED_VALUE"""),"early")</f>
        <v>early</v>
      </c>
      <c r="AE368" s="3" t="str">
        <f ca="1">IFERROR(__xludf.DUMMYFUNCTION("""COMPUTED_VALUE"""),"2055-06-03T18:48:38.46057Z")</f>
        <v>2055-06-03T18:48:38.46057Z</v>
      </c>
      <c r="AF368" s="3" t="str">
        <f ca="1">IFERROR(__xludf.DUMMYFUNCTION("""COMPUTED_VALUE"""),"2055-06-03T18:58:06.878974Z")</f>
        <v>2055-06-03T18:58:06.878974Z</v>
      </c>
      <c r="AG368" s="3" t="str">
        <f ca="1">IFERROR(__xludf.DUMMYFUNCTION("""COMPUTED_VALUE"""),"2055-06-03T18:27:34.54429Z")</f>
        <v>2055-06-03T18:27:34.54429Z</v>
      </c>
      <c r="AH368" s="3" t="str">
        <f ca="1">IFERROR(__xludf.DUMMYFUNCTION("""COMPUTED_VALUE"""),"2055-06-03T18:37:30.549678Z")</f>
        <v>2055-06-03T18:37:30.549678Z</v>
      </c>
      <c r="AI368" s="3">
        <f ca="1">IFERROR(__xludf.DUMMYFUNCTION("""COMPUTED_VALUE"""),4.54)</f>
        <v>4.54</v>
      </c>
      <c r="AJ368" s="3">
        <f ca="1">IFERROR(__xludf.DUMMYFUNCTION("""COMPUTED_VALUE"""),2229)</f>
        <v>2229</v>
      </c>
      <c r="AK368" s="3">
        <f ca="1">IFERROR(__xludf.DUMMYFUNCTION("""COMPUTED_VALUE"""),6580)</f>
        <v>6580</v>
      </c>
      <c r="AL368" s="3"/>
    </row>
    <row r="369" spans="1:38" ht="13">
      <c r="A369" s="3">
        <f ca="1">IFERROR(__xludf.DUMMYFUNCTION("""COMPUTED_VALUE"""),392)</f>
        <v>392</v>
      </c>
      <c r="B369" s="3"/>
      <c r="C369" s="3">
        <f ca="1">IFERROR(__xludf.DUMMYFUNCTION("""COMPUTED_VALUE"""),4001)</f>
        <v>4001</v>
      </c>
      <c r="D369" s="3" t="str">
        <f ca="1">IFERROR(__xludf.DUMMYFUNCTION("""COMPUTED_VALUE"""),"Dashattan")</f>
        <v>Dashattan</v>
      </c>
      <c r="E369" s="3" t="str">
        <f ca="1">IFERROR(__xludf.DUMMYFUNCTION("""COMPUTED_VALUE"""),"Galaxy A")</f>
        <v>Galaxy A</v>
      </c>
      <c r="F369" s="3" t="str">
        <f ca="1">IFERROR(__xludf.DUMMYFUNCTION("""COMPUTED_VALUE"""),"Arya")</f>
        <v>Arya</v>
      </c>
      <c r="G369" s="3">
        <f ca="1">IFERROR(__xludf.DUMMYFUNCTION("""COMPUTED_VALUE"""),0)</f>
        <v>0</v>
      </c>
      <c r="H369" s="3" t="str">
        <f ca="1">IFERROR(__xludf.DUMMYFUNCTION("""COMPUTED_VALUE"""),"bicycle")</f>
        <v>bicycle</v>
      </c>
      <c r="I369" s="3" t="str">
        <f ca="1">IFERROR(__xludf.DUMMYFUNCTION("""COMPUTED_VALUE"""),"2055-06-04T01:35:06.443903Z")</f>
        <v>2055-06-04T01:35:06.443903Z</v>
      </c>
      <c r="J369" s="3" t="str">
        <f ca="1">IFERROR(__xludf.DUMMYFUNCTION("""COMPUTED_VALUE"""),"2055-06-04T02:26:59.5Z")</f>
        <v>2055-06-04T02:26:59.5Z</v>
      </c>
      <c r="K369" s="3" t="str">
        <f ca="1">IFERROR(__xludf.DUMMYFUNCTION("""COMPUTED_VALUE"""),"2055-06-04T02:06:52.5Z")</f>
        <v>2055-06-04T02:06:52.5Z</v>
      </c>
      <c r="L369" s="3">
        <f ca="1">IFERROR(__xludf.DUMMYFUNCTION("""COMPUTED_VALUE"""),1)</f>
        <v>1</v>
      </c>
      <c r="M369" s="3">
        <f ca="1">IFERROR(__xludf.DUMMYFUNCTION("""COMPUTED_VALUE"""),0)</f>
        <v>0</v>
      </c>
      <c r="N369" s="3" t="str">
        <f ca="1">IFERROR(__xludf.DUMMYFUNCTION("""COMPUTED_VALUE"""),"2055-06-04T01:51:02.158463Z")</f>
        <v>2055-06-04T01:51:02.158463Z</v>
      </c>
      <c r="O369" s="3" t="str">
        <f ca="1">IFERROR(__xludf.DUMMYFUNCTION("""COMPUTED_VALUE"""),"2055-06-04T02:13:44.00356Z")</f>
        <v>2055-06-04T02:13:44.00356Z</v>
      </c>
      <c r="P369" s="3" t="str">
        <f ca="1">IFERROR(__xludf.DUMMYFUNCTION("""COMPUTED_VALUE"""),"2055-06-04T01:39:14.592963Z")</f>
        <v>2055-06-04T01:39:14.592963Z</v>
      </c>
      <c r="Q369" s="3">
        <f ca="1">IFERROR(__xludf.DUMMYFUNCTION("""COMPUTED_VALUE"""),0)</f>
        <v>0</v>
      </c>
      <c r="R369" s="3" t="str">
        <f ca="1">IFERROR(__xludf.DUMMYFUNCTION("""COMPUTED_VALUE"""),"2055-06-04T01:39:46.18416Z")</f>
        <v>2055-06-04T01:39:46.18416Z</v>
      </c>
      <c r="S369" s="3" t="str">
        <f ca="1">IFERROR(__xludf.DUMMYFUNCTION("""COMPUTED_VALUE"""),"2055-06-04T01:46:28.997431Z")</f>
        <v>2055-06-04T01:46:28.997431Z</v>
      </c>
      <c r="T369" s="3"/>
      <c r="U369" s="4">
        <f ca="1">IFERROR(__xludf.DUMMYFUNCTION("""COMPUTED_VALUE"""),56768)</f>
        <v>56768</v>
      </c>
      <c r="V369" s="3">
        <f ca="1">IFERROR(__xludf.DUMMYFUNCTION("""COMPUTED_VALUE"""),4.6)</f>
        <v>4.5999999999999996</v>
      </c>
      <c r="W369" s="3">
        <f ca="1">IFERROR(__xludf.DUMMYFUNCTION("""COMPUTED_VALUE"""),3000)</f>
        <v>3000</v>
      </c>
      <c r="X369" s="3">
        <f ca="1">IFERROR(__xludf.DUMMYFUNCTION("""COMPUTED_VALUE"""),2038)</f>
        <v>2038</v>
      </c>
      <c r="Y369" s="3">
        <f ca="1">IFERROR(__xludf.DUMMYFUNCTION("""COMPUTED_VALUE"""),402)</f>
        <v>402</v>
      </c>
      <c r="Z369" s="3">
        <f ca="1">IFERROR(__xludf.DUMMYFUNCTION("""COMPUTED_VALUE"""),274)</f>
        <v>274</v>
      </c>
      <c r="AA369" s="3">
        <f ca="1">IFERROR(__xludf.DUMMYFUNCTION("""COMPUTED_VALUE"""),1362)</f>
        <v>1362</v>
      </c>
      <c r="AB369" s="3">
        <f ca="1">IFERROR(__xludf.DUMMYFUNCTION("""COMPUTED_VALUE"""),0)</f>
        <v>0</v>
      </c>
      <c r="AC369" s="3">
        <f ca="1">IFERROR(__xludf.DUMMYFUNCTION("""COMPUTED_VALUE"""),4)</f>
        <v>4</v>
      </c>
      <c r="AD369" s="3" t="str">
        <f ca="1">IFERROR(__xludf.DUMMYFUNCTION("""COMPUTED_VALUE"""),"on time")</f>
        <v>on time</v>
      </c>
      <c r="AE369" s="3" t="str">
        <f ca="1">IFERROR(__xludf.DUMMYFUNCTION("""COMPUTED_VALUE"""),"2055-06-03T21:51:02.158463Z")</f>
        <v>2055-06-03T21:51:02.158463Z</v>
      </c>
      <c r="AF369" s="3" t="str">
        <f ca="1">IFERROR(__xludf.DUMMYFUNCTION("""COMPUTED_VALUE"""),"2055-06-03T22:13:44.00356Z")</f>
        <v>2055-06-03T22:13:44.00356Z</v>
      </c>
      <c r="AG369" s="3" t="str">
        <f ca="1">IFERROR(__xludf.DUMMYFUNCTION("""COMPUTED_VALUE"""),"2055-06-03T21:39:14.592963Z")</f>
        <v>2055-06-03T21:39:14.592963Z</v>
      </c>
      <c r="AH369" s="3" t="str">
        <f ca="1">IFERROR(__xludf.DUMMYFUNCTION("""COMPUTED_VALUE"""),"2055-06-03T21:46:28.997431Z")</f>
        <v>2055-06-03T21:46:28.997431Z</v>
      </c>
      <c r="AI369" s="3">
        <f ca="1">IFERROR(__xludf.DUMMYFUNCTION("""COMPUTED_VALUE"""),4.17)</f>
        <v>4.17</v>
      </c>
      <c r="AJ369" s="3">
        <f ca="1">IFERROR(__xludf.DUMMYFUNCTION("""COMPUTED_VALUE"""),457)</f>
        <v>457</v>
      </c>
      <c r="AK369" s="3">
        <f ca="1">IFERROR(__xludf.DUMMYFUNCTION("""COMPUTED_VALUE"""),1599)</f>
        <v>1599</v>
      </c>
      <c r="AL369" s="3"/>
    </row>
    <row r="370" spans="1:38" ht="13">
      <c r="A370" s="3">
        <f ca="1">IFERROR(__xludf.DUMMYFUNCTION("""COMPUTED_VALUE"""),440)</f>
        <v>440</v>
      </c>
      <c r="B370" s="3"/>
      <c r="C370" s="3">
        <f ca="1">IFERROR(__xludf.DUMMYFUNCTION("""COMPUTED_VALUE"""),4050)</f>
        <v>4050</v>
      </c>
      <c r="D370" s="3" t="str">
        <f ca="1">IFERROR(__xludf.DUMMYFUNCTION("""COMPUTED_VALUE"""),"Doorlanta")</f>
        <v>Doorlanta</v>
      </c>
      <c r="E370" s="3" t="str">
        <f ca="1">IFERROR(__xludf.DUMMYFUNCTION("""COMPUTED_VALUE"""),"Galaxy A")</f>
        <v>Galaxy A</v>
      </c>
      <c r="F370" s="3" t="str">
        <f ca="1">IFERROR(__xludf.DUMMYFUNCTION("""COMPUTED_VALUE"""),"Joe")</f>
        <v>Joe</v>
      </c>
      <c r="G370" s="3">
        <f ca="1">IFERROR(__xludf.DUMMYFUNCTION("""COMPUTED_VALUE"""),0)</f>
        <v>0</v>
      </c>
      <c r="H370" s="3" t="str">
        <f ca="1">IFERROR(__xludf.DUMMYFUNCTION("""COMPUTED_VALUE"""),"car")</f>
        <v>car</v>
      </c>
      <c r="I370" s="3" t="str">
        <f ca="1">IFERROR(__xludf.DUMMYFUNCTION("""COMPUTED_VALUE"""),"2055-06-04T20:30:28.156013Z")</f>
        <v>2055-06-04T20:30:28.156013Z</v>
      </c>
      <c r="J370" s="3" t="str">
        <f ca="1">IFERROR(__xludf.DUMMYFUNCTION("""COMPUTED_VALUE"""),"2055-06-04T21:58:40.234Z")</f>
        <v>2055-06-04T21:58:40.234Z</v>
      </c>
      <c r="K370" s="3" t="str">
        <f ca="1">IFERROR(__xludf.DUMMYFUNCTION("""COMPUTED_VALUE"""),"2055-06-04T21:35:27.234Z")</f>
        <v>2055-06-04T21:35:27.234Z</v>
      </c>
      <c r="L370" s="3">
        <f ca="1">IFERROR(__xludf.DUMMYFUNCTION("""COMPUTED_VALUE"""),1)</f>
        <v>1</v>
      </c>
      <c r="M370" s="3">
        <f ca="1">IFERROR(__xludf.DUMMYFUNCTION("""COMPUTED_VALUE"""),0)</f>
        <v>0</v>
      </c>
      <c r="N370" s="3" t="str">
        <f ca="1">IFERROR(__xludf.DUMMYFUNCTION("""COMPUTED_VALUE"""),"2055-06-04T21:21:44.07203Z")</f>
        <v>2055-06-04T21:21:44.07203Z</v>
      </c>
      <c r="O370" s="3" t="str">
        <f ca="1">IFERROR(__xludf.DUMMYFUNCTION("""COMPUTED_VALUE"""),"2055-06-04T21:44:24.741301Z")</f>
        <v>2055-06-04T21:44:24.741301Z</v>
      </c>
      <c r="P370" s="3" t="str">
        <f ca="1">IFERROR(__xludf.DUMMYFUNCTION("""COMPUTED_VALUE"""),"2055-06-04T20:36:47.279635Z")</f>
        <v>2055-06-04T20:36:47.279635Z</v>
      </c>
      <c r="Q370" s="3">
        <f ca="1">IFERROR(__xludf.DUMMYFUNCTION("""COMPUTED_VALUE"""),0)</f>
        <v>0</v>
      </c>
      <c r="R370" s="3" t="str">
        <f ca="1">IFERROR(__xludf.DUMMYFUNCTION("""COMPUTED_VALUE"""),"2055-06-04T20:37:29.746857Z")</f>
        <v>2055-06-04T20:37:29.746857Z</v>
      </c>
      <c r="S370" s="3" t="str">
        <f ca="1">IFERROR(__xludf.DUMMYFUNCTION("""COMPUTED_VALUE"""),"2055-06-04T21:02:41.818378Z")</f>
        <v>2055-06-04T21:02:41.818378Z</v>
      </c>
      <c r="T370" s="3"/>
      <c r="U370" s="4">
        <f ca="1">IFERROR(__xludf.DUMMYFUNCTION("""COMPUTED_VALUE"""),56769)</f>
        <v>56769</v>
      </c>
      <c r="V370" s="3">
        <f ca="1">IFERROR(__xludf.DUMMYFUNCTION("""COMPUTED_VALUE"""),4.8)</f>
        <v>4.8</v>
      </c>
      <c r="W370" s="3">
        <f ca="1">IFERROR(__xludf.DUMMYFUNCTION("""COMPUTED_VALUE"""),3000)</f>
        <v>3000</v>
      </c>
      <c r="X370" s="3">
        <f ca="1">IFERROR(__xludf.DUMMYFUNCTION("""COMPUTED_VALUE"""),4015)</f>
        <v>4015</v>
      </c>
      <c r="Y370" s="3">
        <f ca="1">IFERROR(__xludf.DUMMYFUNCTION("""COMPUTED_VALUE"""),1512)</f>
        <v>1512</v>
      </c>
      <c r="Z370" s="3">
        <f ca="1">IFERROR(__xludf.DUMMYFUNCTION("""COMPUTED_VALUE"""),1143)</f>
        <v>1143</v>
      </c>
      <c r="AA370" s="3">
        <f ca="1">IFERROR(__xludf.DUMMYFUNCTION("""COMPUTED_VALUE"""),1360)</f>
        <v>1360</v>
      </c>
      <c r="AB370" s="3">
        <f ca="1">IFERROR(__xludf.DUMMYFUNCTION("""COMPUTED_VALUE"""),1)</f>
        <v>1</v>
      </c>
      <c r="AC370" s="3">
        <f ca="1">IFERROR(__xludf.DUMMYFUNCTION("""COMPUTED_VALUE"""),4)</f>
        <v>4</v>
      </c>
      <c r="AD370" s="3"/>
      <c r="AE370" s="3" t="str">
        <f ca="1">IFERROR(__xludf.DUMMYFUNCTION("""COMPUTED_VALUE"""),"2055-06-04T17:21:44.07203Z")</f>
        <v>2055-06-04T17:21:44.07203Z</v>
      </c>
      <c r="AF370" s="3" t="str">
        <f ca="1">IFERROR(__xludf.DUMMYFUNCTION("""COMPUTED_VALUE"""),"2055-06-04T17:44:24.741301Z")</f>
        <v>2055-06-04T17:44:24.741301Z</v>
      </c>
      <c r="AG370" s="3" t="str">
        <f ca="1">IFERROR(__xludf.DUMMYFUNCTION("""COMPUTED_VALUE"""),"2055-06-04T16:36:47.279635Z")</f>
        <v>2055-06-04T16:36:47.279635Z</v>
      </c>
      <c r="AH370" s="3" t="str">
        <f ca="1">IFERROR(__xludf.DUMMYFUNCTION("""COMPUTED_VALUE"""),"2055-06-04T17:02:41.818378Z")</f>
        <v>2055-06-04T17:02:41.818378Z</v>
      </c>
      <c r="AI370" s="3">
        <f ca="1">IFERROR(__xludf.DUMMYFUNCTION("""COMPUTED_VALUE"""),4.38)</f>
        <v>4.38</v>
      </c>
      <c r="AJ370" s="3">
        <f ca="1">IFERROR(__xludf.DUMMYFUNCTION("""COMPUTED_VALUE"""),196)</f>
        <v>196</v>
      </c>
      <c r="AK370" s="3">
        <f ca="1">IFERROR(__xludf.DUMMYFUNCTION("""COMPUTED_VALUE"""),626)</f>
        <v>626</v>
      </c>
      <c r="AL370" s="3"/>
    </row>
    <row r="371" spans="1:38" ht="13">
      <c r="A371" s="3">
        <f ca="1">IFERROR(__xludf.DUMMYFUNCTION("""COMPUTED_VALUE"""),920)</f>
        <v>920</v>
      </c>
      <c r="B371" s="3"/>
      <c r="C371" s="3">
        <f ca="1">IFERROR(__xludf.DUMMYFUNCTION("""COMPUTED_VALUE"""),4001)</f>
        <v>4001</v>
      </c>
      <c r="D371" s="3" t="str">
        <f ca="1">IFERROR(__xludf.DUMMYFUNCTION("""COMPUTED_VALUE"""),"Dashattan")</f>
        <v>Dashattan</v>
      </c>
      <c r="E371" s="3" t="str">
        <f ca="1">IFERROR(__xludf.DUMMYFUNCTION("""COMPUTED_VALUE"""),"Galaxy A")</f>
        <v>Galaxy A</v>
      </c>
      <c r="F371" s="3" t="str">
        <f ca="1">IFERROR(__xludf.DUMMYFUNCTION("""COMPUTED_VALUE"""),"Rachael")</f>
        <v>Rachael</v>
      </c>
      <c r="G371" s="3">
        <f ca="1">IFERROR(__xludf.DUMMYFUNCTION("""COMPUTED_VALUE"""),0)</f>
        <v>0</v>
      </c>
      <c r="H371" s="3" t="str">
        <f ca="1">IFERROR(__xludf.DUMMYFUNCTION("""COMPUTED_VALUE"""),"bicycle")</f>
        <v>bicycle</v>
      </c>
      <c r="I371" s="3" t="str">
        <f ca="1">IFERROR(__xludf.DUMMYFUNCTION("""COMPUTED_VALUE"""),"2055-06-08T12:01:51.536797Z")</f>
        <v>2055-06-08T12:01:51.536797Z</v>
      </c>
      <c r="J371" s="3" t="str">
        <f ca="1">IFERROR(__xludf.DUMMYFUNCTION("""COMPUTED_VALUE"""),"2055-06-08T13:15:00Z")</f>
        <v>2055-06-08T13:15:00Z</v>
      </c>
      <c r="K371" s="3" t="str">
        <f ca="1">IFERROR(__xludf.DUMMYFUNCTION("""COMPUTED_VALUE"""),"2055-06-08T13:15:00Z")</f>
        <v>2055-06-08T13:15:00Z</v>
      </c>
      <c r="L371" s="3">
        <f ca="1">IFERROR(__xludf.DUMMYFUNCTION("""COMPUTED_VALUE"""),0)</f>
        <v>0</v>
      </c>
      <c r="M371" s="3">
        <f ca="1">IFERROR(__xludf.DUMMYFUNCTION("""COMPUTED_VALUE"""),0)</f>
        <v>0</v>
      </c>
      <c r="N371" s="3" t="str">
        <f ca="1">IFERROR(__xludf.DUMMYFUNCTION("""COMPUTED_VALUE"""),"2055-06-08T13:10:34.837326Z")</f>
        <v>2055-06-08T13:10:34.837326Z</v>
      </c>
      <c r="O371" s="3" t="str">
        <f ca="1">IFERROR(__xludf.DUMMYFUNCTION("""COMPUTED_VALUE"""),"2055-06-08T13:25:28.162976Z")</f>
        <v>2055-06-08T13:25:28.162976Z</v>
      </c>
      <c r="P371" s="3" t="str">
        <f ca="1">IFERROR(__xludf.DUMMYFUNCTION("""COMPUTED_VALUE"""),"2055-06-08T12:21:54.052626Z")</f>
        <v>2055-06-08T12:21:54.052626Z</v>
      </c>
      <c r="Q371" s="3">
        <f ca="1">IFERROR(__xludf.DUMMYFUNCTION("""COMPUTED_VALUE"""),0)</f>
        <v>0</v>
      </c>
      <c r="R371" s="3" t="str">
        <f ca="1">IFERROR(__xludf.DUMMYFUNCTION("""COMPUTED_VALUE"""),"2055-06-08T12:22:12.1608Z")</f>
        <v>2055-06-08T12:22:12.1608Z</v>
      </c>
      <c r="S371" s="3" t="str">
        <f ca="1">IFERROR(__xludf.DUMMYFUNCTION("""COMPUTED_VALUE"""),"2055-06-08T13:07:08.308979Z")</f>
        <v>2055-06-08T13:07:08.308979Z</v>
      </c>
      <c r="T371" s="3"/>
      <c r="U371" s="4">
        <f ca="1">IFERROR(__xludf.DUMMYFUNCTION("""COMPUTED_VALUE"""),56773)</f>
        <v>56773</v>
      </c>
      <c r="V371" s="3">
        <f ca="1">IFERROR(__xludf.DUMMYFUNCTION("""COMPUTED_VALUE"""),4.059012801)</f>
        <v>4.0590128009999997</v>
      </c>
      <c r="W371" s="3">
        <f ca="1">IFERROR(__xludf.DUMMYFUNCTION("""COMPUTED_VALUE"""),3000)</f>
        <v>3000</v>
      </c>
      <c r="X371" s="3">
        <f ca="1">IFERROR(__xludf.DUMMYFUNCTION("""COMPUTED_VALUE"""),3796)</f>
        <v>3796</v>
      </c>
      <c r="Y371" s="3">
        <f ca="1">IFERROR(__xludf.DUMMYFUNCTION("""COMPUTED_VALUE"""),2696)</f>
        <v>2696</v>
      </c>
      <c r="Z371" s="3">
        <f ca="1">IFERROR(__xludf.DUMMYFUNCTION("""COMPUTED_VALUE"""),206)</f>
        <v>206</v>
      </c>
      <c r="AA371" s="3">
        <f ca="1">IFERROR(__xludf.DUMMYFUNCTION("""COMPUTED_VALUE"""),894)</f>
        <v>894</v>
      </c>
      <c r="AB371" s="3">
        <f ca="1">IFERROR(__xludf.DUMMYFUNCTION("""COMPUTED_VALUE"""),0)</f>
        <v>0</v>
      </c>
      <c r="AC371" s="3">
        <f ca="1">IFERROR(__xludf.DUMMYFUNCTION("""COMPUTED_VALUE"""),3)</f>
        <v>3</v>
      </c>
      <c r="AD371" s="3" t="str">
        <f ca="1">IFERROR(__xludf.DUMMYFUNCTION("""COMPUTED_VALUE"""),"late")</f>
        <v>late</v>
      </c>
      <c r="AE371" s="3" t="str">
        <f ca="1">IFERROR(__xludf.DUMMYFUNCTION("""COMPUTED_VALUE"""),"2055-06-08T09:10:34.837326Z")</f>
        <v>2055-06-08T09:10:34.837326Z</v>
      </c>
      <c r="AF371" s="3" t="str">
        <f ca="1">IFERROR(__xludf.DUMMYFUNCTION("""COMPUTED_VALUE"""),"2055-06-08T09:25:28.162976Z")</f>
        <v>2055-06-08T09:25:28.162976Z</v>
      </c>
      <c r="AG371" s="3" t="str">
        <f ca="1">IFERROR(__xludf.DUMMYFUNCTION("""COMPUTED_VALUE"""),"2055-06-08T08:21:54.052626Z")</f>
        <v>2055-06-08T08:21:54.052626Z</v>
      </c>
      <c r="AH371" s="3" t="str">
        <f ca="1">IFERROR(__xludf.DUMMYFUNCTION("""COMPUTED_VALUE"""),"2055-06-08T09:07:08.308979Z")</f>
        <v>2055-06-08T09:07:08.308979Z</v>
      </c>
      <c r="AI371" s="3">
        <f ca="1">IFERROR(__xludf.DUMMYFUNCTION("""COMPUTED_VALUE"""),4.47)</f>
        <v>4.47</v>
      </c>
      <c r="AJ371" s="3">
        <f ca="1">IFERROR(__xludf.DUMMYFUNCTION("""COMPUTED_VALUE"""),78)</f>
        <v>78</v>
      </c>
      <c r="AK371" s="3">
        <f ca="1">IFERROR(__xludf.DUMMYFUNCTION("""COMPUTED_VALUE"""),278)</f>
        <v>278</v>
      </c>
      <c r="AL371" s="3">
        <f ca="1">IFERROR(__xludf.DUMMYFUNCTION("""COMPUTED_VALUE"""),26)</f>
        <v>26</v>
      </c>
    </row>
    <row r="372" spans="1:38" ht="13">
      <c r="A372" s="3">
        <f ca="1">IFERROR(__xludf.DUMMYFUNCTION("""COMPUTED_VALUE"""),546)</f>
        <v>546</v>
      </c>
      <c r="B372" s="3"/>
      <c r="C372" s="3">
        <f ca="1">IFERROR(__xludf.DUMMYFUNCTION("""COMPUTED_VALUE"""),4050)</f>
        <v>4050</v>
      </c>
      <c r="D372" s="3" t="str">
        <f ca="1">IFERROR(__xludf.DUMMYFUNCTION("""COMPUTED_VALUE"""),"Doorlanta")</f>
        <v>Doorlanta</v>
      </c>
      <c r="E372" s="3" t="str">
        <f ca="1">IFERROR(__xludf.DUMMYFUNCTION("""COMPUTED_VALUE"""),"Galaxy A")</f>
        <v>Galaxy A</v>
      </c>
      <c r="F372" s="3" t="str">
        <f ca="1">IFERROR(__xludf.DUMMYFUNCTION("""COMPUTED_VALUE"""),"Hanna")</f>
        <v>Hanna</v>
      </c>
      <c r="G372" s="3">
        <f ca="1">IFERROR(__xludf.DUMMYFUNCTION("""COMPUTED_VALUE"""),0)</f>
        <v>0</v>
      </c>
      <c r="H372" s="3" t="str">
        <f ca="1">IFERROR(__xludf.DUMMYFUNCTION("""COMPUTED_VALUE"""),"car")</f>
        <v>car</v>
      </c>
      <c r="I372" s="3" t="str">
        <f ca="1">IFERROR(__xludf.DUMMYFUNCTION("""COMPUTED_VALUE"""),"2055-06-05T14:35:02.245758Z")</f>
        <v>2055-06-05T14:35:02.245758Z</v>
      </c>
      <c r="J372" s="3" t="str">
        <f ca="1">IFERROR(__xludf.DUMMYFUNCTION("""COMPUTED_VALUE"""),"2055-06-05T15:24:19.32Z")</f>
        <v>2055-06-05T15:24:19.32Z</v>
      </c>
      <c r="K372" s="3" t="str">
        <f ca="1">IFERROR(__xludf.DUMMYFUNCTION("""COMPUTED_VALUE"""),"2055-06-05T15:14:12.32Z")</f>
        <v>2055-06-05T15:14:12.32Z</v>
      </c>
      <c r="L372" s="3">
        <f ca="1">IFERROR(__xludf.DUMMYFUNCTION("""COMPUTED_VALUE"""),1)</f>
        <v>1</v>
      </c>
      <c r="M372" s="3">
        <f ca="1">IFERROR(__xludf.DUMMYFUNCTION("""COMPUTED_VALUE"""),0)</f>
        <v>0</v>
      </c>
      <c r="N372" s="3" t="str">
        <f ca="1">IFERROR(__xludf.DUMMYFUNCTION("""COMPUTED_VALUE"""),"2055-06-05T15:08:15.410939Z")</f>
        <v>2055-06-05T15:08:15.410939Z</v>
      </c>
      <c r="O372" s="3" t="str">
        <f ca="1">IFERROR(__xludf.DUMMYFUNCTION("""COMPUTED_VALUE"""),"2055-06-05T15:17:16.954303Z")</f>
        <v>2055-06-05T15:17:16.954303Z</v>
      </c>
      <c r="P372" s="3" t="str">
        <f ca="1">IFERROR(__xludf.DUMMYFUNCTION("""COMPUTED_VALUE"""),"2055-06-05T14:40:27.316864Z")</f>
        <v>2055-06-05T14:40:27.316864Z</v>
      </c>
      <c r="Q372" s="3">
        <f ca="1">IFERROR(__xludf.DUMMYFUNCTION("""COMPUTED_VALUE"""),0)</f>
        <v>0</v>
      </c>
      <c r="R372" s="3" t="str">
        <f ca="1">IFERROR(__xludf.DUMMYFUNCTION("""COMPUTED_VALUE"""),"2055-06-05T14:40:32.008981Z")</f>
        <v>2055-06-05T14:40:32.008981Z</v>
      </c>
      <c r="S372" s="3" t="str">
        <f ca="1">IFERROR(__xludf.DUMMYFUNCTION("""COMPUTED_VALUE"""),"2055-06-05T14:41:53.562463Z")</f>
        <v>2055-06-05T14:41:53.562463Z</v>
      </c>
      <c r="T372" s="3"/>
      <c r="U372" s="4">
        <f ca="1">IFERROR(__xludf.DUMMYFUNCTION("""COMPUTED_VALUE"""),56770)</f>
        <v>56770</v>
      </c>
      <c r="V372" s="3">
        <f ca="1">IFERROR(__xludf.DUMMYFUNCTION("""COMPUTED_VALUE"""),4.6)</f>
        <v>4.5999999999999996</v>
      </c>
      <c r="W372" s="3">
        <f ca="1">IFERROR(__xludf.DUMMYFUNCTION("""COMPUTED_VALUE"""),3000)</f>
        <v>3000</v>
      </c>
      <c r="X372" s="3">
        <f ca="1">IFERROR(__xludf.DUMMYFUNCTION("""COMPUTED_VALUE"""),2204)</f>
        <v>2204</v>
      </c>
      <c r="Y372" s="3">
        <f ca="1">IFERROR(__xludf.DUMMYFUNCTION("""COMPUTED_VALUE"""),81)</f>
        <v>81</v>
      </c>
      <c r="Z372" s="3">
        <f ca="1">IFERROR(__xludf.DUMMYFUNCTION("""COMPUTED_VALUE"""),1582)</f>
        <v>1582</v>
      </c>
      <c r="AA372" s="3">
        <f ca="1">IFERROR(__xludf.DUMMYFUNCTION("""COMPUTED_VALUE"""),541)</f>
        <v>541</v>
      </c>
      <c r="AB372" s="3">
        <f ca="1">IFERROR(__xludf.DUMMYFUNCTION("""COMPUTED_VALUE"""),1)</f>
        <v>1</v>
      </c>
      <c r="AC372" s="3">
        <f ca="1">IFERROR(__xludf.DUMMYFUNCTION("""COMPUTED_VALUE"""),4)</f>
        <v>4</v>
      </c>
      <c r="AD372" s="3"/>
      <c r="AE372" s="3" t="str">
        <f ca="1">IFERROR(__xludf.DUMMYFUNCTION("""COMPUTED_VALUE"""),"2055-06-05T11:08:15.410939Z")</f>
        <v>2055-06-05T11:08:15.410939Z</v>
      </c>
      <c r="AF372" s="3" t="str">
        <f ca="1">IFERROR(__xludf.DUMMYFUNCTION("""COMPUTED_VALUE"""),"2055-06-05T11:17:16.954303Z")</f>
        <v>2055-06-05T11:17:16.954303Z</v>
      </c>
      <c r="AG372" s="3" t="str">
        <f ca="1">IFERROR(__xludf.DUMMYFUNCTION("""COMPUTED_VALUE"""),"2055-06-05T10:40:27.316864Z")</f>
        <v>2055-06-05T10:40:27.316864Z</v>
      </c>
      <c r="AH372" s="3" t="str">
        <f ca="1">IFERROR(__xludf.DUMMYFUNCTION("""COMPUTED_VALUE"""),"2055-06-05T10:41:53.562463Z")</f>
        <v>2055-06-05T10:41:53.562463Z</v>
      </c>
      <c r="AI372" s="3">
        <f ca="1">IFERROR(__xludf.DUMMYFUNCTION("""COMPUTED_VALUE"""),4.79)</f>
        <v>4.79</v>
      </c>
      <c r="AJ372" s="3">
        <f ca="1">IFERROR(__xludf.DUMMYFUNCTION("""COMPUTED_VALUE"""),1007)</f>
        <v>1007</v>
      </c>
      <c r="AK372" s="3">
        <f ca="1">IFERROR(__xludf.DUMMYFUNCTION("""COMPUTED_VALUE"""),2899)</f>
        <v>2899</v>
      </c>
      <c r="AL372" s="3">
        <f ca="1">IFERROR(__xludf.DUMMYFUNCTION("""COMPUTED_VALUE"""),1301)</f>
        <v>1301</v>
      </c>
    </row>
    <row r="373" spans="1:38" ht="13">
      <c r="A373" s="3">
        <f ca="1">IFERROR(__xludf.DUMMYFUNCTION("""COMPUTED_VALUE"""),238)</f>
        <v>238</v>
      </c>
      <c r="B373" s="3"/>
      <c r="C373" s="3">
        <f ca="1">IFERROR(__xludf.DUMMYFUNCTION("""COMPUTED_VALUE"""),4050)</f>
        <v>4050</v>
      </c>
      <c r="D373" s="3" t="str">
        <f ca="1">IFERROR(__xludf.DUMMYFUNCTION("""COMPUTED_VALUE"""),"Doorlanta")</f>
        <v>Doorlanta</v>
      </c>
      <c r="E373" s="3" t="str">
        <f ca="1">IFERROR(__xludf.DUMMYFUNCTION("""COMPUTED_VALUE"""),"Galaxy A")</f>
        <v>Galaxy A</v>
      </c>
      <c r="F373" s="3" t="str">
        <f ca="1">IFERROR(__xludf.DUMMYFUNCTION("""COMPUTED_VALUE"""),"Cate")</f>
        <v>Cate</v>
      </c>
      <c r="G373" s="3">
        <f ca="1">IFERROR(__xludf.DUMMYFUNCTION("""COMPUTED_VALUE"""),0)</f>
        <v>0</v>
      </c>
      <c r="H373" s="3" t="str">
        <f ca="1">IFERROR(__xludf.DUMMYFUNCTION("""COMPUTED_VALUE"""),"car")</f>
        <v>car</v>
      </c>
      <c r="I373" s="3" t="str">
        <f ca="1">IFERROR(__xludf.DUMMYFUNCTION("""COMPUTED_VALUE"""),"2055-06-03T01:08:33.322102Z")</f>
        <v>2055-06-03T01:08:33.322102Z</v>
      </c>
      <c r="J373" s="3" t="str">
        <f ca="1">IFERROR(__xludf.DUMMYFUNCTION("""COMPUTED_VALUE"""),"2055-06-03T02:10:21.392Z")</f>
        <v>2055-06-03T02:10:21.392Z</v>
      </c>
      <c r="K373" s="3" t="str">
        <f ca="1">IFERROR(__xludf.DUMMYFUNCTION("""COMPUTED_VALUE"""),"2055-06-03T01:50:42.392Z")</f>
        <v>2055-06-03T01:50:42.392Z</v>
      </c>
      <c r="L373" s="3">
        <f ca="1">IFERROR(__xludf.DUMMYFUNCTION("""COMPUTED_VALUE"""),1)</f>
        <v>1</v>
      </c>
      <c r="M373" s="3">
        <f ca="1">IFERROR(__xludf.DUMMYFUNCTION("""COMPUTED_VALUE"""),0)</f>
        <v>0</v>
      </c>
      <c r="N373" s="3" t="str">
        <f ca="1">IFERROR(__xludf.DUMMYFUNCTION("""COMPUTED_VALUE"""),"2055-06-03T01:49:48.666429Z")</f>
        <v>2055-06-03T01:49:48.666429Z</v>
      </c>
      <c r="O373" s="3" t="str">
        <f ca="1">IFERROR(__xludf.DUMMYFUNCTION("""COMPUTED_VALUE"""),"2055-06-03T02:03:39.514275Z")</f>
        <v>2055-06-03T02:03:39.514275Z</v>
      </c>
      <c r="P373" s="3" t="str">
        <f ca="1">IFERROR(__xludf.DUMMYFUNCTION("""COMPUTED_VALUE"""),"2055-06-03T01:08:47.344535Z")</f>
        <v>2055-06-03T01:08:47.344535Z</v>
      </c>
      <c r="Q373" s="3">
        <f ca="1">IFERROR(__xludf.DUMMYFUNCTION("""COMPUTED_VALUE"""),0)</f>
        <v>0</v>
      </c>
      <c r="R373" s="3" t="str">
        <f ca="1">IFERROR(__xludf.DUMMYFUNCTION("""COMPUTED_VALUE"""),"2055-06-03T01:08:51.852395Z")</f>
        <v>2055-06-03T01:08:51.852395Z</v>
      </c>
      <c r="S373" s="3" t="str">
        <f ca="1">IFERROR(__xludf.DUMMYFUNCTION("""COMPUTED_VALUE"""),"2055-06-03T01:26:41.946989Z")</f>
        <v>2055-06-03T01:26:41.946989Z</v>
      </c>
      <c r="T373" s="3"/>
      <c r="U373" s="4">
        <f ca="1">IFERROR(__xludf.DUMMYFUNCTION("""COMPUTED_VALUE"""),56767)</f>
        <v>56767</v>
      </c>
      <c r="V373" s="3">
        <f ca="1">IFERROR(__xludf.DUMMYFUNCTION("""COMPUTED_VALUE"""),3.501498169)</f>
        <v>3.501498169</v>
      </c>
      <c r="W373" s="3">
        <f ca="1">IFERROR(__xludf.DUMMYFUNCTION("""COMPUTED_VALUE"""),3000)</f>
        <v>3000</v>
      </c>
      <c r="X373" s="3">
        <f ca="1">IFERROR(__xludf.DUMMYFUNCTION("""COMPUTED_VALUE"""),3288)</f>
        <v>3288</v>
      </c>
      <c r="Y373" s="3">
        <f ca="1">IFERROR(__xludf.DUMMYFUNCTION("""COMPUTED_VALUE"""),1070)</f>
        <v>1070</v>
      </c>
      <c r="Z373" s="3">
        <f ca="1">IFERROR(__xludf.DUMMYFUNCTION("""COMPUTED_VALUE"""),1387)</f>
        <v>1387</v>
      </c>
      <c r="AA373" s="3">
        <f ca="1">IFERROR(__xludf.DUMMYFUNCTION("""COMPUTED_VALUE"""),831)</f>
        <v>831</v>
      </c>
      <c r="AB373" s="3">
        <f ca="1">IFERROR(__xludf.DUMMYFUNCTION("""COMPUTED_VALUE"""),0)</f>
        <v>0</v>
      </c>
      <c r="AC373" s="3">
        <f ca="1">IFERROR(__xludf.DUMMYFUNCTION("""COMPUTED_VALUE"""),2)</f>
        <v>2</v>
      </c>
      <c r="AD373" s="3" t="str">
        <f ca="1">IFERROR(__xludf.DUMMYFUNCTION("""COMPUTED_VALUE"""),"on time")</f>
        <v>on time</v>
      </c>
      <c r="AE373" s="3" t="str">
        <f ca="1">IFERROR(__xludf.DUMMYFUNCTION("""COMPUTED_VALUE"""),"2055-06-02T21:49:48.666429Z")</f>
        <v>2055-06-02T21:49:48.666429Z</v>
      </c>
      <c r="AF373" s="3" t="str">
        <f ca="1">IFERROR(__xludf.DUMMYFUNCTION("""COMPUTED_VALUE"""),"2055-06-02T22:03:39.514275Z")</f>
        <v>2055-06-02T22:03:39.514275Z</v>
      </c>
      <c r="AG373" s="3" t="str">
        <f ca="1">IFERROR(__xludf.DUMMYFUNCTION("""COMPUTED_VALUE"""),"2055-06-02T21:08:47.344535Z")</f>
        <v>2055-06-02T21:08:47.344535Z</v>
      </c>
      <c r="AH373" s="3" t="str">
        <f ca="1">IFERROR(__xludf.DUMMYFUNCTION("""COMPUTED_VALUE"""),"2055-06-02T21:26:41.946989Z")</f>
        <v>2055-06-02T21:26:41.946989Z</v>
      </c>
      <c r="AI373" s="3">
        <f ca="1">IFERROR(__xludf.DUMMYFUNCTION("""COMPUTED_VALUE"""),4.49)</f>
        <v>4.49</v>
      </c>
      <c r="AJ373" s="3">
        <f ca="1">IFERROR(__xludf.DUMMYFUNCTION("""COMPUTED_VALUE"""),2315)</f>
        <v>2315</v>
      </c>
      <c r="AK373" s="3">
        <f ca="1">IFERROR(__xludf.DUMMYFUNCTION("""COMPUTED_VALUE"""),7039)</f>
        <v>7039</v>
      </c>
      <c r="AL373" s="3">
        <f ca="1">IFERROR(__xludf.DUMMYFUNCTION("""COMPUTED_VALUE"""),763)</f>
        <v>763</v>
      </c>
    </row>
    <row r="374" spans="1:38" ht="13">
      <c r="A374" s="3">
        <f ca="1">IFERROR(__xludf.DUMMYFUNCTION("""COMPUTED_VALUE"""),937)</f>
        <v>937</v>
      </c>
      <c r="B374" s="3"/>
      <c r="C374" s="3">
        <f ca="1">IFERROR(__xludf.DUMMYFUNCTION("""COMPUTED_VALUE"""),4050)</f>
        <v>4050</v>
      </c>
      <c r="D374" s="3" t="str">
        <f ca="1">IFERROR(__xludf.DUMMYFUNCTION("""COMPUTED_VALUE"""),"Doorlanta")</f>
        <v>Doorlanta</v>
      </c>
      <c r="E374" s="3" t="str">
        <f ca="1">IFERROR(__xludf.DUMMYFUNCTION("""COMPUTED_VALUE"""),"Galaxy A")</f>
        <v>Galaxy A</v>
      </c>
      <c r="F374" s="3" t="str">
        <f ca="1">IFERROR(__xludf.DUMMYFUNCTION("""COMPUTED_VALUE"""),"Matthew")</f>
        <v>Matthew</v>
      </c>
      <c r="G374" s="3">
        <f ca="1">IFERROR(__xludf.DUMMYFUNCTION("""COMPUTED_VALUE"""),0)</f>
        <v>0</v>
      </c>
      <c r="H374" s="3" t="str">
        <f ca="1">IFERROR(__xludf.DUMMYFUNCTION("""COMPUTED_VALUE"""),"car")</f>
        <v>car</v>
      </c>
      <c r="I374" s="3" t="str">
        <f ca="1">IFERROR(__xludf.DUMMYFUNCTION("""COMPUTED_VALUE"""),"2055-06-08T15:49:02.635583Z")</f>
        <v>2055-06-08T15:49:02.635583Z</v>
      </c>
      <c r="J374" s="3" t="str">
        <f ca="1">IFERROR(__xludf.DUMMYFUNCTION("""COMPUTED_VALUE"""),"2055-06-08T16:39:02.706Z")</f>
        <v>2055-06-08T16:39:02.706Z</v>
      </c>
      <c r="K374" s="3" t="str">
        <f ca="1">IFERROR(__xludf.DUMMYFUNCTION("""COMPUTED_VALUE"""),"2055-06-08T16:20:25.706Z")</f>
        <v>2055-06-08T16:20:25.706Z</v>
      </c>
      <c r="L374" s="3">
        <f ca="1">IFERROR(__xludf.DUMMYFUNCTION("""COMPUTED_VALUE"""),1)</f>
        <v>1</v>
      </c>
      <c r="M374" s="3">
        <f ca="1">IFERROR(__xludf.DUMMYFUNCTION("""COMPUTED_VALUE"""),0)</f>
        <v>0</v>
      </c>
      <c r="N374" s="3" t="str">
        <f ca="1">IFERROR(__xludf.DUMMYFUNCTION("""COMPUTED_VALUE"""),"2055-06-08T16:10:20.455606Z")</f>
        <v>2055-06-08T16:10:20.455606Z</v>
      </c>
      <c r="O374" s="3" t="str">
        <f ca="1">IFERROR(__xludf.DUMMYFUNCTION("""COMPUTED_VALUE"""),"2055-06-08T16:27:49.195082Z")</f>
        <v>2055-06-08T16:27:49.195082Z</v>
      </c>
      <c r="P374" s="3" t="str">
        <f ca="1">IFERROR(__xludf.DUMMYFUNCTION("""COMPUTED_VALUE"""),"2055-06-08T15:49:07.398897Z")</f>
        <v>2055-06-08T15:49:07.398897Z</v>
      </c>
      <c r="Q374" s="3">
        <f ca="1">IFERROR(__xludf.DUMMYFUNCTION("""COMPUTED_VALUE"""),0)</f>
        <v>0</v>
      </c>
      <c r="R374" s="3" t="str">
        <f ca="1">IFERROR(__xludf.DUMMYFUNCTION("""COMPUTED_VALUE"""),"2055-06-08T15:49:12.905032Z")</f>
        <v>2055-06-08T15:49:12.905032Z</v>
      </c>
      <c r="S374" s="3" t="str">
        <f ca="1">IFERROR(__xludf.DUMMYFUNCTION("""COMPUTED_VALUE"""),"2055-06-08T15:54:48.842282Z")</f>
        <v>2055-06-08T15:54:48.842282Z</v>
      </c>
      <c r="T374" s="3"/>
      <c r="U374" s="4">
        <f ca="1">IFERROR(__xludf.DUMMYFUNCTION("""COMPUTED_VALUE"""),56773)</f>
        <v>56773</v>
      </c>
      <c r="V374" s="3">
        <f ca="1">IFERROR(__xludf.DUMMYFUNCTION("""COMPUTED_VALUE"""),4.5)</f>
        <v>4.5</v>
      </c>
      <c r="W374" s="3">
        <f ca="1">IFERROR(__xludf.DUMMYFUNCTION("""COMPUTED_VALUE"""),3000)</f>
        <v>3000</v>
      </c>
      <c r="X374" s="3">
        <f ca="1">IFERROR(__xludf.DUMMYFUNCTION("""COMPUTED_VALUE"""),2317)</f>
        <v>2317</v>
      </c>
      <c r="Y374" s="3">
        <f ca="1">IFERROR(__xludf.DUMMYFUNCTION("""COMPUTED_VALUE"""),336)</f>
        <v>336</v>
      </c>
      <c r="Z374" s="3">
        <f ca="1">IFERROR(__xludf.DUMMYFUNCTION("""COMPUTED_VALUE"""),932)</f>
        <v>932</v>
      </c>
      <c r="AA374" s="3">
        <f ca="1">IFERROR(__xludf.DUMMYFUNCTION("""COMPUTED_VALUE"""),1049)</f>
        <v>1049</v>
      </c>
      <c r="AB374" s="3">
        <f ca="1">IFERROR(__xludf.DUMMYFUNCTION("""COMPUTED_VALUE"""),0)</f>
        <v>0</v>
      </c>
      <c r="AC374" s="3">
        <f ca="1">IFERROR(__xludf.DUMMYFUNCTION("""COMPUTED_VALUE"""),4)</f>
        <v>4</v>
      </c>
      <c r="AD374" s="3" t="str">
        <f ca="1">IFERROR(__xludf.DUMMYFUNCTION("""COMPUTED_VALUE"""),"early")</f>
        <v>early</v>
      </c>
      <c r="AE374" s="3" t="str">
        <f ca="1">IFERROR(__xludf.DUMMYFUNCTION("""COMPUTED_VALUE"""),"2055-06-08T12:10:20.455606Z")</f>
        <v>2055-06-08T12:10:20.455606Z</v>
      </c>
      <c r="AF374" s="3" t="str">
        <f ca="1">IFERROR(__xludf.DUMMYFUNCTION("""COMPUTED_VALUE"""),"2055-06-08T12:27:49.195082Z")</f>
        <v>2055-06-08T12:27:49.195082Z</v>
      </c>
      <c r="AG374" s="3" t="str">
        <f ca="1">IFERROR(__xludf.DUMMYFUNCTION("""COMPUTED_VALUE"""),"2055-06-08T11:49:07.398897Z")</f>
        <v>2055-06-08T11:49:07.398897Z</v>
      </c>
      <c r="AH374" s="3" t="str">
        <f ca="1">IFERROR(__xludf.DUMMYFUNCTION("""COMPUTED_VALUE"""),"2055-06-08T11:54:48.842282Z")</f>
        <v>2055-06-08T11:54:48.842282Z</v>
      </c>
      <c r="AI374" s="3">
        <f ca="1">IFERROR(__xludf.DUMMYFUNCTION("""COMPUTED_VALUE"""),4.411111111)</f>
        <v>4.4111111110000003</v>
      </c>
      <c r="AJ374" s="3">
        <f ca="1">IFERROR(__xludf.DUMMYFUNCTION("""COMPUTED_VALUE"""),68)</f>
        <v>68</v>
      </c>
      <c r="AK374" s="3">
        <f ca="1">IFERROR(__xludf.DUMMYFUNCTION("""COMPUTED_VALUE"""),223)</f>
        <v>223</v>
      </c>
      <c r="AL374" s="3">
        <f ca="1">IFERROR(__xludf.DUMMYFUNCTION("""COMPUTED_VALUE"""),118)</f>
        <v>118</v>
      </c>
    </row>
    <row r="375" spans="1:38" ht="13">
      <c r="A375" s="3">
        <f ca="1">IFERROR(__xludf.DUMMYFUNCTION("""COMPUTED_VALUE"""),66)</f>
        <v>66</v>
      </c>
      <c r="B375" s="3">
        <f ca="1">IFERROR(__xludf.DUMMYFUNCTION("""COMPUTED_VALUE"""),5)</f>
        <v>5</v>
      </c>
      <c r="C375" s="3">
        <f ca="1">IFERROR(__xludf.DUMMYFUNCTION("""COMPUTED_VALUE"""),4050)</f>
        <v>4050</v>
      </c>
      <c r="D375" s="3" t="str">
        <f ca="1">IFERROR(__xludf.DUMMYFUNCTION("""COMPUTED_VALUE"""),"Doorlanta")</f>
        <v>Doorlanta</v>
      </c>
      <c r="E375" s="3" t="str">
        <f ca="1">IFERROR(__xludf.DUMMYFUNCTION("""COMPUTED_VALUE"""),"Galaxy A")</f>
        <v>Galaxy A</v>
      </c>
      <c r="F375" s="3" t="str">
        <f ca="1">IFERROR(__xludf.DUMMYFUNCTION("""COMPUTED_VALUE"""),"Katelynn")</f>
        <v>Katelynn</v>
      </c>
      <c r="G375" s="3">
        <f ca="1">IFERROR(__xludf.DUMMYFUNCTION("""COMPUTED_VALUE"""),0)</f>
        <v>0</v>
      </c>
      <c r="H375" s="3" t="str">
        <f ca="1">IFERROR(__xludf.DUMMYFUNCTION("""COMPUTED_VALUE"""),"car")</f>
        <v>car</v>
      </c>
      <c r="I375" s="3" t="str">
        <f ca="1">IFERROR(__xludf.DUMMYFUNCTION("""COMPUTED_VALUE"""),"2055-06-01T22:42:48.81509Z")</f>
        <v>2055-06-01T22:42:48.81509Z</v>
      </c>
      <c r="J375" s="3" t="str">
        <f ca="1">IFERROR(__xludf.DUMMYFUNCTION("""COMPUTED_VALUE"""),"2055-06-01T23:43:02.893Z")</f>
        <v>2055-06-01T23:43:02.893Z</v>
      </c>
      <c r="K375" s="3" t="str">
        <f ca="1">IFERROR(__xludf.DUMMYFUNCTION("""COMPUTED_VALUE"""),"2055-06-01T23:22:55.893Z")</f>
        <v>2055-06-01T23:22:55.893Z</v>
      </c>
      <c r="L375" s="3">
        <f ca="1">IFERROR(__xludf.DUMMYFUNCTION("""COMPUTED_VALUE"""),1)</f>
        <v>1</v>
      </c>
      <c r="M375" s="3">
        <f ca="1">IFERROR(__xludf.DUMMYFUNCTION("""COMPUTED_VALUE"""),0)</f>
        <v>0</v>
      </c>
      <c r="N375" s="3" t="str">
        <f ca="1">IFERROR(__xludf.DUMMYFUNCTION("""COMPUTED_VALUE"""),"2055-06-01T23:10:12.671039Z")</f>
        <v>2055-06-01T23:10:12.671039Z</v>
      </c>
      <c r="O375" s="3" t="str">
        <f ca="1">IFERROR(__xludf.DUMMYFUNCTION("""COMPUTED_VALUE"""),"2055-06-01T23:26:32.719362Z")</f>
        <v>2055-06-01T23:26:32.719362Z</v>
      </c>
      <c r="P375" s="3" t="str">
        <f ca="1">IFERROR(__xludf.DUMMYFUNCTION("""COMPUTED_VALUE"""),"2055-06-01T22:49:07.473282Z")</f>
        <v>2055-06-01T22:49:07.473282Z</v>
      </c>
      <c r="Q375" s="3">
        <f ca="1">IFERROR(__xludf.DUMMYFUNCTION("""COMPUTED_VALUE"""),0)</f>
        <v>0</v>
      </c>
      <c r="R375" s="3" t="str">
        <f ca="1">IFERROR(__xludf.DUMMYFUNCTION("""COMPUTED_VALUE"""),"2055-06-01T22:50:45.219642Z")</f>
        <v>2055-06-01T22:50:45.219642Z</v>
      </c>
      <c r="S375" s="3"/>
      <c r="T375" s="3"/>
      <c r="U375" s="4">
        <f ca="1">IFERROR(__xludf.DUMMYFUNCTION("""COMPUTED_VALUE"""),56766)</f>
        <v>56766</v>
      </c>
      <c r="V375" s="3">
        <f ca="1">IFERROR(__xludf.DUMMYFUNCTION("""COMPUTED_VALUE"""),4.7)</f>
        <v>4.7</v>
      </c>
      <c r="W375" s="3">
        <f ca="1">IFERROR(__xludf.DUMMYFUNCTION("""COMPUTED_VALUE"""),3000)</f>
        <v>3000</v>
      </c>
      <c r="X375" s="3">
        <f ca="1">IFERROR(__xludf.DUMMYFUNCTION("""COMPUTED_VALUE"""),2147)</f>
        <v>2147</v>
      </c>
      <c r="Y375" s="3"/>
      <c r="Z375" s="3"/>
      <c r="AA375" s="3">
        <f ca="1">IFERROR(__xludf.DUMMYFUNCTION("""COMPUTED_VALUE"""),980)</f>
        <v>980</v>
      </c>
      <c r="AB375" s="3">
        <f ca="1">IFERROR(__xludf.DUMMYFUNCTION("""COMPUTED_VALUE"""),0)</f>
        <v>0</v>
      </c>
      <c r="AC375" s="3">
        <f ca="1">IFERROR(__xludf.DUMMYFUNCTION("""COMPUTED_VALUE"""),3)</f>
        <v>3</v>
      </c>
      <c r="AD375" s="3"/>
      <c r="AE375" s="3" t="str">
        <f ca="1">IFERROR(__xludf.DUMMYFUNCTION("""COMPUTED_VALUE"""),"2055-06-01T19:10:12.671039Z")</f>
        <v>2055-06-01T19:10:12.671039Z</v>
      </c>
      <c r="AF375" s="3" t="str">
        <f ca="1">IFERROR(__xludf.DUMMYFUNCTION("""COMPUTED_VALUE"""),"2055-06-01T19:26:32.719362Z")</f>
        <v>2055-06-01T19:26:32.719362Z</v>
      </c>
      <c r="AG375" s="3" t="str">
        <f ca="1">IFERROR(__xludf.DUMMYFUNCTION("""COMPUTED_VALUE"""),"2055-06-01T18:49:07.473282Z")</f>
        <v>2055-06-01T18:49:07.473282Z</v>
      </c>
      <c r="AH375" s="3"/>
      <c r="AI375" s="3">
        <f ca="1">IFERROR(__xludf.DUMMYFUNCTION("""COMPUTED_VALUE"""),4.7)</f>
        <v>4.7</v>
      </c>
      <c r="AJ375" s="3">
        <f ca="1">IFERROR(__xludf.DUMMYFUNCTION("""COMPUTED_VALUE"""),1261)</f>
        <v>1261</v>
      </c>
      <c r="AK375" s="3">
        <f ca="1">IFERROR(__xludf.DUMMYFUNCTION("""COMPUTED_VALUE"""),3264)</f>
        <v>3264</v>
      </c>
      <c r="AL375" s="3">
        <f ca="1">IFERROR(__xludf.DUMMYFUNCTION("""COMPUTED_VALUE"""),232)</f>
        <v>232</v>
      </c>
    </row>
    <row r="376" spans="1:38" ht="13">
      <c r="A376" s="3">
        <f ca="1">IFERROR(__xludf.DUMMYFUNCTION("""COMPUTED_VALUE"""),353)</f>
        <v>353</v>
      </c>
      <c r="B376" s="3"/>
      <c r="C376" s="3">
        <f ca="1">IFERROR(__xludf.DUMMYFUNCTION("""COMPUTED_VALUE"""),4050)</f>
        <v>4050</v>
      </c>
      <c r="D376" s="3" t="str">
        <f ca="1">IFERROR(__xludf.DUMMYFUNCTION("""COMPUTED_VALUE"""),"Doorlanta")</f>
        <v>Doorlanta</v>
      </c>
      <c r="E376" s="3" t="str">
        <f ca="1">IFERROR(__xludf.DUMMYFUNCTION("""COMPUTED_VALUE"""),"Galaxy A")</f>
        <v>Galaxy A</v>
      </c>
      <c r="F376" s="3" t="str">
        <f ca="1">IFERROR(__xludf.DUMMYFUNCTION("""COMPUTED_VALUE"""),"Katelynn")</f>
        <v>Katelynn</v>
      </c>
      <c r="G376" s="3">
        <f ca="1">IFERROR(__xludf.DUMMYFUNCTION("""COMPUTED_VALUE"""),0)</f>
        <v>0</v>
      </c>
      <c r="H376" s="3" t="str">
        <f ca="1">IFERROR(__xludf.DUMMYFUNCTION("""COMPUTED_VALUE"""),"car")</f>
        <v>car</v>
      </c>
      <c r="I376" s="3" t="str">
        <f ca="1">IFERROR(__xludf.DUMMYFUNCTION("""COMPUTED_VALUE"""),"2055-06-03T22:52:15.386647Z")</f>
        <v>2055-06-03T22:52:15.386647Z</v>
      </c>
      <c r="J376" s="3" t="str">
        <f ca="1">IFERROR(__xludf.DUMMYFUNCTION("""COMPUTED_VALUE"""),"2055-06-03T23:49:12.449Z")</f>
        <v>2055-06-03T23:49:12.449Z</v>
      </c>
      <c r="K376" s="3" t="str">
        <f ca="1">IFERROR(__xludf.DUMMYFUNCTION("""COMPUTED_VALUE"""),"2055-06-03T23:35:19.449Z")</f>
        <v>2055-06-03T23:35:19.449Z</v>
      </c>
      <c r="L376" s="3">
        <f ca="1">IFERROR(__xludf.DUMMYFUNCTION("""COMPUTED_VALUE"""),1)</f>
        <v>1</v>
      </c>
      <c r="M376" s="3">
        <f ca="1">IFERROR(__xludf.DUMMYFUNCTION("""COMPUTED_VALUE"""),0)</f>
        <v>0</v>
      </c>
      <c r="N376" s="3" t="str">
        <f ca="1">IFERROR(__xludf.DUMMYFUNCTION("""COMPUTED_VALUE"""),"2055-06-03T23:27:02.46443Z")</f>
        <v>2055-06-03T23:27:02.46443Z</v>
      </c>
      <c r="O376" s="3" t="str">
        <f ca="1">IFERROR(__xludf.DUMMYFUNCTION("""COMPUTED_VALUE"""),"2055-06-03T23:43:49.706007Z")</f>
        <v>2055-06-03T23:43:49.706007Z</v>
      </c>
      <c r="P376" s="3" t="str">
        <f ca="1">IFERROR(__xludf.DUMMYFUNCTION("""COMPUTED_VALUE"""),"2055-06-03T22:52:27.4622Z")</f>
        <v>2055-06-03T22:52:27.4622Z</v>
      </c>
      <c r="Q376" s="3">
        <f ca="1">IFERROR(__xludf.DUMMYFUNCTION("""COMPUTED_VALUE"""),0)</f>
        <v>0</v>
      </c>
      <c r="R376" s="3" t="str">
        <f ca="1">IFERROR(__xludf.DUMMYFUNCTION("""COMPUTED_VALUE"""),"2055-06-03T22:52:54.647628Z")</f>
        <v>2055-06-03T22:52:54.647628Z</v>
      </c>
      <c r="S376" s="3" t="str">
        <f ca="1">IFERROR(__xludf.DUMMYFUNCTION("""COMPUTED_VALUE"""),"2055-06-03T23:16:42.775225Z")</f>
        <v>2055-06-03T23:16:42.775225Z</v>
      </c>
      <c r="T376" s="3"/>
      <c r="U376" s="4">
        <f ca="1">IFERROR(__xludf.DUMMYFUNCTION("""COMPUTED_VALUE"""),56768)</f>
        <v>56768</v>
      </c>
      <c r="V376" s="3">
        <f ca="1">IFERROR(__xludf.DUMMYFUNCTION("""COMPUTED_VALUE"""),4.4)</f>
        <v>4.4000000000000004</v>
      </c>
      <c r="W376" s="3">
        <f ca="1">IFERROR(__xludf.DUMMYFUNCTION("""COMPUTED_VALUE"""),3000)</f>
        <v>3000</v>
      </c>
      <c r="X376" s="3">
        <f ca="1">IFERROR(__xludf.DUMMYFUNCTION("""COMPUTED_VALUE"""),3055)</f>
        <v>3055</v>
      </c>
      <c r="Y376" s="3">
        <f ca="1">IFERROR(__xludf.DUMMYFUNCTION("""COMPUTED_VALUE"""),1428)</f>
        <v>1428</v>
      </c>
      <c r="Z376" s="3">
        <f ca="1">IFERROR(__xludf.DUMMYFUNCTION("""COMPUTED_VALUE"""),620)</f>
        <v>620</v>
      </c>
      <c r="AA376" s="3">
        <f ca="1">IFERROR(__xludf.DUMMYFUNCTION("""COMPUTED_VALUE"""),1007)</f>
        <v>1007</v>
      </c>
      <c r="AB376" s="3">
        <f ca="1">IFERROR(__xludf.DUMMYFUNCTION("""COMPUTED_VALUE"""),0)</f>
        <v>0</v>
      </c>
      <c r="AC376" s="3">
        <f ca="1">IFERROR(__xludf.DUMMYFUNCTION("""COMPUTED_VALUE"""),3)</f>
        <v>3</v>
      </c>
      <c r="AD376" s="3"/>
      <c r="AE376" s="3" t="str">
        <f ca="1">IFERROR(__xludf.DUMMYFUNCTION("""COMPUTED_VALUE"""),"2055-06-03T19:27:02.46443Z")</f>
        <v>2055-06-03T19:27:02.46443Z</v>
      </c>
      <c r="AF376" s="3" t="str">
        <f ca="1">IFERROR(__xludf.DUMMYFUNCTION("""COMPUTED_VALUE"""),"2055-06-03T19:43:49.706007Z")</f>
        <v>2055-06-03T19:43:49.706007Z</v>
      </c>
      <c r="AG376" s="3" t="str">
        <f ca="1">IFERROR(__xludf.DUMMYFUNCTION("""COMPUTED_VALUE"""),"2055-06-03T18:52:27.4622Z")</f>
        <v>2055-06-03T18:52:27.4622Z</v>
      </c>
      <c r="AH376" s="3" t="str">
        <f ca="1">IFERROR(__xludf.DUMMYFUNCTION("""COMPUTED_VALUE"""),"2055-06-03T19:16:42.775225Z")</f>
        <v>2055-06-03T19:16:42.775225Z</v>
      </c>
      <c r="AI376" s="3">
        <f ca="1">IFERROR(__xludf.DUMMYFUNCTION("""COMPUTED_VALUE"""),4.7)</f>
        <v>4.7</v>
      </c>
      <c r="AJ376" s="3">
        <f ca="1">IFERROR(__xludf.DUMMYFUNCTION("""COMPUTED_VALUE"""),1261)</f>
        <v>1261</v>
      </c>
      <c r="AK376" s="3">
        <f ca="1">IFERROR(__xludf.DUMMYFUNCTION("""COMPUTED_VALUE"""),3264)</f>
        <v>3264</v>
      </c>
      <c r="AL376" s="3">
        <f ca="1">IFERROR(__xludf.DUMMYFUNCTION("""COMPUTED_VALUE"""),232)</f>
        <v>232</v>
      </c>
    </row>
    <row r="377" spans="1:38" ht="13">
      <c r="A377" s="3">
        <f ca="1">IFERROR(__xludf.DUMMYFUNCTION("""COMPUTED_VALUE"""),572)</f>
        <v>572</v>
      </c>
      <c r="B377" s="3">
        <f ca="1">IFERROR(__xludf.DUMMYFUNCTION("""COMPUTED_VALUE"""),4)</f>
        <v>4</v>
      </c>
      <c r="C377" s="3">
        <f ca="1">IFERROR(__xludf.DUMMYFUNCTION("""COMPUTED_VALUE"""),4050)</f>
        <v>4050</v>
      </c>
      <c r="D377" s="3" t="str">
        <f ca="1">IFERROR(__xludf.DUMMYFUNCTION("""COMPUTED_VALUE"""),"Doorlanta")</f>
        <v>Doorlanta</v>
      </c>
      <c r="E377" s="3" t="str">
        <f ca="1">IFERROR(__xludf.DUMMYFUNCTION("""COMPUTED_VALUE"""),"Galaxy A")</f>
        <v>Galaxy A</v>
      </c>
      <c r="F377" s="3" t="str">
        <f ca="1">IFERROR(__xludf.DUMMYFUNCTION("""COMPUTED_VALUE"""),"Cate")</f>
        <v>Cate</v>
      </c>
      <c r="G377" s="3">
        <f ca="1">IFERROR(__xludf.DUMMYFUNCTION("""COMPUTED_VALUE"""),0)</f>
        <v>0</v>
      </c>
      <c r="H377" s="3" t="str">
        <f ca="1">IFERROR(__xludf.DUMMYFUNCTION("""COMPUTED_VALUE"""),"car")</f>
        <v>car</v>
      </c>
      <c r="I377" s="3" t="str">
        <f ca="1">IFERROR(__xludf.DUMMYFUNCTION("""COMPUTED_VALUE"""),"2055-06-05T17:16:34.743603Z")</f>
        <v>2055-06-05T17:16:34.743603Z</v>
      </c>
      <c r="J377" s="3" t="str">
        <f ca="1">IFERROR(__xludf.DUMMYFUNCTION("""COMPUTED_VALUE"""),"2055-06-05T18:16:46.819Z")</f>
        <v>2055-06-05T18:16:46.819Z</v>
      </c>
      <c r="K377" s="3" t="str">
        <f ca="1">IFERROR(__xludf.DUMMYFUNCTION("""COMPUTED_VALUE"""),"2055-06-05T18:03:28.819Z")</f>
        <v>2055-06-05T18:03:28.819Z</v>
      </c>
      <c r="L377" s="3">
        <f ca="1">IFERROR(__xludf.DUMMYFUNCTION("""COMPUTED_VALUE"""),1)</f>
        <v>1</v>
      </c>
      <c r="M377" s="3">
        <f ca="1">IFERROR(__xludf.DUMMYFUNCTION("""COMPUTED_VALUE"""),0)</f>
        <v>0</v>
      </c>
      <c r="N377" s="3" t="str">
        <f ca="1">IFERROR(__xludf.DUMMYFUNCTION("""COMPUTED_VALUE"""),"2055-06-05T17:47:59.560733Z")</f>
        <v>2055-06-05T17:47:59.560733Z</v>
      </c>
      <c r="O377" s="3" t="str">
        <f ca="1">IFERROR(__xludf.DUMMYFUNCTION("""COMPUTED_VALUE"""),"2055-06-05T18:06:16.8379Z")</f>
        <v>2055-06-05T18:06:16.8379Z</v>
      </c>
      <c r="P377" s="3" t="str">
        <f ca="1">IFERROR(__xludf.DUMMYFUNCTION("""COMPUTED_VALUE"""),"2055-06-05T17:31:47.257391Z")</f>
        <v>2055-06-05T17:31:47.257391Z</v>
      </c>
      <c r="Q377" s="3">
        <f ca="1">IFERROR(__xludf.DUMMYFUNCTION("""COMPUTED_VALUE"""),0)</f>
        <v>0</v>
      </c>
      <c r="R377" s="3" t="str">
        <f ca="1">IFERROR(__xludf.DUMMYFUNCTION("""COMPUTED_VALUE"""),"2055-06-05T17:31:49.95064Z")</f>
        <v>2055-06-05T17:31:49.95064Z</v>
      </c>
      <c r="S377" s="3" t="str">
        <f ca="1">IFERROR(__xludf.DUMMYFUNCTION("""COMPUTED_VALUE"""),"2055-06-05T17:37:57.530801Z")</f>
        <v>2055-06-05T17:37:57.530801Z</v>
      </c>
      <c r="T377" s="3"/>
      <c r="U377" s="4">
        <f ca="1">IFERROR(__xludf.DUMMYFUNCTION("""COMPUTED_VALUE"""),56770)</f>
        <v>56770</v>
      </c>
      <c r="V377" s="3">
        <f ca="1">IFERROR(__xludf.DUMMYFUNCTION("""COMPUTED_VALUE"""),4.8)</f>
        <v>4.8</v>
      </c>
      <c r="W377" s="3">
        <f ca="1">IFERROR(__xludf.DUMMYFUNCTION("""COMPUTED_VALUE"""),3000)</f>
        <v>3000</v>
      </c>
      <c r="X377" s="3">
        <f ca="1">IFERROR(__xludf.DUMMYFUNCTION("""COMPUTED_VALUE"""),2067)</f>
        <v>2067</v>
      </c>
      <c r="Y377" s="3">
        <f ca="1">IFERROR(__xludf.DUMMYFUNCTION("""COMPUTED_VALUE"""),368)</f>
        <v>368</v>
      </c>
      <c r="Z377" s="3">
        <f ca="1">IFERROR(__xludf.DUMMYFUNCTION("""COMPUTED_VALUE"""),602)</f>
        <v>602</v>
      </c>
      <c r="AA377" s="3">
        <f ca="1">IFERROR(__xludf.DUMMYFUNCTION("""COMPUTED_VALUE"""),1097)</f>
        <v>1097</v>
      </c>
      <c r="AB377" s="3">
        <f ca="1">IFERROR(__xludf.DUMMYFUNCTION("""COMPUTED_VALUE"""),1)</f>
        <v>1</v>
      </c>
      <c r="AC377" s="3">
        <f ca="1">IFERROR(__xludf.DUMMYFUNCTION("""COMPUTED_VALUE"""),5)</f>
        <v>5</v>
      </c>
      <c r="AD377" s="3"/>
      <c r="AE377" s="3" t="str">
        <f ca="1">IFERROR(__xludf.DUMMYFUNCTION("""COMPUTED_VALUE"""),"2055-06-05T13:47:59.560733Z")</f>
        <v>2055-06-05T13:47:59.560733Z</v>
      </c>
      <c r="AF377" s="3" t="str">
        <f ca="1">IFERROR(__xludf.DUMMYFUNCTION("""COMPUTED_VALUE"""),"2055-06-05T14:06:16.8379Z")</f>
        <v>2055-06-05T14:06:16.8379Z</v>
      </c>
      <c r="AG377" s="3" t="str">
        <f ca="1">IFERROR(__xludf.DUMMYFUNCTION("""COMPUTED_VALUE"""),"2055-06-05T13:31:47.257391Z")</f>
        <v>2055-06-05T13:31:47.257391Z</v>
      </c>
      <c r="AH377" s="3" t="str">
        <f ca="1">IFERROR(__xludf.DUMMYFUNCTION("""COMPUTED_VALUE"""),"2055-06-05T13:37:57.530801Z")</f>
        <v>2055-06-05T13:37:57.530801Z</v>
      </c>
      <c r="AI377" s="3">
        <f ca="1">IFERROR(__xludf.DUMMYFUNCTION("""COMPUTED_VALUE"""),4.49)</f>
        <v>4.49</v>
      </c>
      <c r="AJ377" s="3">
        <f ca="1">IFERROR(__xludf.DUMMYFUNCTION("""COMPUTED_VALUE"""),2315)</f>
        <v>2315</v>
      </c>
      <c r="AK377" s="3">
        <f ca="1">IFERROR(__xludf.DUMMYFUNCTION("""COMPUTED_VALUE"""),7039)</f>
        <v>7039</v>
      </c>
      <c r="AL377" s="3">
        <f ca="1">IFERROR(__xludf.DUMMYFUNCTION("""COMPUTED_VALUE"""),763)</f>
        <v>763</v>
      </c>
    </row>
    <row r="378" spans="1:38" ht="13">
      <c r="A378" s="3">
        <f ca="1">IFERROR(__xludf.DUMMYFUNCTION("""COMPUTED_VALUE"""),1254)</f>
        <v>1254</v>
      </c>
      <c r="B378" s="3"/>
      <c r="C378" s="3">
        <f ca="1">IFERROR(__xludf.DUMMYFUNCTION("""COMPUTED_VALUE"""),4001)</f>
        <v>4001</v>
      </c>
      <c r="D378" s="3" t="str">
        <f ca="1">IFERROR(__xludf.DUMMYFUNCTION("""COMPUTED_VALUE"""),"Dashattan")</f>
        <v>Dashattan</v>
      </c>
      <c r="E378" s="3" t="str">
        <f ca="1">IFERROR(__xludf.DUMMYFUNCTION("""COMPUTED_VALUE"""),"Galaxy A")</f>
        <v>Galaxy A</v>
      </c>
      <c r="F378" s="3" t="str">
        <f ca="1">IFERROR(__xludf.DUMMYFUNCTION("""COMPUTED_VALUE"""),"KC")</f>
        <v>KC</v>
      </c>
      <c r="G378" s="3">
        <f ca="1">IFERROR(__xludf.DUMMYFUNCTION("""COMPUTED_VALUE"""),0)</f>
        <v>0</v>
      </c>
      <c r="H378" s="3" t="str">
        <f ca="1">IFERROR(__xludf.DUMMYFUNCTION("""COMPUTED_VALUE"""),"car")</f>
        <v>car</v>
      </c>
      <c r="I378" s="3" t="str">
        <f ca="1">IFERROR(__xludf.DUMMYFUNCTION("""COMPUTED_VALUE"""),"2055-06-11T16:17:04.251406Z")</f>
        <v>2055-06-11T16:17:04.251406Z</v>
      </c>
      <c r="J378" s="3" t="str">
        <f ca="1">IFERROR(__xludf.DUMMYFUNCTION("""COMPUTED_VALUE"""),"2055-06-11T17:37:58.301Z")</f>
        <v>2055-06-11T17:37:58.301Z</v>
      </c>
      <c r="K378" s="3" t="str">
        <f ca="1">IFERROR(__xludf.DUMMYFUNCTION("""COMPUTED_VALUE"""),"2055-06-11T17:16:04.301Z")</f>
        <v>2055-06-11T17:16:04.301Z</v>
      </c>
      <c r="L378" s="3">
        <f ca="1">IFERROR(__xludf.DUMMYFUNCTION("""COMPUTED_VALUE"""),1)</f>
        <v>1</v>
      </c>
      <c r="M378" s="3">
        <f ca="1">IFERROR(__xludf.DUMMYFUNCTION("""COMPUTED_VALUE"""),0)</f>
        <v>0</v>
      </c>
      <c r="N378" s="3" t="str">
        <f ca="1">IFERROR(__xludf.DUMMYFUNCTION("""COMPUTED_VALUE"""),"2055-06-11T17:00:39.472925Z")</f>
        <v>2055-06-11T17:00:39.472925Z</v>
      </c>
      <c r="O378" s="3" t="str">
        <f ca="1">IFERROR(__xludf.DUMMYFUNCTION("""COMPUTED_VALUE"""),"2055-06-11T17:12:12.833921Z")</f>
        <v>2055-06-11T17:12:12.833921Z</v>
      </c>
      <c r="P378" s="3" t="str">
        <f ca="1">IFERROR(__xludf.DUMMYFUNCTION("""COMPUTED_VALUE"""),"2055-06-11T16:28:54.262029Z")</f>
        <v>2055-06-11T16:28:54.262029Z</v>
      </c>
      <c r="Q378" s="3">
        <f ca="1">IFERROR(__xludf.DUMMYFUNCTION("""COMPUTED_VALUE"""),0)</f>
        <v>0</v>
      </c>
      <c r="R378" s="3" t="str">
        <f ca="1">IFERROR(__xludf.DUMMYFUNCTION("""COMPUTED_VALUE"""),"2055-06-11T16:29:15.904577Z")</f>
        <v>2055-06-11T16:29:15.904577Z</v>
      </c>
      <c r="S378" s="3" t="str">
        <f ca="1">IFERROR(__xludf.DUMMYFUNCTION("""COMPUTED_VALUE"""),"2055-06-11T16:45:40.606691Z")</f>
        <v>2055-06-11T16:45:40.606691Z</v>
      </c>
      <c r="T378" s="3"/>
      <c r="U378" s="4">
        <f ca="1">IFERROR(__xludf.DUMMYFUNCTION("""COMPUTED_VALUE"""),56776)</f>
        <v>56776</v>
      </c>
      <c r="V378" s="3">
        <f ca="1">IFERROR(__xludf.DUMMYFUNCTION("""COMPUTED_VALUE"""),4.2)</f>
        <v>4.2</v>
      </c>
      <c r="W378" s="3">
        <f ca="1">IFERROR(__xludf.DUMMYFUNCTION("""COMPUTED_VALUE"""),3000)</f>
        <v>3000</v>
      </c>
      <c r="X378" s="3">
        <f ca="1">IFERROR(__xludf.DUMMYFUNCTION("""COMPUTED_VALUE"""),2577)</f>
        <v>2577</v>
      </c>
      <c r="Y378" s="3">
        <f ca="1">IFERROR(__xludf.DUMMYFUNCTION("""COMPUTED_VALUE"""),985)</f>
        <v>985</v>
      </c>
      <c r="Z378" s="3">
        <f ca="1">IFERROR(__xludf.DUMMYFUNCTION("""COMPUTED_VALUE"""),899)</f>
        <v>899</v>
      </c>
      <c r="AA378" s="3">
        <f ca="1">IFERROR(__xludf.DUMMYFUNCTION("""COMPUTED_VALUE"""),693)</f>
        <v>693</v>
      </c>
      <c r="AB378" s="3">
        <f ca="1">IFERROR(__xludf.DUMMYFUNCTION("""COMPUTED_VALUE"""),0)</f>
        <v>0</v>
      </c>
      <c r="AC378" s="3">
        <f ca="1">IFERROR(__xludf.DUMMYFUNCTION("""COMPUTED_VALUE"""),4)</f>
        <v>4</v>
      </c>
      <c r="AD378" s="3" t="str">
        <f ca="1">IFERROR(__xludf.DUMMYFUNCTION("""COMPUTED_VALUE"""),"early")</f>
        <v>early</v>
      </c>
      <c r="AE378" s="3" t="str">
        <f ca="1">IFERROR(__xludf.DUMMYFUNCTION("""COMPUTED_VALUE"""),"2055-06-11T13:00:39.472925Z")</f>
        <v>2055-06-11T13:00:39.472925Z</v>
      </c>
      <c r="AF378" s="3" t="str">
        <f ca="1">IFERROR(__xludf.DUMMYFUNCTION("""COMPUTED_VALUE"""),"2055-06-11T13:12:12.833921Z")</f>
        <v>2055-06-11T13:12:12.833921Z</v>
      </c>
      <c r="AG378" s="3" t="str">
        <f ca="1">IFERROR(__xludf.DUMMYFUNCTION("""COMPUTED_VALUE"""),"2055-06-11T12:28:54.262029Z")</f>
        <v>2055-06-11T12:28:54.262029Z</v>
      </c>
      <c r="AH378" s="3" t="str">
        <f ca="1">IFERROR(__xludf.DUMMYFUNCTION("""COMPUTED_VALUE"""),"2055-06-11T12:45:40.606691Z")</f>
        <v>2055-06-11T12:45:40.606691Z</v>
      </c>
      <c r="AI378" s="3">
        <f ca="1">IFERROR(__xludf.DUMMYFUNCTION("""COMPUTED_VALUE"""),4.54)</f>
        <v>4.54</v>
      </c>
      <c r="AJ378" s="3">
        <f ca="1">IFERROR(__xludf.DUMMYFUNCTION("""COMPUTED_VALUE"""),2229)</f>
        <v>2229</v>
      </c>
      <c r="AK378" s="3">
        <f ca="1">IFERROR(__xludf.DUMMYFUNCTION("""COMPUTED_VALUE"""),6580)</f>
        <v>6580</v>
      </c>
      <c r="AL378" s="3"/>
    </row>
    <row r="379" spans="1:38" ht="13">
      <c r="A379" s="3">
        <f ca="1">IFERROR(__xludf.DUMMYFUNCTION("""COMPUTED_VALUE"""),426)</f>
        <v>426</v>
      </c>
      <c r="B379" s="3"/>
      <c r="C379" s="3">
        <f ca="1">IFERROR(__xludf.DUMMYFUNCTION("""COMPUTED_VALUE"""),4050)</f>
        <v>4050</v>
      </c>
      <c r="D379" s="3" t="str">
        <f ca="1">IFERROR(__xludf.DUMMYFUNCTION("""COMPUTED_VALUE"""),"Doorlanta")</f>
        <v>Doorlanta</v>
      </c>
      <c r="E379" s="3" t="str">
        <f ca="1">IFERROR(__xludf.DUMMYFUNCTION("""COMPUTED_VALUE"""),"Galaxy A")</f>
        <v>Galaxy A</v>
      </c>
      <c r="F379" s="3" t="str">
        <f ca="1">IFERROR(__xludf.DUMMYFUNCTION("""COMPUTED_VALUE"""),"Katelynn")</f>
        <v>Katelynn</v>
      </c>
      <c r="G379" s="3">
        <f ca="1">IFERROR(__xludf.DUMMYFUNCTION("""COMPUTED_VALUE"""),0)</f>
        <v>0</v>
      </c>
      <c r="H379" s="3" t="str">
        <f ca="1">IFERROR(__xludf.DUMMYFUNCTION("""COMPUTED_VALUE"""),"car")</f>
        <v>car</v>
      </c>
      <c r="I379" s="3" t="str">
        <f ca="1">IFERROR(__xludf.DUMMYFUNCTION("""COMPUTED_VALUE"""),"2055-06-04T18:13:12.997915Z")</f>
        <v>2055-06-04T18:13:12.997915Z</v>
      </c>
      <c r="J379" s="3" t="str">
        <f ca="1">IFERROR(__xludf.DUMMYFUNCTION("""COMPUTED_VALUE"""),"2055-06-04T19:16:33.081Z")</f>
        <v>2055-06-04T19:16:33.081Z</v>
      </c>
      <c r="K379" s="3" t="str">
        <f ca="1">IFERROR(__xludf.DUMMYFUNCTION("""COMPUTED_VALUE"""),"2055-06-04T18:54:39.081Z")</f>
        <v>2055-06-04T18:54:39.081Z</v>
      </c>
      <c r="L379" s="3">
        <f ca="1">IFERROR(__xludf.DUMMYFUNCTION("""COMPUTED_VALUE"""),1)</f>
        <v>1</v>
      </c>
      <c r="M379" s="3">
        <f ca="1">IFERROR(__xludf.DUMMYFUNCTION("""COMPUTED_VALUE"""),0)</f>
        <v>0</v>
      </c>
      <c r="N379" s="3" t="str">
        <f ca="1">IFERROR(__xludf.DUMMYFUNCTION("""COMPUTED_VALUE"""),"2055-06-04T18:34:07.924432Z")</f>
        <v>2055-06-04T18:34:07.924432Z</v>
      </c>
      <c r="O379" s="3" t="str">
        <f ca="1">IFERROR(__xludf.DUMMYFUNCTION("""COMPUTED_VALUE"""),"2055-06-04T18:47:23.030703Z")</f>
        <v>2055-06-04T18:47:23.030703Z</v>
      </c>
      <c r="P379" s="3" t="str">
        <f ca="1">IFERROR(__xludf.DUMMYFUNCTION("""COMPUTED_VALUE"""),"2055-06-04T18:13:27.23985Z")</f>
        <v>2055-06-04T18:13:27.23985Z</v>
      </c>
      <c r="Q379" s="3">
        <f ca="1">IFERROR(__xludf.DUMMYFUNCTION("""COMPUTED_VALUE"""),0)</f>
        <v>0</v>
      </c>
      <c r="R379" s="3" t="str">
        <f ca="1">IFERROR(__xludf.DUMMYFUNCTION("""COMPUTED_VALUE"""),"2055-06-04T18:13:49.737576Z")</f>
        <v>2055-06-04T18:13:49.737576Z</v>
      </c>
      <c r="S379" s="3" t="str">
        <f ca="1">IFERROR(__xludf.DUMMYFUNCTION("""COMPUTED_VALUE"""),"2055-06-04T18:26:42.067813Z")</f>
        <v>2055-06-04T18:26:42.067813Z</v>
      </c>
      <c r="T379" s="3"/>
      <c r="U379" s="4">
        <f ca="1">IFERROR(__xludf.DUMMYFUNCTION("""COMPUTED_VALUE"""),56769)</f>
        <v>56769</v>
      </c>
      <c r="V379" s="3">
        <f ca="1">IFERROR(__xludf.DUMMYFUNCTION("""COMPUTED_VALUE"""),4.8)</f>
        <v>4.8</v>
      </c>
      <c r="W379" s="3">
        <f ca="1">IFERROR(__xludf.DUMMYFUNCTION("""COMPUTED_VALUE"""),3000)</f>
        <v>3000</v>
      </c>
      <c r="X379" s="3">
        <f ca="1">IFERROR(__xludf.DUMMYFUNCTION("""COMPUTED_VALUE"""),2014)</f>
        <v>2014</v>
      </c>
      <c r="Y379" s="3">
        <f ca="1">IFERROR(__xludf.DUMMYFUNCTION("""COMPUTED_VALUE"""),773)</f>
        <v>773</v>
      </c>
      <c r="Z379" s="3">
        <f ca="1">IFERROR(__xludf.DUMMYFUNCTION("""COMPUTED_VALUE"""),445)</f>
        <v>445</v>
      </c>
      <c r="AA379" s="3">
        <f ca="1">IFERROR(__xludf.DUMMYFUNCTION("""COMPUTED_VALUE"""),796)</f>
        <v>796</v>
      </c>
      <c r="AB379" s="3">
        <f ca="1">IFERROR(__xludf.DUMMYFUNCTION("""COMPUTED_VALUE"""),0)</f>
        <v>0</v>
      </c>
      <c r="AC379" s="3">
        <f ca="1">IFERROR(__xludf.DUMMYFUNCTION("""COMPUTED_VALUE"""),4)</f>
        <v>4</v>
      </c>
      <c r="AD379" s="3" t="str">
        <f ca="1">IFERROR(__xludf.DUMMYFUNCTION("""COMPUTED_VALUE"""),"on time")</f>
        <v>on time</v>
      </c>
      <c r="AE379" s="3" t="str">
        <f ca="1">IFERROR(__xludf.DUMMYFUNCTION("""COMPUTED_VALUE"""),"2055-06-04T14:34:07.924432Z")</f>
        <v>2055-06-04T14:34:07.924432Z</v>
      </c>
      <c r="AF379" s="3" t="str">
        <f ca="1">IFERROR(__xludf.DUMMYFUNCTION("""COMPUTED_VALUE"""),"2055-06-04T14:47:23.030703Z")</f>
        <v>2055-06-04T14:47:23.030703Z</v>
      </c>
      <c r="AG379" s="3" t="str">
        <f ca="1">IFERROR(__xludf.DUMMYFUNCTION("""COMPUTED_VALUE"""),"2055-06-04T14:13:27.23985Z")</f>
        <v>2055-06-04T14:13:27.23985Z</v>
      </c>
      <c r="AH379" s="3" t="str">
        <f ca="1">IFERROR(__xludf.DUMMYFUNCTION("""COMPUTED_VALUE"""),"2055-06-04T14:26:42.067813Z")</f>
        <v>2055-06-04T14:26:42.067813Z</v>
      </c>
      <c r="AI379" s="3">
        <f ca="1">IFERROR(__xludf.DUMMYFUNCTION("""COMPUTED_VALUE"""),4.7)</f>
        <v>4.7</v>
      </c>
      <c r="AJ379" s="3">
        <f ca="1">IFERROR(__xludf.DUMMYFUNCTION("""COMPUTED_VALUE"""),1261)</f>
        <v>1261</v>
      </c>
      <c r="AK379" s="3">
        <f ca="1">IFERROR(__xludf.DUMMYFUNCTION("""COMPUTED_VALUE"""),3264)</f>
        <v>3264</v>
      </c>
      <c r="AL379" s="3">
        <f ca="1">IFERROR(__xludf.DUMMYFUNCTION("""COMPUTED_VALUE"""),232)</f>
        <v>232</v>
      </c>
    </row>
    <row r="380" spans="1:38" ht="13">
      <c r="A380" s="3">
        <f ca="1">IFERROR(__xludf.DUMMYFUNCTION("""COMPUTED_VALUE"""),496)</f>
        <v>496</v>
      </c>
      <c r="B380" s="3">
        <f ca="1">IFERROR(__xludf.DUMMYFUNCTION("""COMPUTED_VALUE"""),5)</f>
        <v>5</v>
      </c>
      <c r="C380" s="3">
        <f ca="1">IFERROR(__xludf.DUMMYFUNCTION("""COMPUTED_VALUE"""),4050)</f>
        <v>4050</v>
      </c>
      <c r="D380" s="3" t="str">
        <f ca="1">IFERROR(__xludf.DUMMYFUNCTION("""COMPUTED_VALUE"""),"Doorlanta")</f>
        <v>Doorlanta</v>
      </c>
      <c r="E380" s="3" t="str">
        <f ca="1">IFERROR(__xludf.DUMMYFUNCTION("""COMPUTED_VALUE"""),"Galaxy A")</f>
        <v>Galaxy A</v>
      </c>
      <c r="F380" s="3" t="str">
        <f ca="1">IFERROR(__xludf.DUMMYFUNCTION("""COMPUTED_VALUE"""),"Elon")</f>
        <v>Elon</v>
      </c>
      <c r="G380" s="3">
        <f ca="1">IFERROR(__xludf.DUMMYFUNCTION("""COMPUTED_VALUE"""),0)</f>
        <v>0</v>
      </c>
      <c r="H380" s="3" t="str">
        <f ca="1">IFERROR(__xludf.DUMMYFUNCTION("""COMPUTED_VALUE"""),"car")</f>
        <v>car</v>
      </c>
      <c r="I380" s="3" t="str">
        <f ca="1">IFERROR(__xludf.DUMMYFUNCTION("""COMPUTED_VALUE"""),"2055-06-04T23:50:08.17045Z")</f>
        <v>2055-06-04T23:50:08.17045Z</v>
      </c>
      <c r="J380" s="3" t="str">
        <f ca="1">IFERROR(__xludf.DUMMYFUNCTION("""COMPUTED_VALUE"""),"2055-06-05T01:01:27.244Z")</f>
        <v>2055-06-05T01:01:27.244Z</v>
      </c>
      <c r="K380" s="3" t="str">
        <f ca="1">IFERROR(__xludf.DUMMYFUNCTION("""COMPUTED_VALUE"""),"2055-06-05T00:36:46.244Z")</f>
        <v>2055-06-05T00:36:46.244Z</v>
      </c>
      <c r="L380" s="3">
        <f ca="1">IFERROR(__xludf.DUMMYFUNCTION("""COMPUTED_VALUE"""),1)</f>
        <v>1</v>
      </c>
      <c r="M380" s="3">
        <f ca="1">IFERROR(__xludf.DUMMYFUNCTION("""COMPUTED_VALUE"""),0)</f>
        <v>0</v>
      </c>
      <c r="N380" s="3" t="str">
        <f ca="1">IFERROR(__xludf.DUMMYFUNCTION("""COMPUTED_VALUE"""),"2055-06-05T00:20:42.930645Z")</f>
        <v>2055-06-05T00:20:42.930645Z</v>
      </c>
      <c r="O380" s="3" t="str">
        <f ca="1">IFERROR(__xludf.DUMMYFUNCTION("""COMPUTED_VALUE"""),"2055-06-05T00:20:50.614376Z")</f>
        <v>2055-06-05T00:20:50.614376Z</v>
      </c>
      <c r="P380" s="3" t="str">
        <f ca="1">IFERROR(__xludf.DUMMYFUNCTION("""COMPUTED_VALUE"""),"2055-06-05T00:00:47.509225Z")</f>
        <v>2055-06-05T00:00:47.509225Z</v>
      </c>
      <c r="Q380" s="3">
        <f ca="1">IFERROR(__xludf.DUMMYFUNCTION("""COMPUTED_VALUE"""),0)</f>
        <v>0</v>
      </c>
      <c r="R380" s="3" t="str">
        <f ca="1">IFERROR(__xludf.DUMMYFUNCTION("""COMPUTED_VALUE"""),"2055-06-05T00:00:54.312218Z")</f>
        <v>2055-06-05T00:00:54.312218Z</v>
      </c>
      <c r="S380" s="3" t="str">
        <f ca="1">IFERROR(__xludf.DUMMYFUNCTION("""COMPUTED_VALUE"""),"2055-06-05T00:05:00.787244Z")</f>
        <v>2055-06-05T00:05:00.787244Z</v>
      </c>
      <c r="T380" s="3"/>
      <c r="U380" s="4">
        <f ca="1">IFERROR(__xludf.DUMMYFUNCTION("""COMPUTED_VALUE"""),56769)</f>
        <v>56769</v>
      </c>
      <c r="V380" s="3">
        <f ca="1">IFERROR(__xludf.DUMMYFUNCTION("""COMPUTED_VALUE"""),2.848299368)</f>
        <v>2.8482993680000002</v>
      </c>
      <c r="W380" s="3">
        <f ca="1">IFERROR(__xludf.DUMMYFUNCTION("""COMPUTED_VALUE"""),3000)</f>
        <v>3000</v>
      </c>
      <c r="X380" s="3">
        <f ca="1">IFERROR(__xludf.DUMMYFUNCTION("""COMPUTED_VALUE"""),1196)</f>
        <v>1196</v>
      </c>
      <c r="Y380" s="3">
        <f ca="1">IFERROR(__xludf.DUMMYFUNCTION("""COMPUTED_VALUE"""),246)</f>
        <v>246</v>
      </c>
      <c r="Z380" s="3">
        <f ca="1">IFERROR(__xludf.DUMMYFUNCTION("""COMPUTED_VALUE"""),942)</f>
        <v>942</v>
      </c>
      <c r="AA380" s="3">
        <f ca="1">IFERROR(__xludf.DUMMYFUNCTION("""COMPUTED_VALUE"""),8)</f>
        <v>8</v>
      </c>
      <c r="AB380" s="3">
        <f ca="1">IFERROR(__xludf.DUMMYFUNCTION("""COMPUTED_VALUE"""),0)</f>
        <v>0</v>
      </c>
      <c r="AC380" s="3">
        <f ca="1">IFERROR(__xludf.DUMMYFUNCTION("""COMPUTED_VALUE"""),2)</f>
        <v>2</v>
      </c>
      <c r="AD380" s="3" t="str">
        <f ca="1">IFERROR(__xludf.DUMMYFUNCTION("""COMPUTED_VALUE"""),"on time")</f>
        <v>on time</v>
      </c>
      <c r="AE380" s="3" t="str">
        <f ca="1">IFERROR(__xludf.DUMMYFUNCTION("""COMPUTED_VALUE"""),"2055-06-04T20:20:42.930645Z")</f>
        <v>2055-06-04T20:20:42.930645Z</v>
      </c>
      <c r="AF380" s="3" t="str">
        <f ca="1">IFERROR(__xludf.DUMMYFUNCTION("""COMPUTED_VALUE"""),"2055-06-04T20:20:50.614376Z")</f>
        <v>2055-06-04T20:20:50.614376Z</v>
      </c>
      <c r="AG380" s="3" t="str">
        <f ca="1">IFERROR(__xludf.DUMMYFUNCTION("""COMPUTED_VALUE"""),"2055-06-04T20:00:47.509225Z")</f>
        <v>2055-06-04T20:00:47.509225Z</v>
      </c>
      <c r="AH380" s="3" t="str">
        <f ca="1">IFERROR(__xludf.DUMMYFUNCTION("""COMPUTED_VALUE"""),"2055-06-04T20:05:00.787244Z")</f>
        <v>2055-06-04T20:05:00.787244Z</v>
      </c>
      <c r="AI380" s="3">
        <f ca="1">IFERROR(__xludf.DUMMYFUNCTION("""COMPUTED_VALUE"""),4.62)</f>
        <v>4.62</v>
      </c>
      <c r="AJ380" s="3">
        <f ca="1">IFERROR(__xludf.DUMMYFUNCTION("""COMPUTED_VALUE"""),259)</f>
        <v>259</v>
      </c>
      <c r="AK380" s="3">
        <f ca="1">IFERROR(__xludf.DUMMYFUNCTION("""COMPUTED_VALUE"""),604)</f>
        <v>604</v>
      </c>
      <c r="AL380" s="3">
        <f ca="1">IFERROR(__xludf.DUMMYFUNCTION("""COMPUTED_VALUE"""),21)</f>
        <v>21</v>
      </c>
    </row>
    <row r="381" spans="1:38" ht="13">
      <c r="A381" s="3">
        <f ca="1">IFERROR(__xludf.DUMMYFUNCTION("""COMPUTED_VALUE"""),905)</f>
        <v>905</v>
      </c>
      <c r="B381" s="3"/>
      <c r="C381" s="3">
        <f ca="1">IFERROR(__xludf.DUMMYFUNCTION("""COMPUTED_VALUE"""),4001)</f>
        <v>4001</v>
      </c>
      <c r="D381" s="3" t="str">
        <f ca="1">IFERROR(__xludf.DUMMYFUNCTION("""COMPUTED_VALUE"""),"Dashattan")</f>
        <v>Dashattan</v>
      </c>
      <c r="E381" s="3" t="str">
        <f ca="1">IFERROR(__xludf.DUMMYFUNCTION("""COMPUTED_VALUE"""),"Galaxy A")</f>
        <v>Galaxy A</v>
      </c>
      <c r="F381" s="3" t="str">
        <f ca="1">IFERROR(__xludf.DUMMYFUNCTION("""COMPUTED_VALUE"""),"Rojan")</f>
        <v>Rojan</v>
      </c>
      <c r="G381" s="3">
        <f ca="1">IFERROR(__xludf.DUMMYFUNCTION("""COMPUTED_VALUE"""),0)</f>
        <v>0</v>
      </c>
      <c r="H381" s="3" t="str">
        <f ca="1">IFERROR(__xludf.DUMMYFUNCTION("""COMPUTED_VALUE"""),"bicycle")</f>
        <v>bicycle</v>
      </c>
      <c r="I381" s="3" t="str">
        <f ca="1">IFERROR(__xludf.DUMMYFUNCTION("""COMPUTED_VALUE"""),"2055-06-08T00:27:22.939553Z")</f>
        <v>2055-06-08T00:27:22.939553Z</v>
      </c>
      <c r="J381" s="3" t="str">
        <f ca="1">IFERROR(__xludf.DUMMYFUNCTION("""COMPUTED_VALUE"""),"2055-06-08T01:21:25.986287Z")</f>
        <v>2055-06-08T01:21:25.986287Z</v>
      </c>
      <c r="K381" s="3" t="str">
        <f ca="1">IFERROR(__xludf.DUMMYFUNCTION("""COMPUTED_VALUE"""),"2055-06-08T01:07:25.986287Z")</f>
        <v>2055-06-08T01:07:25.986287Z</v>
      </c>
      <c r="L381" s="3">
        <f ca="1">IFERROR(__xludf.DUMMYFUNCTION("""COMPUTED_VALUE"""),1)</f>
        <v>1</v>
      </c>
      <c r="M381" s="3">
        <f ca="1">IFERROR(__xludf.DUMMYFUNCTION("""COMPUTED_VALUE"""),0)</f>
        <v>0</v>
      </c>
      <c r="N381" s="3" t="str">
        <f ca="1">IFERROR(__xludf.DUMMYFUNCTION("""COMPUTED_VALUE"""),"2055-06-08T00:48:39.483683Z")</f>
        <v>2055-06-08T00:48:39.483683Z</v>
      </c>
      <c r="O381" s="3" t="str">
        <f ca="1">IFERROR(__xludf.DUMMYFUNCTION("""COMPUTED_VALUE"""),"2055-06-08T01:04:07.737436Z")</f>
        <v>2055-06-08T01:04:07.737436Z</v>
      </c>
      <c r="P381" s="3" t="str">
        <f ca="1">IFERROR(__xludf.DUMMYFUNCTION("""COMPUTED_VALUE"""),"2055-06-08T00:30:14.641034Z")</f>
        <v>2055-06-08T00:30:14.641034Z</v>
      </c>
      <c r="Q381" s="3">
        <f ca="1">IFERROR(__xludf.DUMMYFUNCTION("""COMPUTED_VALUE"""),0)</f>
        <v>0</v>
      </c>
      <c r="R381" s="3" t="str">
        <f ca="1">IFERROR(__xludf.DUMMYFUNCTION("""COMPUTED_VALUE"""),"2055-06-08T00:30:40.113521Z")</f>
        <v>2055-06-08T00:30:40.113521Z</v>
      </c>
      <c r="S381" s="3" t="str">
        <f ca="1">IFERROR(__xludf.DUMMYFUNCTION("""COMPUTED_VALUE"""),"2055-06-08T00:48:41.9808Z")</f>
        <v>2055-06-08T00:48:41.9808Z</v>
      </c>
      <c r="T381" s="3"/>
      <c r="U381" s="4">
        <f ca="1">IFERROR(__xludf.DUMMYFUNCTION("""COMPUTED_VALUE"""),56772)</f>
        <v>56772</v>
      </c>
      <c r="V381" s="3">
        <f ca="1">IFERROR(__xludf.DUMMYFUNCTION("""COMPUTED_VALUE"""),4.4)</f>
        <v>4.4000000000000004</v>
      </c>
      <c r="W381" s="3">
        <f ca="1">IFERROR(__xludf.DUMMYFUNCTION("""COMPUTED_VALUE"""),3000)</f>
        <v>3000</v>
      </c>
      <c r="X381" s="3">
        <f ca="1">IFERROR(__xludf.DUMMYFUNCTION("""COMPUTED_VALUE"""),2007)</f>
        <v>2007</v>
      </c>
      <c r="Y381" s="3">
        <f ca="1">IFERROR(__xludf.DUMMYFUNCTION("""COMPUTED_VALUE"""),1081)</f>
        <v>1081</v>
      </c>
      <c r="Z381" s="3"/>
      <c r="AA381" s="3">
        <f ca="1">IFERROR(__xludf.DUMMYFUNCTION("""COMPUTED_VALUE"""),928)</f>
        <v>928</v>
      </c>
      <c r="AB381" s="3">
        <f ca="1">IFERROR(__xludf.DUMMYFUNCTION("""COMPUTED_VALUE"""),0)</f>
        <v>0</v>
      </c>
      <c r="AC381" s="3">
        <f ca="1">IFERROR(__xludf.DUMMYFUNCTION("""COMPUTED_VALUE"""),3)</f>
        <v>3</v>
      </c>
      <c r="AD381" s="3" t="str">
        <f ca="1">IFERROR(__xludf.DUMMYFUNCTION("""COMPUTED_VALUE"""),"on time")</f>
        <v>on time</v>
      </c>
      <c r="AE381" s="3" t="str">
        <f ca="1">IFERROR(__xludf.DUMMYFUNCTION("""COMPUTED_VALUE"""),"2055-06-07T20:48:39.483683Z")</f>
        <v>2055-06-07T20:48:39.483683Z</v>
      </c>
      <c r="AF381" s="3" t="str">
        <f ca="1">IFERROR(__xludf.DUMMYFUNCTION("""COMPUTED_VALUE"""),"2055-06-07T21:04:07.737436Z")</f>
        <v>2055-06-07T21:04:07.737436Z</v>
      </c>
      <c r="AG381" s="3" t="str">
        <f ca="1">IFERROR(__xludf.DUMMYFUNCTION("""COMPUTED_VALUE"""),"2055-06-07T20:30:14.641034Z")</f>
        <v>2055-06-07T20:30:14.641034Z</v>
      </c>
      <c r="AH381" s="3" t="str">
        <f ca="1">IFERROR(__xludf.DUMMYFUNCTION("""COMPUTED_VALUE"""),"2055-06-07T20:48:41.9808Z")</f>
        <v>2055-06-07T20:48:41.9808Z</v>
      </c>
      <c r="AI381" s="3">
        <f ca="1">IFERROR(__xludf.DUMMYFUNCTION("""COMPUTED_VALUE"""),4.58)</f>
        <v>4.58</v>
      </c>
      <c r="AJ381" s="3">
        <f ca="1">IFERROR(__xludf.DUMMYFUNCTION("""COMPUTED_VALUE"""),254)</f>
        <v>254</v>
      </c>
      <c r="AK381" s="3">
        <f ca="1">IFERROR(__xludf.DUMMYFUNCTION("""COMPUTED_VALUE"""),788)</f>
        <v>788</v>
      </c>
      <c r="AL381" s="3">
        <f ca="1">IFERROR(__xludf.DUMMYFUNCTION("""COMPUTED_VALUE"""),9)</f>
        <v>9</v>
      </c>
    </row>
    <row r="382" spans="1:38" ht="13">
      <c r="A382" s="3">
        <f ca="1">IFERROR(__xludf.DUMMYFUNCTION("""COMPUTED_VALUE"""),475)</f>
        <v>475</v>
      </c>
      <c r="B382" s="3"/>
      <c r="C382" s="3">
        <f ca="1">IFERROR(__xludf.DUMMYFUNCTION("""COMPUTED_VALUE"""),4050)</f>
        <v>4050</v>
      </c>
      <c r="D382" s="3" t="str">
        <f ca="1">IFERROR(__xludf.DUMMYFUNCTION("""COMPUTED_VALUE"""),"Doorlanta")</f>
        <v>Doorlanta</v>
      </c>
      <c r="E382" s="3" t="str">
        <f ca="1">IFERROR(__xludf.DUMMYFUNCTION("""COMPUTED_VALUE"""),"Galaxy A")</f>
        <v>Galaxy A</v>
      </c>
      <c r="F382" s="3" t="str">
        <f ca="1">IFERROR(__xludf.DUMMYFUNCTION("""COMPUTED_VALUE"""),"Cate")</f>
        <v>Cate</v>
      </c>
      <c r="G382" s="3">
        <f ca="1">IFERROR(__xludf.DUMMYFUNCTION("""COMPUTED_VALUE"""),0)</f>
        <v>0</v>
      </c>
      <c r="H382" s="3" t="str">
        <f ca="1">IFERROR(__xludf.DUMMYFUNCTION("""COMPUTED_VALUE"""),"car")</f>
        <v>car</v>
      </c>
      <c r="I382" s="3" t="str">
        <f ca="1">IFERROR(__xludf.DUMMYFUNCTION("""COMPUTED_VALUE"""),"2055-06-04T22:48:55.739242Z")</f>
        <v>2055-06-04T22:48:55.739242Z</v>
      </c>
      <c r="J382" s="3" t="str">
        <f ca="1">IFERROR(__xludf.DUMMYFUNCTION("""COMPUTED_VALUE"""),"2055-06-04T23:39:29.791Z")</f>
        <v>2055-06-04T23:39:29.791Z</v>
      </c>
      <c r="K382" s="3" t="str">
        <f ca="1">IFERROR(__xludf.DUMMYFUNCTION("""COMPUTED_VALUE"""),"2055-06-04T23:29:22.791Z")</f>
        <v>2055-06-04T23:29:22.791Z</v>
      </c>
      <c r="L382" s="3">
        <f ca="1">IFERROR(__xludf.DUMMYFUNCTION("""COMPUTED_VALUE"""),1)</f>
        <v>1</v>
      </c>
      <c r="M382" s="3">
        <f ca="1">IFERROR(__xludf.DUMMYFUNCTION("""COMPUTED_VALUE"""),0)</f>
        <v>0</v>
      </c>
      <c r="N382" s="3" t="str">
        <f ca="1">IFERROR(__xludf.DUMMYFUNCTION("""COMPUTED_VALUE"""),"2055-06-04T23:21:00.399405Z")</f>
        <v>2055-06-04T23:21:00.399405Z</v>
      </c>
      <c r="O382" s="3" t="str">
        <f ca="1">IFERROR(__xludf.DUMMYFUNCTION("""COMPUTED_VALUE"""),"2055-06-04T23:34:27.700018Z")</f>
        <v>2055-06-04T23:34:27.700018Z</v>
      </c>
      <c r="P382" s="3" t="str">
        <f ca="1">IFERROR(__xludf.DUMMYFUNCTION("""COMPUTED_VALUE"""),"2055-06-04T22:52:27.536978Z")</f>
        <v>2055-06-04T22:52:27.536978Z</v>
      </c>
      <c r="Q382" s="3">
        <f ca="1">IFERROR(__xludf.DUMMYFUNCTION("""COMPUTED_VALUE"""),0)</f>
        <v>0</v>
      </c>
      <c r="R382" s="3" t="str">
        <f ca="1">IFERROR(__xludf.DUMMYFUNCTION("""COMPUTED_VALUE"""),"2055-06-04T22:52:30.659045Z")</f>
        <v>2055-06-04T22:52:30.659045Z</v>
      </c>
      <c r="S382" s="3"/>
      <c r="T382" s="3"/>
      <c r="U382" s="4">
        <f ca="1">IFERROR(__xludf.DUMMYFUNCTION("""COMPUTED_VALUE"""),56769)</f>
        <v>56769</v>
      </c>
      <c r="V382" s="3">
        <f ca="1">IFERROR(__xludf.DUMMYFUNCTION("""COMPUTED_VALUE"""),4.4)</f>
        <v>4.4000000000000004</v>
      </c>
      <c r="W382" s="3">
        <f ca="1">IFERROR(__xludf.DUMMYFUNCTION("""COMPUTED_VALUE"""),3000)</f>
        <v>3000</v>
      </c>
      <c r="X382" s="3">
        <f ca="1">IFERROR(__xludf.DUMMYFUNCTION("""COMPUTED_VALUE"""),2517)</f>
        <v>2517</v>
      </c>
      <c r="Y382" s="3"/>
      <c r="Z382" s="3"/>
      <c r="AA382" s="3">
        <f ca="1">IFERROR(__xludf.DUMMYFUNCTION("""COMPUTED_VALUE"""),807)</f>
        <v>807</v>
      </c>
      <c r="AB382" s="3">
        <f ca="1">IFERROR(__xludf.DUMMYFUNCTION("""COMPUTED_VALUE"""),1)</f>
        <v>1</v>
      </c>
      <c r="AC382" s="3">
        <f ca="1">IFERROR(__xludf.DUMMYFUNCTION("""COMPUTED_VALUE"""),3)</f>
        <v>3</v>
      </c>
      <c r="AD382" s="3"/>
      <c r="AE382" s="3" t="str">
        <f ca="1">IFERROR(__xludf.DUMMYFUNCTION("""COMPUTED_VALUE"""),"2055-06-04T19:21:00.399405Z")</f>
        <v>2055-06-04T19:21:00.399405Z</v>
      </c>
      <c r="AF382" s="3" t="str">
        <f ca="1">IFERROR(__xludf.DUMMYFUNCTION("""COMPUTED_VALUE"""),"2055-06-04T19:34:27.700018Z")</f>
        <v>2055-06-04T19:34:27.700018Z</v>
      </c>
      <c r="AG382" s="3" t="str">
        <f ca="1">IFERROR(__xludf.DUMMYFUNCTION("""COMPUTED_VALUE"""),"2055-06-04T18:52:27.536978Z")</f>
        <v>2055-06-04T18:52:27.536978Z</v>
      </c>
      <c r="AH382" s="3"/>
      <c r="AI382" s="3">
        <f ca="1">IFERROR(__xludf.DUMMYFUNCTION("""COMPUTED_VALUE"""),4.49)</f>
        <v>4.49</v>
      </c>
      <c r="AJ382" s="3">
        <f ca="1">IFERROR(__xludf.DUMMYFUNCTION("""COMPUTED_VALUE"""),2315)</f>
        <v>2315</v>
      </c>
      <c r="AK382" s="3">
        <f ca="1">IFERROR(__xludf.DUMMYFUNCTION("""COMPUTED_VALUE"""),7039)</f>
        <v>7039</v>
      </c>
      <c r="AL382" s="3">
        <f ca="1">IFERROR(__xludf.DUMMYFUNCTION("""COMPUTED_VALUE"""),763)</f>
        <v>763</v>
      </c>
    </row>
    <row r="383" spans="1:38" ht="13">
      <c r="A383" s="3">
        <f ca="1">IFERROR(__xludf.DUMMYFUNCTION("""COMPUTED_VALUE"""),362)</f>
        <v>362</v>
      </c>
      <c r="B383" s="3"/>
      <c r="C383" s="3">
        <f ca="1">IFERROR(__xludf.DUMMYFUNCTION("""COMPUTED_VALUE"""),4050)</f>
        <v>4050</v>
      </c>
      <c r="D383" s="3" t="str">
        <f ca="1">IFERROR(__xludf.DUMMYFUNCTION("""COMPUTED_VALUE"""),"Doorlanta")</f>
        <v>Doorlanta</v>
      </c>
      <c r="E383" s="3" t="str">
        <f ca="1">IFERROR(__xludf.DUMMYFUNCTION("""COMPUTED_VALUE"""),"Galaxy A")</f>
        <v>Galaxy A</v>
      </c>
      <c r="F383" s="3" t="str">
        <f ca="1">IFERROR(__xludf.DUMMYFUNCTION("""COMPUTED_VALUE"""),"Josh")</f>
        <v>Josh</v>
      </c>
      <c r="G383" s="3">
        <f ca="1">IFERROR(__xludf.DUMMYFUNCTION("""COMPUTED_VALUE"""),0)</f>
        <v>0</v>
      </c>
      <c r="H383" s="3" t="str">
        <f ca="1">IFERROR(__xludf.DUMMYFUNCTION("""COMPUTED_VALUE"""),"car")</f>
        <v>car</v>
      </c>
      <c r="I383" s="3" t="str">
        <f ca="1">IFERROR(__xludf.DUMMYFUNCTION("""COMPUTED_VALUE"""),"2055-06-03T23:16:55.044264Z")</f>
        <v>2055-06-03T23:16:55.044264Z</v>
      </c>
      <c r="J383" s="3" t="str">
        <f ca="1">IFERROR(__xludf.DUMMYFUNCTION("""COMPUTED_VALUE"""),"2055-06-04T00:06:55.125Z")</f>
        <v>2055-06-04T00:06:55.125Z</v>
      </c>
      <c r="K383" s="3" t="str">
        <f ca="1">IFERROR(__xludf.DUMMYFUNCTION("""COMPUTED_VALUE"""),"2055-06-03T23:47:29.125Z")</f>
        <v>2055-06-03T23:47:29.125Z</v>
      </c>
      <c r="L383" s="3">
        <f ca="1">IFERROR(__xludf.DUMMYFUNCTION("""COMPUTED_VALUE"""),1)</f>
        <v>1</v>
      </c>
      <c r="M383" s="3">
        <f ca="1">IFERROR(__xludf.DUMMYFUNCTION("""COMPUTED_VALUE"""),0)</f>
        <v>0</v>
      </c>
      <c r="N383" s="3" t="str">
        <f ca="1">IFERROR(__xludf.DUMMYFUNCTION("""COMPUTED_VALUE"""),"2055-06-03T23:39:31.03845Z")</f>
        <v>2055-06-03T23:39:31.03845Z</v>
      </c>
      <c r="O383" s="3" t="str">
        <f ca="1">IFERROR(__xludf.DUMMYFUNCTION("""COMPUTED_VALUE"""),"2055-06-03T23:53:16.126208Z")</f>
        <v>2055-06-03T23:53:16.126208Z</v>
      </c>
      <c r="P383" s="3" t="str">
        <f ca="1">IFERROR(__xludf.DUMMYFUNCTION("""COMPUTED_VALUE"""),"2055-06-03T23:17:07.333201Z")</f>
        <v>2055-06-03T23:17:07.333201Z</v>
      </c>
      <c r="Q383" s="3">
        <f ca="1">IFERROR(__xludf.DUMMYFUNCTION("""COMPUTED_VALUE"""),0)</f>
        <v>0</v>
      </c>
      <c r="R383" s="3" t="str">
        <f ca="1">IFERROR(__xludf.DUMMYFUNCTION("""COMPUTED_VALUE"""),"2055-06-03T23:17:19.753095Z")</f>
        <v>2055-06-03T23:17:19.753095Z</v>
      </c>
      <c r="S383" s="3" t="str">
        <f ca="1">IFERROR(__xludf.DUMMYFUNCTION("""COMPUTED_VALUE"""),"2055-06-03T23:29:45.44832Z")</f>
        <v>2055-06-03T23:29:45.44832Z</v>
      </c>
      <c r="T383" s="3"/>
      <c r="U383" s="4">
        <f ca="1">IFERROR(__xludf.DUMMYFUNCTION("""COMPUTED_VALUE"""),56768)</f>
        <v>56768</v>
      </c>
      <c r="V383" s="3">
        <f ca="1">IFERROR(__xludf.DUMMYFUNCTION("""COMPUTED_VALUE"""),4.6)</f>
        <v>4.5999999999999996</v>
      </c>
      <c r="W383" s="3">
        <f ca="1">IFERROR(__xludf.DUMMYFUNCTION("""COMPUTED_VALUE"""),3000)</f>
        <v>3000</v>
      </c>
      <c r="X383" s="3">
        <f ca="1">IFERROR(__xludf.DUMMYFUNCTION("""COMPUTED_VALUE"""),2157)</f>
        <v>2157</v>
      </c>
      <c r="Y383" s="3">
        <f ca="1">IFERROR(__xludf.DUMMYFUNCTION("""COMPUTED_VALUE"""),746)</f>
        <v>746</v>
      </c>
      <c r="Z383" s="3">
        <f ca="1">IFERROR(__xludf.DUMMYFUNCTION("""COMPUTED_VALUE"""),586)</f>
        <v>586</v>
      </c>
      <c r="AA383" s="3">
        <f ca="1">IFERROR(__xludf.DUMMYFUNCTION("""COMPUTED_VALUE"""),825)</f>
        <v>825</v>
      </c>
      <c r="AB383" s="3">
        <f ca="1">IFERROR(__xludf.DUMMYFUNCTION("""COMPUTED_VALUE"""),0)</f>
        <v>0</v>
      </c>
      <c r="AC383" s="3">
        <f ca="1">IFERROR(__xludf.DUMMYFUNCTION("""COMPUTED_VALUE"""),4)</f>
        <v>4</v>
      </c>
      <c r="AD383" s="3" t="str">
        <f ca="1">IFERROR(__xludf.DUMMYFUNCTION("""COMPUTED_VALUE"""),"on time")</f>
        <v>on time</v>
      </c>
      <c r="AE383" s="3" t="str">
        <f ca="1">IFERROR(__xludf.DUMMYFUNCTION("""COMPUTED_VALUE"""),"2055-06-03T19:39:31.03845Z")</f>
        <v>2055-06-03T19:39:31.03845Z</v>
      </c>
      <c r="AF383" s="3" t="str">
        <f ca="1">IFERROR(__xludf.DUMMYFUNCTION("""COMPUTED_VALUE"""),"2055-06-03T19:53:16.126208Z")</f>
        <v>2055-06-03T19:53:16.126208Z</v>
      </c>
      <c r="AG383" s="3" t="str">
        <f ca="1">IFERROR(__xludf.DUMMYFUNCTION("""COMPUTED_VALUE"""),"2055-06-03T19:17:07.333201Z")</f>
        <v>2055-06-03T19:17:07.333201Z</v>
      </c>
      <c r="AH383" s="3" t="str">
        <f ca="1">IFERROR(__xludf.DUMMYFUNCTION("""COMPUTED_VALUE"""),"2055-06-03T19:29:45.44832Z")</f>
        <v>2055-06-03T19:29:45.44832Z</v>
      </c>
      <c r="AI383" s="3">
        <f ca="1">IFERROR(__xludf.DUMMYFUNCTION("""COMPUTED_VALUE"""),4.77)</f>
        <v>4.7699999999999996</v>
      </c>
      <c r="AJ383" s="3">
        <f ca="1">IFERROR(__xludf.DUMMYFUNCTION("""COMPUTED_VALUE"""),426)</f>
        <v>426</v>
      </c>
      <c r="AK383" s="3">
        <f ca="1">IFERROR(__xludf.DUMMYFUNCTION("""COMPUTED_VALUE"""),1226)</f>
        <v>1226</v>
      </c>
      <c r="AL383" s="3">
        <f ca="1">IFERROR(__xludf.DUMMYFUNCTION("""COMPUTED_VALUE"""),85)</f>
        <v>85</v>
      </c>
    </row>
    <row r="384" spans="1:38" ht="13">
      <c r="A384" s="3">
        <f ca="1">IFERROR(__xludf.DUMMYFUNCTION("""COMPUTED_VALUE"""),835)</f>
        <v>835</v>
      </c>
      <c r="B384" s="3"/>
      <c r="C384" s="3">
        <f ca="1">IFERROR(__xludf.DUMMYFUNCTION("""COMPUTED_VALUE"""),4001)</f>
        <v>4001</v>
      </c>
      <c r="D384" s="3" t="str">
        <f ca="1">IFERROR(__xludf.DUMMYFUNCTION("""COMPUTED_VALUE"""),"Dashattan")</f>
        <v>Dashattan</v>
      </c>
      <c r="E384" s="3" t="str">
        <f ca="1">IFERROR(__xludf.DUMMYFUNCTION("""COMPUTED_VALUE"""),"Galaxy A")</f>
        <v>Galaxy A</v>
      </c>
      <c r="F384" s="3" t="str">
        <f ca="1">IFERROR(__xludf.DUMMYFUNCTION("""COMPUTED_VALUE"""),"Bret")</f>
        <v>Bret</v>
      </c>
      <c r="G384" s="3">
        <f ca="1">IFERROR(__xludf.DUMMYFUNCTION("""COMPUTED_VALUE"""),0)</f>
        <v>0</v>
      </c>
      <c r="H384" s="3" t="str">
        <f ca="1">IFERROR(__xludf.DUMMYFUNCTION("""COMPUTED_VALUE"""),"car")</f>
        <v>car</v>
      </c>
      <c r="I384" s="3" t="str">
        <f ca="1">IFERROR(__xludf.DUMMYFUNCTION("""COMPUTED_VALUE"""),"2055-06-07T15:44:14.290157Z")</f>
        <v>2055-06-07T15:44:14.290157Z</v>
      </c>
      <c r="J384" s="3" t="str">
        <f ca="1">IFERROR(__xludf.DUMMYFUNCTION("""COMPUTED_VALUE"""),"2055-06-07T16:44:23.362Z")</f>
        <v>2055-06-07T16:44:23.362Z</v>
      </c>
      <c r="K384" s="3" t="str">
        <f ca="1">IFERROR(__xludf.DUMMYFUNCTION("""COMPUTED_VALUE"""),"2055-06-07T16:21:05.362Z")</f>
        <v>2055-06-07T16:21:05.362Z</v>
      </c>
      <c r="L384" s="3">
        <f ca="1">IFERROR(__xludf.DUMMYFUNCTION("""COMPUTED_VALUE"""),1)</f>
        <v>1</v>
      </c>
      <c r="M384" s="3">
        <f ca="1">IFERROR(__xludf.DUMMYFUNCTION("""COMPUTED_VALUE"""),0)</f>
        <v>0</v>
      </c>
      <c r="N384" s="3" t="str">
        <f ca="1">IFERROR(__xludf.DUMMYFUNCTION("""COMPUTED_VALUE"""),"2055-06-07T16:21:08.536639Z")</f>
        <v>2055-06-07T16:21:08.536639Z</v>
      </c>
      <c r="O384" s="3" t="str">
        <f ca="1">IFERROR(__xludf.DUMMYFUNCTION("""COMPUTED_VALUE"""),"2055-06-07T16:54:13.905378Z")</f>
        <v>2055-06-07T16:54:13.905378Z</v>
      </c>
      <c r="P384" s="3" t="str">
        <f ca="1">IFERROR(__xludf.DUMMYFUNCTION("""COMPUTED_VALUE"""),"2055-06-07T15:51:54.994968Z")</f>
        <v>2055-06-07T15:51:54.994968Z</v>
      </c>
      <c r="Q384" s="3">
        <f ca="1">IFERROR(__xludf.DUMMYFUNCTION("""COMPUTED_VALUE"""),0)</f>
        <v>0</v>
      </c>
      <c r="R384" s="3" t="str">
        <f ca="1">IFERROR(__xludf.DUMMYFUNCTION("""COMPUTED_VALUE"""),"2055-06-07T15:52:17.393458Z")</f>
        <v>2055-06-07T15:52:17.393458Z</v>
      </c>
      <c r="S384" s="3" t="str">
        <f ca="1">IFERROR(__xludf.DUMMYFUNCTION("""COMPUTED_VALUE"""),"2055-06-07T16:15:30.318156Z")</f>
        <v>2055-06-07T16:15:30.318156Z</v>
      </c>
      <c r="T384" s="3"/>
      <c r="U384" s="4">
        <f ca="1">IFERROR(__xludf.DUMMYFUNCTION("""COMPUTED_VALUE"""),56772)</f>
        <v>56772</v>
      </c>
      <c r="V384" s="3">
        <f ca="1">IFERROR(__xludf.DUMMYFUNCTION("""COMPUTED_VALUE"""),4.4)</f>
        <v>4.4000000000000004</v>
      </c>
      <c r="W384" s="3">
        <f ca="1">IFERROR(__xludf.DUMMYFUNCTION("""COMPUTED_VALUE"""),3000)</f>
        <v>3000</v>
      </c>
      <c r="X384" s="3">
        <f ca="1">IFERROR(__xludf.DUMMYFUNCTION("""COMPUTED_VALUE"""),3716)</f>
        <v>3716</v>
      </c>
      <c r="Y384" s="3">
        <f ca="1">IFERROR(__xludf.DUMMYFUNCTION("""COMPUTED_VALUE"""),1393)</f>
        <v>1393</v>
      </c>
      <c r="Z384" s="3">
        <f ca="1">IFERROR(__xludf.DUMMYFUNCTION("""COMPUTED_VALUE"""),338)</f>
        <v>338</v>
      </c>
      <c r="AA384" s="3">
        <f ca="1">IFERROR(__xludf.DUMMYFUNCTION("""COMPUTED_VALUE"""),1985)</f>
        <v>1985</v>
      </c>
      <c r="AB384" s="3">
        <f ca="1">IFERROR(__xludf.DUMMYFUNCTION("""COMPUTED_VALUE"""),1)</f>
        <v>1</v>
      </c>
      <c r="AC384" s="3">
        <f ca="1">IFERROR(__xludf.DUMMYFUNCTION("""COMPUTED_VALUE"""),3)</f>
        <v>3</v>
      </c>
      <c r="AD384" s="3"/>
      <c r="AE384" s="3" t="str">
        <f ca="1">IFERROR(__xludf.DUMMYFUNCTION("""COMPUTED_VALUE"""),"2055-06-07T12:21:08.536639Z")</f>
        <v>2055-06-07T12:21:08.536639Z</v>
      </c>
      <c r="AF384" s="3" t="str">
        <f ca="1">IFERROR(__xludf.DUMMYFUNCTION("""COMPUTED_VALUE"""),"2055-06-07T12:54:13.905378Z")</f>
        <v>2055-06-07T12:54:13.905378Z</v>
      </c>
      <c r="AG384" s="3" t="str">
        <f ca="1">IFERROR(__xludf.DUMMYFUNCTION("""COMPUTED_VALUE"""),"2055-06-07T11:51:54.994968Z")</f>
        <v>2055-06-07T11:51:54.994968Z</v>
      </c>
      <c r="AH384" s="3" t="str">
        <f ca="1">IFERROR(__xludf.DUMMYFUNCTION("""COMPUTED_VALUE"""),"2055-06-07T12:15:30.318156Z")</f>
        <v>2055-06-07T12:15:30.318156Z</v>
      </c>
      <c r="AI384" s="3">
        <f ca="1">IFERROR(__xludf.DUMMYFUNCTION("""COMPUTED_VALUE"""),3.82)</f>
        <v>3.82</v>
      </c>
      <c r="AJ384" s="3">
        <f ca="1">IFERROR(__xludf.DUMMYFUNCTION("""COMPUTED_VALUE"""),174)</f>
        <v>174</v>
      </c>
      <c r="AK384" s="3">
        <f ca="1">IFERROR(__xludf.DUMMYFUNCTION("""COMPUTED_VALUE"""),773)</f>
        <v>773</v>
      </c>
      <c r="AL384" s="3"/>
    </row>
    <row r="385" spans="1:38" ht="13">
      <c r="A385" s="3">
        <f ca="1">IFERROR(__xludf.DUMMYFUNCTION("""COMPUTED_VALUE"""),675)</f>
        <v>675</v>
      </c>
      <c r="B385" s="3"/>
      <c r="C385" s="3">
        <f ca="1">IFERROR(__xludf.DUMMYFUNCTION("""COMPUTED_VALUE"""),4050)</f>
        <v>4050</v>
      </c>
      <c r="D385" s="3" t="str">
        <f ca="1">IFERROR(__xludf.DUMMYFUNCTION("""COMPUTED_VALUE"""),"Doorlanta")</f>
        <v>Doorlanta</v>
      </c>
      <c r="E385" s="3" t="str">
        <f ca="1">IFERROR(__xludf.DUMMYFUNCTION("""COMPUTED_VALUE"""),"Galaxy A")</f>
        <v>Galaxy A</v>
      </c>
      <c r="F385" s="3" t="str">
        <f ca="1">IFERROR(__xludf.DUMMYFUNCTION("""COMPUTED_VALUE"""),"Cate")</f>
        <v>Cate</v>
      </c>
      <c r="G385" s="3">
        <f ca="1">IFERROR(__xludf.DUMMYFUNCTION("""COMPUTED_VALUE"""),0)</f>
        <v>0</v>
      </c>
      <c r="H385" s="3" t="str">
        <f ca="1">IFERROR(__xludf.DUMMYFUNCTION("""COMPUTED_VALUE"""),"car")</f>
        <v>car</v>
      </c>
      <c r="I385" s="3" t="str">
        <f ca="1">IFERROR(__xludf.DUMMYFUNCTION("""COMPUTED_VALUE"""),"2055-06-05T23:22:48.428891Z")</f>
        <v>2055-06-05T23:22:48.428891Z</v>
      </c>
      <c r="J385" s="3" t="str">
        <f ca="1">IFERROR(__xludf.DUMMYFUNCTION("""COMPUTED_VALUE"""),"2055-06-06T00:17:57.501Z")</f>
        <v>2055-06-06T00:17:57.501Z</v>
      </c>
      <c r="K385" s="3" t="str">
        <f ca="1">IFERROR(__xludf.DUMMYFUNCTION("""COMPUTED_VALUE"""),"2055-06-06T00:03:16.501Z")</f>
        <v>2055-06-06T00:03:16.501Z</v>
      </c>
      <c r="L385" s="3">
        <f ca="1">IFERROR(__xludf.DUMMYFUNCTION("""COMPUTED_VALUE"""),1)</f>
        <v>1</v>
      </c>
      <c r="M385" s="3">
        <f ca="1">IFERROR(__xludf.DUMMYFUNCTION("""COMPUTED_VALUE"""),0)</f>
        <v>0</v>
      </c>
      <c r="N385" s="3" t="str">
        <f ca="1">IFERROR(__xludf.DUMMYFUNCTION("""COMPUTED_VALUE"""),"2055-06-05T23:40:35.685963Z")</f>
        <v>2055-06-05T23:40:35.685963Z</v>
      </c>
      <c r="O385" s="3" t="str">
        <f ca="1">IFERROR(__xludf.DUMMYFUNCTION("""COMPUTED_VALUE"""),"2055-06-05T23:55:02.876583Z")</f>
        <v>2055-06-05T23:55:02.876583Z</v>
      </c>
      <c r="P385" s="3" t="str">
        <f ca="1">IFERROR(__xludf.DUMMYFUNCTION("""COMPUTED_VALUE"""),"2055-06-05T23:25:27.571089Z")</f>
        <v>2055-06-05T23:25:27.571089Z</v>
      </c>
      <c r="Q385" s="3">
        <f ca="1">IFERROR(__xludf.DUMMYFUNCTION("""COMPUTED_VALUE"""),0)</f>
        <v>0</v>
      </c>
      <c r="R385" s="3" t="str">
        <f ca="1">IFERROR(__xludf.DUMMYFUNCTION("""COMPUTED_VALUE"""),"2055-06-05T23:25:30.708314Z")</f>
        <v>2055-06-05T23:25:30.708314Z</v>
      </c>
      <c r="S385" s="3" t="str">
        <f ca="1">IFERROR(__xludf.DUMMYFUNCTION("""COMPUTED_VALUE"""),"2055-06-05T23:30:49.538616Z")</f>
        <v>2055-06-05T23:30:49.538616Z</v>
      </c>
      <c r="T385" s="3"/>
      <c r="U385" s="4">
        <f ca="1">IFERROR(__xludf.DUMMYFUNCTION("""COMPUTED_VALUE"""),56770)</f>
        <v>56770</v>
      </c>
      <c r="V385" s="3">
        <f ca="1">IFERROR(__xludf.DUMMYFUNCTION("""COMPUTED_VALUE"""),3.089402272)</f>
        <v>3.0894022720000001</v>
      </c>
      <c r="W385" s="3">
        <f ca="1">IFERROR(__xludf.DUMMYFUNCTION("""COMPUTED_VALUE"""),3000)</f>
        <v>3000</v>
      </c>
      <c r="X385" s="3">
        <f ca="1">IFERROR(__xludf.DUMMYFUNCTION("""COMPUTED_VALUE"""),1772)</f>
        <v>1772</v>
      </c>
      <c r="Y385" s="3">
        <f ca="1">IFERROR(__xludf.DUMMYFUNCTION("""COMPUTED_VALUE"""),319)</f>
        <v>319</v>
      </c>
      <c r="Z385" s="3">
        <f ca="1">IFERROR(__xludf.DUMMYFUNCTION("""COMPUTED_VALUE"""),586)</f>
        <v>586</v>
      </c>
      <c r="AA385" s="3">
        <f ca="1">IFERROR(__xludf.DUMMYFUNCTION("""COMPUTED_VALUE"""),867)</f>
        <v>867</v>
      </c>
      <c r="AB385" s="3">
        <f ca="1">IFERROR(__xludf.DUMMYFUNCTION("""COMPUTED_VALUE"""),0)</f>
        <v>0</v>
      </c>
      <c r="AC385" s="3">
        <f ca="1">IFERROR(__xludf.DUMMYFUNCTION("""COMPUTED_VALUE"""),3)</f>
        <v>3</v>
      </c>
      <c r="AD385" s="3" t="str">
        <f ca="1">IFERROR(__xludf.DUMMYFUNCTION("""COMPUTED_VALUE"""),"early")</f>
        <v>early</v>
      </c>
      <c r="AE385" s="3" t="str">
        <f ca="1">IFERROR(__xludf.DUMMYFUNCTION("""COMPUTED_VALUE"""),"2055-06-05T19:40:35.685963Z")</f>
        <v>2055-06-05T19:40:35.685963Z</v>
      </c>
      <c r="AF385" s="3" t="str">
        <f ca="1">IFERROR(__xludf.DUMMYFUNCTION("""COMPUTED_VALUE"""),"2055-06-05T19:55:02.876583Z")</f>
        <v>2055-06-05T19:55:02.876583Z</v>
      </c>
      <c r="AG385" s="3" t="str">
        <f ca="1">IFERROR(__xludf.DUMMYFUNCTION("""COMPUTED_VALUE"""),"2055-06-05T19:25:27.571089Z")</f>
        <v>2055-06-05T19:25:27.571089Z</v>
      </c>
      <c r="AH385" s="3" t="str">
        <f ca="1">IFERROR(__xludf.DUMMYFUNCTION("""COMPUTED_VALUE"""),"2055-06-05T19:30:49.538616Z")</f>
        <v>2055-06-05T19:30:49.538616Z</v>
      </c>
      <c r="AI385" s="3">
        <f ca="1">IFERROR(__xludf.DUMMYFUNCTION("""COMPUTED_VALUE"""),4.49)</f>
        <v>4.49</v>
      </c>
      <c r="AJ385" s="3">
        <f ca="1">IFERROR(__xludf.DUMMYFUNCTION("""COMPUTED_VALUE"""),2315)</f>
        <v>2315</v>
      </c>
      <c r="AK385" s="3">
        <f ca="1">IFERROR(__xludf.DUMMYFUNCTION("""COMPUTED_VALUE"""),7039)</f>
        <v>7039</v>
      </c>
      <c r="AL385" s="3">
        <f ca="1">IFERROR(__xludf.DUMMYFUNCTION("""COMPUTED_VALUE"""),763)</f>
        <v>763</v>
      </c>
    </row>
    <row r="386" spans="1:38" ht="13">
      <c r="A386" s="3">
        <f ca="1">IFERROR(__xludf.DUMMYFUNCTION("""COMPUTED_VALUE"""),635)</f>
        <v>635</v>
      </c>
      <c r="B386" s="3"/>
      <c r="C386" s="3">
        <f ca="1">IFERROR(__xludf.DUMMYFUNCTION("""COMPUTED_VALUE"""),4001)</f>
        <v>4001</v>
      </c>
      <c r="D386" s="3" t="str">
        <f ca="1">IFERROR(__xludf.DUMMYFUNCTION("""COMPUTED_VALUE"""),"Dashattan")</f>
        <v>Dashattan</v>
      </c>
      <c r="E386" s="3" t="str">
        <f ca="1">IFERROR(__xludf.DUMMYFUNCTION("""COMPUTED_VALUE"""),"Galaxy A")</f>
        <v>Galaxy A</v>
      </c>
      <c r="F386" s="3" t="str">
        <f ca="1">IFERROR(__xludf.DUMMYFUNCTION("""COMPUTED_VALUE"""),"Samm")</f>
        <v>Samm</v>
      </c>
      <c r="G386" s="3">
        <f ca="1">IFERROR(__xludf.DUMMYFUNCTION("""COMPUTED_VALUE"""),0)</f>
        <v>0</v>
      </c>
      <c r="H386" s="3" t="str">
        <f ca="1">IFERROR(__xludf.DUMMYFUNCTION("""COMPUTED_VALUE"""),"car")</f>
        <v>car</v>
      </c>
      <c r="I386" s="3" t="str">
        <f ca="1">IFERROR(__xludf.DUMMYFUNCTION("""COMPUTED_VALUE"""),"2055-06-05T22:01:50.253115Z")</f>
        <v>2055-06-05T22:01:50.253115Z</v>
      </c>
      <c r="J386" s="3" t="str">
        <f ca="1">IFERROR(__xludf.DUMMYFUNCTION("""COMPUTED_VALUE"""),"2055-06-05T22:57:32.328Z")</f>
        <v>2055-06-05T22:57:32.328Z</v>
      </c>
      <c r="K386" s="3" t="str">
        <f ca="1">IFERROR(__xludf.DUMMYFUNCTION("""COMPUTED_VALUE"""),"2055-06-05T22:37:53.328Z")</f>
        <v>2055-06-05T22:37:53.328Z</v>
      </c>
      <c r="L386" s="3">
        <f ca="1">IFERROR(__xludf.DUMMYFUNCTION("""COMPUTED_VALUE"""),1)</f>
        <v>1</v>
      </c>
      <c r="M386" s="3">
        <f ca="1">IFERROR(__xludf.DUMMYFUNCTION("""COMPUTED_VALUE"""),0)</f>
        <v>0</v>
      </c>
      <c r="N386" s="3" t="str">
        <f ca="1">IFERROR(__xludf.DUMMYFUNCTION("""COMPUTED_VALUE"""),"2055-06-05T22:38:39.878043Z")</f>
        <v>2055-06-05T22:38:39.878043Z</v>
      </c>
      <c r="O386" s="3" t="str">
        <f ca="1">IFERROR(__xludf.DUMMYFUNCTION("""COMPUTED_VALUE"""),"2055-06-05T22:56:00.430445Z")</f>
        <v>2055-06-05T22:56:00.430445Z</v>
      </c>
      <c r="P386" s="3" t="str">
        <f ca="1">IFERROR(__xludf.DUMMYFUNCTION("""COMPUTED_VALUE"""),"2055-06-05T22:07:55.478494Z")</f>
        <v>2055-06-05T22:07:55.478494Z</v>
      </c>
      <c r="Q386" s="3">
        <f ca="1">IFERROR(__xludf.DUMMYFUNCTION("""COMPUTED_VALUE"""),0)</f>
        <v>0</v>
      </c>
      <c r="R386" s="3" t="str">
        <f ca="1">IFERROR(__xludf.DUMMYFUNCTION("""COMPUTED_VALUE"""),"2055-06-05T22:07:58.454939Z")</f>
        <v>2055-06-05T22:07:58.454939Z</v>
      </c>
      <c r="S386" s="3" t="str">
        <f ca="1">IFERROR(__xludf.DUMMYFUNCTION("""COMPUTED_VALUE"""),"2055-06-05T22:31:33.325731Z")</f>
        <v>2055-06-05T22:31:33.325731Z</v>
      </c>
      <c r="T386" s="3"/>
      <c r="U386" s="4">
        <f ca="1">IFERROR(__xludf.DUMMYFUNCTION("""COMPUTED_VALUE"""),56770)</f>
        <v>56770</v>
      </c>
      <c r="V386" s="3">
        <f ca="1">IFERROR(__xludf.DUMMYFUNCTION("""COMPUTED_VALUE"""),4.4)</f>
        <v>4.4000000000000004</v>
      </c>
      <c r="W386" s="3">
        <f ca="1">IFERROR(__xludf.DUMMYFUNCTION("""COMPUTED_VALUE"""),3000)</f>
        <v>3000</v>
      </c>
      <c r="X386" s="3">
        <f ca="1">IFERROR(__xludf.DUMMYFUNCTION("""COMPUTED_VALUE"""),2882)</f>
        <v>2882</v>
      </c>
      <c r="Y386" s="3">
        <f ca="1">IFERROR(__xludf.DUMMYFUNCTION("""COMPUTED_VALUE"""),1415)</f>
        <v>1415</v>
      </c>
      <c r="Z386" s="3">
        <f ca="1">IFERROR(__xludf.DUMMYFUNCTION("""COMPUTED_VALUE"""),426)</f>
        <v>426</v>
      </c>
      <c r="AA386" s="3">
        <f ca="1">IFERROR(__xludf.DUMMYFUNCTION("""COMPUTED_VALUE"""),1041)</f>
        <v>1041</v>
      </c>
      <c r="AB386" s="3">
        <f ca="1">IFERROR(__xludf.DUMMYFUNCTION("""COMPUTED_VALUE"""),0)</f>
        <v>0</v>
      </c>
      <c r="AC386" s="3">
        <f ca="1">IFERROR(__xludf.DUMMYFUNCTION("""COMPUTED_VALUE"""),2)</f>
        <v>2</v>
      </c>
      <c r="AD386" s="3" t="str">
        <f ca="1">IFERROR(__xludf.DUMMYFUNCTION("""COMPUTED_VALUE"""),"late")</f>
        <v>late</v>
      </c>
      <c r="AE386" s="3" t="str">
        <f ca="1">IFERROR(__xludf.DUMMYFUNCTION("""COMPUTED_VALUE"""),"2055-06-05T18:38:39.878043Z")</f>
        <v>2055-06-05T18:38:39.878043Z</v>
      </c>
      <c r="AF386" s="3" t="str">
        <f ca="1">IFERROR(__xludf.DUMMYFUNCTION("""COMPUTED_VALUE"""),"2055-06-05T18:56:00.430445Z")</f>
        <v>2055-06-05T18:56:00.430445Z</v>
      </c>
      <c r="AG386" s="3" t="str">
        <f ca="1">IFERROR(__xludf.DUMMYFUNCTION("""COMPUTED_VALUE"""),"2055-06-05T18:07:55.478494Z")</f>
        <v>2055-06-05T18:07:55.478494Z</v>
      </c>
      <c r="AH386" s="3" t="str">
        <f ca="1">IFERROR(__xludf.DUMMYFUNCTION("""COMPUTED_VALUE"""),"2055-06-05T18:31:33.325731Z")</f>
        <v>2055-06-05T18:31:33.325731Z</v>
      </c>
      <c r="AI386" s="3">
        <f ca="1">IFERROR(__xludf.DUMMYFUNCTION("""COMPUTED_VALUE"""),4.03)</f>
        <v>4.03</v>
      </c>
      <c r="AJ386" s="3">
        <f ca="1">IFERROR(__xludf.DUMMYFUNCTION("""COMPUTED_VALUE"""),505)</f>
        <v>505</v>
      </c>
      <c r="AK386" s="3">
        <f ca="1">IFERROR(__xludf.DUMMYFUNCTION("""COMPUTED_VALUE"""),1721)</f>
        <v>1721</v>
      </c>
      <c r="AL386" s="3">
        <f ca="1">IFERROR(__xludf.DUMMYFUNCTION("""COMPUTED_VALUE"""),457)</f>
        <v>457</v>
      </c>
    </row>
    <row r="387" spans="1:38" ht="13">
      <c r="A387" s="3">
        <f ca="1">IFERROR(__xludf.DUMMYFUNCTION("""COMPUTED_VALUE"""),976)</f>
        <v>976</v>
      </c>
      <c r="B387" s="3">
        <f ca="1">IFERROR(__xludf.DUMMYFUNCTION("""COMPUTED_VALUE"""),5)</f>
        <v>5</v>
      </c>
      <c r="C387" s="3">
        <f ca="1">IFERROR(__xludf.DUMMYFUNCTION("""COMPUTED_VALUE"""),4001)</f>
        <v>4001</v>
      </c>
      <c r="D387" s="3" t="str">
        <f ca="1">IFERROR(__xludf.DUMMYFUNCTION("""COMPUTED_VALUE"""),"Dashattan")</f>
        <v>Dashattan</v>
      </c>
      <c r="E387" s="3" t="str">
        <f ca="1">IFERROR(__xludf.DUMMYFUNCTION("""COMPUTED_VALUE"""),"Galaxy A")</f>
        <v>Galaxy A</v>
      </c>
      <c r="F387" s="3" t="str">
        <f ca="1">IFERROR(__xludf.DUMMYFUNCTION("""COMPUTED_VALUE"""),"KC")</f>
        <v>KC</v>
      </c>
      <c r="G387" s="3">
        <f ca="1">IFERROR(__xludf.DUMMYFUNCTION("""COMPUTED_VALUE"""),0)</f>
        <v>0</v>
      </c>
      <c r="H387" s="3" t="str">
        <f ca="1">IFERROR(__xludf.DUMMYFUNCTION("""COMPUTED_VALUE"""),"car")</f>
        <v>car</v>
      </c>
      <c r="I387" s="3" t="str">
        <f ca="1">IFERROR(__xludf.DUMMYFUNCTION("""COMPUTED_VALUE"""),"2055-06-08T22:25:42.031067Z")</f>
        <v>2055-06-08T22:25:42.031067Z</v>
      </c>
      <c r="J387" s="3" t="str">
        <f ca="1">IFERROR(__xludf.DUMMYFUNCTION("""COMPUTED_VALUE"""),"2055-06-08T23:20:01.09Z")</f>
        <v>2055-06-08T23:20:01.09Z</v>
      </c>
      <c r="K387" s="3" t="str">
        <f ca="1">IFERROR(__xludf.DUMMYFUNCTION("""COMPUTED_VALUE"""),"2055-06-08T23:00:22.09Z")</f>
        <v>2055-06-08T23:00:22.09Z</v>
      </c>
      <c r="L387" s="3">
        <f ca="1">IFERROR(__xludf.DUMMYFUNCTION("""COMPUTED_VALUE"""),1)</f>
        <v>1</v>
      </c>
      <c r="M387" s="3">
        <f ca="1">IFERROR(__xludf.DUMMYFUNCTION("""COMPUTED_VALUE"""),0)</f>
        <v>0</v>
      </c>
      <c r="N387" s="3" t="str">
        <f ca="1">IFERROR(__xludf.DUMMYFUNCTION("""COMPUTED_VALUE"""),"2055-06-08T22:41:54.168894Z")</f>
        <v>2055-06-08T22:41:54.168894Z</v>
      </c>
      <c r="O387" s="3" t="str">
        <f ca="1">IFERROR(__xludf.DUMMYFUNCTION("""COMPUTED_VALUE"""),"2055-06-08T22:54:02.833507Z")</f>
        <v>2055-06-08T22:54:02.833507Z</v>
      </c>
      <c r="P387" s="3" t="str">
        <f ca="1">IFERROR(__xludf.DUMMYFUNCTION("""COMPUTED_VALUE"""),"2055-06-08T22:28:14.33652Z")</f>
        <v>2055-06-08T22:28:14.33652Z</v>
      </c>
      <c r="Q387" s="3">
        <f ca="1">IFERROR(__xludf.DUMMYFUNCTION("""COMPUTED_VALUE"""),0)</f>
        <v>0</v>
      </c>
      <c r="R387" s="3" t="str">
        <f ca="1">IFERROR(__xludf.DUMMYFUNCTION("""COMPUTED_VALUE"""),"2055-06-08T22:28:33.314521Z")</f>
        <v>2055-06-08T22:28:33.314521Z</v>
      </c>
      <c r="S387" s="3" t="str">
        <f ca="1">IFERROR(__xludf.DUMMYFUNCTION("""COMPUTED_VALUE"""),"2055-06-08T22:38:32.522132Z")</f>
        <v>2055-06-08T22:38:32.522132Z</v>
      </c>
      <c r="T387" s="3"/>
      <c r="U387" s="4">
        <f ca="1">IFERROR(__xludf.DUMMYFUNCTION("""COMPUTED_VALUE"""),56773)</f>
        <v>56773</v>
      </c>
      <c r="V387" s="3">
        <f ca="1">IFERROR(__xludf.DUMMYFUNCTION("""COMPUTED_VALUE"""),4.1)</f>
        <v>4.0999999999999996</v>
      </c>
      <c r="W387" s="3">
        <f ca="1">IFERROR(__xludf.DUMMYFUNCTION("""COMPUTED_VALUE"""),3000)</f>
        <v>3000</v>
      </c>
      <c r="X387" s="3">
        <f ca="1">IFERROR(__xludf.DUMMYFUNCTION("""COMPUTED_VALUE"""),1529)</f>
        <v>1529</v>
      </c>
      <c r="Y387" s="3">
        <f ca="1">IFERROR(__xludf.DUMMYFUNCTION("""COMPUTED_VALUE"""),599)</f>
        <v>599</v>
      </c>
      <c r="Z387" s="3">
        <f ca="1">IFERROR(__xludf.DUMMYFUNCTION("""COMPUTED_VALUE"""),202)</f>
        <v>202</v>
      </c>
      <c r="AA387" s="3">
        <f ca="1">IFERROR(__xludf.DUMMYFUNCTION("""COMPUTED_VALUE"""),728)</f>
        <v>728</v>
      </c>
      <c r="AB387" s="3">
        <f ca="1">IFERROR(__xludf.DUMMYFUNCTION("""COMPUTED_VALUE"""),0)</f>
        <v>0</v>
      </c>
      <c r="AC387" s="3">
        <f ca="1">IFERROR(__xludf.DUMMYFUNCTION("""COMPUTED_VALUE"""),3)</f>
        <v>3</v>
      </c>
      <c r="AD387" s="3" t="str">
        <f ca="1">IFERROR(__xludf.DUMMYFUNCTION("""COMPUTED_VALUE"""),"on time")</f>
        <v>on time</v>
      </c>
      <c r="AE387" s="3" t="str">
        <f ca="1">IFERROR(__xludf.DUMMYFUNCTION("""COMPUTED_VALUE"""),"2055-06-08T18:41:54.168894Z")</f>
        <v>2055-06-08T18:41:54.168894Z</v>
      </c>
      <c r="AF387" s="3" t="str">
        <f ca="1">IFERROR(__xludf.DUMMYFUNCTION("""COMPUTED_VALUE"""),"2055-06-08T18:54:02.833507Z")</f>
        <v>2055-06-08T18:54:02.833507Z</v>
      </c>
      <c r="AG387" s="3" t="str">
        <f ca="1">IFERROR(__xludf.DUMMYFUNCTION("""COMPUTED_VALUE"""),"2055-06-08T18:28:14.33652Z")</f>
        <v>2055-06-08T18:28:14.33652Z</v>
      </c>
      <c r="AH387" s="3" t="str">
        <f ca="1">IFERROR(__xludf.DUMMYFUNCTION("""COMPUTED_VALUE"""),"2055-06-08T18:38:32.522132Z")</f>
        <v>2055-06-08T18:38:32.522132Z</v>
      </c>
      <c r="AI387" s="3">
        <f ca="1">IFERROR(__xludf.DUMMYFUNCTION("""COMPUTED_VALUE"""),4.54)</f>
        <v>4.54</v>
      </c>
      <c r="AJ387" s="3">
        <f ca="1">IFERROR(__xludf.DUMMYFUNCTION("""COMPUTED_VALUE"""),2229)</f>
        <v>2229</v>
      </c>
      <c r="AK387" s="3">
        <f ca="1">IFERROR(__xludf.DUMMYFUNCTION("""COMPUTED_VALUE"""),6580)</f>
        <v>6580</v>
      </c>
      <c r="AL387" s="3"/>
    </row>
    <row r="388" spans="1:38" ht="13">
      <c r="A388" s="3">
        <f ca="1">IFERROR(__xludf.DUMMYFUNCTION("""COMPUTED_VALUE"""),1220)</f>
        <v>1220</v>
      </c>
      <c r="B388" s="3">
        <f ca="1">IFERROR(__xludf.DUMMYFUNCTION("""COMPUTED_VALUE"""),5)</f>
        <v>5</v>
      </c>
      <c r="C388" s="3">
        <f ca="1">IFERROR(__xludf.DUMMYFUNCTION("""COMPUTED_VALUE"""),4001)</f>
        <v>4001</v>
      </c>
      <c r="D388" s="3" t="str">
        <f ca="1">IFERROR(__xludf.DUMMYFUNCTION("""COMPUTED_VALUE"""),"Dashattan")</f>
        <v>Dashattan</v>
      </c>
      <c r="E388" s="3" t="str">
        <f ca="1">IFERROR(__xludf.DUMMYFUNCTION("""COMPUTED_VALUE"""),"Galaxy A")</f>
        <v>Galaxy A</v>
      </c>
      <c r="F388" s="3" t="str">
        <f ca="1">IFERROR(__xludf.DUMMYFUNCTION("""COMPUTED_VALUE"""),"Awstin")</f>
        <v>Awstin</v>
      </c>
      <c r="G388" s="3">
        <f ca="1">IFERROR(__xludf.DUMMYFUNCTION("""COMPUTED_VALUE"""),1)</f>
        <v>1</v>
      </c>
      <c r="H388" s="3" t="str">
        <f ca="1">IFERROR(__xludf.DUMMYFUNCTION("""COMPUTED_VALUE"""),"bicycle")</f>
        <v>bicycle</v>
      </c>
      <c r="I388" s="3" t="str">
        <f ca="1">IFERROR(__xludf.DUMMYFUNCTION("""COMPUTED_VALUE"""),"2055-06-11T01:07:20.43227Z")</f>
        <v>2055-06-11T01:07:20.43227Z</v>
      </c>
      <c r="J388" s="3" t="str">
        <f ca="1">IFERROR(__xludf.DUMMYFUNCTION("""COMPUTED_VALUE"""),"2055-06-11T02:00:26.476Z")</f>
        <v>2055-06-11T02:00:26.476Z</v>
      </c>
      <c r="K388" s="3" t="str">
        <f ca="1">IFERROR(__xludf.DUMMYFUNCTION("""COMPUTED_VALUE"""),"2055-06-11T01:40:45.476Z")</f>
        <v>2055-06-11T01:40:45.476Z</v>
      </c>
      <c r="L388" s="3">
        <f ca="1">IFERROR(__xludf.DUMMYFUNCTION("""COMPUTED_VALUE"""),1)</f>
        <v>1</v>
      </c>
      <c r="M388" s="3">
        <f ca="1">IFERROR(__xludf.DUMMYFUNCTION("""COMPUTED_VALUE"""),0)</f>
        <v>0</v>
      </c>
      <c r="N388" s="3" t="str">
        <f ca="1">IFERROR(__xludf.DUMMYFUNCTION("""COMPUTED_VALUE"""),"2055-06-11T01:32:39.882517Z")</f>
        <v>2055-06-11T01:32:39.882517Z</v>
      </c>
      <c r="O388" s="3" t="str">
        <f ca="1">IFERROR(__xludf.DUMMYFUNCTION("""COMPUTED_VALUE"""),"2055-06-11T01:43:01.868016Z")</f>
        <v>2055-06-11T01:43:01.868016Z</v>
      </c>
      <c r="P388" s="3" t="str">
        <f ca="1">IFERROR(__xludf.DUMMYFUNCTION("""COMPUTED_VALUE"""),"2055-06-11T01:13:15.342522Z")</f>
        <v>2055-06-11T01:13:15.342522Z</v>
      </c>
      <c r="Q388" s="3">
        <f ca="1">IFERROR(__xludf.DUMMYFUNCTION("""COMPUTED_VALUE"""),0)</f>
        <v>0</v>
      </c>
      <c r="R388" s="3" t="str">
        <f ca="1">IFERROR(__xludf.DUMMYFUNCTION("""COMPUTED_VALUE"""),"2055-06-11T01:13:43.265329Z")</f>
        <v>2055-06-11T01:13:43.265329Z</v>
      </c>
      <c r="S388" s="3" t="str">
        <f ca="1">IFERROR(__xludf.DUMMYFUNCTION("""COMPUTED_VALUE"""),"2055-06-11T01:30:00.548776Z")</f>
        <v>2055-06-11T01:30:00.548776Z</v>
      </c>
      <c r="T388" s="3"/>
      <c r="U388" s="4">
        <f ca="1">IFERROR(__xludf.DUMMYFUNCTION("""COMPUTED_VALUE"""),56775)</f>
        <v>56775</v>
      </c>
      <c r="V388" s="3">
        <f ca="1">IFERROR(__xludf.DUMMYFUNCTION("""COMPUTED_VALUE"""),4.6)</f>
        <v>4.5999999999999996</v>
      </c>
      <c r="W388" s="3">
        <f ca="1">IFERROR(__xludf.DUMMYFUNCTION("""COMPUTED_VALUE"""),3000)</f>
        <v>3000</v>
      </c>
      <c r="X388" s="3">
        <f ca="1">IFERROR(__xludf.DUMMYFUNCTION("""COMPUTED_VALUE"""),1758)</f>
        <v>1758</v>
      </c>
      <c r="Y388" s="3">
        <f ca="1">IFERROR(__xludf.DUMMYFUNCTION("""COMPUTED_VALUE"""),977)</f>
        <v>977</v>
      </c>
      <c r="Z388" s="3">
        <f ca="1">IFERROR(__xludf.DUMMYFUNCTION("""COMPUTED_VALUE"""),159)</f>
        <v>159</v>
      </c>
      <c r="AA388" s="3">
        <f ca="1">IFERROR(__xludf.DUMMYFUNCTION("""COMPUTED_VALUE"""),622)</f>
        <v>622</v>
      </c>
      <c r="AB388" s="3">
        <f ca="1">IFERROR(__xludf.DUMMYFUNCTION("""COMPUTED_VALUE"""),0)</f>
        <v>0</v>
      </c>
      <c r="AC388" s="3">
        <f ca="1">IFERROR(__xludf.DUMMYFUNCTION("""COMPUTED_VALUE"""),2)</f>
        <v>2</v>
      </c>
      <c r="AD388" s="3" t="str">
        <f ca="1">IFERROR(__xludf.DUMMYFUNCTION("""COMPUTED_VALUE"""),"late")</f>
        <v>late</v>
      </c>
      <c r="AE388" s="3" t="str">
        <f ca="1">IFERROR(__xludf.DUMMYFUNCTION("""COMPUTED_VALUE"""),"2055-06-10T21:32:39.882517Z")</f>
        <v>2055-06-10T21:32:39.882517Z</v>
      </c>
      <c r="AF388" s="3" t="str">
        <f ca="1">IFERROR(__xludf.DUMMYFUNCTION("""COMPUTED_VALUE"""),"2055-06-10T21:43:01.868016Z")</f>
        <v>2055-06-10T21:43:01.868016Z</v>
      </c>
      <c r="AG388" s="3" t="str">
        <f ca="1">IFERROR(__xludf.DUMMYFUNCTION("""COMPUTED_VALUE"""),"2055-06-10T21:13:15.342522Z")</f>
        <v>2055-06-10T21:13:15.342522Z</v>
      </c>
      <c r="AH388" s="3" t="str">
        <f ca="1">IFERROR(__xludf.DUMMYFUNCTION("""COMPUTED_VALUE"""),"2055-06-10T21:30:00.548776Z")</f>
        <v>2055-06-10T21:30:00.548776Z</v>
      </c>
      <c r="AI388" s="3">
        <f ca="1">IFERROR(__xludf.DUMMYFUNCTION("""COMPUTED_VALUE"""),4.5)</f>
        <v>4.5</v>
      </c>
      <c r="AJ388" s="3">
        <f ca="1">IFERROR(__xludf.DUMMYFUNCTION("""COMPUTED_VALUE"""),394)</f>
        <v>394</v>
      </c>
      <c r="AK388" s="3">
        <f ca="1">IFERROR(__xludf.DUMMYFUNCTION("""COMPUTED_VALUE"""),1403)</f>
        <v>1403</v>
      </c>
      <c r="AL388" s="3"/>
    </row>
    <row r="389" spans="1:38" ht="13">
      <c r="A389" s="3">
        <f ca="1">IFERROR(__xludf.DUMMYFUNCTION("""COMPUTED_VALUE"""),1327)</f>
        <v>1327</v>
      </c>
      <c r="B389" s="3">
        <f ca="1">IFERROR(__xludf.DUMMYFUNCTION("""COMPUTED_VALUE"""),4)</f>
        <v>4</v>
      </c>
      <c r="C389" s="3">
        <f ca="1">IFERROR(__xludf.DUMMYFUNCTION("""COMPUTED_VALUE"""),4001)</f>
        <v>4001</v>
      </c>
      <c r="D389" s="3" t="str">
        <f ca="1">IFERROR(__xludf.DUMMYFUNCTION("""COMPUTED_VALUE"""),"Dashattan")</f>
        <v>Dashattan</v>
      </c>
      <c r="E389" s="3" t="str">
        <f ca="1">IFERROR(__xludf.DUMMYFUNCTION("""COMPUTED_VALUE"""),"Galaxy A")</f>
        <v>Galaxy A</v>
      </c>
      <c r="F389" s="3" t="str">
        <f ca="1">IFERROR(__xludf.DUMMYFUNCTION("""COMPUTED_VALUE"""),"Awstin")</f>
        <v>Awstin</v>
      </c>
      <c r="G389" s="3">
        <f ca="1">IFERROR(__xludf.DUMMYFUNCTION("""COMPUTED_VALUE"""),0)</f>
        <v>0</v>
      </c>
      <c r="H389" s="3" t="str">
        <f ca="1">IFERROR(__xludf.DUMMYFUNCTION("""COMPUTED_VALUE"""),"bicycle")</f>
        <v>bicycle</v>
      </c>
      <c r="I389" s="3" t="str">
        <f ca="1">IFERROR(__xludf.DUMMYFUNCTION("""COMPUTED_VALUE"""),"2055-06-11T22:50:52.662097Z")</f>
        <v>2055-06-11T22:50:52.662097Z</v>
      </c>
      <c r="J389" s="3" t="str">
        <f ca="1">IFERROR(__xludf.DUMMYFUNCTION("""COMPUTED_VALUE"""),"2055-06-11T23:35:27.736Z")</f>
        <v>2055-06-11T23:35:27.736Z</v>
      </c>
      <c r="K389" s="3" t="str">
        <f ca="1">IFERROR(__xludf.DUMMYFUNCTION("""COMPUTED_VALUE"""),"2055-06-11T23:20:20.736Z")</f>
        <v>2055-06-11T23:20:20.736Z</v>
      </c>
      <c r="L389" s="3">
        <f ca="1">IFERROR(__xludf.DUMMYFUNCTION("""COMPUTED_VALUE"""),1)</f>
        <v>1</v>
      </c>
      <c r="M389" s="3">
        <f ca="1">IFERROR(__xludf.DUMMYFUNCTION("""COMPUTED_VALUE"""),0)</f>
        <v>0</v>
      </c>
      <c r="N389" s="3" t="str">
        <f ca="1">IFERROR(__xludf.DUMMYFUNCTION("""COMPUTED_VALUE"""),"2055-06-11T23:08:35.214464Z")</f>
        <v>2055-06-11T23:08:35.214464Z</v>
      </c>
      <c r="O389" s="3" t="str">
        <f ca="1">IFERROR(__xludf.DUMMYFUNCTION("""COMPUTED_VALUE"""),"2055-06-11T23:34:39.233406Z")</f>
        <v>2055-06-11T23:34:39.233406Z</v>
      </c>
      <c r="P389" s="3" t="str">
        <f ca="1">IFERROR(__xludf.DUMMYFUNCTION("""COMPUTED_VALUE"""),"2055-06-11T22:54:34.66612Z")</f>
        <v>2055-06-11T22:54:34.66612Z</v>
      </c>
      <c r="Q389" s="3">
        <f ca="1">IFERROR(__xludf.DUMMYFUNCTION("""COMPUTED_VALUE"""),0)</f>
        <v>0</v>
      </c>
      <c r="R389" s="3" t="str">
        <f ca="1">IFERROR(__xludf.DUMMYFUNCTION("""COMPUTED_VALUE"""),"2055-06-11T22:54:40.678805Z")</f>
        <v>2055-06-11T22:54:40.678805Z</v>
      </c>
      <c r="S389" s="3" t="str">
        <f ca="1">IFERROR(__xludf.DUMMYFUNCTION("""COMPUTED_VALUE"""),"2055-06-11T23:04:56.1796Z")</f>
        <v>2055-06-11T23:04:56.1796Z</v>
      </c>
      <c r="T389" s="3"/>
      <c r="U389" s="4">
        <f ca="1">IFERROR(__xludf.DUMMYFUNCTION("""COMPUTED_VALUE"""),56776)</f>
        <v>56776</v>
      </c>
      <c r="V389" s="3">
        <f ca="1">IFERROR(__xludf.DUMMYFUNCTION("""COMPUTED_VALUE"""),4.6)</f>
        <v>4.5999999999999996</v>
      </c>
      <c r="W389" s="3">
        <f ca="1">IFERROR(__xludf.DUMMYFUNCTION("""COMPUTED_VALUE"""),3000)</f>
        <v>3000</v>
      </c>
      <c r="X389" s="3">
        <f ca="1">IFERROR(__xludf.DUMMYFUNCTION("""COMPUTED_VALUE"""),2399)</f>
        <v>2399</v>
      </c>
      <c r="Y389" s="3">
        <f ca="1">IFERROR(__xludf.DUMMYFUNCTION("""COMPUTED_VALUE"""),616)</f>
        <v>616</v>
      </c>
      <c r="Z389" s="3">
        <f ca="1">IFERROR(__xludf.DUMMYFUNCTION("""COMPUTED_VALUE"""),219)</f>
        <v>219</v>
      </c>
      <c r="AA389" s="3">
        <f ca="1">IFERROR(__xludf.DUMMYFUNCTION("""COMPUTED_VALUE"""),1564)</f>
        <v>1564</v>
      </c>
      <c r="AB389" s="3">
        <f ca="1">IFERROR(__xludf.DUMMYFUNCTION("""COMPUTED_VALUE"""),0)</f>
        <v>0</v>
      </c>
      <c r="AC389" s="3">
        <f ca="1">IFERROR(__xludf.DUMMYFUNCTION("""COMPUTED_VALUE"""),4)</f>
        <v>4</v>
      </c>
      <c r="AD389" s="3" t="str">
        <f ca="1">IFERROR(__xludf.DUMMYFUNCTION("""COMPUTED_VALUE"""),"late")</f>
        <v>late</v>
      </c>
      <c r="AE389" s="3" t="str">
        <f ca="1">IFERROR(__xludf.DUMMYFUNCTION("""COMPUTED_VALUE"""),"2055-06-11T19:08:35.214464Z")</f>
        <v>2055-06-11T19:08:35.214464Z</v>
      </c>
      <c r="AF389" s="3" t="str">
        <f ca="1">IFERROR(__xludf.DUMMYFUNCTION("""COMPUTED_VALUE"""),"2055-06-11T19:34:39.233406Z")</f>
        <v>2055-06-11T19:34:39.233406Z</v>
      </c>
      <c r="AG389" s="3" t="str">
        <f ca="1">IFERROR(__xludf.DUMMYFUNCTION("""COMPUTED_VALUE"""),"2055-06-11T18:54:34.66612Z")</f>
        <v>2055-06-11T18:54:34.66612Z</v>
      </c>
      <c r="AH389" s="3" t="str">
        <f ca="1">IFERROR(__xludf.DUMMYFUNCTION("""COMPUTED_VALUE"""),"2055-06-11T19:04:56.1796Z")</f>
        <v>2055-06-11T19:04:56.1796Z</v>
      </c>
      <c r="AI389" s="3">
        <f ca="1">IFERROR(__xludf.DUMMYFUNCTION("""COMPUTED_VALUE"""),4.5)</f>
        <v>4.5</v>
      </c>
      <c r="AJ389" s="3">
        <f ca="1">IFERROR(__xludf.DUMMYFUNCTION("""COMPUTED_VALUE"""),394)</f>
        <v>394</v>
      </c>
      <c r="AK389" s="3">
        <f ca="1">IFERROR(__xludf.DUMMYFUNCTION("""COMPUTED_VALUE"""),1403)</f>
        <v>1403</v>
      </c>
      <c r="AL389" s="3"/>
    </row>
    <row r="390" spans="1:38" ht="13">
      <c r="A390" s="3">
        <f ca="1">IFERROR(__xludf.DUMMYFUNCTION("""COMPUTED_VALUE"""),1356)</f>
        <v>1356</v>
      </c>
      <c r="B390" s="3"/>
      <c r="C390" s="3">
        <f ca="1">IFERROR(__xludf.DUMMYFUNCTION("""COMPUTED_VALUE"""),4001)</f>
        <v>4001</v>
      </c>
      <c r="D390" s="3" t="str">
        <f ca="1">IFERROR(__xludf.DUMMYFUNCTION("""COMPUTED_VALUE"""),"Dashattan")</f>
        <v>Dashattan</v>
      </c>
      <c r="E390" s="3" t="str">
        <f ca="1">IFERROR(__xludf.DUMMYFUNCTION("""COMPUTED_VALUE"""),"Galaxy A")</f>
        <v>Galaxy A</v>
      </c>
      <c r="F390" s="3" t="str">
        <f ca="1">IFERROR(__xludf.DUMMYFUNCTION("""COMPUTED_VALUE"""),"Bunje")</f>
        <v>Bunje</v>
      </c>
      <c r="G390" s="3">
        <f ca="1">IFERROR(__xludf.DUMMYFUNCTION("""COMPUTED_VALUE"""),0)</f>
        <v>0</v>
      </c>
      <c r="H390" s="3" t="str">
        <f ca="1">IFERROR(__xludf.DUMMYFUNCTION("""COMPUTED_VALUE"""),"bicycle")</f>
        <v>bicycle</v>
      </c>
      <c r="I390" s="3" t="str">
        <f ca="1">IFERROR(__xludf.DUMMYFUNCTION("""COMPUTED_VALUE"""),"2055-06-12T00:12:46.569308Z")</f>
        <v>2055-06-12T00:12:46.569308Z</v>
      </c>
      <c r="J390" s="3" t="str">
        <f ca="1">IFERROR(__xludf.DUMMYFUNCTION("""COMPUTED_VALUE"""),"2055-06-12T01:04:02.629Z")</f>
        <v>2055-06-12T01:04:02.629Z</v>
      </c>
      <c r="K390" s="3" t="str">
        <f ca="1">IFERROR(__xludf.DUMMYFUNCTION("""COMPUTED_VALUE"""),"2055-06-12T00:43:55.629Z")</f>
        <v>2055-06-12T00:43:55.629Z</v>
      </c>
      <c r="L390" s="3">
        <f ca="1">IFERROR(__xludf.DUMMYFUNCTION("""COMPUTED_VALUE"""),1)</f>
        <v>1</v>
      </c>
      <c r="M390" s="3">
        <f ca="1">IFERROR(__xludf.DUMMYFUNCTION("""COMPUTED_VALUE"""),0)</f>
        <v>0</v>
      </c>
      <c r="N390" s="3" t="str">
        <f ca="1">IFERROR(__xludf.DUMMYFUNCTION("""COMPUTED_VALUE"""),"2055-06-12T00:30:22.978255Z")</f>
        <v>2055-06-12T00:30:22.978255Z</v>
      </c>
      <c r="O390" s="3" t="str">
        <f ca="1">IFERROR(__xludf.DUMMYFUNCTION("""COMPUTED_VALUE"""),"2055-06-12T00:36:29.939582Z")</f>
        <v>2055-06-12T00:36:29.939582Z</v>
      </c>
      <c r="P390" s="3" t="str">
        <f ca="1">IFERROR(__xludf.DUMMYFUNCTION("""COMPUTED_VALUE"""),"2055-06-12T00:22:34.973436Z")</f>
        <v>2055-06-12T00:22:34.973436Z</v>
      </c>
      <c r="Q390" s="3">
        <f ca="1">IFERROR(__xludf.DUMMYFUNCTION("""COMPUTED_VALUE"""),0)</f>
        <v>0</v>
      </c>
      <c r="R390" s="3" t="str">
        <f ca="1">IFERROR(__xludf.DUMMYFUNCTION("""COMPUTED_VALUE"""),"2055-06-12T00:22:50.853019Z")</f>
        <v>2055-06-12T00:22:50.853019Z</v>
      </c>
      <c r="S390" s="3" t="str">
        <f ca="1">IFERROR(__xludf.DUMMYFUNCTION("""COMPUTED_VALUE"""),"2055-06-12T00:28:07.288102Z")</f>
        <v>2055-06-12T00:28:07.288102Z</v>
      </c>
      <c r="T390" s="3"/>
      <c r="U390" s="4">
        <f ca="1">IFERROR(__xludf.DUMMYFUNCTION("""COMPUTED_VALUE"""),56776)</f>
        <v>56776</v>
      </c>
      <c r="V390" s="3">
        <f ca="1">IFERROR(__xludf.DUMMYFUNCTION("""COMPUTED_VALUE"""),4.714704911)</f>
        <v>4.7147049110000001</v>
      </c>
      <c r="W390" s="3">
        <f ca="1">IFERROR(__xludf.DUMMYFUNCTION("""COMPUTED_VALUE"""),3000)</f>
        <v>3000</v>
      </c>
      <c r="X390" s="3">
        <f ca="1">IFERROR(__xludf.DUMMYFUNCTION("""COMPUTED_VALUE"""),819)</f>
        <v>819</v>
      </c>
      <c r="Y390" s="3">
        <f ca="1">IFERROR(__xludf.DUMMYFUNCTION("""COMPUTED_VALUE"""),317)</f>
        <v>317</v>
      </c>
      <c r="Z390" s="3">
        <f ca="1">IFERROR(__xludf.DUMMYFUNCTION("""COMPUTED_VALUE"""),135)</f>
        <v>135</v>
      </c>
      <c r="AA390" s="3">
        <f ca="1">IFERROR(__xludf.DUMMYFUNCTION("""COMPUTED_VALUE"""),367)</f>
        <v>367</v>
      </c>
      <c r="AB390" s="3">
        <f ca="1">IFERROR(__xludf.DUMMYFUNCTION("""COMPUTED_VALUE"""),0)</f>
        <v>0</v>
      </c>
      <c r="AC390" s="3">
        <f ca="1">IFERROR(__xludf.DUMMYFUNCTION("""COMPUTED_VALUE"""),3)</f>
        <v>3</v>
      </c>
      <c r="AD390" s="3" t="str">
        <f ca="1">IFERROR(__xludf.DUMMYFUNCTION("""COMPUTED_VALUE"""),"late")</f>
        <v>late</v>
      </c>
      <c r="AE390" s="3" t="str">
        <f ca="1">IFERROR(__xludf.DUMMYFUNCTION("""COMPUTED_VALUE"""),"2055-06-11T20:30:22.978255Z")</f>
        <v>2055-06-11T20:30:22.978255Z</v>
      </c>
      <c r="AF390" s="3" t="str">
        <f ca="1">IFERROR(__xludf.DUMMYFUNCTION("""COMPUTED_VALUE"""),"2055-06-11T20:36:29.939582Z")</f>
        <v>2055-06-11T20:36:29.939582Z</v>
      </c>
      <c r="AG390" s="3" t="str">
        <f ca="1">IFERROR(__xludf.DUMMYFUNCTION("""COMPUTED_VALUE"""),"2055-06-11T20:22:34.973436Z")</f>
        <v>2055-06-11T20:22:34.973436Z</v>
      </c>
      <c r="AH390" s="3" t="str">
        <f ca="1">IFERROR(__xludf.DUMMYFUNCTION("""COMPUTED_VALUE"""),"2055-06-11T20:28:07.288102Z")</f>
        <v>2055-06-11T20:28:07.288102Z</v>
      </c>
      <c r="AI390" s="3">
        <f ca="1">IFERROR(__xludf.DUMMYFUNCTION("""COMPUTED_VALUE"""),4.7)</f>
        <v>4.7</v>
      </c>
      <c r="AJ390" s="3">
        <f ca="1">IFERROR(__xludf.DUMMYFUNCTION("""COMPUTED_VALUE"""),443)</f>
        <v>443</v>
      </c>
      <c r="AK390" s="3">
        <f ca="1">IFERROR(__xludf.DUMMYFUNCTION("""COMPUTED_VALUE"""),1579)</f>
        <v>1579</v>
      </c>
      <c r="AL390" s="3"/>
    </row>
    <row r="391" spans="1:38" ht="13">
      <c r="A391" s="3">
        <f ca="1">IFERROR(__xludf.DUMMYFUNCTION("""COMPUTED_VALUE"""),143)</f>
        <v>143</v>
      </c>
      <c r="B391" s="3"/>
      <c r="C391" s="3">
        <f ca="1">IFERROR(__xludf.DUMMYFUNCTION("""COMPUTED_VALUE"""),4001)</f>
        <v>4001</v>
      </c>
      <c r="D391" s="3" t="str">
        <f ca="1">IFERROR(__xludf.DUMMYFUNCTION("""COMPUTED_VALUE"""),"Dashattan")</f>
        <v>Dashattan</v>
      </c>
      <c r="E391" s="3" t="str">
        <f ca="1">IFERROR(__xludf.DUMMYFUNCTION("""COMPUTED_VALUE"""),"Galaxy A")</f>
        <v>Galaxy A</v>
      </c>
      <c r="F391" s="3" t="str">
        <f ca="1">IFERROR(__xludf.DUMMYFUNCTION("""COMPUTED_VALUE"""),"KC")</f>
        <v>KC</v>
      </c>
      <c r="G391" s="3">
        <f ca="1">IFERROR(__xludf.DUMMYFUNCTION("""COMPUTED_VALUE"""),0)</f>
        <v>0</v>
      </c>
      <c r="H391" s="3" t="str">
        <f ca="1">IFERROR(__xludf.DUMMYFUNCTION("""COMPUTED_VALUE"""),"car")</f>
        <v>car</v>
      </c>
      <c r="I391" s="3" t="str">
        <f ca="1">IFERROR(__xludf.DUMMYFUNCTION("""COMPUTED_VALUE"""),"2055-06-02T17:12:06.611571Z")</f>
        <v>2055-06-02T17:12:06.611571Z</v>
      </c>
      <c r="J391" s="3" t="str">
        <f ca="1">IFERROR(__xludf.DUMMYFUNCTION("""COMPUTED_VALUE"""),"2055-06-02T18:13:43.659Z")</f>
        <v>2055-06-02T18:13:43.659Z</v>
      </c>
      <c r="K391" s="3" t="str">
        <f ca="1">IFERROR(__xludf.DUMMYFUNCTION("""COMPUTED_VALUE"""),"2055-06-02T17:53:36.659Z")</f>
        <v>2055-06-02T17:53:36.659Z</v>
      </c>
      <c r="L391" s="3">
        <f ca="1">IFERROR(__xludf.DUMMYFUNCTION("""COMPUTED_VALUE"""),1)</f>
        <v>1</v>
      </c>
      <c r="M391" s="3">
        <f ca="1">IFERROR(__xludf.DUMMYFUNCTION("""COMPUTED_VALUE"""),0)</f>
        <v>0</v>
      </c>
      <c r="N391" s="3" t="str">
        <f ca="1">IFERROR(__xludf.DUMMYFUNCTION("""COMPUTED_VALUE"""),"2055-06-02T17:39:59.113971Z")</f>
        <v>2055-06-02T17:39:59.113971Z</v>
      </c>
      <c r="O391" s="3" t="str">
        <f ca="1">IFERROR(__xludf.DUMMYFUNCTION("""COMPUTED_VALUE"""),"2055-06-02T17:49:37.017683Z")</f>
        <v>2055-06-02T17:49:37.017683Z</v>
      </c>
      <c r="P391" s="3" t="str">
        <f ca="1">IFERROR(__xludf.DUMMYFUNCTION("""COMPUTED_VALUE"""),"2055-06-02T17:16:54.659826Z")</f>
        <v>2055-06-02T17:16:54.659826Z</v>
      </c>
      <c r="Q391" s="3">
        <f ca="1">IFERROR(__xludf.DUMMYFUNCTION("""COMPUTED_VALUE"""),0)</f>
        <v>0</v>
      </c>
      <c r="R391" s="3" t="str">
        <f ca="1">IFERROR(__xludf.DUMMYFUNCTION("""COMPUTED_VALUE"""),"2055-06-02T17:17:13.002203Z")</f>
        <v>2055-06-02T17:17:13.002203Z</v>
      </c>
      <c r="S391" s="3" t="str">
        <f ca="1">IFERROR(__xludf.DUMMYFUNCTION("""COMPUTED_VALUE"""),"2055-06-02T17:21:53.886507Z")</f>
        <v>2055-06-02T17:21:53.886507Z</v>
      </c>
      <c r="T391" s="3"/>
      <c r="U391" s="4">
        <f ca="1">IFERROR(__xludf.DUMMYFUNCTION("""COMPUTED_VALUE"""),56767)</f>
        <v>56767</v>
      </c>
      <c r="V391" s="3">
        <f ca="1">IFERROR(__xludf.DUMMYFUNCTION("""COMPUTED_VALUE"""),3.8)</f>
        <v>3.8</v>
      </c>
      <c r="W391" s="3">
        <f ca="1">IFERROR(__xludf.DUMMYFUNCTION("""COMPUTED_VALUE"""),3000)</f>
        <v>3000</v>
      </c>
      <c r="X391" s="3">
        <f ca="1">IFERROR(__xludf.DUMMYFUNCTION("""COMPUTED_VALUE"""),1944)</f>
        <v>1944</v>
      </c>
      <c r="Y391" s="3">
        <f ca="1">IFERROR(__xludf.DUMMYFUNCTION("""COMPUTED_VALUE"""),280)</f>
        <v>280</v>
      </c>
      <c r="Z391" s="3">
        <f ca="1">IFERROR(__xludf.DUMMYFUNCTION("""COMPUTED_VALUE"""),1086)</f>
        <v>1086</v>
      </c>
      <c r="AA391" s="3">
        <f ca="1">IFERROR(__xludf.DUMMYFUNCTION("""COMPUTED_VALUE"""),578)</f>
        <v>578</v>
      </c>
      <c r="AB391" s="3">
        <f ca="1">IFERROR(__xludf.DUMMYFUNCTION("""COMPUTED_VALUE"""),0)</f>
        <v>0</v>
      </c>
      <c r="AC391" s="3">
        <f ca="1">IFERROR(__xludf.DUMMYFUNCTION("""COMPUTED_VALUE"""),2)</f>
        <v>2</v>
      </c>
      <c r="AD391" s="3" t="str">
        <f ca="1">IFERROR(__xludf.DUMMYFUNCTION("""COMPUTED_VALUE"""),"early")</f>
        <v>early</v>
      </c>
      <c r="AE391" s="3" t="str">
        <f ca="1">IFERROR(__xludf.DUMMYFUNCTION("""COMPUTED_VALUE"""),"2055-06-02T13:39:59.113971Z")</f>
        <v>2055-06-02T13:39:59.113971Z</v>
      </c>
      <c r="AF391" s="3" t="str">
        <f ca="1">IFERROR(__xludf.DUMMYFUNCTION("""COMPUTED_VALUE"""),"2055-06-02T13:49:37.017683Z")</f>
        <v>2055-06-02T13:49:37.017683Z</v>
      </c>
      <c r="AG391" s="3" t="str">
        <f ca="1">IFERROR(__xludf.DUMMYFUNCTION("""COMPUTED_VALUE"""),"2055-06-02T13:16:54.659826Z")</f>
        <v>2055-06-02T13:16:54.659826Z</v>
      </c>
      <c r="AH391" s="3" t="str">
        <f ca="1">IFERROR(__xludf.DUMMYFUNCTION("""COMPUTED_VALUE"""),"2055-06-02T13:21:53.886507Z")</f>
        <v>2055-06-02T13:21:53.886507Z</v>
      </c>
      <c r="AI391" s="3">
        <f ca="1">IFERROR(__xludf.DUMMYFUNCTION("""COMPUTED_VALUE"""),4.54)</f>
        <v>4.54</v>
      </c>
      <c r="AJ391" s="3">
        <f ca="1">IFERROR(__xludf.DUMMYFUNCTION("""COMPUTED_VALUE"""),2229)</f>
        <v>2229</v>
      </c>
      <c r="AK391" s="3">
        <f ca="1">IFERROR(__xludf.DUMMYFUNCTION("""COMPUTED_VALUE"""),6580)</f>
        <v>6580</v>
      </c>
      <c r="AL391" s="3"/>
    </row>
    <row r="392" spans="1:38" ht="13">
      <c r="A392" s="3">
        <f ca="1">IFERROR(__xludf.DUMMYFUNCTION("""COMPUTED_VALUE"""),458)</f>
        <v>458</v>
      </c>
      <c r="B392" s="3"/>
      <c r="C392" s="3">
        <f ca="1">IFERROR(__xludf.DUMMYFUNCTION("""COMPUTED_VALUE"""),4050)</f>
        <v>4050</v>
      </c>
      <c r="D392" s="3" t="str">
        <f ca="1">IFERROR(__xludf.DUMMYFUNCTION("""COMPUTED_VALUE"""),"Doorlanta")</f>
        <v>Doorlanta</v>
      </c>
      <c r="E392" s="3" t="str">
        <f ca="1">IFERROR(__xludf.DUMMYFUNCTION("""COMPUTED_VALUE"""),"Galaxy A")</f>
        <v>Galaxy A</v>
      </c>
      <c r="F392" s="3" t="str">
        <f ca="1">IFERROR(__xludf.DUMMYFUNCTION("""COMPUTED_VALUE"""),"Abhai")</f>
        <v>Abhai</v>
      </c>
      <c r="G392" s="3">
        <f ca="1">IFERROR(__xludf.DUMMYFUNCTION("""COMPUTED_VALUE"""),0)</f>
        <v>0</v>
      </c>
      <c r="H392" s="3" t="str">
        <f ca="1">IFERROR(__xludf.DUMMYFUNCTION("""COMPUTED_VALUE"""),"car")</f>
        <v>car</v>
      </c>
      <c r="I392" s="3" t="str">
        <f ca="1">IFERROR(__xludf.DUMMYFUNCTION("""COMPUTED_VALUE"""),"2055-06-04T22:05:47.591457Z")</f>
        <v>2055-06-04T22:05:47.591457Z</v>
      </c>
      <c r="J392" s="3" t="str">
        <f ca="1">IFERROR(__xludf.DUMMYFUNCTION("""COMPUTED_VALUE"""),"2055-06-04T23:00:47.656Z")</f>
        <v>2055-06-04T23:00:47.656Z</v>
      </c>
      <c r="K392" s="3" t="str">
        <f ca="1">IFERROR(__xludf.DUMMYFUNCTION("""COMPUTED_VALUE"""),"2055-06-04T22:40:35.656Z")</f>
        <v>2055-06-04T22:40:35.656Z</v>
      </c>
      <c r="L392" s="3">
        <f ca="1">IFERROR(__xludf.DUMMYFUNCTION("""COMPUTED_VALUE"""),1)</f>
        <v>1</v>
      </c>
      <c r="M392" s="3">
        <f ca="1">IFERROR(__xludf.DUMMYFUNCTION("""COMPUTED_VALUE"""),0)</f>
        <v>0</v>
      </c>
      <c r="N392" s="3" t="str">
        <f ca="1">IFERROR(__xludf.DUMMYFUNCTION("""COMPUTED_VALUE"""),"2055-06-04T22:31:45.78466Z")</f>
        <v>2055-06-04T22:31:45.78466Z</v>
      </c>
      <c r="O392" s="3" t="str">
        <f ca="1">IFERROR(__xludf.DUMMYFUNCTION("""COMPUTED_VALUE"""),"2055-06-04T22:38:51.928515Z")</f>
        <v>2055-06-04T22:38:51.928515Z</v>
      </c>
      <c r="P392" s="3" t="str">
        <f ca="1">IFERROR(__xludf.DUMMYFUNCTION("""COMPUTED_VALUE"""),"2055-06-04T22:15:27.330894Z")</f>
        <v>2055-06-04T22:15:27.330894Z</v>
      </c>
      <c r="Q392" s="3">
        <f ca="1">IFERROR(__xludf.DUMMYFUNCTION("""COMPUTED_VALUE"""),0)</f>
        <v>0</v>
      </c>
      <c r="R392" s="3" t="str">
        <f ca="1">IFERROR(__xludf.DUMMYFUNCTION("""COMPUTED_VALUE"""),"2055-06-04T22:15:31.731988Z")</f>
        <v>2055-06-04T22:15:31.731988Z</v>
      </c>
      <c r="S392" s="3" t="str">
        <f ca="1">IFERROR(__xludf.DUMMYFUNCTION("""COMPUTED_VALUE"""),"2055-06-04T22:20:26.540137Z")</f>
        <v>2055-06-04T22:20:26.540137Z</v>
      </c>
      <c r="T392" s="3"/>
      <c r="U392" s="4">
        <f ca="1">IFERROR(__xludf.DUMMYFUNCTION("""COMPUTED_VALUE"""),56769)</f>
        <v>56769</v>
      </c>
      <c r="V392" s="3">
        <f ca="1">IFERROR(__xludf.DUMMYFUNCTION("""COMPUTED_VALUE"""),4.7)</f>
        <v>4.7</v>
      </c>
      <c r="W392" s="3">
        <f ca="1">IFERROR(__xludf.DUMMYFUNCTION("""COMPUTED_VALUE"""),3000)</f>
        <v>3000</v>
      </c>
      <c r="X392" s="3">
        <f ca="1">IFERROR(__xludf.DUMMYFUNCTION("""COMPUTED_VALUE"""),1400)</f>
        <v>1400</v>
      </c>
      <c r="Y392" s="3">
        <f ca="1">IFERROR(__xludf.DUMMYFUNCTION("""COMPUTED_VALUE"""),295)</f>
        <v>295</v>
      </c>
      <c r="Z392" s="3">
        <f ca="1">IFERROR(__xludf.DUMMYFUNCTION("""COMPUTED_VALUE"""),679)</f>
        <v>679</v>
      </c>
      <c r="AA392" s="3">
        <f ca="1">IFERROR(__xludf.DUMMYFUNCTION("""COMPUTED_VALUE"""),426)</f>
        <v>426</v>
      </c>
      <c r="AB392" s="3">
        <f ca="1">IFERROR(__xludf.DUMMYFUNCTION("""COMPUTED_VALUE"""),0)</f>
        <v>0</v>
      </c>
      <c r="AC392" s="3">
        <f ca="1">IFERROR(__xludf.DUMMYFUNCTION("""COMPUTED_VALUE"""),2)</f>
        <v>2</v>
      </c>
      <c r="AD392" s="3" t="str">
        <f ca="1">IFERROR(__xludf.DUMMYFUNCTION("""COMPUTED_VALUE"""),"late")</f>
        <v>late</v>
      </c>
      <c r="AE392" s="3" t="str">
        <f ca="1">IFERROR(__xludf.DUMMYFUNCTION("""COMPUTED_VALUE"""),"2055-06-04T18:31:45.78466Z")</f>
        <v>2055-06-04T18:31:45.78466Z</v>
      </c>
      <c r="AF392" s="3" t="str">
        <f ca="1">IFERROR(__xludf.DUMMYFUNCTION("""COMPUTED_VALUE"""),"2055-06-04T18:38:51.928515Z")</f>
        <v>2055-06-04T18:38:51.928515Z</v>
      </c>
      <c r="AG392" s="3" t="str">
        <f ca="1">IFERROR(__xludf.DUMMYFUNCTION("""COMPUTED_VALUE"""),"2055-06-04T18:15:27.330894Z")</f>
        <v>2055-06-04T18:15:27.330894Z</v>
      </c>
      <c r="AH392" s="3" t="str">
        <f ca="1">IFERROR(__xludf.DUMMYFUNCTION("""COMPUTED_VALUE"""),"2055-06-04T18:20:26.540137Z")</f>
        <v>2055-06-04T18:20:26.540137Z</v>
      </c>
      <c r="AI392" s="3">
        <f ca="1">IFERROR(__xludf.DUMMYFUNCTION("""COMPUTED_VALUE"""),4.56)</f>
        <v>4.5599999999999996</v>
      </c>
      <c r="AJ392" s="3">
        <f ca="1">IFERROR(__xludf.DUMMYFUNCTION("""COMPUTED_VALUE"""),344)</f>
        <v>344</v>
      </c>
      <c r="AK392" s="3">
        <f ca="1">IFERROR(__xludf.DUMMYFUNCTION("""COMPUTED_VALUE"""),947)</f>
        <v>947</v>
      </c>
      <c r="AL392" s="3">
        <f ca="1">IFERROR(__xludf.DUMMYFUNCTION("""COMPUTED_VALUE"""),22)</f>
        <v>22</v>
      </c>
    </row>
    <row r="393" spans="1:38" ht="13">
      <c r="A393" s="3">
        <f ca="1">IFERROR(__xludf.DUMMYFUNCTION("""COMPUTED_VALUE"""),222)</f>
        <v>222</v>
      </c>
      <c r="B393" s="3"/>
      <c r="C393" s="3">
        <f ca="1">IFERROR(__xludf.DUMMYFUNCTION("""COMPUTED_VALUE"""),4001)</f>
        <v>4001</v>
      </c>
      <c r="D393" s="3" t="str">
        <f ca="1">IFERROR(__xludf.DUMMYFUNCTION("""COMPUTED_VALUE"""),"Dashattan")</f>
        <v>Dashattan</v>
      </c>
      <c r="E393" s="3" t="str">
        <f ca="1">IFERROR(__xludf.DUMMYFUNCTION("""COMPUTED_VALUE"""),"Galaxy A")</f>
        <v>Galaxy A</v>
      </c>
      <c r="F393" s="3" t="str">
        <f ca="1">IFERROR(__xludf.DUMMYFUNCTION("""COMPUTED_VALUE"""),"Samm")</f>
        <v>Samm</v>
      </c>
      <c r="G393" s="3">
        <f ca="1">IFERROR(__xludf.DUMMYFUNCTION("""COMPUTED_VALUE"""),0)</f>
        <v>0</v>
      </c>
      <c r="H393" s="3" t="str">
        <f ca="1">IFERROR(__xludf.DUMMYFUNCTION("""COMPUTED_VALUE"""),"car")</f>
        <v>car</v>
      </c>
      <c r="I393" s="3" t="str">
        <f ca="1">IFERROR(__xludf.DUMMYFUNCTION("""COMPUTED_VALUE"""),"2055-06-03T00:19:54.831233Z")</f>
        <v>2055-06-03T00:19:54.831233Z</v>
      </c>
      <c r="J393" s="3" t="str">
        <f ca="1">IFERROR(__xludf.DUMMYFUNCTION("""COMPUTED_VALUE"""),"2055-06-03T01:48:37.894Z")</f>
        <v>2055-06-03T01:48:37.894Z</v>
      </c>
      <c r="K393" s="3" t="str">
        <f ca="1">IFERROR(__xludf.DUMMYFUNCTION("""COMPUTED_VALUE"""),"2055-06-03T01:20:24.894Z")</f>
        <v>2055-06-03T01:20:24.894Z</v>
      </c>
      <c r="L393" s="3">
        <f ca="1">IFERROR(__xludf.DUMMYFUNCTION("""COMPUTED_VALUE"""),1)</f>
        <v>1</v>
      </c>
      <c r="M393" s="3">
        <f ca="1">IFERROR(__xludf.DUMMYFUNCTION("""COMPUTED_VALUE"""),0)</f>
        <v>0</v>
      </c>
      <c r="N393" s="3" t="str">
        <f ca="1">IFERROR(__xludf.DUMMYFUNCTION("""COMPUTED_VALUE"""),"2055-06-03T00:57:19.191429Z")</f>
        <v>2055-06-03T00:57:19.191429Z</v>
      </c>
      <c r="O393" s="3" t="str">
        <f ca="1">IFERROR(__xludf.DUMMYFUNCTION("""COMPUTED_VALUE"""),"2055-06-03T01:19:04.276341Z")</f>
        <v>2055-06-03T01:19:04.276341Z</v>
      </c>
      <c r="P393" s="3" t="str">
        <f ca="1">IFERROR(__xludf.DUMMYFUNCTION("""COMPUTED_VALUE"""),"2055-06-03T00:30:54.464123Z")</f>
        <v>2055-06-03T00:30:54.464123Z</v>
      </c>
      <c r="Q393" s="3">
        <f ca="1">IFERROR(__xludf.DUMMYFUNCTION("""COMPUTED_VALUE"""),0)</f>
        <v>0</v>
      </c>
      <c r="R393" s="3" t="str">
        <f ca="1">IFERROR(__xludf.DUMMYFUNCTION("""COMPUTED_VALUE"""),"2055-06-03T00:31:00.529109Z")</f>
        <v>2055-06-03T00:31:00.529109Z</v>
      </c>
      <c r="S393" s="3" t="str">
        <f ca="1">IFERROR(__xludf.DUMMYFUNCTION("""COMPUTED_VALUE"""),"2055-06-03T00:53:22.256751Z")</f>
        <v>2055-06-03T00:53:22.256751Z</v>
      </c>
      <c r="T393" s="3"/>
      <c r="U393" s="4">
        <f ca="1">IFERROR(__xludf.DUMMYFUNCTION("""COMPUTED_VALUE"""),56767)</f>
        <v>56767</v>
      </c>
      <c r="V393" s="3">
        <f ca="1">IFERROR(__xludf.DUMMYFUNCTION("""COMPUTED_VALUE"""),4)</f>
        <v>4</v>
      </c>
      <c r="W393" s="3">
        <f ca="1">IFERROR(__xludf.DUMMYFUNCTION("""COMPUTED_VALUE"""),3000)</f>
        <v>3000</v>
      </c>
      <c r="X393" s="3">
        <f ca="1">IFERROR(__xludf.DUMMYFUNCTION("""COMPUTED_VALUE"""),2884)</f>
        <v>2884</v>
      </c>
      <c r="Y393" s="3">
        <f ca="1">IFERROR(__xludf.DUMMYFUNCTION("""COMPUTED_VALUE"""),1342)</f>
        <v>1342</v>
      </c>
      <c r="Z393" s="3">
        <f ca="1">IFERROR(__xludf.DUMMYFUNCTION("""COMPUTED_VALUE"""),237)</f>
        <v>237</v>
      </c>
      <c r="AA393" s="3">
        <f ca="1">IFERROR(__xludf.DUMMYFUNCTION("""COMPUTED_VALUE"""),1305)</f>
        <v>1305</v>
      </c>
      <c r="AB393" s="3">
        <f ca="1">IFERROR(__xludf.DUMMYFUNCTION("""COMPUTED_VALUE"""),0)</f>
        <v>0</v>
      </c>
      <c r="AC393" s="3">
        <f ca="1">IFERROR(__xludf.DUMMYFUNCTION("""COMPUTED_VALUE"""),2)</f>
        <v>2</v>
      </c>
      <c r="AD393" s="3" t="str">
        <f ca="1">IFERROR(__xludf.DUMMYFUNCTION("""COMPUTED_VALUE"""),"late")</f>
        <v>late</v>
      </c>
      <c r="AE393" s="3" t="str">
        <f ca="1">IFERROR(__xludf.DUMMYFUNCTION("""COMPUTED_VALUE"""),"2055-06-02T20:57:19.191429Z")</f>
        <v>2055-06-02T20:57:19.191429Z</v>
      </c>
      <c r="AF393" s="3" t="str">
        <f ca="1">IFERROR(__xludf.DUMMYFUNCTION("""COMPUTED_VALUE"""),"2055-06-02T21:19:04.276341Z")</f>
        <v>2055-06-02T21:19:04.276341Z</v>
      </c>
      <c r="AG393" s="3" t="str">
        <f ca="1">IFERROR(__xludf.DUMMYFUNCTION("""COMPUTED_VALUE"""),"2055-06-02T20:30:54.464123Z")</f>
        <v>2055-06-02T20:30:54.464123Z</v>
      </c>
      <c r="AH393" s="3" t="str">
        <f ca="1">IFERROR(__xludf.DUMMYFUNCTION("""COMPUTED_VALUE"""),"2055-06-02T20:53:22.256751Z")</f>
        <v>2055-06-02T20:53:22.256751Z</v>
      </c>
      <c r="AI393" s="3">
        <f ca="1">IFERROR(__xludf.DUMMYFUNCTION("""COMPUTED_VALUE"""),4.03)</f>
        <v>4.03</v>
      </c>
      <c r="AJ393" s="3">
        <f ca="1">IFERROR(__xludf.DUMMYFUNCTION("""COMPUTED_VALUE"""),505)</f>
        <v>505</v>
      </c>
      <c r="AK393" s="3">
        <f ca="1">IFERROR(__xludf.DUMMYFUNCTION("""COMPUTED_VALUE"""),1721)</f>
        <v>1721</v>
      </c>
      <c r="AL393" s="3">
        <f ca="1">IFERROR(__xludf.DUMMYFUNCTION("""COMPUTED_VALUE"""),457)</f>
        <v>457</v>
      </c>
    </row>
    <row r="394" spans="1:38" ht="13">
      <c r="A394" s="3">
        <f ca="1">IFERROR(__xludf.DUMMYFUNCTION("""COMPUTED_VALUE"""),1222)</f>
        <v>1222</v>
      </c>
      <c r="B394" s="3"/>
      <c r="C394" s="3">
        <f ca="1">IFERROR(__xludf.DUMMYFUNCTION("""COMPUTED_VALUE"""),4001)</f>
        <v>4001</v>
      </c>
      <c r="D394" s="3" t="str">
        <f ca="1">IFERROR(__xludf.DUMMYFUNCTION("""COMPUTED_VALUE"""),"Dashattan")</f>
        <v>Dashattan</v>
      </c>
      <c r="E394" s="3" t="str">
        <f ca="1">IFERROR(__xludf.DUMMYFUNCTION("""COMPUTED_VALUE"""),"Galaxy A")</f>
        <v>Galaxy A</v>
      </c>
      <c r="F394" s="3" t="str">
        <f ca="1">IFERROR(__xludf.DUMMYFUNCTION("""COMPUTED_VALUE"""),"Mike")</f>
        <v>Mike</v>
      </c>
      <c r="G394" s="3">
        <f ca="1">IFERROR(__xludf.DUMMYFUNCTION("""COMPUTED_VALUE"""),0)</f>
        <v>0</v>
      </c>
      <c r="H394" s="3" t="str">
        <f ca="1">IFERROR(__xludf.DUMMYFUNCTION("""COMPUTED_VALUE"""),"bicycle")</f>
        <v>bicycle</v>
      </c>
      <c r="I394" s="3" t="str">
        <f ca="1">IFERROR(__xludf.DUMMYFUNCTION("""COMPUTED_VALUE"""),"2055-06-11T01:23:54.750911Z")</f>
        <v>2055-06-11T01:23:54.750911Z</v>
      </c>
      <c r="J394" s="3" t="str">
        <f ca="1">IFERROR(__xludf.DUMMYFUNCTION("""COMPUTED_VALUE"""),"2055-06-11T02:15:51.808Z")</f>
        <v>2055-06-11T02:15:51.808Z</v>
      </c>
      <c r="K394" s="3" t="str">
        <f ca="1">IFERROR(__xludf.DUMMYFUNCTION("""COMPUTED_VALUE"""),"2055-06-11T02:02:33.808Z")</f>
        <v>2055-06-11T02:02:33.808Z</v>
      </c>
      <c r="L394" s="3">
        <f ca="1">IFERROR(__xludf.DUMMYFUNCTION("""COMPUTED_VALUE"""),1)</f>
        <v>1</v>
      </c>
      <c r="M394" s="3">
        <f ca="1">IFERROR(__xludf.DUMMYFUNCTION("""COMPUTED_VALUE"""),0)</f>
        <v>0</v>
      </c>
      <c r="N394" s="3" t="str">
        <f ca="1">IFERROR(__xludf.DUMMYFUNCTION("""COMPUTED_VALUE"""),"2055-06-11T02:06:51.482851Z")</f>
        <v>2055-06-11T02:06:51.482851Z</v>
      </c>
      <c r="O394" s="3" t="str">
        <f ca="1">IFERROR(__xludf.DUMMYFUNCTION("""COMPUTED_VALUE"""),"2055-06-11T02:27:53.851564Z")</f>
        <v>2055-06-11T02:27:53.851564Z</v>
      </c>
      <c r="P394" s="3" t="str">
        <f ca="1">IFERROR(__xludf.DUMMYFUNCTION("""COMPUTED_VALUE"""),"2055-06-11T01:33:14.768777Z")</f>
        <v>2055-06-11T01:33:14.768777Z</v>
      </c>
      <c r="Q394" s="3">
        <f ca="1">IFERROR(__xludf.DUMMYFUNCTION("""COMPUTED_VALUE"""),0)</f>
        <v>0</v>
      </c>
      <c r="R394" s="3" t="str">
        <f ca="1">IFERROR(__xludf.DUMMYFUNCTION("""COMPUTED_VALUE"""),"2055-06-11T01:33:32.674809Z")</f>
        <v>2055-06-11T01:33:32.674809Z</v>
      </c>
      <c r="S394" s="3"/>
      <c r="T394" s="3"/>
      <c r="U394" s="4">
        <f ca="1">IFERROR(__xludf.DUMMYFUNCTION("""COMPUTED_VALUE"""),56775)</f>
        <v>56775</v>
      </c>
      <c r="V394" s="3">
        <f ca="1">IFERROR(__xludf.DUMMYFUNCTION("""COMPUTED_VALUE"""),4.5)</f>
        <v>4.5</v>
      </c>
      <c r="W394" s="3">
        <f ca="1">IFERROR(__xludf.DUMMYFUNCTION("""COMPUTED_VALUE"""),3000)</f>
        <v>3000</v>
      </c>
      <c r="X394" s="3">
        <f ca="1">IFERROR(__xludf.DUMMYFUNCTION("""COMPUTED_VALUE"""),3261)</f>
        <v>3261</v>
      </c>
      <c r="Y394" s="3"/>
      <c r="Z394" s="3"/>
      <c r="AA394" s="3">
        <f ca="1">IFERROR(__xludf.DUMMYFUNCTION("""COMPUTED_VALUE"""),1262)</f>
        <v>1262</v>
      </c>
      <c r="AB394" s="3">
        <f ca="1">IFERROR(__xludf.DUMMYFUNCTION("""COMPUTED_VALUE"""),0)</f>
        <v>0</v>
      </c>
      <c r="AC394" s="3">
        <f ca="1">IFERROR(__xludf.DUMMYFUNCTION("""COMPUTED_VALUE"""),2)</f>
        <v>2</v>
      </c>
      <c r="AD394" s="3"/>
      <c r="AE394" s="3" t="str">
        <f ca="1">IFERROR(__xludf.DUMMYFUNCTION("""COMPUTED_VALUE"""),"2055-06-10T22:06:51.482851Z")</f>
        <v>2055-06-10T22:06:51.482851Z</v>
      </c>
      <c r="AF394" s="3" t="str">
        <f ca="1">IFERROR(__xludf.DUMMYFUNCTION("""COMPUTED_VALUE"""),"2055-06-10T22:27:53.851564Z")</f>
        <v>2055-06-10T22:27:53.851564Z</v>
      </c>
      <c r="AG394" s="3" t="str">
        <f ca="1">IFERROR(__xludf.DUMMYFUNCTION("""COMPUTED_VALUE"""),"2055-06-10T21:33:14.768777Z")</f>
        <v>2055-06-10T21:33:14.768777Z</v>
      </c>
      <c r="AH394" s="3"/>
      <c r="AI394" s="3">
        <f ca="1">IFERROR(__xludf.DUMMYFUNCTION("""COMPUTED_VALUE"""),4.63)</f>
        <v>4.63</v>
      </c>
      <c r="AJ394" s="3">
        <f ca="1">IFERROR(__xludf.DUMMYFUNCTION("""COMPUTED_VALUE"""),242)</f>
        <v>242</v>
      </c>
      <c r="AK394" s="3">
        <f ca="1">IFERROR(__xludf.DUMMYFUNCTION("""COMPUTED_VALUE"""),736)</f>
        <v>736</v>
      </c>
      <c r="AL394" s="3"/>
    </row>
    <row r="395" spans="1:38" ht="13">
      <c r="A395" s="3">
        <f ca="1">IFERROR(__xludf.DUMMYFUNCTION("""COMPUTED_VALUE"""),913)</f>
        <v>913</v>
      </c>
      <c r="B395" s="3"/>
      <c r="C395" s="3">
        <f ca="1">IFERROR(__xludf.DUMMYFUNCTION("""COMPUTED_VALUE"""),4050)</f>
        <v>4050</v>
      </c>
      <c r="D395" s="3" t="str">
        <f ca="1">IFERROR(__xludf.DUMMYFUNCTION("""COMPUTED_VALUE"""),"Doorlanta")</f>
        <v>Doorlanta</v>
      </c>
      <c r="E395" s="3" t="str">
        <f ca="1">IFERROR(__xludf.DUMMYFUNCTION("""COMPUTED_VALUE"""),"Galaxy A")</f>
        <v>Galaxy A</v>
      </c>
      <c r="F395" s="3" t="str">
        <f ca="1">IFERROR(__xludf.DUMMYFUNCTION("""COMPUTED_VALUE"""),"Hanna")</f>
        <v>Hanna</v>
      </c>
      <c r="G395" s="3">
        <f ca="1">IFERROR(__xludf.DUMMYFUNCTION("""COMPUTED_VALUE"""),0)</f>
        <v>0</v>
      </c>
      <c r="H395" s="3" t="str">
        <f ca="1">IFERROR(__xludf.DUMMYFUNCTION("""COMPUTED_VALUE"""),"car")</f>
        <v>car</v>
      </c>
      <c r="I395" s="3" t="str">
        <f ca="1">IFERROR(__xludf.DUMMYFUNCTION("""COMPUTED_VALUE"""),"2055-06-08T01:51:25.441516Z")</f>
        <v>2055-06-08T01:51:25.441516Z</v>
      </c>
      <c r="J395" s="3" t="str">
        <f ca="1">IFERROR(__xludf.DUMMYFUNCTION("""COMPUTED_VALUE"""),"2055-06-08T02:49:04.509Z")</f>
        <v>2055-06-08T02:49:04.509Z</v>
      </c>
      <c r="K395" s="3" t="str">
        <f ca="1">IFERROR(__xludf.DUMMYFUNCTION("""COMPUTED_VALUE"""),"2055-06-08T02:30:46.509Z")</f>
        <v>2055-06-08T02:30:46.509Z</v>
      </c>
      <c r="L395" s="3">
        <f ca="1">IFERROR(__xludf.DUMMYFUNCTION("""COMPUTED_VALUE"""),1)</f>
        <v>1</v>
      </c>
      <c r="M395" s="3">
        <f ca="1">IFERROR(__xludf.DUMMYFUNCTION("""COMPUTED_VALUE"""),0)</f>
        <v>0</v>
      </c>
      <c r="N395" s="3" t="str">
        <f ca="1">IFERROR(__xludf.DUMMYFUNCTION("""COMPUTED_VALUE"""),"2055-06-08T02:12:12.939139Z")</f>
        <v>2055-06-08T02:12:12.939139Z</v>
      </c>
      <c r="O395" s="3" t="str">
        <f ca="1">IFERROR(__xludf.DUMMYFUNCTION("""COMPUTED_VALUE"""),"2055-06-08T02:26:31.324986Z")</f>
        <v>2055-06-08T02:26:31.324986Z</v>
      </c>
      <c r="P395" s="3" t="str">
        <f ca="1">IFERROR(__xludf.DUMMYFUNCTION("""COMPUTED_VALUE"""),"2055-06-08T01:56:07.274875Z")</f>
        <v>2055-06-08T01:56:07.274875Z</v>
      </c>
      <c r="Q395" s="3">
        <f ca="1">IFERROR(__xludf.DUMMYFUNCTION("""COMPUTED_VALUE"""),0)</f>
        <v>0</v>
      </c>
      <c r="R395" s="3" t="str">
        <f ca="1">IFERROR(__xludf.DUMMYFUNCTION("""COMPUTED_VALUE"""),"2055-06-08T01:56:24.531131Z")</f>
        <v>2055-06-08T01:56:24.531131Z</v>
      </c>
      <c r="S395" s="3" t="str">
        <f ca="1">IFERROR(__xludf.DUMMYFUNCTION("""COMPUTED_VALUE"""),"2055-06-08T02:05:42.607068Z")</f>
        <v>2055-06-08T02:05:42.607068Z</v>
      </c>
      <c r="T395" s="3"/>
      <c r="U395" s="4">
        <f ca="1">IFERROR(__xludf.DUMMYFUNCTION("""COMPUTED_VALUE"""),56772)</f>
        <v>56772</v>
      </c>
      <c r="V395" s="3">
        <f ca="1">IFERROR(__xludf.DUMMYFUNCTION("""COMPUTED_VALUE"""),4.5)</f>
        <v>4.5</v>
      </c>
      <c r="W395" s="3">
        <f ca="1">IFERROR(__xludf.DUMMYFUNCTION("""COMPUTED_VALUE"""),3000)</f>
        <v>3000</v>
      </c>
      <c r="X395" s="3">
        <f ca="1">IFERROR(__xludf.DUMMYFUNCTION("""COMPUTED_VALUE"""),1807)</f>
        <v>1807</v>
      </c>
      <c r="Y395" s="3">
        <f ca="1">IFERROR(__xludf.DUMMYFUNCTION("""COMPUTED_VALUE"""),558)</f>
        <v>558</v>
      </c>
      <c r="Z395" s="3">
        <f ca="1">IFERROR(__xludf.DUMMYFUNCTION("""COMPUTED_VALUE"""),390)</f>
        <v>390</v>
      </c>
      <c r="AA395" s="3">
        <f ca="1">IFERROR(__xludf.DUMMYFUNCTION("""COMPUTED_VALUE"""),859)</f>
        <v>859</v>
      </c>
      <c r="AB395" s="3">
        <f ca="1">IFERROR(__xludf.DUMMYFUNCTION("""COMPUTED_VALUE"""),0)</f>
        <v>0</v>
      </c>
      <c r="AC395" s="3">
        <f ca="1">IFERROR(__xludf.DUMMYFUNCTION("""COMPUTED_VALUE"""),5)</f>
        <v>5</v>
      </c>
      <c r="AD395" s="3" t="str">
        <f ca="1">IFERROR(__xludf.DUMMYFUNCTION("""COMPUTED_VALUE"""),"on time")</f>
        <v>on time</v>
      </c>
      <c r="AE395" s="3" t="str">
        <f ca="1">IFERROR(__xludf.DUMMYFUNCTION("""COMPUTED_VALUE"""),"2055-06-07T22:12:12.939139Z")</f>
        <v>2055-06-07T22:12:12.939139Z</v>
      </c>
      <c r="AF395" s="3" t="str">
        <f ca="1">IFERROR(__xludf.DUMMYFUNCTION("""COMPUTED_VALUE"""),"2055-06-07T22:26:31.324986Z")</f>
        <v>2055-06-07T22:26:31.324986Z</v>
      </c>
      <c r="AG395" s="3" t="str">
        <f ca="1">IFERROR(__xludf.DUMMYFUNCTION("""COMPUTED_VALUE"""),"2055-06-07T21:56:07.274875Z")</f>
        <v>2055-06-07T21:56:07.274875Z</v>
      </c>
      <c r="AH395" s="3" t="str">
        <f ca="1">IFERROR(__xludf.DUMMYFUNCTION("""COMPUTED_VALUE"""),"2055-06-07T22:05:42.607068Z")</f>
        <v>2055-06-07T22:05:42.607068Z</v>
      </c>
      <c r="AI395" s="3">
        <f ca="1">IFERROR(__xludf.DUMMYFUNCTION("""COMPUTED_VALUE"""),4.79)</f>
        <v>4.79</v>
      </c>
      <c r="AJ395" s="3">
        <f ca="1">IFERROR(__xludf.DUMMYFUNCTION("""COMPUTED_VALUE"""),1007)</f>
        <v>1007</v>
      </c>
      <c r="AK395" s="3">
        <f ca="1">IFERROR(__xludf.DUMMYFUNCTION("""COMPUTED_VALUE"""),2899)</f>
        <v>2899</v>
      </c>
      <c r="AL395" s="3">
        <f ca="1">IFERROR(__xludf.DUMMYFUNCTION("""COMPUTED_VALUE"""),1301)</f>
        <v>1301</v>
      </c>
    </row>
    <row r="396" spans="1:38" ht="13">
      <c r="A396" s="3">
        <f ca="1">IFERROR(__xludf.DUMMYFUNCTION("""COMPUTED_VALUE"""),178)</f>
        <v>178</v>
      </c>
      <c r="B396" s="3"/>
      <c r="C396" s="3">
        <f ca="1">IFERROR(__xludf.DUMMYFUNCTION("""COMPUTED_VALUE"""),4050)</f>
        <v>4050</v>
      </c>
      <c r="D396" s="3" t="str">
        <f ca="1">IFERROR(__xludf.DUMMYFUNCTION("""COMPUTED_VALUE"""),"Doorlanta")</f>
        <v>Doorlanta</v>
      </c>
      <c r="E396" s="3" t="str">
        <f ca="1">IFERROR(__xludf.DUMMYFUNCTION("""COMPUTED_VALUE"""),"Galaxy A")</f>
        <v>Galaxy A</v>
      </c>
      <c r="F396" s="3" t="str">
        <f ca="1">IFERROR(__xludf.DUMMYFUNCTION("""COMPUTED_VALUE"""),"Hersh")</f>
        <v>Hersh</v>
      </c>
      <c r="G396" s="3">
        <f ca="1">IFERROR(__xludf.DUMMYFUNCTION("""COMPUTED_VALUE"""),0)</f>
        <v>0</v>
      </c>
      <c r="H396" s="3" t="str">
        <f ca="1">IFERROR(__xludf.DUMMYFUNCTION("""COMPUTED_VALUE"""),"car")</f>
        <v>car</v>
      </c>
      <c r="I396" s="3" t="str">
        <f ca="1">IFERROR(__xludf.DUMMYFUNCTION("""COMPUTED_VALUE"""),"2055-06-02T22:02:31.039058Z")</f>
        <v>2055-06-02T22:02:31.039058Z</v>
      </c>
      <c r="J396" s="3" t="str">
        <f ca="1">IFERROR(__xludf.DUMMYFUNCTION("""COMPUTED_VALUE"""),"2055-06-02T22:53:33.107Z")</f>
        <v>2055-06-02T22:53:33.107Z</v>
      </c>
      <c r="K396" s="3" t="str">
        <f ca="1">IFERROR(__xludf.DUMMYFUNCTION("""COMPUTED_VALUE"""),"2055-06-02T22:38:54.107Z")</f>
        <v>2055-06-02T22:38:54.107Z</v>
      </c>
      <c r="L396" s="3">
        <f ca="1">IFERROR(__xludf.DUMMYFUNCTION("""COMPUTED_VALUE"""),1)</f>
        <v>1</v>
      </c>
      <c r="M396" s="3">
        <f ca="1">IFERROR(__xludf.DUMMYFUNCTION("""COMPUTED_VALUE"""),0)</f>
        <v>0</v>
      </c>
      <c r="N396" s="3" t="str">
        <f ca="1">IFERROR(__xludf.DUMMYFUNCTION("""COMPUTED_VALUE"""),"2055-06-02T23:39:39.844861Z")</f>
        <v>2055-06-02T23:39:39.844861Z</v>
      </c>
      <c r="O396" s="3" t="str">
        <f ca="1">IFERROR(__xludf.DUMMYFUNCTION("""COMPUTED_VALUE"""),"2055-06-02T23:39:48.757142Z")</f>
        <v>2055-06-02T23:39:48.757142Z</v>
      </c>
      <c r="P396" s="3" t="str">
        <f ca="1">IFERROR(__xludf.DUMMYFUNCTION("""COMPUTED_VALUE"""),"2055-06-02T23:32:27.343629Z")</f>
        <v>2055-06-02T23:32:27.343629Z</v>
      </c>
      <c r="Q396" s="3">
        <f ca="1">IFERROR(__xludf.DUMMYFUNCTION("""COMPUTED_VALUE"""),0)</f>
        <v>0</v>
      </c>
      <c r="R396" s="3" t="str">
        <f ca="1">IFERROR(__xludf.DUMMYFUNCTION("""COMPUTED_VALUE"""),"2055-06-02T23:32:39.352339Z")</f>
        <v>2055-06-02T23:32:39.352339Z</v>
      </c>
      <c r="S396" s="3"/>
      <c r="T396" s="3"/>
      <c r="U396" s="4">
        <f ca="1">IFERROR(__xludf.DUMMYFUNCTION("""COMPUTED_VALUE"""),56767)</f>
        <v>56767</v>
      </c>
      <c r="V396" s="3">
        <f ca="1">IFERROR(__xludf.DUMMYFUNCTION("""COMPUTED_VALUE"""),4.5)</f>
        <v>4.5</v>
      </c>
      <c r="W396" s="3">
        <f ca="1">IFERROR(__xludf.DUMMYFUNCTION("""COMPUTED_VALUE"""),3000)</f>
        <v>3000</v>
      </c>
      <c r="X396" s="3">
        <f ca="1">IFERROR(__xludf.DUMMYFUNCTION("""COMPUTED_VALUE"""),429)</f>
        <v>429</v>
      </c>
      <c r="Y396" s="3"/>
      <c r="Z396" s="3"/>
      <c r="AA396" s="3">
        <f ca="1">IFERROR(__xludf.DUMMYFUNCTION("""COMPUTED_VALUE"""),9)</f>
        <v>9</v>
      </c>
      <c r="AB396" s="3">
        <f ca="1">IFERROR(__xludf.DUMMYFUNCTION("""COMPUTED_VALUE"""),0)</f>
        <v>0</v>
      </c>
      <c r="AC396" s="3">
        <f ca="1">IFERROR(__xludf.DUMMYFUNCTION("""COMPUTED_VALUE"""),3)</f>
        <v>3</v>
      </c>
      <c r="AD396" s="3"/>
      <c r="AE396" s="3" t="str">
        <f ca="1">IFERROR(__xludf.DUMMYFUNCTION("""COMPUTED_VALUE"""),"2055-06-02T19:39:39.844861Z")</f>
        <v>2055-06-02T19:39:39.844861Z</v>
      </c>
      <c r="AF396" s="3" t="str">
        <f ca="1">IFERROR(__xludf.DUMMYFUNCTION("""COMPUTED_VALUE"""),"2055-06-02T19:39:48.757142Z")</f>
        <v>2055-06-02T19:39:48.757142Z</v>
      </c>
      <c r="AG396" s="3" t="str">
        <f ca="1">IFERROR(__xludf.DUMMYFUNCTION("""COMPUTED_VALUE"""),"2055-06-02T19:32:27.343629Z")</f>
        <v>2055-06-02T19:32:27.343629Z</v>
      </c>
      <c r="AH396" s="3"/>
      <c r="AI396" s="3">
        <f ca="1">IFERROR(__xludf.DUMMYFUNCTION("""COMPUTED_VALUE"""),4.7)</f>
        <v>4.7</v>
      </c>
      <c r="AJ396" s="3">
        <f ca="1">IFERROR(__xludf.DUMMYFUNCTION("""COMPUTED_VALUE"""),212)</f>
        <v>212</v>
      </c>
      <c r="AK396" s="3">
        <f ca="1">IFERROR(__xludf.DUMMYFUNCTION("""COMPUTED_VALUE"""),624)</f>
        <v>624</v>
      </c>
      <c r="AL396" s="3">
        <f ca="1">IFERROR(__xludf.DUMMYFUNCTION("""COMPUTED_VALUE"""),347)</f>
        <v>347</v>
      </c>
    </row>
    <row r="397" spans="1:38" ht="13">
      <c r="A397" s="3">
        <f ca="1">IFERROR(__xludf.DUMMYFUNCTION("""COMPUTED_VALUE"""),1550)</f>
        <v>1550</v>
      </c>
      <c r="B397" s="3"/>
      <c r="C397" s="3">
        <f ca="1">IFERROR(__xludf.DUMMYFUNCTION("""COMPUTED_VALUE"""),4001)</f>
        <v>4001</v>
      </c>
      <c r="D397" s="3" t="str">
        <f ca="1">IFERROR(__xludf.DUMMYFUNCTION("""COMPUTED_VALUE"""),"Dashattan")</f>
        <v>Dashattan</v>
      </c>
      <c r="E397" s="3" t="str">
        <f ca="1">IFERROR(__xludf.DUMMYFUNCTION("""COMPUTED_VALUE"""),"Galaxy A")</f>
        <v>Galaxy A</v>
      </c>
      <c r="F397" s="3" t="str">
        <f ca="1">IFERROR(__xludf.DUMMYFUNCTION("""COMPUTED_VALUE"""),"Jim")</f>
        <v>Jim</v>
      </c>
      <c r="G397" s="3">
        <f ca="1">IFERROR(__xludf.DUMMYFUNCTION("""COMPUTED_VALUE"""),0)</f>
        <v>0</v>
      </c>
      <c r="H397" s="3" t="str">
        <f ca="1">IFERROR(__xludf.DUMMYFUNCTION("""COMPUTED_VALUE"""),"bicycle")</f>
        <v>bicycle</v>
      </c>
      <c r="I397" s="3" t="str">
        <f ca="1">IFERROR(__xludf.DUMMYFUNCTION("""COMPUTED_VALUE"""),"2055-06-13T14:35:53.898872Z")</f>
        <v>2055-06-13T14:35:53.898872Z</v>
      </c>
      <c r="J397" s="3" t="str">
        <f ca="1">IFERROR(__xludf.DUMMYFUNCTION("""COMPUTED_VALUE"""),"2055-06-13T16:00:00Z")</f>
        <v>2055-06-13T16:00:00Z</v>
      </c>
      <c r="K397" s="3" t="str">
        <f ca="1">IFERROR(__xludf.DUMMYFUNCTION("""COMPUTED_VALUE"""),"2055-06-13T16:00:00Z")</f>
        <v>2055-06-13T16:00:00Z</v>
      </c>
      <c r="L397" s="3">
        <f ca="1">IFERROR(__xludf.DUMMYFUNCTION("""COMPUTED_VALUE"""),0)</f>
        <v>0</v>
      </c>
      <c r="M397" s="3">
        <f ca="1">IFERROR(__xludf.DUMMYFUNCTION("""COMPUTED_VALUE"""),0)</f>
        <v>0</v>
      </c>
      <c r="N397" s="3" t="str">
        <f ca="1">IFERROR(__xludf.DUMMYFUNCTION("""COMPUTED_VALUE"""),"2055-06-13T15:25:12.371872Z")</f>
        <v>2055-06-13T15:25:12.371872Z</v>
      </c>
      <c r="O397" s="3" t="str">
        <f ca="1">IFERROR(__xludf.DUMMYFUNCTION("""COMPUTED_VALUE"""),"2055-06-13T15:40:45.340296Z")</f>
        <v>2055-06-13T15:40:45.340296Z</v>
      </c>
      <c r="P397" s="3" t="str">
        <f ca="1">IFERROR(__xludf.DUMMYFUNCTION("""COMPUTED_VALUE"""),"2055-06-13T15:00:14.242999Z")</f>
        <v>2055-06-13T15:00:14.242999Z</v>
      </c>
      <c r="Q397" s="3">
        <f ca="1">IFERROR(__xludf.DUMMYFUNCTION("""COMPUTED_VALUE"""),0)</f>
        <v>0</v>
      </c>
      <c r="R397" s="3" t="str">
        <f ca="1">IFERROR(__xludf.DUMMYFUNCTION("""COMPUTED_VALUE"""),"2055-06-13T15:01:53.621904Z")</f>
        <v>2055-06-13T15:01:53.621904Z</v>
      </c>
      <c r="S397" s="3" t="str">
        <f ca="1">IFERROR(__xludf.DUMMYFUNCTION("""COMPUTED_VALUE"""),"2055-06-13T15:14:07.257168Z")</f>
        <v>2055-06-13T15:14:07.257168Z</v>
      </c>
      <c r="T397" s="3"/>
      <c r="U397" s="4">
        <f ca="1">IFERROR(__xludf.DUMMYFUNCTION("""COMPUTED_VALUE"""),56778)</f>
        <v>56778</v>
      </c>
      <c r="V397" s="3">
        <f ca="1">IFERROR(__xludf.DUMMYFUNCTION("""COMPUTED_VALUE"""),4.6)</f>
        <v>4.5999999999999996</v>
      </c>
      <c r="W397" s="3">
        <f ca="1">IFERROR(__xludf.DUMMYFUNCTION("""COMPUTED_VALUE"""),3000)</f>
        <v>3000</v>
      </c>
      <c r="X397" s="3">
        <f ca="1">IFERROR(__xludf.DUMMYFUNCTION("""COMPUTED_VALUE"""),2332)</f>
        <v>2332</v>
      </c>
      <c r="Y397" s="3">
        <f ca="1">IFERROR(__xludf.DUMMYFUNCTION("""COMPUTED_VALUE"""),734)</f>
        <v>734</v>
      </c>
      <c r="Z397" s="3">
        <f ca="1">IFERROR(__xludf.DUMMYFUNCTION("""COMPUTED_VALUE"""),665)</f>
        <v>665</v>
      </c>
      <c r="AA397" s="3">
        <f ca="1">IFERROR(__xludf.DUMMYFUNCTION("""COMPUTED_VALUE"""),933)</f>
        <v>933</v>
      </c>
      <c r="AB397" s="3">
        <f ca="1">IFERROR(__xludf.DUMMYFUNCTION("""COMPUTED_VALUE"""),0)</f>
        <v>0</v>
      </c>
      <c r="AC397" s="3">
        <f ca="1">IFERROR(__xludf.DUMMYFUNCTION("""COMPUTED_VALUE"""),4)</f>
        <v>4</v>
      </c>
      <c r="AD397" s="3" t="str">
        <f ca="1">IFERROR(__xludf.DUMMYFUNCTION("""COMPUTED_VALUE"""),"on time")</f>
        <v>on time</v>
      </c>
      <c r="AE397" s="3" t="str">
        <f ca="1">IFERROR(__xludf.DUMMYFUNCTION("""COMPUTED_VALUE"""),"2055-06-13T11:25:12.371872Z")</f>
        <v>2055-06-13T11:25:12.371872Z</v>
      </c>
      <c r="AF397" s="3" t="str">
        <f ca="1">IFERROR(__xludf.DUMMYFUNCTION("""COMPUTED_VALUE"""),"2055-06-13T11:40:45.340296Z")</f>
        <v>2055-06-13T11:40:45.340296Z</v>
      </c>
      <c r="AG397" s="3" t="str">
        <f ca="1">IFERROR(__xludf.DUMMYFUNCTION("""COMPUTED_VALUE"""),"2055-06-13T11:00:14.242999Z")</f>
        <v>2055-06-13T11:00:14.242999Z</v>
      </c>
      <c r="AH397" s="3" t="str">
        <f ca="1">IFERROR(__xludf.DUMMYFUNCTION("""COMPUTED_VALUE"""),"2055-06-13T11:14:07.257168Z")</f>
        <v>2055-06-13T11:14:07.257168Z</v>
      </c>
      <c r="AI397" s="3">
        <f ca="1">IFERROR(__xludf.DUMMYFUNCTION("""COMPUTED_VALUE"""),4.4375)</f>
        <v>4.4375</v>
      </c>
      <c r="AJ397" s="3">
        <f ca="1">IFERROR(__xludf.DUMMYFUNCTION("""COMPUTED_VALUE"""),24)</f>
        <v>24</v>
      </c>
      <c r="AK397" s="3">
        <f ca="1">IFERROR(__xludf.DUMMYFUNCTION("""COMPUTED_VALUE"""),65)</f>
        <v>65</v>
      </c>
      <c r="AL397" s="3"/>
    </row>
    <row r="398" spans="1:38" ht="13">
      <c r="A398" s="3">
        <f ca="1">IFERROR(__xludf.DUMMYFUNCTION("""COMPUTED_VALUE"""),770)</f>
        <v>770</v>
      </c>
      <c r="B398" s="3">
        <f ca="1">IFERROR(__xludf.DUMMYFUNCTION("""COMPUTED_VALUE"""),5)</f>
        <v>5</v>
      </c>
      <c r="C398" s="3">
        <f ca="1">IFERROR(__xludf.DUMMYFUNCTION("""COMPUTED_VALUE"""),4050)</f>
        <v>4050</v>
      </c>
      <c r="D398" s="3" t="str">
        <f ca="1">IFERROR(__xludf.DUMMYFUNCTION("""COMPUTED_VALUE"""),"Doorlanta")</f>
        <v>Doorlanta</v>
      </c>
      <c r="E398" s="3" t="str">
        <f ca="1">IFERROR(__xludf.DUMMYFUNCTION("""COMPUTED_VALUE"""),"Galaxy A")</f>
        <v>Galaxy A</v>
      </c>
      <c r="F398" s="3" t="str">
        <f ca="1">IFERROR(__xludf.DUMMYFUNCTION("""COMPUTED_VALUE"""),"Hersh")</f>
        <v>Hersh</v>
      </c>
      <c r="G398" s="3">
        <f ca="1">IFERROR(__xludf.DUMMYFUNCTION("""COMPUTED_VALUE"""),0)</f>
        <v>0</v>
      </c>
      <c r="H398" s="3" t="str">
        <f ca="1">IFERROR(__xludf.DUMMYFUNCTION("""COMPUTED_VALUE"""),"car")</f>
        <v>car</v>
      </c>
      <c r="I398" s="3" t="str">
        <f ca="1">IFERROR(__xludf.DUMMYFUNCTION("""COMPUTED_VALUE"""),"2055-06-06T21:48:26.941757Z")</f>
        <v>2055-06-06T21:48:26.941757Z</v>
      </c>
      <c r="J398" s="3" t="str">
        <f ca="1">IFERROR(__xludf.DUMMYFUNCTION("""COMPUTED_VALUE"""),"2055-06-06T22:54:58.01Z")</f>
        <v>2055-06-06T22:54:58.01Z</v>
      </c>
      <c r="K398" s="3" t="str">
        <f ca="1">IFERROR(__xludf.DUMMYFUNCTION("""COMPUTED_VALUE"""),"2055-06-06T22:34:51.01Z")</f>
        <v>2055-06-06T22:34:51.01Z</v>
      </c>
      <c r="L398" s="3">
        <f ca="1">IFERROR(__xludf.DUMMYFUNCTION("""COMPUTED_VALUE"""),1)</f>
        <v>1</v>
      </c>
      <c r="M398" s="3">
        <f ca="1">IFERROR(__xludf.DUMMYFUNCTION("""COMPUTED_VALUE"""),0)</f>
        <v>0</v>
      </c>
      <c r="N398" s="3" t="str">
        <f ca="1">IFERROR(__xludf.DUMMYFUNCTION("""COMPUTED_VALUE"""),"2055-06-06T22:16:42.484968Z")</f>
        <v>2055-06-06T22:16:42.484968Z</v>
      </c>
      <c r="O398" s="3" t="str">
        <f ca="1">IFERROR(__xludf.DUMMYFUNCTION("""COMPUTED_VALUE"""),"2055-06-06T22:34:53.703089Z")</f>
        <v>2055-06-06T22:34:53.703089Z</v>
      </c>
      <c r="P398" s="3" t="str">
        <f ca="1">IFERROR(__xludf.DUMMYFUNCTION("""COMPUTED_VALUE"""),"2055-06-06T21:48:47.389443Z")</f>
        <v>2055-06-06T21:48:47.389443Z</v>
      </c>
      <c r="Q398" s="3">
        <f ca="1">IFERROR(__xludf.DUMMYFUNCTION("""COMPUTED_VALUE"""),0)</f>
        <v>0</v>
      </c>
      <c r="R398" s="3" t="str">
        <f ca="1">IFERROR(__xludf.DUMMYFUNCTION("""COMPUTED_VALUE"""),"2055-06-06T21:48:52.24804Z")</f>
        <v>2055-06-06T21:48:52.24804Z</v>
      </c>
      <c r="S398" s="3" t="str">
        <f ca="1">IFERROR(__xludf.DUMMYFUNCTION("""COMPUTED_VALUE"""),"2055-06-06T21:52:16.286309Z")</f>
        <v>2055-06-06T21:52:16.286309Z</v>
      </c>
      <c r="T398" s="3"/>
      <c r="U398" s="4">
        <f ca="1">IFERROR(__xludf.DUMMYFUNCTION("""COMPUTED_VALUE"""),56771)</f>
        <v>56771</v>
      </c>
      <c r="V398" s="3">
        <f ca="1">IFERROR(__xludf.DUMMYFUNCTION("""COMPUTED_VALUE"""),4.7)</f>
        <v>4.7</v>
      </c>
      <c r="W398" s="3">
        <f ca="1">IFERROR(__xludf.DUMMYFUNCTION("""COMPUTED_VALUE"""),3000)</f>
        <v>3000</v>
      </c>
      <c r="X398" s="3">
        <f ca="1">IFERROR(__xludf.DUMMYFUNCTION("""COMPUTED_VALUE"""),2761)</f>
        <v>2761</v>
      </c>
      <c r="Y398" s="3">
        <f ca="1">IFERROR(__xludf.DUMMYFUNCTION("""COMPUTED_VALUE"""),204)</f>
        <v>204</v>
      </c>
      <c r="Z398" s="3">
        <f ca="1">IFERROR(__xludf.DUMMYFUNCTION("""COMPUTED_VALUE"""),1466)</f>
        <v>1466</v>
      </c>
      <c r="AA398" s="3">
        <f ca="1">IFERROR(__xludf.DUMMYFUNCTION("""COMPUTED_VALUE"""),1091)</f>
        <v>1091</v>
      </c>
      <c r="AB398" s="3">
        <f ca="1">IFERROR(__xludf.DUMMYFUNCTION("""COMPUTED_VALUE"""),0)</f>
        <v>0</v>
      </c>
      <c r="AC398" s="3">
        <f ca="1">IFERROR(__xludf.DUMMYFUNCTION("""COMPUTED_VALUE"""),3)</f>
        <v>3</v>
      </c>
      <c r="AD398" s="3" t="str">
        <f ca="1">IFERROR(__xludf.DUMMYFUNCTION("""COMPUTED_VALUE"""),"early")</f>
        <v>early</v>
      </c>
      <c r="AE398" s="3" t="str">
        <f ca="1">IFERROR(__xludf.DUMMYFUNCTION("""COMPUTED_VALUE"""),"2055-06-06T18:16:42.484968Z")</f>
        <v>2055-06-06T18:16:42.484968Z</v>
      </c>
      <c r="AF398" s="3" t="str">
        <f ca="1">IFERROR(__xludf.DUMMYFUNCTION("""COMPUTED_VALUE"""),"2055-06-06T18:34:53.703089Z")</f>
        <v>2055-06-06T18:34:53.703089Z</v>
      </c>
      <c r="AG398" s="3" t="str">
        <f ca="1">IFERROR(__xludf.DUMMYFUNCTION("""COMPUTED_VALUE"""),"2055-06-06T17:48:47.389443Z")</f>
        <v>2055-06-06T17:48:47.389443Z</v>
      </c>
      <c r="AH398" s="3" t="str">
        <f ca="1">IFERROR(__xludf.DUMMYFUNCTION("""COMPUTED_VALUE"""),"2055-06-06T17:52:16.286309Z")</f>
        <v>2055-06-06T17:52:16.286309Z</v>
      </c>
      <c r="AI398" s="3">
        <f ca="1">IFERROR(__xludf.DUMMYFUNCTION("""COMPUTED_VALUE"""),4.7)</f>
        <v>4.7</v>
      </c>
      <c r="AJ398" s="3">
        <f ca="1">IFERROR(__xludf.DUMMYFUNCTION("""COMPUTED_VALUE"""),212)</f>
        <v>212</v>
      </c>
      <c r="AK398" s="3">
        <f ca="1">IFERROR(__xludf.DUMMYFUNCTION("""COMPUTED_VALUE"""),624)</f>
        <v>624</v>
      </c>
      <c r="AL398" s="3">
        <f ca="1">IFERROR(__xludf.DUMMYFUNCTION("""COMPUTED_VALUE"""),347)</f>
        <v>347</v>
      </c>
    </row>
    <row r="399" spans="1:38" ht="13">
      <c r="A399" s="3">
        <f ca="1">IFERROR(__xludf.DUMMYFUNCTION("""COMPUTED_VALUE"""),88)</f>
        <v>88</v>
      </c>
      <c r="B399" s="3"/>
      <c r="C399" s="3">
        <f ca="1">IFERROR(__xludf.DUMMYFUNCTION("""COMPUTED_VALUE"""),4050)</f>
        <v>4050</v>
      </c>
      <c r="D399" s="3" t="str">
        <f ca="1">IFERROR(__xludf.DUMMYFUNCTION("""COMPUTED_VALUE"""),"Doorlanta")</f>
        <v>Doorlanta</v>
      </c>
      <c r="E399" s="3" t="str">
        <f ca="1">IFERROR(__xludf.DUMMYFUNCTION("""COMPUTED_VALUE"""),"Galaxy A")</f>
        <v>Galaxy A</v>
      </c>
      <c r="F399" s="3" t="str">
        <f ca="1">IFERROR(__xludf.DUMMYFUNCTION("""COMPUTED_VALUE"""),"Hersh")</f>
        <v>Hersh</v>
      </c>
      <c r="G399" s="3">
        <f ca="1">IFERROR(__xludf.DUMMYFUNCTION("""COMPUTED_VALUE"""),0)</f>
        <v>0</v>
      </c>
      <c r="H399" s="3" t="str">
        <f ca="1">IFERROR(__xludf.DUMMYFUNCTION("""COMPUTED_VALUE"""),"car")</f>
        <v>car</v>
      </c>
      <c r="I399" s="3" t="str">
        <f ca="1">IFERROR(__xludf.DUMMYFUNCTION("""COMPUTED_VALUE"""),"2055-06-02T00:03:52.065854Z")</f>
        <v>2055-06-02T00:03:52.065854Z</v>
      </c>
      <c r="J399" s="3" t="str">
        <f ca="1">IFERROR(__xludf.DUMMYFUNCTION("""COMPUTED_VALUE"""),"2055-06-02T00:43:52.147Z")</f>
        <v>2055-06-02T00:43:52.147Z</v>
      </c>
      <c r="K399" s="3" t="str">
        <f ca="1">IFERROR(__xludf.DUMMYFUNCTION("""COMPUTED_VALUE"""),"2055-06-02T00:36:30.147Z")</f>
        <v>2055-06-02T00:36:30.147Z</v>
      </c>
      <c r="L399" s="3">
        <f ca="1">IFERROR(__xludf.DUMMYFUNCTION("""COMPUTED_VALUE"""),1)</f>
        <v>1</v>
      </c>
      <c r="M399" s="3">
        <f ca="1">IFERROR(__xludf.DUMMYFUNCTION("""COMPUTED_VALUE"""),0)</f>
        <v>0</v>
      </c>
      <c r="N399" s="3" t="str">
        <f ca="1">IFERROR(__xludf.DUMMYFUNCTION("""COMPUTED_VALUE"""),"2055-06-02T00:16:28.294347Z")</f>
        <v>2055-06-02T00:16:28.294347Z</v>
      </c>
      <c r="O399" s="3" t="str">
        <f ca="1">IFERROR(__xludf.DUMMYFUNCTION("""COMPUTED_VALUE"""),"2055-06-02T00:27:08.437333Z")</f>
        <v>2055-06-02T00:27:08.437333Z</v>
      </c>
      <c r="P399" s="3" t="str">
        <f ca="1">IFERROR(__xludf.DUMMYFUNCTION("""COMPUTED_VALUE"""),"2055-06-02T00:05:07.333246Z")</f>
        <v>2055-06-02T00:05:07.333246Z</v>
      </c>
      <c r="Q399" s="3">
        <f ca="1">IFERROR(__xludf.DUMMYFUNCTION("""COMPUTED_VALUE"""),0)</f>
        <v>0</v>
      </c>
      <c r="R399" s="3" t="str">
        <f ca="1">IFERROR(__xludf.DUMMYFUNCTION("""COMPUTED_VALUE"""),"2055-06-02T00:05:16.241533Z")</f>
        <v>2055-06-02T00:05:16.241533Z</v>
      </c>
      <c r="S399" s="3" t="str">
        <f ca="1">IFERROR(__xludf.DUMMYFUNCTION("""COMPUTED_VALUE"""),"2055-06-02T00:05:50.251741Z")</f>
        <v>2055-06-02T00:05:50.251741Z</v>
      </c>
      <c r="T399" s="3"/>
      <c r="U399" s="4">
        <f ca="1">IFERROR(__xludf.DUMMYFUNCTION("""COMPUTED_VALUE"""),56766)</f>
        <v>56766</v>
      </c>
      <c r="V399" s="3">
        <f ca="1">IFERROR(__xludf.DUMMYFUNCTION("""COMPUTED_VALUE"""),3.090733106)</f>
        <v>3.0907331060000001</v>
      </c>
      <c r="W399" s="3">
        <f ca="1">IFERROR(__xludf.DUMMYFUNCTION("""COMPUTED_VALUE"""),3000)</f>
        <v>3000</v>
      </c>
      <c r="X399" s="3">
        <f ca="1">IFERROR(__xludf.DUMMYFUNCTION("""COMPUTED_VALUE"""),1312)</f>
        <v>1312</v>
      </c>
      <c r="Y399" s="3">
        <f ca="1">IFERROR(__xludf.DUMMYFUNCTION("""COMPUTED_VALUE"""),34)</f>
        <v>34</v>
      </c>
      <c r="Z399" s="3">
        <f ca="1">IFERROR(__xludf.DUMMYFUNCTION("""COMPUTED_VALUE"""),638)</f>
        <v>638</v>
      </c>
      <c r="AA399" s="3">
        <f ca="1">IFERROR(__xludf.DUMMYFUNCTION("""COMPUTED_VALUE"""),640)</f>
        <v>640</v>
      </c>
      <c r="AB399" s="3">
        <f ca="1">IFERROR(__xludf.DUMMYFUNCTION("""COMPUTED_VALUE"""),0)</f>
        <v>0</v>
      </c>
      <c r="AC399" s="3">
        <f ca="1">IFERROR(__xludf.DUMMYFUNCTION("""COMPUTED_VALUE"""),4)</f>
        <v>4</v>
      </c>
      <c r="AD399" s="3" t="str">
        <f ca="1">IFERROR(__xludf.DUMMYFUNCTION("""COMPUTED_VALUE"""),"early")</f>
        <v>early</v>
      </c>
      <c r="AE399" s="3" t="str">
        <f ca="1">IFERROR(__xludf.DUMMYFUNCTION("""COMPUTED_VALUE"""),"2055-06-01T20:16:28.294347Z")</f>
        <v>2055-06-01T20:16:28.294347Z</v>
      </c>
      <c r="AF399" s="3" t="str">
        <f ca="1">IFERROR(__xludf.DUMMYFUNCTION("""COMPUTED_VALUE"""),"2055-06-01T20:27:08.437333Z")</f>
        <v>2055-06-01T20:27:08.437333Z</v>
      </c>
      <c r="AG399" s="3" t="str">
        <f ca="1">IFERROR(__xludf.DUMMYFUNCTION("""COMPUTED_VALUE"""),"2055-06-01T20:05:07.333246Z")</f>
        <v>2055-06-01T20:05:07.333246Z</v>
      </c>
      <c r="AH399" s="3" t="str">
        <f ca="1">IFERROR(__xludf.DUMMYFUNCTION("""COMPUTED_VALUE"""),"2055-06-01T20:05:50.251741Z")</f>
        <v>2055-06-01T20:05:50.251741Z</v>
      </c>
      <c r="AI399" s="3">
        <f ca="1">IFERROR(__xludf.DUMMYFUNCTION("""COMPUTED_VALUE"""),4.7)</f>
        <v>4.7</v>
      </c>
      <c r="AJ399" s="3">
        <f ca="1">IFERROR(__xludf.DUMMYFUNCTION("""COMPUTED_VALUE"""),212)</f>
        <v>212</v>
      </c>
      <c r="AK399" s="3">
        <f ca="1">IFERROR(__xludf.DUMMYFUNCTION("""COMPUTED_VALUE"""),624)</f>
        <v>624</v>
      </c>
      <c r="AL399" s="3">
        <f ca="1">IFERROR(__xludf.DUMMYFUNCTION("""COMPUTED_VALUE"""),347)</f>
        <v>347</v>
      </c>
    </row>
    <row r="400" spans="1:38" ht="13">
      <c r="A400" s="3">
        <f ca="1">IFERROR(__xludf.DUMMYFUNCTION("""COMPUTED_VALUE"""),210)</f>
        <v>210</v>
      </c>
      <c r="B400" s="3"/>
      <c r="C400" s="3">
        <f ca="1">IFERROR(__xludf.DUMMYFUNCTION("""COMPUTED_VALUE"""),4001)</f>
        <v>4001</v>
      </c>
      <c r="D400" s="3" t="str">
        <f ca="1">IFERROR(__xludf.DUMMYFUNCTION("""COMPUTED_VALUE"""),"Dashattan")</f>
        <v>Dashattan</v>
      </c>
      <c r="E400" s="3" t="str">
        <f ca="1">IFERROR(__xludf.DUMMYFUNCTION("""COMPUTED_VALUE"""),"Galaxy A")</f>
        <v>Galaxy A</v>
      </c>
      <c r="F400" s="3" t="str">
        <f ca="1">IFERROR(__xludf.DUMMYFUNCTION("""COMPUTED_VALUE"""),"Bunje")</f>
        <v>Bunje</v>
      </c>
      <c r="G400" s="3">
        <f ca="1">IFERROR(__xludf.DUMMYFUNCTION("""COMPUTED_VALUE"""),0)</f>
        <v>0</v>
      </c>
      <c r="H400" s="3" t="str">
        <f ca="1">IFERROR(__xludf.DUMMYFUNCTION("""COMPUTED_VALUE"""),"bicycle")</f>
        <v>bicycle</v>
      </c>
      <c r="I400" s="3" t="str">
        <f ca="1">IFERROR(__xludf.DUMMYFUNCTION("""COMPUTED_VALUE"""),"2055-06-02T23:31:25.298184Z")</f>
        <v>2055-06-02T23:31:25.298184Z</v>
      </c>
      <c r="J400" s="3" t="str">
        <f ca="1">IFERROR(__xludf.DUMMYFUNCTION("""COMPUTED_VALUE"""),"2055-06-03T00:27:00.358Z")</f>
        <v>2055-06-03T00:27:00.358Z</v>
      </c>
      <c r="K400" s="3" t="str">
        <f ca="1">IFERROR(__xludf.DUMMYFUNCTION("""COMPUTED_VALUE"""),"2055-06-03T00:06:53.358Z")</f>
        <v>2055-06-03T00:06:53.358Z</v>
      </c>
      <c r="L400" s="3">
        <f ca="1">IFERROR(__xludf.DUMMYFUNCTION("""COMPUTED_VALUE"""),1)</f>
        <v>1</v>
      </c>
      <c r="M400" s="3">
        <f ca="1">IFERROR(__xludf.DUMMYFUNCTION("""COMPUTED_VALUE"""),0)</f>
        <v>0</v>
      </c>
      <c r="N400" s="3" t="str">
        <f ca="1">IFERROR(__xludf.DUMMYFUNCTION("""COMPUTED_VALUE"""),"2055-06-02T23:55:18.862105Z")</f>
        <v>2055-06-02T23:55:18.862105Z</v>
      </c>
      <c r="O400" s="3" t="str">
        <f ca="1">IFERROR(__xludf.DUMMYFUNCTION("""COMPUTED_VALUE"""),"2055-06-03T00:09:41.165877Z")</f>
        <v>2055-06-03T00:09:41.165877Z</v>
      </c>
      <c r="P400" s="3" t="str">
        <f ca="1">IFERROR(__xludf.DUMMYFUNCTION("""COMPUTED_VALUE"""),"2055-06-02T23:36:35.331422Z")</f>
        <v>2055-06-02T23:36:35.331422Z</v>
      </c>
      <c r="Q400" s="3">
        <f ca="1">IFERROR(__xludf.DUMMYFUNCTION("""COMPUTED_VALUE"""),0)</f>
        <v>0</v>
      </c>
      <c r="R400" s="3" t="str">
        <f ca="1">IFERROR(__xludf.DUMMYFUNCTION("""COMPUTED_VALUE"""),"2055-06-02T23:36:57.706626Z")</f>
        <v>2055-06-02T23:36:57.706626Z</v>
      </c>
      <c r="S400" s="3" t="str">
        <f ca="1">IFERROR(__xludf.DUMMYFUNCTION("""COMPUTED_VALUE"""),"2055-06-02T23:44:29.728039Z")</f>
        <v>2055-06-02T23:44:29.728039Z</v>
      </c>
      <c r="T400" s="3"/>
      <c r="U400" s="4">
        <f ca="1">IFERROR(__xludf.DUMMYFUNCTION("""COMPUTED_VALUE"""),56767)</f>
        <v>56767</v>
      </c>
      <c r="V400" s="3">
        <f ca="1">IFERROR(__xludf.DUMMYFUNCTION("""COMPUTED_VALUE"""),4.7)</f>
        <v>4.7</v>
      </c>
      <c r="W400" s="3">
        <f ca="1">IFERROR(__xludf.DUMMYFUNCTION("""COMPUTED_VALUE"""),3000)</f>
        <v>3000</v>
      </c>
      <c r="X400" s="3">
        <f ca="1">IFERROR(__xludf.DUMMYFUNCTION("""COMPUTED_VALUE"""),1964)</f>
        <v>1964</v>
      </c>
      <c r="Y400" s="3">
        <f ca="1">IFERROR(__xludf.DUMMYFUNCTION("""COMPUTED_VALUE"""),452)</f>
        <v>452</v>
      </c>
      <c r="Z400" s="3">
        <f ca="1">IFERROR(__xludf.DUMMYFUNCTION("""COMPUTED_VALUE"""),649)</f>
        <v>649</v>
      </c>
      <c r="AA400" s="3">
        <f ca="1">IFERROR(__xludf.DUMMYFUNCTION("""COMPUTED_VALUE"""),863)</f>
        <v>863</v>
      </c>
      <c r="AB400" s="3">
        <f ca="1">IFERROR(__xludf.DUMMYFUNCTION("""COMPUTED_VALUE"""),0)</f>
        <v>0</v>
      </c>
      <c r="AC400" s="3">
        <f ca="1">IFERROR(__xludf.DUMMYFUNCTION("""COMPUTED_VALUE"""),7)</f>
        <v>7</v>
      </c>
      <c r="AD400" s="3" t="str">
        <f ca="1">IFERROR(__xludf.DUMMYFUNCTION("""COMPUTED_VALUE"""),"on time")</f>
        <v>on time</v>
      </c>
      <c r="AE400" s="3" t="str">
        <f ca="1">IFERROR(__xludf.DUMMYFUNCTION("""COMPUTED_VALUE"""),"2055-06-02T19:55:18.862105Z")</f>
        <v>2055-06-02T19:55:18.862105Z</v>
      </c>
      <c r="AF400" s="3" t="str">
        <f ca="1">IFERROR(__xludf.DUMMYFUNCTION("""COMPUTED_VALUE"""),"2055-06-02T20:09:41.165877Z")</f>
        <v>2055-06-02T20:09:41.165877Z</v>
      </c>
      <c r="AG400" s="3" t="str">
        <f ca="1">IFERROR(__xludf.DUMMYFUNCTION("""COMPUTED_VALUE"""),"2055-06-02T19:36:35.331422Z")</f>
        <v>2055-06-02T19:36:35.331422Z</v>
      </c>
      <c r="AH400" s="3" t="str">
        <f ca="1">IFERROR(__xludf.DUMMYFUNCTION("""COMPUTED_VALUE"""),"2055-06-02T19:44:29.728039Z")</f>
        <v>2055-06-02T19:44:29.728039Z</v>
      </c>
      <c r="AI400" s="3">
        <f ca="1">IFERROR(__xludf.DUMMYFUNCTION("""COMPUTED_VALUE"""),4.7)</f>
        <v>4.7</v>
      </c>
      <c r="AJ400" s="3">
        <f ca="1">IFERROR(__xludf.DUMMYFUNCTION("""COMPUTED_VALUE"""),443)</f>
        <v>443</v>
      </c>
      <c r="AK400" s="3">
        <f ca="1">IFERROR(__xludf.DUMMYFUNCTION("""COMPUTED_VALUE"""),1579)</f>
        <v>1579</v>
      </c>
      <c r="AL400" s="3"/>
    </row>
    <row r="401" spans="1:38" ht="13">
      <c r="A401" s="3">
        <f ca="1">IFERROR(__xludf.DUMMYFUNCTION("""COMPUTED_VALUE"""),1329)</f>
        <v>1329</v>
      </c>
      <c r="B401" s="3">
        <f ca="1">IFERROR(__xludf.DUMMYFUNCTION("""COMPUTED_VALUE"""),3)</f>
        <v>3</v>
      </c>
      <c r="C401" s="3">
        <f ca="1">IFERROR(__xludf.DUMMYFUNCTION("""COMPUTED_VALUE"""),4001)</f>
        <v>4001</v>
      </c>
      <c r="D401" s="3" t="str">
        <f ca="1">IFERROR(__xludf.DUMMYFUNCTION("""COMPUTED_VALUE"""),"Dashattan")</f>
        <v>Dashattan</v>
      </c>
      <c r="E401" s="3" t="str">
        <f ca="1">IFERROR(__xludf.DUMMYFUNCTION("""COMPUTED_VALUE"""),"Galaxy A")</f>
        <v>Galaxy A</v>
      </c>
      <c r="F401" s="3" t="str">
        <f ca="1">IFERROR(__xludf.DUMMYFUNCTION("""COMPUTED_VALUE"""),"Rojan")</f>
        <v>Rojan</v>
      </c>
      <c r="G401" s="3">
        <f ca="1">IFERROR(__xludf.DUMMYFUNCTION("""COMPUTED_VALUE"""),0)</f>
        <v>0</v>
      </c>
      <c r="H401" s="3" t="str">
        <f ca="1">IFERROR(__xludf.DUMMYFUNCTION("""COMPUTED_VALUE"""),"bicycle")</f>
        <v>bicycle</v>
      </c>
      <c r="I401" s="3" t="str">
        <f ca="1">IFERROR(__xludf.DUMMYFUNCTION("""COMPUTED_VALUE"""),"2055-06-11T22:52:14.641877Z")</f>
        <v>2055-06-11T22:52:14.641877Z</v>
      </c>
      <c r="J401" s="3" t="str">
        <f ca="1">IFERROR(__xludf.DUMMYFUNCTION("""COMPUTED_VALUE"""),"2055-06-11T23:40:21.697Z")</f>
        <v>2055-06-11T23:40:21.697Z</v>
      </c>
      <c r="K401" s="3" t="str">
        <f ca="1">IFERROR(__xludf.DUMMYFUNCTION("""COMPUTED_VALUE"""),"2055-06-11T23:20:14.697Z")</f>
        <v>2055-06-11T23:20:14.697Z</v>
      </c>
      <c r="L401" s="3">
        <f ca="1">IFERROR(__xludf.DUMMYFUNCTION("""COMPUTED_VALUE"""),1)</f>
        <v>1</v>
      </c>
      <c r="M401" s="3">
        <f ca="1">IFERROR(__xludf.DUMMYFUNCTION("""COMPUTED_VALUE"""),0)</f>
        <v>0</v>
      </c>
      <c r="N401" s="3" t="str">
        <f ca="1">IFERROR(__xludf.DUMMYFUNCTION("""COMPUTED_VALUE"""),"2055-06-11T23:15:51.236201Z")</f>
        <v>2055-06-11T23:15:51.236201Z</v>
      </c>
      <c r="O401" s="3" t="str">
        <f ca="1">IFERROR(__xludf.DUMMYFUNCTION("""COMPUTED_VALUE"""),"2055-06-11T23:20:45.938811Z")</f>
        <v>2055-06-11T23:20:45.938811Z</v>
      </c>
      <c r="P401" s="3" t="str">
        <f ca="1">IFERROR(__xludf.DUMMYFUNCTION("""COMPUTED_VALUE"""),"2055-06-11T22:58:34.864972Z")</f>
        <v>2055-06-11T22:58:34.864972Z</v>
      </c>
      <c r="Q401" s="3">
        <f ca="1">IFERROR(__xludf.DUMMYFUNCTION("""COMPUTED_VALUE"""),0)</f>
        <v>0</v>
      </c>
      <c r="R401" s="3" t="str">
        <f ca="1">IFERROR(__xludf.DUMMYFUNCTION("""COMPUTED_VALUE"""),"2055-06-11T22:58:48.364567Z")</f>
        <v>2055-06-11T22:58:48.364567Z</v>
      </c>
      <c r="S401" s="3" t="str">
        <f ca="1">IFERROR(__xludf.DUMMYFUNCTION("""COMPUTED_VALUE"""),"2055-06-11T23:07:28.364264Z")</f>
        <v>2055-06-11T23:07:28.364264Z</v>
      </c>
      <c r="T401" s="3"/>
      <c r="U401" s="4">
        <f ca="1">IFERROR(__xludf.DUMMYFUNCTION("""COMPUTED_VALUE"""),56776)</f>
        <v>56776</v>
      </c>
      <c r="V401" s="3">
        <f ca="1">IFERROR(__xludf.DUMMYFUNCTION("""COMPUTED_VALUE"""),3.653435708)</f>
        <v>3.6534357079999999</v>
      </c>
      <c r="W401" s="3">
        <f ca="1">IFERROR(__xludf.DUMMYFUNCTION("""COMPUTED_VALUE"""),3000)</f>
        <v>3000</v>
      </c>
      <c r="X401" s="3">
        <f ca="1">IFERROR(__xludf.DUMMYFUNCTION("""COMPUTED_VALUE"""),1317)</f>
        <v>1317</v>
      </c>
      <c r="Y401" s="3">
        <f ca="1">IFERROR(__xludf.DUMMYFUNCTION("""COMPUTED_VALUE"""),520)</f>
        <v>520</v>
      </c>
      <c r="Z401" s="3">
        <f ca="1">IFERROR(__xludf.DUMMYFUNCTION("""COMPUTED_VALUE"""),503)</f>
        <v>503</v>
      </c>
      <c r="AA401" s="3">
        <f ca="1">IFERROR(__xludf.DUMMYFUNCTION("""COMPUTED_VALUE"""),294)</f>
        <v>294</v>
      </c>
      <c r="AB401" s="3">
        <f ca="1">IFERROR(__xludf.DUMMYFUNCTION("""COMPUTED_VALUE"""),0)</f>
        <v>0</v>
      </c>
      <c r="AC401" s="3">
        <f ca="1">IFERROR(__xludf.DUMMYFUNCTION("""COMPUTED_VALUE"""),3)</f>
        <v>3</v>
      </c>
      <c r="AD401" s="3" t="str">
        <f ca="1">IFERROR(__xludf.DUMMYFUNCTION("""COMPUTED_VALUE"""),"on time")</f>
        <v>on time</v>
      </c>
      <c r="AE401" s="3" t="str">
        <f ca="1">IFERROR(__xludf.DUMMYFUNCTION("""COMPUTED_VALUE"""),"2055-06-11T19:15:51.236201Z")</f>
        <v>2055-06-11T19:15:51.236201Z</v>
      </c>
      <c r="AF401" s="3" t="str">
        <f ca="1">IFERROR(__xludf.DUMMYFUNCTION("""COMPUTED_VALUE"""),"2055-06-11T19:20:45.938811Z")</f>
        <v>2055-06-11T19:20:45.938811Z</v>
      </c>
      <c r="AG401" s="3" t="str">
        <f ca="1">IFERROR(__xludf.DUMMYFUNCTION("""COMPUTED_VALUE"""),"2055-06-11T18:58:34.864972Z")</f>
        <v>2055-06-11T18:58:34.864972Z</v>
      </c>
      <c r="AH401" s="3" t="str">
        <f ca="1">IFERROR(__xludf.DUMMYFUNCTION("""COMPUTED_VALUE"""),"2055-06-11T19:07:28.364264Z")</f>
        <v>2055-06-11T19:07:28.364264Z</v>
      </c>
      <c r="AI401" s="3">
        <f ca="1">IFERROR(__xludf.DUMMYFUNCTION("""COMPUTED_VALUE"""),4.58)</f>
        <v>4.58</v>
      </c>
      <c r="AJ401" s="3">
        <f ca="1">IFERROR(__xludf.DUMMYFUNCTION("""COMPUTED_VALUE"""),254)</f>
        <v>254</v>
      </c>
      <c r="AK401" s="3">
        <f ca="1">IFERROR(__xludf.DUMMYFUNCTION("""COMPUTED_VALUE"""),788)</f>
        <v>788</v>
      </c>
      <c r="AL401" s="3">
        <f ca="1">IFERROR(__xludf.DUMMYFUNCTION("""COMPUTED_VALUE"""),9)</f>
        <v>9</v>
      </c>
    </row>
    <row r="402" spans="1:38" ht="13">
      <c r="A402" s="3">
        <f ca="1">IFERROR(__xludf.DUMMYFUNCTION("""COMPUTED_VALUE"""),1139)</f>
        <v>1139</v>
      </c>
      <c r="B402" s="3"/>
      <c r="C402" s="3">
        <f ca="1">IFERROR(__xludf.DUMMYFUNCTION("""COMPUTED_VALUE"""),4001)</f>
        <v>4001</v>
      </c>
      <c r="D402" s="3" t="str">
        <f ca="1">IFERROR(__xludf.DUMMYFUNCTION("""COMPUTED_VALUE"""),"Dashattan")</f>
        <v>Dashattan</v>
      </c>
      <c r="E402" s="3" t="str">
        <f ca="1">IFERROR(__xludf.DUMMYFUNCTION("""COMPUTED_VALUE"""),"Galaxy A")</f>
        <v>Galaxy A</v>
      </c>
      <c r="F402" s="3" t="str">
        <f ca="1">IFERROR(__xludf.DUMMYFUNCTION("""COMPUTED_VALUE"""),"Sean")</f>
        <v>Sean</v>
      </c>
      <c r="G402" s="3">
        <f ca="1">IFERROR(__xludf.DUMMYFUNCTION("""COMPUTED_VALUE"""),0)</f>
        <v>0</v>
      </c>
      <c r="H402" s="3" t="str">
        <f ca="1">IFERROR(__xludf.DUMMYFUNCTION("""COMPUTED_VALUE"""),"bicycle")</f>
        <v>bicycle</v>
      </c>
      <c r="I402" s="3" t="str">
        <f ca="1">IFERROR(__xludf.DUMMYFUNCTION("""COMPUTED_VALUE"""),"2055-06-10T16:36:56.275504Z")</f>
        <v>2055-06-10T16:36:56.275504Z</v>
      </c>
      <c r="J402" s="3" t="str">
        <f ca="1">IFERROR(__xludf.DUMMYFUNCTION("""COMPUTED_VALUE"""),"2055-06-10T17:47:55.335Z")</f>
        <v>2055-06-10T17:47:55.335Z</v>
      </c>
      <c r="K402" s="3" t="str">
        <f ca="1">IFERROR(__xludf.DUMMYFUNCTION("""COMPUTED_VALUE"""),"2055-06-10T17:28:16.335Z")</f>
        <v>2055-06-10T17:28:16.335Z</v>
      </c>
      <c r="L402" s="3">
        <f ca="1">IFERROR(__xludf.DUMMYFUNCTION("""COMPUTED_VALUE"""),1)</f>
        <v>1</v>
      </c>
      <c r="M402" s="3">
        <f ca="1">IFERROR(__xludf.DUMMYFUNCTION("""COMPUTED_VALUE"""),0)</f>
        <v>0</v>
      </c>
      <c r="N402" s="3" t="str">
        <f ca="1">IFERROR(__xludf.DUMMYFUNCTION("""COMPUTED_VALUE"""),"2055-06-10T17:10:05.152752Z")</f>
        <v>2055-06-10T17:10:05.152752Z</v>
      </c>
      <c r="O402" s="3" t="str">
        <f ca="1">IFERROR(__xludf.DUMMYFUNCTION("""COMPUTED_VALUE"""),"2055-06-10T17:28:08.257872Z")</f>
        <v>2055-06-10T17:28:08.257872Z</v>
      </c>
      <c r="P402" s="3" t="str">
        <f ca="1">IFERROR(__xludf.DUMMYFUNCTION("""COMPUTED_VALUE"""),"2055-06-10T16:40:14.559811Z")</f>
        <v>2055-06-10T16:40:14.559811Z</v>
      </c>
      <c r="Q402" s="3">
        <f ca="1">IFERROR(__xludf.DUMMYFUNCTION("""COMPUTED_VALUE"""),0)</f>
        <v>0</v>
      </c>
      <c r="R402" s="3" t="str">
        <f ca="1">IFERROR(__xludf.DUMMYFUNCTION("""COMPUTED_VALUE"""),"2055-06-10T16:41:35.396785Z")</f>
        <v>2055-06-10T16:41:35.396785Z</v>
      </c>
      <c r="S402" s="3" t="str">
        <f ca="1">IFERROR(__xludf.DUMMYFUNCTION("""COMPUTED_VALUE"""),"2055-06-10T16:49:29.711003Z")</f>
        <v>2055-06-10T16:49:29.711003Z</v>
      </c>
      <c r="T402" s="3"/>
      <c r="U402" s="4">
        <f ca="1">IFERROR(__xludf.DUMMYFUNCTION("""COMPUTED_VALUE"""),56775)</f>
        <v>56775</v>
      </c>
      <c r="V402" s="3">
        <f ca="1">IFERROR(__xludf.DUMMYFUNCTION("""COMPUTED_VALUE"""),4.2)</f>
        <v>4.2</v>
      </c>
      <c r="W402" s="3">
        <f ca="1">IFERROR(__xludf.DUMMYFUNCTION("""COMPUTED_VALUE"""),3000)</f>
        <v>3000</v>
      </c>
      <c r="X402" s="3">
        <f ca="1">IFERROR(__xludf.DUMMYFUNCTION("""COMPUTED_VALUE"""),2793)</f>
        <v>2793</v>
      </c>
      <c r="Y402" s="3">
        <f ca="1">IFERROR(__xludf.DUMMYFUNCTION("""COMPUTED_VALUE"""),474)</f>
        <v>474</v>
      </c>
      <c r="Z402" s="3">
        <f ca="1">IFERROR(__xludf.DUMMYFUNCTION("""COMPUTED_VALUE"""),1236)</f>
        <v>1236</v>
      </c>
      <c r="AA402" s="3">
        <f ca="1">IFERROR(__xludf.DUMMYFUNCTION("""COMPUTED_VALUE"""),1083)</f>
        <v>1083</v>
      </c>
      <c r="AB402" s="3">
        <f ca="1">IFERROR(__xludf.DUMMYFUNCTION("""COMPUTED_VALUE"""),0)</f>
        <v>0</v>
      </c>
      <c r="AC402" s="3">
        <f ca="1">IFERROR(__xludf.DUMMYFUNCTION("""COMPUTED_VALUE"""),4)</f>
        <v>4</v>
      </c>
      <c r="AD402" s="3" t="str">
        <f ca="1">IFERROR(__xludf.DUMMYFUNCTION("""COMPUTED_VALUE"""),"early")</f>
        <v>early</v>
      </c>
      <c r="AE402" s="3" t="str">
        <f ca="1">IFERROR(__xludf.DUMMYFUNCTION("""COMPUTED_VALUE"""),"2055-06-10T13:10:05.152752Z")</f>
        <v>2055-06-10T13:10:05.152752Z</v>
      </c>
      <c r="AF402" s="3" t="str">
        <f ca="1">IFERROR(__xludf.DUMMYFUNCTION("""COMPUTED_VALUE"""),"2055-06-10T13:28:08.257872Z")</f>
        <v>2055-06-10T13:28:08.257872Z</v>
      </c>
      <c r="AG402" s="3" t="str">
        <f ca="1">IFERROR(__xludf.DUMMYFUNCTION("""COMPUTED_VALUE"""),"2055-06-10T12:40:14.559811Z")</f>
        <v>2055-06-10T12:40:14.559811Z</v>
      </c>
      <c r="AH402" s="3" t="str">
        <f ca="1">IFERROR(__xludf.DUMMYFUNCTION("""COMPUTED_VALUE"""),"2055-06-10T12:49:29.711003Z")</f>
        <v>2055-06-10T12:49:29.711003Z</v>
      </c>
      <c r="AI402" s="3">
        <f ca="1">IFERROR(__xludf.DUMMYFUNCTION("""COMPUTED_VALUE"""),4.52)</f>
        <v>4.5199999999999996</v>
      </c>
      <c r="AJ402" s="3">
        <f ca="1">IFERROR(__xludf.DUMMYFUNCTION("""COMPUTED_VALUE"""),183)</f>
        <v>183</v>
      </c>
      <c r="AK402" s="3">
        <f ca="1">IFERROR(__xludf.DUMMYFUNCTION("""COMPUTED_VALUE"""),522)</f>
        <v>522</v>
      </c>
      <c r="AL402" s="3"/>
    </row>
    <row r="403" spans="1:38" ht="13">
      <c r="A403" s="3">
        <f ca="1">IFERROR(__xludf.DUMMYFUNCTION("""COMPUTED_VALUE"""),1148)</f>
        <v>1148</v>
      </c>
      <c r="B403" s="3"/>
      <c r="C403" s="3">
        <f ca="1">IFERROR(__xludf.DUMMYFUNCTION("""COMPUTED_VALUE"""),4001)</f>
        <v>4001</v>
      </c>
      <c r="D403" s="3" t="str">
        <f ca="1">IFERROR(__xludf.DUMMYFUNCTION("""COMPUTED_VALUE"""),"Dashattan")</f>
        <v>Dashattan</v>
      </c>
      <c r="E403" s="3" t="str">
        <f ca="1">IFERROR(__xludf.DUMMYFUNCTION("""COMPUTED_VALUE"""),"Galaxy A")</f>
        <v>Galaxy A</v>
      </c>
      <c r="F403" s="3" t="str">
        <f ca="1">IFERROR(__xludf.DUMMYFUNCTION("""COMPUTED_VALUE"""),"KC")</f>
        <v>KC</v>
      </c>
      <c r="G403" s="3">
        <f ca="1">IFERROR(__xludf.DUMMYFUNCTION("""COMPUTED_VALUE"""),0)</f>
        <v>0</v>
      </c>
      <c r="H403" s="3" t="str">
        <f ca="1">IFERROR(__xludf.DUMMYFUNCTION("""COMPUTED_VALUE"""),"car")</f>
        <v>car</v>
      </c>
      <c r="I403" s="3" t="str">
        <f ca="1">IFERROR(__xludf.DUMMYFUNCTION("""COMPUTED_VALUE"""),"2055-06-10T17:50:32.15829Z")</f>
        <v>2055-06-10T17:50:32.15829Z</v>
      </c>
      <c r="J403" s="3" t="str">
        <f ca="1">IFERROR(__xludf.DUMMYFUNCTION("""COMPUTED_VALUE"""),"2055-06-10T18:40:33.22Z")</f>
        <v>2055-06-10T18:40:33.22Z</v>
      </c>
      <c r="K403" s="3" t="str">
        <f ca="1">IFERROR(__xludf.DUMMYFUNCTION("""COMPUTED_VALUE"""),"2055-06-10T18:21:40.22Z")</f>
        <v>2055-06-10T18:21:40.22Z</v>
      </c>
      <c r="L403" s="3">
        <f ca="1">IFERROR(__xludf.DUMMYFUNCTION("""COMPUTED_VALUE"""),1)</f>
        <v>1</v>
      </c>
      <c r="M403" s="3">
        <f ca="1">IFERROR(__xludf.DUMMYFUNCTION("""COMPUTED_VALUE"""),0)</f>
        <v>0</v>
      </c>
      <c r="N403" s="3" t="str">
        <f ca="1">IFERROR(__xludf.DUMMYFUNCTION("""COMPUTED_VALUE"""),"2055-06-10T18:06:27.361743Z")</f>
        <v>2055-06-10T18:06:27.361743Z</v>
      </c>
      <c r="O403" s="3" t="str">
        <f ca="1">IFERROR(__xludf.DUMMYFUNCTION("""COMPUTED_VALUE"""),"2055-06-10T18:15:05.945781Z")</f>
        <v>2055-06-10T18:15:05.945781Z</v>
      </c>
      <c r="P403" s="3" t="str">
        <f ca="1">IFERROR(__xludf.DUMMYFUNCTION("""COMPUTED_VALUE"""),"2055-06-10T17:52:14.340159Z")</f>
        <v>2055-06-10T17:52:14.340159Z</v>
      </c>
      <c r="Q403" s="3">
        <f ca="1">IFERROR(__xludf.DUMMYFUNCTION("""COMPUTED_VALUE"""),0)</f>
        <v>0</v>
      </c>
      <c r="R403" s="3" t="str">
        <f ca="1">IFERROR(__xludf.DUMMYFUNCTION("""COMPUTED_VALUE"""),"2055-06-10T17:52:31.208285Z")</f>
        <v>2055-06-10T17:52:31.208285Z</v>
      </c>
      <c r="S403" s="3" t="str">
        <f ca="1">IFERROR(__xludf.DUMMYFUNCTION("""COMPUTED_VALUE"""),"2055-06-10T18:03:26.427408Z")</f>
        <v>2055-06-10T18:03:26.427408Z</v>
      </c>
      <c r="T403" s="3"/>
      <c r="U403" s="4">
        <f ca="1">IFERROR(__xludf.DUMMYFUNCTION("""COMPUTED_VALUE"""),56775)</f>
        <v>56775</v>
      </c>
      <c r="V403" s="3">
        <f ca="1">IFERROR(__xludf.DUMMYFUNCTION("""COMPUTED_VALUE"""),3.375899641)</f>
        <v>3.3758996410000002</v>
      </c>
      <c r="W403" s="3">
        <f ca="1">IFERROR(__xludf.DUMMYFUNCTION("""COMPUTED_VALUE"""),3000)</f>
        <v>3000</v>
      </c>
      <c r="X403" s="3">
        <f ca="1">IFERROR(__xludf.DUMMYFUNCTION("""COMPUTED_VALUE"""),1354)</f>
        <v>1354</v>
      </c>
      <c r="Y403" s="3">
        <f ca="1">IFERROR(__xludf.DUMMYFUNCTION("""COMPUTED_VALUE"""),655)</f>
        <v>655</v>
      </c>
      <c r="Z403" s="3">
        <f ca="1">IFERROR(__xludf.DUMMYFUNCTION("""COMPUTED_VALUE"""),181)</f>
        <v>181</v>
      </c>
      <c r="AA403" s="3">
        <f ca="1">IFERROR(__xludf.DUMMYFUNCTION("""COMPUTED_VALUE"""),518)</f>
        <v>518</v>
      </c>
      <c r="AB403" s="3">
        <f ca="1">IFERROR(__xludf.DUMMYFUNCTION("""COMPUTED_VALUE"""),0)</f>
        <v>0</v>
      </c>
      <c r="AC403" s="3">
        <f ca="1">IFERROR(__xludf.DUMMYFUNCTION("""COMPUTED_VALUE"""),2)</f>
        <v>2</v>
      </c>
      <c r="AD403" s="3" t="str">
        <f ca="1">IFERROR(__xludf.DUMMYFUNCTION("""COMPUTED_VALUE"""),"on time")</f>
        <v>on time</v>
      </c>
      <c r="AE403" s="3" t="str">
        <f ca="1">IFERROR(__xludf.DUMMYFUNCTION("""COMPUTED_VALUE"""),"2055-06-10T14:06:27.361743Z")</f>
        <v>2055-06-10T14:06:27.361743Z</v>
      </c>
      <c r="AF403" s="3" t="str">
        <f ca="1">IFERROR(__xludf.DUMMYFUNCTION("""COMPUTED_VALUE"""),"2055-06-10T14:15:05.945781Z")</f>
        <v>2055-06-10T14:15:05.945781Z</v>
      </c>
      <c r="AG403" s="3" t="str">
        <f ca="1">IFERROR(__xludf.DUMMYFUNCTION("""COMPUTED_VALUE"""),"2055-06-10T13:52:14.340159Z")</f>
        <v>2055-06-10T13:52:14.340159Z</v>
      </c>
      <c r="AH403" s="3" t="str">
        <f ca="1">IFERROR(__xludf.DUMMYFUNCTION("""COMPUTED_VALUE"""),"2055-06-10T14:03:26.427408Z")</f>
        <v>2055-06-10T14:03:26.427408Z</v>
      </c>
      <c r="AI403" s="3">
        <f ca="1">IFERROR(__xludf.DUMMYFUNCTION("""COMPUTED_VALUE"""),4.54)</f>
        <v>4.54</v>
      </c>
      <c r="AJ403" s="3">
        <f ca="1">IFERROR(__xludf.DUMMYFUNCTION("""COMPUTED_VALUE"""),2229)</f>
        <v>2229</v>
      </c>
      <c r="AK403" s="3">
        <f ca="1">IFERROR(__xludf.DUMMYFUNCTION("""COMPUTED_VALUE"""),6580)</f>
        <v>6580</v>
      </c>
      <c r="AL403" s="3"/>
    </row>
    <row r="404" spans="1:38" ht="13">
      <c r="A404" s="3">
        <f ca="1">IFERROR(__xludf.DUMMYFUNCTION("""COMPUTED_VALUE"""),784)</f>
        <v>784</v>
      </c>
      <c r="B404" s="3"/>
      <c r="C404" s="3">
        <f ca="1">IFERROR(__xludf.DUMMYFUNCTION("""COMPUTED_VALUE"""),4050)</f>
        <v>4050</v>
      </c>
      <c r="D404" s="3" t="str">
        <f ca="1">IFERROR(__xludf.DUMMYFUNCTION("""COMPUTED_VALUE"""),"Doorlanta")</f>
        <v>Doorlanta</v>
      </c>
      <c r="E404" s="3" t="str">
        <f ca="1">IFERROR(__xludf.DUMMYFUNCTION("""COMPUTED_VALUE"""),"Galaxy A")</f>
        <v>Galaxy A</v>
      </c>
      <c r="F404" s="3" t="str">
        <f ca="1">IFERROR(__xludf.DUMMYFUNCTION("""COMPUTED_VALUE"""),"Abhai")</f>
        <v>Abhai</v>
      </c>
      <c r="G404" s="3">
        <f ca="1">IFERROR(__xludf.DUMMYFUNCTION("""COMPUTED_VALUE"""),0)</f>
        <v>0</v>
      </c>
      <c r="H404" s="3" t="str">
        <f ca="1">IFERROR(__xludf.DUMMYFUNCTION("""COMPUTED_VALUE"""),"car")</f>
        <v>car</v>
      </c>
      <c r="I404" s="3" t="str">
        <f ca="1">IFERROR(__xludf.DUMMYFUNCTION("""COMPUTED_VALUE"""),"2055-06-06T22:56:12.766452Z")</f>
        <v>2055-06-06T22:56:12.766452Z</v>
      </c>
      <c r="J404" s="3" t="str">
        <f ca="1">IFERROR(__xludf.DUMMYFUNCTION("""COMPUTED_VALUE"""),"2055-06-06T23:41:12.848Z")</f>
        <v>2055-06-06T23:41:12.848Z</v>
      </c>
      <c r="K404" s="3" t="str">
        <f ca="1">IFERROR(__xludf.DUMMYFUNCTION("""COMPUTED_VALUE"""),"2055-06-06T23:33:18.848Z")</f>
        <v>2055-06-06T23:33:18.848Z</v>
      </c>
      <c r="L404" s="3">
        <f ca="1">IFERROR(__xludf.DUMMYFUNCTION("""COMPUTED_VALUE"""),1)</f>
        <v>1</v>
      </c>
      <c r="M404" s="3">
        <f ca="1">IFERROR(__xludf.DUMMYFUNCTION("""COMPUTED_VALUE"""),0)</f>
        <v>0</v>
      </c>
      <c r="N404" s="3" t="str">
        <f ca="1">IFERROR(__xludf.DUMMYFUNCTION("""COMPUTED_VALUE"""),"2055-06-06T23:16:31.123994Z")</f>
        <v>2055-06-06T23:16:31.123994Z</v>
      </c>
      <c r="O404" s="3" t="str">
        <f ca="1">IFERROR(__xludf.DUMMYFUNCTION("""COMPUTED_VALUE"""),"2055-06-06T23:33:25.388878Z")</f>
        <v>2055-06-06T23:33:25.388878Z</v>
      </c>
      <c r="P404" s="3" t="str">
        <f ca="1">IFERROR(__xludf.DUMMYFUNCTION("""COMPUTED_VALUE"""),"2055-06-06T22:56:27.452439Z")</f>
        <v>2055-06-06T22:56:27.452439Z</v>
      </c>
      <c r="Q404" s="3">
        <f ca="1">IFERROR(__xludf.DUMMYFUNCTION("""COMPUTED_VALUE"""),0)</f>
        <v>0</v>
      </c>
      <c r="R404" s="3" t="str">
        <f ca="1">IFERROR(__xludf.DUMMYFUNCTION("""COMPUTED_VALUE"""),"2055-06-06T22:56:40.64885Z")</f>
        <v>2055-06-06T22:56:40.64885Z</v>
      </c>
      <c r="S404" s="3" t="str">
        <f ca="1">IFERROR(__xludf.DUMMYFUNCTION("""COMPUTED_VALUE"""),"2055-06-06T23:07:34.678661Z")</f>
        <v>2055-06-06T23:07:34.678661Z</v>
      </c>
      <c r="T404" s="3"/>
      <c r="U404" s="4">
        <f ca="1">IFERROR(__xludf.DUMMYFUNCTION("""COMPUTED_VALUE"""),56771)</f>
        <v>56771</v>
      </c>
      <c r="V404" s="3">
        <f ca="1">IFERROR(__xludf.DUMMYFUNCTION("""COMPUTED_VALUE"""),4.7)</f>
        <v>4.7</v>
      </c>
      <c r="W404" s="3">
        <f ca="1">IFERROR(__xludf.DUMMYFUNCTION("""COMPUTED_VALUE"""),3000)</f>
        <v>3000</v>
      </c>
      <c r="X404" s="3">
        <f ca="1">IFERROR(__xludf.DUMMYFUNCTION("""COMPUTED_VALUE"""),2205)</f>
        <v>2205</v>
      </c>
      <c r="Y404" s="3">
        <f ca="1">IFERROR(__xludf.DUMMYFUNCTION("""COMPUTED_VALUE"""),654)</f>
        <v>654</v>
      </c>
      <c r="Z404" s="3">
        <f ca="1">IFERROR(__xludf.DUMMYFUNCTION("""COMPUTED_VALUE"""),537)</f>
        <v>537</v>
      </c>
      <c r="AA404" s="3">
        <f ca="1">IFERROR(__xludf.DUMMYFUNCTION("""COMPUTED_VALUE"""),1014)</f>
        <v>1014</v>
      </c>
      <c r="AB404" s="3">
        <f ca="1">IFERROR(__xludf.DUMMYFUNCTION("""COMPUTED_VALUE"""),0)</f>
        <v>0</v>
      </c>
      <c r="AC404" s="3">
        <f ca="1">IFERROR(__xludf.DUMMYFUNCTION("""COMPUTED_VALUE"""),2)</f>
        <v>2</v>
      </c>
      <c r="AD404" s="3" t="str">
        <f ca="1">IFERROR(__xludf.DUMMYFUNCTION("""COMPUTED_VALUE"""),"on time")</f>
        <v>on time</v>
      </c>
      <c r="AE404" s="3" t="str">
        <f ca="1">IFERROR(__xludf.DUMMYFUNCTION("""COMPUTED_VALUE"""),"2055-06-06T19:16:31.123994Z")</f>
        <v>2055-06-06T19:16:31.123994Z</v>
      </c>
      <c r="AF404" s="3" t="str">
        <f ca="1">IFERROR(__xludf.DUMMYFUNCTION("""COMPUTED_VALUE"""),"2055-06-06T19:33:25.388878Z")</f>
        <v>2055-06-06T19:33:25.388878Z</v>
      </c>
      <c r="AG404" s="3" t="str">
        <f ca="1">IFERROR(__xludf.DUMMYFUNCTION("""COMPUTED_VALUE"""),"2055-06-06T18:56:27.452439Z")</f>
        <v>2055-06-06T18:56:27.452439Z</v>
      </c>
      <c r="AH404" s="3" t="str">
        <f ca="1">IFERROR(__xludf.DUMMYFUNCTION("""COMPUTED_VALUE"""),"2055-06-06T19:07:34.678661Z")</f>
        <v>2055-06-06T19:07:34.678661Z</v>
      </c>
      <c r="AI404" s="3">
        <f ca="1">IFERROR(__xludf.DUMMYFUNCTION("""COMPUTED_VALUE"""),4.56)</f>
        <v>4.5599999999999996</v>
      </c>
      <c r="AJ404" s="3">
        <f ca="1">IFERROR(__xludf.DUMMYFUNCTION("""COMPUTED_VALUE"""),344)</f>
        <v>344</v>
      </c>
      <c r="AK404" s="3">
        <f ca="1">IFERROR(__xludf.DUMMYFUNCTION("""COMPUTED_VALUE"""),947)</f>
        <v>947</v>
      </c>
      <c r="AL404" s="3">
        <f ca="1">IFERROR(__xludf.DUMMYFUNCTION("""COMPUTED_VALUE"""),22)</f>
        <v>22</v>
      </c>
    </row>
    <row r="405" spans="1:38" ht="13">
      <c r="A405" s="3">
        <f ca="1">IFERROR(__xludf.DUMMYFUNCTION("""COMPUTED_VALUE"""),682)</f>
        <v>682</v>
      </c>
      <c r="B405" s="3"/>
      <c r="C405" s="3">
        <f ca="1">IFERROR(__xludf.DUMMYFUNCTION("""COMPUTED_VALUE"""),4001)</f>
        <v>4001</v>
      </c>
      <c r="D405" s="3" t="str">
        <f ca="1">IFERROR(__xludf.DUMMYFUNCTION("""COMPUTED_VALUE"""),"Dashattan")</f>
        <v>Dashattan</v>
      </c>
      <c r="E405" s="3" t="str">
        <f ca="1">IFERROR(__xludf.DUMMYFUNCTION("""COMPUTED_VALUE"""),"Galaxy A")</f>
        <v>Galaxy A</v>
      </c>
      <c r="F405" s="3" t="str">
        <f ca="1">IFERROR(__xludf.DUMMYFUNCTION("""COMPUTED_VALUE"""),"Samm")</f>
        <v>Samm</v>
      </c>
      <c r="G405" s="3">
        <f ca="1">IFERROR(__xludf.DUMMYFUNCTION("""COMPUTED_VALUE"""),0)</f>
        <v>0</v>
      </c>
      <c r="H405" s="3" t="str">
        <f ca="1">IFERROR(__xludf.DUMMYFUNCTION("""COMPUTED_VALUE"""),"car")</f>
        <v>car</v>
      </c>
      <c r="I405" s="3" t="str">
        <f ca="1">IFERROR(__xludf.DUMMYFUNCTION("""COMPUTED_VALUE"""),"2055-06-05T23:38:38.978018Z")</f>
        <v>2055-06-05T23:38:38.978018Z</v>
      </c>
      <c r="J405" s="3" t="str">
        <f ca="1">IFERROR(__xludf.DUMMYFUNCTION("""COMPUTED_VALUE"""),"2055-06-06T00:49:17.042Z")</f>
        <v>2055-06-06T00:49:17.042Z</v>
      </c>
      <c r="K405" s="3" t="str">
        <f ca="1">IFERROR(__xludf.DUMMYFUNCTION("""COMPUTED_VALUE"""),"2055-06-06T00:24:36.042Z")</f>
        <v>2055-06-06T00:24:36.042Z</v>
      </c>
      <c r="L405" s="3">
        <f ca="1">IFERROR(__xludf.DUMMYFUNCTION("""COMPUTED_VALUE"""),1)</f>
        <v>1</v>
      </c>
      <c r="M405" s="3">
        <f ca="1">IFERROR(__xludf.DUMMYFUNCTION("""COMPUTED_VALUE"""),0)</f>
        <v>0</v>
      </c>
      <c r="N405" s="3" t="str">
        <f ca="1">IFERROR(__xludf.DUMMYFUNCTION("""COMPUTED_VALUE"""),"2055-06-06T00:15:15.541258Z")</f>
        <v>2055-06-06T00:15:15.541258Z</v>
      </c>
      <c r="O405" s="3" t="str">
        <f ca="1">IFERROR(__xludf.DUMMYFUNCTION("""COMPUTED_VALUE"""),"2055-06-06T00:26:52.938961Z")</f>
        <v>2055-06-06T00:26:52.938961Z</v>
      </c>
      <c r="P405" s="3" t="str">
        <f ca="1">IFERROR(__xludf.DUMMYFUNCTION("""COMPUTED_VALUE"""),"2055-06-06T00:01:59.295937Z")</f>
        <v>2055-06-06T00:01:59.295937Z</v>
      </c>
      <c r="Q405" s="3">
        <f ca="1">IFERROR(__xludf.DUMMYFUNCTION("""COMPUTED_VALUE"""),0)</f>
        <v>0</v>
      </c>
      <c r="R405" s="3" t="str">
        <f ca="1">IFERROR(__xludf.DUMMYFUNCTION("""COMPUTED_VALUE"""),"2055-06-06T00:02:02.988191Z")</f>
        <v>2055-06-06T00:02:02.988191Z</v>
      </c>
      <c r="S405" s="3" t="str">
        <f ca="1">IFERROR(__xludf.DUMMYFUNCTION("""COMPUTED_VALUE"""),"2055-06-06T00:08:42.495517Z")</f>
        <v>2055-06-06T00:08:42.495517Z</v>
      </c>
      <c r="T405" s="3"/>
      <c r="U405" s="4">
        <f ca="1">IFERROR(__xludf.DUMMYFUNCTION("""COMPUTED_VALUE"""),56770)</f>
        <v>56770</v>
      </c>
      <c r="V405" s="3">
        <f ca="1">IFERROR(__xludf.DUMMYFUNCTION("""COMPUTED_VALUE"""),4.5)</f>
        <v>4.5</v>
      </c>
      <c r="W405" s="3">
        <f ca="1">IFERROR(__xludf.DUMMYFUNCTION("""COMPUTED_VALUE"""),3000)</f>
        <v>3000</v>
      </c>
      <c r="X405" s="3">
        <f ca="1">IFERROR(__xludf.DUMMYFUNCTION("""COMPUTED_VALUE"""),1490)</f>
        <v>1490</v>
      </c>
      <c r="Y405" s="3">
        <f ca="1">IFERROR(__xludf.DUMMYFUNCTION("""COMPUTED_VALUE"""),400)</f>
        <v>400</v>
      </c>
      <c r="Z405" s="3">
        <f ca="1">IFERROR(__xludf.DUMMYFUNCTION("""COMPUTED_VALUE"""),393)</f>
        <v>393</v>
      </c>
      <c r="AA405" s="3">
        <f ca="1">IFERROR(__xludf.DUMMYFUNCTION("""COMPUTED_VALUE"""),697)</f>
        <v>697</v>
      </c>
      <c r="AB405" s="3">
        <f ca="1">IFERROR(__xludf.DUMMYFUNCTION("""COMPUTED_VALUE"""),0)</f>
        <v>0</v>
      </c>
      <c r="AC405" s="3">
        <f ca="1">IFERROR(__xludf.DUMMYFUNCTION("""COMPUTED_VALUE"""),2)</f>
        <v>2</v>
      </c>
      <c r="AD405" s="3" t="str">
        <f ca="1">IFERROR(__xludf.DUMMYFUNCTION("""COMPUTED_VALUE"""),"on time")</f>
        <v>on time</v>
      </c>
      <c r="AE405" s="3" t="str">
        <f ca="1">IFERROR(__xludf.DUMMYFUNCTION("""COMPUTED_VALUE"""),"2055-06-05T20:15:15.541258Z")</f>
        <v>2055-06-05T20:15:15.541258Z</v>
      </c>
      <c r="AF405" s="3" t="str">
        <f ca="1">IFERROR(__xludf.DUMMYFUNCTION("""COMPUTED_VALUE"""),"2055-06-05T20:26:52.938961Z")</f>
        <v>2055-06-05T20:26:52.938961Z</v>
      </c>
      <c r="AG405" s="3" t="str">
        <f ca="1">IFERROR(__xludf.DUMMYFUNCTION("""COMPUTED_VALUE"""),"2055-06-05T20:01:59.295937Z")</f>
        <v>2055-06-05T20:01:59.295937Z</v>
      </c>
      <c r="AH405" s="3" t="str">
        <f ca="1">IFERROR(__xludf.DUMMYFUNCTION("""COMPUTED_VALUE"""),"2055-06-05T20:08:42.495517Z")</f>
        <v>2055-06-05T20:08:42.495517Z</v>
      </c>
      <c r="AI405" s="3">
        <f ca="1">IFERROR(__xludf.DUMMYFUNCTION("""COMPUTED_VALUE"""),4.03)</f>
        <v>4.03</v>
      </c>
      <c r="AJ405" s="3">
        <f ca="1">IFERROR(__xludf.DUMMYFUNCTION("""COMPUTED_VALUE"""),505)</f>
        <v>505</v>
      </c>
      <c r="AK405" s="3">
        <f ca="1">IFERROR(__xludf.DUMMYFUNCTION("""COMPUTED_VALUE"""),1721)</f>
        <v>1721</v>
      </c>
      <c r="AL405" s="3">
        <f ca="1">IFERROR(__xludf.DUMMYFUNCTION("""COMPUTED_VALUE"""),457)</f>
        <v>457</v>
      </c>
    </row>
    <row r="406" spans="1:38" ht="13">
      <c r="A406" s="3">
        <f ca="1">IFERROR(__xludf.DUMMYFUNCTION("""COMPUTED_VALUE"""),852)</f>
        <v>852</v>
      </c>
      <c r="B406" s="3"/>
      <c r="C406" s="3">
        <f ca="1">IFERROR(__xludf.DUMMYFUNCTION("""COMPUTED_VALUE"""),4050)</f>
        <v>4050</v>
      </c>
      <c r="D406" s="3" t="str">
        <f ca="1">IFERROR(__xludf.DUMMYFUNCTION("""COMPUTED_VALUE"""),"Doorlanta")</f>
        <v>Doorlanta</v>
      </c>
      <c r="E406" s="3" t="str">
        <f ca="1">IFERROR(__xludf.DUMMYFUNCTION("""COMPUTED_VALUE"""),"Galaxy A")</f>
        <v>Galaxy A</v>
      </c>
      <c r="F406" s="3" t="str">
        <f ca="1">IFERROR(__xludf.DUMMYFUNCTION("""COMPUTED_VALUE"""),"Hanna")</f>
        <v>Hanna</v>
      </c>
      <c r="G406" s="3">
        <f ca="1">IFERROR(__xludf.DUMMYFUNCTION("""COMPUTED_VALUE"""),0)</f>
        <v>0</v>
      </c>
      <c r="H406" s="3" t="str">
        <f ca="1">IFERROR(__xludf.DUMMYFUNCTION("""COMPUTED_VALUE"""),"car")</f>
        <v>car</v>
      </c>
      <c r="I406" s="3" t="str">
        <f ca="1">IFERROR(__xludf.DUMMYFUNCTION("""COMPUTED_VALUE"""),"2055-06-07T17:19:53.299056Z")</f>
        <v>2055-06-07T17:19:53.299056Z</v>
      </c>
      <c r="J406" s="3" t="str">
        <f ca="1">IFERROR(__xludf.DUMMYFUNCTION("""COMPUTED_VALUE"""),"2055-06-07T18:25:58.375Z")</f>
        <v>2055-06-07T18:25:58.375Z</v>
      </c>
      <c r="K406" s="3" t="str">
        <f ca="1">IFERROR(__xludf.DUMMYFUNCTION("""COMPUTED_VALUE"""),"2055-06-07T18:10:19.375Z")</f>
        <v>2055-06-07T18:10:19.375Z</v>
      </c>
      <c r="L406" s="3">
        <f ca="1">IFERROR(__xludf.DUMMYFUNCTION("""COMPUTED_VALUE"""),1)</f>
        <v>1</v>
      </c>
      <c r="M406" s="3">
        <f ca="1">IFERROR(__xludf.DUMMYFUNCTION("""COMPUTED_VALUE"""),0)</f>
        <v>0</v>
      </c>
      <c r="N406" s="3" t="str">
        <f ca="1">IFERROR(__xludf.DUMMYFUNCTION("""COMPUTED_VALUE"""),"2055-06-07T17:58:34.169857Z")</f>
        <v>2055-06-07T17:58:34.169857Z</v>
      </c>
      <c r="O406" s="3" t="str">
        <f ca="1">IFERROR(__xludf.DUMMYFUNCTION("""COMPUTED_VALUE"""),"2055-06-07T18:11:38.296783Z")</f>
        <v>2055-06-07T18:11:38.296783Z</v>
      </c>
      <c r="P406" s="3" t="str">
        <f ca="1">IFERROR(__xludf.DUMMYFUNCTION("""COMPUTED_VALUE"""),"2055-06-07T17:31:47.339686Z")</f>
        <v>2055-06-07T17:31:47.339686Z</v>
      </c>
      <c r="Q406" s="3">
        <f ca="1">IFERROR(__xludf.DUMMYFUNCTION("""COMPUTED_VALUE"""),0)</f>
        <v>0</v>
      </c>
      <c r="R406" s="3" t="str">
        <f ca="1">IFERROR(__xludf.DUMMYFUNCTION("""COMPUTED_VALUE"""),"2055-06-07T17:31:54.039767Z")</f>
        <v>2055-06-07T17:31:54.039767Z</v>
      </c>
      <c r="S406" s="3" t="str">
        <f ca="1">IFERROR(__xludf.DUMMYFUNCTION("""COMPUTED_VALUE"""),"2055-06-07T17:43:21.347554Z")</f>
        <v>2055-06-07T17:43:21.347554Z</v>
      </c>
      <c r="T406" s="3"/>
      <c r="U406" s="4">
        <f ca="1">IFERROR(__xludf.DUMMYFUNCTION("""COMPUTED_VALUE"""),56772)</f>
        <v>56772</v>
      </c>
      <c r="V406" s="3">
        <f ca="1">IFERROR(__xludf.DUMMYFUNCTION("""COMPUTED_VALUE"""),4.9)</f>
        <v>4.9000000000000004</v>
      </c>
      <c r="W406" s="3">
        <f ca="1">IFERROR(__xludf.DUMMYFUNCTION("""COMPUTED_VALUE"""),3000)</f>
        <v>3000</v>
      </c>
      <c r="X406" s="3">
        <f ca="1">IFERROR(__xludf.DUMMYFUNCTION("""COMPUTED_VALUE"""),2384)</f>
        <v>2384</v>
      </c>
      <c r="Y406" s="3">
        <f ca="1">IFERROR(__xludf.DUMMYFUNCTION("""COMPUTED_VALUE"""),687)</f>
        <v>687</v>
      </c>
      <c r="Z406" s="3">
        <f ca="1">IFERROR(__xludf.DUMMYFUNCTION("""COMPUTED_VALUE"""),913)</f>
        <v>913</v>
      </c>
      <c r="AA406" s="3">
        <f ca="1">IFERROR(__xludf.DUMMYFUNCTION("""COMPUTED_VALUE"""),784)</f>
        <v>784</v>
      </c>
      <c r="AB406" s="3">
        <f ca="1">IFERROR(__xludf.DUMMYFUNCTION("""COMPUTED_VALUE"""),0)</f>
        <v>0</v>
      </c>
      <c r="AC406" s="3">
        <f ca="1">IFERROR(__xludf.DUMMYFUNCTION("""COMPUTED_VALUE"""),3)</f>
        <v>3</v>
      </c>
      <c r="AD406" s="3" t="str">
        <f ca="1">IFERROR(__xludf.DUMMYFUNCTION("""COMPUTED_VALUE"""),"early")</f>
        <v>early</v>
      </c>
      <c r="AE406" s="3" t="str">
        <f ca="1">IFERROR(__xludf.DUMMYFUNCTION("""COMPUTED_VALUE"""),"2055-06-07T13:58:34.169857Z")</f>
        <v>2055-06-07T13:58:34.169857Z</v>
      </c>
      <c r="AF406" s="3" t="str">
        <f ca="1">IFERROR(__xludf.DUMMYFUNCTION("""COMPUTED_VALUE"""),"2055-06-07T14:11:38.296783Z")</f>
        <v>2055-06-07T14:11:38.296783Z</v>
      </c>
      <c r="AG406" s="3" t="str">
        <f ca="1">IFERROR(__xludf.DUMMYFUNCTION("""COMPUTED_VALUE"""),"2055-06-07T13:31:47.339686Z")</f>
        <v>2055-06-07T13:31:47.339686Z</v>
      </c>
      <c r="AH406" s="3" t="str">
        <f ca="1">IFERROR(__xludf.DUMMYFUNCTION("""COMPUTED_VALUE"""),"2055-06-07T13:43:21.347554Z")</f>
        <v>2055-06-07T13:43:21.347554Z</v>
      </c>
      <c r="AI406" s="3">
        <f ca="1">IFERROR(__xludf.DUMMYFUNCTION("""COMPUTED_VALUE"""),4.79)</f>
        <v>4.79</v>
      </c>
      <c r="AJ406" s="3">
        <f ca="1">IFERROR(__xludf.DUMMYFUNCTION("""COMPUTED_VALUE"""),1007)</f>
        <v>1007</v>
      </c>
      <c r="AK406" s="3">
        <f ca="1">IFERROR(__xludf.DUMMYFUNCTION("""COMPUTED_VALUE"""),2899)</f>
        <v>2899</v>
      </c>
      <c r="AL406" s="3">
        <f ca="1">IFERROR(__xludf.DUMMYFUNCTION("""COMPUTED_VALUE"""),1301)</f>
        <v>1301</v>
      </c>
    </row>
    <row r="407" spans="1:38" ht="13">
      <c r="A407" s="3">
        <f ca="1">IFERROR(__xludf.DUMMYFUNCTION("""COMPUTED_VALUE"""),430)</f>
        <v>430</v>
      </c>
      <c r="B407" s="3"/>
      <c r="C407" s="3">
        <f ca="1">IFERROR(__xludf.DUMMYFUNCTION("""COMPUTED_VALUE"""),4050)</f>
        <v>4050</v>
      </c>
      <c r="D407" s="3" t="str">
        <f ca="1">IFERROR(__xludf.DUMMYFUNCTION("""COMPUTED_VALUE"""),"Doorlanta")</f>
        <v>Doorlanta</v>
      </c>
      <c r="E407" s="3" t="str">
        <f ca="1">IFERROR(__xludf.DUMMYFUNCTION("""COMPUTED_VALUE"""),"Galaxy A")</f>
        <v>Galaxy A</v>
      </c>
      <c r="F407" s="3" t="str">
        <f ca="1">IFERROR(__xludf.DUMMYFUNCTION("""COMPUTED_VALUE"""),"Katelynn")</f>
        <v>Katelynn</v>
      </c>
      <c r="G407" s="3">
        <f ca="1">IFERROR(__xludf.DUMMYFUNCTION("""COMPUTED_VALUE"""),0)</f>
        <v>0</v>
      </c>
      <c r="H407" s="3" t="str">
        <f ca="1">IFERROR(__xludf.DUMMYFUNCTION("""COMPUTED_VALUE"""),"car")</f>
        <v>car</v>
      </c>
      <c r="I407" s="3" t="str">
        <f ca="1">IFERROR(__xludf.DUMMYFUNCTION("""COMPUTED_VALUE"""),"2055-06-04T19:09:43.348795Z")</f>
        <v>2055-06-04T19:09:43.348795Z</v>
      </c>
      <c r="J407" s="3" t="str">
        <f ca="1">IFERROR(__xludf.DUMMYFUNCTION("""COMPUTED_VALUE"""),"2055-06-04T20:08:24.503Z")</f>
        <v>2055-06-04T20:08:24.503Z</v>
      </c>
      <c r="K407" s="3" t="str">
        <f ca="1">IFERROR(__xludf.DUMMYFUNCTION("""COMPUTED_VALUE"""),"2055-06-04T19:53:43.503Z")</f>
        <v>2055-06-04T19:53:43.503Z</v>
      </c>
      <c r="L407" s="3">
        <f ca="1">IFERROR(__xludf.DUMMYFUNCTION("""COMPUTED_VALUE"""),1)</f>
        <v>1</v>
      </c>
      <c r="M407" s="3">
        <f ca="1">IFERROR(__xludf.DUMMYFUNCTION("""COMPUTED_VALUE"""),0)</f>
        <v>0</v>
      </c>
      <c r="N407" s="3" t="str">
        <f ca="1">IFERROR(__xludf.DUMMYFUNCTION("""COMPUTED_VALUE"""),"2055-06-04T19:37:02.464323Z")</f>
        <v>2055-06-04T19:37:02.464323Z</v>
      </c>
      <c r="O407" s="3" t="str">
        <f ca="1">IFERROR(__xludf.DUMMYFUNCTION("""COMPUTED_VALUE"""),"2055-06-04T19:45:36.499649Z")</f>
        <v>2055-06-04T19:45:36.499649Z</v>
      </c>
      <c r="P407" s="3" t="str">
        <f ca="1">IFERROR(__xludf.DUMMYFUNCTION("""COMPUTED_VALUE"""),"2055-06-04T19:14:07.280673Z")</f>
        <v>2055-06-04T19:14:07.280673Z</v>
      </c>
      <c r="Q407" s="3">
        <f ca="1">IFERROR(__xludf.DUMMYFUNCTION("""COMPUTED_VALUE"""),0)</f>
        <v>0</v>
      </c>
      <c r="R407" s="3" t="str">
        <f ca="1">IFERROR(__xludf.DUMMYFUNCTION("""COMPUTED_VALUE"""),"2055-06-04T19:14:53.377018Z")</f>
        <v>2055-06-04T19:14:53.377018Z</v>
      </c>
      <c r="S407" s="3"/>
      <c r="T407" s="3"/>
      <c r="U407" s="4">
        <f ca="1">IFERROR(__xludf.DUMMYFUNCTION("""COMPUTED_VALUE"""),56769)</f>
        <v>56769</v>
      </c>
      <c r="V407" s="3">
        <f ca="1">IFERROR(__xludf.DUMMYFUNCTION("""COMPUTED_VALUE"""),4.6)</f>
        <v>4.5999999999999996</v>
      </c>
      <c r="W407" s="3">
        <f ca="1">IFERROR(__xludf.DUMMYFUNCTION("""COMPUTED_VALUE"""),3000)</f>
        <v>3000</v>
      </c>
      <c r="X407" s="3">
        <f ca="1">IFERROR(__xludf.DUMMYFUNCTION("""COMPUTED_VALUE"""),1843)</f>
        <v>1843</v>
      </c>
      <c r="Y407" s="3"/>
      <c r="Z407" s="3"/>
      <c r="AA407" s="3">
        <f ca="1">IFERROR(__xludf.DUMMYFUNCTION("""COMPUTED_VALUE"""),514)</f>
        <v>514</v>
      </c>
      <c r="AB407" s="3">
        <f ca="1">IFERROR(__xludf.DUMMYFUNCTION("""COMPUTED_VALUE"""),0)</f>
        <v>0</v>
      </c>
      <c r="AC407" s="3">
        <f ca="1">IFERROR(__xludf.DUMMYFUNCTION("""COMPUTED_VALUE"""),3)</f>
        <v>3</v>
      </c>
      <c r="AD407" s="3"/>
      <c r="AE407" s="3" t="str">
        <f ca="1">IFERROR(__xludf.DUMMYFUNCTION("""COMPUTED_VALUE"""),"2055-06-04T15:37:02.464323Z")</f>
        <v>2055-06-04T15:37:02.464323Z</v>
      </c>
      <c r="AF407" s="3" t="str">
        <f ca="1">IFERROR(__xludf.DUMMYFUNCTION("""COMPUTED_VALUE"""),"2055-06-04T15:45:36.499649Z")</f>
        <v>2055-06-04T15:45:36.499649Z</v>
      </c>
      <c r="AG407" s="3" t="str">
        <f ca="1">IFERROR(__xludf.DUMMYFUNCTION("""COMPUTED_VALUE"""),"2055-06-04T15:14:07.280673Z")</f>
        <v>2055-06-04T15:14:07.280673Z</v>
      </c>
      <c r="AH407" s="3"/>
      <c r="AI407" s="3">
        <f ca="1">IFERROR(__xludf.DUMMYFUNCTION("""COMPUTED_VALUE"""),4.7)</f>
        <v>4.7</v>
      </c>
      <c r="AJ407" s="3">
        <f ca="1">IFERROR(__xludf.DUMMYFUNCTION("""COMPUTED_VALUE"""),1261)</f>
        <v>1261</v>
      </c>
      <c r="AK407" s="3">
        <f ca="1">IFERROR(__xludf.DUMMYFUNCTION("""COMPUTED_VALUE"""),3264)</f>
        <v>3264</v>
      </c>
      <c r="AL407" s="3">
        <f ca="1">IFERROR(__xludf.DUMMYFUNCTION("""COMPUTED_VALUE"""),232)</f>
        <v>232</v>
      </c>
    </row>
    <row r="408" spans="1:38" ht="13">
      <c r="A408" s="3">
        <f ca="1">IFERROR(__xludf.DUMMYFUNCTION("""COMPUTED_VALUE"""),813)</f>
        <v>813</v>
      </c>
      <c r="B408" s="3"/>
      <c r="C408" s="3">
        <f ca="1">IFERROR(__xludf.DUMMYFUNCTION("""COMPUTED_VALUE"""),4001)</f>
        <v>4001</v>
      </c>
      <c r="D408" s="3" t="str">
        <f ca="1">IFERROR(__xludf.DUMMYFUNCTION("""COMPUTED_VALUE"""),"Dashattan")</f>
        <v>Dashattan</v>
      </c>
      <c r="E408" s="3" t="str">
        <f ca="1">IFERROR(__xludf.DUMMYFUNCTION("""COMPUTED_VALUE"""),"Galaxy A")</f>
        <v>Galaxy A</v>
      </c>
      <c r="F408" s="3" t="str">
        <f ca="1">IFERROR(__xludf.DUMMYFUNCTION("""COMPUTED_VALUE"""),"Arya")</f>
        <v>Arya</v>
      </c>
      <c r="G408" s="3">
        <f ca="1">IFERROR(__xludf.DUMMYFUNCTION("""COMPUTED_VALUE"""),0)</f>
        <v>0</v>
      </c>
      <c r="H408" s="3" t="str">
        <f ca="1">IFERROR(__xludf.DUMMYFUNCTION("""COMPUTED_VALUE"""),"bicycle")</f>
        <v>bicycle</v>
      </c>
      <c r="I408" s="3" t="str">
        <f ca="1">IFERROR(__xludf.DUMMYFUNCTION("""COMPUTED_VALUE"""),"2055-06-07T01:02:00.125811Z")</f>
        <v>2055-06-07T01:02:00.125811Z</v>
      </c>
      <c r="J408" s="3" t="str">
        <f ca="1">IFERROR(__xludf.DUMMYFUNCTION("""COMPUTED_VALUE"""),"2055-06-07T01:48:38.179Z")</f>
        <v>2055-06-07T01:48:38.179Z</v>
      </c>
      <c r="K408" s="3" t="str">
        <f ca="1">IFERROR(__xludf.DUMMYFUNCTION("""COMPUTED_VALUE"""),"2055-06-07T01:40:20.179Z")</f>
        <v>2055-06-07T01:40:20.179Z</v>
      </c>
      <c r="L408" s="3">
        <f ca="1">IFERROR(__xludf.DUMMYFUNCTION("""COMPUTED_VALUE"""),1)</f>
        <v>1</v>
      </c>
      <c r="M408" s="3">
        <f ca="1">IFERROR(__xludf.DUMMYFUNCTION("""COMPUTED_VALUE"""),0)</f>
        <v>0</v>
      </c>
      <c r="N408" s="3" t="str">
        <f ca="1">IFERROR(__xludf.DUMMYFUNCTION("""COMPUTED_VALUE"""),"2055-06-07T01:26:13.95435Z")</f>
        <v>2055-06-07T01:26:13.95435Z</v>
      </c>
      <c r="O408" s="3" t="str">
        <f ca="1">IFERROR(__xludf.DUMMYFUNCTION("""COMPUTED_VALUE"""),"2055-06-07T01:38:16.92653Z")</f>
        <v>2055-06-07T01:38:16.92653Z</v>
      </c>
      <c r="P408" s="3" t="str">
        <f ca="1">IFERROR(__xludf.DUMMYFUNCTION("""COMPUTED_VALUE"""),"2055-06-07T01:06:14.243956Z")</f>
        <v>2055-06-07T01:06:14.243956Z</v>
      </c>
      <c r="Q408" s="3">
        <f ca="1">IFERROR(__xludf.DUMMYFUNCTION("""COMPUTED_VALUE"""),0)</f>
        <v>0</v>
      </c>
      <c r="R408" s="3" t="str">
        <f ca="1">IFERROR(__xludf.DUMMYFUNCTION("""COMPUTED_VALUE"""),"2055-06-07T01:06:18.158629Z")</f>
        <v>2055-06-07T01:06:18.158629Z</v>
      </c>
      <c r="S408" s="3" t="str">
        <f ca="1">IFERROR(__xludf.DUMMYFUNCTION("""COMPUTED_VALUE"""),"2055-06-07T01:14:09.445759Z")</f>
        <v>2055-06-07T01:14:09.445759Z</v>
      </c>
      <c r="T408" s="3"/>
      <c r="U408" s="4">
        <f ca="1">IFERROR(__xludf.DUMMYFUNCTION("""COMPUTED_VALUE"""),56771)</f>
        <v>56771</v>
      </c>
      <c r="V408" s="3">
        <f ca="1">IFERROR(__xludf.DUMMYFUNCTION("""COMPUTED_VALUE"""),4.5)</f>
        <v>4.5</v>
      </c>
      <c r="W408" s="3">
        <f ca="1">IFERROR(__xludf.DUMMYFUNCTION("""COMPUTED_VALUE"""),3000)</f>
        <v>3000</v>
      </c>
      <c r="X408" s="3">
        <f ca="1">IFERROR(__xludf.DUMMYFUNCTION("""COMPUTED_VALUE"""),1918)</f>
        <v>1918</v>
      </c>
      <c r="Y408" s="3">
        <f ca="1">IFERROR(__xludf.DUMMYFUNCTION("""COMPUTED_VALUE"""),471)</f>
        <v>471</v>
      </c>
      <c r="Z408" s="3">
        <f ca="1">IFERROR(__xludf.DUMMYFUNCTION("""COMPUTED_VALUE"""),724)</f>
        <v>724</v>
      </c>
      <c r="AA408" s="3">
        <f ca="1">IFERROR(__xludf.DUMMYFUNCTION("""COMPUTED_VALUE"""),723)</f>
        <v>723</v>
      </c>
      <c r="AB408" s="3">
        <f ca="1">IFERROR(__xludf.DUMMYFUNCTION("""COMPUTED_VALUE"""),0)</f>
        <v>0</v>
      </c>
      <c r="AC408" s="3">
        <f ca="1">IFERROR(__xludf.DUMMYFUNCTION("""COMPUTED_VALUE"""),2)</f>
        <v>2</v>
      </c>
      <c r="AD408" s="3" t="str">
        <f ca="1">IFERROR(__xludf.DUMMYFUNCTION("""COMPUTED_VALUE"""),"on time")</f>
        <v>on time</v>
      </c>
      <c r="AE408" s="3" t="str">
        <f ca="1">IFERROR(__xludf.DUMMYFUNCTION("""COMPUTED_VALUE"""),"2055-06-06T21:26:13.95435Z")</f>
        <v>2055-06-06T21:26:13.95435Z</v>
      </c>
      <c r="AF408" s="3" t="str">
        <f ca="1">IFERROR(__xludf.DUMMYFUNCTION("""COMPUTED_VALUE"""),"2055-06-06T21:38:16.92653Z")</f>
        <v>2055-06-06T21:38:16.92653Z</v>
      </c>
      <c r="AG408" s="3" t="str">
        <f ca="1">IFERROR(__xludf.DUMMYFUNCTION("""COMPUTED_VALUE"""),"2055-06-06T21:06:14.243956Z")</f>
        <v>2055-06-06T21:06:14.243956Z</v>
      </c>
      <c r="AH408" s="3" t="str">
        <f ca="1">IFERROR(__xludf.DUMMYFUNCTION("""COMPUTED_VALUE"""),"2055-06-06T21:14:09.445759Z")</f>
        <v>2055-06-06T21:14:09.445759Z</v>
      </c>
      <c r="AI408" s="3">
        <f ca="1">IFERROR(__xludf.DUMMYFUNCTION("""COMPUTED_VALUE"""),4.17)</f>
        <v>4.17</v>
      </c>
      <c r="AJ408" s="3">
        <f ca="1">IFERROR(__xludf.DUMMYFUNCTION("""COMPUTED_VALUE"""),457)</f>
        <v>457</v>
      </c>
      <c r="AK408" s="3">
        <f ca="1">IFERROR(__xludf.DUMMYFUNCTION("""COMPUTED_VALUE"""),1599)</f>
        <v>1599</v>
      </c>
      <c r="AL408" s="3"/>
    </row>
    <row r="409" spans="1:38" ht="13">
      <c r="A409" s="3">
        <f ca="1">IFERROR(__xludf.DUMMYFUNCTION("""COMPUTED_VALUE"""),466)</f>
        <v>466</v>
      </c>
      <c r="B409" s="3"/>
      <c r="C409" s="3">
        <f ca="1">IFERROR(__xludf.DUMMYFUNCTION("""COMPUTED_VALUE"""),4050)</f>
        <v>4050</v>
      </c>
      <c r="D409" s="3" t="str">
        <f ca="1">IFERROR(__xludf.DUMMYFUNCTION("""COMPUTED_VALUE"""),"Doorlanta")</f>
        <v>Doorlanta</v>
      </c>
      <c r="E409" s="3" t="str">
        <f ca="1">IFERROR(__xludf.DUMMYFUNCTION("""COMPUTED_VALUE"""),"Galaxy A")</f>
        <v>Galaxy A</v>
      </c>
      <c r="F409" s="3" t="str">
        <f ca="1">IFERROR(__xludf.DUMMYFUNCTION("""COMPUTED_VALUE"""),"Abhai")</f>
        <v>Abhai</v>
      </c>
      <c r="G409" s="3">
        <f ca="1">IFERROR(__xludf.DUMMYFUNCTION("""COMPUTED_VALUE"""),0)</f>
        <v>0</v>
      </c>
      <c r="H409" s="3" t="str">
        <f ca="1">IFERROR(__xludf.DUMMYFUNCTION("""COMPUTED_VALUE"""),"car")</f>
        <v>car</v>
      </c>
      <c r="I409" s="3" t="str">
        <f ca="1">IFERROR(__xludf.DUMMYFUNCTION("""COMPUTED_VALUE"""),"2055-06-04T22:32:18.908876Z")</f>
        <v>2055-06-04T22:32:18.908876Z</v>
      </c>
      <c r="J409" s="3" t="str">
        <f ca="1">IFERROR(__xludf.DUMMYFUNCTION("""COMPUTED_VALUE"""),"2055-06-04T23:28:09.993Z")</f>
        <v>2055-06-04T23:28:09.993Z</v>
      </c>
      <c r="K409" s="3" t="str">
        <f ca="1">IFERROR(__xludf.DUMMYFUNCTION("""COMPUTED_VALUE"""),"2055-06-04T23:11:15.993Z")</f>
        <v>2055-06-04T23:11:15.993Z</v>
      </c>
      <c r="L409" s="3">
        <f ca="1">IFERROR(__xludf.DUMMYFUNCTION("""COMPUTED_VALUE"""),1)</f>
        <v>1</v>
      </c>
      <c r="M409" s="3">
        <f ca="1">IFERROR(__xludf.DUMMYFUNCTION("""COMPUTED_VALUE"""),0)</f>
        <v>0</v>
      </c>
      <c r="N409" s="3" t="str">
        <f ca="1">IFERROR(__xludf.DUMMYFUNCTION("""COMPUTED_VALUE"""),"2055-06-04T22:53:05.632818Z")</f>
        <v>2055-06-04T22:53:05.632818Z</v>
      </c>
      <c r="O409" s="3" t="str">
        <f ca="1">IFERROR(__xludf.DUMMYFUNCTION("""COMPUTED_VALUE"""),"2055-06-04T23:00:22.680882Z")</f>
        <v>2055-06-04T23:00:22.680882Z</v>
      </c>
      <c r="P409" s="3" t="str">
        <f ca="1">IFERROR(__xludf.DUMMYFUNCTION("""COMPUTED_VALUE"""),"2055-06-04T22:39:07.487026Z")</f>
        <v>2055-06-04T22:39:07.487026Z</v>
      </c>
      <c r="Q409" s="3">
        <f ca="1">IFERROR(__xludf.DUMMYFUNCTION("""COMPUTED_VALUE"""),0)</f>
        <v>0</v>
      </c>
      <c r="R409" s="3" t="str">
        <f ca="1">IFERROR(__xludf.DUMMYFUNCTION("""COMPUTED_VALUE"""),"2055-06-04T22:39:12.817922Z")</f>
        <v>2055-06-04T22:39:12.817922Z</v>
      </c>
      <c r="S409" s="3" t="str">
        <f ca="1">IFERROR(__xludf.DUMMYFUNCTION("""COMPUTED_VALUE"""),"2055-06-04T22:47:27.921243Z")</f>
        <v>2055-06-04T22:47:27.921243Z</v>
      </c>
      <c r="T409" s="3"/>
      <c r="U409" s="4">
        <f ca="1">IFERROR(__xludf.DUMMYFUNCTION("""COMPUTED_VALUE"""),56769)</f>
        <v>56769</v>
      </c>
      <c r="V409" s="3">
        <f ca="1">IFERROR(__xludf.DUMMYFUNCTION("""COMPUTED_VALUE"""),3.501498169)</f>
        <v>3.501498169</v>
      </c>
      <c r="W409" s="3">
        <f ca="1">IFERROR(__xludf.DUMMYFUNCTION("""COMPUTED_VALUE"""),3000)</f>
        <v>3000</v>
      </c>
      <c r="X409" s="3">
        <f ca="1">IFERROR(__xludf.DUMMYFUNCTION("""COMPUTED_VALUE"""),1270)</f>
        <v>1270</v>
      </c>
      <c r="Y409" s="3">
        <f ca="1">IFERROR(__xludf.DUMMYFUNCTION("""COMPUTED_VALUE"""),495)</f>
        <v>495</v>
      </c>
      <c r="Z409" s="3">
        <f ca="1">IFERROR(__xludf.DUMMYFUNCTION("""COMPUTED_VALUE"""),338)</f>
        <v>338</v>
      </c>
      <c r="AA409" s="3">
        <f ca="1">IFERROR(__xludf.DUMMYFUNCTION("""COMPUTED_VALUE"""),437)</f>
        <v>437</v>
      </c>
      <c r="AB409" s="3">
        <f ca="1">IFERROR(__xludf.DUMMYFUNCTION("""COMPUTED_VALUE"""),0)</f>
        <v>0</v>
      </c>
      <c r="AC409" s="3">
        <f ca="1">IFERROR(__xludf.DUMMYFUNCTION("""COMPUTED_VALUE"""),5)</f>
        <v>5</v>
      </c>
      <c r="AD409" s="3" t="str">
        <f ca="1">IFERROR(__xludf.DUMMYFUNCTION("""COMPUTED_VALUE"""),"on time")</f>
        <v>on time</v>
      </c>
      <c r="AE409" s="3" t="str">
        <f ca="1">IFERROR(__xludf.DUMMYFUNCTION("""COMPUTED_VALUE"""),"2055-06-04T18:53:05.632818Z")</f>
        <v>2055-06-04T18:53:05.632818Z</v>
      </c>
      <c r="AF409" s="3" t="str">
        <f ca="1">IFERROR(__xludf.DUMMYFUNCTION("""COMPUTED_VALUE"""),"2055-06-04T19:00:22.680882Z")</f>
        <v>2055-06-04T19:00:22.680882Z</v>
      </c>
      <c r="AG409" s="3" t="str">
        <f ca="1">IFERROR(__xludf.DUMMYFUNCTION("""COMPUTED_VALUE"""),"2055-06-04T18:39:07.487026Z")</f>
        <v>2055-06-04T18:39:07.487026Z</v>
      </c>
      <c r="AH409" s="3" t="str">
        <f ca="1">IFERROR(__xludf.DUMMYFUNCTION("""COMPUTED_VALUE"""),"2055-06-04T18:47:27.921243Z")</f>
        <v>2055-06-04T18:47:27.921243Z</v>
      </c>
      <c r="AI409" s="3">
        <f ca="1">IFERROR(__xludf.DUMMYFUNCTION("""COMPUTED_VALUE"""),4.56)</f>
        <v>4.5599999999999996</v>
      </c>
      <c r="AJ409" s="3">
        <f ca="1">IFERROR(__xludf.DUMMYFUNCTION("""COMPUTED_VALUE"""),344)</f>
        <v>344</v>
      </c>
      <c r="AK409" s="3">
        <f ca="1">IFERROR(__xludf.DUMMYFUNCTION("""COMPUTED_VALUE"""),947)</f>
        <v>947</v>
      </c>
      <c r="AL409" s="3">
        <f ca="1">IFERROR(__xludf.DUMMYFUNCTION("""COMPUTED_VALUE"""),22)</f>
        <v>22</v>
      </c>
    </row>
    <row r="410" spans="1:38" ht="13">
      <c r="A410" s="3">
        <f ca="1">IFERROR(__xludf.DUMMYFUNCTION("""COMPUTED_VALUE"""),138)</f>
        <v>138</v>
      </c>
      <c r="B410" s="3">
        <f ca="1">IFERROR(__xludf.DUMMYFUNCTION("""COMPUTED_VALUE"""),5)</f>
        <v>5</v>
      </c>
      <c r="C410" s="3">
        <f ca="1">IFERROR(__xludf.DUMMYFUNCTION("""COMPUTED_VALUE"""),4050)</f>
        <v>4050</v>
      </c>
      <c r="D410" s="3" t="str">
        <f ca="1">IFERROR(__xludf.DUMMYFUNCTION("""COMPUTED_VALUE"""),"Doorlanta")</f>
        <v>Doorlanta</v>
      </c>
      <c r="E410" s="3" t="str">
        <f ca="1">IFERROR(__xludf.DUMMYFUNCTION("""COMPUTED_VALUE"""),"Galaxy A")</f>
        <v>Galaxy A</v>
      </c>
      <c r="F410" s="3" t="str">
        <f ca="1">IFERROR(__xludf.DUMMYFUNCTION("""COMPUTED_VALUE"""),"Elon")</f>
        <v>Elon</v>
      </c>
      <c r="G410" s="3">
        <f ca="1">IFERROR(__xludf.DUMMYFUNCTION("""COMPUTED_VALUE"""),0)</f>
        <v>0</v>
      </c>
      <c r="H410" s="3" t="str">
        <f ca="1">IFERROR(__xludf.DUMMYFUNCTION("""COMPUTED_VALUE"""),"car")</f>
        <v>car</v>
      </c>
      <c r="I410" s="3" t="str">
        <f ca="1">IFERROR(__xludf.DUMMYFUNCTION("""COMPUTED_VALUE"""),"2055-06-02T16:22:34.207501Z")</f>
        <v>2055-06-02T16:22:34.207501Z</v>
      </c>
      <c r="J410" s="3" t="str">
        <f ca="1">IFERROR(__xludf.DUMMYFUNCTION("""COMPUTED_VALUE"""),"2055-06-02T17:26:48.28Z")</f>
        <v>2055-06-02T17:26:48.28Z</v>
      </c>
      <c r="K410" s="3" t="str">
        <f ca="1">IFERROR(__xludf.DUMMYFUNCTION("""COMPUTED_VALUE"""),"2055-06-02T17:07:55.28Z")</f>
        <v>2055-06-02T17:07:55.28Z</v>
      </c>
      <c r="L410" s="3">
        <f ca="1">IFERROR(__xludf.DUMMYFUNCTION("""COMPUTED_VALUE"""),1)</f>
        <v>1</v>
      </c>
      <c r="M410" s="3">
        <f ca="1">IFERROR(__xludf.DUMMYFUNCTION("""COMPUTED_VALUE"""),0)</f>
        <v>0</v>
      </c>
      <c r="N410" s="3" t="str">
        <f ca="1">IFERROR(__xludf.DUMMYFUNCTION("""COMPUTED_VALUE"""),"2055-06-02T16:42:38.007065Z")</f>
        <v>2055-06-02T16:42:38.007065Z</v>
      </c>
      <c r="O410" s="3" t="str">
        <f ca="1">IFERROR(__xludf.DUMMYFUNCTION("""COMPUTED_VALUE"""),"2055-06-02T16:54:41.002391Z")</f>
        <v>2055-06-02T16:54:41.002391Z</v>
      </c>
      <c r="P410" s="3" t="str">
        <f ca="1">IFERROR(__xludf.DUMMYFUNCTION("""COMPUTED_VALUE"""),"2055-06-02T16:22:47.256642Z")</f>
        <v>2055-06-02T16:22:47.256642Z</v>
      </c>
      <c r="Q410" s="3">
        <f ca="1">IFERROR(__xludf.DUMMYFUNCTION("""COMPUTED_VALUE"""),0)</f>
        <v>0</v>
      </c>
      <c r="R410" s="3" t="str">
        <f ca="1">IFERROR(__xludf.DUMMYFUNCTION("""COMPUTED_VALUE"""),"2055-06-02T16:23:01.239618Z")</f>
        <v>2055-06-02T16:23:01.239618Z</v>
      </c>
      <c r="S410" s="3" t="str">
        <f ca="1">IFERROR(__xludf.DUMMYFUNCTION("""COMPUTED_VALUE"""),"2055-06-02T16:22:59.561375Z")</f>
        <v>2055-06-02T16:22:59.561375Z</v>
      </c>
      <c r="T410" s="3"/>
      <c r="U410" s="4">
        <f ca="1">IFERROR(__xludf.DUMMYFUNCTION("""COMPUTED_VALUE"""),56767)</f>
        <v>56767</v>
      </c>
      <c r="V410" s="3">
        <f ca="1">IFERROR(__xludf.DUMMYFUNCTION("""COMPUTED_VALUE"""),3.712070713)</f>
        <v>3.7120707130000001</v>
      </c>
      <c r="W410" s="3">
        <f ca="1">IFERROR(__xludf.DUMMYFUNCTION("""COMPUTED_VALUE"""),3000)</f>
        <v>3000</v>
      </c>
      <c r="X410" s="3">
        <f ca="1">IFERROR(__xludf.DUMMYFUNCTION("""COMPUTED_VALUE"""),1900)</f>
        <v>1900</v>
      </c>
      <c r="Y410" s="3"/>
      <c r="Z410" s="3">
        <f ca="1">IFERROR(__xludf.DUMMYFUNCTION("""COMPUTED_VALUE"""),1179)</f>
        <v>1179</v>
      </c>
      <c r="AA410" s="3">
        <f ca="1">IFERROR(__xludf.DUMMYFUNCTION("""COMPUTED_VALUE"""),723)</f>
        <v>723</v>
      </c>
      <c r="AB410" s="3">
        <f ca="1">IFERROR(__xludf.DUMMYFUNCTION("""COMPUTED_VALUE"""),0)</f>
        <v>0</v>
      </c>
      <c r="AC410" s="3">
        <f ca="1">IFERROR(__xludf.DUMMYFUNCTION("""COMPUTED_VALUE"""),3)</f>
        <v>3</v>
      </c>
      <c r="AD410" s="3" t="str">
        <f ca="1">IFERROR(__xludf.DUMMYFUNCTION("""COMPUTED_VALUE"""),"early")</f>
        <v>early</v>
      </c>
      <c r="AE410" s="3" t="str">
        <f ca="1">IFERROR(__xludf.DUMMYFUNCTION("""COMPUTED_VALUE"""),"2055-06-02T12:42:38.007065Z")</f>
        <v>2055-06-02T12:42:38.007065Z</v>
      </c>
      <c r="AF410" s="3" t="str">
        <f ca="1">IFERROR(__xludf.DUMMYFUNCTION("""COMPUTED_VALUE"""),"2055-06-02T12:54:41.002391Z")</f>
        <v>2055-06-02T12:54:41.002391Z</v>
      </c>
      <c r="AG410" s="3" t="str">
        <f ca="1">IFERROR(__xludf.DUMMYFUNCTION("""COMPUTED_VALUE"""),"2055-06-02T12:22:47.256642Z")</f>
        <v>2055-06-02T12:22:47.256642Z</v>
      </c>
      <c r="AH410" s="3" t="str">
        <f ca="1">IFERROR(__xludf.DUMMYFUNCTION("""COMPUTED_VALUE"""),"2055-06-02T12:22:59.561375Z")</f>
        <v>2055-06-02T12:22:59.561375Z</v>
      </c>
      <c r="AI410" s="3">
        <f ca="1">IFERROR(__xludf.DUMMYFUNCTION("""COMPUTED_VALUE"""),4.62)</f>
        <v>4.62</v>
      </c>
      <c r="AJ410" s="3">
        <f ca="1">IFERROR(__xludf.DUMMYFUNCTION("""COMPUTED_VALUE"""),259)</f>
        <v>259</v>
      </c>
      <c r="AK410" s="3">
        <f ca="1">IFERROR(__xludf.DUMMYFUNCTION("""COMPUTED_VALUE"""),604)</f>
        <v>604</v>
      </c>
      <c r="AL410" s="3">
        <f ca="1">IFERROR(__xludf.DUMMYFUNCTION("""COMPUTED_VALUE"""),21)</f>
        <v>21</v>
      </c>
    </row>
    <row r="411" spans="1:38" ht="13">
      <c r="A411" s="3">
        <f ca="1">IFERROR(__xludf.DUMMYFUNCTION("""COMPUTED_VALUE"""),283)</f>
        <v>283</v>
      </c>
      <c r="B411" s="3">
        <f ca="1">IFERROR(__xludf.DUMMYFUNCTION("""COMPUTED_VALUE"""),5)</f>
        <v>5</v>
      </c>
      <c r="C411" s="3">
        <f ca="1">IFERROR(__xludf.DUMMYFUNCTION("""COMPUTED_VALUE"""),4001)</f>
        <v>4001</v>
      </c>
      <c r="D411" s="3" t="str">
        <f ca="1">IFERROR(__xludf.DUMMYFUNCTION("""COMPUTED_VALUE"""),"Dashattan")</f>
        <v>Dashattan</v>
      </c>
      <c r="E411" s="3" t="str">
        <f ca="1">IFERROR(__xludf.DUMMYFUNCTION("""COMPUTED_VALUE"""),"Galaxy A")</f>
        <v>Galaxy A</v>
      </c>
      <c r="F411" s="3" t="str">
        <f ca="1">IFERROR(__xludf.DUMMYFUNCTION("""COMPUTED_VALUE"""),"Bunje")</f>
        <v>Bunje</v>
      </c>
      <c r="G411" s="3">
        <f ca="1">IFERROR(__xludf.DUMMYFUNCTION("""COMPUTED_VALUE"""),0)</f>
        <v>0</v>
      </c>
      <c r="H411" s="3" t="str">
        <f ca="1">IFERROR(__xludf.DUMMYFUNCTION("""COMPUTED_VALUE"""),"bicycle")</f>
        <v>bicycle</v>
      </c>
      <c r="I411" s="3" t="str">
        <f ca="1">IFERROR(__xludf.DUMMYFUNCTION("""COMPUTED_VALUE"""),"2055-06-03T16:17:51.225616Z")</f>
        <v>2055-06-03T16:17:51.225616Z</v>
      </c>
      <c r="J411" s="3" t="str">
        <f ca="1">IFERROR(__xludf.DUMMYFUNCTION("""COMPUTED_VALUE"""),"2055-06-03T17:11:57.298Z")</f>
        <v>2055-06-03T17:11:57.298Z</v>
      </c>
      <c r="K411" s="3" t="str">
        <f ca="1">IFERROR(__xludf.DUMMYFUNCTION("""COMPUTED_VALUE"""),"2055-06-03T17:07:18.298Z")</f>
        <v>2055-06-03T17:07:18.298Z</v>
      </c>
      <c r="L411" s="3">
        <f ca="1">IFERROR(__xludf.DUMMYFUNCTION("""COMPUTED_VALUE"""),1)</f>
        <v>1</v>
      </c>
      <c r="M411" s="3">
        <f ca="1">IFERROR(__xludf.DUMMYFUNCTION("""COMPUTED_VALUE"""),0)</f>
        <v>0</v>
      </c>
      <c r="N411" s="3" t="str">
        <f ca="1">IFERROR(__xludf.DUMMYFUNCTION("""COMPUTED_VALUE"""),"2055-06-03T16:32:44.834844Z")</f>
        <v>2055-06-03T16:32:44.834844Z</v>
      </c>
      <c r="O411" s="3" t="str">
        <f ca="1">IFERROR(__xludf.DUMMYFUNCTION("""COMPUTED_VALUE"""),"2055-06-03T16:43:38.905169Z")</f>
        <v>2055-06-03T16:43:38.905169Z</v>
      </c>
      <c r="P411" s="3" t="str">
        <f ca="1">IFERROR(__xludf.DUMMYFUNCTION("""COMPUTED_VALUE"""),"2055-06-03T16:17:55.837Z")</f>
        <v>2055-06-03T16:17:55.837Z</v>
      </c>
      <c r="Q411" s="3">
        <f ca="1">IFERROR(__xludf.DUMMYFUNCTION("""COMPUTED_VALUE"""),0)</f>
        <v>0</v>
      </c>
      <c r="R411" s="3" t="str">
        <f ca="1">IFERROR(__xludf.DUMMYFUNCTION("""COMPUTED_VALUE"""),"2055-06-03T16:18:04.281268Z")</f>
        <v>2055-06-03T16:18:04.281268Z</v>
      </c>
      <c r="S411" s="3" t="str">
        <f ca="1">IFERROR(__xludf.DUMMYFUNCTION("""COMPUTED_VALUE"""),"2055-06-03T16:26:43.824804Z")</f>
        <v>2055-06-03T16:26:43.824804Z</v>
      </c>
      <c r="T411" s="3"/>
      <c r="U411" s="4">
        <f ca="1">IFERROR(__xludf.DUMMYFUNCTION("""COMPUTED_VALUE"""),56768)</f>
        <v>56768</v>
      </c>
      <c r="V411" s="3">
        <f ca="1">IFERROR(__xludf.DUMMYFUNCTION("""COMPUTED_VALUE"""),4.5)</f>
        <v>4.5</v>
      </c>
      <c r="W411" s="3">
        <f ca="1">IFERROR(__xludf.DUMMYFUNCTION("""COMPUTED_VALUE"""),3000)</f>
        <v>3000</v>
      </c>
      <c r="X411" s="3">
        <f ca="1">IFERROR(__xludf.DUMMYFUNCTION("""COMPUTED_VALUE"""),1534)</f>
        <v>1534</v>
      </c>
      <c r="Y411" s="3">
        <f ca="1">IFERROR(__xludf.DUMMYFUNCTION("""COMPUTED_VALUE"""),519)</f>
        <v>519</v>
      </c>
      <c r="Z411" s="3">
        <f ca="1">IFERROR(__xludf.DUMMYFUNCTION("""COMPUTED_VALUE"""),361)</f>
        <v>361</v>
      </c>
      <c r="AA411" s="3">
        <f ca="1">IFERROR(__xludf.DUMMYFUNCTION("""COMPUTED_VALUE"""),654)</f>
        <v>654</v>
      </c>
      <c r="AB411" s="3">
        <f ca="1">IFERROR(__xludf.DUMMYFUNCTION("""COMPUTED_VALUE"""),0)</f>
        <v>0</v>
      </c>
      <c r="AC411" s="3">
        <f ca="1">IFERROR(__xludf.DUMMYFUNCTION("""COMPUTED_VALUE"""),4)</f>
        <v>4</v>
      </c>
      <c r="AD411" s="3" t="str">
        <f ca="1">IFERROR(__xludf.DUMMYFUNCTION("""COMPUTED_VALUE"""),"early")</f>
        <v>early</v>
      </c>
      <c r="AE411" s="3" t="str">
        <f ca="1">IFERROR(__xludf.DUMMYFUNCTION("""COMPUTED_VALUE"""),"2055-06-03T12:32:44.834844Z")</f>
        <v>2055-06-03T12:32:44.834844Z</v>
      </c>
      <c r="AF411" s="3" t="str">
        <f ca="1">IFERROR(__xludf.DUMMYFUNCTION("""COMPUTED_VALUE"""),"2055-06-03T12:43:38.905169Z")</f>
        <v>2055-06-03T12:43:38.905169Z</v>
      </c>
      <c r="AG411" s="3" t="str">
        <f ca="1">IFERROR(__xludf.DUMMYFUNCTION("""COMPUTED_VALUE"""),"2055-06-03T12:17:55.837Z")</f>
        <v>2055-06-03T12:17:55.837Z</v>
      </c>
      <c r="AH411" s="3" t="str">
        <f ca="1">IFERROR(__xludf.DUMMYFUNCTION("""COMPUTED_VALUE"""),"2055-06-03T12:26:43.824804Z")</f>
        <v>2055-06-03T12:26:43.824804Z</v>
      </c>
      <c r="AI411" s="3">
        <f ca="1">IFERROR(__xludf.DUMMYFUNCTION("""COMPUTED_VALUE"""),4.7)</f>
        <v>4.7</v>
      </c>
      <c r="AJ411" s="3">
        <f ca="1">IFERROR(__xludf.DUMMYFUNCTION("""COMPUTED_VALUE"""),443)</f>
        <v>443</v>
      </c>
      <c r="AK411" s="3">
        <f ca="1">IFERROR(__xludf.DUMMYFUNCTION("""COMPUTED_VALUE"""),1579)</f>
        <v>1579</v>
      </c>
      <c r="AL411" s="3"/>
    </row>
    <row r="412" spans="1:38" ht="13">
      <c r="A412" s="3">
        <f ca="1">IFERROR(__xludf.DUMMYFUNCTION("""COMPUTED_VALUE"""),70)</f>
        <v>70</v>
      </c>
      <c r="B412" s="3">
        <f ca="1">IFERROR(__xludf.DUMMYFUNCTION("""COMPUTED_VALUE"""),5)</f>
        <v>5</v>
      </c>
      <c r="C412" s="3">
        <f ca="1">IFERROR(__xludf.DUMMYFUNCTION("""COMPUTED_VALUE"""),4001)</f>
        <v>4001</v>
      </c>
      <c r="D412" s="3" t="str">
        <f ca="1">IFERROR(__xludf.DUMMYFUNCTION("""COMPUTED_VALUE"""),"Dashattan")</f>
        <v>Dashattan</v>
      </c>
      <c r="E412" s="3" t="str">
        <f ca="1">IFERROR(__xludf.DUMMYFUNCTION("""COMPUTED_VALUE"""),"Galaxy A")</f>
        <v>Galaxy A</v>
      </c>
      <c r="F412" s="3" t="str">
        <f ca="1">IFERROR(__xludf.DUMMYFUNCTION("""COMPUTED_VALUE"""),"Bunje")</f>
        <v>Bunje</v>
      </c>
      <c r="G412" s="3">
        <f ca="1">IFERROR(__xludf.DUMMYFUNCTION("""COMPUTED_VALUE"""),0)</f>
        <v>0</v>
      </c>
      <c r="H412" s="3" t="str">
        <f ca="1">IFERROR(__xludf.DUMMYFUNCTION("""COMPUTED_VALUE"""),"bicycle")</f>
        <v>bicycle</v>
      </c>
      <c r="I412" s="3" t="str">
        <f ca="1">IFERROR(__xludf.DUMMYFUNCTION("""COMPUTED_VALUE"""),"2055-06-01T22:52:18.431599Z")</f>
        <v>2055-06-01T22:52:18.431599Z</v>
      </c>
      <c r="J412" s="3" t="str">
        <f ca="1">IFERROR(__xludf.DUMMYFUNCTION("""COMPUTED_VALUE"""),"2055-06-01T23:31:39.494Z")</f>
        <v>2055-06-01T23:31:39.494Z</v>
      </c>
      <c r="K412" s="3" t="str">
        <f ca="1">IFERROR(__xludf.DUMMYFUNCTION("""COMPUTED_VALUE"""),"2055-06-01T23:26:32.494Z")</f>
        <v>2055-06-01T23:26:32.494Z</v>
      </c>
      <c r="L412" s="3">
        <f ca="1">IFERROR(__xludf.DUMMYFUNCTION("""COMPUTED_VALUE"""),1)</f>
        <v>1</v>
      </c>
      <c r="M412" s="3">
        <f ca="1">IFERROR(__xludf.DUMMYFUNCTION("""COMPUTED_VALUE"""),0)</f>
        <v>0</v>
      </c>
      <c r="N412" s="3" t="str">
        <f ca="1">IFERROR(__xludf.DUMMYFUNCTION("""COMPUTED_VALUE"""),"2055-06-01T23:10:09.258425Z")</f>
        <v>2055-06-01T23:10:09.258425Z</v>
      </c>
      <c r="O412" s="3" t="str">
        <f ca="1">IFERROR(__xludf.DUMMYFUNCTION("""COMPUTED_VALUE"""),"2055-06-01T23:21:15.319263Z")</f>
        <v>2055-06-01T23:21:15.319263Z</v>
      </c>
      <c r="P412" s="3" t="str">
        <f ca="1">IFERROR(__xludf.DUMMYFUNCTION("""COMPUTED_VALUE"""),"2055-06-01T23:01:14.460327Z")</f>
        <v>2055-06-01T23:01:14.460327Z</v>
      </c>
      <c r="Q412" s="3">
        <f ca="1">IFERROR(__xludf.DUMMYFUNCTION("""COMPUTED_VALUE"""),0)</f>
        <v>0</v>
      </c>
      <c r="R412" s="3" t="str">
        <f ca="1">IFERROR(__xludf.DUMMYFUNCTION("""COMPUTED_VALUE"""),"2055-06-01T23:01:18.663751Z")</f>
        <v>2055-06-01T23:01:18.663751Z</v>
      </c>
      <c r="S412" s="3" t="str">
        <f ca="1">IFERROR(__xludf.DUMMYFUNCTION("""COMPUTED_VALUE"""),"2055-06-01T23:07:50.376671Z")</f>
        <v>2055-06-01T23:07:50.376671Z</v>
      </c>
      <c r="T412" s="3"/>
      <c r="U412" s="4">
        <f ca="1">IFERROR(__xludf.DUMMYFUNCTION("""COMPUTED_VALUE"""),56766)</f>
        <v>56766</v>
      </c>
      <c r="V412" s="3">
        <f ca="1">IFERROR(__xludf.DUMMYFUNCTION("""COMPUTED_VALUE"""),4.8)</f>
        <v>4.8</v>
      </c>
      <c r="W412" s="3">
        <f ca="1">IFERROR(__xludf.DUMMYFUNCTION("""COMPUTED_VALUE"""),2500)</f>
        <v>2500</v>
      </c>
      <c r="X412" s="3">
        <f ca="1">IFERROR(__xludf.DUMMYFUNCTION("""COMPUTED_VALUE"""),1197)</f>
        <v>1197</v>
      </c>
      <c r="Y412" s="3">
        <f ca="1">IFERROR(__xludf.DUMMYFUNCTION("""COMPUTED_VALUE"""),392)</f>
        <v>392</v>
      </c>
      <c r="Z412" s="3">
        <f ca="1">IFERROR(__xludf.DUMMYFUNCTION("""COMPUTED_VALUE"""),139)</f>
        <v>139</v>
      </c>
      <c r="AA412" s="3">
        <f ca="1">IFERROR(__xludf.DUMMYFUNCTION("""COMPUTED_VALUE"""),666)</f>
        <v>666</v>
      </c>
      <c r="AB412" s="3">
        <f ca="1">IFERROR(__xludf.DUMMYFUNCTION("""COMPUTED_VALUE"""),0)</f>
        <v>0</v>
      </c>
      <c r="AC412" s="3">
        <f ca="1">IFERROR(__xludf.DUMMYFUNCTION("""COMPUTED_VALUE"""),2)</f>
        <v>2</v>
      </c>
      <c r="AD412" s="3" t="str">
        <f ca="1">IFERROR(__xludf.DUMMYFUNCTION("""COMPUTED_VALUE"""),"late")</f>
        <v>late</v>
      </c>
      <c r="AE412" s="3" t="str">
        <f ca="1">IFERROR(__xludf.DUMMYFUNCTION("""COMPUTED_VALUE"""),"2055-06-01T19:10:09.258425Z")</f>
        <v>2055-06-01T19:10:09.258425Z</v>
      </c>
      <c r="AF412" s="3" t="str">
        <f ca="1">IFERROR(__xludf.DUMMYFUNCTION("""COMPUTED_VALUE"""),"2055-06-01T19:21:15.319263Z")</f>
        <v>2055-06-01T19:21:15.319263Z</v>
      </c>
      <c r="AG412" s="3" t="str">
        <f ca="1">IFERROR(__xludf.DUMMYFUNCTION("""COMPUTED_VALUE"""),"2055-06-01T19:01:14.460327Z")</f>
        <v>2055-06-01T19:01:14.460327Z</v>
      </c>
      <c r="AH412" s="3" t="str">
        <f ca="1">IFERROR(__xludf.DUMMYFUNCTION("""COMPUTED_VALUE"""),"2055-06-01T19:07:50.376671Z")</f>
        <v>2055-06-01T19:07:50.376671Z</v>
      </c>
      <c r="AI412" s="3">
        <f ca="1">IFERROR(__xludf.DUMMYFUNCTION("""COMPUTED_VALUE"""),4.7)</f>
        <v>4.7</v>
      </c>
      <c r="AJ412" s="3">
        <f ca="1">IFERROR(__xludf.DUMMYFUNCTION("""COMPUTED_VALUE"""),443)</f>
        <v>443</v>
      </c>
      <c r="AK412" s="3">
        <f ca="1">IFERROR(__xludf.DUMMYFUNCTION("""COMPUTED_VALUE"""),1579)</f>
        <v>1579</v>
      </c>
      <c r="AL412" s="3"/>
    </row>
    <row r="413" spans="1:38" ht="13">
      <c r="A413" s="3">
        <f ca="1">IFERROR(__xludf.DUMMYFUNCTION("""COMPUTED_VALUE"""),230)</f>
        <v>230</v>
      </c>
      <c r="B413" s="3">
        <f ca="1">IFERROR(__xludf.DUMMYFUNCTION("""COMPUTED_VALUE"""),5)</f>
        <v>5</v>
      </c>
      <c r="C413" s="3">
        <f ca="1">IFERROR(__xludf.DUMMYFUNCTION("""COMPUTED_VALUE"""),4050)</f>
        <v>4050</v>
      </c>
      <c r="D413" s="3" t="str">
        <f ca="1">IFERROR(__xludf.DUMMYFUNCTION("""COMPUTED_VALUE"""),"Doorlanta")</f>
        <v>Doorlanta</v>
      </c>
      <c r="E413" s="3" t="str">
        <f ca="1">IFERROR(__xludf.DUMMYFUNCTION("""COMPUTED_VALUE"""),"Galaxy A")</f>
        <v>Galaxy A</v>
      </c>
      <c r="F413" s="3" t="str">
        <f ca="1">IFERROR(__xludf.DUMMYFUNCTION("""COMPUTED_VALUE"""),"Elon")</f>
        <v>Elon</v>
      </c>
      <c r="G413" s="3">
        <f ca="1">IFERROR(__xludf.DUMMYFUNCTION("""COMPUTED_VALUE"""),0)</f>
        <v>0</v>
      </c>
      <c r="H413" s="3" t="str">
        <f ca="1">IFERROR(__xludf.DUMMYFUNCTION("""COMPUTED_VALUE"""),"car")</f>
        <v>car</v>
      </c>
      <c r="I413" s="3" t="str">
        <f ca="1">IFERROR(__xludf.DUMMYFUNCTION("""COMPUTED_VALUE"""),"2055-06-03T00:43:47.405762Z")</f>
        <v>2055-06-03T00:43:47.405762Z</v>
      </c>
      <c r="J413" s="3" t="str">
        <f ca="1">IFERROR(__xludf.DUMMYFUNCTION("""COMPUTED_VALUE"""),"2055-06-03T01:33:47.479Z")</f>
        <v>2055-06-03T01:33:47.479Z</v>
      </c>
      <c r="K413" s="3" t="str">
        <f ca="1">IFERROR(__xludf.DUMMYFUNCTION("""COMPUTED_VALUE"""),"2055-06-03T01:17:02.479Z")</f>
        <v>2055-06-03T01:17:02.479Z</v>
      </c>
      <c r="L413" s="3">
        <f ca="1">IFERROR(__xludf.DUMMYFUNCTION("""COMPUTED_VALUE"""),1)</f>
        <v>1</v>
      </c>
      <c r="M413" s="3">
        <f ca="1">IFERROR(__xludf.DUMMYFUNCTION("""COMPUTED_VALUE"""),0)</f>
        <v>0</v>
      </c>
      <c r="N413" s="3" t="str">
        <f ca="1">IFERROR(__xludf.DUMMYFUNCTION("""COMPUTED_VALUE"""),"2055-06-03T01:03:33.125899Z")</f>
        <v>2055-06-03T01:03:33.125899Z</v>
      </c>
      <c r="O413" s="3" t="str">
        <f ca="1">IFERROR(__xludf.DUMMYFUNCTION("""COMPUTED_VALUE"""),"2055-06-03T01:16:56.796171Z")</f>
        <v>2055-06-03T01:16:56.796171Z</v>
      </c>
      <c r="P413" s="3" t="str">
        <f ca="1">IFERROR(__xludf.DUMMYFUNCTION("""COMPUTED_VALUE"""),"2055-06-03T00:44:07.310343Z")</f>
        <v>2055-06-03T00:44:07.310343Z</v>
      </c>
      <c r="Q413" s="3">
        <f ca="1">IFERROR(__xludf.DUMMYFUNCTION("""COMPUTED_VALUE"""),0)</f>
        <v>0</v>
      </c>
      <c r="R413" s="3" t="str">
        <f ca="1">IFERROR(__xludf.DUMMYFUNCTION("""COMPUTED_VALUE"""),"2055-06-03T00:44:13.987867Z")</f>
        <v>2055-06-03T00:44:13.987867Z</v>
      </c>
      <c r="S413" s="3" t="str">
        <f ca="1">IFERROR(__xludf.DUMMYFUNCTION("""COMPUTED_VALUE"""),"2055-06-03T00:51:10.418739Z")</f>
        <v>2055-06-03T00:51:10.418739Z</v>
      </c>
      <c r="T413" s="3"/>
      <c r="U413" s="4">
        <f ca="1">IFERROR(__xludf.DUMMYFUNCTION("""COMPUTED_VALUE"""),56767)</f>
        <v>56767</v>
      </c>
      <c r="V413" s="3">
        <f ca="1">IFERROR(__xludf.DUMMYFUNCTION("""COMPUTED_VALUE"""),4.5)</f>
        <v>4.5</v>
      </c>
      <c r="W413" s="3">
        <f ca="1">IFERROR(__xludf.DUMMYFUNCTION("""COMPUTED_VALUE"""),2500)</f>
        <v>2500</v>
      </c>
      <c r="X413" s="3">
        <f ca="1">IFERROR(__xludf.DUMMYFUNCTION("""COMPUTED_VALUE"""),1963)</f>
        <v>1963</v>
      </c>
      <c r="Y413" s="3">
        <f ca="1">IFERROR(__xludf.DUMMYFUNCTION("""COMPUTED_VALUE"""),417)</f>
        <v>417</v>
      </c>
      <c r="Z413" s="3">
        <f ca="1">IFERROR(__xludf.DUMMYFUNCTION("""COMPUTED_VALUE"""),743)</f>
        <v>743</v>
      </c>
      <c r="AA413" s="3">
        <f ca="1">IFERROR(__xludf.DUMMYFUNCTION("""COMPUTED_VALUE"""),803)</f>
        <v>803</v>
      </c>
      <c r="AB413" s="3">
        <f ca="1">IFERROR(__xludf.DUMMYFUNCTION("""COMPUTED_VALUE"""),0)</f>
        <v>0</v>
      </c>
      <c r="AC413" s="3">
        <f ca="1">IFERROR(__xludf.DUMMYFUNCTION("""COMPUTED_VALUE"""),2)</f>
        <v>2</v>
      </c>
      <c r="AD413" s="3" t="str">
        <f ca="1">IFERROR(__xludf.DUMMYFUNCTION("""COMPUTED_VALUE"""),"on time")</f>
        <v>on time</v>
      </c>
      <c r="AE413" s="3" t="str">
        <f ca="1">IFERROR(__xludf.DUMMYFUNCTION("""COMPUTED_VALUE"""),"2055-06-02T21:03:33.125899Z")</f>
        <v>2055-06-02T21:03:33.125899Z</v>
      </c>
      <c r="AF413" s="3" t="str">
        <f ca="1">IFERROR(__xludf.DUMMYFUNCTION("""COMPUTED_VALUE"""),"2055-06-02T21:16:56.796171Z")</f>
        <v>2055-06-02T21:16:56.796171Z</v>
      </c>
      <c r="AG413" s="3" t="str">
        <f ca="1">IFERROR(__xludf.DUMMYFUNCTION("""COMPUTED_VALUE"""),"2055-06-02T20:44:07.310343Z")</f>
        <v>2055-06-02T20:44:07.310343Z</v>
      </c>
      <c r="AH413" s="3" t="str">
        <f ca="1">IFERROR(__xludf.DUMMYFUNCTION("""COMPUTED_VALUE"""),"2055-06-02T20:51:10.418739Z")</f>
        <v>2055-06-02T20:51:10.418739Z</v>
      </c>
      <c r="AI413" s="3">
        <f ca="1">IFERROR(__xludf.DUMMYFUNCTION("""COMPUTED_VALUE"""),4.62)</f>
        <v>4.62</v>
      </c>
      <c r="AJ413" s="3">
        <f ca="1">IFERROR(__xludf.DUMMYFUNCTION("""COMPUTED_VALUE"""),259)</f>
        <v>259</v>
      </c>
      <c r="AK413" s="3">
        <f ca="1">IFERROR(__xludf.DUMMYFUNCTION("""COMPUTED_VALUE"""),604)</f>
        <v>604</v>
      </c>
      <c r="AL413" s="3">
        <f ca="1">IFERROR(__xludf.DUMMYFUNCTION("""COMPUTED_VALUE"""),21)</f>
        <v>21</v>
      </c>
    </row>
    <row r="414" spans="1:38" ht="13">
      <c r="A414" s="3">
        <f ca="1">IFERROR(__xludf.DUMMYFUNCTION("""COMPUTED_VALUE"""),380)</f>
        <v>380</v>
      </c>
      <c r="B414" s="3">
        <f ca="1">IFERROR(__xludf.DUMMYFUNCTION("""COMPUTED_VALUE"""),1)</f>
        <v>1</v>
      </c>
      <c r="C414" s="3">
        <f ca="1">IFERROR(__xludf.DUMMYFUNCTION("""COMPUTED_VALUE"""),4050)</f>
        <v>4050</v>
      </c>
      <c r="D414" s="3" t="str">
        <f ca="1">IFERROR(__xludf.DUMMYFUNCTION("""COMPUTED_VALUE"""),"Doorlanta")</f>
        <v>Doorlanta</v>
      </c>
      <c r="E414" s="3" t="str">
        <f ca="1">IFERROR(__xludf.DUMMYFUNCTION("""COMPUTED_VALUE"""),"Galaxy A")</f>
        <v>Galaxy A</v>
      </c>
      <c r="F414" s="3" t="str">
        <f ca="1">IFERROR(__xludf.DUMMYFUNCTION("""COMPUTED_VALUE"""),"Josh")</f>
        <v>Josh</v>
      </c>
      <c r="G414" s="3">
        <f ca="1">IFERROR(__xludf.DUMMYFUNCTION("""COMPUTED_VALUE"""),0)</f>
        <v>0</v>
      </c>
      <c r="H414" s="3" t="str">
        <f ca="1">IFERROR(__xludf.DUMMYFUNCTION("""COMPUTED_VALUE"""),"car")</f>
        <v>car</v>
      </c>
      <c r="I414" s="3" t="str">
        <f ca="1">IFERROR(__xludf.DUMMYFUNCTION("""COMPUTED_VALUE"""),"2055-06-04T00:28:53.734758Z")</f>
        <v>2055-06-04T00:28:53.734758Z</v>
      </c>
      <c r="J414" s="3" t="str">
        <f ca="1">IFERROR(__xludf.DUMMYFUNCTION("""COMPUTED_VALUE"""),"2055-06-04T01:23:53.818Z")</f>
        <v>2055-06-04T01:23:53.818Z</v>
      </c>
      <c r="K414" s="3" t="str">
        <f ca="1">IFERROR(__xludf.DUMMYFUNCTION("""COMPUTED_VALUE"""),"2055-06-04T00:58:44.818Z")</f>
        <v>2055-06-04T00:58:44.818Z</v>
      </c>
      <c r="L414" s="3">
        <f ca="1">IFERROR(__xludf.DUMMYFUNCTION("""COMPUTED_VALUE"""),1)</f>
        <v>1</v>
      </c>
      <c r="M414" s="3">
        <f ca="1">IFERROR(__xludf.DUMMYFUNCTION("""COMPUTED_VALUE"""),0)</f>
        <v>0</v>
      </c>
      <c r="N414" s="3" t="str">
        <f ca="1">IFERROR(__xludf.DUMMYFUNCTION("""COMPUTED_VALUE"""),"2055-06-04T01:21:47.84374Z")</f>
        <v>2055-06-04T01:21:47.84374Z</v>
      </c>
      <c r="O414" s="3" t="str">
        <f ca="1">IFERROR(__xludf.DUMMYFUNCTION("""COMPUTED_VALUE"""),"2055-06-04T01:39:15.748122Z")</f>
        <v>2055-06-04T01:39:15.748122Z</v>
      </c>
      <c r="P414" s="3" t="str">
        <f ca="1">IFERROR(__xludf.DUMMYFUNCTION("""COMPUTED_VALUE"""),"2055-06-04T00:44:47.323144Z")</f>
        <v>2055-06-04T00:44:47.323144Z</v>
      </c>
      <c r="Q414" s="3">
        <f ca="1">IFERROR(__xludf.DUMMYFUNCTION("""COMPUTED_VALUE"""),0)</f>
        <v>0</v>
      </c>
      <c r="R414" s="3" t="str">
        <f ca="1">IFERROR(__xludf.DUMMYFUNCTION("""COMPUTED_VALUE"""),"2055-06-04T00:44:59.607658Z")</f>
        <v>2055-06-04T00:44:59.607658Z</v>
      </c>
      <c r="S414" s="3" t="str">
        <f ca="1">IFERROR(__xludf.DUMMYFUNCTION("""COMPUTED_VALUE"""),"2055-06-04T00:54:45.825229Z")</f>
        <v>2055-06-04T00:54:45.825229Z</v>
      </c>
      <c r="T414" s="3"/>
      <c r="U414" s="4">
        <f ca="1">IFERROR(__xludf.DUMMYFUNCTION("""COMPUTED_VALUE"""),56768)</f>
        <v>56768</v>
      </c>
      <c r="V414" s="3">
        <f ca="1">IFERROR(__xludf.DUMMYFUNCTION("""COMPUTED_VALUE"""),3.087312476)</f>
        <v>3.0873124760000001</v>
      </c>
      <c r="W414" s="3">
        <f ca="1">IFERROR(__xludf.DUMMYFUNCTION("""COMPUTED_VALUE"""),2500)</f>
        <v>2500</v>
      </c>
      <c r="X414" s="3">
        <f ca="1">IFERROR(__xludf.DUMMYFUNCTION("""COMPUTED_VALUE"""),3256)</f>
        <v>3256</v>
      </c>
      <c r="Y414" s="3">
        <f ca="1">IFERROR(__xludf.DUMMYFUNCTION("""COMPUTED_VALUE"""),586)</f>
        <v>586</v>
      </c>
      <c r="Z414" s="3">
        <f ca="1">IFERROR(__xludf.DUMMYFUNCTION("""COMPUTED_VALUE"""),1622)</f>
        <v>1622</v>
      </c>
      <c r="AA414" s="3">
        <f ca="1">IFERROR(__xludf.DUMMYFUNCTION("""COMPUTED_VALUE"""),1048)</f>
        <v>1048</v>
      </c>
      <c r="AB414" s="3">
        <f ca="1">IFERROR(__xludf.DUMMYFUNCTION("""COMPUTED_VALUE"""),0)</f>
        <v>0</v>
      </c>
      <c r="AC414" s="3">
        <f ca="1">IFERROR(__xludf.DUMMYFUNCTION("""COMPUTED_VALUE"""),2)</f>
        <v>2</v>
      </c>
      <c r="AD414" s="3" t="str">
        <f ca="1">IFERROR(__xludf.DUMMYFUNCTION("""COMPUTED_VALUE"""),"on time")</f>
        <v>on time</v>
      </c>
      <c r="AE414" s="3" t="str">
        <f ca="1">IFERROR(__xludf.DUMMYFUNCTION("""COMPUTED_VALUE"""),"2055-06-03T21:21:47.84374Z")</f>
        <v>2055-06-03T21:21:47.84374Z</v>
      </c>
      <c r="AF414" s="3" t="str">
        <f ca="1">IFERROR(__xludf.DUMMYFUNCTION("""COMPUTED_VALUE"""),"2055-06-03T21:39:15.748122Z")</f>
        <v>2055-06-03T21:39:15.748122Z</v>
      </c>
      <c r="AG414" s="3" t="str">
        <f ca="1">IFERROR(__xludf.DUMMYFUNCTION("""COMPUTED_VALUE"""),"2055-06-03T20:44:47.323144Z")</f>
        <v>2055-06-03T20:44:47.323144Z</v>
      </c>
      <c r="AH414" s="3" t="str">
        <f ca="1">IFERROR(__xludf.DUMMYFUNCTION("""COMPUTED_VALUE"""),"2055-06-03T20:54:45.825229Z")</f>
        <v>2055-06-03T20:54:45.825229Z</v>
      </c>
      <c r="AI414" s="3">
        <f ca="1">IFERROR(__xludf.DUMMYFUNCTION("""COMPUTED_VALUE"""),4.77)</f>
        <v>4.7699999999999996</v>
      </c>
      <c r="AJ414" s="3">
        <f ca="1">IFERROR(__xludf.DUMMYFUNCTION("""COMPUTED_VALUE"""),426)</f>
        <v>426</v>
      </c>
      <c r="AK414" s="3">
        <f ca="1">IFERROR(__xludf.DUMMYFUNCTION("""COMPUTED_VALUE"""),1226)</f>
        <v>1226</v>
      </c>
      <c r="AL414" s="3">
        <f ca="1">IFERROR(__xludf.DUMMYFUNCTION("""COMPUTED_VALUE"""),85)</f>
        <v>85</v>
      </c>
    </row>
    <row r="415" spans="1:38" ht="13">
      <c r="A415" s="3">
        <f ca="1">IFERROR(__xludf.DUMMYFUNCTION("""COMPUTED_VALUE"""),483)</f>
        <v>483</v>
      </c>
      <c r="B415" s="3"/>
      <c r="C415" s="3">
        <f ca="1">IFERROR(__xludf.DUMMYFUNCTION("""COMPUTED_VALUE"""),4001)</f>
        <v>4001</v>
      </c>
      <c r="D415" s="3" t="str">
        <f ca="1">IFERROR(__xludf.DUMMYFUNCTION("""COMPUTED_VALUE"""),"Dashattan")</f>
        <v>Dashattan</v>
      </c>
      <c r="E415" s="3" t="str">
        <f ca="1">IFERROR(__xludf.DUMMYFUNCTION("""COMPUTED_VALUE"""),"Galaxy A")</f>
        <v>Galaxy A</v>
      </c>
      <c r="F415" s="3" t="str">
        <f ca="1">IFERROR(__xludf.DUMMYFUNCTION("""COMPUTED_VALUE"""),"Rojan")</f>
        <v>Rojan</v>
      </c>
      <c r="G415" s="3">
        <f ca="1">IFERROR(__xludf.DUMMYFUNCTION("""COMPUTED_VALUE"""),0)</f>
        <v>0</v>
      </c>
      <c r="H415" s="3" t="str">
        <f ca="1">IFERROR(__xludf.DUMMYFUNCTION("""COMPUTED_VALUE"""),"bicycle")</f>
        <v>bicycle</v>
      </c>
      <c r="I415" s="3" t="str">
        <f ca="1">IFERROR(__xludf.DUMMYFUNCTION("""COMPUTED_VALUE"""),"2055-06-04T23:10:45.828684Z")</f>
        <v>2055-06-04T23:10:45.828684Z</v>
      </c>
      <c r="J415" s="3" t="str">
        <f ca="1">IFERROR(__xludf.DUMMYFUNCTION("""COMPUTED_VALUE"""),"2055-06-04T23:58:17.886Z")</f>
        <v>2055-06-04T23:58:17.886Z</v>
      </c>
      <c r="K415" s="3" t="str">
        <f ca="1">IFERROR(__xludf.DUMMYFUNCTION("""COMPUTED_VALUE"""),"2055-06-04T23:38:38.886Z")</f>
        <v>2055-06-04T23:38:38.886Z</v>
      </c>
      <c r="L415" s="3">
        <f ca="1">IFERROR(__xludf.DUMMYFUNCTION("""COMPUTED_VALUE"""),1)</f>
        <v>1</v>
      </c>
      <c r="M415" s="3">
        <f ca="1">IFERROR(__xludf.DUMMYFUNCTION("""COMPUTED_VALUE"""),0)</f>
        <v>0</v>
      </c>
      <c r="N415" s="3" t="str">
        <f ca="1">IFERROR(__xludf.DUMMYFUNCTION("""COMPUTED_VALUE"""),"2055-06-04T23:33:03.310643Z")</f>
        <v>2055-06-04T23:33:03.310643Z</v>
      </c>
      <c r="O415" s="3" t="str">
        <f ca="1">IFERROR(__xludf.DUMMYFUNCTION("""COMPUTED_VALUE"""),"2055-06-04T23:36:20.616581Z")</f>
        <v>2055-06-04T23:36:20.616581Z</v>
      </c>
      <c r="P415" s="3" t="str">
        <f ca="1">IFERROR(__xludf.DUMMYFUNCTION("""COMPUTED_VALUE"""),"2055-06-04T23:16:55.230646Z")</f>
        <v>2055-06-04T23:16:55.230646Z</v>
      </c>
      <c r="Q415" s="3">
        <f ca="1">IFERROR(__xludf.DUMMYFUNCTION("""COMPUTED_VALUE"""),0)</f>
        <v>0</v>
      </c>
      <c r="R415" s="3" t="str">
        <f ca="1">IFERROR(__xludf.DUMMYFUNCTION("""COMPUTED_VALUE"""),"2055-06-04T23:17:02.523414Z")</f>
        <v>2055-06-04T23:17:02.523414Z</v>
      </c>
      <c r="S415" s="3" t="str">
        <f ca="1">IFERROR(__xludf.DUMMYFUNCTION("""COMPUTED_VALUE"""),"2055-06-04T23:28:46.530774Z")</f>
        <v>2055-06-04T23:28:46.530774Z</v>
      </c>
      <c r="T415" s="3"/>
      <c r="U415" s="4">
        <f ca="1">IFERROR(__xludf.DUMMYFUNCTION("""COMPUTED_VALUE"""),56769)</f>
        <v>56769</v>
      </c>
      <c r="V415" s="3">
        <f ca="1">IFERROR(__xludf.DUMMYFUNCTION("""COMPUTED_VALUE"""),4.7)</f>
        <v>4.7</v>
      </c>
      <c r="W415" s="3">
        <f ca="1">IFERROR(__xludf.DUMMYFUNCTION("""COMPUTED_VALUE"""),2500)</f>
        <v>2500</v>
      </c>
      <c r="X415" s="3">
        <f ca="1">IFERROR(__xludf.DUMMYFUNCTION("""COMPUTED_VALUE"""),1158)</f>
        <v>1158</v>
      </c>
      <c r="Y415" s="3">
        <f ca="1">IFERROR(__xludf.DUMMYFUNCTION("""COMPUTED_VALUE"""),704)</f>
        <v>704</v>
      </c>
      <c r="Z415" s="3">
        <f ca="1">IFERROR(__xludf.DUMMYFUNCTION("""COMPUTED_VALUE"""),257)</f>
        <v>257</v>
      </c>
      <c r="AA415" s="3">
        <f ca="1">IFERROR(__xludf.DUMMYFUNCTION("""COMPUTED_VALUE"""),197)</f>
        <v>197</v>
      </c>
      <c r="AB415" s="3">
        <f ca="1">IFERROR(__xludf.DUMMYFUNCTION("""COMPUTED_VALUE"""),0)</f>
        <v>0</v>
      </c>
      <c r="AC415" s="3">
        <f ca="1">IFERROR(__xludf.DUMMYFUNCTION("""COMPUTED_VALUE"""),2)</f>
        <v>2</v>
      </c>
      <c r="AD415" s="3" t="str">
        <f ca="1">IFERROR(__xludf.DUMMYFUNCTION("""COMPUTED_VALUE"""),"on time")</f>
        <v>on time</v>
      </c>
      <c r="AE415" s="3" t="str">
        <f ca="1">IFERROR(__xludf.DUMMYFUNCTION("""COMPUTED_VALUE"""),"2055-06-04T19:33:03.310643Z")</f>
        <v>2055-06-04T19:33:03.310643Z</v>
      </c>
      <c r="AF415" s="3" t="str">
        <f ca="1">IFERROR(__xludf.DUMMYFUNCTION("""COMPUTED_VALUE"""),"2055-06-04T19:36:20.616581Z")</f>
        <v>2055-06-04T19:36:20.616581Z</v>
      </c>
      <c r="AG415" s="3" t="str">
        <f ca="1">IFERROR(__xludf.DUMMYFUNCTION("""COMPUTED_VALUE"""),"2055-06-04T19:16:55.230646Z")</f>
        <v>2055-06-04T19:16:55.230646Z</v>
      </c>
      <c r="AH415" s="3" t="str">
        <f ca="1">IFERROR(__xludf.DUMMYFUNCTION("""COMPUTED_VALUE"""),"2055-06-04T19:28:46.530774Z")</f>
        <v>2055-06-04T19:28:46.530774Z</v>
      </c>
      <c r="AI415" s="3">
        <f ca="1">IFERROR(__xludf.DUMMYFUNCTION("""COMPUTED_VALUE"""),4.58)</f>
        <v>4.58</v>
      </c>
      <c r="AJ415" s="3">
        <f ca="1">IFERROR(__xludf.DUMMYFUNCTION("""COMPUTED_VALUE"""),254)</f>
        <v>254</v>
      </c>
      <c r="AK415" s="3">
        <f ca="1">IFERROR(__xludf.DUMMYFUNCTION("""COMPUTED_VALUE"""),788)</f>
        <v>788</v>
      </c>
      <c r="AL415" s="3">
        <f ca="1">IFERROR(__xludf.DUMMYFUNCTION("""COMPUTED_VALUE"""),9)</f>
        <v>9</v>
      </c>
    </row>
    <row r="416" spans="1:38" ht="13">
      <c r="A416" s="3">
        <f ca="1">IFERROR(__xludf.DUMMYFUNCTION("""COMPUTED_VALUE"""),701)</f>
        <v>701</v>
      </c>
      <c r="B416" s="3"/>
      <c r="C416" s="3">
        <f ca="1">IFERROR(__xludf.DUMMYFUNCTION("""COMPUTED_VALUE"""),4050)</f>
        <v>4050</v>
      </c>
      <c r="D416" s="3" t="str">
        <f ca="1">IFERROR(__xludf.DUMMYFUNCTION("""COMPUTED_VALUE"""),"Doorlanta")</f>
        <v>Doorlanta</v>
      </c>
      <c r="E416" s="3" t="str">
        <f ca="1">IFERROR(__xludf.DUMMYFUNCTION("""COMPUTED_VALUE"""),"Galaxy A")</f>
        <v>Galaxy A</v>
      </c>
      <c r="F416" s="3" t="str">
        <f ca="1">IFERROR(__xludf.DUMMYFUNCTION("""COMPUTED_VALUE"""),"Elon")</f>
        <v>Elon</v>
      </c>
      <c r="G416" s="3">
        <f ca="1">IFERROR(__xludf.DUMMYFUNCTION("""COMPUTED_VALUE"""),0)</f>
        <v>0</v>
      </c>
      <c r="H416" s="3" t="str">
        <f ca="1">IFERROR(__xludf.DUMMYFUNCTION("""COMPUTED_VALUE"""),"car")</f>
        <v>car</v>
      </c>
      <c r="I416" s="3" t="str">
        <f ca="1">IFERROR(__xludf.DUMMYFUNCTION("""COMPUTED_VALUE"""),"2055-06-06T00:18:32.091712Z")</f>
        <v>2055-06-06T00:18:32.091712Z</v>
      </c>
      <c r="J416" s="3" t="str">
        <f ca="1">IFERROR(__xludf.DUMMYFUNCTION("""COMPUTED_VALUE"""),"2055-06-06T01:16:08.189Z")</f>
        <v>2055-06-06T01:16:08.189Z</v>
      </c>
      <c r="K416" s="3" t="str">
        <f ca="1">IFERROR(__xludf.DUMMYFUNCTION("""COMPUTED_VALUE"""),"2055-06-06T00:54:14.189Z")</f>
        <v>2055-06-06T00:54:14.189Z</v>
      </c>
      <c r="L416" s="3">
        <f ca="1">IFERROR(__xludf.DUMMYFUNCTION("""COMPUTED_VALUE"""),1)</f>
        <v>1</v>
      </c>
      <c r="M416" s="3">
        <f ca="1">IFERROR(__xludf.DUMMYFUNCTION("""COMPUTED_VALUE"""),0)</f>
        <v>0</v>
      </c>
      <c r="N416" s="3" t="str">
        <f ca="1">IFERROR(__xludf.DUMMYFUNCTION("""COMPUTED_VALUE"""),"2055-06-06T00:50:12.999727Z")</f>
        <v>2055-06-06T00:50:12.999727Z</v>
      </c>
      <c r="O416" s="3" t="str">
        <f ca="1">IFERROR(__xludf.DUMMYFUNCTION("""COMPUTED_VALUE"""),"2055-06-06T00:59:07.814498Z")</f>
        <v>2055-06-06T00:59:07.814498Z</v>
      </c>
      <c r="P416" s="3" t="str">
        <f ca="1">IFERROR(__xludf.DUMMYFUNCTION("""COMPUTED_VALUE"""),"2055-06-06T00:19:07.495183Z")</f>
        <v>2055-06-06T00:19:07.495183Z</v>
      </c>
      <c r="Q416" s="3">
        <f ca="1">IFERROR(__xludf.DUMMYFUNCTION("""COMPUTED_VALUE"""),0)</f>
        <v>0</v>
      </c>
      <c r="R416" s="3" t="str">
        <f ca="1">IFERROR(__xludf.DUMMYFUNCTION("""COMPUTED_VALUE"""),"2055-06-06T00:19:14.082091Z")</f>
        <v>2055-06-06T00:19:14.082091Z</v>
      </c>
      <c r="S416" s="3" t="str">
        <f ca="1">IFERROR(__xludf.DUMMYFUNCTION("""COMPUTED_VALUE"""),"2055-06-06T00:28:15.742937Z")</f>
        <v>2055-06-06T00:28:15.742937Z</v>
      </c>
      <c r="T416" s="3"/>
      <c r="U416" s="4">
        <f ca="1">IFERROR(__xludf.DUMMYFUNCTION("""COMPUTED_VALUE"""),56770)</f>
        <v>56770</v>
      </c>
      <c r="V416" s="3">
        <f ca="1">IFERROR(__xludf.DUMMYFUNCTION("""COMPUTED_VALUE"""),3.728607568)</f>
        <v>3.7286075680000001</v>
      </c>
      <c r="W416" s="3">
        <f ca="1">IFERROR(__xludf.DUMMYFUNCTION("""COMPUTED_VALUE"""),2500)</f>
        <v>2500</v>
      </c>
      <c r="X416" s="3">
        <f ca="1">IFERROR(__xludf.DUMMYFUNCTION("""COMPUTED_VALUE"""),2393)</f>
        <v>2393</v>
      </c>
      <c r="Y416" s="3">
        <f ca="1">IFERROR(__xludf.DUMMYFUNCTION("""COMPUTED_VALUE"""),541)</f>
        <v>541</v>
      </c>
      <c r="Z416" s="3">
        <f ca="1">IFERROR(__xludf.DUMMYFUNCTION("""COMPUTED_VALUE"""),1317)</f>
        <v>1317</v>
      </c>
      <c r="AA416" s="3">
        <f ca="1">IFERROR(__xludf.DUMMYFUNCTION("""COMPUTED_VALUE"""),535)</f>
        <v>535</v>
      </c>
      <c r="AB416" s="3">
        <f ca="1">IFERROR(__xludf.DUMMYFUNCTION("""COMPUTED_VALUE"""),0)</f>
        <v>0</v>
      </c>
      <c r="AC416" s="3">
        <f ca="1">IFERROR(__xludf.DUMMYFUNCTION("""COMPUTED_VALUE"""),4)</f>
        <v>4</v>
      </c>
      <c r="AD416" s="3" t="str">
        <f ca="1">IFERROR(__xludf.DUMMYFUNCTION("""COMPUTED_VALUE"""),"early")</f>
        <v>early</v>
      </c>
      <c r="AE416" s="3" t="str">
        <f ca="1">IFERROR(__xludf.DUMMYFUNCTION("""COMPUTED_VALUE"""),"2055-06-05T20:50:12.999727Z")</f>
        <v>2055-06-05T20:50:12.999727Z</v>
      </c>
      <c r="AF416" s="3" t="str">
        <f ca="1">IFERROR(__xludf.DUMMYFUNCTION("""COMPUTED_VALUE"""),"2055-06-05T20:59:07.814498Z")</f>
        <v>2055-06-05T20:59:07.814498Z</v>
      </c>
      <c r="AG416" s="3" t="str">
        <f ca="1">IFERROR(__xludf.DUMMYFUNCTION("""COMPUTED_VALUE"""),"2055-06-05T20:19:07.495183Z")</f>
        <v>2055-06-05T20:19:07.495183Z</v>
      </c>
      <c r="AH416" s="3" t="str">
        <f ca="1">IFERROR(__xludf.DUMMYFUNCTION("""COMPUTED_VALUE"""),"2055-06-05T20:28:15.742937Z")</f>
        <v>2055-06-05T20:28:15.742937Z</v>
      </c>
      <c r="AI416" s="3">
        <f ca="1">IFERROR(__xludf.DUMMYFUNCTION("""COMPUTED_VALUE"""),4.62)</f>
        <v>4.62</v>
      </c>
      <c r="AJ416" s="3">
        <f ca="1">IFERROR(__xludf.DUMMYFUNCTION("""COMPUTED_VALUE"""),259)</f>
        <v>259</v>
      </c>
      <c r="AK416" s="3">
        <f ca="1">IFERROR(__xludf.DUMMYFUNCTION("""COMPUTED_VALUE"""),604)</f>
        <v>604</v>
      </c>
      <c r="AL416" s="3">
        <f ca="1">IFERROR(__xludf.DUMMYFUNCTION("""COMPUTED_VALUE"""),21)</f>
        <v>21</v>
      </c>
    </row>
    <row r="417" spans="1:38" ht="13">
      <c r="A417" s="3">
        <f ca="1">IFERROR(__xludf.DUMMYFUNCTION("""COMPUTED_VALUE"""),721)</f>
        <v>721</v>
      </c>
      <c r="B417" s="3"/>
      <c r="C417" s="3">
        <f ca="1">IFERROR(__xludf.DUMMYFUNCTION("""COMPUTED_VALUE"""),4050)</f>
        <v>4050</v>
      </c>
      <c r="D417" s="3" t="str">
        <f ca="1">IFERROR(__xludf.DUMMYFUNCTION("""COMPUTED_VALUE"""),"Doorlanta")</f>
        <v>Doorlanta</v>
      </c>
      <c r="E417" s="3" t="str">
        <f ca="1">IFERROR(__xludf.DUMMYFUNCTION("""COMPUTED_VALUE"""),"Galaxy A")</f>
        <v>Galaxy A</v>
      </c>
      <c r="F417" s="3" t="str">
        <f ca="1">IFERROR(__xludf.DUMMYFUNCTION("""COMPUTED_VALUE"""),"Elon")</f>
        <v>Elon</v>
      </c>
      <c r="G417" s="3">
        <f ca="1">IFERROR(__xludf.DUMMYFUNCTION("""COMPUTED_VALUE"""),0)</f>
        <v>0</v>
      </c>
      <c r="H417" s="3" t="str">
        <f ca="1">IFERROR(__xludf.DUMMYFUNCTION("""COMPUTED_VALUE"""),"car")</f>
        <v>car</v>
      </c>
      <c r="I417" s="3" t="str">
        <f ca="1">IFERROR(__xludf.DUMMYFUNCTION("""COMPUTED_VALUE"""),"2055-06-06T01:49:26.684637Z")</f>
        <v>2055-06-06T01:49:26.684637Z</v>
      </c>
      <c r="J417" s="3" t="str">
        <f ca="1">IFERROR(__xludf.DUMMYFUNCTION("""COMPUTED_VALUE"""),"2055-06-06T02:52:39.767Z")</f>
        <v>2055-06-06T02:52:39.767Z</v>
      </c>
      <c r="K417" s="3" t="str">
        <f ca="1">IFERROR(__xludf.DUMMYFUNCTION("""COMPUTED_VALUE"""),"2055-06-06T02:33:46.767Z")</f>
        <v>2055-06-06T02:33:46.767Z</v>
      </c>
      <c r="L417" s="3">
        <f ca="1">IFERROR(__xludf.DUMMYFUNCTION("""COMPUTED_VALUE"""),1)</f>
        <v>1</v>
      </c>
      <c r="M417" s="3">
        <f ca="1">IFERROR(__xludf.DUMMYFUNCTION("""COMPUTED_VALUE"""),0)</f>
        <v>0</v>
      </c>
      <c r="N417" s="3" t="str">
        <f ca="1">IFERROR(__xludf.DUMMYFUNCTION("""COMPUTED_VALUE"""),"2055-06-06T02:08:24.04832Z")</f>
        <v>2055-06-06T02:08:24.04832Z</v>
      </c>
      <c r="O417" s="3" t="str">
        <f ca="1">IFERROR(__xludf.DUMMYFUNCTION("""COMPUTED_VALUE"""),"2055-06-06T02:27:42.876046Z")</f>
        <v>2055-06-06T02:27:42.876046Z</v>
      </c>
      <c r="P417" s="3" t="str">
        <f ca="1">IFERROR(__xludf.DUMMYFUNCTION("""COMPUTED_VALUE"""),"2055-06-06T01:49:47.304118Z")</f>
        <v>2055-06-06T01:49:47.304118Z</v>
      </c>
      <c r="Q417" s="3">
        <f ca="1">IFERROR(__xludf.DUMMYFUNCTION("""COMPUTED_VALUE"""),0)</f>
        <v>0</v>
      </c>
      <c r="R417" s="3" t="str">
        <f ca="1">IFERROR(__xludf.DUMMYFUNCTION("""COMPUTED_VALUE"""),"2055-06-06T01:50:01.474878Z")</f>
        <v>2055-06-06T01:50:01.474878Z</v>
      </c>
      <c r="S417" s="3" t="str">
        <f ca="1">IFERROR(__xludf.DUMMYFUNCTION("""COMPUTED_VALUE"""),"2055-06-06T01:55:25.790378Z")</f>
        <v>2055-06-06T01:55:25.790378Z</v>
      </c>
      <c r="T417" s="3"/>
      <c r="U417" s="4">
        <f ca="1">IFERROR(__xludf.DUMMYFUNCTION("""COMPUTED_VALUE"""),56770)</f>
        <v>56770</v>
      </c>
      <c r="V417" s="3">
        <f ca="1">IFERROR(__xludf.DUMMYFUNCTION("""COMPUTED_VALUE"""),4.5)</f>
        <v>4.5</v>
      </c>
      <c r="W417" s="3">
        <f ca="1">IFERROR(__xludf.DUMMYFUNCTION("""COMPUTED_VALUE"""),2500)</f>
        <v>2500</v>
      </c>
      <c r="X417" s="3">
        <f ca="1">IFERROR(__xludf.DUMMYFUNCTION("""COMPUTED_VALUE"""),2261)</f>
        <v>2261</v>
      </c>
      <c r="Y417" s="3">
        <f ca="1">IFERROR(__xludf.DUMMYFUNCTION("""COMPUTED_VALUE"""),324)</f>
        <v>324</v>
      </c>
      <c r="Z417" s="3">
        <f ca="1">IFERROR(__xludf.DUMMYFUNCTION("""COMPUTED_VALUE"""),779)</f>
        <v>779</v>
      </c>
      <c r="AA417" s="3">
        <f ca="1">IFERROR(__xludf.DUMMYFUNCTION("""COMPUTED_VALUE"""),1158)</f>
        <v>1158</v>
      </c>
      <c r="AB417" s="3">
        <f ca="1">IFERROR(__xludf.DUMMYFUNCTION("""COMPUTED_VALUE"""),0)</f>
        <v>0</v>
      </c>
      <c r="AC417" s="3">
        <f ca="1">IFERROR(__xludf.DUMMYFUNCTION("""COMPUTED_VALUE"""),6)</f>
        <v>6</v>
      </c>
      <c r="AD417" s="3" t="str">
        <f ca="1">IFERROR(__xludf.DUMMYFUNCTION("""COMPUTED_VALUE"""),"early")</f>
        <v>early</v>
      </c>
      <c r="AE417" s="3" t="str">
        <f ca="1">IFERROR(__xludf.DUMMYFUNCTION("""COMPUTED_VALUE"""),"2055-06-05T22:08:24.04832Z")</f>
        <v>2055-06-05T22:08:24.04832Z</v>
      </c>
      <c r="AF417" s="3" t="str">
        <f ca="1">IFERROR(__xludf.DUMMYFUNCTION("""COMPUTED_VALUE"""),"2055-06-05T22:27:42.876046Z")</f>
        <v>2055-06-05T22:27:42.876046Z</v>
      </c>
      <c r="AG417" s="3" t="str">
        <f ca="1">IFERROR(__xludf.DUMMYFUNCTION("""COMPUTED_VALUE"""),"2055-06-05T21:49:47.304118Z")</f>
        <v>2055-06-05T21:49:47.304118Z</v>
      </c>
      <c r="AH417" s="3" t="str">
        <f ca="1">IFERROR(__xludf.DUMMYFUNCTION("""COMPUTED_VALUE"""),"2055-06-05T21:55:25.790378Z")</f>
        <v>2055-06-05T21:55:25.790378Z</v>
      </c>
      <c r="AI417" s="3">
        <f ca="1">IFERROR(__xludf.DUMMYFUNCTION("""COMPUTED_VALUE"""),4.62)</f>
        <v>4.62</v>
      </c>
      <c r="AJ417" s="3">
        <f ca="1">IFERROR(__xludf.DUMMYFUNCTION("""COMPUTED_VALUE"""),259)</f>
        <v>259</v>
      </c>
      <c r="AK417" s="3">
        <f ca="1">IFERROR(__xludf.DUMMYFUNCTION("""COMPUTED_VALUE"""),604)</f>
        <v>604</v>
      </c>
      <c r="AL417" s="3">
        <f ca="1">IFERROR(__xludf.DUMMYFUNCTION("""COMPUTED_VALUE"""),21)</f>
        <v>21</v>
      </c>
    </row>
    <row r="418" spans="1:38" ht="13">
      <c r="A418" s="3">
        <f ca="1">IFERROR(__xludf.DUMMYFUNCTION("""COMPUTED_VALUE"""),181)</f>
        <v>181</v>
      </c>
      <c r="B418" s="3">
        <f ca="1">IFERROR(__xludf.DUMMYFUNCTION("""COMPUTED_VALUE"""),5)</f>
        <v>5</v>
      </c>
      <c r="C418" s="3">
        <f ca="1">IFERROR(__xludf.DUMMYFUNCTION("""COMPUTED_VALUE"""),4001)</f>
        <v>4001</v>
      </c>
      <c r="D418" s="3" t="str">
        <f ca="1">IFERROR(__xludf.DUMMYFUNCTION("""COMPUTED_VALUE"""),"Dashattan")</f>
        <v>Dashattan</v>
      </c>
      <c r="E418" s="3" t="str">
        <f ca="1">IFERROR(__xludf.DUMMYFUNCTION("""COMPUTED_VALUE"""),"Galaxy A")</f>
        <v>Galaxy A</v>
      </c>
      <c r="F418" s="3" t="str">
        <f ca="1">IFERROR(__xludf.DUMMYFUNCTION("""COMPUTED_VALUE"""),"Zak")</f>
        <v>Zak</v>
      </c>
      <c r="G418" s="3">
        <f ca="1">IFERROR(__xludf.DUMMYFUNCTION("""COMPUTED_VALUE"""),0)</f>
        <v>0</v>
      </c>
      <c r="H418" s="3" t="str">
        <f ca="1">IFERROR(__xludf.DUMMYFUNCTION("""COMPUTED_VALUE"""),"bicycle")</f>
        <v>bicycle</v>
      </c>
      <c r="I418" s="3" t="str">
        <f ca="1">IFERROR(__xludf.DUMMYFUNCTION("""COMPUTED_VALUE"""),"2055-06-02T22:16:10.323269Z")</f>
        <v>2055-06-02T22:16:10.323269Z</v>
      </c>
      <c r="J418" s="3" t="str">
        <f ca="1">IFERROR(__xludf.DUMMYFUNCTION("""COMPUTED_VALUE"""),"2055-06-02T23:43:35.38Z")</f>
        <v>2055-06-02T23:43:35.38Z</v>
      </c>
      <c r="K418" s="3" t="str">
        <f ca="1">IFERROR(__xludf.DUMMYFUNCTION("""COMPUTED_VALUE"""),"2055-06-02T23:23:56.38Z")</f>
        <v>2055-06-02T23:23:56.38Z</v>
      </c>
      <c r="L418" s="3">
        <f ca="1">IFERROR(__xludf.DUMMYFUNCTION("""COMPUTED_VALUE"""),1)</f>
        <v>1</v>
      </c>
      <c r="M418" s="3">
        <f ca="1">IFERROR(__xludf.DUMMYFUNCTION("""COMPUTED_VALUE"""),0)</f>
        <v>0</v>
      </c>
      <c r="N418" s="3" t="str">
        <f ca="1">IFERROR(__xludf.DUMMYFUNCTION("""COMPUTED_VALUE"""),"2055-06-02T22:38:17.249458Z")</f>
        <v>2055-06-02T22:38:17.249458Z</v>
      </c>
      <c r="O418" s="3" t="str">
        <f ca="1">IFERROR(__xludf.DUMMYFUNCTION("""COMPUTED_VALUE"""),"2055-06-02T22:47:39.123323Z")</f>
        <v>2055-06-02T22:47:39.123323Z</v>
      </c>
      <c r="P418" s="3" t="str">
        <f ca="1">IFERROR(__xludf.DUMMYFUNCTION("""COMPUTED_VALUE"""),"2055-06-02T22:24:34.47279Z")</f>
        <v>2055-06-02T22:24:34.47279Z</v>
      </c>
      <c r="Q418" s="3">
        <f ca="1">IFERROR(__xludf.DUMMYFUNCTION("""COMPUTED_VALUE"""),0)</f>
        <v>0</v>
      </c>
      <c r="R418" s="3" t="str">
        <f ca="1">IFERROR(__xludf.DUMMYFUNCTION("""COMPUTED_VALUE"""),"2055-06-02T22:25:56.548285Z")</f>
        <v>2055-06-02T22:25:56.548285Z</v>
      </c>
      <c r="S418" s="3" t="str">
        <f ca="1">IFERROR(__xludf.DUMMYFUNCTION("""COMPUTED_VALUE"""),"2055-06-02T22:34:14.120093Z")</f>
        <v>2055-06-02T22:34:14.120093Z</v>
      </c>
      <c r="T418" s="3"/>
      <c r="U418" s="4">
        <f ca="1">IFERROR(__xludf.DUMMYFUNCTION("""COMPUTED_VALUE"""),56767)</f>
        <v>56767</v>
      </c>
      <c r="V418" s="3">
        <f ca="1">IFERROR(__xludf.DUMMYFUNCTION("""COMPUTED_VALUE"""),3.104588762)</f>
        <v>3.1045887620000001</v>
      </c>
      <c r="W418" s="3">
        <f ca="1">IFERROR(__xludf.DUMMYFUNCTION("""COMPUTED_VALUE"""),2500)</f>
        <v>2500</v>
      </c>
      <c r="X418" s="3">
        <f ca="1">IFERROR(__xludf.DUMMYFUNCTION("""COMPUTED_VALUE"""),1303)</f>
        <v>1303</v>
      </c>
      <c r="Y418" s="3">
        <f ca="1">IFERROR(__xludf.DUMMYFUNCTION("""COMPUTED_VALUE"""),498)</f>
        <v>498</v>
      </c>
      <c r="Z418" s="3">
        <f ca="1">IFERROR(__xludf.DUMMYFUNCTION("""COMPUTED_VALUE"""),243)</f>
        <v>243</v>
      </c>
      <c r="AA418" s="3">
        <f ca="1">IFERROR(__xludf.DUMMYFUNCTION("""COMPUTED_VALUE"""),562)</f>
        <v>562</v>
      </c>
      <c r="AB418" s="3">
        <f ca="1">IFERROR(__xludf.DUMMYFUNCTION("""COMPUTED_VALUE"""),0)</f>
        <v>0</v>
      </c>
      <c r="AC418" s="3">
        <f ca="1">IFERROR(__xludf.DUMMYFUNCTION("""COMPUTED_VALUE"""),1)</f>
        <v>1</v>
      </c>
      <c r="AD418" s="3" t="str">
        <f ca="1">IFERROR(__xludf.DUMMYFUNCTION("""COMPUTED_VALUE"""),"early")</f>
        <v>early</v>
      </c>
      <c r="AE418" s="3" t="str">
        <f ca="1">IFERROR(__xludf.DUMMYFUNCTION("""COMPUTED_VALUE"""),"2055-06-02T18:38:17.249458Z")</f>
        <v>2055-06-02T18:38:17.249458Z</v>
      </c>
      <c r="AF418" s="3" t="str">
        <f ca="1">IFERROR(__xludf.DUMMYFUNCTION("""COMPUTED_VALUE"""),"2055-06-02T18:47:39.123323Z")</f>
        <v>2055-06-02T18:47:39.123323Z</v>
      </c>
      <c r="AG418" s="3" t="str">
        <f ca="1">IFERROR(__xludf.DUMMYFUNCTION("""COMPUTED_VALUE"""),"2055-06-02T18:24:34.47279Z")</f>
        <v>2055-06-02T18:24:34.47279Z</v>
      </c>
      <c r="AH418" s="3" t="str">
        <f ca="1">IFERROR(__xludf.DUMMYFUNCTION("""COMPUTED_VALUE"""),"2055-06-02T18:34:14.120093Z")</f>
        <v>2055-06-02T18:34:14.120093Z</v>
      </c>
      <c r="AI418" s="3">
        <f ca="1">IFERROR(__xludf.DUMMYFUNCTION("""COMPUTED_VALUE"""),4.63)</f>
        <v>4.63</v>
      </c>
      <c r="AJ418" s="3">
        <f ca="1">IFERROR(__xludf.DUMMYFUNCTION("""COMPUTED_VALUE"""),265)</f>
        <v>265</v>
      </c>
      <c r="AK418" s="3">
        <f ca="1">IFERROR(__xludf.DUMMYFUNCTION("""COMPUTED_VALUE"""),905)</f>
        <v>905</v>
      </c>
      <c r="AL418" s="3">
        <f ca="1">IFERROR(__xludf.DUMMYFUNCTION("""COMPUTED_VALUE"""),77)</f>
        <v>77</v>
      </c>
    </row>
    <row r="419" spans="1:38" ht="13">
      <c r="A419" s="3">
        <f ca="1">IFERROR(__xludf.DUMMYFUNCTION("""COMPUTED_VALUE"""),33)</f>
        <v>33</v>
      </c>
      <c r="B419" s="3"/>
      <c r="C419" s="3">
        <f ca="1">IFERROR(__xludf.DUMMYFUNCTION("""COMPUTED_VALUE"""),4050)</f>
        <v>4050</v>
      </c>
      <c r="D419" s="3" t="str">
        <f ca="1">IFERROR(__xludf.DUMMYFUNCTION("""COMPUTED_VALUE"""),"Doorlanta")</f>
        <v>Doorlanta</v>
      </c>
      <c r="E419" s="3" t="str">
        <f ca="1">IFERROR(__xludf.DUMMYFUNCTION("""COMPUTED_VALUE"""),"Galaxy A")</f>
        <v>Galaxy A</v>
      </c>
      <c r="F419" s="3" t="str">
        <f ca="1">IFERROR(__xludf.DUMMYFUNCTION("""COMPUTED_VALUE"""),"Katelynn")</f>
        <v>Katelynn</v>
      </c>
      <c r="G419" s="3">
        <f ca="1">IFERROR(__xludf.DUMMYFUNCTION("""COMPUTED_VALUE"""),0)</f>
        <v>0</v>
      </c>
      <c r="H419" s="3" t="str">
        <f ca="1">IFERROR(__xludf.DUMMYFUNCTION("""COMPUTED_VALUE"""),"car")</f>
        <v>car</v>
      </c>
      <c r="I419" s="3" t="str">
        <f ca="1">IFERROR(__xludf.DUMMYFUNCTION("""COMPUTED_VALUE"""),"2055-06-01T20:51:53.636907Z")</f>
        <v>2055-06-01T20:51:53.636907Z</v>
      </c>
      <c r="J419" s="3" t="str">
        <f ca="1">IFERROR(__xludf.DUMMYFUNCTION("""COMPUTED_VALUE"""),"2055-06-01T21:47:32.712Z")</f>
        <v>2055-06-01T21:47:32.712Z</v>
      </c>
      <c r="K419" s="3" t="str">
        <f ca="1">IFERROR(__xludf.DUMMYFUNCTION("""COMPUTED_VALUE"""),"2055-06-01T21:43:39.712Z")</f>
        <v>2055-06-01T21:43:39.712Z</v>
      </c>
      <c r="L419" s="3">
        <f ca="1">IFERROR(__xludf.DUMMYFUNCTION("""COMPUTED_VALUE"""),1)</f>
        <v>1</v>
      </c>
      <c r="M419" s="3">
        <f ca="1">IFERROR(__xludf.DUMMYFUNCTION("""COMPUTED_VALUE"""),0)</f>
        <v>0</v>
      </c>
      <c r="N419" s="3" t="str">
        <f ca="1">IFERROR(__xludf.DUMMYFUNCTION("""COMPUTED_VALUE"""),"2055-06-01T21:11:53.793646Z")</f>
        <v>2055-06-01T21:11:53.793646Z</v>
      </c>
      <c r="O419" s="3" t="str">
        <f ca="1">IFERROR(__xludf.DUMMYFUNCTION("""COMPUTED_VALUE"""),"2055-06-01T21:34:51.788258Z")</f>
        <v>2055-06-01T21:34:51.788258Z</v>
      </c>
      <c r="P419" s="3" t="str">
        <f ca="1">IFERROR(__xludf.DUMMYFUNCTION("""COMPUTED_VALUE"""),"2055-06-01T21:00:07.287254Z")</f>
        <v>2055-06-01T21:00:07.287254Z</v>
      </c>
      <c r="Q419" s="3">
        <f ca="1">IFERROR(__xludf.DUMMYFUNCTION("""COMPUTED_VALUE"""),0)</f>
        <v>0</v>
      </c>
      <c r="R419" s="3" t="str">
        <f ca="1">IFERROR(__xludf.DUMMYFUNCTION("""COMPUTED_VALUE"""),"2055-06-01T21:00:33.952855Z")</f>
        <v>2055-06-01T21:00:33.952855Z</v>
      </c>
      <c r="S419" s="3"/>
      <c r="T419" s="3"/>
      <c r="U419" s="4">
        <f ca="1">IFERROR(__xludf.DUMMYFUNCTION("""COMPUTED_VALUE"""),56766)</f>
        <v>56766</v>
      </c>
      <c r="V419" s="3">
        <f ca="1">IFERROR(__xludf.DUMMYFUNCTION("""COMPUTED_VALUE"""),4.4)</f>
        <v>4.4000000000000004</v>
      </c>
      <c r="W419" s="3">
        <f ca="1">IFERROR(__xludf.DUMMYFUNCTION("""COMPUTED_VALUE"""),2500)</f>
        <v>2500</v>
      </c>
      <c r="X419" s="3">
        <f ca="1">IFERROR(__xludf.DUMMYFUNCTION("""COMPUTED_VALUE"""),2058)</f>
        <v>2058</v>
      </c>
      <c r="Y419" s="3"/>
      <c r="Z419" s="3"/>
      <c r="AA419" s="3">
        <f ca="1">IFERROR(__xludf.DUMMYFUNCTION("""COMPUTED_VALUE"""),1378)</f>
        <v>1378</v>
      </c>
      <c r="AB419" s="3">
        <f ca="1">IFERROR(__xludf.DUMMYFUNCTION("""COMPUTED_VALUE"""),0)</f>
        <v>0</v>
      </c>
      <c r="AC419" s="3">
        <f ca="1">IFERROR(__xludf.DUMMYFUNCTION("""COMPUTED_VALUE"""),4)</f>
        <v>4</v>
      </c>
      <c r="AD419" s="3"/>
      <c r="AE419" s="3" t="str">
        <f ca="1">IFERROR(__xludf.DUMMYFUNCTION("""COMPUTED_VALUE"""),"2055-06-01T17:11:53.793646Z")</f>
        <v>2055-06-01T17:11:53.793646Z</v>
      </c>
      <c r="AF419" s="3" t="str">
        <f ca="1">IFERROR(__xludf.DUMMYFUNCTION("""COMPUTED_VALUE"""),"2055-06-01T17:34:51.788258Z")</f>
        <v>2055-06-01T17:34:51.788258Z</v>
      </c>
      <c r="AG419" s="3" t="str">
        <f ca="1">IFERROR(__xludf.DUMMYFUNCTION("""COMPUTED_VALUE"""),"2055-06-01T17:00:07.287254Z")</f>
        <v>2055-06-01T17:00:07.287254Z</v>
      </c>
      <c r="AH419" s="3"/>
      <c r="AI419" s="3">
        <f ca="1">IFERROR(__xludf.DUMMYFUNCTION("""COMPUTED_VALUE"""),4.7)</f>
        <v>4.7</v>
      </c>
      <c r="AJ419" s="3">
        <f ca="1">IFERROR(__xludf.DUMMYFUNCTION("""COMPUTED_VALUE"""),1261)</f>
        <v>1261</v>
      </c>
      <c r="AK419" s="3">
        <f ca="1">IFERROR(__xludf.DUMMYFUNCTION("""COMPUTED_VALUE"""),3264)</f>
        <v>3264</v>
      </c>
      <c r="AL419" s="3">
        <f ca="1">IFERROR(__xludf.DUMMYFUNCTION("""COMPUTED_VALUE"""),232)</f>
        <v>232</v>
      </c>
    </row>
    <row r="420" spans="1:38" ht="13">
      <c r="A420" s="3">
        <f ca="1">IFERROR(__xludf.DUMMYFUNCTION("""COMPUTED_VALUE"""),383)</f>
        <v>383</v>
      </c>
      <c r="B420" s="3">
        <f ca="1">IFERROR(__xludf.DUMMYFUNCTION("""COMPUTED_VALUE"""),4)</f>
        <v>4</v>
      </c>
      <c r="C420" s="3">
        <f ca="1">IFERROR(__xludf.DUMMYFUNCTION("""COMPUTED_VALUE"""),4001)</f>
        <v>4001</v>
      </c>
      <c r="D420" s="3" t="str">
        <f ca="1">IFERROR(__xludf.DUMMYFUNCTION("""COMPUTED_VALUE"""),"Dashattan")</f>
        <v>Dashattan</v>
      </c>
      <c r="E420" s="3" t="str">
        <f ca="1">IFERROR(__xludf.DUMMYFUNCTION("""COMPUTED_VALUE"""),"Galaxy A")</f>
        <v>Galaxy A</v>
      </c>
      <c r="F420" s="3" t="str">
        <f ca="1">IFERROR(__xludf.DUMMYFUNCTION("""COMPUTED_VALUE"""),"Bunje")</f>
        <v>Bunje</v>
      </c>
      <c r="G420" s="3">
        <f ca="1">IFERROR(__xludf.DUMMYFUNCTION("""COMPUTED_VALUE"""),0)</f>
        <v>0</v>
      </c>
      <c r="H420" s="3" t="str">
        <f ca="1">IFERROR(__xludf.DUMMYFUNCTION("""COMPUTED_VALUE"""),"bicycle")</f>
        <v>bicycle</v>
      </c>
      <c r="I420" s="3" t="str">
        <f ca="1">IFERROR(__xludf.DUMMYFUNCTION("""COMPUTED_VALUE"""),"2055-06-04T00:42:42.156865Z")</f>
        <v>2055-06-04T00:42:42.156865Z</v>
      </c>
      <c r="J420" s="3" t="str">
        <f ca="1">IFERROR(__xludf.DUMMYFUNCTION("""COMPUTED_VALUE"""),"2055-06-04T01:26:47.213Z")</f>
        <v>2055-06-04T01:26:47.213Z</v>
      </c>
      <c r="K420" s="3" t="str">
        <f ca="1">IFERROR(__xludf.DUMMYFUNCTION("""COMPUTED_VALUE"""),"2055-06-04T01:14:53.213Z")</f>
        <v>2055-06-04T01:14:53.213Z</v>
      </c>
      <c r="L420" s="3">
        <f ca="1">IFERROR(__xludf.DUMMYFUNCTION("""COMPUTED_VALUE"""),1)</f>
        <v>1</v>
      </c>
      <c r="M420" s="3">
        <f ca="1">IFERROR(__xludf.DUMMYFUNCTION("""COMPUTED_VALUE"""),0)</f>
        <v>0</v>
      </c>
      <c r="N420" s="3" t="str">
        <f ca="1">IFERROR(__xludf.DUMMYFUNCTION("""COMPUTED_VALUE"""),"2055-06-04T01:13:05.178559Z")</f>
        <v>2055-06-04T01:13:05.178559Z</v>
      </c>
      <c r="O420" s="3" t="str">
        <f ca="1">IFERROR(__xludf.DUMMYFUNCTION("""COMPUTED_VALUE"""),"2055-06-04T01:23:54.759479Z")</f>
        <v>2055-06-04T01:23:54.759479Z</v>
      </c>
      <c r="P420" s="3" t="str">
        <f ca="1">IFERROR(__xludf.DUMMYFUNCTION("""COMPUTED_VALUE"""),"2055-06-04T00:49:15.801432Z")</f>
        <v>2055-06-04T00:49:15.801432Z</v>
      </c>
      <c r="Q420" s="3">
        <f ca="1">IFERROR(__xludf.DUMMYFUNCTION("""COMPUTED_VALUE"""),0)</f>
        <v>0</v>
      </c>
      <c r="R420" s="3" t="str">
        <f ca="1">IFERROR(__xludf.DUMMYFUNCTION("""COMPUTED_VALUE"""),"2055-06-04T00:49:26.643055Z")</f>
        <v>2055-06-04T00:49:26.643055Z</v>
      </c>
      <c r="S420" s="3" t="str">
        <f ca="1">IFERROR(__xludf.DUMMYFUNCTION("""COMPUTED_VALUE"""),"2055-06-04T01:04:20.379825Z")</f>
        <v>2055-06-04T01:04:20.379825Z</v>
      </c>
      <c r="T420" s="3"/>
      <c r="U420" s="4">
        <f ca="1">IFERROR(__xludf.DUMMYFUNCTION("""COMPUTED_VALUE"""),56768)</f>
        <v>56768</v>
      </c>
      <c r="V420" s="3">
        <f ca="1">IFERROR(__xludf.DUMMYFUNCTION("""COMPUTED_VALUE"""),4.4)</f>
        <v>4.4000000000000004</v>
      </c>
      <c r="W420" s="3">
        <f ca="1">IFERROR(__xludf.DUMMYFUNCTION("""COMPUTED_VALUE"""),2500)</f>
        <v>2500</v>
      </c>
      <c r="X420" s="3">
        <f ca="1">IFERROR(__xludf.DUMMYFUNCTION("""COMPUTED_VALUE"""),2068)</f>
        <v>2068</v>
      </c>
      <c r="Y420" s="3">
        <f ca="1">IFERROR(__xludf.DUMMYFUNCTION("""COMPUTED_VALUE"""),894)</f>
        <v>894</v>
      </c>
      <c r="Z420" s="3">
        <f ca="1">IFERROR(__xludf.DUMMYFUNCTION("""COMPUTED_VALUE"""),525)</f>
        <v>525</v>
      </c>
      <c r="AA420" s="3">
        <f ca="1">IFERROR(__xludf.DUMMYFUNCTION("""COMPUTED_VALUE"""),649)</f>
        <v>649</v>
      </c>
      <c r="AB420" s="3">
        <f ca="1">IFERROR(__xludf.DUMMYFUNCTION("""COMPUTED_VALUE"""),0)</f>
        <v>0</v>
      </c>
      <c r="AC420" s="3">
        <f ca="1">IFERROR(__xludf.DUMMYFUNCTION("""COMPUTED_VALUE"""),2)</f>
        <v>2</v>
      </c>
      <c r="AD420" s="3" t="str">
        <f ca="1">IFERROR(__xludf.DUMMYFUNCTION("""COMPUTED_VALUE"""),"late")</f>
        <v>late</v>
      </c>
      <c r="AE420" s="3" t="str">
        <f ca="1">IFERROR(__xludf.DUMMYFUNCTION("""COMPUTED_VALUE"""),"2055-06-03T21:13:05.178559Z")</f>
        <v>2055-06-03T21:13:05.178559Z</v>
      </c>
      <c r="AF420" s="3" t="str">
        <f ca="1">IFERROR(__xludf.DUMMYFUNCTION("""COMPUTED_VALUE"""),"2055-06-03T21:23:54.759479Z")</f>
        <v>2055-06-03T21:23:54.759479Z</v>
      </c>
      <c r="AG420" s="3" t="str">
        <f ca="1">IFERROR(__xludf.DUMMYFUNCTION("""COMPUTED_VALUE"""),"2055-06-03T20:49:15.801432Z")</f>
        <v>2055-06-03T20:49:15.801432Z</v>
      </c>
      <c r="AH420" s="3" t="str">
        <f ca="1">IFERROR(__xludf.DUMMYFUNCTION("""COMPUTED_VALUE"""),"2055-06-03T21:04:20.379825Z")</f>
        <v>2055-06-03T21:04:20.379825Z</v>
      </c>
      <c r="AI420" s="3">
        <f ca="1">IFERROR(__xludf.DUMMYFUNCTION("""COMPUTED_VALUE"""),4.7)</f>
        <v>4.7</v>
      </c>
      <c r="AJ420" s="3">
        <f ca="1">IFERROR(__xludf.DUMMYFUNCTION("""COMPUTED_VALUE"""),443)</f>
        <v>443</v>
      </c>
      <c r="AK420" s="3">
        <f ca="1">IFERROR(__xludf.DUMMYFUNCTION("""COMPUTED_VALUE"""),1579)</f>
        <v>1579</v>
      </c>
      <c r="AL420" s="3"/>
    </row>
    <row r="421" spans="1:38" ht="13">
      <c r="A421" s="3">
        <f ca="1">IFERROR(__xludf.DUMMYFUNCTION("""COMPUTED_VALUE"""),263)</f>
        <v>263</v>
      </c>
      <c r="B421" s="3">
        <f ca="1">IFERROR(__xludf.DUMMYFUNCTION("""COMPUTED_VALUE"""),5)</f>
        <v>5</v>
      </c>
      <c r="C421" s="3">
        <f ca="1">IFERROR(__xludf.DUMMYFUNCTION("""COMPUTED_VALUE"""),4001)</f>
        <v>4001</v>
      </c>
      <c r="D421" s="3" t="str">
        <f ca="1">IFERROR(__xludf.DUMMYFUNCTION("""COMPUTED_VALUE"""),"Dashattan")</f>
        <v>Dashattan</v>
      </c>
      <c r="E421" s="3" t="str">
        <f ca="1">IFERROR(__xludf.DUMMYFUNCTION("""COMPUTED_VALUE"""),"Galaxy A")</f>
        <v>Galaxy A</v>
      </c>
      <c r="F421" s="3" t="str">
        <f ca="1">IFERROR(__xludf.DUMMYFUNCTION("""COMPUTED_VALUE"""),"Brian")</f>
        <v>Brian</v>
      </c>
      <c r="G421" s="3">
        <f ca="1">IFERROR(__xludf.DUMMYFUNCTION("""COMPUTED_VALUE"""),0)</f>
        <v>0</v>
      </c>
      <c r="H421" s="3" t="str">
        <f ca="1">IFERROR(__xludf.DUMMYFUNCTION("""COMPUTED_VALUE"""),"bicycle")</f>
        <v>bicycle</v>
      </c>
      <c r="I421" s="3" t="str">
        <f ca="1">IFERROR(__xludf.DUMMYFUNCTION("""COMPUTED_VALUE"""),"2055-06-03T15:12:48.530647Z")</f>
        <v>2055-06-03T15:12:48.530647Z</v>
      </c>
      <c r="J421" s="3" t="str">
        <f ca="1">IFERROR(__xludf.DUMMYFUNCTION("""COMPUTED_VALUE"""),"2055-06-03T15:55:12.605Z")</f>
        <v>2055-06-03T15:55:12.605Z</v>
      </c>
      <c r="K421" s="3" t="str">
        <f ca="1">IFERROR(__xludf.DUMMYFUNCTION("""COMPUTED_VALUE"""),"2055-06-03T15:41:19.605Z")</f>
        <v>2055-06-03T15:41:19.605Z</v>
      </c>
      <c r="L421" s="3">
        <f ca="1">IFERROR(__xludf.DUMMYFUNCTION("""COMPUTED_VALUE"""),1)</f>
        <v>1</v>
      </c>
      <c r="M421" s="3">
        <f ca="1">IFERROR(__xludf.DUMMYFUNCTION("""COMPUTED_VALUE"""),0)</f>
        <v>0</v>
      </c>
      <c r="N421" s="3" t="str">
        <f ca="1">IFERROR(__xludf.DUMMYFUNCTION("""COMPUTED_VALUE"""),"2055-06-03T15:39:24.554988Z")</f>
        <v>2055-06-03T15:39:24.554988Z</v>
      </c>
      <c r="O421" s="3" t="str">
        <f ca="1">IFERROR(__xludf.DUMMYFUNCTION("""COMPUTED_VALUE"""),"2055-06-03T15:43:24.883383Z")</f>
        <v>2055-06-03T15:43:24.883383Z</v>
      </c>
      <c r="P421" s="3" t="str">
        <f ca="1">IFERROR(__xludf.DUMMYFUNCTION("""COMPUTED_VALUE"""),"2055-06-03T15:15:14.576811Z")</f>
        <v>2055-06-03T15:15:14.576811Z</v>
      </c>
      <c r="Q421" s="3">
        <f ca="1">IFERROR(__xludf.DUMMYFUNCTION("""COMPUTED_VALUE"""),0)</f>
        <v>0</v>
      </c>
      <c r="R421" s="3" t="str">
        <f ca="1">IFERROR(__xludf.DUMMYFUNCTION("""COMPUTED_VALUE"""),"2055-06-03T15:15:59.043223Z")</f>
        <v>2055-06-03T15:15:59.043223Z</v>
      </c>
      <c r="S421" s="3" t="str">
        <f ca="1">IFERROR(__xludf.DUMMYFUNCTION("""COMPUTED_VALUE"""),"2055-06-03T15:33:38.499803Z")</f>
        <v>2055-06-03T15:33:38.499803Z</v>
      </c>
      <c r="T421" s="3"/>
      <c r="U421" s="4">
        <f ca="1">IFERROR(__xludf.DUMMYFUNCTION("""COMPUTED_VALUE"""),56768)</f>
        <v>56768</v>
      </c>
      <c r="V421" s="3">
        <f ca="1">IFERROR(__xludf.DUMMYFUNCTION("""COMPUTED_VALUE"""),4.4)</f>
        <v>4.4000000000000004</v>
      </c>
      <c r="W421" s="3">
        <f ca="1">IFERROR(__xludf.DUMMYFUNCTION("""COMPUTED_VALUE"""),2500)</f>
        <v>2500</v>
      </c>
      <c r="X421" s="3">
        <f ca="1">IFERROR(__xludf.DUMMYFUNCTION("""COMPUTED_VALUE"""),1645)</f>
        <v>1645</v>
      </c>
      <c r="Y421" s="3">
        <f ca="1">IFERROR(__xludf.DUMMYFUNCTION("""COMPUTED_VALUE"""),1059)</f>
        <v>1059</v>
      </c>
      <c r="Z421" s="3">
        <f ca="1">IFERROR(__xludf.DUMMYFUNCTION("""COMPUTED_VALUE"""),346)</f>
        <v>346</v>
      </c>
      <c r="AA421" s="3">
        <f ca="1">IFERROR(__xludf.DUMMYFUNCTION("""COMPUTED_VALUE"""),240)</f>
        <v>240</v>
      </c>
      <c r="AB421" s="3">
        <f ca="1">IFERROR(__xludf.DUMMYFUNCTION("""COMPUTED_VALUE"""),0)</f>
        <v>0</v>
      </c>
      <c r="AC421" s="3">
        <f ca="1">IFERROR(__xludf.DUMMYFUNCTION("""COMPUTED_VALUE"""),5)</f>
        <v>5</v>
      </c>
      <c r="AD421" s="3" t="str">
        <f ca="1">IFERROR(__xludf.DUMMYFUNCTION("""COMPUTED_VALUE"""),"on time")</f>
        <v>on time</v>
      </c>
      <c r="AE421" s="3" t="str">
        <f ca="1">IFERROR(__xludf.DUMMYFUNCTION("""COMPUTED_VALUE"""),"2055-06-03T11:39:24.554988Z")</f>
        <v>2055-06-03T11:39:24.554988Z</v>
      </c>
      <c r="AF421" s="3" t="str">
        <f ca="1">IFERROR(__xludf.DUMMYFUNCTION("""COMPUTED_VALUE"""),"2055-06-03T11:43:24.883383Z")</f>
        <v>2055-06-03T11:43:24.883383Z</v>
      </c>
      <c r="AG421" s="3" t="str">
        <f ca="1">IFERROR(__xludf.DUMMYFUNCTION("""COMPUTED_VALUE"""),"2055-06-03T11:15:14.576811Z")</f>
        <v>2055-06-03T11:15:14.576811Z</v>
      </c>
      <c r="AH421" s="3" t="str">
        <f ca="1">IFERROR(__xludf.DUMMYFUNCTION("""COMPUTED_VALUE"""),"2055-06-03T11:33:38.499803Z")</f>
        <v>2055-06-03T11:33:38.499803Z</v>
      </c>
      <c r="AI421" s="3">
        <f ca="1">IFERROR(__xludf.DUMMYFUNCTION("""COMPUTED_VALUE"""),4.81)</f>
        <v>4.8099999999999996</v>
      </c>
      <c r="AJ421" s="3">
        <f ca="1">IFERROR(__xludf.DUMMYFUNCTION("""COMPUTED_VALUE"""),747)</f>
        <v>747</v>
      </c>
      <c r="AK421" s="3">
        <f ca="1">IFERROR(__xludf.DUMMYFUNCTION("""COMPUTED_VALUE"""),2902)</f>
        <v>2902</v>
      </c>
      <c r="AL421" s="3">
        <f ca="1">IFERROR(__xludf.DUMMYFUNCTION("""COMPUTED_VALUE"""),484)</f>
        <v>484</v>
      </c>
    </row>
    <row r="422" spans="1:38" ht="13">
      <c r="A422" s="3">
        <f ca="1">IFERROR(__xludf.DUMMYFUNCTION("""COMPUTED_VALUE"""),1115)</f>
        <v>1115</v>
      </c>
      <c r="B422" s="3">
        <f ca="1">IFERROR(__xludf.DUMMYFUNCTION("""COMPUTED_VALUE"""),5)</f>
        <v>5</v>
      </c>
      <c r="C422" s="3">
        <f ca="1">IFERROR(__xludf.DUMMYFUNCTION("""COMPUTED_VALUE"""),4001)</f>
        <v>4001</v>
      </c>
      <c r="D422" s="3" t="str">
        <f ca="1">IFERROR(__xludf.DUMMYFUNCTION("""COMPUTED_VALUE"""),"Dashattan")</f>
        <v>Dashattan</v>
      </c>
      <c r="E422" s="3" t="str">
        <f ca="1">IFERROR(__xludf.DUMMYFUNCTION("""COMPUTED_VALUE"""),"Galaxy A")</f>
        <v>Galaxy A</v>
      </c>
      <c r="F422" s="3" t="str">
        <f ca="1">IFERROR(__xludf.DUMMYFUNCTION("""COMPUTED_VALUE"""),"Sean")</f>
        <v>Sean</v>
      </c>
      <c r="G422" s="3">
        <f ca="1">IFERROR(__xludf.DUMMYFUNCTION("""COMPUTED_VALUE"""),0)</f>
        <v>0</v>
      </c>
      <c r="H422" s="3" t="str">
        <f ca="1">IFERROR(__xludf.DUMMYFUNCTION("""COMPUTED_VALUE"""),"bicycle")</f>
        <v>bicycle</v>
      </c>
      <c r="I422" s="3" t="str">
        <f ca="1">IFERROR(__xludf.DUMMYFUNCTION("""COMPUTED_VALUE"""),"2055-06-10T14:22:31.510497Z")</f>
        <v>2055-06-10T14:22:31.510497Z</v>
      </c>
      <c r="J422" s="3" t="str">
        <f ca="1">IFERROR(__xludf.DUMMYFUNCTION("""COMPUTED_VALUE"""),"2055-06-10T15:45:00Z")</f>
        <v>2055-06-10T15:45:00Z</v>
      </c>
      <c r="K422" s="3" t="str">
        <f ca="1">IFERROR(__xludf.DUMMYFUNCTION("""COMPUTED_VALUE"""),"2055-06-10T15:45:00Z")</f>
        <v>2055-06-10T15:45:00Z</v>
      </c>
      <c r="L422" s="3">
        <f ca="1">IFERROR(__xludf.DUMMYFUNCTION("""COMPUTED_VALUE"""),0)</f>
        <v>0</v>
      </c>
      <c r="M422" s="3">
        <f ca="1">IFERROR(__xludf.DUMMYFUNCTION("""COMPUTED_VALUE"""),0)</f>
        <v>0</v>
      </c>
      <c r="N422" s="3" t="str">
        <f ca="1">IFERROR(__xludf.DUMMYFUNCTION("""COMPUTED_VALUE"""),"2055-06-10T15:18:43.117179Z")</f>
        <v>2055-06-10T15:18:43.117179Z</v>
      </c>
      <c r="O422" s="3" t="str">
        <f ca="1">IFERROR(__xludf.DUMMYFUNCTION("""COMPUTED_VALUE"""),"2055-06-10T15:23:55.496101Z")</f>
        <v>2055-06-10T15:23:55.496101Z</v>
      </c>
      <c r="P422" s="3" t="str">
        <f ca="1">IFERROR(__xludf.DUMMYFUNCTION("""COMPUTED_VALUE"""),"2055-06-10T14:47:54.186731Z")</f>
        <v>2055-06-10T14:47:54.186731Z</v>
      </c>
      <c r="Q422" s="3">
        <f ca="1">IFERROR(__xludf.DUMMYFUNCTION("""COMPUTED_VALUE"""),0)</f>
        <v>0</v>
      </c>
      <c r="R422" s="3" t="str">
        <f ca="1">IFERROR(__xludf.DUMMYFUNCTION("""COMPUTED_VALUE"""),"2055-06-10T14:48:13.558458Z")</f>
        <v>2055-06-10T14:48:13.558458Z</v>
      </c>
      <c r="S422" s="3" t="str">
        <f ca="1">IFERROR(__xludf.DUMMYFUNCTION("""COMPUTED_VALUE"""),"2055-06-10T14:57:36.535202Z")</f>
        <v>2055-06-10T14:57:36.535202Z</v>
      </c>
      <c r="T422" s="3"/>
      <c r="U422" s="4">
        <f ca="1">IFERROR(__xludf.DUMMYFUNCTION("""COMPUTED_VALUE"""),56775)</f>
        <v>56775</v>
      </c>
      <c r="V422" s="3">
        <f ca="1">IFERROR(__xludf.DUMMYFUNCTION("""COMPUTED_VALUE"""),4.4)</f>
        <v>4.4000000000000004</v>
      </c>
      <c r="W422" s="3">
        <f ca="1">IFERROR(__xludf.DUMMYFUNCTION("""COMPUTED_VALUE"""),2500)</f>
        <v>2500</v>
      </c>
      <c r="X422" s="3">
        <f ca="1">IFERROR(__xludf.DUMMYFUNCTION("""COMPUTED_VALUE"""),2142)</f>
        <v>2142</v>
      </c>
      <c r="Y422" s="3">
        <f ca="1">IFERROR(__xludf.DUMMYFUNCTION("""COMPUTED_VALUE"""),563)</f>
        <v>563</v>
      </c>
      <c r="Z422" s="3">
        <f ca="1">IFERROR(__xludf.DUMMYFUNCTION("""COMPUTED_VALUE"""),1267)</f>
        <v>1267</v>
      </c>
      <c r="AA422" s="3">
        <f ca="1">IFERROR(__xludf.DUMMYFUNCTION("""COMPUTED_VALUE"""),312)</f>
        <v>312</v>
      </c>
      <c r="AB422" s="3">
        <f ca="1">IFERROR(__xludf.DUMMYFUNCTION("""COMPUTED_VALUE"""),0)</f>
        <v>0</v>
      </c>
      <c r="AC422" s="3">
        <f ca="1">IFERROR(__xludf.DUMMYFUNCTION("""COMPUTED_VALUE"""),5)</f>
        <v>5</v>
      </c>
      <c r="AD422" s="3" t="str">
        <f ca="1">IFERROR(__xludf.DUMMYFUNCTION("""COMPUTED_VALUE"""),"early")</f>
        <v>early</v>
      </c>
      <c r="AE422" s="3" t="str">
        <f ca="1">IFERROR(__xludf.DUMMYFUNCTION("""COMPUTED_VALUE"""),"2055-06-10T11:18:43.117179Z")</f>
        <v>2055-06-10T11:18:43.117179Z</v>
      </c>
      <c r="AF422" s="3" t="str">
        <f ca="1">IFERROR(__xludf.DUMMYFUNCTION("""COMPUTED_VALUE"""),"2055-06-10T11:23:55.496101Z")</f>
        <v>2055-06-10T11:23:55.496101Z</v>
      </c>
      <c r="AG422" s="3" t="str">
        <f ca="1">IFERROR(__xludf.DUMMYFUNCTION("""COMPUTED_VALUE"""),"2055-06-10T10:47:54.186731Z")</f>
        <v>2055-06-10T10:47:54.186731Z</v>
      </c>
      <c r="AH422" s="3" t="str">
        <f ca="1">IFERROR(__xludf.DUMMYFUNCTION("""COMPUTED_VALUE"""),"2055-06-10T10:57:36.535202Z")</f>
        <v>2055-06-10T10:57:36.535202Z</v>
      </c>
      <c r="AI422" s="3">
        <f ca="1">IFERROR(__xludf.DUMMYFUNCTION("""COMPUTED_VALUE"""),4.52)</f>
        <v>4.5199999999999996</v>
      </c>
      <c r="AJ422" s="3">
        <f ca="1">IFERROR(__xludf.DUMMYFUNCTION("""COMPUTED_VALUE"""),183)</f>
        <v>183</v>
      </c>
      <c r="AK422" s="3">
        <f ca="1">IFERROR(__xludf.DUMMYFUNCTION("""COMPUTED_VALUE"""),522)</f>
        <v>522</v>
      </c>
      <c r="AL422" s="3"/>
    </row>
    <row r="423" spans="1:38" ht="13">
      <c r="A423" s="3">
        <f ca="1">IFERROR(__xludf.DUMMYFUNCTION("""COMPUTED_VALUE"""),1349)</f>
        <v>1349</v>
      </c>
      <c r="B423" s="3">
        <f ca="1">IFERROR(__xludf.DUMMYFUNCTION("""COMPUTED_VALUE"""),5)</f>
        <v>5</v>
      </c>
      <c r="C423" s="3">
        <f ca="1">IFERROR(__xludf.DUMMYFUNCTION("""COMPUTED_VALUE"""),4001)</f>
        <v>4001</v>
      </c>
      <c r="D423" s="3" t="str">
        <f ca="1">IFERROR(__xludf.DUMMYFUNCTION("""COMPUTED_VALUE"""),"Dashattan")</f>
        <v>Dashattan</v>
      </c>
      <c r="E423" s="3" t="str">
        <f ca="1">IFERROR(__xludf.DUMMYFUNCTION("""COMPUTED_VALUE"""),"Galaxy A")</f>
        <v>Galaxy A</v>
      </c>
      <c r="F423" s="3" t="str">
        <f ca="1">IFERROR(__xludf.DUMMYFUNCTION("""COMPUTED_VALUE"""),"Rojan")</f>
        <v>Rojan</v>
      </c>
      <c r="G423" s="3">
        <f ca="1">IFERROR(__xludf.DUMMYFUNCTION("""COMPUTED_VALUE"""),0)</f>
        <v>0</v>
      </c>
      <c r="H423" s="3" t="str">
        <f ca="1">IFERROR(__xludf.DUMMYFUNCTION("""COMPUTED_VALUE"""),"bicycle")</f>
        <v>bicycle</v>
      </c>
      <c r="I423" s="3" t="str">
        <f ca="1">IFERROR(__xludf.DUMMYFUNCTION("""COMPUTED_VALUE"""),"2055-06-11T23:47:38.432928Z")</f>
        <v>2055-06-11T23:47:38.432928Z</v>
      </c>
      <c r="J423" s="3" t="str">
        <f ca="1">IFERROR(__xludf.DUMMYFUNCTION("""COMPUTED_VALUE"""),"2055-06-12T00:48:55.498Z")</f>
        <v>2055-06-12T00:48:55.498Z</v>
      </c>
      <c r="K423" s="3" t="str">
        <f ca="1">IFERROR(__xludf.DUMMYFUNCTION("""COMPUTED_VALUE"""),"2055-06-12T00:29:16.498Z")</f>
        <v>2055-06-12T00:29:16.498Z</v>
      </c>
      <c r="L423" s="3">
        <f ca="1">IFERROR(__xludf.DUMMYFUNCTION("""COMPUTED_VALUE"""),1)</f>
        <v>1</v>
      </c>
      <c r="M423" s="3">
        <f ca="1">IFERROR(__xludf.DUMMYFUNCTION("""COMPUTED_VALUE"""),0)</f>
        <v>0</v>
      </c>
      <c r="N423" s="3" t="str">
        <f ca="1">IFERROR(__xludf.DUMMYFUNCTION("""COMPUTED_VALUE"""),"2055-06-12T00:33:10.580002Z")</f>
        <v>2055-06-12T00:33:10.580002Z</v>
      </c>
      <c r="O423" s="3" t="str">
        <f ca="1">IFERROR(__xludf.DUMMYFUNCTION("""COMPUTED_VALUE"""),"2055-06-12T00:42:28.536061Z")</f>
        <v>2055-06-12T00:42:28.536061Z</v>
      </c>
      <c r="P423" s="3" t="str">
        <f ca="1">IFERROR(__xludf.DUMMYFUNCTION("""COMPUTED_VALUE"""),"2055-06-11T23:50:15.425991Z")</f>
        <v>2055-06-11T23:50:15.425991Z</v>
      </c>
      <c r="Q423" s="3">
        <f ca="1">IFERROR(__xludf.DUMMYFUNCTION("""COMPUTED_VALUE"""),0)</f>
        <v>0</v>
      </c>
      <c r="R423" s="3" t="str">
        <f ca="1">IFERROR(__xludf.DUMMYFUNCTION("""COMPUTED_VALUE"""),"2055-06-11T23:50:40.454573Z")</f>
        <v>2055-06-11T23:50:40.454573Z</v>
      </c>
      <c r="S423" s="3" t="str">
        <f ca="1">IFERROR(__xludf.DUMMYFUNCTION("""COMPUTED_VALUE"""),"2055-06-11T23:57:45.947029Z")</f>
        <v>2055-06-11T23:57:45.947029Z</v>
      </c>
      <c r="T423" s="3"/>
      <c r="U423" s="4">
        <f ca="1">IFERROR(__xludf.DUMMYFUNCTION("""COMPUTED_VALUE"""),56776)</f>
        <v>56776</v>
      </c>
      <c r="V423" s="3">
        <f ca="1">IFERROR(__xludf.DUMMYFUNCTION("""COMPUTED_VALUE"""),4.3)</f>
        <v>4.3</v>
      </c>
      <c r="W423" s="3">
        <f ca="1">IFERROR(__xludf.DUMMYFUNCTION("""COMPUTED_VALUE"""),2500)</f>
        <v>2500</v>
      </c>
      <c r="X423" s="3">
        <f ca="1">IFERROR(__xludf.DUMMYFUNCTION("""COMPUTED_VALUE"""),3108)</f>
        <v>3108</v>
      </c>
      <c r="Y423" s="3">
        <f ca="1">IFERROR(__xludf.DUMMYFUNCTION("""COMPUTED_VALUE"""),425)</f>
        <v>425</v>
      </c>
      <c r="Z423" s="3">
        <f ca="1">IFERROR(__xludf.DUMMYFUNCTION("""COMPUTED_VALUE"""),2125)</f>
        <v>2125</v>
      </c>
      <c r="AA423" s="3">
        <f ca="1">IFERROR(__xludf.DUMMYFUNCTION("""COMPUTED_VALUE"""),558)</f>
        <v>558</v>
      </c>
      <c r="AB423" s="3">
        <f ca="1">IFERROR(__xludf.DUMMYFUNCTION("""COMPUTED_VALUE"""),1)</f>
        <v>1</v>
      </c>
      <c r="AC423" s="3">
        <f ca="1">IFERROR(__xludf.DUMMYFUNCTION("""COMPUTED_VALUE"""),5)</f>
        <v>5</v>
      </c>
      <c r="AD423" s="3"/>
      <c r="AE423" s="3" t="str">
        <f ca="1">IFERROR(__xludf.DUMMYFUNCTION("""COMPUTED_VALUE"""),"2055-06-11T20:33:10.580002Z")</f>
        <v>2055-06-11T20:33:10.580002Z</v>
      </c>
      <c r="AF423" s="3" t="str">
        <f ca="1">IFERROR(__xludf.DUMMYFUNCTION("""COMPUTED_VALUE"""),"2055-06-11T20:42:28.536061Z")</f>
        <v>2055-06-11T20:42:28.536061Z</v>
      </c>
      <c r="AG423" s="3" t="str">
        <f ca="1">IFERROR(__xludf.DUMMYFUNCTION("""COMPUTED_VALUE"""),"2055-06-11T19:50:15.425991Z")</f>
        <v>2055-06-11T19:50:15.425991Z</v>
      </c>
      <c r="AH423" s="3" t="str">
        <f ca="1">IFERROR(__xludf.DUMMYFUNCTION("""COMPUTED_VALUE"""),"2055-06-11T19:57:45.947029Z")</f>
        <v>2055-06-11T19:57:45.947029Z</v>
      </c>
      <c r="AI423" s="3">
        <f ca="1">IFERROR(__xludf.DUMMYFUNCTION("""COMPUTED_VALUE"""),4.58)</f>
        <v>4.58</v>
      </c>
      <c r="AJ423" s="3">
        <f ca="1">IFERROR(__xludf.DUMMYFUNCTION("""COMPUTED_VALUE"""),254)</f>
        <v>254</v>
      </c>
      <c r="AK423" s="3">
        <f ca="1">IFERROR(__xludf.DUMMYFUNCTION("""COMPUTED_VALUE"""),788)</f>
        <v>788</v>
      </c>
      <c r="AL423" s="3">
        <f ca="1">IFERROR(__xludf.DUMMYFUNCTION("""COMPUTED_VALUE"""),9)</f>
        <v>9</v>
      </c>
    </row>
    <row r="424" spans="1:38" ht="13">
      <c r="A424" s="3">
        <f ca="1">IFERROR(__xludf.DUMMYFUNCTION("""COMPUTED_VALUE"""),663)</f>
        <v>663</v>
      </c>
      <c r="B424" s="3"/>
      <c r="C424" s="3">
        <f ca="1">IFERROR(__xludf.DUMMYFUNCTION("""COMPUTED_VALUE"""),4050)</f>
        <v>4050</v>
      </c>
      <c r="D424" s="3" t="str">
        <f ca="1">IFERROR(__xludf.DUMMYFUNCTION("""COMPUTED_VALUE"""),"Doorlanta")</f>
        <v>Doorlanta</v>
      </c>
      <c r="E424" s="3" t="str">
        <f ca="1">IFERROR(__xludf.DUMMYFUNCTION("""COMPUTED_VALUE"""),"Galaxy A")</f>
        <v>Galaxy A</v>
      </c>
      <c r="F424" s="3" t="str">
        <f ca="1">IFERROR(__xludf.DUMMYFUNCTION("""COMPUTED_VALUE"""),"Abhai")</f>
        <v>Abhai</v>
      </c>
      <c r="G424" s="3">
        <f ca="1">IFERROR(__xludf.DUMMYFUNCTION("""COMPUTED_VALUE"""),0)</f>
        <v>0</v>
      </c>
      <c r="H424" s="3" t="str">
        <f ca="1">IFERROR(__xludf.DUMMYFUNCTION("""COMPUTED_VALUE"""),"car")</f>
        <v>car</v>
      </c>
      <c r="I424" s="3" t="str">
        <f ca="1">IFERROR(__xludf.DUMMYFUNCTION("""COMPUTED_VALUE"""),"2055-06-05T23:03:53.999335Z")</f>
        <v>2055-06-05T23:03:53.999335Z</v>
      </c>
      <c r="J424" s="3" t="str">
        <f ca="1">IFERROR(__xludf.DUMMYFUNCTION("""COMPUTED_VALUE"""),"2055-06-06T00:02:19.071Z")</f>
        <v>2055-06-06T00:02:19.071Z</v>
      </c>
      <c r="K424" s="3" t="str">
        <f ca="1">IFERROR(__xludf.DUMMYFUNCTION("""COMPUTED_VALUE"""),"2055-06-05T23:42:40.071Z")</f>
        <v>2055-06-05T23:42:40.071Z</v>
      </c>
      <c r="L424" s="3">
        <f ca="1">IFERROR(__xludf.DUMMYFUNCTION("""COMPUTED_VALUE"""),1)</f>
        <v>1</v>
      </c>
      <c r="M424" s="3">
        <f ca="1">IFERROR(__xludf.DUMMYFUNCTION("""COMPUTED_VALUE"""),0)</f>
        <v>0</v>
      </c>
      <c r="N424" s="3" t="str">
        <f ca="1">IFERROR(__xludf.DUMMYFUNCTION("""COMPUTED_VALUE"""),"2055-06-05T23:21:07.626338Z")</f>
        <v>2055-06-05T23:21:07.626338Z</v>
      </c>
      <c r="O424" s="3" t="str">
        <f ca="1">IFERROR(__xludf.DUMMYFUNCTION("""COMPUTED_VALUE"""),"2055-06-05T23:43:13.498338Z")</f>
        <v>2055-06-05T23:43:13.498338Z</v>
      </c>
      <c r="P424" s="3" t="str">
        <f ca="1">IFERROR(__xludf.DUMMYFUNCTION("""COMPUTED_VALUE"""),"2055-06-05T23:04:07.332753Z")</f>
        <v>2055-06-05T23:04:07.332753Z</v>
      </c>
      <c r="Q424" s="3">
        <f ca="1">IFERROR(__xludf.DUMMYFUNCTION("""COMPUTED_VALUE"""),0)</f>
        <v>0</v>
      </c>
      <c r="R424" s="3" t="str">
        <f ca="1">IFERROR(__xludf.DUMMYFUNCTION("""COMPUTED_VALUE"""),"2055-06-05T23:04:25.008918Z")</f>
        <v>2055-06-05T23:04:25.008918Z</v>
      </c>
      <c r="S424" s="3" t="str">
        <f ca="1">IFERROR(__xludf.DUMMYFUNCTION("""COMPUTED_VALUE"""),"2055-06-05T23:11:20.567133Z")</f>
        <v>2055-06-05T23:11:20.567133Z</v>
      </c>
      <c r="T424" s="3"/>
      <c r="U424" s="4">
        <f ca="1">IFERROR(__xludf.DUMMYFUNCTION("""COMPUTED_VALUE"""),56770)</f>
        <v>56770</v>
      </c>
      <c r="V424" s="3">
        <f ca="1">IFERROR(__xludf.DUMMYFUNCTION("""COMPUTED_VALUE"""),4.7)</f>
        <v>4.7</v>
      </c>
      <c r="W424" s="3">
        <f ca="1">IFERROR(__xludf.DUMMYFUNCTION("""COMPUTED_VALUE"""),2500)</f>
        <v>2500</v>
      </c>
      <c r="X424" s="3">
        <f ca="1">IFERROR(__xludf.DUMMYFUNCTION("""COMPUTED_VALUE"""),2328)</f>
        <v>2328</v>
      </c>
      <c r="Y424" s="3">
        <f ca="1">IFERROR(__xludf.DUMMYFUNCTION("""COMPUTED_VALUE"""),415)</f>
        <v>415</v>
      </c>
      <c r="Z424" s="3">
        <f ca="1">IFERROR(__xludf.DUMMYFUNCTION("""COMPUTED_VALUE"""),587)</f>
        <v>587</v>
      </c>
      <c r="AA424" s="3">
        <f ca="1">IFERROR(__xludf.DUMMYFUNCTION("""COMPUTED_VALUE"""),1326)</f>
        <v>1326</v>
      </c>
      <c r="AB424" s="3">
        <f ca="1">IFERROR(__xludf.DUMMYFUNCTION("""COMPUTED_VALUE"""),1)</f>
        <v>1</v>
      </c>
      <c r="AC424" s="3">
        <f ca="1">IFERROR(__xludf.DUMMYFUNCTION("""COMPUTED_VALUE"""),3)</f>
        <v>3</v>
      </c>
      <c r="AD424" s="3"/>
      <c r="AE424" s="3" t="str">
        <f ca="1">IFERROR(__xludf.DUMMYFUNCTION("""COMPUTED_VALUE"""),"2055-06-05T19:21:07.626338Z")</f>
        <v>2055-06-05T19:21:07.626338Z</v>
      </c>
      <c r="AF424" s="3" t="str">
        <f ca="1">IFERROR(__xludf.DUMMYFUNCTION("""COMPUTED_VALUE"""),"2055-06-05T19:43:13.498338Z")</f>
        <v>2055-06-05T19:43:13.498338Z</v>
      </c>
      <c r="AG424" s="3" t="str">
        <f ca="1">IFERROR(__xludf.DUMMYFUNCTION("""COMPUTED_VALUE"""),"2055-06-05T19:04:07.332753Z")</f>
        <v>2055-06-05T19:04:07.332753Z</v>
      </c>
      <c r="AH424" s="3" t="str">
        <f ca="1">IFERROR(__xludf.DUMMYFUNCTION("""COMPUTED_VALUE"""),"2055-06-05T19:11:20.567133Z")</f>
        <v>2055-06-05T19:11:20.567133Z</v>
      </c>
      <c r="AI424" s="3">
        <f ca="1">IFERROR(__xludf.DUMMYFUNCTION("""COMPUTED_VALUE"""),4.56)</f>
        <v>4.5599999999999996</v>
      </c>
      <c r="AJ424" s="3">
        <f ca="1">IFERROR(__xludf.DUMMYFUNCTION("""COMPUTED_VALUE"""),344)</f>
        <v>344</v>
      </c>
      <c r="AK424" s="3">
        <f ca="1">IFERROR(__xludf.DUMMYFUNCTION("""COMPUTED_VALUE"""),947)</f>
        <v>947</v>
      </c>
      <c r="AL424" s="3">
        <f ca="1">IFERROR(__xludf.DUMMYFUNCTION("""COMPUTED_VALUE"""),22)</f>
        <v>22</v>
      </c>
    </row>
    <row r="425" spans="1:38" ht="13">
      <c r="A425" s="3">
        <f ca="1">IFERROR(__xludf.DUMMYFUNCTION("""COMPUTED_VALUE"""),313)</f>
        <v>313</v>
      </c>
      <c r="B425" s="3"/>
      <c r="C425" s="3">
        <f ca="1">IFERROR(__xludf.DUMMYFUNCTION("""COMPUTED_VALUE"""),4001)</f>
        <v>4001</v>
      </c>
      <c r="D425" s="3" t="str">
        <f ca="1">IFERROR(__xludf.DUMMYFUNCTION("""COMPUTED_VALUE"""),"Dashattan")</f>
        <v>Dashattan</v>
      </c>
      <c r="E425" s="3" t="str">
        <f ca="1">IFERROR(__xludf.DUMMYFUNCTION("""COMPUTED_VALUE"""),"Galaxy A")</f>
        <v>Galaxy A</v>
      </c>
      <c r="F425" s="3" t="str">
        <f ca="1">IFERROR(__xludf.DUMMYFUNCTION("""COMPUTED_VALUE"""),"Arya")</f>
        <v>Arya</v>
      </c>
      <c r="G425" s="3">
        <f ca="1">IFERROR(__xludf.DUMMYFUNCTION("""COMPUTED_VALUE"""),0)</f>
        <v>0</v>
      </c>
      <c r="H425" s="3" t="str">
        <f ca="1">IFERROR(__xludf.DUMMYFUNCTION("""COMPUTED_VALUE"""),"bicycle")</f>
        <v>bicycle</v>
      </c>
      <c r="I425" s="3" t="str">
        <f ca="1">IFERROR(__xludf.DUMMYFUNCTION("""COMPUTED_VALUE"""),"2055-06-03T18:23:22.714281Z")</f>
        <v>2055-06-03T18:23:22.714281Z</v>
      </c>
      <c r="J425" s="3" t="str">
        <f ca="1">IFERROR(__xludf.DUMMYFUNCTION("""COMPUTED_VALUE"""),"2055-06-03T19:07:04.779Z")</f>
        <v>2055-06-03T19:07:04.779Z</v>
      </c>
      <c r="K425" s="3" t="str">
        <f ca="1">IFERROR(__xludf.DUMMYFUNCTION("""COMPUTED_VALUE"""),"2055-06-03T18:47:25.779Z")</f>
        <v>2055-06-03T18:47:25.779Z</v>
      </c>
      <c r="L425" s="3">
        <f ca="1">IFERROR(__xludf.DUMMYFUNCTION("""COMPUTED_VALUE"""),1)</f>
        <v>1</v>
      </c>
      <c r="M425" s="3">
        <f ca="1">IFERROR(__xludf.DUMMYFUNCTION("""COMPUTED_VALUE"""),0)</f>
        <v>0</v>
      </c>
      <c r="N425" s="3" t="str">
        <f ca="1">IFERROR(__xludf.DUMMYFUNCTION("""COMPUTED_VALUE"""),"2055-06-03T18:54:39.721357Z")</f>
        <v>2055-06-03T18:54:39.721357Z</v>
      </c>
      <c r="O425" s="3" t="str">
        <f ca="1">IFERROR(__xludf.DUMMYFUNCTION("""COMPUTED_VALUE"""),"2055-06-03T18:59:57.147267Z")</f>
        <v>2055-06-03T18:59:57.147267Z</v>
      </c>
      <c r="P425" s="3" t="str">
        <f ca="1">IFERROR(__xludf.DUMMYFUNCTION("""COMPUTED_VALUE"""),"2055-06-03T18:29:34.231172Z")</f>
        <v>2055-06-03T18:29:34.231172Z</v>
      </c>
      <c r="Q425" s="3">
        <f ca="1">IFERROR(__xludf.DUMMYFUNCTION("""COMPUTED_VALUE"""),0)</f>
        <v>0</v>
      </c>
      <c r="R425" s="3" t="str">
        <f ca="1">IFERROR(__xludf.DUMMYFUNCTION("""COMPUTED_VALUE"""),"2055-06-03T18:29:43.649555Z")</f>
        <v>2055-06-03T18:29:43.649555Z</v>
      </c>
      <c r="S425" s="3" t="str">
        <f ca="1">IFERROR(__xludf.DUMMYFUNCTION("""COMPUTED_VALUE"""),"2055-06-03T18:39:37.244485Z")</f>
        <v>2055-06-03T18:39:37.244485Z</v>
      </c>
      <c r="T425" s="3"/>
      <c r="U425" s="4">
        <f ca="1">IFERROR(__xludf.DUMMYFUNCTION("""COMPUTED_VALUE"""),56768)</f>
        <v>56768</v>
      </c>
      <c r="V425" s="3">
        <f ca="1">IFERROR(__xludf.DUMMYFUNCTION("""COMPUTED_VALUE"""),4.4)</f>
        <v>4.4000000000000004</v>
      </c>
      <c r="W425" s="3">
        <f ca="1">IFERROR(__xludf.DUMMYFUNCTION("""COMPUTED_VALUE"""),2500)</f>
        <v>2500</v>
      </c>
      <c r="X425" s="3">
        <f ca="1">IFERROR(__xludf.DUMMYFUNCTION("""COMPUTED_VALUE"""),1814)</f>
        <v>1814</v>
      </c>
      <c r="Y425" s="3">
        <f ca="1">IFERROR(__xludf.DUMMYFUNCTION("""COMPUTED_VALUE"""),594)</f>
        <v>594</v>
      </c>
      <c r="Z425" s="3">
        <f ca="1">IFERROR(__xludf.DUMMYFUNCTION("""COMPUTED_VALUE"""),902)</f>
        <v>902</v>
      </c>
      <c r="AA425" s="3">
        <f ca="1">IFERROR(__xludf.DUMMYFUNCTION("""COMPUTED_VALUE"""),318)</f>
        <v>318</v>
      </c>
      <c r="AB425" s="3">
        <f ca="1">IFERROR(__xludf.DUMMYFUNCTION("""COMPUTED_VALUE"""),0)</f>
        <v>0</v>
      </c>
      <c r="AC425" s="3">
        <f ca="1">IFERROR(__xludf.DUMMYFUNCTION("""COMPUTED_VALUE"""),5)</f>
        <v>5</v>
      </c>
      <c r="AD425" s="3" t="str">
        <f ca="1">IFERROR(__xludf.DUMMYFUNCTION("""COMPUTED_VALUE"""),"on time")</f>
        <v>on time</v>
      </c>
      <c r="AE425" s="3" t="str">
        <f ca="1">IFERROR(__xludf.DUMMYFUNCTION("""COMPUTED_VALUE"""),"2055-06-03T14:54:39.721357Z")</f>
        <v>2055-06-03T14:54:39.721357Z</v>
      </c>
      <c r="AF425" s="3" t="str">
        <f ca="1">IFERROR(__xludf.DUMMYFUNCTION("""COMPUTED_VALUE"""),"2055-06-03T14:59:57.147267Z")</f>
        <v>2055-06-03T14:59:57.147267Z</v>
      </c>
      <c r="AG425" s="3" t="str">
        <f ca="1">IFERROR(__xludf.DUMMYFUNCTION("""COMPUTED_VALUE"""),"2055-06-03T14:29:34.231172Z")</f>
        <v>2055-06-03T14:29:34.231172Z</v>
      </c>
      <c r="AH425" s="3" t="str">
        <f ca="1">IFERROR(__xludf.DUMMYFUNCTION("""COMPUTED_VALUE"""),"2055-06-03T14:39:37.244485Z")</f>
        <v>2055-06-03T14:39:37.244485Z</v>
      </c>
      <c r="AI425" s="3">
        <f ca="1">IFERROR(__xludf.DUMMYFUNCTION("""COMPUTED_VALUE"""),4.17)</f>
        <v>4.17</v>
      </c>
      <c r="AJ425" s="3">
        <f ca="1">IFERROR(__xludf.DUMMYFUNCTION("""COMPUTED_VALUE"""),457)</f>
        <v>457</v>
      </c>
      <c r="AK425" s="3">
        <f ca="1">IFERROR(__xludf.DUMMYFUNCTION("""COMPUTED_VALUE"""),1599)</f>
        <v>1599</v>
      </c>
      <c r="AL425" s="3"/>
    </row>
    <row r="426" spans="1:38" ht="13">
      <c r="A426" s="3">
        <f ca="1">IFERROR(__xludf.DUMMYFUNCTION("""COMPUTED_VALUE"""),267)</f>
        <v>267</v>
      </c>
      <c r="B426" s="3"/>
      <c r="C426" s="3">
        <f ca="1">IFERROR(__xludf.DUMMYFUNCTION("""COMPUTED_VALUE"""),4050)</f>
        <v>4050</v>
      </c>
      <c r="D426" s="3" t="str">
        <f ca="1">IFERROR(__xludf.DUMMYFUNCTION("""COMPUTED_VALUE"""),"Doorlanta")</f>
        <v>Doorlanta</v>
      </c>
      <c r="E426" s="3" t="str">
        <f ca="1">IFERROR(__xludf.DUMMYFUNCTION("""COMPUTED_VALUE"""),"Galaxy A")</f>
        <v>Galaxy A</v>
      </c>
      <c r="F426" s="3" t="str">
        <f ca="1">IFERROR(__xludf.DUMMYFUNCTION("""COMPUTED_VALUE"""),"Matt")</f>
        <v>Matt</v>
      </c>
      <c r="G426" s="3">
        <f ca="1">IFERROR(__xludf.DUMMYFUNCTION("""COMPUTED_VALUE"""),0)</f>
        <v>0</v>
      </c>
      <c r="H426" s="3" t="str">
        <f ca="1">IFERROR(__xludf.DUMMYFUNCTION("""COMPUTED_VALUE"""),"car")</f>
        <v>car</v>
      </c>
      <c r="I426" s="3" t="str">
        <f ca="1">IFERROR(__xludf.DUMMYFUNCTION("""COMPUTED_VALUE"""),"2055-06-03T15:33:13.957777Z")</f>
        <v>2055-06-03T15:33:13.957777Z</v>
      </c>
      <c r="J426" s="3" t="str">
        <f ca="1">IFERROR(__xludf.DUMMYFUNCTION("""COMPUTED_VALUE"""),"2055-06-03T16:18:14.045Z")</f>
        <v>2055-06-03T16:18:14.045Z</v>
      </c>
      <c r="K426" s="3" t="str">
        <f ca="1">IFERROR(__xludf.DUMMYFUNCTION("""COMPUTED_VALUE"""),"2055-06-03T16:05:03.045Z")</f>
        <v>2055-06-03T16:05:03.045Z</v>
      </c>
      <c r="L426" s="3">
        <f ca="1">IFERROR(__xludf.DUMMYFUNCTION("""COMPUTED_VALUE"""),1)</f>
        <v>1</v>
      </c>
      <c r="M426" s="3">
        <f ca="1">IFERROR(__xludf.DUMMYFUNCTION("""COMPUTED_VALUE"""),0)</f>
        <v>0</v>
      </c>
      <c r="N426" s="3" t="str">
        <f ca="1">IFERROR(__xludf.DUMMYFUNCTION("""COMPUTED_VALUE"""),"2055-06-03T15:53:39.125624Z")</f>
        <v>2055-06-03T15:53:39.125624Z</v>
      </c>
      <c r="O426" s="3" t="str">
        <f ca="1">IFERROR(__xludf.DUMMYFUNCTION("""COMPUTED_VALUE"""),"2055-06-03T16:17:02.877882Z")</f>
        <v>2055-06-03T16:17:02.877882Z</v>
      </c>
      <c r="P426" s="3" t="str">
        <f ca="1">IFERROR(__xludf.DUMMYFUNCTION("""COMPUTED_VALUE"""),"2055-06-03T15:43:27.375046Z")</f>
        <v>2055-06-03T15:43:27.375046Z</v>
      </c>
      <c r="Q426" s="3">
        <f ca="1">IFERROR(__xludf.DUMMYFUNCTION("""COMPUTED_VALUE"""),0)</f>
        <v>0</v>
      </c>
      <c r="R426" s="3" t="str">
        <f ca="1">IFERROR(__xludf.DUMMYFUNCTION("""COMPUTED_VALUE"""),"2055-06-03T15:43:34.758203Z")</f>
        <v>2055-06-03T15:43:34.758203Z</v>
      </c>
      <c r="S426" s="3" t="str">
        <f ca="1">IFERROR(__xludf.DUMMYFUNCTION("""COMPUTED_VALUE"""),"2055-06-03T15:49:50.275246Z")</f>
        <v>2055-06-03T15:49:50.275246Z</v>
      </c>
      <c r="T426" s="3"/>
      <c r="U426" s="4">
        <f ca="1">IFERROR(__xludf.DUMMYFUNCTION("""COMPUTED_VALUE"""),56768)</f>
        <v>56768</v>
      </c>
      <c r="V426" s="3">
        <f ca="1">IFERROR(__xludf.DUMMYFUNCTION("""COMPUTED_VALUE"""),4.5)</f>
        <v>4.5</v>
      </c>
      <c r="W426" s="3">
        <f ca="1">IFERROR(__xludf.DUMMYFUNCTION("""COMPUTED_VALUE"""),2500)</f>
        <v>2500</v>
      </c>
      <c r="X426" s="3">
        <f ca="1">IFERROR(__xludf.DUMMYFUNCTION("""COMPUTED_VALUE"""),2008)</f>
        <v>2008</v>
      </c>
      <c r="Y426" s="3">
        <f ca="1">IFERROR(__xludf.DUMMYFUNCTION("""COMPUTED_VALUE"""),376)</f>
        <v>376</v>
      </c>
      <c r="Z426" s="3">
        <f ca="1">IFERROR(__xludf.DUMMYFUNCTION("""COMPUTED_VALUE"""),229)</f>
        <v>229</v>
      </c>
      <c r="AA426" s="3">
        <f ca="1">IFERROR(__xludf.DUMMYFUNCTION("""COMPUTED_VALUE"""),1403)</f>
        <v>1403</v>
      </c>
      <c r="AB426" s="3">
        <f ca="1">IFERROR(__xludf.DUMMYFUNCTION("""COMPUTED_VALUE"""),1)</f>
        <v>1</v>
      </c>
      <c r="AC426" s="3">
        <f ca="1">IFERROR(__xludf.DUMMYFUNCTION("""COMPUTED_VALUE"""),3)</f>
        <v>3</v>
      </c>
      <c r="AD426" s="3"/>
      <c r="AE426" s="3" t="str">
        <f ca="1">IFERROR(__xludf.DUMMYFUNCTION("""COMPUTED_VALUE"""),"2055-06-03T11:53:39.125624Z")</f>
        <v>2055-06-03T11:53:39.125624Z</v>
      </c>
      <c r="AF426" s="3" t="str">
        <f ca="1">IFERROR(__xludf.DUMMYFUNCTION("""COMPUTED_VALUE"""),"2055-06-03T12:17:02.877882Z")</f>
        <v>2055-06-03T12:17:02.877882Z</v>
      </c>
      <c r="AG426" s="3" t="str">
        <f ca="1">IFERROR(__xludf.DUMMYFUNCTION("""COMPUTED_VALUE"""),"2055-06-03T11:43:27.375046Z")</f>
        <v>2055-06-03T11:43:27.375046Z</v>
      </c>
      <c r="AH426" s="3" t="str">
        <f ca="1">IFERROR(__xludf.DUMMYFUNCTION("""COMPUTED_VALUE"""),"2055-06-03T11:49:50.275246Z")</f>
        <v>2055-06-03T11:49:50.275246Z</v>
      </c>
      <c r="AI426" s="3">
        <f ca="1">IFERROR(__xludf.DUMMYFUNCTION("""COMPUTED_VALUE"""),4.22)</f>
        <v>4.22</v>
      </c>
      <c r="AJ426" s="3">
        <f ca="1">IFERROR(__xludf.DUMMYFUNCTION("""COMPUTED_VALUE"""),1551)</f>
        <v>1551</v>
      </c>
      <c r="AK426" s="3">
        <f ca="1">IFERROR(__xludf.DUMMYFUNCTION("""COMPUTED_VALUE"""),4625)</f>
        <v>4625</v>
      </c>
      <c r="AL426" s="3"/>
    </row>
    <row r="427" spans="1:38" ht="13">
      <c r="A427" s="3">
        <f ca="1">IFERROR(__xludf.DUMMYFUNCTION("""COMPUTED_VALUE"""),778)</f>
        <v>778</v>
      </c>
      <c r="B427" s="3"/>
      <c r="C427" s="3">
        <f ca="1">IFERROR(__xludf.DUMMYFUNCTION("""COMPUTED_VALUE"""),4050)</f>
        <v>4050</v>
      </c>
      <c r="D427" s="3" t="str">
        <f ca="1">IFERROR(__xludf.DUMMYFUNCTION("""COMPUTED_VALUE"""),"Doorlanta")</f>
        <v>Doorlanta</v>
      </c>
      <c r="E427" s="3" t="str">
        <f ca="1">IFERROR(__xludf.DUMMYFUNCTION("""COMPUTED_VALUE"""),"Galaxy A")</f>
        <v>Galaxy A</v>
      </c>
      <c r="F427" s="3" t="str">
        <f ca="1">IFERROR(__xludf.DUMMYFUNCTION("""COMPUTED_VALUE"""),"Hersh")</f>
        <v>Hersh</v>
      </c>
      <c r="G427" s="3">
        <f ca="1">IFERROR(__xludf.DUMMYFUNCTION("""COMPUTED_VALUE"""),0)</f>
        <v>0</v>
      </c>
      <c r="H427" s="3" t="str">
        <f ca="1">IFERROR(__xludf.DUMMYFUNCTION("""COMPUTED_VALUE"""),"car")</f>
        <v>car</v>
      </c>
      <c r="I427" s="3" t="str">
        <f ca="1">IFERROR(__xludf.DUMMYFUNCTION("""COMPUTED_VALUE"""),"2055-06-06T22:30:03.440396Z")</f>
        <v>2055-06-06T22:30:03.440396Z</v>
      </c>
      <c r="J427" s="3" t="str">
        <f ca="1">IFERROR(__xludf.DUMMYFUNCTION("""COMPUTED_VALUE"""),"2055-06-06T23:47:04.953Z")</f>
        <v>2055-06-06T23:47:04.953Z</v>
      </c>
      <c r="K427" s="3" t="str">
        <f ca="1">IFERROR(__xludf.DUMMYFUNCTION("""COMPUTED_VALUE"""),"2055-06-06T23:26:15.953Z")</f>
        <v>2055-06-06T23:26:15.953Z</v>
      </c>
      <c r="L427" s="3">
        <f ca="1">IFERROR(__xludf.DUMMYFUNCTION("""COMPUTED_VALUE"""),1)</f>
        <v>1</v>
      </c>
      <c r="M427" s="3">
        <f ca="1">IFERROR(__xludf.DUMMYFUNCTION("""COMPUTED_VALUE"""),0)</f>
        <v>0</v>
      </c>
      <c r="N427" s="3" t="str">
        <f ca="1">IFERROR(__xludf.DUMMYFUNCTION("""COMPUTED_VALUE"""),"2055-06-06T22:54:38.663215Z")</f>
        <v>2055-06-06T22:54:38.663215Z</v>
      </c>
      <c r="O427" s="3" t="str">
        <f ca="1">IFERROR(__xludf.DUMMYFUNCTION("""COMPUTED_VALUE"""),"2055-06-06T23:11:02.217272Z")</f>
        <v>2055-06-06T23:11:02.217272Z</v>
      </c>
      <c r="P427" s="3" t="str">
        <f ca="1">IFERROR(__xludf.DUMMYFUNCTION("""COMPUTED_VALUE"""),"2055-06-06T22:35:27.311664Z")</f>
        <v>2055-06-06T22:35:27.311664Z</v>
      </c>
      <c r="Q427" s="3">
        <f ca="1">IFERROR(__xludf.DUMMYFUNCTION("""COMPUTED_VALUE"""),0)</f>
        <v>0</v>
      </c>
      <c r="R427" s="3" t="str">
        <f ca="1">IFERROR(__xludf.DUMMYFUNCTION("""COMPUTED_VALUE"""),"2055-06-06T22:35:33.363504Z")</f>
        <v>2055-06-06T22:35:33.363504Z</v>
      </c>
      <c r="S427" s="3" t="str">
        <f ca="1">IFERROR(__xludf.DUMMYFUNCTION("""COMPUTED_VALUE"""),"2055-06-06T22:51:03.242696Z")</f>
        <v>2055-06-06T22:51:03.242696Z</v>
      </c>
      <c r="T427" s="3"/>
      <c r="U427" s="4">
        <f ca="1">IFERROR(__xludf.DUMMYFUNCTION("""COMPUTED_VALUE"""),56771)</f>
        <v>56771</v>
      </c>
      <c r="V427" s="3">
        <f ca="1">IFERROR(__xludf.DUMMYFUNCTION("""COMPUTED_VALUE"""),4.6)</f>
        <v>4.5999999999999996</v>
      </c>
      <c r="W427" s="3">
        <f ca="1">IFERROR(__xludf.DUMMYFUNCTION("""COMPUTED_VALUE"""),2500)</f>
        <v>2500</v>
      </c>
      <c r="X427" s="3">
        <f ca="1">IFERROR(__xludf.DUMMYFUNCTION("""COMPUTED_VALUE"""),2129)</f>
        <v>2129</v>
      </c>
      <c r="Y427" s="3">
        <f ca="1">IFERROR(__xludf.DUMMYFUNCTION("""COMPUTED_VALUE"""),930)</f>
        <v>930</v>
      </c>
      <c r="Z427" s="3">
        <f ca="1">IFERROR(__xludf.DUMMYFUNCTION("""COMPUTED_VALUE"""),215)</f>
        <v>215</v>
      </c>
      <c r="AA427" s="3">
        <f ca="1">IFERROR(__xludf.DUMMYFUNCTION("""COMPUTED_VALUE"""),984)</f>
        <v>984</v>
      </c>
      <c r="AB427" s="3">
        <f ca="1">IFERROR(__xludf.DUMMYFUNCTION("""COMPUTED_VALUE"""),1)</f>
        <v>1</v>
      </c>
      <c r="AC427" s="3">
        <f ca="1">IFERROR(__xludf.DUMMYFUNCTION("""COMPUTED_VALUE"""),2)</f>
        <v>2</v>
      </c>
      <c r="AD427" s="3"/>
      <c r="AE427" s="3" t="str">
        <f ca="1">IFERROR(__xludf.DUMMYFUNCTION("""COMPUTED_VALUE"""),"2055-06-06T18:54:38.663215Z")</f>
        <v>2055-06-06T18:54:38.663215Z</v>
      </c>
      <c r="AF427" s="3" t="str">
        <f ca="1">IFERROR(__xludf.DUMMYFUNCTION("""COMPUTED_VALUE"""),"2055-06-06T19:11:02.217272Z")</f>
        <v>2055-06-06T19:11:02.217272Z</v>
      </c>
      <c r="AG427" s="3" t="str">
        <f ca="1">IFERROR(__xludf.DUMMYFUNCTION("""COMPUTED_VALUE"""),"2055-06-06T18:35:27.311664Z")</f>
        <v>2055-06-06T18:35:27.311664Z</v>
      </c>
      <c r="AH427" s="3" t="str">
        <f ca="1">IFERROR(__xludf.DUMMYFUNCTION("""COMPUTED_VALUE"""),"2055-06-06T18:51:03.242696Z")</f>
        <v>2055-06-06T18:51:03.242696Z</v>
      </c>
      <c r="AI427" s="3">
        <f ca="1">IFERROR(__xludf.DUMMYFUNCTION("""COMPUTED_VALUE"""),4.7)</f>
        <v>4.7</v>
      </c>
      <c r="AJ427" s="3">
        <f ca="1">IFERROR(__xludf.DUMMYFUNCTION("""COMPUTED_VALUE"""),212)</f>
        <v>212</v>
      </c>
      <c r="AK427" s="3">
        <f ca="1">IFERROR(__xludf.DUMMYFUNCTION("""COMPUTED_VALUE"""),624)</f>
        <v>624</v>
      </c>
      <c r="AL427" s="3">
        <f ca="1">IFERROR(__xludf.DUMMYFUNCTION("""COMPUTED_VALUE"""),347)</f>
        <v>347</v>
      </c>
    </row>
    <row r="428" spans="1:38" ht="13">
      <c r="A428" s="3">
        <f ca="1">IFERROR(__xludf.DUMMYFUNCTION("""COMPUTED_VALUE"""),1239)</f>
        <v>1239</v>
      </c>
      <c r="B428" s="3">
        <f ca="1">IFERROR(__xludf.DUMMYFUNCTION("""COMPUTED_VALUE"""),4)</f>
        <v>4</v>
      </c>
      <c r="C428" s="3">
        <f ca="1">IFERROR(__xludf.DUMMYFUNCTION("""COMPUTED_VALUE"""),4001)</f>
        <v>4001</v>
      </c>
      <c r="D428" s="3" t="str">
        <f ca="1">IFERROR(__xludf.DUMMYFUNCTION("""COMPUTED_VALUE"""),"Dashattan")</f>
        <v>Dashattan</v>
      </c>
      <c r="E428" s="3" t="str">
        <f ca="1">IFERROR(__xludf.DUMMYFUNCTION("""COMPUTED_VALUE"""),"Galaxy A")</f>
        <v>Galaxy A</v>
      </c>
      <c r="F428" s="3" t="str">
        <f ca="1">IFERROR(__xludf.DUMMYFUNCTION("""COMPUTED_VALUE"""),"Rojan")</f>
        <v>Rojan</v>
      </c>
      <c r="G428" s="3">
        <f ca="1">IFERROR(__xludf.DUMMYFUNCTION("""COMPUTED_VALUE"""),0)</f>
        <v>0</v>
      </c>
      <c r="H428" s="3" t="str">
        <f ca="1">IFERROR(__xludf.DUMMYFUNCTION("""COMPUTED_VALUE"""),"bicycle")</f>
        <v>bicycle</v>
      </c>
      <c r="I428" s="3" t="str">
        <f ca="1">IFERROR(__xludf.DUMMYFUNCTION("""COMPUTED_VALUE"""),"2055-06-11T14:41:57.118795Z")</f>
        <v>2055-06-11T14:41:57.118795Z</v>
      </c>
      <c r="J428" s="3" t="str">
        <f ca="1">IFERROR(__xludf.DUMMYFUNCTION("""COMPUTED_VALUE"""),"2055-06-11T15:11:21.177Z")</f>
        <v>2055-06-11T15:11:21.177Z</v>
      </c>
      <c r="K428" s="3" t="str">
        <f ca="1">IFERROR(__xludf.DUMMYFUNCTION("""COMPUTED_VALUE"""),"2055-06-11T15:06:14.177Z")</f>
        <v>2055-06-11T15:06:14.177Z</v>
      </c>
      <c r="L428" s="3">
        <f ca="1">IFERROR(__xludf.DUMMYFUNCTION("""COMPUTED_VALUE"""),1)</f>
        <v>1</v>
      </c>
      <c r="M428" s="3">
        <f ca="1">IFERROR(__xludf.DUMMYFUNCTION("""COMPUTED_VALUE"""),0)</f>
        <v>0</v>
      </c>
      <c r="N428" s="3" t="str">
        <f ca="1">IFERROR(__xludf.DUMMYFUNCTION("""COMPUTED_VALUE"""),"2055-06-11T14:54:10.113765Z")</f>
        <v>2055-06-11T14:54:10.113765Z</v>
      </c>
      <c r="O428" s="3" t="str">
        <f ca="1">IFERROR(__xludf.DUMMYFUNCTION("""COMPUTED_VALUE"""),"2055-06-11T14:59:02.854949Z")</f>
        <v>2055-06-11T14:59:02.854949Z</v>
      </c>
      <c r="P428" s="3" t="str">
        <f ca="1">IFERROR(__xludf.DUMMYFUNCTION("""COMPUTED_VALUE"""),"2055-06-11T14:48:14.097972Z")</f>
        <v>2055-06-11T14:48:14.097972Z</v>
      </c>
      <c r="Q428" s="3">
        <f ca="1">IFERROR(__xludf.DUMMYFUNCTION("""COMPUTED_VALUE"""),0)</f>
        <v>0</v>
      </c>
      <c r="R428" s="3" t="str">
        <f ca="1">IFERROR(__xludf.DUMMYFUNCTION("""COMPUTED_VALUE"""),"2055-06-11T14:48:20.927848Z")</f>
        <v>2055-06-11T14:48:20.927848Z</v>
      </c>
      <c r="S428" s="3" t="str">
        <f ca="1">IFERROR(__xludf.DUMMYFUNCTION("""COMPUTED_VALUE"""),"2055-06-11T14:53:48.994593Z")</f>
        <v>2055-06-11T14:53:48.994593Z</v>
      </c>
      <c r="T428" s="3"/>
      <c r="U428" s="4">
        <f ca="1">IFERROR(__xludf.DUMMYFUNCTION("""COMPUTED_VALUE"""),56776)</f>
        <v>56776</v>
      </c>
      <c r="V428" s="3">
        <f ca="1">IFERROR(__xludf.DUMMYFUNCTION("""COMPUTED_VALUE"""),3.379793039)</f>
        <v>3.3797930389999999</v>
      </c>
      <c r="W428" s="3">
        <f ca="1">IFERROR(__xludf.DUMMYFUNCTION("""COMPUTED_VALUE"""),2500)</f>
        <v>2500</v>
      </c>
      <c r="X428" s="3">
        <f ca="1">IFERROR(__xludf.DUMMYFUNCTION("""COMPUTED_VALUE"""),642)</f>
        <v>642</v>
      </c>
      <c r="Y428" s="3">
        <f ca="1">IFERROR(__xludf.DUMMYFUNCTION("""COMPUTED_VALUE"""),328)</f>
        <v>328</v>
      </c>
      <c r="Z428" s="3">
        <f ca="1">IFERROR(__xludf.DUMMYFUNCTION("""COMPUTED_VALUE"""),22)</f>
        <v>22</v>
      </c>
      <c r="AA428" s="3">
        <f ca="1">IFERROR(__xludf.DUMMYFUNCTION("""COMPUTED_VALUE"""),292)</f>
        <v>292</v>
      </c>
      <c r="AB428" s="3">
        <f ca="1">IFERROR(__xludf.DUMMYFUNCTION("""COMPUTED_VALUE"""),0)</f>
        <v>0</v>
      </c>
      <c r="AC428" s="3">
        <f ca="1">IFERROR(__xludf.DUMMYFUNCTION("""COMPUTED_VALUE"""),2)</f>
        <v>2</v>
      </c>
      <c r="AD428" s="3" t="str">
        <f ca="1">IFERROR(__xludf.DUMMYFUNCTION("""COMPUTED_VALUE"""),"early")</f>
        <v>early</v>
      </c>
      <c r="AE428" s="3" t="str">
        <f ca="1">IFERROR(__xludf.DUMMYFUNCTION("""COMPUTED_VALUE"""),"2055-06-11T10:54:10.113765Z")</f>
        <v>2055-06-11T10:54:10.113765Z</v>
      </c>
      <c r="AF428" s="3" t="str">
        <f ca="1">IFERROR(__xludf.DUMMYFUNCTION("""COMPUTED_VALUE"""),"2055-06-11T10:59:02.854949Z")</f>
        <v>2055-06-11T10:59:02.854949Z</v>
      </c>
      <c r="AG428" s="3" t="str">
        <f ca="1">IFERROR(__xludf.DUMMYFUNCTION("""COMPUTED_VALUE"""),"2055-06-11T10:48:14.097972Z")</f>
        <v>2055-06-11T10:48:14.097972Z</v>
      </c>
      <c r="AH428" s="3" t="str">
        <f ca="1">IFERROR(__xludf.DUMMYFUNCTION("""COMPUTED_VALUE"""),"2055-06-11T10:53:48.994593Z")</f>
        <v>2055-06-11T10:53:48.994593Z</v>
      </c>
      <c r="AI428" s="3">
        <f ca="1">IFERROR(__xludf.DUMMYFUNCTION("""COMPUTED_VALUE"""),4.58)</f>
        <v>4.58</v>
      </c>
      <c r="AJ428" s="3">
        <f ca="1">IFERROR(__xludf.DUMMYFUNCTION("""COMPUTED_VALUE"""),254)</f>
        <v>254</v>
      </c>
      <c r="AK428" s="3">
        <f ca="1">IFERROR(__xludf.DUMMYFUNCTION("""COMPUTED_VALUE"""),788)</f>
        <v>788</v>
      </c>
      <c r="AL428" s="3">
        <f ca="1">IFERROR(__xludf.DUMMYFUNCTION("""COMPUTED_VALUE"""),9)</f>
        <v>9</v>
      </c>
    </row>
    <row r="429" spans="1:38" ht="13">
      <c r="A429" s="3">
        <f ca="1">IFERROR(__xludf.DUMMYFUNCTION("""COMPUTED_VALUE"""),623)</f>
        <v>623</v>
      </c>
      <c r="B429" s="3">
        <f ca="1">IFERROR(__xludf.DUMMYFUNCTION("""COMPUTED_VALUE"""),2)</f>
        <v>2</v>
      </c>
      <c r="C429" s="3">
        <f ca="1">IFERROR(__xludf.DUMMYFUNCTION("""COMPUTED_VALUE"""),4050)</f>
        <v>4050</v>
      </c>
      <c r="D429" s="3" t="str">
        <f ca="1">IFERROR(__xludf.DUMMYFUNCTION("""COMPUTED_VALUE"""),"Doorlanta")</f>
        <v>Doorlanta</v>
      </c>
      <c r="E429" s="3" t="str">
        <f ca="1">IFERROR(__xludf.DUMMYFUNCTION("""COMPUTED_VALUE"""),"Galaxy A")</f>
        <v>Galaxy A</v>
      </c>
      <c r="F429" s="3" t="str">
        <f ca="1">IFERROR(__xludf.DUMMYFUNCTION("""COMPUTED_VALUE"""),"Joe")</f>
        <v>Joe</v>
      </c>
      <c r="G429" s="3">
        <f ca="1">IFERROR(__xludf.DUMMYFUNCTION("""COMPUTED_VALUE"""),0)</f>
        <v>0</v>
      </c>
      <c r="H429" s="3" t="str">
        <f ca="1">IFERROR(__xludf.DUMMYFUNCTION("""COMPUTED_VALUE"""),"car")</f>
        <v>car</v>
      </c>
      <c r="I429" s="3" t="str">
        <f ca="1">IFERROR(__xludf.DUMMYFUNCTION("""COMPUTED_VALUE"""),"2055-06-05T21:24:45.963697Z")</f>
        <v>2055-06-05T21:24:45.963697Z</v>
      </c>
      <c r="J429" s="3" t="str">
        <f ca="1">IFERROR(__xludf.DUMMYFUNCTION("""COMPUTED_VALUE"""),"2055-06-05T22:30:40.039Z")</f>
        <v>2055-06-05T22:30:40.039Z</v>
      </c>
      <c r="K429" s="3" t="str">
        <f ca="1">IFERROR(__xludf.DUMMYFUNCTION("""COMPUTED_VALUE"""),"2055-06-05T22:11:47.039Z")</f>
        <v>2055-06-05T22:11:47.039Z</v>
      </c>
      <c r="L429" s="3">
        <f ca="1">IFERROR(__xludf.DUMMYFUNCTION("""COMPUTED_VALUE"""),1)</f>
        <v>1</v>
      </c>
      <c r="M429" s="3">
        <f ca="1">IFERROR(__xludf.DUMMYFUNCTION("""COMPUTED_VALUE"""),0)</f>
        <v>0</v>
      </c>
      <c r="N429" s="3" t="str">
        <f ca="1">IFERROR(__xludf.DUMMYFUNCTION("""COMPUTED_VALUE"""),"2055-06-05T21:40:58.199279Z")</f>
        <v>2055-06-05T21:40:58.199279Z</v>
      </c>
      <c r="O429" s="3" t="str">
        <f ca="1">IFERROR(__xludf.DUMMYFUNCTION("""COMPUTED_VALUE"""),"2055-06-05T22:04:19.076815Z")</f>
        <v>2055-06-05T22:04:19.076815Z</v>
      </c>
      <c r="P429" s="3" t="str">
        <f ca="1">IFERROR(__xludf.DUMMYFUNCTION("""COMPUTED_VALUE"""),"2055-06-05T21:25:07.351585Z")</f>
        <v>2055-06-05T21:25:07.351585Z</v>
      </c>
      <c r="Q429" s="3">
        <f ca="1">IFERROR(__xludf.DUMMYFUNCTION("""COMPUTED_VALUE"""),0)</f>
        <v>0</v>
      </c>
      <c r="R429" s="3" t="str">
        <f ca="1">IFERROR(__xludf.DUMMYFUNCTION("""COMPUTED_VALUE"""),"2055-06-05T21:25:12.12254Z")</f>
        <v>2055-06-05T21:25:12.12254Z</v>
      </c>
      <c r="S429" s="3" t="str">
        <f ca="1">IFERROR(__xludf.DUMMYFUNCTION("""COMPUTED_VALUE"""),"2055-06-05T21:34:16.713573Z")</f>
        <v>2055-06-05T21:34:16.713573Z</v>
      </c>
      <c r="T429" s="3"/>
      <c r="U429" s="4">
        <f ca="1">IFERROR(__xludf.DUMMYFUNCTION("""COMPUTED_VALUE"""),56770)</f>
        <v>56770</v>
      </c>
      <c r="V429" s="3">
        <f ca="1">IFERROR(__xludf.DUMMYFUNCTION("""COMPUTED_VALUE"""),3.918013461)</f>
        <v>3.9180134610000001</v>
      </c>
      <c r="W429" s="3">
        <f ca="1">IFERROR(__xludf.DUMMYFUNCTION("""COMPUTED_VALUE"""),2500)</f>
        <v>2500</v>
      </c>
      <c r="X429" s="3">
        <f ca="1">IFERROR(__xludf.DUMMYFUNCTION("""COMPUTED_VALUE"""),2347)</f>
        <v>2347</v>
      </c>
      <c r="Y429" s="3">
        <f ca="1">IFERROR(__xludf.DUMMYFUNCTION("""COMPUTED_VALUE"""),544)</f>
        <v>544</v>
      </c>
      <c r="Z429" s="3">
        <f ca="1">IFERROR(__xludf.DUMMYFUNCTION("""COMPUTED_VALUE"""),402)</f>
        <v>402</v>
      </c>
      <c r="AA429" s="3">
        <f ca="1">IFERROR(__xludf.DUMMYFUNCTION("""COMPUTED_VALUE"""),1401)</f>
        <v>1401</v>
      </c>
      <c r="AB429" s="3">
        <f ca="1">IFERROR(__xludf.DUMMYFUNCTION("""COMPUTED_VALUE"""),0)</f>
        <v>0</v>
      </c>
      <c r="AC429" s="3">
        <f ca="1">IFERROR(__xludf.DUMMYFUNCTION("""COMPUTED_VALUE"""),1)</f>
        <v>1</v>
      </c>
      <c r="AD429" s="3" t="str">
        <f ca="1">IFERROR(__xludf.DUMMYFUNCTION("""COMPUTED_VALUE"""),"early")</f>
        <v>early</v>
      </c>
      <c r="AE429" s="3" t="str">
        <f ca="1">IFERROR(__xludf.DUMMYFUNCTION("""COMPUTED_VALUE"""),"2055-06-05T17:40:58.199279Z")</f>
        <v>2055-06-05T17:40:58.199279Z</v>
      </c>
      <c r="AF429" s="3" t="str">
        <f ca="1">IFERROR(__xludf.DUMMYFUNCTION("""COMPUTED_VALUE"""),"2055-06-05T18:04:19.076815Z")</f>
        <v>2055-06-05T18:04:19.076815Z</v>
      </c>
      <c r="AG429" s="3" t="str">
        <f ca="1">IFERROR(__xludf.DUMMYFUNCTION("""COMPUTED_VALUE"""),"2055-06-05T17:25:07.351585Z")</f>
        <v>2055-06-05T17:25:07.351585Z</v>
      </c>
      <c r="AH429" s="3" t="str">
        <f ca="1">IFERROR(__xludf.DUMMYFUNCTION("""COMPUTED_VALUE"""),"2055-06-05T17:34:16.713573Z")</f>
        <v>2055-06-05T17:34:16.713573Z</v>
      </c>
      <c r="AI429" s="3">
        <f ca="1">IFERROR(__xludf.DUMMYFUNCTION("""COMPUTED_VALUE"""),4.38)</f>
        <v>4.38</v>
      </c>
      <c r="AJ429" s="3">
        <f ca="1">IFERROR(__xludf.DUMMYFUNCTION("""COMPUTED_VALUE"""),196)</f>
        <v>196</v>
      </c>
      <c r="AK429" s="3">
        <f ca="1">IFERROR(__xludf.DUMMYFUNCTION("""COMPUTED_VALUE"""),626)</f>
        <v>626</v>
      </c>
      <c r="AL429" s="3"/>
    </row>
    <row r="430" spans="1:38" ht="13">
      <c r="A430" s="3">
        <f ca="1">IFERROR(__xludf.DUMMYFUNCTION("""COMPUTED_VALUE"""),404)</f>
        <v>404</v>
      </c>
      <c r="B430" s="3"/>
      <c r="C430" s="3">
        <f ca="1">IFERROR(__xludf.DUMMYFUNCTION("""COMPUTED_VALUE"""),4001)</f>
        <v>4001</v>
      </c>
      <c r="D430" s="3" t="str">
        <f ca="1">IFERROR(__xludf.DUMMYFUNCTION("""COMPUTED_VALUE"""),"Dashattan")</f>
        <v>Dashattan</v>
      </c>
      <c r="E430" s="3" t="str">
        <f ca="1">IFERROR(__xludf.DUMMYFUNCTION("""COMPUTED_VALUE"""),"Galaxy A")</f>
        <v>Galaxy A</v>
      </c>
      <c r="F430" s="3" t="str">
        <f ca="1">IFERROR(__xludf.DUMMYFUNCTION("""COMPUTED_VALUE"""),"Samm")</f>
        <v>Samm</v>
      </c>
      <c r="G430" s="3">
        <f ca="1">IFERROR(__xludf.DUMMYFUNCTION("""COMPUTED_VALUE"""),0)</f>
        <v>0</v>
      </c>
      <c r="H430" s="3" t="str">
        <f ca="1">IFERROR(__xludf.DUMMYFUNCTION("""COMPUTED_VALUE"""),"car")</f>
        <v>car</v>
      </c>
      <c r="I430" s="3" t="str">
        <f ca="1">IFERROR(__xludf.DUMMYFUNCTION("""COMPUTED_VALUE"""),"2055-06-04T15:02:38.245792Z")</f>
        <v>2055-06-04T15:02:38.245792Z</v>
      </c>
      <c r="J430" s="3" t="str">
        <f ca="1">IFERROR(__xludf.DUMMYFUNCTION("""COMPUTED_VALUE"""),"2055-06-04T15:57:07.314Z")</f>
        <v>2055-06-04T15:57:07.314Z</v>
      </c>
      <c r="K430" s="3" t="str">
        <f ca="1">IFERROR(__xludf.DUMMYFUNCTION("""COMPUTED_VALUE"""),"2055-06-04T15:38:14.314Z")</f>
        <v>2055-06-04T15:38:14.314Z</v>
      </c>
      <c r="L430" s="3">
        <f ca="1">IFERROR(__xludf.DUMMYFUNCTION("""COMPUTED_VALUE"""),1)</f>
        <v>1</v>
      </c>
      <c r="M430" s="3">
        <f ca="1">IFERROR(__xludf.DUMMYFUNCTION("""COMPUTED_VALUE"""),1)</f>
        <v>1</v>
      </c>
      <c r="N430" s="3" t="str">
        <f ca="1">IFERROR(__xludf.DUMMYFUNCTION("""COMPUTED_VALUE"""),"2055-06-04T15:36:35.420595Z")</f>
        <v>2055-06-04T15:36:35.420595Z</v>
      </c>
      <c r="O430" s="3" t="str">
        <f ca="1">IFERROR(__xludf.DUMMYFUNCTION("""COMPUTED_VALUE"""),"2055-06-04T15:41:45.989134Z")</f>
        <v>2055-06-04T15:41:45.989134Z</v>
      </c>
      <c r="P430" s="3" t="str">
        <f ca="1">IFERROR(__xludf.DUMMYFUNCTION("""COMPUTED_VALUE"""),"2055-06-04T15:16:34.175598Z")</f>
        <v>2055-06-04T15:16:34.175598Z</v>
      </c>
      <c r="Q430" s="3">
        <f ca="1">IFERROR(__xludf.DUMMYFUNCTION("""COMPUTED_VALUE"""),0)</f>
        <v>0</v>
      </c>
      <c r="R430" s="3" t="str">
        <f ca="1">IFERROR(__xludf.DUMMYFUNCTION("""COMPUTED_VALUE"""),"2055-06-04T15:16:36.804456Z")</f>
        <v>2055-06-04T15:16:36.804456Z</v>
      </c>
      <c r="S430" s="3" t="str">
        <f ca="1">IFERROR(__xludf.DUMMYFUNCTION("""COMPUTED_VALUE"""),"2055-06-04T15:30:46.31003Z")</f>
        <v>2055-06-04T15:30:46.31003Z</v>
      </c>
      <c r="T430" s="3"/>
      <c r="U430" s="4">
        <f ca="1">IFERROR(__xludf.DUMMYFUNCTION("""COMPUTED_VALUE"""),56769)</f>
        <v>56769</v>
      </c>
      <c r="V430" s="3">
        <f ca="1">IFERROR(__xludf.DUMMYFUNCTION("""COMPUTED_VALUE"""),2.969143873)</f>
        <v>2.9691438730000002</v>
      </c>
      <c r="W430" s="3">
        <f ca="1">IFERROR(__xludf.DUMMYFUNCTION("""COMPUTED_VALUE"""),2500)</f>
        <v>2500</v>
      </c>
      <c r="X430" s="3">
        <f ca="1">IFERROR(__xludf.DUMMYFUNCTION("""COMPUTED_VALUE"""),1509)</f>
        <v>1509</v>
      </c>
      <c r="Y430" s="3">
        <f ca="1">IFERROR(__xludf.DUMMYFUNCTION("""COMPUTED_VALUE"""),850)</f>
        <v>850</v>
      </c>
      <c r="Z430" s="3">
        <f ca="1">IFERROR(__xludf.DUMMYFUNCTION("""COMPUTED_VALUE"""),349)</f>
        <v>349</v>
      </c>
      <c r="AA430" s="3">
        <f ca="1">IFERROR(__xludf.DUMMYFUNCTION("""COMPUTED_VALUE"""),310)</f>
        <v>310</v>
      </c>
      <c r="AB430" s="3">
        <f ca="1">IFERROR(__xludf.DUMMYFUNCTION("""COMPUTED_VALUE"""),0)</f>
        <v>0</v>
      </c>
      <c r="AC430" s="3">
        <f ca="1">IFERROR(__xludf.DUMMYFUNCTION("""COMPUTED_VALUE"""),4)</f>
        <v>4</v>
      </c>
      <c r="AD430" s="3" t="str">
        <f ca="1">IFERROR(__xludf.DUMMYFUNCTION("""COMPUTED_VALUE"""),"on time")</f>
        <v>on time</v>
      </c>
      <c r="AE430" s="3" t="str">
        <f ca="1">IFERROR(__xludf.DUMMYFUNCTION("""COMPUTED_VALUE"""),"2055-06-04T11:36:35.420595Z")</f>
        <v>2055-06-04T11:36:35.420595Z</v>
      </c>
      <c r="AF430" s="3" t="str">
        <f ca="1">IFERROR(__xludf.DUMMYFUNCTION("""COMPUTED_VALUE"""),"2055-06-04T11:41:45.989134Z")</f>
        <v>2055-06-04T11:41:45.989134Z</v>
      </c>
      <c r="AG430" s="3" t="str">
        <f ca="1">IFERROR(__xludf.DUMMYFUNCTION("""COMPUTED_VALUE"""),"2055-06-04T11:16:34.175598Z")</f>
        <v>2055-06-04T11:16:34.175598Z</v>
      </c>
      <c r="AH430" s="3" t="str">
        <f ca="1">IFERROR(__xludf.DUMMYFUNCTION("""COMPUTED_VALUE"""),"2055-06-04T11:30:46.31003Z")</f>
        <v>2055-06-04T11:30:46.31003Z</v>
      </c>
      <c r="AI430" s="3">
        <f ca="1">IFERROR(__xludf.DUMMYFUNCTION("""COMPUTED_VALUE"""),4.03)</f>
        <v>4.03</v>
      </c>
      <c r="AJ430" s="3">
        <f ca="1">IFERROR(__xludf.DUMMYFUNCTION("""COMPUTED_VALUE"""),505)</f>
        <v>505</v>
      </c>
      <c r="AK430" s="3">
        <f ca="1">IFERROR(__xludf.DUMMYFUNCTION("""COMPUTED_VALUE"""),1721)</f>
        <v>1721</v>
      </c>
      <c r="AL430" s="3">
        <f ca="1">IFERROR(__xludf.DUMMYFUNCTION("""COMPUTED_VALUE"""),457)</f>
        <v>457</v>
      </c>
    </row>
    <row r="431" spans="1:38" ht="13">
      <c r="A431" s="3">
        <f ca="1">IFERROR(__xludf.DUMMYFUNCTION("""COMPUTED_VALUE"""),169)</f>
        <v>169</v>
      </c>
      <c r="B431" s="3"/>
      <c r="C431" s="3">
        <f ca="1">IFERROR(__xludf.DUMMYFUNCTION("""COMPUTED_VALUE"""),4001)</f>
        <v>4001</v>
      </c>
      <c r="D431" s="3" t="str">
        <f ca="1">IFERROR(__xludf.DUMMYFUNCTION("""COMPUTED_VALUE"""),"Dashattan")</f>
        <v>Dashattan</v>
      </c>
      <c r="E431" s="3" t="str">
        <f ca="1">IFERROR(__xludf.DUMMYFUNCTION("""COMPUTED_VALUE"""),"Galaxy A")</f>
        <v>Galaxy A</v>
      </c>
      <c r="F431" s="3" t="str">
        <f ca="1">IFERROR(__xludf.DUMMYFUNCTION("""COMPUTED_VALUE"""),"Samm")</f>
        <v>Samm</v>
      </c>
      <c r="G431" s="3">
        <f ca="1">IFERROR(__xludf.DUMMYFUNCTION("""COMPUTED_VALUE"""),0)</f>
        <v>0</v>
      </c>
      <c r="H431" s="3" t="str">
        <f ca="1">IFERROR(__xludf.DUMMYFUNCTION("""COMPUTED_VALUE"""),"car")</f>
        <v>car</v>
      </c>
      <c r="I431" s="3" t="str">
        <f ca="1">IFERROR(__xludf.DUMMYFUNCTION("""COMPUTED_VALUE"""),"2055-06-02T21:17:34.710308Z")</f>
        <v>2055-06-02T21:17:34.710308Z</v>
      </c>
      <c r="J431" s="3" t="str">
        <f ca="1">IFERROR(__xludf.DUMMYFUNCTION("""COMPUTED_VALUE"""),"2055-06-02T22:08:20.784Z")</f>
        <v>2055-06-02T22:08:20.784Z</v>
      </c>
      <c r="K431" s="3" t="str">
        <f ca="1">IFERROR(__xludf.DUMMYFUNCTION("""COMPUTED_VALUE"""),"2055-06-02T22:03:13.784Z")</f>
        <v>2055-06-02T22:03:13.784Z</v>
      </c>
      <c r="L431" s="3">
        <f ca="1">IFERROR(__xludf.DUMMYFUNCTION("""COMPUTED_VALUE"""),1)</f>
        <v>1</v>
      </c>
      <c r="M431" s="3">
        <f ca="1">IFERROR(__xludf.DUMMYFUNCTION("""COMPUTED_VALUE"""),0)</f>
        <v>0</v>
      </c>
      <c r="N431" s="3" t="str">
        <f ca="1">IFERROR(__xludf.DUMMYFUNCTION("""COMPUTED_VALUE"""),"2055-06-02T21:50:59.394736Z")</f>
        <v>2055-06-02T21:50:59.394736Z</v>
      </c>
      <c r="O431" s="3" t="str">
        <f ca="1">IFERROR(__xludf.DUMMYFUNCTION("""COMPUTED_VALUE"""),"2055-06-02T22:33:20.784303Z")</f>
        <v>2055-06-02T22:33:20.784303Z</v>
      </c>
      <c r="P431" s="3" t="str">
        <f ca="1">IFERROR(__xludf.DUMMYFUNCTION("""COMPUTED_VALUE"""),"2055-06-02T21:19:34.24809Z")</f>
        <v>2055-06-02T21:19:34.24809Z</v>
      </c>
      <c r="Q431" s="3">
        <f ca="1">IFERROR(__xludf.DUMMYFUNCTION("""COMPUTED_VALUE"""),0)</f>
        <v>0</v>
      </c>
      <c r="R431" s="3" t="str">
        <f ca="1">IFERROR(__xludf.DUMMYFUNCTION("""COMPUTED_VALUE"""),"2055-06-02T21:19:38.378842Z")</f>
        <v>2055-06-02T21:19:38.378842Z</v>
      </c>
      <c r="S431" s="3" t="str">
        <f ca="1">IFERROR(__xludf.DUMMYFUNCTION("""COMPUTED_VALUE"""),"2055-06-02T21:49:57.698088Z")</f>
        <v>2055-06-02T21:49:57.698088Z</v>
      </c>
      <c r="T431" s="3"/>
      <c r="U431" s="4">
        <f ca="1">IFERROR(__xludf.DUMMYFUNCTION("""COMPUTED_VALUE"""),56767)</f>
        <v>56767</v>
      </c>
      <c r="V431" s="3">
        <f ca="1">IFERROR(__xludf.DUMMYFUNCTION("""COMPUTED_VALUE"""),3.8)</f>
        <v>3.8</v>
      </c>
      <c r="W431" s="3">
        <f ca="1">IFERROR(__xludf.DUMMYFUNCTION("""COMPUTED_VALUE"""),2500)</f>
        <v>2500</v>
      </c>
      <c r="X431" s="3">
        <f ca="1">IFERROR(__xludf.DUMMYFUNCTION("""COMPUTED_VALUE"""),4422)</f>
        <v>4422</v>
      </c>
      <c r="Y431" s="3">
        <f ca="1">IFERROR(__xludf.DUMMYFUNCTION("""COMPUTED_VALUE"""),1819)</f>
        <v>1819</v>
      </c>
      <c r="Z431" s="3">
        <f ca="1">IFERROR(__xludf.DUMMYFUNCTION("""COMPUTED_VALUE"""),62)</f>
        <v>62</v>
      </c>
      <c r="AA431" s="3">
        <f ca="1">IFERROR(__xludf.DUMMYFUNCTION("""COMPUTED_VALUE"""),2541)</f>
        <v>2541</v>
      </c>
      <c r="AB431" s="3">
        <f ca="1">IFERROR(__xludf.DUMMYFUNCTION("""COMPUTED_VALUE"""),0)</f>
        <v>0</v>
      </c>
      <c r="AC431" s="3">
        <f ca="1">IFERROR(__xludf.DUMMYFUNCTION("""COMPUTED_VALUE"""),3)</f>
        <v>3</v>
      </c>
      <c r="AD431" s="3" t="str">
        <f ca="1">IFERROR(__xludf.DUMMYFUNCTION("""COMPUTED_VALUE"""),"late")</f>
        <v>late</v>
      </c>
      <c r="AE431" s="3" t="str">
        <f ca="1">IFERROR(__xludf.DUMMYFUNCTION("""COMPUTED_VALUE"""),"2055-06-02T17:50:59.394736Z")</f>
        <v>2055-06-02T17:50:59.394736Z</v>
      </c>
      <c r="AF431" s="3" t="str">
        <f ca="1">IFERROR(__xludf.DUMMYFUNCTION("""COMPUTED_VALUE"""),"2055-06-02T18:33:20.784303Z")</f>
        <v>2055-06-02T18:33:20.784303Z</v>
      </c>
      <c r="AG431" s="3" t="str">
        <f ca="1">IFERROR(__xludf.DUMMYFUNCTION("""COMPUTED_VALUE"""),"2055-06-02T17:19:34.24809Z")</f>
        <v>2055-06-02T17:19:34.24809Z</v>
      </c>
      <c r="AH431" s="3" t="str">
        <f ca="1">IFERROR(__xludf.DUMMYFUNCTION("""COMPUTED_VALUE"""),"2055-06-02T17:49:57.698088Z")</f>
        <v>2055-06-02T17:49:57.698088Z</v>
      </c>
      <c r="AI431" s="3">
        <f ca="1">IFERROR(__xludf.DUMMYFUNCTION("""COMPUTED_VALUE"""),4.03)</f>
        <v>4.03</v>
      </c>
      <c r="AJ431" s="3">
        <f ca="1">IFERROR(__xludf.DUMMYFUNCTION("""COMPUTED_VALUE"""),505)</f>
        <v>505</v>
      </c>
      <c r="AK431" s="3">
        <f ca="1">IFERROR(__xludf.DUMMYFUNCTION("""COMPUTED_VALUE"""),1721)</f>
        <v>1721</v>
      </c>
      <c r="AL431" s="3">
        <f ca="1">IFERROR(__xludf.DUMMYFUNCTION("""COMPUTED_VALUE"""),457)</f>
        <v>457</v>
      </c>
    </row>
    <row r="432" spans="1:38" ht="13">
      <c r="A432" s="3">
        <f ca="1">IFERROR(__xludf.DUMMYFUNCTION("""COMPUTED_VALUE"""),172)</f>
        <v>172</v>
      </c>
      <c r="B432" s="3">
        <f ca="1">IFERROR(__xludf.DUMMYFUNCTION("""COMPUTED_VALUE"""),3)</f>
        <v>3</v>
      </c>
      <c r="C432" s="3">
        <f ca="1">IFERROR(__xludf.DUMMYFUNCTION("""COMPUTED_VALUE"""),4050)</f>
        <v>4050</v>
      </c>
      <c r="D432" s="3" t="str">
        <f ca="1">IFERROR(__xludf.DUMMYFUNCTION("""COMPUTED_VALUE"""),"Doorlanta")</f>
        <v>Doorlanta</v>
      </c>
      <c r="E432" s="3" t="str">
        <f ca="1">IFERROR(__xludf.DUMMYFUNCTION("""COMPUTED_VALUE"""),"Galaxy A")</f>
        <v>Galaxy A</v>
      </c>
      <c r="F432" s="3" t="str">
        <f ca="1">IFERROR(__xludf.DUMMYFUNCTION("""COMPUTED_VALUE"""),"Sal")</f>
        <v>Sal</v>
      </c>
      <c r="G432" s="3">
        <f ca="1">IFERROR(__xludf.DUMMYFUNCTION("""COMPUTED_VALUE"""),0)</f>
        <v>0</v>
      </c>
      <c r="H432" s="3" t="str">
        <f ca="1">IFERROR(__xludf.DUMMYFUNCTION("""COMPUTED_VALUE"""),"car")</f>
        <v>car</v>
      </c>
      <c r="I432" s="3" t="str">
        <f ca="1">IFERROR(__xludf.DUMMYFUNCTION("""COMPUTED_VALUE"""),"2055-06-02T21:35:24.020219Z")</f>
        <v>2055-06-02T21:35:24.020219Z</v>
      </c>
      <c r="J432" s="3" t="str">
        <f ca="1">IFERROR(__xludf.DUMMYFUNCTION("""COMPUTED_VALUE"""),"2055-06-02T22:54:53.073Z")</f>
        <v>2055-06-02T22:54:53.073Z</v>
      </c>
      <c r="K432" s="3" t="str">
        <f ca="1">IFERROR(__xludf.DUMMYFUNCTION("""COMPUTED_VALUE"""),"2055-06-02T22:34:46.073Z")</f>
        <v>2055-06-02T22:34:46.073Z</v>
      </c>
      <c r="L432" s="3">
        <f ca="1">IFERROR(__xludf.DUMMYFUNCTION("""COMPUTED_VALUE"""),1)</f>
        <v>1</v>
      </c>
      <c r="M432" s="3">
        <f ca="1">IFERROR(__xludf.DUMMYFUNCTION("""COMPUTED_VALUE"""),0)</f>
        <v>0</v>
      </c>
      <c r="N432" s="3" t="str">
        <f ca="1">IFERROR(__xludf.DUMMYFUNCTION("""COMPUTED_VALUE"""),"2055-06-02T22:46:30.282041Z")</f>
        <v>2055-06-02T22:46:30.282041Z</v>
      </c>
      <c r="O432" s="3" t="str">
        <f ca="1">IFERROR(__xludf.DUMMYFUNCTION("""COMPUTED_VALUE"""),"2055-06-02T23:02:20.643314Z")</f>
        <v>2055-06-02T23:02:20.643314Z</v>
      </c>
      <c r="P432" s="3" t="str">
        <f ca="1">IFERROR(__xludf.DUMMYFUNCTION("""COMPUTED_VALUE"""),"2055-06-02T21:38:27.245216Z")</f>
        <v>2055-06-02T21:38:27.245216Z</v>
      </c>
      <c r="Q432" s="3">
        <f ca="1">IFERROR(__xludf.DUMMYFUNCTION("""COMPUTED_VALUE"""),0)</f>
        <v>0</v>
      </c>
      <c r="R432" s="3" t="str">
        <f ca="1">IFERROR(__xludf.DUMMYFUNCTION("""COMPUTED_VALUE"""),"2055-06-02T21:38:31.480585Z")</f>
        <v>2055-06-02T21:38:31.480585Z</v>
      </c>
      <c r="S432" s="3" t="str">
        <f ca="1">IFERROR(__xludf.DUMMYFUNCTION("""COMPUTED_VALUE"""),"2055-06-02T22:38:21.037037Z")</f>
        <v>2055-06-02T22:38:21.037037Z</v>
      </c>
      <c r="T432" s="3"/>
      <c r="U432" s="4">
        <f ca="1">IFERROR(__xludf.DUMMYFUNCTION("""COMPUTED_VALUE"""),56767)</f>
        <v>56767</v>
      </c>
      <c r="V432" s="3">
        <f ca="1">IFERROR(__xludf.DUMMYFUNCTION("""COMPUTED_VALUE"""),4.5)</f>
        <v>4.5</v>
      </c>
      <c r="W432" s="3">
        <f ca="1">IFERROR(__xludf.DUMMYFUNCTION("""COMPUTED_VALUE"""),2500)</f>
        <v>2500</v>
      </c>
      <c r="X432" s="3">
        <f ca="1">IFERROR(__xludf.DUMMYFUNCTION("""COMPUTED_VALUE"""),5029)</f>
        <v>5029</v>
      </c>
      <c r="Y432" s="3">
        <f ca="1">IFERROR(__xludf.DUMMYFUNCTION("""COMPUTED_VALUE"""),3590)</f>
        <v>3590</v>
      </c>
      <c r="Z432" s="3">
        <f ca="1">IFERROR(__xludf.DUMMYFUNCTION("""COMPUTED_VALUE"""),489)</f>
        <v>489</v>
      </c>
      <c r="AA432" s="3">
        <f ca="1">IFERROR(__xludf.DUMMYFUNCTION("""COMPUTED_VALUE"""),950)</f>
        <v>950</v>
      </c>
      <c r="AB432" s="3">
        <f ca="1">IFERROR(__xludf.DUMMYFUNCTION("""COMPUTED_VALUE"""),0)</f>
        <v>0</v>
      </c>
      <c r="AC432" s="3">
        <f ca="1">IFERROR(__xludf.DUMMYFUNCTION("""COMPUTED_VALUE"""),3)</f>
        <v>3</v>
      </c>
      <c r="AD432" s="3" t="str">
        <f ca="1">IFERROR(__xludf.DUMMYFUNCTION("""COMPUTED_VALUE"""),"early")</f>
        <v>early</v>
      </c>
      <c r="AE432" s="3" t="str">
        <f ca="1">IFERROR(__xludf.DUMMYFUNCTION("""COMPUTED_VALUE"""),"2055-06-02T18:46:30.282041Z")</f>
        <v>2055-06-02T18:46:30.282041Z</v>
      </c>
      <c r="AF432" s="3" t="str">
        <f ca="1">IFERROR(__xludf.DUMMYFUNCTION("""COMPUTED_VALUE"""),"2055-06-02T19:02:20.643314Z")</f>
        <v>2055-06-02T19:02:20.643314Z</v>
      </c>
      <c r="AG432" s="3" t="str">
        <f ca="1">IFERROR(__xludf.DUMMYFUNCTION("""COMPUTED_VALUE"""),"2055-06-02T17:38:27.245216Z")</f>
        <v>2055-06-02T17:38:27.245216Z</v>
      </c>
      <c r="AH432" s="3" t="str">
        <f ca="1">IFERROR(__xludf.DUMMYFUNCTION("""COMPUTED_VALUE"""),"2055-06-02T18:38:21.037037Z")</f>
        <v>2055-06-02T18:38:21.037037Z</v>
      </c>
      <c r="AI432" s="3">
        <f ca="1">IFERROR(__xludf.DUMMYFUNCTION("""COMPUTED_VALUE"""),4.46)</f>
        <v>4.46</v>
      </c>
      <c r="AJ432" s="3">
        <f ca="1">IFERROR(__xludf.DUMMYFUNCTION("""COMPUTED_VALUE"""),349)</f>
        <v>349</v>
      </c>
      <c r="AK432" s="3">
        <f ca="1">IFERROR(__xludf.DUMMYFUNCTION("""COMPUTED_VALUE"""),779)</f>
        <v>779</v>
      </c>
      <c r="AL432" s="3"/>
    </row>
    <row r="433" spans="1:38" ht="13">
      <c r="A433" s="3">
        <f ca="1">IFERROR(__xludf.DUMMYFUNCTION("""COMPUTED_VALUE"""),882)</f>
        <v>882</v>
      </c>
      <c r="B433" s="3">
        <f ca="1">IFERROR(__xludf.DUMMYFUNCTION("""COMPUTED_VALUE"""),5)</f>
        <v>5</v>
      </c>
      <c r="C433" s="3">
        <f ca="1">IFERROR(__xludf.DUMMYFUNCTION("""COMPUTED_VALUE"""),4050)</f>
        <v>4050</v>
      </c>
      <c r="D433" s="3" t="str">
        <f ca="1">IFERROR(__xludf.DUMMYFUNCTION("""COMPUTED_VALUE"""),"Doorlanta")</f>
        <v>Doorlanta</v>
      </c>
      <c r="E433" s="3" t="str">
        <f ca="1">IFERROR(__xludf.DUMMYFUNCTION("""COMPUTED_VALUE"""),"Galaxy A")</f>
        <v>Galaxy A</v>
      </c>
      <c r="F433" s="3" t="str">
        <f ca="1">IFERROR(__xludf.DUMMYFUNCTION("""COMPUTED_VALUE"""),"Cate")</f>
        <v>Cate</v>
      </c>
      <c r="G433" s="3">
        <f ca="1">IFERROR(__xludf.DUMMYFUNCTION("""COMPUTED_VALUE"""),0)</f>
        <v>0</v>
      </c>
      <c r="H433" s="3" t="str">
        <f ca="1">IFERROR(__xludf.DUMMYFUNCTION("""COMPUTED_VALUE"""),"car")</f>
        <v>car</v>
      </c>
      <c r="I433" s="3" t="str">
        <f ca="1">IFERROR(__xludf.DUMMYFUNCTION("""COMPUTED_VALUE"""),"2055-06-07T22:28:29.309451Z")</f>
        <v>2055-06-07T22:28:29.309451Z</v>
      </c>
      <c r="J433" s="3" t="str">
        <f ca="1">IFERROR(__xludf.DUMMYFUNCTION("""COMPUTED_VALUE"""),"2055-06-07T23:30:29.38Z")</f>
        <v>2055-06-07T23:30:29.38Z</v>
      </c>
      <c r="K433" s="3" t="str">
        <f ca="1">IFERROR(__xludf.DUMMYFUNCTION("""COMPUTED_VALUE"""),"2055-06-07T23:08:35.38Z")</f>
        <v>2055-06-07T23:08:35.38Z</v>
      </c>
      <c r="L433" s="3">
        <f ca="1">IFERROR(__xludf.DUMMYFUNCTION("""COMPUTED_VALUE"""),1)</f>
        <v>1</v>
      </c>
      <c r="M433" s="3">
        <f ca="1">IFERROR(__xludf.DUMMYFUNCTION("""COMPUTED_VALUE"""),0)</f>
        <v>0</v>
      </c>
      <c r="N433" s="3" t="str">
        <f ca="1">IFERROR(__xludf.DUMMYFUNCTION("""COMPUTED_VALUE"""),"2055-06-07T22:53:06.991165Z")</f>
        <v>2055-06-07T22:53:06.991165Z</v>
      </c>
      <c r="O433" s="3" t="str">
        <f ca="1">IFERROR(__xludf.DUMMYFUNCTION("""COMPUTED_VALUE"""),"2055-06-07T23:01:17.38735Z")</f>
        <v>2055-06-07T23:01:17.38735Z</v>
      </c>
      <c r="P433" s="3" t="str">
        <f ca="1">IFERROR(__xludf.DUMMYFUNCTION("""COMPUTED_VALUE"""),"2055-06-07T22:39:07.51664Z")</f>
        <v>2055-06-07T22:39:07.51664Z</v>
      </c>
      <c r="Q433" s="3">
        <f ca="1">IFERROR(__xludf.DUMMYFUNCTION("""COMPUTED_VALUE"""),0)</f>
        <v>0</v>
      </c>
      <c r="R433" s="3" t="str">
        <f ca="1">IFERROR(__xludf.DUMMYFUNCTION("""COMPUTED_VALUE"""),"2055-06-07T22:39:11.473497Z")</f>
        <v>2055-06-07T22:39:11.473497Z</v>
      </c>
      <c r="S433" s="3"/>
      <c r="T433" s="3"/>
      <c r="U433" s="4">
        <f ca="1">IFERROR(__xludf.DUMMYFUNCTION("""COMPUTED_VALUE"""),56772)</f>
        <v>56772</v>
      </c>
      <c r="V433" s="3">
        <f ca="1">IFERROR(__xludf.DUMMYFUNCTION("""COMPUTED_VALUE"""),4.4)</f>
        <v>4.4000000000000004</v>
      </c>
      <c r="W433" s="3">
        <f ca="1">IFERROR(__xludf.DUMMYFUNCTION("""COMPUTED_VALUE"""),2500)</f>
        <v>2500</v>
      </c>
      <c r="X433" s="3">
        <f ca="1">IFERROR(__xludf.DUMMYFUNCTION("""COMPUTED_VALUE"""),1326)</f>
        <v>1326</v>
      </c>
      <c r="Y433" s="3"/>
      <c r="Z433" s="3"/>
      <c r="AA433" s="3">
        <f ca="1">IFERROR(__xludf.DUMMYFUNCTION("""COMPUTED_VALUE"""),491)</f>
        <v>491</v>
      </c>
      <c r="AB433" s="3">
        <f ca="1">IFERROR(__xludf.DUMMYFUNCTION("""COMPUTED_VALUE"""),0)</f>
        <v>0</v>
      </c>
      <c r="AC433" s="3">
        <f ca="1">IFERROR(__xludf.DUMMYFUNCTION("""COMPUTED_VALUE"""),2)</f>
        <v>2</v>
      </c>
      <c r="AD433" s="3"/>
      <c r="AE433" s="3" t="str">
        <f ca="1">IFERROR(__xludf.DUMMYFUNCTION("""COMPUTED_VALUE"""),"2055-06-07T18:53:06.991165Z")</f>
        <v>2055-06-07T18:53:06.991165Z</v>
      </c>
      <c r="AF433" s="3" t="str">
        <f ca="1">IFERROR(__xludf.DUMMYFUNCTION("""COMPUTED_VALUE"""),"2055-06-07T19:01:17.38735Z")</f>
        <v>2055-06-07T19:01:17.38735Z</v>
      </c>
      <c r="AG433" s="3" t="str">
        <f ca="1">IFERROR(__xludf.DUMMYFUNCTION("""COMPUTED_VALUE"""),"2055-06-07T18:39:07.51664Z")</f>
        <v>2055-06-07T18:39:07.51664Z</v>
      </c>
      <c r="AH433" s="3"/>
      <c r="AI433" s="3">
        <f ca="1">IFERROR(__xludf.DUMMYFUNCTION("""COMPUTED_VALUE"""),4.49)</f>
        <v>4.49</v>
      </c>
      <c r="AJ433" s="3">
        <f ca="1">IFERROR(__xludf.DUMMYFUNCTION("""COMPUTED_VALUE"""),2315)</f>
        <v>2315</v>
      </c>
      <c r="AK433" s="3">
        <f ca="1">IFERROR(__xludf.DUMMYFUNCTION("""COMPUTED_VALUE"""),7039)</f>
        <v>7039</v>
      </c>
      <c r="AL433" s="3">
        <f ca="1">IFERROR(__xludf.DUMMYFUNCTION("""COMPUTED_VALUE"""),763)</f>
        <v>763</v>
      </c>
    </row>
    <row r="434" spans="1:38" ht="13">
      <c r="A434" s="3">
        <f ca="1">IFERROR(__xludf.DUMMYFUNCTION("""COMPUTED_VALUE"""),23)</f>
        <v>23</v>
      </c>
      <c r="B434" s="3">
        <f ca="1">IFERROR(__xludf.DUMMYFUNCTION("""COMPUTED_VALUE"""),1)</f>
        <v>1</v>
      </c>
      <c r="C434" s="3">
        <f ca="1">IFERROR(__xludf.DUMMYFUNCTION("""COMPUTED_VALUE"""),4050)</f>
        <v>4050</v>
      </c>
      <c r="D434" s="3" t="str">
        <f ca="1">IFERROR(__xludf.DUMMYFUNCTION("""COMPUTED_VALUE"""),"Doorlanta")</f>
        <v>Doorlanta</v>
      </c>
      <c r="E434" s="3" t="str">
        <f ca="1">IFERROR(__xludf.DUMMYFUNCTION("""COMPUTED_VALUE"""),"Galaxy A")</f>
        <v>Galaxy A</v>
      </c>
      <c r="F434" s="3" t="str">
        <f ca="1">IFERROR(__xludf.DUMMYFUNCTION("""COMPUTED_VALUE"""),"Jagar")</f>
        <v>Jagar</v>
      </c>
      <c r="G434" s="3">
        <f ca="1">IFERROR(__xludf.DUMMYFUNCTION("""COMPUTED_VALUE"""),0)</f>
        <v>0</v>
      </c>
      <c r="H434" s="3" t="str">
        <f ca="1">IFERROR(__xludf.DUMMYFUNCTION("""COMPUTED_VALUE"""),"car")</f>
        <v>car</v>
      </c>
      <c r="I434" s="3" t="str">
        <f ca="1">IFERROR(__xludf.DUMMYFUNCTION("""COMPUTED_VALUE"""),"2055-06-01T16:53:41.682573Z")</f>
        <v>2055-06-01T16:53:41.682573Z</v>
      </c>
      <c r="J434" s="3" t="str">
        <f ca="1">IFERROR(__xludf.DUMMYFUNCTION("""COMPUTED_VALUE"""),"2055-06-01T17:33:41.749Z")</f>
        <v>2055-06-01T17:33:41.749Z</v>
      </c>
      <c r="K434" s="3" t="str">
        <f ca="1">IFERROR(__xludf.DUMMYFUNCTION("""COMPUTED_VALUE"""),"2055-06-01T17:21:15.749Z")</f>
        <v>2055-06-01T17:21:15.749Z</v>
      </c>
      <c r="L434" s="3">
        <f ca="1">IFERROR(__xludf.DUMMYFUNCTION("""COMPUTED_VALUE"""),1)</f>
        <v>1</v>
      </c>
      <c r="M434" s="3">
        <f ca="1">IFERROR(__xludf.DUMMYFUNCTION("""COMPUTED_VALUE"""),0)</f>
        <v>0</v>
      </c>
      <c r="N434" s="3" t="str">
        <f ca="1">IFERROR(__xludf.DUMMYFUNCTION("""COMPUTED_VALUE"""),"2055-06-01T17:16:09.164487Z")</f>
        <v>2055-06-01T17:16:09.164487Z</v>
      </c>
      <c r="O434" s="3" t="str">
        <f ca="1">IFERROR(__xludf.DUMMYFUNCTION("""COMPUTED_VALUE"""),"2055-06-01T17:26:37.400588Z")</f>
        <v>2055-06-01T17:26:37.400588Z</v>
      </c>
      <c r="P434" s="3" t="str">
        <f ca="1">IFERROR(__xludf.DUMMYFUNCTION("""COMPUTED_VALUE"""),"2055-06-01T16:53:47.243698Z")</f>
        <v>2055-06-01T16:53:47.243698Z</v>
      </c>
      <c r="Q434" s="3">
        <f ca="1">IFERROR(__xludf.DUMMYFUNCTION("""COMPUTED_VALUE"""),0)</f>
        <v>0</v>
      </c>
      <c r="R434" s="3" t="str">
        <f ca="1">IFERROR(__xludf.DUMMYFUNCTION("""COMPUTED_VALUE"""),"2055-06-01T16:53:54.342709Z")</f>
        <v>2055-06-01T16:53:54.342709Z</v>
      </c>
      <c r="S434" s="3" t="str">
        <f ca="1">IFERROR(__xludf.DUMMYFUNCTION("""COMPUTED_VALUE"""),"2055-06-01T17:07:33.640164Z")</f>
        <v>2055-06-01T17:07:33.640164Z</v>
      </c>
      <c r="T434" s="3"/>
      <c r="U434" s="4">
        <f ca="1">IFERROR(__xludf.DUMMYFUNCTION("""COMPUTED_VALUE"""),56766)</f>
        <v>56766</v>
      </c>
      <c r="V434" s="3">
        <f ca="1">IFERROR(__xludf.DUMMYFUNCTION("""COMPUTED_VALUE"""),4.6)</f>
        <v>4.5999999999999996</v>
      </c>
      <c r="W434" s="3">
        <f ca="1">IFERROR(__xludf.DUMMYFUNCTION("""COMPUTED_VALUE"""),2500)</f>
        <v>2500</v>
      </c>
      <c r="X434" s="3">
        <f ca="1">IFERROR(__xludf.DUMMYFUNCTION("""COMPUTED_VALUE"""),1963)</f>
        <v>1963</v>
      </c>
      <c r="Y434" s="3">
        <f ca="1">IFERROR(__xludf.DUMMYFUNCTION("""COMPUTED_VALUE"""),819)</f>
        <v>819</v>
      </c>
      <c r="Z434" s="3">
        <f ca="1">IFERROR(__xludf.DUMMYFUNCTION("""COMPUTED_VALUE"""),516)</f>
        <v>516</v>
      </c>
      <c r="AA434" s="3">
        <f ca="1">IFERROR(__xludf.DUMMYFUNCTION("""COMPUTED_VALUE"""),628)</f>
        <v>628</v>
      </c>
      <c r="AB434" s="3">
        <f ca="1">IFERROR(__xludf.DUMMYFUNCTION("""COMPUTED_VALUE"""),0)</f>
        <v>0</v>
      </c>
      <c r="AC434" s="3">
        <f ca="1">IFERROR(__xludf.DUMMYFUNCTION("""COMPUTED_VALUE"""),2)</f>
        <v>2</v>
      </c>
      <c r="AD434" s="3" t="str">
        <f ca="1">IFERROR(__xludf.DUMMYFUNCTION("""COMPUTED_VALUE"""),"on time")</f>
        <v>on time</v>
      </c>
      <c r="AE434" s="3" t="str">
        <f ca="1">IFERROR(__xludf.DUMMYFUNCTION("""COMPUTED_VALUE"""),"2055-06-01T13:16:09.164487Z")</f>
        <v>2055-06-01T13:16:09.164487Z</v>
      </c>
      <c r="AF434" s="3" t="str">
        <f ca="1">IFERROR(__xludf.DUMMYFUNCTION("""COMPUTED_VALUE"""),"2055-06-01T13:26:37.400588Z")</f>
        <v>2055-06-01T13:26:37.400588Z</v>
      </c>
      <c r="AG434" s="3" t="str">
        <f ca="1">IFERROR(__xludf.DUMMYFUNCTION("""COMPUTED_VALUE"""),"2055-06-01T12:53:47.243698Z")</f>
        <v>2055-06-01T12:53:47.243698Z</v>
      </c>
      <c r="AH434" s="3" t="str">
        <f ca="1">IFERROR(__xludf.DUMMYFUNCTION("""COMPUTED_VALUE"""),"2055-06-01T13:07:33.640164Z")</f>
        <v>2055-06-01T13:07:33.640164Z</v>
      </c>
      <c r="AI434" s="3">
        <f ca="1">IFERROR(__xludf.DUMMYFUNCTION("""COMPUTED_VALUE"""),4.89)</f>
        <v>4.8899999999999997</v>
      </c>
      <c r="AJ434" s="3">
        <f ca="1">IFERROR(__xludf.DUMMYFUNCTION("""COMPUTED_VALUE"""),1778)</f>
        <v>1778</v>
      </c>
      <c r="AK434" s="3">
        <f ca="1">IFERROR(__xludf.DUMMYFUNCTION("""COMPUTED_VALUE"""),5138)</f>
        <v>5138</v>
      </c>
      <c r="AL434" s="3">
        <f ca="1">IFERROR(__xludf.DUMMYFUNCTION("""COMPUTED_VALUE"""),314)</f>
        <v>314</v>
      </c>
    </row>
    <row r="435" spans="1:38" ht="13">
      <c r="A435" s="3">
        <f ca="1">IFERROR(__xludf.DUMMYFUNCTION("""COMPUTED_VALUE"""),917)</f>
        <v>917</v>
      </c>
      <c r="B435" s="3"/>
      <c r="C435" s="3">
        <f ca="1">IFERROR(__xludf.DUMMYFUNCTION("""COMPUTED_VALUE"""),4001)</f>
        <v>4001</v>
      </c>
      <c r="D435" s="3" t="str">
        <f ca="1">IFERROR(__xludf.DUMMYFUNCTION("""COMPUTED_VALUE"""),"Dashattan")</f>
        <v>Dashattan</v>
      </c>
      <c r="E435" s="3" t="str">
        <f ca="1">IFERROR(__xludf.DUMMYFUNCTION("""COMPUTED_VALUE"""),"Galaxy A")</f>
        <v>Galaxy A</v>
      </c>
      <c r="F435" s="3" t="str">
        <f ca="1">IFERROR(__xludf.DUMMYFUNCTION("""COMPUTED_VALUE"""),"Rojan")</f>
        <v>Rojan</v>
      </c>
      <c r="G435" s="3">
        <f ca="1">IFERROR(__xludf.DUMMYFUNCTION("""COMPUTED_VALUE"""),0)</f>
        <v>0</v>
      </c>
      <c r="H435" s="3" t="str">
        <f ca="1">IFERROR(__xludf.DUMMYFUNCTION("""COMPUTED_VALUE"""),"bicycle")</f>
        <v>bicycle</v>
      </c>
      <c r="I435" s="3" t="str">
        <f ca="1">IFERROR(__xludf.DUMMYFUNCTION("""COMPUTED_VALUE"""),"2055-06-08T03:21:51.532199Z")</f>
        <v>2055-06-08T03:21:51.532199Z</v>
      </c>
      <c r="J435" s="3" t="str">
        <f ca="1">IFERROR(__xludf.DUMMYFUNCTION("""COMPUTED_VALUE"""),"2055-06-08T04:01:42.605Z")</f>
        <v>2055-06-08T04:01:42.605Z</v>
      </c>
      <c r="K435" s="3" t="str">
        <f ca="1">IFERROR(__xludf.DUMMYFUNCTION("""COMPUTED_VALUE"""),"2055-06-08T03:47:49.605Z")</f>
        <v>2055-06-08T03:47:49.605Z</v>
      </c>
      <c r="L435" s="3">
        <f ca="1">IFERROR(__xludf.DUMMYFUNCTION("""COMPUTED_VALUE"""),1)</f>
        <v>1</v>
      </c>
      <c r="M435" s="3">
        <f ca="1">IFERROR(__xludf.DUMMYFUNCTION("""COMPUTED_VALUE"""),0)</f>
        <v>0</v>
      </c>
      <c r="N435" s="3" t="str">
        <f ca="1">IFERROR(__xludf.DUMMYFUNCTION("""COMPUTED_VALUE"""),"2055-06-08T03:40:39.721624Z")</f>
        <v>2055-06-08T03:40:39.721624Z</v>
      </c>
      <c r="O435" s="3" t="str">
        <f ca="1">IFERROR(__xludf.DUMMYFUNCTION("""COMPUTED_VALUE"""),"2055-06-08T03:52:38.505574Z")</f>
        <v>2055-06-08T03:52:38.505574Z</v>
      </c>
      <c r="P435" s="3" t="str">
        <f ca="1">IFERROR(__xludf.DUMMYFUNCTION("""COMPUTED_VALUE"""),"2055-06-08T03:24:54.090655Z")</f>
        <v>2055-06-08T03:24:54.090655Z</v>
      </c>
      <c r="Q435" s="3">
        <f ca="1">IFERROR(__xludf.DUMMYFUNCTION("""COMPUTED_VALUE"""),0)</f>
        <v>0</v>
      </c>
      <c r="R435" s="3" t="str">
        <f ca="1">IFERROR(__xludf.DUMMYFUNCTION("""COMPUTED_VALUE"""),"2055-06-08T03:25:09.532941Z")</f>
        <v>2055-06-08T03:25:09.532941Z</v>
      </c>
      <c r="S435" s="3" t="str">
        <f ca="1">IFERROR(__xludf.DUMMYFUNCTION("""COMPUTED_VALUE"""),"2055-06-08T03:40:04.744513Z")</f>
        <v>2055-06-08T03:40:04.744513Z</v>
      </c>
      <c r="T435" s="3"/>
      <c r="U435" s="4">
        <f ca="1">IFERROR(__xludf.DUMMYFUNCTION("""COMPUTED_VALUE"""),56772)</f>
        <v>56772</v>
      </c>
      <c r="V435" s="3">
        <f ca="1">IFERROR(__xludf.DUMMYFUNCTION("""COMPUTED_VALUE"""),4.6)</f>
        <v>4.5999999999999996</v>
      </c>
      <c r="W435" s="3">
        <f ca="1">IFERROR(__xludf.DUMMYFUNCTION("""COMPUTED_VALUE"""),2500)</f>
        <v>2500</v>
      </c>
      <c r="X435" s="3">
        <f ca="1">IFERROR(__xludf.DUMMYFUNCTION("""COMPUTED_VALUE"""),1649)</f>
        <v>1649</v>
      </c>
      <c r="Y435" s="3">
        <f ca="1">IFERROR(__xludf.DUMMYFUNCTION("""COMPUTED_VALUE"""),895)</f>
        <v>895</v>
      </c>
      <c r="Z435" s="3">
        <f ca="1">IFERROR(__xludf.DUMMYFUNCTION("""COMPUTED_VALUE"""),35)</f>
        <v>35</v>
      </c>
      <c r="AA435" s="3">
        <f ca="1">IFERROR(__xludf.DUMMYFUNCTION("""COMPUTED_VALUE"""),719)</f>
        <v>719</v>
      </c>
      <c r="AB435" s="3">
        <f ca="1">IFERROR(__xludf.DUMMYFUNCTION("""COMPUTED_VALUE"""),0)</f>
        <v>0</v>
      </c>
      <c r="AC435" s="3">
        <f ca="1">IFERROR(__xludf.DUMMYFUNCTION("""COMPUTED_VALUE"""),4)</f>
        <v>4</v>
      </c>
      <c r="AD435" s="3" t="str">
        <f ca="1">IFERROR(__xludf.DUMMYFUNCTION("""COMPUTED_VALUE"""),"late")</f>
        <v>late</v>
      </c>
      <c r="AE435" s="3" t="str">
        <f ca="1">IFERROR(__xludf.DUMMYFUNCTION("""COMPUTED_VALUE"""),"2055-06-07T23:40:39.721624Z")</f>
        <v>2055-06-07T23:40:39.721624Z</v>
      </c>
      <c r="AF435" s="3" t="str">
        <f ca="1">IFERROR(__xludf.DUMMYFUNCTION("""COMPUTED_VALUE"""),"2055-06-07T23:52:38.505574Z")</f>
        <v>2055-06-07T23:52:38.505574Z</v>
      </c>
      <c r="AG435" s="3" t="str">
        <f ca="1">IFERROR(__xludf.DUMMYFUNCTION("""COMPUTED_VALUE"""),"2055-06-07T23:24:54.090655Z")</f>
        <v>2055-06-07T23:24:54.090655Z</v>
      </c>
      <c r="AH435" s="3" t="str">
        <f ca="1">IFERROR(__xludf.DUMMYFUNCTION("""COMPUTED_VALUE"""),"2055-06-07T23:40:04.744513Z")</f>
        <v>2055-06-07T23:40:04.744513Z</v>
      </c>
      <c r="AI435" s="3">
        <f ca="1">IFERROR(__xludf.DUMMYFUNCTION("""COMPUTED_VALUE"""),4.58)</f>
        <v>4.58</v>
      </c>
      <c r="AJ435" s="3">
        <f ca="1">IFERROR(__xludf.DUMMYFUNCTION("""COMPUTED_VALUE"""),254)</f>
        <v>254</v>
      </c>
      <c r="AK435" s="3">
        <f ca="1">IFERROR(__xludf.DUMMYFUNCTION("""COMPUTED_VALUE"""),788)</f>
        <v>788</v>
      </c>
      <c r="AL435" s="3">
        <f ca="1">IFERROR(__xludf.DUMMYFUNCTION("""COMPUTED_VALUE"""),9)</f>
        <v>9</v>
      </c>
    </row>
    <row r="436" spans="1:38" ht="13">
      <c r="A436" s="3">
        <f ca="1">IFERROR(__xludf.DUMMYFUNCTION("""COMPUTED_VALUE"""),1080)</f>
        <v>1080</v>
      </c>
      <c r="B436" s="3"/>
      <c r="C436" s="3">
        <f ca="1">IFERROR(__xludf.DUMMYFUNCTION("""COMPUTED_VALUE"""),4001)</f>
        <v>4001</v>
      </c>
      <c r="D436" s="3" t="str">
        <f ca="1">IFERROR(__xludf.DUMMYFUNCTION("""COMPUTED_VALUE"""),"Dashattan")</f>
        <v>Dashattan</v>
      </c>
      <c r="E436" s="3" t="str">
        <f ca="1">IFERROR(__xludf.DUMMYFUNCTION("""COMPUTED_VALUE"""),"Galaxy A")</f>
        <v>Galaxy A</v>
      </c>
      <c r="F436" s="3" t="str">
        <f ca="1">IFERROR(__xludf.DUMMYFUNCTION("""COMPUTED_VALUE"""),"Arya")</f>
        <v>Arya</v>
      </c>
      <c r="G436" s="3">
        <f ca="1">IFERROR(__xludf.DUMMYFUNCTION("""COMPUTED_VALUE"""),0)</f>
        <v>0</v>
      </c>
      <c r="H436" s="3" t="str">
        <f ca="1">IFERROR(__xludf.DUMMYFUNCTION("""COMPUTED_VALUE"""),"bicycle")</f>
        <v>bicycle</v>
      </c>
      <c r="I436" s="3" t="str">
        <f ca="1">IFERROR(__xludf.DUMMYFUNCTION("""COMPUTED_VALUE"""),"2055-06-09T23:12:01.649477Z")</f>
        <v>2055-06-09T23:12:01.649477Z</v>
      </c>
      <c r="J436" s="3" t="str">
        <f ca="1">IFERROR(__xludf.DUMMYFUNCTION("""COMPUTED_VALUE"""),"2055-06-09T23:59:22.712Z")</f>
        <v>2055-06-09T23:59:22.712Z</v>
      </c>
      <c r="K436" s="3" t="str">
        <f ca="1">IFERROR(__xludf.DUMMYFUNCTION("""COMPUTED_VALUE"""),"2055-06-09T23:40:29.712Z")</f>
        <v>2055-06-09T23:40:29.712Z</v>
      </c>
      <c r="L436" s="3">
        <f ca="1">IFERROR(__xludf.DUMMYFUNCTION("""COMPUTED_VALUE"""),1)</f>
        <v>1</v>
      </c>
      <c r="M436" s="3">
        <f ca="1">IFERROR(__xludf.DUMMYFUNCTION("""COMPUTED_VALUE"""),0)</f>
        <v>0</v>
      </c>
      <c r="N436" s="3" t="str">
        <f ca="1">IFERROR(__xludf.DUMMYFUNCTION("""COMPUTED_VALUE"""),"2055-06-09T23:57:53.639183Z")</f>
        <v>2055-06-09T23:57:53.639183Z</v>
      </c>
      <c r="O436" s="3" t="str">
        <f ca="1">IFERROR(__xludf.DUMMYFUNCTION("""COMPUTED_VALUE"""),"2055-06-10T00:11:26.17545Z")</f>
        <v>2055-06-10T00:11:26.17545Z</v>
      </c>
      <c r="P436" s="3" t="str">
        <f ca="1">IFERROR(__xludf.DUMMYFUNCTION("""COMPUTED_VALUE"""),"2055-06-09T23:13:54.646755Z")</f>
        <v>2055-06-09T23:13:54.646755Z</v>
      </c>
      <c r="Q436" s="3">
        <f ca="1">IFERROR(__xludf.DUMMYFUNCTION("""COMPUTED_VALUE"""),0)</f>
        <v>0</v>
      </c>
      <c r="R436" s="3" t="str">
        <f ca="1">IFERROR(__xludf.DUMMYFUNCTION("""COMPUTED_VALUE"""),"2055-06-09T23:14:07.968402Z")</f>
        <v>2055-06-09T23:14:07.968402Z</v>
      </c>
      <c r="S436" s="3" t="str">
        <f ca="1">IFERROR(__xludf.DUMMYFUNCTION("""COMPUTED_VALUE"""),"2055-06-09T23:58:35.440946Z")</f>
        <v>2055-06-09T23:58:35.440946Z</v>
      </c>
      <c r="T436" s="3"/>
      <c r="U436" s="4">
        <f ca="1">IFERROR(__xludf.DUMMYFUNCTION("""COMPUTED_VALUE"""),56774)</f>
        <v>56774</v>
      </c>
      <c r="V436" s="3">
        <f ca="1">IFERROR(__xludf.DUMMYFUNCTION("""COMPUTED_VALUE"""),4.6)</f>
        <v>4.5999999999999996</v>
      </c>
      <c r="W436" s="3">
        <f ca="1">IFERROR(__xludf.DUMMYFUNCTION("""COMPUTED_VALUE"""),2500)</f>
        <v>2500</v>
      </c>
      <c r="X436" s="3">
        <f ca="1">IFERROR(__xludf.DUMMYFUNCTION("""COMPUTED_VALUE"""),3439)</f>
        <v>3439</v>
      </c>
      <c r="Y436" s="3">
        <f ca="1">IFERROR(__xludf.DUMMYFUNCTION("""COMPUTED_VALUE"""),2668)</f>
        <v>2668</v>
      </c>
      <c r="Z436" s="3"/>
      <c r="AA436" s="3">
        <f ca="1">IFERROR(__xludf.DUMMYFUNCTION("""COMPUTED_VALUE"""),813)</f>
        <v>813</v>
      </c>
      <c r="AB436" s="3">
        <f ca="1">IFERROR(__xludf.DUMMYFUNCTION("""COMPUTED_VALUE"""),1)</f>
        <v>1</v>
      </c>
      <c r="AC436" s="3">
        <f ca="1">IFERROR(__xludf.DUMMYFUNCTION("""COMPUTED_VALUE"""),3)</f>
        <v>3</v>
      </c>
      <c r="AD436" s="3"/>
      <c r="AE436" s="3" t="str">
        <f ca="1">IFERROR(__xludf.DUMMYFUNCTION("""COMPUTED_VALUE"""),"2055-06-09T19:57:53.639183Z")</f>
        <v>2055-06-09T19:57:53.639183Z</v>
      </c>
      <c r="AF436" s="3" t="str">
        <f ca="1">IFERROR(__xludf.DUMMYFUNCTION("""COMPUTED_VALUE"""),"2055-06-09T20:11:26.17545Z")</f>
        <v>2055-06-09T20:11:26.17545Z</v>
      </c>
      <c r="AG436" s="3" t="str">
        <f ca="1">IFERROR(__xludf.DUMMYFUNCTION("""COMPUTED_VALUE"""),"2055-06-09T19:13:54.646755Z")</f>
        <v>2055-06-09T19:13:54.646755Z</v>
      </c>
      <c r="AH436" s="3" t="str">
        <f ca="1">IFERROR(__xludf.DUMMYFUNCTION("""COMPUTED_VALUE"""),"2055-06-09T19:58:35.440946Z")</f>
        <v>2055-06-09T19:58:35.440946Z</v>
      </c>
      <c r="AI436" s="3">
        <f ca="1">IFERROR(__xludf.DUMMYFUNCTION("""COMPUTED_VALUE"""),4.17)</f>
        <v>4.17</v>
      </c>
      <c r="AJ436" s="3">
        <f ca="1">IFERROR(__xludf.DUMMYFUNCTION("""COMPUTED_VALUE"""),457)</f>
        <v>457</v>
      </c>
      <c r="AK436" s="3">
        <f ca="1">IFERROR(__xludf.DUMMYFUNCTION("""COMPUTED_VALUE"""),1599)</f>
        <v>1599</v>
      </c>
      <c r="AL436" s="3"/>
    </row>
    <row r="437" spans="1:38" ht="13">
      <c r="A437" s="3">
        <f ca="1">IFERROR(__xludf.DUMMYFUNCTION("""COMPUTED_VALUE"""),1330)</f>
        <v>1330</v>
      </c>
      <c r="B437" s="3">
        <f ca="1">IFERROR(__xludf.DUMMYFUNCTION("""COMPUTED_VALUE"""),4)</f>
        <v>4</v>
      </c>
      <c r="C437" s="3">
        <f ca="1">IFERROR(__xludf.DUMMYFUNCTION("""COMPUTED_VALUE"""),4001)</f>
        <v>4001</v>
      </c>
      <c r="D437" s="3" t="str">
        <f ca="1">IFERROR(__xludf.DUMMYFUNCTION("""COMPUTED_VALUE"""),"Dashattan")</f>
        <v>Dashattan</v>
      </c>
      <c r="E437" s="3" t="str">
        <f ca="1">IFERROR(__xludf.DUMMYFUNCTION("""COMPUTED_VALUE"""),"Galaxy A")</f>
        <v>Galaxy A</v>
      </c>
      <c r="F437" s="3" t="str">
        <f ca="1">IFERROR(__xludf.DUMMYFUNCTION("""COMPUTED_VALUE"""),"Mike")</f>
        <v>Mike</v>
      </c>
      <c r="G437" s="3">
        <f ca="1">IFERROR(__xludf.DUMMYFUNCTION("""COMPUTED_VALUE"""),0)</f>
        <v>0</v>
      </c>
      <c r="H437" s="3" t="str">
        <f ca="1">IFERROR(__xludf.DUMMYFUNCTION("""COMPUTED_VALUE"""),"bicycle")</f>
        <v>bicycle</v>
      </c>
      <c r="I437" s="3" t="str">
        <f ca="1">IFERROR(__xludf.DUMMYFUNCTION("""COMPUTED_VALUE"""),"2055-06-11T22:56:34.495359Z")</f>
        <v>2055-06-11T22:56:34.495359Z</v>
      </c>
      <c r="J437" s="3" t="str">
        <f ca="1">IFERROR(__xludf.DUMMYFUNCTION("""COMPUTED_VALUE"""),"2055-06-11T23:47:27.555Z")</f>
        <v>2055-06-11T23:47:27.555Z</v>
      </c>
      <c r="K437" s="3" t="str">
        <f ca="1">IFERROR(__xludf.DUMMYFUNCTION("""COMPUTED_VALUE"""),"2055-06-11T23:27:20.555Z")</f>
        <v>2055-06-11T23:27:20.555Z</v>
      </c>
      <c r="L437" s="3">
        <f ca="1">IFERROR(__xludf.DUMMYFUNCTION("""COMPUTED_VALUE"""),1)</f>
        <v>1</v>
      </c>
      <c r="M437" s="3">
        <f ca="1">IFERROR(__xludf.DUMMYFUNCTION("""COMPUTED_VALUE"""),0)</f>
        <v>0</v>
      </c>
      <c r="N437" s="3" t="str">
        <f ca="1">IFERROR(__xludf.DUMMYFUNCTION("""COMPUTED_VALUE"""),"2055-06-11T23:14:59.613884Z")</f>
        <v>2055-06-11T23:14:59.613884Z</v>
      </c>
      <c r="O437" s="3" t="str">
        <f ca="1">IFERROR(__xludf.DUMMYFUNCTION("""COMPUTED_VALUE"""),"2055-06-11T23:30:47.963899Z")</f>
        <v>2055-06-11T23:30:47.963899Z</v>
      </c>
      <c r="P437" s="3" t="str">
        <f ca="1">IFERROR(__xludf.DUMMYFUNCTION("""COMPUTED_VALUE"""),"2055-06-11T23:03:34.879782Z")</f>
        <v>2055-06-11T23:03:34.879782Z</v>
      </c>
      <c r="Q437" s="3">
        <f ca="1">IFERROR(__xludf.DUMMYFUNCTION("""COMPUTED_VALUE"""),0)</f>
        <v>0</v>
      </c>
      <c r="R437" s="3" t="str">
        <f ca="1">IFERROR(__xludf.DUMMYFUNCTION("""COMPUTED_VALUE"""),"2055-06-11T23:03:46.840277Z")</f>
        <v>2055-06-11T23:03:46.840277Z</v>
      </c>
      <c r="S437" s="3" t="str">
        <f ca="1">IFERROR(__xludf.DUMMYFUNCTION("""COMPUTED_VALUE"""),"2055-06-11T23:11:38.063111Z")</f>
        <v>2055-06-11T23:11:38.063111Z</v>
      </c>
      <c r="T437" s="3"/>
      <c r="U437" s="4">
        <f ca="1">IFERROR(__xludf.DUMMYFUNCTION("""COMPUTED_VALUE"""),56776)</f>
        <v>56776</v>
      </c>
      <c r="V437" s="3">
        <f ca="1">IFERROR(__xludf.DUMMYFUNCTION("""COMPUTED_VALUE"""),4.6)</f>
        <v>4.5999999999999996</v>
      </c>
      <c r="W437" s="3">
        <f ca="1">IFERROR(__xludf.DUMMYFUNCTION("""COMPUTED_VALUE"""),2500)</f>
        <v>2500</v>
      </c>
      <c r="X437" s="3">
        <f ca="1">IFERROR(__xludf.DUMMYFUNCTION("""COMPUTED_VALUE"""),1621)</f>
        <v>1621</v>
      </c>
      <c r="Y437" s="3">
        <f ca="1">IFERROR(__xludf.DUMMYFUNCTION("""COMPUTED_VALUE"""),472)</f>
        <v>472</v>
      </c>
      <c r="Z437" s="3">
        <f ca="1">IFERROR(__xludf.DUMMYFUNCTION("""COMPUTED_VALUE"""),201)</f>
        <v>201</v>
      </c>
      <c r="AA437" s="3">
        <f ca="1">IFERROR(__xludf.DUMMYFUNCTION("""COMPUTED_VALUE"""),948)</f>
        <v>948</v>
      </c>
      <c r="AB437" s="3">
        <f ca="1">IFERROR(__xludf.DUMMYFUNCTION("""COMPUTED_VALUE"""),0)</f>
        <v>0</v>
      </c>
      <c r="AC437" s="3">
        <f ca="1">IFERROR(__xludf.DUMMYFUNCTION("""COMPUTED_VALUE"""),4)</f>
        <v>4</v>
      </c>
      <c r="AD437" s="3" t="str">
        <f ca="1">IFERROR(__xludf.DUMMYFUNCTION("""COMPUTED_VALUE"""),"on time")</f>
        <v>on time</v>
      </c>
      <c r="AE437" s="3" t="str">
        <f ca="1">IFERROR(__xludf.DUMMYFUNCTION("""COMPUTED_VALUE"""),"2055-06-11T19:14:59.613884Z")</f>
        <v>2055-06-11T19:14:59.613884Z</v>
      </c>
      <c r="AF437" s="3" t="str">
        <f ca="1">IFERROR(__xludf.DUMMYFUNCTION("""COMPUTED_VALUE"""),"2055-06-11T19:30:47.963899Z")</f>
        <v>2055-06-11T19:30:47.963899Z</v>
      </c>
      <c r="AG437" s="3" t="str">
        <f ca="1">IFERROR(__xludf.DUMMYFUNCTION("""COMPUTED_VALUE"""),"2055-06-11T19:03:34.879782Z")</f>
        <v>2055-06-11T19:03:34.879782Z</v>
      </c>
      <c r="AH437" s="3" t="str">
        <f ca="1">IFERROR(__xludf.DUMMYFUNCTION("""COMPUTED_VALUE"""),"2055-06-11T19:11:38.063111Z")</f>
        <v>2055-06-11T19:11:38.063111Z</v>
      </c>
      <c r="AI437" s="3">
        <f ca="1">IFERROR(__xludf.DUMMYFUNCTION("""COMPUTED_VALUE"""),4.63)</f>
        <v>4.63</v>
      </c>
      <c r="AJ437" s="3">
        <f ca="1">IFERROR(__xludf.DUMMYFUNCTION("""COMPUTED_VALUE"""),242)</f>
        <v>242</v>
      </c>
      <c r="AK437" s="3">
        <f ca="1">IFERROR(__xludf.DUMMYFUNCTION("""COMPUTED_VALUE"""),736)</f>
        <v>736</v>
      </c>
      <c r="AL437" s="3"/>
    </row>
    <row r="438" spans="1:38" ht="13">
      <c r="A438" s="3">
        <f ca="1">IFERROR(__xludf.DUMMYFUNCTION("""COMPUTED_VALUE"""),1512)</f>
        <v>1512</v>
      </c>
      <c r="B438" s="3"/>
      <c r="C438" s="3">
        <f ca="1">IFERROR(__xludf.DUMMYFUNCTION("""COMPUTED_VALUE"""),4001)</f>
        <v>4001</v>
      </c>
      <c r="D438" s="3" t="str">
        <f ca="1">IFERROR(__xludf.DUMMYFUNCTION("""COMPUTED_VALUE"""),"Dashattan")</f>
        <v>Dashattan</v>
      </c>
      <c r="E438" s="3" t="str">
        <f ca="1">IFERROR(__xludf.DUMMYFUNCTION("""COMPUTED_VALUE"""),"Galaxy A")</f>
        <v>Galaxy A</v>
      </c>
      <c r="F438" s="3" t="str">
        <f ca="1">IFERROR(__xludf.DUMMYFUNCTION("""COMPUTED_VALUE"""),"Arya")</f>
        <v>Arya</v>
      </c>
      <c r="G438" s="3">
        <f ca="1">IFERROR(__xludf.DUMMYFUNCTION("""COMPUTED_VALUE"""),0)</f>
        <v>0</v>
      </c>
      <c r="H438" s="3" t="str">
        <f ca="1">IFERROR(__xludf.DUMMYFUNCTION("""COMPUTED_VALUE"""),"bicycle")</f>
        <v>bicycle</v>
      </c>
      <c r="I438" s="3" t="str">
        <f ca="1">IFERROR(__xludf.DUMMYFUNCTION("""COMPUTED_VALUE"""),"2055-06-13T00:02:23.608421Z")</f>
        <v>2055-06-13T00:02:23.608421Z</v>
      </c>
      <c r="J438" s="3" t="str">
        <f ca="1">IFERROR(__xludf.DUMMYFUNCTION("""COMPUTED_VALUE"""),"2055-06-13T01:16:42.684Z")</f>
        <v>2055-06-13T01:16:42.684Z</v>
      </c>
      <c r="K438" s="3" t="str">
        <f ca="1">IFERROR(__xludf.DUMMYFUNCTION("""COMPUTED_VALUE"""),"2055-06-13T00:53:24.684Z")</f>
        <v>2055-06-13T00:53:24.684Z</v>
      </c>
      <c r="L438" s="3">
        <f ca="1">IFERROR(__xludf.DUMMYFUNCTION("""COMPUTED_VALUE"""),1)</f>
        <v>1</v>
      </c>
      <c r="M438" s="3">
        <f ca="1">IFERROR(__xludf.DUMMYFUNCTION("""COMPUTED_VALUE"""),0)</f>
        <v>0</v>
      </c>
      <c r="N438" s="3" t="str">
        <f ca="1">IFERROR(__xludf.DUMMYFUNCTION("""COMPUTED_VALUE"""),"2055-06-13T01:07:46.324614Z")</f>
        <v>2055-06-13T01:07:46.324614Z</v>
      </c>
      <c r="O438" s="3" t="str">
        <f ca="1">IFERROR(__xludf.DUMMYFUNCTION("""COMPUTED_VALUE"""),"2055-06-13T01:21:11.124571Z")</f>
        <v>2055-06-13T01:21:11.124571Z</v>
      </c>
      <c r="P438" s="3" t="str">
        <f ca="1">IFERROR(__xludf.DUMMYFUNCTION("""COMPUTED_VALUE"""),"2055-06-13T00:03:35.141369Z")</f>
        <v>2055-06-13T00:03:35.141369Z</v>
      </c>
      <c r="Q438" s="3">
        <f ca="1">IFERROR(__xludf.DUMMYFUNCTION("""COMPUTED_VALUE"""),0)</f>
        <v>0</v>
      </c>
      <c r="R438" s="3" t="str">
        <f ca="1">IFERROR(__xludf.DUMMYFUNCTION("""COMPUTED_VALUE"""),"2055-06-13T00:04:00.125174Z")</f>
        <v>2055-06-13T00:04:00.125174Z</v>
      </c>
      <c r="S438" s="3" t="str">
        <f ca="1">IFERROR(__xludf.DUMMYFUNCTION("""COMPUTED_VALUE"""),"2055-06-13T00:21:17.293555Z")</f>
        <v>2055-06-13T00:21:17.293555Z</v>
      </c>
      <c r="T438" s="3"/>
      <c r="U438" s="4">
        <f ca="1">IFERROR(__xludf.DUMMYFUNCTION("""COMPUTED_VALUE"""),56777)</f>
        <v>56777</v>
      </c>
      <c r="V438" s="3">
        <f ca="1">IFERROR(__xludf.DUMMYFUNCTION("""COMPUTED_VALUE"""),4.3)</f>
        <v>4.3</v>
      </c>
      <c r="W438" s="3">
        <f ca="1">IFERROR(__xludf.DUMMYFUNCTION("""COMPUTED_VALUE"""),2500)</f>
        <v>2500</v>
      </c>
      <c r="X438" s="3">
        <f ca="1">IFERROR(__xludf.DUMMYFUNCTION("""COMPUTED_VALUE"""),4631)</f>
        <v>4631</v>
      </c>
      <c r="Y438" s="3">
        <f ca="1">IFERROR(__xludf.DUMMYFUNCTION("""COMPUTED_VALUE"""),1037)</f>
        <v>1037</v>
      </c>
      <c r="Z438" s="3">
        <f ca="1">IFERROR(__xludf.DUMMYFUNCTION("""COMPUTED_VALUE"""),2789)</f>
        <v>2789</v>
      </c>
      <c r="AA438" s="3">
        <f ca="1">IFERROR(__xludf.DUMMYFUNCTION("""COMPUTED_VALUE"""),805)</f>
        <v>805</v>
      </c>
      <c r="AB438" s="3">
        <f ca="1">IFERROR(__xludf.DUMMYFUNCTION("""COMPUTED_VALUE"""),0)</f>
        <v>0</v>
      </c>
      <c r="AC438" s="3">
        <f ca="1">IFERROR(__xludf.DUMMYFUNCTION("""COMPUTED_VALUE"""),4)</f>
        <v>4</v>
      </c>
      <c r="AD438" s="3"/>
      <c r="AE438" s="3" t="str">
        <f ca="1">IFERROR(__xludf.DUMMYFUNCTION("""COMPUTED_VALUE"""),"2055-06-12T21:07:46.324614Z")</f>
        <v>2055-06-12T21:07:46.324614Z</v>
      </c>
      <c r="AF438" s="3" t="str">
        <f ca="1">IFERROR(__xludf.DUMMYFUNCTION("""COMPUTED_VALUE"""),"2055-06-12T21:21:11.124571Z")</f>
        <v>2055-06-12T21:21:11.124571Z</v>
      </c>
      <c r="AG438" s="3" t="str">
        <f ca="1">IFERROR(__xludf.DUMMYFUNCTION("""COMPUTED_VALUE"""),"2055-06-12T20:03:35.141369Z")</f>
        <v>2055-06-12T20:03:35.141369Z</v>
      </c>
      <c r="AH438" s="3" t="str">
        <f ca="1">IFERROR(__xludf.DUMMYFUNCTION("""COMPUTED_VALUE"""),"2055-06-12T20:21:17.293555Z")</f>
        <v>2055-06-12T20:21:17.293555Z</v>
      </c>
      <c r="AI438" s="3">
        <f ca="1">IFERROR(__xludf.DUMMYFUNCTION("""COMPUTED_VALUE"""),4.17)</f>
        <v>4.17</v>
      </c>
      <c r="AJ438" s="3">
        <f ca="1">IFERROR(__xludf.DUMMYFUNCTION("""COMPUTED_VALUE"""),457)</f>
        <v>457</v>
      </c>
      <c r="AK438" s="3">
        <f ca="1">IFERROR(__xludf.DUMMYFUNCTION("""COMPUTED_VALUE"""),1599)</f>
        <v>1599</v>
      </c>
      <c r="AL438" s="3"/>
    </row>
    <row r="439" spans="1:38" ht="13">
      <c r="A439" s="3">
        <f ca="1">IFERROR(__xludf.DUMMYFUNCTION("""COMPUTED_VALUE"""),370)</f>
        <v>370</v>
      </c>
      <c r="B439" s="3">
        <f ca="1">IFERROR(__xludf.DUMMYFUNCTION("""COMPUTED_VALUE"""),5)</f>
        <v>5</v>
      </c>
      <c r="C439" s="3">
        <f ca="1">IFERROR(__xludf.DUMMYFUNCTION("""COMPUTED_VALUE"""),4050)</f>
        <v>4050</v>
      </c>
      <c r="D439" s="3" t="str">
        <f ca="1">IFERROR(__xludf.DUMMYFUNCTION("""COMPUTED_VALUE"""),"Doorlanta")</f>
        <v>Doorlanta</v>
      </c>
      <c r="E439" s="3" t="str">
        <f ca="1">IFERROR(__xludf.DUMMYFUNCTION("""COMPUTED_VALUE"""),"Galaxy A")</f>
        <v>Galaxy A</v>
      </c>
      <c r="F439" s="3" t="str">
        <f ca="1">IFERROR(__xludf.DUMMYFUNCTION("""COMPUTED_VALUE"""),"Jagar")</f>
        <v>Jagar</v>
      </c>
      <c r="G439" s="3">
        <f ca="1">IFERROR(__xludf.DUMMYFUNCTION("""COMPUTED_VALUE"""),0)</f>
        <v>0</v>
      </c>
      <c r="H439" s="3" t="str">
        <f ca="1">IFERROR(__xludf.DUMMYFUNCTION("""COMPUTED_VALUE"""),"car")</f>
        <v>car</v>
      </c>
      <c r="I439" s="3" t="str">
        <f ca="1">IFERROR(__xludf.DUMMYFUNCTION("""COMPUTED_VALUE"""),"2055-06-03T23:52:00.088542Z")</f>
        <v>2055-06-03T23:52:00.088542Z</v>
      </c>
      <c r="J439" s="3" t="str">
        <f ca="1">IFERROR(__xludf.DUMMYFUNCTION("""COMPUTED_VALUE"""),"2055-06-04T00:56:42.141Z")</f>
        <v>2055-06-04T00:56:42.141Z</v>
      </c>
      <c r="K439" s="3" t="str">
        <f ca="1">IFERROR(__xludf.DUMMYFUNCTION("""COMPUTED_VALUE"""),"2055-06-04T00:37:03.141Z")</f>
        <v>2055-06-04T00:37:03.141Z</v>
      </c>
      <c r="L439" s="3">
        <f ca="1">IFERROR(__xludf.DUMMYFUNCTION("""COMPUTED_VALUE"""),1)</f>
        <v>1</v>
      </c>
      <c r="M439" s="3">
        <f ca="1">IFERROR(__xludf.DUMMYFUNCTION("""COMPUTED_VALUE"""),0)</f>
        <v>0</v>
      </c>
      <c r="N439" s="3" t="str">
        <f ca="1">IFERROR(__xludf.DUMMYFUNCTION("""COMPUTED_VALUE"""),"2055-06-04T00:11:28.495461Z")</f>
        <v>2055-06-04T00:11:28.495461Z</v>
      </c>
      <c r="O439" s="3" t="str">
        <f ca="1">IFERROR(__xludf.DUMMYFUNCTION("""COMPUTED_VALUE"""),"2055-06-04T00:22:30.36716Z")</f>
        <v>2055-06-04T00:22:30.36716Z</v>
      </c>
      <c r="P439" s="3" t="str">
        <f ca="1">IFERROR(__xludf.DUMMYFUNCTION("""COMPUTED_VALUE"""),"2055-06-03T23:52:07.433332Z")</f>
        <v>2055-06-03T23:52:07.433332Z</v>
      </c>
      <c r="Q439" s="3">
        <f ca="1">IFERROR(__xludf.DUMMYFUNCTION("""COMPUTED_VALUE"""),0)</f>
        <v>0</v>
      </c>
      <c r="R439" s="3" t="str">
        <f ca="1">IFERROR(__xludf.DUMMYFUNCTION("""COMPUTED_VALUE"""),"2055-06-03T23:52:12.383121Z")</f>
        <v>2055-06-03T23:52:12.383121Z</v>
      </c>
      <c r="S439" s="3" t="str">
        <f ca="1">IFERROR(__xludf.DUMMYFUNCTION("""COMPUTED_VALUE"""),"2055-06-03T23:59:15.289665Z")</f>
        <v>2055-06-03T23:59:15.289665Z</v>
      </c>
      <c r="T439" s="3"/>
      <c r="U439" s="4">
        <f ca="1">IFERROR(__xludf.DUMMYFUNCTION("""COMPUTED_VALUE"""),56768)</f>
        <v>56768</v>
      </c>
      <c r="V439" s="3">
        <f ca="1">IFERROR(__xludf.DUMMYFUNCTION("""COMPUTED_VALUE"""),3.075407478)</f>
        <v>3.0754074779999998</v>
      </c>
      <c r="W439" s="3">
        <f ca="1">IFERROR(__xludf.DUMMYFUNCTION("""COMPUTED_VALUE"""),2500)</f>
        <v>2500</v>
      </c>
      <c r="X439" s="3">
        <f ca="1">IFERROR(__xludf.DUMMYFUNCTION("""COMPUTED_VALUE"""),1818)</f>
        <v>1818</v>
      </c>
      <c r="Y439" s="3">
        <f ca="1">IFERROR(__xludf.DUMMYFUNCTION("""COMPUTED_VALUE"""),423)</f>
        <v>423</v>
      </c>
      <c r="Z439" s="3">
        <f ca="1">IFERROR(__xludf.DUMMYFUNCTION("""COMPUTED_VALUE"""),733)</f>
        <v>733</v>
      </c>
      <c r="AA439" s="3">
        <f ca="1">IFERROR(__xludf.DUMMYFUNCTION("""COMPUTED_VALUE"""),662)</f>
        <v>662</v>
      </c>
      <c r="AB439" s="3">
        <f ca="1">IFERROR(__xludf.DUMMYFUNCTION("""COMPUTED_VALUE"""),0)</f>
        <v>0</v>
      </c>
      <c r="AC439" s="3">
        <f ca="1">IFERROR(__xludf.DUMMYFUNCTION("""COMPUTED_VALUE"""),3)</f>
        <v>3</v>
      </c>
      <c r="AD439" s="3" t="str">
        <f ca="1">IFERROR(__xludf.DUMMYFUNCTION("""COMPUTED_VALUE"""),"early")</f>
        <v>early</v>
      </c>
      <c r="AE439" s="3" t="str">
        <f ca="1">IFERROR(__xludf.DUMMYFUNCTION("""COMPUTED_VALUE"""),"2055-06-03T20:11:28.495461Z")</f>
        <v>2055-06-03T20:11:28.495461Z</v>
      </c>
      <c r="AF439" s="3" t="str">
        <f ca="1">IFERROR(__xludf.DUMMYFUNCTION("""COMPUTED_VALUE"""),"2055-06-03T20:22:30.36716Z")</f>
        <v>2055-06-03T20:22:30.36716Z</v>
      </c>
      <c r="AG439" s="3" t="str">
        <f ca="1">IFERROR(__xludf.DUMMYFUNCTION("""COMPUTED_VALUE"""),"2055-06-03T19:52:07.433332Z")</f>
        <v>2055-06-03T19:52:07.433332Z</v>
      </c>
      <c r="AH439" s="3" t="str">
        <f ca="1">IFERROR(__xludf.DUMMYFUNCTION("""COMPUTED_VALUE"""),"2055-06-03T19:59:15.289665Z")</f>
        <v>2055-06-03T19:59:15.289665Z</v>
      </c>
      <c r="AI439" s="3">
        <f ca="1">IFERROR(__xludf.DUMMYFUNCTION("""COMPUTED_VALUE"""),4.89)</f>
        <v>4.8899999999999997</v>
      </c>
      <c r="AJ439" s="3">
        <f ca="1">IFERROR(__xludf.DUMMYFUNCTION("""COMPUTED_VALUE"""),1778)</f>
        <v>1778</v>
      </c>
      <c r="AK439" s="3">
        <f ca="1">IFERROR(__xludf.DUMMYFUNCTION("""COMPUTED_VALUE"""),5138)</f>
        <v>5138</v>
      </c>
      <c r="AL439" s="3">
        <f ca="1">IFERROR(__xludf.DUMMYFUNCTION("""COMPUTED_VALUE"""),314)</f>
        <v>314</v>
      </c>
    </row>
    <row r="440" spans="1:38" ht="13">
      <c r="A440" s="3">
        <f ca="1">IFERROR(__xludf.DUMMYFUNCTION("""COMPUTED_VALUE"""),1113)</f>
        <v>1113</v>
      </c>
      <c r="B440" s="3"/>
      <c r="C440" s="3">
        <f ca="1">IFERROR(__xludf.DUMMYFUNCTION("""COMPUTED_VALUE"""),4001)</f>
        <v>4001</v>
      </c>
      <c r="D440" s="3" t="str">
        <f ca="1">IFERROR(__xludf.DUMMYFUNCTION("""COMPUTED_VALUE"""),"Dashattan")</f>
        <v>Dashattan</v>
      </c>
      <c r="E440" s="3" t="str">
        <f ca="1">IFERROR(__xludf.DUMMYFUNCTION("""COMPUTED_VALUE"""),"Galaxy A")</f>
        <v>Galaxy A</v>
      </c>
      <c r="F440" s="3" t="str">
        <f ca="1">IFERROR(__xludf.DUMMYFUNCTION("""COMPUTED_VALUE"""),"KC")</f>
        <v>KC</v>
      </c>
      <c r="G440" s="3">
        <f ca="1">IFERROR(__xludf.DUMMYFUNCTION("""COMPUTED_VALUE"""),0)</f>
        <v>0</v>
      </c>
      <c r="H440" s="3" t="str">
        <f ca="1">IFERROR(__xludf.DUMMYFUNCTION("""COMPUTED_VALUE"""),"car")</f>
        <v>car</v>
      </c>
      <c r="I440" s="3" t="str">
        <f ca="1">IFERROR(__xludf.DUMMYFUNCTION("""COMPUTED_VALUE"""),"2055-06-10T13:57:20.650575Z")</f>
        <v>2055-06-10T13:57:20.650575Z</v>
      </c>
      <c r="J440" s="3" t="str">
        <f ca="1">IFERROR(__xludf.DUMMYFUNCTION("""COMPUTED_VALUE"""),"2055-06-10T14:41:52.77Z")</f>
        <v>2055-06-10T14:41:52.77Z</v>
      </c>
      <c r="K440" s="3" t="str">
        <f ca="1">IFERROR(__xludf.DUMMYFUNCTION("""COMPUTED_VALUE"""),"2055-06-10T14:22:59.77Z")</f>
        <v>2055-06-10T14:22:59.77Z</v>
      </c>
      <c r="L440" s="3">
        <f ca="1">IFERROR(__xludf.DUMMYFUNCTION("""COMPUTED_VALUE"""),1)</f>
        <v>1</v>
      </c>
      <c r="M440" s="3">
        <f ca="1">IFERROR(__xludf.DUMMYFUNCTION("""COMPUTED_VALUE"""),0)</f>
        <v>0</v>
      </c>
      <c r="N440" s="3" t="str">
        <f ca="1">IFERROR(__xludf.DUMMYFUNCTION("""COMPUTED_VALUE"""),"2055-06-10T14:56:20.569129Z")</f>
        <v>2055-06-10T14:56:20.569129Z</v>
      </c>
      <c r="O440" s="3" t="str">
        <f ca="1">IFERROR(__xludf.DUMMYFUNCTION("""COMPUTED_VALUE"""),"2055-06-10T15:05:25.78906Z")</f>
        <v>2055-06-10T15:05:25.78906Z</v>
      </c>
      <c r="P440" s="3" t="str">
        <f ca="1">IFERROR(__xludf.DUMMYFUNCTION("""COMPUTED_VALUE"""),"2055-06-10T14:26:14.175727Z")</f>
        <v>2055-06-10T14:26:14.175727Z</v>
      </c>
      <c r="Q440" s="3">
        <f ca="1">IFERROR(__xludf.DUMMYFUNCTION("""COMPUTED_VALUE"""),0)</f>
        <v>0</v>
      </c>
      <c r="R440" s="3" t="str">
        <f ca="1">IFERROR(__xludf.DUMMYFUNCTION("""COMPUTED_VALUE"""),"2055-06-10T14:26:32.925434Z")</f>
        <v>2055-06-10T14:26:32.925434Z</v>
      </c>
      <c r="S440" s="3" t="str">
        <f ca="1">IFERROR(__xludf.DUMMYFUNCTION("""COMPUTED_VALUE"""),"2055-06-10T14:54:07.929648Z")</f>
        <v>2055-06-10T14:54:07.929648Z</v>
      </c>
      <c r="T440" s="3"/>
      <c r="U440" s="4">
        <f ca="1">IFERROR(__xludf.DUMMYFUNCTION("""COMPUTED_VALUE"""),56775)</f>
        <v>56775</v>
      </c>
      <c r="V440" s="3">
        <f ca="1">IFERROR(__xludf.DUMMYFUNCTION("""COMPUTED_VALUE"""),4.4)</f>
        <v>4.4000000000000004</v>
      </c>
      <c r="W440" s="3">
        <f ca="1">IFERROR(__xludf.DUMMYFUNCTION("""COMPUTED_VALUE"""),2500)</f>
        <v>2500</v>
      </c>
      <c r="X440" s="3">
        <f ca="1">IFERROR(__xludf.DUMMYFUNCTION("""COMPUTED_VALUE"""),2333)</f>
        <v>2333</v>
      </c>
      <c r="Y440" s="3">
        <f ca="1">IFERROR(__xludf.DUMMYFUNCTION("""COMPUTED_VALUE"""),1655)</f>
        <v>1655</v>
      </c>
      <c r="Z440" s="3">
        <f ca="1">IFERROR(__xludf.DUMMYFUNCTION("""COMPUTED_VALUE"""),133)</f>
        <v>133</v>
      </c>
      <c r="AA440" s="3">
        <f ca="1">IFERROR(__xludf.DUMMYFUNCTION("""COMPUTED_VALUE"""),545)</f>
        <v>545</v>
      </c>
      <c r="AB440" s="3">
        <f ca="1">IFERROR(__xludf.DUMMYFUNCTION("""COMPUTED_VALUE"""),0)</f>
        <v>0</v>
      </c>
      <c r="AC440" s="3">
        <f ca="1">IFERROR(__xludf.DUMMYFUNCTION("""COMPUTED_VALUE"""),5)</f>
        <v>5</v>
      </c>
      <c r="AD440" s="3" t="str">
        <f ca="1">IFERROR(__xludf.DUMMYFUNCTION("""COMPUTED_VALUE"""),"late")</f>
        <v>late</v>
      </c>
      <c r="AE440" s="3" t="str">
        <f ca="1">IFERROR(__xludf.DUMMYFUNCTION("""COMPUTED_VALUE"""),"2055-06-10T10:56:20.569129Z")</f>
        <v>2055-06-10T10:56:20.569129Z</v>
      </c>
      <c r="AF440" s="3" t="str">
        <f ca="1">IFERROR(__xludf.DUMMYFUNCTION("""COMPUTED_VALUE"""),"2055-06-10T11:05:25.78906Z")</f>
        <v>2055-06-10T11:05:25.78906Z</v>
      </c>
      <c r="AG440" s="3" t="str">
        <f ca="1">IFERROR(__xludf.DUMMYFUNCTION("""COMPUTED_VALUE"""),"2055-06-10T10:26:14.175727Z")</f>
        <v>2055-06-10T10:26:14.175727Z</v>
      </c>
      <c r="AH440" s="3" t="str">
        <f ca="1">IFERROR(__xludf.DUMMYFUNCTION("""COMPUTED_VALUE"""),"2055-06-10T10:54:07.929648Z")</f>
        <v>2055-06-10T10:54:07.929648Z</v>
      </c>
      <c r="AI440" s="3">
        <f ca="1">IFERROR(__xludf.DUMMYFUNCTION("""COMPUTED_VALUE"""),4.54)</f>
        <v>4.54</v>
      </c>
      <c r="AJ440" s="3">
        <f ca="1">IFERROR(__xludf.DUMMYFUNCTION("""COMPUTED_VALUE"""),2229)</f>
        <v>2229</v>
      </c>
      <c r="AK440" s="3">
        <f ca="1">IFERROR(__xludf.DUMMYFUNCTION("""COMPUTED_VALUE"""),6580)</f>
        <v>6580</v>
      </c>
      <c r="AL440" s="3"/>
    </row>
    <row r="441" spans="1:38" ht="13">
      <c r="A441" s="3">
        <f ca="1">IFERROR(__xludf.DUMMYFUNCTION("""COMPUTED_VALUE"""),418)</f>
        <v>418</v>
      </c>
      <c r="B441" s="3"/>
      <c r="C441" s="3">
        <f ca="1">IFERROR(__xludf.DUMMYFUNCTION("""COMPUTED_VALUE"""),4050)</f>
        <v>4050</v>
      </c>
      <c r="D441" s="3" t="str">
        <f ca="1">IFERROR(__xludf.DUMMYFUNCTION("""COMPUTED_VALUE"""),"Doorlanta")</f>
        <v>Doorlanta</v>
      </c>
      <c r="E441" s="3" t="str">
        <f ca="1">IFERROR(__xludf.DUMMYFUNCTION("""COMPUTED_VALUE"""),"Galaxy A")</f>
        <v>Galaxy A</v>
      </c>
      <c r="F441" s="3" t="str">
        <f ca="1">IFERROR(__xludf.DUMMYFUNCTION("""COMPUTED_VALUE"""),"Cate")</f>
        <v>Cate</v>
      </c>
      <c r="G441" s="3">
        <f ca="1">IFERROR(__xludf.DUMMYFUNCTION("""COMPUTED_VALUE"""),0)</f>
        <v>0</v>
      </c>
      <c r="H441" s="3" t="str">
        <f ca="1">IFERROR(__xludf.DUMMYFUNCTION("""COMPUTED_VALUE"""),"car")</f>
        <v>car</v>
      </c>
      <c r="I441" s="3" t="str">
        <f ca="1">IFERROR(__xludf.DUMMYFUNCTION("""COMPUTED_VALUE"""),"2055-06-04T17:00:24.13814Z")</f>
        <v>2055-06-04T17:00:24.13814Z</v>
      </c>
      <c r="J441" s="3" t="str">
        <f ca="1">IFERROR(__xludf.DUMMYFUNCTION("""COMPUTED_VALUE"""),"2055-06-04T17:55:24.227Z")</f>
        <v>2055-06-04T17:55:24.227Z</v>
      </c>
      <c r="K441" s="3" t="str">
        <f ca="1">IFERROR(__xludf.DUMMYFUNCTION("""COMPUTED_VALUE"""),"2055-06-04T17:29:45.227Z")</f>
        <v>2055-06-04T17:29:45.227Z</v>
      </c>
      <c r="L441" s="3">
        <f ca="1">IFERROR(__xludf.DUMMYFUNCTION("""COMPUTED_VALUE"""),1)</f>
        <v>1</v>
      </c>
      <c r="M441" s="3">
        <f ca="1">IFERROR(__xludf.DUMMYFUNCTION("""COMPUTED_VALUE"""),0)</f>
        <v>0</v>
      </c>
      <c r="N441" s="3" t="str">
        <f ca="1">IFERROR(__xludf.DUMMYFUNCTION("""COMPUTED_VALUE"""),"2055-06-04T17:20:39.644074Z")</f>
        <v>2055-06-04T17:20:39.644074Z</v>
      </c>
      <c r="O441" s="3" t="str">
        <f ca="1">IFERROR(__xludf.DUMMYFUNCTION("""COMPUTED_VALUE"""),"2055-06-04T17:25:44.736612Z")</f>
        <v>2055-06-04T17:25:44.736612Z</v>
      </c>
      <c r="P441" s="3" t="str">
        <f ca="1">IFERROR(__xludf.DUMMYFUNCTION("""COMPUTED_VALUE"""),"2055-06-04T17:07:27.299848Z")</f>
        <v>2055-06-04T17:07:27.299848Z</v>
      </c>
      <c r="Q441" s="3">
        <f ca="1">IFERROR(__xludf.DUMMYFUNCTION("""COMPUTED_VALUE"""),0)</f>
        <v>0</v>
      </c>
      <c r="R441" s="3" t="str">
        <f ca="1">IFERROR(__xludf.DUMMYFUNCTION("""COMPUTED_VALUE"""),"2055-06-04T17:08:37.657374Z")</f>
        <v>2055-06-04T17:08:37.657374Z</v>
      </c>
      <c r="S441" s="3" t="str">
        <f ca="1">IFERROR(__xludf.DUMMYFUNCTION("""COMPUTED_VALUE"""),"2055-06-04T17:16:38.484574Z")</f>
        <v>2055-06-04T17:16:38.484574Z</v>
      </c>
      <c r="T441" s="3"/>
      <c r="U441" s="4">
        <f ca="1">IFERROR(__xludf.DUMMYFUNCTION("""COMPUTED_VALUE"""),56769)</f>
        <v>56769</v>
      </c>
      <c r="V441" s="3">
        <f ca="1">IFERROR(__xludf.DUMMYFUNCTION("""COMPUTED_VALUE"""),4.6)</f>
        <v>4.5999999999999996</v>
      </c>
      <c r="W441" s="3">
        <f ca="1">IFERROR(__xludf.DUMMYFUNCTION("""COMPUTED_VALUE"""),2500)</f>
        <v>2500</v>
      </c>
      <c r="X441" s="3">
        <f ca="1">IFERROR(__xludf.DUMMYFUNCTION("""COMPUTED_VALUE"""),1027)</f>
        <v>1027</v>
      </c>
      <c r="Y441" s="3">
        <f ca="1">IFERROR(__xludf.DUMMYFUNCTION("""COMPUTED_VALUE"""),481)</f>
        <v>481</v>
      </c>
      <c r="Z441" s="3">
        <f ca="1">IFERROR(__xludf.DUMMYFUNCTION("""COMPUTED_VALUE"""),241)</f>
        <v>241</v>
      </c>
      <c r="AA441" s="3">
        <f ca="1">IFERROR(__xludf.DUMMYFUNCTION("""COMPUTED_VALUE"""),305)</f>
        <v>305</v>
      </c>
      <c r="AB441" s="3">
        <f ca="1">IFERROR(__xludf.DUMMYFUNCTION("""COMPUTED_VALUE"""),0)</f>
        <v>0</v>
      </c>
      <c r="AC441" s="3">
        <f ca="1">IFERROR(__xludf.DUMMYFUNCTION("""COMPUTED_VALUE"""),3)</f>
        <v>3</v>
      </c>
      <c r="AD441" s="3" t="str">
        <f ca="1">IFERROR(__xludf.DUMMYFUNCTION("""COMPUTED_VALUE"""),"late")</f>
        <v>late</v>
      </c>
      <c r="AE441" s="3" t="str">
        <f ca="1">IFERROR(__xludf.DUMMYFUNCTION("""COMPUTED_VALUE"""),"2055-06-04T13:20:39.644074Z")</f>
        <v>2055-06-04T13:20:39.644074Z</v>
      </c>
      <c r="AF441" s="3" t="str">
        <f ca="1">IFERROR(__xludf.DUMMYFUNCTION("""COMPUTED_VALUE"""),"2055-06-04T13:25:44.736612Z")</f>
        <v>2055-06-04T13:25:44.736612Z</v>
      </c>
      <c r="AG441" s="3" t="str">
        <f ca="1">IFERROR(__xludf.DUMMYFUNCTION("""COMPUTED_VALUE"""),"2055-06-04T13:07:27.299848Z")</f>
        <v>2055-06-04T13:07:27.299848Z</v>
      </c>
      <c r="AH441" s="3" t="str">
        <f ca="1">IFERROR(__xludf.DUMMYFUNCTION("""COMPUTED_VALUE"""),"2055-06-04T13:16:38.484574Z")</f>
        <v>2055-06-04T13:16:38.484574Z</v>
      </c>
      <c r="AI441" s="3">
        <f ca="1">IFERROR(__xludf.DUMMYFUNCTION("""COMPUTED_VALUE"""),4.49)</f>
        <v>4.49</v>
      </c>
      <c r="AJ441" s="3">
        <f ca="1">IFERROR(__xludf.DUMMYFUNCTION("""COMPUTED_VALUE"""),2315)</f>
        <v>2315</v>
      </c>
      <c r="AK441" s="3">
        <f ca="1">IFERROR(__xludf.DUMMYFUNCTION("""COMPUTED_VALUE"""),7039)</f>
        <v>7039</v>
      </c>
      <c r="AL441" s="3">
        <f ca="1">IFERROR(__xludf.DUMMYFUNCTION("""COMPUTED_VALUE"""),763)</f>
        <v>763</v>
      </c>
    </row>
    <row r="442" spans="1:38" ht="13">
      <c r="A442" s="3">
        <f ca="1">IFERROR(__xludf.DUMMYFUNCTION("""COMPUTED_VALUE"""),240)</f>
        <v>240</v>
      </c>
      <c r="B442" s="3"/>
      <c r="C442" s="3">
        <f ca="1">IFERROR(__xludf.DUMMYFUNCTION("""COMPUTED_VALUE"""),4001)</f>
        <v>4001</v>
      </c>
      <c r="D442" s="3" t="str">
        <f ca="1">IFERROR(__xludf.DUMMYFUNCTION("""COMPUTED_VALUE"""),"Dashattan")</f>
        <v>Dashattan</v>
      </c>
      <c r="E442" s="3" t="str">
        <f ca="1">IFERROR(__xludf.DUMMYFUNCTION("""COMPUTED_VALUE"""),"Galaxy A")</f>
        <v>Galaxy A</v>
      </c>
      <c r="F442" s="3" t="str">
        <f ca="1">IFERROR(__xludf.DUMMYFUNCTION("""COMPUTED_VALUE"""),"Arya")</f>
        <v>Arya</v>
      </c>
      <c r="G442" s="3">
        <f ca="1">IFERROR(__xludf.DUMMYFUNCTION("""COMPUTED_VALUE"""),0)</f>
        <v>0</v>
      </c>
      <c r="H442" s="3" t="str">
        <f ca="1">IFERROR(__xludf.DUMMYFUNCTION("""COMPUTED_VALUE"""),"bicycle")</f>
        <v>bicycle</v>
      </c>
      <c r="I442" s="3" t="str">
        <f ca="1">IFERROR(__xludf.DUMMYFUNCTION("""COMPUTED_VALUE"""),"2055-06-03T01:11:11.963612Z")</f>
        <v>2055-06-03T01:11:11.963612Z</v>
      </c>
      <c r="J442" s="3" t="str">
        <f ca="1">IFERROR(__xludf.DUMMYFUNCTION("""COMPUTED_VALUE"""),"2055-06-03T02:30:29.015Z")</f>
        <v>2055-06-03T02:30:29.015Z</v>
      </c>
      <c r="K442" s="3" t="str">
        <f ca="1">IFERROR(__xludf.DUMMYFUNCTION("""COMPUTED_VALUE"""),"2055-06-03T02:07:11.015Z")</f>
        <v>2055-06-03T02:07:11.015Z</v>
      </c>
      <c r="L442" s="3">
        <f ca="1">IFERROR(__xludf.DUMMYFUNCTION("""COMPUTED_VALUE"""),1)</f>
        <v>1</v>
      </c>
      <c r="M442" s="3">
        <f ca="1">IFERROR(__xludf.DUMMYFUNCTION("""COMPUTED_VALUE"""),0)</f>
        <v>0</v>
      </c>
      <c r="N442" s="3" t="str">
        <f ca="1">IFERROR(__xludf.DUMMYFUNCTION("""COMPUTED_VALUE"""),"2055-06-03T02:19:24.830099Z")</f>
        <v>2055-06-03T02:19:24.830099Z</v>
      </c>
      <c r="O442" s="3" t="str">
        <f ca="1">IFERROR(__xludf.DUMMYFUNCTION("""COMPUTED_VALUE"""),"2055-06-03T02:29:49.94079Z")</f>
        <v>2055-06-03T02:29:49.94079Z</v>
      </c>
      <c r="P442" s="3" t="str">
        <f ca="1">IFERROR(__xludf.DUMMYFUNCTION("""COMPUTED_VALUE"""),"2055-06-03T01:36:54.197969Z")</f>
        <v>2055-06-03T01:36:54.197969Z</v>
      </c>
      <c r="Q442" s="3">
        <f ca="1">IFERROR(__xludf.DUMMYFUNCTION("""COMPUTED_VALUE"""),0)</f>
        <v>0</v>
      </c>
      <c r="R442" s="3" t="str">
        <f ca="1">IFERROR(__xludf.DUMMYFUNCTION("""COMPUTED_VALUE"""),"2055-06-03T01:36:57.244193Z")</f>
        <v>2055-06-03T01:36:57.244193Z</v>
      </c>
      <c r="S442" s="3"/>
      <c r="T442" s="3"/>
      <c r="U442" s="4">
        <f ca="1">IFERROR(__xludf.DUMMYFUNCTION("""COMPUTED_VALUE"""),56767)</f>
        <v>56767</v>
      </c>
      <c r="V442" s="3">
        <f ca="1">IFERROR(__xludf.DUMMYFUNCTION("""COMPUTED_VALUE"""),3.210167079)</f>
        <v>3.2101670790000001</v>
      </c>
      <c r="W442" s="3">
        <f ca="1">IFERROR(__xludf.DUMMYFUNCTION("""COMPUTED_VALUE"""),2500)</f>
        <v>2500</v>
      </c>
      <c r="X442" s="3">
        <f ca="1">IFERROR(__xludf.DUMMYFUNCTION("""COMPUTED_VALUE"""),3172)</f>
        <v>3172</v>
      </c>
      <c r="Y442" s="3"/>
      <c r="Z442" s="3"/>
      <c r="AA442" s="3">
        <f ca="1">IFERROR(__xludf.DUMMYFUNCTION("""COMPUTED_VALUE"""),625)</f>
        <v>625</v>
      </c>
      <c r="AB442" s="3">
        <f ca="1">IFERROR(__xludf.DUMMYFUNCTION("""COMPUTED_VALUE"""),0)</f>
        <v>0</v>
      </c>
      <c r="AC442" s="3">
        <f ca="1">IFERROR(__xludf.DUMMYFUNCTION("""COMPUTED_VALUE"""),2)</f>
        <v>2</v>
      </c>
      <c r="AD442" s="3"/>
      <c r="AE442" s="3" t="str">
        <f ca="1">IFERROR(__xludf.DUMMYFUNCTION("""COMPUTED_VALUE"""),"2055-06-02T22:19:24.830099Z")</f>
        <v>2055-06-02T22:19:24.830099Z</v>
      </c>
      <c r="AF442" s="3" t="str">
        <f ca="1">IFERROR(__xludf.DUMMYFUNCTION("""COMPUTED_VALUE"""),"2055-06-02T22:29:49.94079Z")</f>
        <v>2055-06-02T22:29:49.94079Z</v>
      </c>
      <c r="AG442" s="3" t="str">
        <f ca="1">IFERROR(__xludf.DUMMYFUNCTION("""COMPUTED_VALUE"""),"2055-06-02T21:36:54.197969Z")</f>
        <v>2055-06-02T21:36:54.197969Z</v>
      </c>
      <c r="AH442" s="3"/>
      <c r="AI442" s="3">
        <f ca="1">IFERROR(__xludf.DUMMYFUNCTION("""COMPUTED_VALUE"""),4.17)</f>
        <v>4.17</v>
      </c>
      <c r="AJ442" s="3">
        <f ca="1">IFERROR(__xludf.DUMMYFUNCTION("""COMPUTED_VALUE"""),457)</f>
        <v>457</v>
      </c>
      <c r="AK442" s="3">
        <f ca="1">IFERROR(__xludf.DUMMYFUNCTION("""COMPUTED_VALUE"""),1599)</f>
        <v>1599</v>
      </c>
      <c r="AL442" s="3"/>
    </row>
    <row r="443" spans="1:38" ht="13">
      <c r="A443" s="3">
        <f ca="1">IFERROR(__xludf.DUMMYFUNCTION("""COMPUTED_VALUE"""),1360)</f>
        <v>1360</v>
      </c>
      <c r="B443" s="3">
        <f ca="1">IFERROR(__xludf.DUMMYFUNCTION("""COMPUTED_VALUE"""),5)</f>
        <v>5</v>
      </c>
      <c r="C443" s="3">
        <f ca="1">IFERROR(__xludf.DUMMYFUNCTION("""COMPUTED_VALUE"""),4001)</f>
        <v>4001</v>
      </c>
      <c r="D443" s="3" t="str">
        <f ca="1">IFERROR(__xludf.DUMMYFUNCTION("""COMPUTED_VALUE"""),"Dashattan")</f>
        <v>Dashattan</v>
      </c>
      <c r="E443" s="3" t="str">
        <f ca="1">IFERROR(__xludf.DUMMYFUNCTION("""COMPUTED_VALUE"""),"Galaxy A")</f>
        <v>Galaxy A</v>
      </c>
      <c r="F443" s="3" t="str">
        <f ca="1">IFERROR(__xludf.DUMMYFUNCTION("""COMPUTED_VALUE"""),"Bunje")</f>
        <v>Bunje</v>
      </c>
      <c r="G443" s="3">
        <f ca="1">IFERROR(__xludf.DUMMYFUNCTION("""COMPUTED_VALUE"""),0)</f>
        <v>0</v>
      </c>
      <c r="H443" s="3" t="str">
        <f ca="1">IFERROR(__xludf.DUMMYFUNCTION("""COMPUTED_VALUE"""),"bicycle")</f>
        <v>bicycle</v>
      </c>
      <c r="I443" s="3" t="str">
        <f ca="1">IFERROR(__xludf.DUMMYFUNCTION("""COMPUTED_VALUE"""),"2055-06-12T00:34:36.952543Z")</f>
        <v>2055-06-12T00:34:36.952543Z</v>
      </c>
      <c r="J443" s="3" t="str">
        <f ca="1">IFERROR(__xludf.DUMMYFUNCTION("""COMPUTED_VALUE"""),"2055-06-12T01:46:44.003Z")</f>
        <v>2055-06-12T01:46:44.003Z</v>
      </c>
      <c r="K443" s="3" t="str">
        <f ca="1">IFERROR(__xludf.DUMMYFUNCTION("""COMPUTED_VALUE"""),"2055-06-12T01:26:37.003Z")</f>
        <v>2055-06-12T01:26:37.003Z</v>
      </c>
      <c r="L443" s="3">
        <f ca="1">IFERROR(__xludf.DUMMYFUNCTION("""COMPUTED_VALUE"""),1)</f>
        <v>1</v>
      </c>
      <c r="M443" s="3">
        <f ca="1">IFERROR(__xludf.DUMMYFUNCTION("""COMPUTED_VALUE"""),0)</f>
        <v>0</v>
      </c>
      <c r="N443" s="3" t="str">
        <f ca="1">IFERROR(__xludf.DUMMYFUNCTION("""COMPUTED_VALUE"""),"2055-06-12T01:00:23.947675Z")</f>
        <v>2055-06-12T01:00:23.947675Z</v>
      </c>
      <c r="O443" s="3" t="str">
        <f ca="1">IFERROR(__xludf.DUMMYFUNCTION("""COMPUTED_VALUE"""),"2055-06-12T01:17:13.875987Z")</f>
        <v>2055-06-12T01:17:13.875987Z</v>
      </c>
      <c r="P443" s="3" t="str">
        <f ca="1">IFERROR(__xludf.DUMMYFUNCTION("""COMPUTED_VALUE"""),"2055-06-12T00:36:34.509883Z")</f>
        <v>2055-06-12T00:36:34.509883Z</v>
      </c>
      <c r="Q443" s="3">
        <f ca="1">IFERROR(__xludf.DUMMYFUNCTION("""COMPUTED_VALUE"""),0)</f>
        <v>0</v>
      </c>
      <c r="R443" s="3" t="str">
        <f ca="1">IFERROR(__xludf.DUMMYFUNCTION("""COMPUTED_VALUE"""),"2055-06-12T00:36:40.569085Z")</f>
        <v>2055-06-12T00:36:40.569085Z</v>
      </c>
      <c r="S443" s="3" t="str">
        <f ca="1">IFERROR(__xludf.DUMMYFUNCTION("""COMPUTED_VALUE"""),"2055-06-12T00:49:58.271835Z")</f>
        <v>2055-06-12T00:49:58.271835Z</v>
      </c>
      <c r="T443" s="3"/>
      <c r="U443" s="4">
        <f ca="1">IFERROR(__xludf.DUMMYFUNCTION("""COMPUTED_VALUE"""),56776)</f>
        <v>56776</v>
      </c>
      <c r="V443" s="3">
        <f ca="1">IFERROR(__xludf.DUMMYFUNCTION("""COMPUTED_VALUE"""),2.856812235)</f>
        <v>2.856812235</v>
      </c>
      <c r="W443" s="3">
        <f ca="1">IFERROR(__xludf.DUMMYFUNCTION("""COMPUTED_VALUE"""),2500)</f>
        <v>2500</v>
      </c>
      <c r="X443" s="3">
        <f ca="1">IFERROR(__xludf.DUMMYFUNCTION("""COMPUTED_VALUE"""),2433)</f>
        <v>2433</v>
      </c>
      <c r="Y443" s="3">
        <f ca="1">IFERROR(__xludf.DUMMYFUNCTION("""COMPUTED_VALUE"""),798)</f>
        <v>798</v>
      </c>
      <c r="Z443" s="3">
        <f ca="1">IFERROR(__xludf.DUMMYFUNCTION("""COMPUTED_VALUE"""),625)</f>
        <v>625</v>
      </c>
      <c r="AA443" s="3">
        <f ca="1">IFERROR(__xludf.DUMMYFUNCTION("""COMPUTED_VALUE"""),1010)</f>
        <v>1010</v>
      </c>
      <c r="AB443" s="3">
        <f ca="1">IFERROR(__xludf.DUMMYFUNCTION("""COMPUTED_VALUE"""),0)</f>
        <v>0</v>
      </c>
      <c r="AC443" s="3">
        <f ca="1">IFERROR(__xludf.DUMMYFUNCTION("""COMPUTED_VALUE"""),6)</f>
        <v>6</v>
      </c>
      <c r="AD443" s="3" t="str">
        <f ca="1">IFERROR(__xludf.DUMMYFUNCTION("""COMPUTED_VALUE"""),"early")</f>
        <v>early</v>
      </c>
      <c r="AE443" s="3" t="str">
        <f ca="1">IFERROR(__xludf.DUMMYFUNCTION("""COMPUTED_VALUE"""),"2055-06-11T21:00:23.947675Z")</f>
        <v>2055-06-11T21:00:23.947675Z</v>
      </c>
      <c r="AF443" s="3" t="str">
        <f ca="1">IFERROR(__xludf.DUMMYFUNCTION("""COMPUTED_VALUE"""),"2055-06-11T21:17:13.875987Z")</f>
        <v>2055-06-11T21:17:13.875987Z</v>
      </c>
      <c r="AG443" s="3" t="str">
        <f ca="1">IFERROR(__xludf.DUMMYFUNCTION("""COMPUTED_VALUE"""),"2055-06-11T20:36:34.509883Z")</f>
        <v>2055-06-11T20:36:34.509883Z</v>
      </c>
      <c r="AH443" s="3" t="str">
        <f ca="1">IFERROR(__xludf.DUMMYFUNCTION("""COMPUTED_VALUE"""),"2055-06-11T20:49:58.271835Z")</f>
        <v>2055-06-11T20:49:58.271835Z</v>
      </c>
      <c r="AI443" s="3">
        <f ca="1">IFERROR(__xludf.DUMMYFUNCTION("""COMPUTED_VALUE"""),4.7)</f>
        <v>4.7</v>
      </c>
      <c r="AJ443" s="3">
        <f ca="1">IFERROR(__xludf.DUMMYFUNCTION("""COMPUTED_VALUE"""),443)</f>
        <v>443</v>
      </c>
      <c r="AK443" s="3">
        <f ca="1">IFERROR(__xludf.DUMMYFUNCTION("""COMPUTED_VALUE"""),1579)</f>
        <v>1579</v>
      </c>
      <c r="AL443" s="3"/>
    </row>
    <row r="444" spans="1:38" ht="13">
      <c r="A444" s="3">
        <f ca="1">IFERROR(__xludf.DUMMYFUNCTION("""COMPUTED_VALUE"""),52)</f>
        <v>52</v>
      </c>
      <c r="B444" s="3"/>
      <c r="C444" s="3">
        <f ca="1">IFERROR(__xludf.DUMMYFUNCTION("""COMPUTED_VALUE"""),4001)</f>
        <v>4001</v>
      </c>
      <c r="D444" s="3" t="str">
        <f ca="1">IFERROR(__xludf.DUMMYFUNCTION("""COMPUTED_VALUE"""),"Dashattan")</f>
        <v>Dashattan</v>
      </c>
      <c r="E444" s="3" t="str">
        <f ca="1">IFERROR(__xludf.DUMMYFUNCTION("""COMPUTED_VALUE"""),"Galaxy A")</f>
        <v>Galaxy A</v>
      </c>
      <c r="F444" s="3" t="str">
        <f ca="1">IFERROR(__xludf.DUMMYFUNCTION("""COMPUTED_VALUE"""),"KC")</f>
        <v>KC</v>
      </c>
      <c r="G444" s="3">
        <f ca="1">IFERROR(__xludf.DUMMYFUNCTION("""COMPUTED_VALUE"""),0)</f>
        <v>0</v>
      </c>
      <c r="H444" s="3" t="str">
        <f ca="1">IFERROR(__xludf.DUMMYFUNCTION("""COMPUTED_VALUE"""),"car")</f>
        <v>car</v>
      </c>
      <c r="I444" s="3" t="str">
        <f ca="1">IFERROR(__xludf.DUMMYFUNCTION("""COMPUTED_VALUE"""),"2055-06-01T21:58:07.587834Z")</f>
        <v>2055-06-01T21:58:07.587834Z</v>
      </c>
      <c r="J444" s="3" t="str">
        <f ca="1">IFERROR(__xludf.DUMMYFUNCTION("""COMPUTED_VALUE"""),"2055-06-01T23:01:17.66Z")</f>
        <v>2055-06-01T23:01:17.66Z</v>
      </c>
      <c r="K444" s="3" t="str">
        <f ca="1">IFERROR(__xludf.DUMMYFUNCTION("""COMPUTED_VALUE"""),"2055-06-01T22:41:38.66Z")</f>
        <v>2055-06-01T22:41:38.66Z</v>
      </c>
      <c r="L444" s="3">
        <f ca="1">IFERROR(__xludf.DUMMYFUNCTION("""COMPUTED_VALUE"""),1)</f>
        <v>1</v>
      </c>
      <c r="M444" s="3">
        <f ca="1">IFERROR(__xludf.DUMMYFUNCTION("""COMPUTED_VALUE"""),0)</f>
        <v>0</v>
      </c>
      <c r="N444" s="3" t="str">
        <f ca="1">IFERROR(__xludf.DUMMYFUNCTION("""COMPUTED_VALUE"""),"2055-06-01T22:46:05.073133Z")</f>
        <v>2055-06-01T22:46:05.073133Z</v>
      </c>
      <c r="O444" s="3" t="str">
        <f ca="1">IFERROR(__xludf.DUMMYFUNCTION("""COMPUTED_VALUE"""),"2055-06-01T23:07:39.037349Z")</f>
        <v>2055-06-01T23:07:39.037349Z</v>
      </c>
      <c r="P444" s="3" t="str">
        <f ca="1">IFERROR(__xludf.DUMMYFUNCTION("""COMPUTED_VALUE"""),"2055-06-01T22:38:34.961394Z")</f>
        <v>2055-06-01T22:38:34.961394Z</v>
      </c>
      <c r="Q444" s="3">
        <f ca="1">IFERROR(__xludf.DUMMYFUNCTION("""COMPUTED_VALUE"""),0)</f>
        <v>0</v>
      </c>
      <c r="R444" s="3" t="str">
        <f ca="1">IFERROR(__xludf.DUMMYFUNCTION("""COMPUTED_VALUE"""),"2055-06-01T22:38:42.419564Z")</f>
        <v>2055-06-01T22:38:42.419564Z</v>
      </c>
      <c r="S444" s="3"/>
      <c r="T444" s="3"/>
      <c r="U444" s="4">
        <f ca="1">IFERROR(__xludf.DUMMYFUNCTION("""COMPUTED_VALUE"""),56766)</f>
        <v>56766</v>
      </c>
      <c r="V444" s="3">
        <f ca="1">IFERROR(__xludf.DUMMYFUNCTION("""COMPUTED_VALUE"""),4.2)</f>
        <v>4.2</v>
      </c>
      <c r="W444" s="3">
        <f ca="1">IFERROR(__xludf.DUMMYFUNCTION("""COMPUTED_VALUE"""),2500)</f>
        <v>2500</v>
      </c>
      <c r="X444" s="3">
        <f ca="1">IFERROR(__xludf.DUMMYFUNCTION("""COMPUTED_VALUE"""),1737)</f>
        <v>1737</v>
      </c>
      <c r="Y444" s="3"/>
      <c r="Z444" s="3"/>
      <c r="AA444" s="3">
        <f ca="1">IFERROR(__xludf.DUMMYFUNCTION("""COMPUTED_VALUE"""),1294)</f>
        <v>1294</v>
      </c>
      <c r="AB444" s="3">
        <f ca="1">IFERROR(__xludf.DUMMYFUNCTION("""COMPUTED_VALUE"""),0)</f>
        <v>0</v>
      </c>
      <c r="AC444" s="3">
        <f ca="1">IFERROR(__xludf.DUMMYFUNCTION("""COMPUTED_VALUE"""),1)</f>
        <v>1</v>
      </c>
      <c r="AD444" s="3"/>
      <c r="AE444" s="3" t="str">
        <f ca="1">IFERROR(__xludf.DUMMYFUNCTION("""COMPUTED_VALUE"""),"2055-06-01T18:46:05.073133Z")</f>
        <v>2055-06-01T18:46:05.073133Z</v>
      </c>
      <c r="AF444" s="3" t="str">
        <f ca="1">IFERROR(__xludf.DUMMYFUNCTION("""COMPUTED_VALUE"""),"2055-06-01T19:07:39.037349Z")</f>
        <v>2055-06-01T19:07:39.037349Z</v>
      </c>
      <c r="AG444" s="3" t="str">
        <f ca="1">IFERROR(__xludf.DUMMYFUNCTION("""COMPUTED_VALUE"""),"2055-06-01T18:38:34.961394Z")</f>
        <v>2055-06-01T18:38:34.961394Z</v>
      </c>
      <c r="AH444" s="3"/>
      <c r="AI444" s="3">
        <f ca="1">IFERROR(__xludf.DUMMYFUNCTION("""COMPUTED_VALUE"""),4.54)</f>
        <v>4.54</v>
      </c>
      <c r="AJ444" s="3">
        <f ca="1">IFERROR(__xludf.DUMMYFUNCTION("""COMPUTED_VALUE"""),2229)</f>
        <v>2229</v>
      </c>
      <c r="AK444" s="3">
        <f ca="1">IFERROR(__xludf.DUMMYFUNCTION("""COMPUTED_VALUE"""),6580)</f>
        <v>6580</v>
      </c>
      <c r="AL444" s="3"/>
    </row>
    <row r="445" spans="1:38" ht="13">
      <c r="A445" s="3">
        <f ca="1">IFERROR(__xludf.DUMMYFUNCTION("""COMPUTED_VALUE"""),396)</f>
        <v>396</v>
      </c>
      <c r="B445" s="3">
        <f ca="1">IFERROR(__xludf.DUMMYFUNCTION("""COMPUTED_VALUE"""),5)</f>
        <v>5</v>
      </c>
      <c r="C445" s="3">
        <f ca="1">IFERROR(__xludf.DUMMYFUNCTION("""COMPUTED_VALUE"""),4001)</f>
        <v>4001</v>
      </c>
      <c r="D445" s="3" t="str">
        <f ca="1">IFERROR(__xludf.DUMMYFUNCTION("""COMPUTED_VALUE"""),"Dashattan")</f>
        <v>Dashattan</v>
      </c>
      <c r="E445" s="3" t="str">
        <f ca="1">IFERROR(__xludf.DUMMYFUNCTION("""COMPUTED_VALUE"""),"Galaxy A")</f>
        <v>Galaxy A</v>
      </c>
      <c r="F445" s="3" t="str">
        <f ca="1">IFERROR(__xludf.DUMMYFUNCTION("""COMPUTED_VALUE"""),"Samm")</f>
        <v>Samm</v>
      </c>
      <c r="G445" s="3">
        <f ca="1">IFERROR(__xludf.DUMMYFUNCTION("""COMPUTED_VALUE"""),0)</f>
        <v>0</v>
      </c>
      <c r="H445" s="3" t="str">
        <f ca="1">IFERROR(__xludf.DUMMYFUNCTION("""COMPUTED_VALUE"""),"car")</f>
        <v>car</v>
      </c>
      <c r="I445" s="3" t="str">
        <f ca="1">IFERROR(__xludf.DUMMYFUNCTION("""COMPUTED_VALUE"""),"2055-06-04T12:42:51.61314Z")</f>
        <v>2055-06-04T12:42:51.61314Z</v>
      </c>
      <c r="J445" s="3" t="str">
        <f ca="1">IFERROR(__xludf.DUMMYFUNCTION("""COMPUTED_VALUE"""),"2055-06-04T13:31:46.686Z")</f>
        <v>2055-06-04T13:31:46.686Z</v>
      </c>
      <c r="K445" s="3" t="str">
        <f ca="1">IFERROR(__xludf.DUMMYFUNCTION("""COMPUTED_VALUE"""),"2055-06-04T13:12:53.686Z")</f>
        <v>2055-06-04T13:12:53.686Z</v>
      </c>
      <c r="L445" s="3">
        <f ca="1">IFERROR(__xludf.DUMMYFUNCTION("""COMPUTED_VALUE"""),1)</f>
        <v>1</v>
      </c>
      <c r="M445" s="3">
        <f ca="1">IFERROR(__xludf.DUMMYFUNCTION("""COMPUTED_VALUE"""),0)</f>
        <v>0</v>
      </c>
      <c r="N445" s="3" t="str">
        <f ca="1">IFERROR(__xludf.DUMMYFUNCTION("""COMPUTED_VALUE"""),"2055-06-04T13:01:05.750888Z")</f>
        <v>2055-06-04T13:01:05.750888Z</v>
      </c>
      <c r="O445" s="3" t="str">
        <f ca="1">IFERROR(__xludf.DUMMYFUNCTION("""COMPUTED_VALUE"""),"2055-06-04T13:05:59.739619Z")</f>
        <v>2055-06-04T13:05:59.739619Z</v>
      </c>
      <c r="P445" s="3" t="str">
        <f ca="1">IFERROR(__xludf.DUMMYFUNCTION("""COMPUTED_VALUE"""),"2055-06-04T12:44:54.132911Z")</f>
        <v>2055-06-04T12:44:54.132911Z</v>
      </c>
      <c r="Q445" s="3">
        <f ca="1">IFERROR(__xludf.DUMMYFUNCTION("""COMPUTED_VALUE"""),0)</f>
        <v>0</v>
      </c>
      <c r="R445" s="3" t="str">
        <f ca="1">IFERROR(__xludf.DUMMYFUNCTION("""COMPUTED_VALUE"""),"2055-06-04T12:45:13.374964Z")</f>
        <v>2055-06-04T12:45:13.374964Z</v>
      </c>
      <c r="S445" s="3" t="str">
        <f ca="1">IFERROR(__xludf.DUMMYFUNCTION("""COMPUTED_VALUE"""),"2055-06-04T12:53:14.290083Z")</f>
        <v>2055-06-04T12:53:14.290083Z</v>
      </c>
      <c r="T445" s="3"/>
      <c r="U445" s="4">
        <f ca="1">IFERROR(__xludf.DUMMYFUNCTION("""COMPUTED_VALUE"""),56769)</f>
        <v>56769</v>
      </c>
      <c r="V445" s="3">
        <f ca="1">IFERROR(__xludf.DUMMYFUNCTION("""COMPUTED_VALUE"""),4.4)</f>
        <v>4.4000000000000004</v>
      </c>
      <c r="W445" s="3">
        <f ca="1">IFERROR(__xludf.DUMMYFUNCTION("""COMPUTED_VALUE"""),2500)</f>
        <v>2500</v>
      </c>
      <c r="X445" s="3">
        <f ca="1">IFERROR(__xludf.DUMMYFUNCTION("""COMPUTED_VALUE"""),1246)</f>
        <v>1246</v>
      </c>
      <c r="Y445" s="3">
        <f ca="1">IFERROR(__xludf.DUMMYFUNCTION("""COMPUTED_VALUE"""),481)</f>
        <v>481</v>
      </c>
      <c r="Z445" s="3">
        <f ca="1">IFERROR(__xludf.DUMMYFUNCTION("""COMPUTED_VALUE"""),471)</f>
        <v>471</v>
      </c>
      <c r="AA445" s="3">
        <f ca="1">IFERROR(__xludf.DUMMYFUNCTION("""COMPUTED_VALUE"""),294)</f>
        <v>294</v>
      </c>
      <c r="AB445" s="3">
        <f ca="1">IFERROR(__xludf.DUMMYFUNCTION("""COMPUTED_VALUE"""),0)</f>
        <v>0</v>
      </c>
      <c r="AC445" s="3">
        <f ca="1">IFERROR(__xludf.DUMMYFUNCTION("""COMPUTED_VALUE"""),4)</f>
        <v>4</v>
      </c>
      <c r="AD445" s="3" t="str">
        <f ca="1">IFERROR(__xludf.DUMMYFUNCTION("""COMPUTED_VALUE"""),"on time")</f>
        <v>on time</v>
      </c>
      <c r="AE445" s="3" t="str">
        <f ca="1">IFERROR(__xludf.DUMMYFUNCTION("""COMPUTED_VALUE"""),"2055-06-04T09:01:05.750888Z")</f>
        <v>2055-06-04T09:01:05.750888Z</v>
      </c>
      <c r="AF445" s="3" t="str">
        <f ca="1">IFERROR(__xludf.DUMMYFUNCTION("""COMPUTED_VALUE"""),"2055-06-04T09:05:59.739619Z")</f>
        <v>2055-06-04T09:05:59.739619Z</v>
      </c>
      <c r="AG445" s="3" t="str">
        <f ca="1">IFERROR(__xludf.DUMMYFUNCTION("""COMPUTED_VALUE"""),"2055-06-04T08:44:54.132911Z")</f>
        <v>2055-06-04T08:44:54.132911Z</v>
      </c>
      <c r="AH445" s="3" t="str">
        <f ca="1">IFERROR(__xludf.DUMMYFUNCTION("""COMPUTED_VALUE"""),"2055-06-04T08:53:14.290083Z")</f>
        <v>2055-06-04T08:53:14.290083Z</v>
      </c>
      <c r="AI445" s="3">
        <f ca="1">IFERROR(__xludf.DUMMYFUNCTION("""COMPUTED_VALUE"""),4.03)</f>
        <v>4.03</v>
      </c>
      <c r="AJ445" s="3">
        <f ca="1">IFERROR(__xludf.DUMMYFUNCTION("""COMPUTED_VALUE"""),505)</f>
        <v>505</v>
      </c>
      <c r="AK445" s="3">
        <f ca="1">IFERROR(__xludf.DUMMYFUNCTION("""COMPUTED_VALUE"""),1721)</f>
        <v>1721</v>
      </c>
      <c r="AL445" s="3">
        <f ca="1">IFERROR(__xludf.DUMMYFUNCTION("""COMPUTED_VALUE"""),457)</f>
        <v>457</v>
      </c>
    </row>
    <row r="446" spans="1:38" ht="13">
      <c r="A446" s="3">
        <f ca="1">IFERROR(__xludf.DUMMYFUNCTION("""COMPUTED_VALUE"""),607)</f>
        <v>607</v>
      </c>
      <c r="B446" s="3"/>
      <c r="C446" s="3">
        <f ca="1">IFERROR(__xludf.DUMMYFUNCTION("""COMPUTED_VALUE"""),4001)</f>
        <v>4001</v>
      </c>
      <c r="D446" s="3" t="str">
        <f ca="1">IFERROR(__xludf.DUMMYFUNCTION("""COMPUTED_VALUE"""),"Dashattan")</f>
        <v>Dashattan</v>
      </c>
      <c r="E446" s="3" t="str">
        <f ca="1">IFERROR(__xludf.DUMMYFUNCTION("""COMPUTED_VALUE"""),"Galaxy A")</f>
        <v>Galaxy A</v>
      </c>
      <c r="F446" s="3" t="str">
        <f ca="1">IFERROR(__xludf.DUMMYFUNCTION("""COMPUTED_VALUE"""),"Bill")</f>
        <v>Bill</v>
      </c>
      <c r="G446" s="3">
        <f ca="1">IFERROR(__xludf.DUMMYFUNCTION("""COMPUTED_VALUE"""),0)</f>
        <v>0</v>
      </c>
      <c r="H446" s="3" t="str">
        <f ca="1">IFERROR(__xludf.DUMMYFUNCTION("""COMPUTED_VALUE"""),"car")</f>
        <v>car</v>
      </c>
      <c r="I446" s="3" t="str">
        <f ca="1">IFERROR(__xludf.DUMMYFUNCTION("""COMPUTED_VALUE"""),"2055-06-05T20:19:51.236726Z")</f>
        <v>2055-06-05T20:19:51.236726Z</v>
      </c>
      <c r="J446" s="3" t="str">
        <f ca="1">IFERROR(__xludf.DUMMYFUNCTION("""COMPUTED_VALUE"""),"2055-06-05T21:07:58.292Z")</f>
        <v>2055-06-05T21:07:58.292Z</v>
      </c>
      <c r="K446" s="3" t="str">
        <f ca="1">IFERROR(__xludf.DUMMYFUNCTION("""COMPUTED_VALUE"""),"2055-06-05T20:49:05.292Z")</f>
        <v>2055-06-05T20:49:05.292Z</v>
      </c>
      <c r="L446" s="3">
        <f ca="1">IFERROR(__xludf.DUMMYFUNCTION("""COMPUTED_VALUE"""),1)</f>
        <v>1</v>
      </c>
      <c r="M446" s="3">
        <f ca="1">IFERROR(__xludf.DUMMYFUNCTION("""COMPUTED_VALUE"""),0)</f>
        <v>0</v>
      </c>
      <c r="N446" s="3" t="str">
        <f ca="1">IFERROR(__xludf.DUMMYFUNCTION("""COMPUTED_VALUE"""),"2055-06-05T20:51:22.727624Z")</f>
        <v>2055-06-05T20:51:22.727624Z</v>
      </c>
      <c r="O446" s="3" t="str">
        <f ca="1">IFERROR(__xludf.DUMMYFUNCTION("""COMPUTED_VALUE"""),"2055-06-05T21:07:56.197804Z")</f>
        <v>2055-06-05T21:07:56.197804Z</v>
      </c>
      <c r="P446" s="3" t="str">
        <f ca="1">IFERROR(__xludf.DUMMYFUNCTION("""COMPUTED_VALUE"""),"2055-06-05T20:23:54.425039Z")</f>
        <v>2055-06-05T20:23:54.425039Z</v>
      </c>
      <c r="Q446" s="3">
        <f ca="1">IFERROR(__xludf.DUMMYFUNCTION("""COMPUTED_VALUE"""),0)</f>
        <v>0</v>
      </c>
      <c r="R446" s="3" t="str">
        <f ca="1">IFERROR(__xludf.DUMMYFUNCTION("""COMPUTED_VALUE"""),"2055-06-05T20:24:10.218266Z")</f>
        <v>2055-06-05T20:24:10.218266Z</v>
      </c>
      <c r="S446" s="3" t="str">
        <f ca="1">IFERROR(__xludf.DUMMYFUNCTION("""COMPUTED_VALUE"""),"2055-06-05T20:42:08.417285Z")</f>
        <v>2055-06-05T20:42:08.417285Z</v>
      </c>
      <c r="T446" s="3"/>
      <c r="U446" s="4">
        <f ca="1">IFERROR(__xludf.DUMMYFUNCTION("""COMPUTED_VALUE"""),56770)</f>
        <v>56770</v>
      </c>
      <c r="V446" s="3">
        <f ca="1">IFERROR(__xludf.DUMMYFUNCTION("""COMPUTED_VALUE"""),4)</f>
        <v>4</v>
      </c>
      <c r="W446" s="3">
        <f ca="1">IFERROR(__xludf.DUMMYFUNCTION("""COMPUTED_VALUE"""),2500)</f>
        <v>2500</v>
      </c>
      <c r="X446" s="3">
        <f ca="1">IFERROR(__xludf.DUMMYFUNCTION("""COMPUTED_VALUE"""),2626)</f>
        <v>2626</v>
      </c>
      <c r="Y446" s="3">
        <f ca="1">IFERROR(__xludf.DUMMYFUNCTION("""COMPUTED_VALUE"""),1078)</f>
        <v>1078</v>
      </c>
      <c r="Z446" s="3">
        <f ca="1">IFERROR(__xludf.DUMMYFUNCTION("""COMPUTED_VALUE"""),554)</f>
        <v>554</v>
      </c>
      <c r="AA446" s="3">
        <f ca="1">IFERROR(__xludf.DUMMYFUNCTION("""COMPUTED_VALUE"""),994)</f>
        <v>994</v>
      </c>
      <c r="AB446" s="3">
        <f ca="1">IFERROR(__xludf.DUMMYFUNCTION("""COMPUTED_VALUE"""),0)</f>
        <v>0</v>
      </c>
      <c r="AC446" s="3">
        <f ca="1">IFERROR(__xludf.DUMMYFUNCTION("""COMPUTED_VALUE"""),3)</f>
        <v>3</v>
      </c>
      <c r="AD446" s="3" t="str">
        <f ca="1">IFERROR(__xludf.DUMMYFUNCTION("""COMPUTED_VALUE"""),"late")</f>
        <v>late</v>
      </c>
      <c r="AE446" s="3" t="str">
        <f ca="1">IFERROR(__xludf.DUMMYFUNCTION("""COMPUTED_VALUE"""),"2055-06-05T16:51:22.727624Z")</f>
        <v>2055-06-05T16:51:22.727624Z</v>
      </c>
      <c r="AF446" s="3" t="str">
        <f ca="1">IFERROR(__xludf.DUMMYFUNCTION("""COMPUTED_VALUE"""),"2055-06-05T17:07:56.197804Z")</f>
        <v>2055-06-05T17:07:56.197804Z</v>
      </c>
      <c r="AG446" s="3" t="str">
        <f ca="1">IFERROR(__xludf.DUMMYFUNCTION("""COMPUTED_VALUE"""),"2055-06-05T16:23:54.425039Z")</f>
        <v>2055-06-05T16:23:54.425039Z</v>
      </c>
      <c r="AH446" s="3" t="str">
        <f ca="1">IFERROR(__xludf.DUMMYFUNCTION("""COMPUTED_VALUE"""),"2055-06-05T16:42:08.417285Z")</f>
        <v>2055-06-05T16:42:08.417285Z</v>
      </c>
      <c r="AI446" s="3">
        <f ca="1">IFERROR(__xludf.DUMMYFUNCTION("""COMPUTED_VALUE"""),4.46)</f>
        <v>4.46</v>
      </c>
      <c r="AJ446" s="3">
        <f ca="1">IFERROR(__xludf.DUMMYFUNCTION("""COMPUTED_VALUE"""),148)</f>
        <v>148</v>
      </c>
      <c r="AK446" s="3">
        <f ca="1">IFERROR(__xludf.DUMMYFUNCTION("""COMPUTED_VALUE"""),435)</f>
        <v>435</v>
      </c>
      <c r="AL446" s="3"/>
    </row>
    <row r="447" spans="1:38" ht="13">
      <c r="A447" s="3">
        <f ca="1">IFERROR(__xludf.DUMMYFUNCTION("""COMPUTED_VALUE"""),1006)</f>
        <v>1006</v>
      </c>
      <c r="B447" s="3">
        <f ca="1">IFERROR(__xludf.DUMMYFUNCTION("""COMPUTED_VALUE"""),5)</f>
        <v>5</v>
      </c>
      <c r="C447" s="3">
        <f ca="1">IFERROR(__xludf.DUMMYFUNCTION("""COMPUTED_VALUE"""),4001)</f>
        <v>4001</v>
      </c>
      <c r="D447" s="3" t="str">
        <f ca="1">IFERROR(__xludf.DUMMYFUNCTION("""COMPUTED_VALUE"""),"Dashattan")</f>
        <v>Dashattan</v>
      </c>
      <c r="E447" s="3" t="str">
        <f ca="1">IFERROR(__xludf.DUMMYFUNCTION("""COMPUTED_VALUE"""),"Galaxy A")</f>
        <v>Galaxy A</v>
      </c>
      <c r="F447" s="3" t="str">
        <f ca="1">IFERROR(__xludf.DUMMYFUNCTION("""COMPUTED_VALUE"""),"KC")</f>
        <v>KC</v>
      </c>
      <c r="G447" s="3">
        <f ca="1">IFERROR(__xludf.DUMMYFUNCTION("""COMPUTED_VALUE"""),0)</f>
        <v>0</v>
      </c>
      <c r="H447" s="3" t="str">
        <f ca="1">IFERROR(__xludf.DUMMYFUNCTION("""COMPUTED_VALUE"""),"car")</f>
        <v>car</v>
      </c>
      <c r="I447" s="3" t="str">
        <f ca="1">IFERROR(__xludf.DUMMYFUNCTION("""COMPUTED_VALUE"""),"2055-06-09T01:54:09.109117Z")</f>
        <v>2055-06-09T01:54:09.109117Z</v>
      </c>
      <c r="J447" s="3" t="str">
        <f ca="1">IFERROR(__xludf.DUMMYFUNCTION("""COMPUTED_VALUE"""),"2055-06-09T02:40:54.149Z")</f>
        <v>2055-06-09T02:40:54.149Z</v>
      </c>
      <c r="K447" s="3" t="str">
        <f ca="1">IFERROR(__xludf.DUMMYFUNCTION("""COMPUTED_VALUE"""),"2055-06-09T02:26:15.149Z")</f>
        <v>2055-06-09T02:26:15.149Z</v>
      </c>
      <c r="L447" s="3">
        <f ca="1">IFERROR(__xludf.DUMMYFUNCTION("""COMPUTED_VALUE"""),1)</f>
        <v>1</v>
      </c>
      <c r="M447" s="3">
        <f ca="1">IFERROR(__xludf.DUMMYFUNCTION("""COMPUTED_VALUE"""),0)</f>
        <v>0</v>
      </c>
      <c r="N447" s="3" t="str">
        <f ca="1">IFERROR(__xludf.DUMMYFUNCTION("""COMPUTED_VALUE"""),"2055-06-09T02:32:57.231319Z")</f>
        <v>2055-06-09T02:32:57.231319Z</v>
      </c>
      <c r="O447" s="3" t="str">
        <f ca="1">IFERROR(__xludf.DUMMYFUNCTION("""COMPUTED_VALUE"""),"2055-06-09T02:41:37.512313Z")</f>
        <v>2055-06-09T02:41:37.512313Z</v>
      </c>
      <c r="P447" s="3" t="str">
        <f ca="1">IFERROR(__xludf.DUMMYFUNCTION("""COMPUTED_VALUE"""),"2055-06-09T02:01:34.18328Z")</f>
        <v>2055-06-09T02:01:34.18328Z</v>
      </c>
      <c r="Q447" s="3">
        <f ca="1">IFERROR(__xludf.DUMMYFUNCTION("""COMPUTED_VALUE"""),0)</f>
        <v>0</v>
      </c>
      <c r="R447" s="3" t="str">
        <f ca="1">IFERROR(__xludf.DUMMYFUNCTION("""COMPUTED_VALUE"""),"2055-06-09T02:01:56.337412Z")</f>
        <v>2055-06-09T02:01:56.337412Z</v>
      </c>
      <c r="S447" s="3" t="str">
        <f ca="1">IFERROR(__xludf.DUMMYFUNCTION("""COMPUTED_VALUE"""),"2055-06-09T02:30:34.196547Z")</f>
        <v>2055-06-09T02:30:34.196547Z</v>
      </c>
      <c r="T447" s="3"/>
      <c r="U447" s="4">
        <f ca="1">IFERROR(__xludf.DUMMYFUNCTION("""COMPUTED_VALUE"""),56773)</f>
        <v>56773</v>
      </c>
      <c r="V447" s="3">
        <f ca="1">IFERROR(__xludf.DUMMYFUNCTION("""COMPUTED_VALUE"""),4.6)</f>
        <v>4.5999999999999996</v>
      </c>
      <c r="W447" s="3">
        <f ca="1">IFERROR(__xludf.DUMMYFUNCTION("""COMPUTED_VALUE"""),2500)</f>
        <v>2500</v>
      </c>
      <c r="X447" s="3">
        <f ca="1">IFERROR(__xludf.DUMMYFUNCTION("""COMPUTED_VALUE"""),2381)</f>
        <v>2381</v>
      </c>
      <c r="Y447" s="3">
        <f ca="1">IFERROR(__xludf.DUMMYFUNCTION("""COMPUTED_VALUE"""),1718)</f>
        <v>1718</v>
      </c>
      <c r="Z447" s="3">
        <f ca="1">IFERROR(__xludf.DUMMYFUNCTION("""COMPUTED_VALUE"""),143)</f>
        <v>143</v>
      </c>
      <c r="AA447" s="3">
        <f ca="1">IFERROR(__xludf.DUMMYFUNCTION("""COMPUTED_VALUE"""),520)</f>
        <v>520</v>
      </c>
      <c r="AB447" s="3">
        <f ca="1">IFERROR(__xludf.DUMMYFUNCTION("""COMPUTED_VALUE"""),0)</f>
        <v>0</v>
      </c>
      <c r="AC447" s="3">
        <f ca="1">IFERROR(__xludf.DUMMYFUNCTION("""COMPUTED_VALUE"""),3)</f>
        <v>3</v>
      </c>
      <c r="AD447" s="3" t="str">
        <f ca="1">IFERROR(__xludf.DUMMYFUNCTION("""COMPUTED_VALUE"""),"late")</f>
        <v>late</v>
      </c>
      <c r="AE447" s="3" t="str">
        <f ca="1">IFERROR(__xludf.DUMMYFUNCTION("""COMPUTED_VALUE"""),"2055-06-08T22:32:57.231319Z")</f>
        <v>2055-06-08T22:32:57.231319Z</v>
      </c>
      <c r="AF447" s="3" t="str">
        <f ca="1">IFERROR(__xludf.DUMMYFUNCTION("""COMPUTED_VALUE"""),"2055-06-08T22:41:37.512313Z")</f>
        <v>2055-06-08T22:41:37.512313Z</v>
      </c>
      <c r="AG447" s="3" t="str">
        <f ca="1">IFERROR(__xludf.DUMMYFUNCTION("""COMPUTED_VALUE"""),"2055-06-08T22:01:34.18328Z")</f>
        <v>2055-06-08T22:01:34.18328Z</v>
      </c>
      <c r="AH447" s="3" t="str">
        <f ca="1">IFERROR(__xludf.DUMMYFUNCTION("""COMPUTED_VALUE"""),"2055-06-08T22:30:34.196547Z")</f>
        <v>2055-06-08T22:30:34.196547Z</v>
      </c>
      <c r="AI447" s="3">
        <f ca="1">IFERROR(__xludf.DUMMYFUNCTION("""COMPUTED_VALUE"""),4.54)</f>
        <v>4.54</v>
      </c>
      <c r="AJ447" s="3">
        <f ca="1">IFERROR(__xludf.DUMMYFUNCTION("""COMPUTED_VALUE"""),2229)</f>
        <v>2229</v>
      </c>
      <c r="AK447" s="3">
        <f ca="1">IFERROR(__xludf.DUMMYFUNCTION("""COMPUTED_VALUE"""),6580)</f>
        <v>6580</v>
      </c>
      <c r="AL447" s="3"/>
    </row>
    <row r="448" spans="1:38" ht="13">
      <c r="A448" s="3">
        <f ca="1">IFERROR(__xludf.DUMMYFUNCTION("""COMPUTED_VALUE"""),561)</f>
        <v>561</v>
      </c>
      <c r="B448" s="3"/>
      <c r="C448" s="3">
        <f ca="1">IFERROR(__xludf.DUMMYFUNCTION("""COMPUTED_VALUE"""),4050)</f>
        <v>4050</v>
      </c>
      <c r="D448" s="3" t="str">
        <f ca="1">IFERROR(__xludf.DUMMYFUNCTION("""COMPUTED_VALUE"""),"Doorlanta")</f>
        <v>Doorlanta</v>
      </c>
      <c r="E448" s="3" t="str">
        <f ca="1">IFERROR(__xludf.DUMMYFUNCTION("""COMPUTED_VALUE"""),"Galaxy A")</f>
        <v>Galaxy A</v>
      </c>
      <c r="F448" s="3" t="str">
        <f ca="1">IFERROR(__xludf.DUMMYFUNCTION("""COMPUTED_VALUE"""),"Katelynn")</f>
        <v>Katelynn</v>
      </c>
      <c r="G448" s="3">
        <f ca="1">IFERROR(__xludf.DUMMYFUNCTION("""COMPUTED_VALUE"""),0)</f>
        <v>0</v>
      </c>
      <c r="H448" s="3" t="str">
        <f ca="1">IFERROR(__xludf.DUMMYFUNCTION("""COMPUTED_VALUE"""),"car")</f>
        <v>car</v>
      </c>
      <c r="I448" s="3" t="str">
        <f ca="1">IFERROR(__xludf.DUMMYFUNCTION("""COMPUTED_VALUE"""),"2055-06-05T16:08:09.15446Z")</f>
        <v>2055-06-05T16:08:09.15446Z</v>
      </c>
      <c r="J448" s="3" t="str">
        <f ca="1">IFERROR(__xludf.DUMMYFUNCTION("""COMPUTED_VALUE"""),"2055-06-05T16:54:10.322Z")</f>
        <v>2055-06-05T16:54:10.322Z</v>
      </c>
      <c r="K448" s="3" t="str">
        <f ca="1">IFERROR(__xludf.DUMMYFUNCTION("""COMPUTED_VALUE"""),"2055-06-05T16:45:52.322Z")</f>
        <v>2055-06-05T16:45:52.322Z</v>
      </c>
      <c r="L448" s="3">
        <f ca="1">IFERROR(__xludf.DUMMYFUNCTION("""COMPUTED_VALUE"""),1)</f>
        <v>1</v>
      </c>
      <c r="M448" s="3">
        <f ca="1">IFERROR(__xludf.DUMMYFUNCTION("""COMPUTED_VALUE"""),0)</f>
        <v>0</v>
      </c>
      <c r="N448" s="3" t="str">
        <f ca="1">IFERROR(__xludf.DUMMYFUNCTION("""COMPUTED_VALUE"""),"2055-06-05T16:26:21.086292Z")</f>
        <v>2055-06-05T16:26:21.086292Z</v>
      </c>
      <c r="O448" s="3" t="str">
        <f ca="1">IFERROR(__xludf.DUMMYFUNCTION("""COMPUTED_VALUE"""),"2055-06-05T16:47:14.905921Z")</f>
        <v>2055-06-05T16:47:14.905921Z</v>
      </c>
      <c r="P448" s="3" t="str">
        <f ca="1">IFERROR(__xludf.DUMMYFUNCTION("""COMPUTED_VALUE"""),"2055-06-05T16:13:07.307637Z")</f>
        <v>2055-06-05T16:13:07.307637Z</v>
      </c>
      <c r="Q448" s="3">
        <f ca="1">IFERROR(__xludf.DUMMYFUNCTION("""COMPUTED_VALUE"""),0)</f>
        <v>0</v>
      </c>
      <c r="R448" s="3" t="str">
        <f ca="1">IFERROR(__xludf.DUMMYFUNCTION("""COMPUTED_VALUE"""),"2055-06-05T16:13:24.3174Z")</f>
        <v>2055-06-05T16:13:24.3174Z</v>
      </c>
      <c r="S448" s="3"/>
      <c r="T448" s="3"/>
      <c r="U448" s="4">
        <f ca="1">IFERROR(__xludf.DUMMYFUNCTION("""COMPUTED_VALUE"""),56770)</f>
        <v>56770</v>
      </c>
      <c r="V448" s="3">
        <f ca="1">IFERROR(__xludf.DUMMYFUNCTION("""COMPUTED_VALUE"""),4.6)</f>
        <v>4.5999999999999996</v>
      </c>
      <c r="W448" s="3">
        <f ca="1">IFERROR(__xludf.DUMMYFUNCTION("""COMPUTED_VALUE"""),2500)</f>
        <v>2500</v>
      </c>
      <c r="X448" s="3">
        <f ca="1">IFERROR(__xludf.DUMMYFUNCTION("""COMPUTED_VALUE"""),2030)</f>
        <v>2030</v>
      </c>
      <c r="Y448" s="3"/>
      <c r="Z448" s="3"/>
      <c r="AA448" s="3">
        <f ca="1">IFERROR(__xludf.DUMMYFUNCTION("""COMPUTED_VALUE"""),1253)</f>
        <v>1253</v>
      </c>
      <c r="AB448" s="3">
        <f ca="1">IFERROR(__xludf.DUMMYFUNCTION("""COMPUTED_VALUE"""),0)</f>
        <v>0</v>
      </c>
      <c r="AC448" s="3">
        <f ca="1">IFERROR(__xludf.DUMMYFUNCTION("""COMPUTED_VALUE"""),3)</f>
        <v>3</v>
      </c>
      <c r="AD448" s="3"/>
      <c r="AE448" s="3" t="str">
        <f ca="1">IFERROR(__xludf.DUMMYFUNCTION("""COMPUTED_VALUE"""),"2055-06-05T12:26:21.086292Z")</f>
        <v>2055-06-05T12:26:21.086292Z</v>
      </c>
      <c r="AF448" s="3" t="str">
        <f ca="1">IFERROR(__xludf.DUMMYFUNCTION("""COMPUTED_VALUE"""),"2055-06-05T12:47:14.905921Z")</f>
        <v>2055-06-05T12:47:14.905921Z</v>
      </c>
      <c r="AG448" s="3" t="str">
        <f ca="1">IFERROR(__xludf.DUMMYFUNCTION("""COMPUTED_VALUE"""),"2055-06-05T12:13:07.307637Z")</f>
        <v>2055-06-05T12:13:07.307637Z</v>
      </c>
      <c r="AH448" s="3"/>
      <c r="AI448" s="3">
        <f ca="1">IFERROR(__xludf.DUMMYFUNCTION("""COMPUTED_VALUE"""),4.7)</f>
        <v>4.7</v>
      </c>
      <c r="AJ448" s="3">
        <f ca="1">IFERROR(__xludf.DUMMYFUNCTION("""COMPUTED_VALUE"""),1261)</f>
        <v>1261</v>
      </c>
      <c r="AK448" s="3">
        <f ca="1">IFERROR(__xludf.DUMMYFUNCTION("""COMPUTED_VALUE"""),3264)</f>
        <v>3264</v>
      </c>
      <c r="AL448" s="3">
        <f ca="1">IFERROR(__xludf.DUMMYFUNCTION("""COMPUTED_VALUE"""),232)</f>
        <v>232</v>
      </c>
    </row>
    <row r="449" spans="1:38" ht="13">
      <c r="A449" s="3">
        <f ca="1">IFERROR(__xludf.DUMMYFUNCTION("""COMPUTED_VALUE"""),659)</f>
        <v>659</v>
      </c>
      <c r="B449" s="3">
        <f ca="1">IFERROR(__xludf.DUMMYFUNCTION("""COMPUTED_VALUE"""),5)</f>
        <v>5</v>
      </c>
      <c r="C449" s="3">
        <f ca="1">IFERROR(__xludf.DUMMYFUNCTION("""COMPUTED_VALUE"""),4050)</f>
        <v>4050</v>
      </c>
      <c r="D449" s="3" t="str">
        <f ca="1">IFERROR(__xludf.DUMMYFUNCTION("""COMPUTED_VALUE"""),"Doorlanta")</f>
        <v>Doorlanta</v>
      </c>
      <c r="E449" s="3" t="str">
        <f ca="1">IFERROR(__xludf.DUMMYFUNCTION("""COMPUTED_VALUE"""),"Galaxy A")</f>
        <v>Galaxy A</v>
      </c>
      <c r="F449" s="3" t="str">
        <f ca="1">IFERROR(__xludf.DUMMYFUNCTION("""COMPUTED_VALUE"""),"Benn")</f>
        <v>Benn</v>
      </c>
      <c r="G449" s="3">
        <f ca="1">IFERROR(__xludf.DUMMYFUNCTION("""COMPUTED_VALUE"""),0)</f>
        <v>0</v>
      </c>
      <c r="H449" s="3" t="str">
        <f ca="1">IFERROR(__xludf.DUMMYFUNCTION("""COMPUTED_VALUE"""),"car")</f>
        <v>car</v>
      </c>
      <c r="I449" s="3" t="str">
        <f ca="1">IFERROR(__xludf.DUMMYFUNCTION("""COMPUTED_VALUE"""),"2055-06-05T22:48:59.982601Z")</f>
        <v>2055-06-05T22:48:59.982601Z</v>
      </c>
      <c r="J449" s="3" t="str">
        <f ca="1">IFERROR(__xludf.DUMMYFUNCTION("""COMPUTED_VALUE"""),"2055-06-05T23:54:26.046Z")</f>
        <v>2055-06-05T23:54:26.046Z</v>
      </c>
      <c r="K449" s="3" t="str">
        <f ca="1">IFERROR(__xludf.DUMMYFUNCTION("""COMPUTED_VALUE"""),"2055-06-05T23:32:32.046Z")</f>
        <v>2055-06-05T23:32:32.046Z</v>
      </c>
      <c r="L449" s="3">
        <f ca="1">IFERROR(__xludf.DUMMYFUNCTION("""COMPUTED_VALUE"""),1)</f>
        <v>1</v>
      </c>
      <c r="M449" s="3">
        <f ca="1">IFERROR(__xludf.DUMMYFUNCTION("""COMPUTED_VALUE"""),0)</f>
        <v>0</v>
      </c>
      <c r="N449" s="3" t="str">
        <f ca="1">IFERROR(__xludf.DUMMYFUNCTION("""COMPUTED_VALUE"""),"2055-06-05T23:29:19.202555Z")</f>
        <v>2055-06-05T23:29:19.202555Z</v>
      </c>
      <c r="O449" s="3" t="str">
        <f ca="1">IFERROR(__xludf.DUMMYFUNCTION("""COMPUTED_VALUE"""),"2055-06-05T23:45:58.075844Z")</f>
        <v>2055-06-05T23:45:58.075844Z</v>
      </c>
      <c r="P449" s="3" t="str">
        <f ca="1">IFERROR(__xludf.DUMMYFUNCTION("""COMPUTED_VALUE"""),"2055-06-05T23:15:27.614783Z")</f>
        <v>2055-06-05T23:15:27.614783Z</v>
      </c>
      <c r="Q449" s="3">
        <f ca="1">IFERROR(__xludf.DUMMYFUNCTION("""COMPUTED_VALUE"""),0)</f>
        <v>0</v>
      </c>
      <c r="R449" s="3" t="str">
        <f ca="1">IFERROR(__xludf.DUMMYFUNCTION("""COMPUTED_VALUE"""),"2055-06-05T23:15:31.144785Z")</f>
        <v>2055-06-05T23:15:31.144785Z</v>
      </c>
      <c r="S449" s="3" t="str">
        <f ca="1">IFERROR(__xludf.DUMMYFUNCTION("""COMPUTED_VALUE"""),"2055-06-05T23:25:23.899499Z")</f>
        <v>2055-06-05T23:25:23.899499Z</v>
      </c>
      <c r="T449" s="3"/>
      <c r="U449" s="4">
        <f ca="1">IFERROR(__xludf.DUMMYFUNCTION("""COMPUTED_VALUE"""),56770)</f>
        <v>56770</v>
      </c>
      <c r="V449" s="3">
        <f ca="1">IFERROR(__xludf.DUMMYFUNCTION("""COMPUTED_VALUE"""),3.070691233)</f>
        <v>3.0706912329999998</v>
      </c>
      <c r="W449" s="3">
        <f ca="1">IFERROR(__xludf.DUMMYFUNCTION("""COMPUTED_VALUE"""),2500)</f>
        <v>2500</v>
      </c>
      <c r="X449" s="3">
        <f ca="1">IFERROR(__xludf.DUMMYFUNCTION("""COMPUTED_VALUE"""),1827)</f>
        <v>1827</v>
      </c>
      <c r="Y449" s="3">
        <f ca="1">IFERROR(__xludf.DUMMYFUNCTION("""COMPUTED_VALUE"""),592)</f>
        <v>592</v>
      </c>
      <c r="Z449" s="3">
        <f ca="1">IFERROR(__xludf.DUMMYFUNCTION("""COMPUTED_VALUE"""),236)</f>
        <v>236</v>
      </c>
      <c r="AA449" s="3">
        <f ca="1">IFERROR(__xludf.DUMMYFUNCTION("""COMPUTED_VALUE"""),999)</f>
        <v>999</v>
      </c>
      <c r="AB449" s="3">
        <f ca="1">IFERROR(__xludf.DUMMYFUNCTION("""COMPUTED_VALUE"""),0)</f>
        <v>0</v>
      </c>
      <c r="AC449" s="3">
        <f ca="1">IFERROR(__xludf.DUMMYFUNCTION("""COMPUTED_VALUE"""),1)</f>
        <v>1</v>
      </c>
      <c r="AD449" s="3" t="str">
        <f ca="1">IFERROR(__xludf.DUMMYFUNCTION("""COMPUTED_VALUE"""),"late")</f>
        <v>late</v>
      </c>
      <c r="AE449" s="3" t="str">
        <f ca="1">IFERROR(__xludf.DUMMYFUNCTION("""COMPUTED_VALUE"""),"2055-06-05T19:29:19.202555Z")</f>
        <v>2055-06-05T19:29:19.202555Z</v>
      </c>
      <c r="AF449" s="3" t="str">
        <f ca="1">IFERROR(__xludf.DUMMYFUNCTION("""COMPUTED_VALUE"""),"2055-06-05T19:45:58.075844Z")</f>
        <v>2055-06-05T19:45:58.075844Z</v>
      </c>
      <c r="AG449" s="3" t="str">
        <f ca="1">IFERROR(__xludf.DUMMYFUNCTION("""COMPUTED_VALUE"""),"2055-06-05T19:15:27.614783Z")</f>
        <v>2055-06-05T19:15:27.614783Z</v>
      </c>
      <c r="AH449" s="3" t="str">
        <f ca="1">IFERROR(__xludf.DUMMYFUNCTION("""COMPUTED_VALUE"""),"2055-06-05T19:25:23.899499Z")</f>
        <v>2055-06-05T19:25:23.899499Z</v>
      </c>
      <c r="AI449" s="3">
        <f ca="1">IFERROR(__xludf.DUMMYFUNCTION("""COMPUTED_VALUE"""),4.63)</f>
        <v>4.63</v>
      </c>
      <c r="AJ449" s="3">
        <f ca="1">IFERROR(__xludf.DUMMYFUNCTION("""COMPUTED_VALUE"""),241)</f>
        <v>241</v>
      </c>
      <c r="AK449" s="3">
        <f ca="1">IFERROR(__xludf.DUMMYFUNCTION("""COMPUTED_VALUE"""),995)</f>
        <v>995</v>
      </c>
      <c r="AL449" s="3">
        <f ca="1">IFERROR(__xludf.DUMMYFUNCTION("""COMPUTED_VALUE"""),626)</f>
        <v>626</v>
      </c>
    </row>
    <row r="450" spans="1:38" ht="13">
      <c r="A450" s="3">
        <f ca="1">IFERROR(__xludf.DUMMYFUNCTION("""COMPUTED_VALUE"""),81)</f>
        <v>81</v>
      </c>
      <c r="B450" s="3"/>
      <c r="C450" s="3">
        <f ca="1">IFERROR(__xludf.DUMMYFUNCTION("""COMPUTED_VALUE"""),4001)</f>
        <v>4001</v>
      </c>
      <c r="D450" s="3" t="str">
        <f ca="1">IFERROR(__xludf.DUMMYFUNCTION("""COMPUTED_VALUE"""),"Dashattan")</f>
        <v>Dashattan</v>
      </c>
      <c r="E450" s="3" t="str">
        <f ca="1">IFERROR(__xludf.DUMMYFUNCTION("""COMPUTED_VALUE"""),"Galaxy A")</f>
        <v>Galaxy A</v>
      </c>
      <c r="F450" s="3" t="str">
        <f ca="1">IFERROR(__xludf.DUMMYFUNCTION("""COMPUTED_VALUE"""),"Ron")</f>
        <v>Ron</v>
      </c>
      <c r="G450" s="3">
        <f ca="1">IFERROR(__xludf.DUMMYFUNCTION("""COMPUTED_VALUE"""),0)</f>
        <v>0</v>
      </c>
      <c r="H450" s="3" t="str">
        <f ca="1">IFERROR(__xludf.DUMMYFUNCTION("""COMPUTED_VALUE"""),"bicycle")</f>
        <v>bicycle</v>
      </c>
      <c r="I450" s="3" t="str">
        <f ca="1">IFERROR(__xludf.DUMMYFUNCTION("""COMPUTED_VALUE"""),"2055-06-01T23:34:23.185182Z")</f>
        <v>2055-06-01T23:34:23.185182Z</v>
      </c>
      <c r="J450" s="3" t="str">
        <f ca="1">IFERROR(__xludf.DUMMYFUNCTION("""COMPUTED_VALUE"""),"2055-06-02T00:50:21.242Z")</f>
        <v>2055-06-02T00:50:21.242Z</v>
      </c>
      <c r="K450" s="3" t="str">
        <f ca="1">IFERROR(__xludf.DUMMYFUNCTION("""COMPUTED_VALUE"""),"2055-06-02T00:30:14.242Z")</f>
        <v>2055-06-02T00:30:14.242Z</v>
      </c>
      <c r="L450" s="3">
        <f ca="1">IFERROR(__xludf.DUMMYFUNCTION("""COMPUTED_VALUE"""),1)</f>
        <v>1</v>
      </c>
      <c r="M450" s="3">
        <f ca="1">IFERROR(__xludf.DUMMYFUNCTION("""COMPUTED_VALUE"""),0)</f>
        <v>0</v>
      </c>
      <c r="N450" s="3" t="str">
        <f ca="1">IFERROR(__xludf.DUMMYFUNCTION("""COMPUTED_VALUE"""),"2055-06-02T00:14:45.814442Z")</f>
        <v>2055-06-02T00:14:45.814442Z</v>
      </c>
      <c r="O450" s="3" t="str">
        <f ca="1">IFERROR(__xludf.DUMMYFUNCTION("""COMPUTED_VALUE"""),"2055-06-02T00:45:14.458098Z")</f>
        <v>2055-06-02T00:45:14.458098Z</v>
      </c>
      <c r="P450" s="3" t="str">
        <f ca="1">IFERROR(__xludf.DUMMYFUNCTION("""COMPUTED_VALUE"""),"2055-06-01T23:58:14.92395Z")</f>
        <v>2055-06-01T23:58:14.92395Z</v>
      </c>
      <c r="Q450" s="3">
        <f ca="1">IFERROR(__xludf.DUMMYFUNCTION("""COMPUTED_VALUE"""),0)</f>
        <v>0</v>
      </c>
      <c r="R450" s="3" t="str">
        <f ca="1">IFERROR(__xludf.DUMMYFUNCTION("""COMPUTED_VALUE"""),"2055-06-01T23:58:23.849991Z")</f>
        <v>2055-06-01T23:58:23.849991Z</v>
      </c>
      <c r="S450" s="3" t="str">
        <f ca="1">IFERROR(__xludf.DUMMYFUNCTION("""COMPUTED_VALUE"""),"2055-06-02T00:16:08.570324Z")</f>
        <v>2055-06-02T00:16:08.570324Z</v>
      </c>
      <c r="T450" s="3"/>
      <c r="U450" s="4">
        <f ca="1">IFERROR(__xludf.DUMMYFUNCTION("""COMPUTED_VALUE"""),56766)</f>
        <v>56766</v>
      </c>
      <c r="V450" s="3">
        <f ca="1">IFERROR(__xludf.DUMMYFUNCTION("""COMPUTED_VALUE"""),4.4)</f>
        <v>4.4000000000000004</v>
      </c>
      <c r="W450" s="3">
        <f ca="1">IFERROR(__xludf.DUMMYFUNCTION("""COMPUTED_VALUE"""),2500)</f>
        <v>2500</v>
      </c>
      <c r="X450" s="3">
        <f ca="1">IFERROR(__xludf.DUMMYFUNCTION("""COMPUTED_VALUE"""),2811)</f>
        <v>2811</v>
      </c>
      <c r="Y450" s="3">
        <f ca="1">IFERROR(__xludf.DUMMYFUNCTION("""COMPUTED_VALUE"""),1065)</f>
        <v>1065</v>
      </c>
      <c r="Z450" s="3"/>
      <c r="AA450" s="3">
        <f ca="1">IFERROR(__xludf.DUMMYFUNCTION("""COMPUTED_VALUE"""),1829)</f>
        <v>1829</v>
      </c>
      <c r="AB450" s="3">
        <f ca="1">IFERROR(__xludf.DUMMYFUNCTION("""COMPUTED_VALUE"""),0)</f>
        <v>0</v>
      </c>
      <c r="AC450" s="3">
        <f ca="1">IFERROR(__xludf.DUMMYFUNCTION("""COMPUTED_VALUE"""),2)</f>
        <v>2</v>
      </c>
      <c r="AD450" s="3" t="str">
        <f ca="1">IFERROR(__xludf.DUMMYFUNCTION("""COMPUTED_VALUE"""),"late")</f>
        <v>late</v>
      </c>
      <c r="AE450" s="3" t="str">
        <f ca="1">IFERROR(__xludf.DUMMYFUNCTION("""COMPUTED_VALUE"""),"2055-06-01T20:14:45.814442Z")</f>
        <v>2055-06-01T20:14:45.814442Z</v>
      </c>
      <c r="AF450" s="3" t="str">
        <f ca="1">IFERROR(__xludf.DUMMYFUNCTION("""COMPUTED_VALUE"""),"2055-06-01T20:45:14.458098Z")</f>
        <v>2055-06-01T20:45:14.458098Z</v>
      </c>
      <c r="AG450" s="3" t="str">
        <f ca="1">IFERROR(__xludf.DUMMYFUNCTION("""COMPUTED_VALUE"""),"2055-06-01T19:58:14.92395Z")</f>
        <v>2055-06-01T19:58:14.92395Z</v>
      </c>
      <c r="AH450" s="3" t="str">
        <f ca="1">IFERROR(__xludf.DUMMYFUNCTION("""COMPUTED_VALUE"""),"2055-06-01T20:16:08.570324Z")</f>
        <v>2055-06-01T20:16:08.570324Z</v>
      </c>
      <c r="AI450" s="3">
        <f ca="1">IFERROR(__xludf.DUMMYFUNCTION("""COMPUTED_VALUE"""),4.56)</f>
        <v>4.5599999999999996</v>
      </c>
      <c r="AJ450" s="3">
        <f ca="1">IFERROR(__xludf.DUMMYFUNCTION("""COMPUTED_VALUE"""),765)</f>
        <v>765</v>
      </c>
      <c r="AK450" s="3">
        <f ca="1">IFERROR(__xludf.DUMMYFUNCTION("""COMPUTED_VALUE"""),2618)</f>
        <v>2618</v>
      </c>
      <c r="AL450" s="3"/>
    </row>
    <row r="451" spans="1:38" ht="13">
      <c r="A451" s="3">
        <f ca="1">IFERROR(__xludf.DUMMYFUNCTION("""COMPUTED_VALUE"""),157)</f>
        <v>157</v>
      </c>
      <c r="B451" s="3"/>
      <c r="C451" s="3">
        <f ca="1">IFERROR(__xludf.DUMMYFUNCTION("""COMPUTED_VALUE"""),4050)</f>
        <v>4050</v>
      </c>
      <c r="D451" s="3" t="str">
        <f ca="1">IFERROR(__xludf.DUMMYFUNCTION("""COMPUTED_VALUE"""),"Doorlanta")</f>
        <v>Doorlanta</v>
      </c>
      <c r="E451" s="3" t="str">
        <f ca="1">IFERROR(__xludf.DUMMYFUNCTION("""COMPUTED_VALUE"""),"Galaxy A")</f>
        <v>Galaxy A</v>
      </c>
      <c r="F451" s="3" t="str">
        <f ca="1">IFERROR(__xludf.DUMMYFUNCTION("""COMPUTED_VALUE"""),"Joe")</f>
        <v>Joe</v>
      </c>
      <c r="G451" s="3">
        <f ca="1">IFERROR(__xludf.DUMMYFUNCTION("""COMPUTED_VALUE"""),0)</f>
        <v>0</v>
      </c>
      <c r="H451" s="3" t="str">
        <f ca="1">IFERROR(__xludf.DUMMYFUNCTION("""COMPUTED_VALUE"""),"car")</f>
        <v>car</v>
      </c>
      <c r="I451" s="3" t="str">
        <f ca="1">IFERROR(__xludf.DUMMYFUNCTION("""COMPUTED_VALUE"""),"2055-06-02T19:40:38.018171Z")</f>
        <v>2055-06-02T19:40:38.018171Z</v>
      </c>
      <c r="J451" s="3" t="str">
        <f ca="1">IFERROR(__xludf.DUMMYFUNCTION("""COMPUTED_VALUE"""),"2055-06-02T20:35:38.096Z")</f>
        <v>2055-06-02T20:35:38.096Z</v>
      </c>
      <c r="K451" s="3" t="str">
        <f ca="1">IFERROR(__xludf.DUMMYFUNCTION("""COMPUTED_VALUE"""),"2055-06-02T20:10:02.096Z")</f>
        <v>2055-06-02T20:10:02.096Z</v>
      </c>
      <c r="L451" s="3">
        <f ca="1">IFERROR(__xludf.DUMMYFUNCTION("""COMPUTED_VALUE"""),1)</f>
        <v>1</v>
      </c>
      <c r="M451" s="3">
        <f ca="1">IFERROR(__xludf.DUMMYFUNCTION("""COMPUTED_VALUE"""),0)</f>
        <v>0</v>
      </c>
      <c r="N451" s="3" t="str">
        <f ca="1">IFERROR(__xludf.DUMMYFUNCTION("""COMPUTED_VALUE"""),"2055-06-02T19:59:34.990731Z")</f>
        <v>2055-06-02T19:59:34.990731Z</v>
      </c>
      <c r="O451" s="3" t="str">
        <f ca="1">IFERROR(__xludf.DUMMYFUNCTION("""COMPUTED_VALUE"""),"2055-06-02T20:06:18.014162Z")</f>
        <v>2055-06-02T20:06:18.014162Z</v>
      </c>
      <c r="P451" s="3" t="str">
        <f ca="1">IFERROR(__xludf.DUMMYFUNCTION("""COMPUTED_VALUE"""),"2055-06-02T19:46:27.247744Z")</f>
        <v>2055-06-02T19:46:27.247744Z</v>
      </c>
      <c r="Q451" s="3">
        <f ca="1">IFERROR(__xludf.DUMMYFUNCTION("""COMPUTED_VALUE"""),0)</f>
        <v>0</v>
      </c>
      <c r="R451" s="3" t="str">
        <f ca="1">IFERROR(__xludf.DUMMYFUNCTION("""COMPUTED_VALUE"""),"2055-06-02T19:46:30.919669Z")</f>
        <v>2055-06-02T19:46:30.919669Z</v>
      </c>
      <c r="S451" s="3" t="str">
        <f ca="1">IFERROR(__xludf.DUMMYFUNCTION("""COMPUTED_VALUE"""),"2055-06-02T19:56:48.464422Z")</f>
        <v>2055-06-02T19:56:48.464422Z</v>
      </c>
      <c r="T451" s="3"/>
      <c r="U451" s="4">
        <f ca="1">IFERROR(__xludf.DUMMYFUNCTION("""COMPUTED_VALUE"""),56767)</f>
        <v>56767</v>
      </c>
      <c r="V451" s="3">
        <f ca="1">IFERROR(__xludf.DUMMYFUNCTION("""COMPUTED_VALUE"""),4.8)</f>
        <v>4.8</v>
      </c>
      <c r="W451" s="3">
        <f ca="1">IFERROR(__xludf.DUMMYFUNCTION("""COMPUTED_VALUE"""),2500)</f>
        <v>2500</v>
      </c>
      <c r="X451" s="3">
        <f ca="1">IFERROR(__xludf.DUMMYFUNCTION("""COMPUTED_VALUE"""),1188)</f>
        <v>1188</v>
      </c>
      <c r="Y451" s="3">
        <f ca="1">IFERROR(__xludf.DUMMYFUNCTION("""COMPUTED_VALUE"""),618)</f>
        <v>618</v>
      </c>
      <c r="Z451" s="3">
        <f ca="1">IFERROR(__xludf.DUMMYFUNCTION("""COMPUTED_VALUE"""),166)</f>
        <v>166</v>
      </c>
      <c r="AA451" s="3">
        <f ca="1">IFERROR(__xludf.DUMMYFUNCTION("""COMPUTED_VALUE"""),404)</f>
        <v>404</v>
      </c>
      <c r="AB451" s="3">
        <f ca="1">IFERROR(__xludf.DUMMYFUNCTION("""COMPUTED_VALUE"""),0)</f>
        <v>0</v>
      </c>
      <c r="AC451" s="3">
        <f ca="1">IFERROR(__xludf.DUMMYFUNCTION("""COMPUTED_VALUE"""),3)</f>
        <v>3</v>
      </c>
      <c r="AD451" s="3" t="str">
        <f ca="1">IFERROR(__xludf.DUMMYFUNCTION("""COMPUTED_VALUE"""),"late")</f>
        <v>late</v>
      </c>
      <c r="AE451" s="3" t="str">
        <f ca="1">IFERROR(__xludf.DUMMYFUNCTION("""COMPUTED_VALUE"""),"2055-06-02T15:59:34.990731Z")</f>
        <v>2055-06-02T15:59:34.990731Z</v>
      </c>
      <c r="AF451" s="3" t="str">
        <f ca="1">IFERROR(__xludf.DUMMYFUNCTION("""COMPUTED_VALUE"""),"2055-06-02T16:06:18.014162Z")</f>
        <v>2055-06-02T16:06:18.014162Z</v>
      </c>
      <c r="AG451" s="3" t="str">
        <f ca="1">IFERROR(__xludf.DUMMYFUNCTION("""COMPUTED_VALUE"""),"2055-06-02T15:46:27.247744Z")</f>
        <v>2055-06-02T15:46:27.247744Z</v>
      </c>
      <c r="AH451" s="3" t="str">
        <f ca="1">IFERROR(__xludf.DUMMYFUNCTION("""COMPUTED_VALUE"""),"2055-06-02T15:56:48.464422Z")</f>
        <v>2055-06-02T15:56:48.464422Z</v>
      </c>
      <c r="AI451" s="3">
        <f ca="1">IFERROR(__xludf.DUMMYFUNCTION("""COMPUTED_VALUE"""),4.38)</f>
        <v>4.38</v>
      </c>
      <c r="AJ451" s="3">
        <f ca="1">IFERROR(__xludf.DUMMYFUNCTION("""COMPUTED_VALUE"""),196)</f>
        <v>196</v>
      </c>
      <c r="AK451" s="3">
        <f ca="1">IFERROR(__xludf.DUMMYFUNCTION("""COMPUTED_VALUE"""),626)</f>
        <v>626</v>
      </c>
      <c r="AL451" s="3"/>
    </row>
    <row r="452" spans="1:38" ht="13">
      <c r="A452" s="3">
        <f ca="1">IFERROR(__xludf.DUMMYFUNCTION("""COMPUTED_VALUE"""),450)</f>
        <v>450</v>
      </c>
      <c r="B452" s="3"/>
      <c r="C452" s="3">
        <f ca="1">IFERROR(__xludf.DUMMYFUNCTION("""COMPUTED_VALUE"""),4001)</f>
        <v>4001</v>
      </c>
      <c r="D452" s="3" t="str">
        <f ca="1">IFERROR(__xludf.DUMMYFUNCTION("""COMPUTED_VALUE"""),"Dashattan")</f>
        <v>Dashattan</v>
      </c>
      <c r="E452" s="3" t="str">
        <f ca="1">IFERROR(__xludf.DUMMYFUNCTION("""COMPUTED_VALUE"""),"Galaxy A")</f>
        <v>Galaxy A</v>
      </c>
      <c r="F452" s="3" t="str">
        <f ca="1">IFERROR(__xludf.DUMMYFUNCTION("""COMPUTED_VALUE"""),"Ron")</f>
        <v>Ron</v>
      </c>
      <c r="G452" s="3">
        <f ca="1">IFERROR(__xludf.DUMMYFUNCTION("""COMPUTED_VALUE"""),0)</f>
        <v>0</v>
      </c>
      <c r="H452" s="3" t="str">
        <f ca="1">IFERROR(__xludf.DUMMYFUNCTION("""COMPUTED_VALUE"""),"bicycle")</f>
        <v>bicycle</v>
      </c>
      <c r="I452" s="3" t="str">
        <f ca="1">IFERROR(__xludf.DUMMYFUNCTION("""COMPUTED_VALUE"""),"2055-06-04T21:30:01.631115Z")</f>
        <v>2055-06-04T21:30:01.631115Z</v>
      </c>
      <c r="J452" s="3" t="str">
        <f ca="1">IFERROR(__xludf.DUMMYFUNCTION("""COMPUTED_VALUE"""),"2055-06-04T22:11:20.714Z")</f>
        <v>2055-06-04T22:11:20.714Z</v>
      </c>
      <c r="K452" s="3" t="str">
        <f ca="1">IFERROR(__xludf.DUMMYFUNCTION("""COMPUTED_VALUE"""),"2055-06-04T22:02:27.714Z")</f>
        <v>2055-06-04T22:02:27.714Z</v>
      </c>
      <c r="L452" s="3">
        <f ca="1">IFERROR(__xludf.DUMMYFUNCTION("""COMPUTED_VALUE"""),1)</f>
        <v>1</v>
      </c>
      <c r="M452" s="3">
        <f ca="1">IFERROR(__xludf.DUMMYFUNCTION("""COMPUTED_VALUE"""),0)</f>
        <v>0</v>
      </c>
      <c r="N452" s="3" t="str">
        <f ca="1">IFERROR(__xludf.DUMMYFUNCTION("""COMPUTED_VALUE"""),"2055-06-04T21:48:02.342797Z")</f>
        <v>2055-06-04T21:48:02.342797Z</v>
      </c>
      <c r="O452" s="3" t="str">
        <f ca="1">IFERROR(__xludf.DUMMYFUNCTION("""COMPUTED_VALUE"""),"2055-06-04T21:59:08.527223Z")</f>
        <v>2055-06-04T21:59:08.527223Z</v>
      </c>
      <c r="P452" s="3" t="str">
        <f ca="1">IFERROR(__xludf.DUMMYFUNCTION("""COMPUTED_VALUE"""),"2055-06-04T21:30:14.422097Z")</f>
        <v>2055-06-04T21:30:14.422097Z</v>
      </c>
      <c r="Q452" s="3">
        <f ca="1">IFERROR(__xludf.DUMMYFUNCTION("""COMPUTED_VALUE"""),0)</f>
        <v>0</v>
      </c>
      <c r="R452" s="3" t="str">
        <f ca="1">IFERROR(__xludf.DUMMYFUNCTION("""COMPUTED_VALUE"""),"2055-06-04T21:30:19.82694Z")</f>
        <v>2055-06-04T21:30:19.82694Z</v>
      </c>
      <c r="S452" s="3" t="str">
        <f ca="1">IFERROR(__xludf.DUMMYFUNCTION("""COMPUTED_VALUE"""),"2055-06-04T21:40:55.589719Z")</f>
        <v>2055-06-04T21:40:55.589719Z</v>
      </c>
      <c r="T452" s="3"/>
      <c r="U452" s="4">
        <f ca="1">IFERROR(__xludf.DUMMYFUNCTION("""COMPUTED_VALUE"""),56769)</f>
        <v>56769</v>
      </c>
      <c r="V452" s="3">
        <f ca="1">IFERROR(__xludf.DUMMYFUNCTION("""COMPUTED_VALUE"""),3.275945828)</f>
        <v>3.2759458279999998</v>
      </c>
      <c r="W452" s="3">
        <f ca="1">IFERROR(__xludf.DUMMYFUNCTION("""COMPUTED_VALUE"""),2500)</f>
        <v>2500</v>
      </c>
      <c r="X452" s="3">
        <f ca="1">IFERROR(__xludf.DUMMYFUNCTION("""COMPUTED_VALUE"""),1729)</f>
        <v>1729</v>
      </c>
      <c r="Y452" s="3">
        <f ca="1">IFERROR(__xludf.DUMMYFUNCTION("""COMPUTED_VALUE"""),636)</f>
        <v>636</v>
      </c>
      <c r="Z452" s="3">
        <f ca="1">IFERROR(__xludf.DUMMYFUNCTION("""COMPUTED_VALUE"""),427)</f>
        <v>427</v>
      </c>
      <c r="AA452" s="3">
        <f ca="1">IFERROR(__xludf.DUMMYFUNCTION("""COMPUTED_VALUE"""),666)</f>
        <v>666</v>
      </c>
      <c r="AB452" s="3">
        <f ca="1">IFERROR(__xludf.DUMMYFUNCTION("""COMPUTED_VALUE"""),0)</f>
        <v>0</v>
      </c>
      <c r="AC452" s="3">
        <f ca="1">IFERROR(__xludf.DUMMYFUNCTION("""COMPUTED_VALUE"""),7)</f>
        <v>7</v>
      </c>
      <c r="AD452" s="3" t="str">
        <f ca="1">IFERROR(__xludf.DUMMYFUNCTION("""COMPUTED_VALUE"""),"on time")</f>
        <v>on time</v>
      </c>
      <c r="AE452" s="3" t="str">
        <f ca="1">IFERROR(__xludf.DUMMYFUNCTION("""COMPUTED_VALUE"""),"2055-06-04T17:48:02.342797Z")</f>
        <v>2055-06-04T17:48:02.342797Z</v>
      </c>
      <c r="AF452" s="3" t="str">
        <f ca="1">IFERROR(__xludf.DUMMYFUNCTION("""COMPUTED_VALUE"""),"2055-06-04T17:59:08.527223Z")</f>
        <v>2055-06-04T17:59:08.527223Z</v>
      </c>
      <c r="AG452" s="3" t="str">
        <f ca="1">IFERROR(__xludf.DUMMYFUNCTION("""COMPUTED_VALUE"""),"2055-06-04T17:30:14.422097Z")</f>
        <v>2055-06-04T17:30:14.422097Z</v>
      </c>
      <c r="AH452" s="3" t="str">
        <f ca="1">IFERROR(__xludf.DUMMYFUNCTION("""COMPUTED_VALUE"""),"2055-06-04T17:40:55.589719Z")</f>
        <v>2055-06-04T17:40:55.589719Z</v>
      </c>
      <c r="AI452" s="3">
        <f ca="1">IFERROR(__xludf.DUMMYFUNCTION("""COMPUTED_VALUE"""),4.56)</f>
        <v>4.5599999999999996</v>
      </c>
      <c r="AJ452" s="3">
        <f ca="1">IFERROR(__xludf.DUMMYFUNCTION("""COMPUTED_VALUE"""),765)</f>
        <v>765</v>
      </c>
      <c r="AK452" s="3">
        <f ca="1">IFERROR(__xludf.DUMMYFUNCTION("""COMPUTED_VALUE"""),2618)</f>
        <v>2618</v>
      </c>
      <c r="AL452" s="3"/>
    </row>
    <row r="453" spans="1:38" ht="13">
      <c r="A453" s="3">
        <f ca="1">IFERROR(__xludf.DUMMYFUNCTION("""COMPUTED_VALUE"""),208)</f>
        <v>208</v>
      </c>
      <c r="B453" s="3"/>
      <c r="C453" s="3">
        <f ca="1">IFERROR(__xludf.DUMMYFUNCTION("""COMPUTED_VALUE"""),4050)</f>
        <v>4050</v>
      </c>
      <c r="D453" s="3" t="str">
        <f ca="1">IFERROR(__xludf.DUMMYFUNCTION("""COMPUTED_VALUE"""),"Doorlanta")</f>
        <v>Doorlanta</v>
      </c>
      <c r="E453" s="3" t="str">
        <f ca="1">IFERROR(__xludf.DUMMYFUNCTION("""COMPUTED_VALUE"""),"Galaxy A")</f>
        <v>Galaxy A</v>
      </c>
      <c r="F453" s="3" t="str">
        <f ca="1">IFERROR(__xludf.DUMMYFUNCTION("""COMPUTED_VALUE"""),"Katelynn")</f>
        <v>Katelynn</v>
      </c>
      <c r="G453" s="3">
        <f ca="1">IFERROR(__xludf.DUMMYFUNCTION("""COMPUTED_VALUE"""),0)</f>
        <v>0</v>
      </c>
      <c r="H453" s="3" t="str">
        <f ca="1">IFERROR(__xludf.DUMMYFUNCTION("""COMPUTED_VALUE"""),"car")</f>
        <v>car</v>
      </c>
      <c r="I453" s="3" t="str">
        <f ca="1">IFERROR(__xludf.DUMMYFUNCTION("""COMPUTED_VALUE"""),"2055-06-02T23:30:56.712744Z")</f>
        <v>2055-06-02T23:30:56.712744Z</v>
      </c>
      <c r="J453" s="3" t="str">
        <f ca="1">IFERROR(__xludf.DUMMYFUNCTION("""COMPUTED_VALUE"""),"2055-06-03T00:40:33.777Z")</f>
        <v>2055-06-03T00:40:33.777Z</v>
      </c>
      <c r="K453" s="3" t="str">
        <f ca="1">IFERROR(__xludf.DUMMYFUNCTION("""COMPUTED_VALUE"""),"2055-06-03T00:20:26.777Z")</f>
        <v>2055-06-03T00:20:26.777Z</v>
      </c>
      <c r="L453" s="3">
        <f ca="1">IFERROR(__xludf.DUMMYFUNCTION("""COMPUTED_VALUE"""),1)</f>
        <v>1</v>
      </c>
      <c r="M453" s="3">
        <f ca="1">IFERROR(__xludf.DUMMYFUNCTION("""COMPUTED_VALUE"""),0)</f>
        <v>0</v>
      </c>
      <c r="N453" s="3" t="str">
        <f ca="1">IFERROR(__xludf.DUMMYFUNCTION("""COMPUTED_VALUE"""),"2055-06-03T00:01:25.158224Z")</f>
        <v>2055-06-03T00:01:25.158224Z</v>
      </c>
      <c r="O453" s="3" t="str">
        <f ca="1">IFERROR(__xludf.DUMMYFUNCTION("""COMPUTED_VALUE"""),"2055-06-03T00:09:29.177469Z")</f>
        <v>2055-06-03T00:09:29.177469Z</v>
      </c>
      <c r="P453" s="3" t="str">
        <f ca="1">IFERROR(__xludf.DUMMYFUNCTION("""COMPUTED_VALUE"""),"2055-06-02T23:36:07.47579Z")</f>
        <v>2055-06-02T23:36:07.47579Z</v>
      </c>
      <c r="Q453" s="3">
        <f ca="1">IFERROR(__xludf.DUMMYFUNCTION("""COMPUTED_VALUE"""),0)</f>
        <v>0</v>
      </c>
      <c r="R453" s="3" t="str">
        <f ca="1">IFERROR(__xludf.DUMMYFUNCTION("""COMPUTED_VALUE"""),"2055-06-02T23:36:33.037803Z")</f>
        <v>2055-06-02T23:36:33.037803Z</v>
      </c>
      <c r="S453" s="3" t="str">
        <f ca="1">IFERROR(__xludf.DUMMYFUNCTION("""COMPUTED_VALUE"""),"2055-06-02T23:45:14.832577Z")</f>
        <v>2055-06-02T23:45:14.832577Z</v>
      </c>
      <c r="T453" s="3"/>
      <c r="U453" s="4">
        <f ca="1">IFERROR(__xludf.DUMMYFUNCTION("""COMPUTED_VALUE"""),56767)</f>
        <v>56767</v>
      </c>
      <c r="V453" s="3">
        <f ca="1">IFERROR(__xludf.DUMMYFUNCTION("""COMPUTED_VALUE"""),4.6)</f>
        <v>4.5999999999999996</v>
      </c>
      <c r="W453" s="3">
        <f ca="1">IFERROR(__xludf.DUMMYFUNCTION("""COMPUTED_VALUE"""),2500)</f>
        <v>2500</v>
      </c>
      <c r="X453" s="3">
        <f ca="1">IFERROR(__xludf.DUMMYFUNCTION("""COMPUTED_VALUE"""),1976)</f>
        <v>1976</v>
      </c>
      <c r="Y453" s="3">
        <f ca="1">IFERROR(__xludf.DUMMYFUNCTION("""COMPUTED_VALUE"""),521)</f>
        <v>521</v>
      </c>
      <c r="Z453" s="3">
        <f ca="1">IFERROR(__xludf.DUMMYFUNCTION("""COMPUTED_VALUE"""),971)</f>
        <v>971</v>
      </c>
      <c r="AA453" s="3">
        <f ca="1">IFERROR(__xludf.DUMMYFUNCTION("""COMPUTED_VALUE"""),484)</f>
        <v>484</v>
      </c>
      <c r="AB453" s="3">
        <f ca="1">IFERROR(__xludf.DUMMYFUNCTION("""COMPUTED_VALUE"""),0)</f>
        <v>0</v>
      </c>
      <c r="AC453" s="3">
        <f ca="1">IFERROR(__xludf.DUMMYFUNCTION("""COMPUTED_VALUE"""),5)</f>
        <v>5</v>
      </c>
      <c r="AD453" s="3" t="str">
        <f ca="1">IFERROR(__xludf.DUMMYFUNCTION("""COMPUTED_VALUE"""),"early")</f>
        <v>early</v>
      </c>
      <c r="AE453" s="3" t="str">
        <f ca="1">IFERROR(__xludf.DUMMYFUNCTION("""COMPUTED_VALUE"""),"2055-06-02T20:01:25.158224Z")</f>
        <v>2055-06-02T20:01:25.158224Z</v>
      </c>
      <c r="AF453" s="3" t="str">
        <f ca="1">IFERROR(__xludf.DUMMYFUNCTION("""COMPUTED_VALUE"""),"2055-06-02T20:09:29.177469Z")</f>
        <v>2055-06-02T20:09:29.177469Z</v>
      </c>
      <c r="AG453" s="3" t="str">
        <f ca="1">IFERROR(__xludf.DUMMYFUNCTION("""COMPUTED_VALUE"""),"2055-06-02T19:36:07.47579Z")</f>
        <v>2055-06-02T19:36:07.47579Z</v>
      </c>
      <c r="AH453" s="3" t="str">
        <f ca="1">IFERROR(__xludf.DUMMYFUNCTION("""COMPUTED_VALUE"""),"2055-06-02T19:45:14.832577Z")</f>
        <v>2055-06-02T19:45:14.832577Z</v>
      </c>
      <c r="AI453" s="3">
        <f ca="1">IFERROR(__xludf.DUMMYFUNCTION("""COMPUTED_VALUE"""),4.7)</f>
        <v>4.7</v>
      </c>
      <c r="AJ453" s="3">
        <f ca="1">IFERROR(__xludf.DUMMYFUNCTION("""COMPUTED_VALUE"""),1261)</f>
        <v>1261</v>
      </c>
      <c r="AK453" s="3">
        <f ca="1">IFERROR(__xludf.DUMMYFUNCTION("""COMPUTED_VALUE"""),3264)</f>
        <v>3264</v>
      </c>
      <c r="AL453" s="3">
        <f ca="1">IFERROR(__xludf.DUMMYFUNCTION("""COMPUTED_VALUE"""),232)</f>
        <v>232</v>
      </c>
    </row>
    <row r="454" spans="1:38" ht="13">
      <c r="A454" s="3">
        <f ca="1">IFERROR(__xludf.DUMMYFUNCTION("""COMPUTED_VALUE"""),548)</f>
        <v>548</v>
      </c>
      <c r="B454" s="3"/>
      <c r="C454" s="3">
        <f ca="1">IFERROR(__xludf.DUMMYFUNCTION("""COMPUTED_VALUE"""),4001)</f>
        <v>4001</v>
      </c>
      <c r="D454" s="3" t="str">
        <f ca="1">IFERROR(__xludf.DUMMYFUNCTION("""COMPUTED_VALUE"""),"Dashattan")</f>
        <v>Dashattan</v>
      </c>
      <c r="E454" s="3" t="str">
        <f ca="1">IFERROR(__xludf.DUMMYFUNCTION("""COMPUTED_VALUE"""),"Galaxy A")</f>
        <v>Galaxy A</v>
      </c>
      <c r="F454" s="3" t="str">
        <f ca="1">IFERROR(__xludf.DUMMYFUNCTION("""COMPUTED_VALUE"""),"Bret")</f>
        <v>Bret</v>
      </c>
      <c r="G454" s="3">
        <f ca="1">IFERROR(__xludf.DUMMYFUNCTION("""COMPUTED_VALUE"""),0)</f>
        <v>0</v>
      </c>
      <c r="H454" s="3" t="str">
        <f ca="1">IFERROR(__xludf.DUMMYFUNCTION("""COMPUTED_VALUE"""),"car")</f>
        <v>car</v>
      </c>
      <c r="I454" s="3" t="str">
        <f ca="1">IFERROR(__xludf.DUMMYFUNCTION("""COMPUTED_VALUE"""),"2055-06-05T14:57:45.446733Z")</f>
        <v>2055-06-05T14:57:45.446733Z</v>
      </c>
      <c r="J454" s="3" t="str">
        <f ca="1">IFERROR(__xludf.DUMMYFUNCTION("""COMPUTED_VALUE"""),"2055-06-05T15:39:26.518Z")</f>
        <v>2055-06-05T15:39:26.518Z</v>
      </c>
      <c r="K454" s="3" t="str">
        <f ca="1">IFERROR(__xludf.DUMMYFUNCTION("""COMPUTED_VALUE"""),"2055-06-05T15:25:33.518Z")</f>
        <v>2055-06-05T15:25:33.518Z</v>
      </c>
      <c r="L454" s="3">
        <f ca="1">IFERROR(__xludf.DUMMYFUNCTION("""COMPUTED_VALUE"""),1)</f>
        <v>1</v>
      </c>
      <c r="M454" s="3">
        <f ca="1">IFERROR(__xludf.DUMMYFUNCTION("""COMPUTED_VALUE"""),0)</f>
        <v>0</v>
      </c>
      <c r="N454" s="3" t="str">
        <f ca="1">IFERROR(__xludf.DUMMYFUNCTION("""COMPUTED_VALUE"""),"2055-06-05T15:59:40.191493Z")</f>
        <v>2055-06-05T15:59:40.191493Z</v>
      </c>
      <c r="O454" s="3" t="str">
        <f ca="1">IFERROR(__xludf.DUMMYFUNCTION("""COMPUTED_VALUE"""),"2055-06-05T16:21:29.677507Z")</f>
        <v>2055-06-05T16:21:29.677507Z</v>
      </c>
      <c r="P454" s="3" t="str">
        <f ca="1">IFERROR(__xludf.DUMMYFUNCTION("""COMPUTED_VALUE"""),"2055-06-05T15:25:14.432303Z")</f>
        <v>2055-06-05T15:25:14.432303Z</v>
      </c>
      <c r="Q454" s="3">
        <f ca="1">IFERROR(__xludf.DUMMYFUNCTION("""COMPUTED_VALUE"""),0)</f>
        <v>0</v>
      </c>
      <c r="R454" s="3" t="str">
        <f ca="1">IFERROR(__xludf.DUMMYFUNCTION("""COMPUTED_VALUE"""),"2055-06-05T15:25:18.679939Z")</f>
        <v>2055-06-05T15:25:18.679939Z</v>
      </c>
      <c r="S454" s="3" t="str">
        <f ca="1">IFERROR(__xludf.DUMMYFUNCTION("""COMPUTED_VALUE"""),"2055-06-05T15:51:17.00807Z")</f>
        <v>2055-06-05T15:51:17.00807Z</v>
      </c>
      <c r="T454" s="3"/>
      <c r="U454" s="4">
        <f ca="1">IFERROR(__xludf.DUMMYFUNCTION("""COMPUTED_VALUE"""),56770)</f>
        <v>56770</v>
      </c>
      <c r="V454" s="3">
        <f ca="1">IFERROR(__xludf.DUMMYFUNCTION("""COMPUTED_VALUE"""),3.885187863)</f>
        <v>3.8851878630000001</v>
      </c>
      <c r="W454" s="3">
        <f ca="1">IFERROR(__xludf.DUMMYFUNCTION("""COMPUTED_VALUE"""),2500)</f>
        <v>2500</v>
      </c>
      <c r="X454" s="3">
        <f ca="1">IFERROR(__xludf.DUMMYFUNCTION("""COMPUTED_VALUE"""),3371)</f>
        <v>3371</v>
      </c>
      <c r="Y454" s="3">
        <f ca="1">IFERROR(__xludf.DUMMYFUNCTION("""COMPUTED_VALUE"""),1559)</f>
        <v>1559</v>
      </c>
      <c r="Z454" s="3">
        <f ca="1">IFERROR(__xludf.DUMMYFUNCTION("""COMPUTED_VALUE"""),503)</f>
        <v>503</v>
      </c>
      <c r="AA454" s="3">
        <f ca="1">IFERROR(__xludf.DUMMYFUNCTION("""COMPUTED_VALUE"""),1309)</f>
        <v>1309</v>
      </c>
      <c r="AB454" s="3">
        <f ca="1">IFERROR(__xludf.DUMMYFUNCTION("""COMPUTED_VALUE"""),0)</f>
        <v>0</v>
      </c>
      <c r="AC454" s="3">
        <f ca="1">IFERROR(__xludf.DUMMYFUNCTION("""COMPUTED_VALUE"""),4)</f>
        <v>4</v>
      </c>
      <c r="AD454" s="3" t="str">
        <f ca="1">IFERROR(__xludf.DUMMYFUNCTION("""COMPUTED_VALUE"""),"late")</f>
        <v>late</v>
      </c>
      <c r="AE454" s="3" t="str">
        <f ca="1">IFERROR(__xludf.DUMMYFUNCTION("""COMPUTED_VALUE"""),"2055-06-05T11:59:40.191493Z")</f>
        <v>2055-06-05T11:59:40.191493Z</v>
      </c>
      <c r="AF454" s="3" t="str">
        <f ca="1">IFERROR(__xludf.DUMMYFUNCTION("""COMPUTED_VALUE"""),"2055-06-05T12:21:29.677507Z")</f>
        <v>2055-06-05T12:21:29.677507Z</v>
      </c>
      <c r="AG454" s="3" t="str">
        <f ca="1">IFERROR(__xludf.DUMMYFUNCTION("""COMPUTED_VALUE"""),"2055-06-05T11:25:14.432303Z")</f>
        <v>2055-06-05T11:25:14.432303Z</v>
      </c>
      <c r="AH454" s="3" t="str">
        <f ca="1">IFERROR(__xludf.DUMMYFUNCTION("""COMPUTED_VALUE"""),"2055-06-05T11:51:17.00807Z")</f>
        <v>2055-06-05T11:51:17.00807Z</v>
      </c>
      <c r="AI454" s="3">
        <f ca="1">IFERROR(__xludf.DUMMYFUNCTION("""COMPUTED_VALUE"""),3.82)</f>
        <v>3.82</v>
      </c>
      <c r="AJ454" s="3">
        <f ca="1">IFERROR(__xludf.DUMMYFUNCTION("""COMPUTED_VALUE"""),174)</f>
        <v>174</v>
      </c>
      <c r="AK454" s="3">
        <f ca="1">IFERROR(__xludf.DUMMYFUNCTION("""COMPUTED_VALUE"""),773)</f>
        <v>773</v>
      </c>
      <c r="AL454" s="3"/>
    </row>
    <row r="455" spans="1:38" ht="13">
      <c r="A455" s="3">
        <f ca="1">IFERROR(__xludf.DUMMYFUNCTION("""COMPUTED_VALUE"""),379)</f>
        <v>379</v>
      </c>
      <c r="B455" s="3"/>
      <c r="C455" s="3">
        <f ca="1">IFERROR(__xludf.DUMMYFUNCTION("""COMPUTED_VALUE"""),4050)</f>
        <v>4050</v>
      </c>
      <c r="D455" s="3" t="str">
        <f ca="1">IFERROR(__xludf.DUMMYFUNCTION("""COMPUTED_VALUE"""),"Doorlanta")</f>
        <v>Doorlanta</v>
      </c>
      <c r="E455" s="3" t="str">
        <f ca="1">IFERROR(__xludf.DUMMYFUNCTION("""COMPUTED_VALUE"""),"Galaxy A")</f>
        <v>Galaxy A</v>
      </c>
      <c r="F455" s="3" t="str">
        <f ca="1">IFERROR(__xludf.DUMMYFUNCTION("""COMPUTED_VALUE"""),"Cate")</f>
        <v>Cate</v>
      </c>
      <c r="G455" s="3">
        <f ca="1">IFERROR(__xludf.DUMMYFUNCTION("""COMPUTED_VALUE"""),0)</f>
        <v>0</v>
      </c>
      <c r="H455" s="3" t="str">
        <f ca="1">IFERROR(__xludf.DUMMYFUNCTION("""COMPUTED_VALUE"""),"car")</f>
        <v>car</v>
      </c>
      <c r="I455" s="3" t="str">
        <f ca="1">IFERROR(__xludf.DUMMYFUNCTION("""COMPUTED_VALUE"""),"2055-06-04T00:20:17.821501Z")</f>
        <v>2055-06-04T00:20:17.821501Z</v>
      </c>
      <c r="J455" s="3" t="str">
        <f ca="1">IFERROR(__xludf.DUMMYFUNCTION("""COMPUTED_VALUE"""),"2055-06-04T01:15:17.896Z")</f>
        <v>2055-06-04T01:15:17.896Z</v>
      </c>
      <c r="K455" s="3" t="str">
        <f ca="1">IFERROR(__xludf.DUMMYFUNCTION("""COMPUTED_VALUE"""),"2055-06-04T00:48:45.896Z")</f>
        <v>2055-06-04T00:48:45.896Z</v>
      </c>
      <c r="L455" s="3">
        <f ca="1">IFERROR(__xludf.DUMMYFUNCTION("""COMPUTED_VALUE"""),1)</f>
        <v>1</v>
      </c>
      <c r="M455" s="3">
        <f ca="1">IFERROR(__xludf.DUMMYFUNCTION("""COMPUTED_VALUE"""),0)</f>
        <v>0</v>
      </c>
      <c r="N455" s="3" t="str">
        <f ca="1">IFERROR(__xludf.DUMMYFUNCTION("""COMPUTED_VALUE"""),"2055-06-04T00:47:45.49102Z")</f>
        <v>2055-06-04T00:47:45.49102Z</v>
      </c>
      <c r="O455" s="3" t="str">
        <f ca="1">IFERROR(__xludf.DUMMYFUNCTION("""COMPUTED_VALUE"""),"2055-06-04T01:04:28.354051Z")</f>
        <v>2055-06-04T01:04:28.354051Z</v>
      </c>
      <c r="P455" s="3" t="str">
        <f ca="1">IFERROR(__xludf.DUMMYFUNCTION("""COMPUTED_VALUE"""),"2055-06-04T00:20:27.431525Z")</f>
        <v>2055-06-04T00:20:27.431525Z</v>
      </c>
      <c r="Q455" s="3">
        <f ca="1">IFERROR(__xludf.DUMMYFUNCTION("""COMPUTED_VALUE"""),0)</f>
        <v>0</v>
      </c>
      <c r="R455" s="3" t="str">
        <f ca="1">IFERROR(__xludf.DUMMYFUNCTION("""COMPUTED_VALUE"""),"2055-06-04T00:20:32.75699Z")</f>
        <v>2055-06-04T00:20:32.75699Z</v>
      </c>
      <c r="S455" s="3" t="str">
        <f ca="1">IFERROR(__xludf.DUMMYFUNCTION("""COMPUTED_VALUE"""),"2055-06-04T00:39:56.719966Z")</f>
        <v>2055-06-04T00:39:56.719966Z</v>
      </c>
      <c r="T455" s="3"/>
      <c r="U455" s="4">
        <f ca="1">IFERROR(__xludf.DUMMYFUNCTION("""COMPUTED_VALUE"""),56768)</f>
        <v>56768</v>
      </c>
      <c r="V455" s="3">
        <f ca="1">IFERROR(__xludf.DUMMYFUNCTION("""COMPUTED_VALUE"""),4.6)</f>
        <v>4.5999999999999996</v>
      </c>
      <c r="W455" s="3">
        <f ca="1">IFERROR(__xludf.DUMMYFUNCTION("""COMPUTED_VALUE"""),2500)</f>
        <v>2500</v>
      </c>
      <c r="X455" s="3">
        <f ca="1">IFERROR(__xludf.DUMMYFUNCTION("""COMPUTED_VALUE"""),2636)</f>
        <v>2636</v>
      </c>
      <c r="Y455" s="3">
        <f ca="1">IFERROR(__xludf.DUMMYFUNCTION("""COMPUTED_VALUE"""),1164)</f>
        <v>1164</v>
      </c>
      <c r="Z455" s="3">
        <f ca="1">IFERROR(__xludf.DUMMYFUNCTION("""COMPUTED_VALUE"""),469)</f>
        <v>469</v>
      </c>
      <c r="AA455" s="3">
        <f ca="1">IFERROR(__xludf.DUMMYFUNCTION("""COMPUTED_VALUE"""),1003)</f>
        <v>1003</v>
      </c>
      <c r="AB455" s="3">
        <f ca="1">IFERROR(__xludf.DUMMYFUNCTION("""COMPUTED_VALUE"""),0)</f>
        <v>0</v>
      </c>
      <c r="AC455" s="3">
        <f ca="1">IFERROR(__xludf.DUMMYFUNCTION("""COMPUTED_VALUE"""),3)</f>
        <v>3</v>
      </c>
      <c r="AD455" s="3" t="str">
        <f ca="1">IFERROR(__xludf.DUMMYFUNCTION("""COMPUTED_VALUE"""),"late")</f>
        <v>late</v>
      </c>
      <c r="AE455" s="3" t="str">
        <f ca="1">IFERROR(__xludf.DUMMYFUNCTION("""COMPUTED_VALUE"""),"2055-06-03T20:47:45.49102Z")</f>
        <v>2055-06-03T20:47:45.49102Z</v>
      </c>
      <c r="AF455" s="3" t="str">
        <f ca="1">IFERROR(__xludf.DUMMYFUNCTION("""COMPUTED_VALUE"""),"2055-06-03T21:04:28.354051Z")</f>
        <v>2055-06-03T21:04:28.354051Z</v>
      </c>
      <c r="AG455" s="3" t="str">
        <f ca="1">IFERROR(__xludf.DUMMYFUNCTION("""COMPUTED_VALUE"""),"2055-06-03T20:20:27.431525Z")</f>
        <v>2055-06-03T20:20:27.431525Z</v>
      </c>
      <c r="AH455" s="3" t="str">
        <f ca="1">IFERROR(__xludf.DUMMYFUNCTION("""COMPUTED_VALUE"""),"2055-06-03T20:39:56.719966Z")</f>
        <v>2055-06-03T20:39:56.719966Z</v>
      </c>
      <c r="AI455" s="3">
        <f ca="1">IFERROR(__xludf.DUMMYFUNCTION("""COMPUTED_VALUE"""),4.49)</f>
        <v>4.49</v>
      </c>
      <c r="AJ455" s="3">
        <f ca="1">IFERROR(__xludf.DUMMYFUNCTION("""COMPUTED_VALUE"""),2315)</f>
        <v>2315</v>
      </c>
      <c r="AK455" s="3">
        <f ca="1">IFERROR(__xludf.DUMMYFUNCTION("""COMPUTED_VALUE"""),7039)</f>
        <v>7039</v>
      </c>
      <c r="AL455" s="3">
        <f ca="1">IFERROR(__xludf.DUMMYFUNCTION("""COMPUTED_VALUE"""),763)</f>
        <v>763</v>
      </c>
    </row>
    <row r="456" spans="1:38" ht="13">
      <c r="A456" s="3">
        <f ca="1">IFERROR(__xludf.DUMMYFUNCTION("""COMPUTED_VALUE"""),366)</f>
        <v>366</v>
      </c>
      <c r="B456" s="3">
        <f ca="1">IFERROR(__xludf.DUMMYFUNCTION("""COMPUTED_VALUE"""),5)</f>
        <v>5</v>
      </c>
      <c r="C456" s="3">
        <f ca="1">IFERROR(__xludf.DUMMYFUNCTION("""COMPUTED_VALUE"""),4050)</f>
        <v>4050</v>
      </c>
      <c r="D456" s="3" t="str">
        <f ca="1">IFERROR(__xludf.DUMMYFUNCTION("""COMPUTED_VALUE"""),"Doorlanta")</f>
        <v>Doorlanta</v>
      </c>
      <c r="E456" s="3" t="str">
        <f ca="1">IFERROR(__xludf.DUMMYFUNCTION("""COMPUTED_VALUE"""),"Galaxy A")</f>
        <v>Galaxy A</v>
      </c>
      <c r="F456" s="3" t="str">
        <f ca="1">IFERROR(__xludf.DUMMYFUNCTION("""COMPUTED_VALUE"""),"Lauran")</f>
        <v>Lauran</v>
      </c>
      <c r="G456" s="3">
        <f ca="1">IFERROR(__xludf.DUMMYFUNCTION("""COMPUTED_VALUE"""),0)</f>
        <v>0</v>
      </c>
      <c r="H456" s="3" t="str">
        <f ca="1">IFERROR(__xludf.DUMMYFUNCTION("""COMPUTED_VALUE"""),"car")</f>
        <v>car</v>
      </c>
      <c r="I456" s="3" t="str">
        <f ca="1">IFERROR(__xludf.DUMMYFUNCTION("""COMPUTED_VALUE"""),"2055-06-03T23:31:27.147215Z")</f>
        <v>2055-06-03T23:31:27.147215Z</v>
      </c>
      <c r="J456" s="3" t="str">
        <f ca="1">IFERROR(__xludf.DUMMYFUNCTION("""COMPUTED_VALUE"""),"2055-06-04T00:44:22.214Z")</f>
        <v>2055-06-04T00:44:22.214Z</v>
      </c>
      <c r="K456" s="3" t="str">
        <f ca="1">IFERROR(__xludf.DUMMYFUNCTION("""COMPUTED_VALUE"""),"2055-06-04T00:25:29.214Z")</f>
        <v>2055-06-04T00:25:29.214Z</v>
      </c>
      <c r="L456" s="3">
        <f ca="1">IFERROR(__xludf.DUMMYFUNCTION("""COMPUTED_VALUE"""),1)</f>
        <v>1</v>
      </c>
      <c r="M456" s="3">
        <f ca="1">IFERROR(__xludf.DUMMYFUNCTION("""COMPUTED_VALUE"""),0)</f>
        <v>0</v>
      </c>
      <c r="N456" s="3" t="str">
        <f ca="1">IFERROR(__xludf.DUMMYFUNCTION("""COMPUTED_VALUE"""),"2055-06-04T00:36:09.337713Z")</f>
        <v>2055-06-04T00:36:09.337713Z</v>
      </c>
      <c r="O456" s="3" t="str">
        <f ca="1">IFERROR(__xludf.DUMMYFUNCTION("""COMPUTED_VALUE"""),"2055-06-04T00:52:19.337382Z")</f>
        <v>2055-06-04T00:52:19.337382Z</v>
      </c>
      <c r="P456" s="3" t="str">
        <f ca="1">IFERROR(__xludf.DUMMYFUNCTION("""COMPUTED_VALUE"""),"2055-06-04T00:16:07.338954Z")</f>
        <v>2055-06-04T00:16:07.338954Z</v>
      </c>
      <c r="Q456" s="3">
        <f ca="1">IFERROR(__xludf.DUMMYFUNCTION("""COMPUTED_VALUE"""),0)</f>
        <v>0</v>
      </c>
      <c r="R456" s="3" t="str">
        <f ca="1">IFERROR(__xludf.DUMMYFUNCTION("""COMPUTED_VALUE"""),"2055-06-04T00:16:10.592885Z")</f>
        <v>2055-06-04T00:16:10.592885Z</v>
      </c>
      <c r="S456" s="3"/>
      <c r="T456" s="3"/>
      <c r="U456" s="4">
        <f ca="1">IFERROR(__xludf.DUMMYFUNCTION("""COMPUTED_VALUE"""),56768)</f>
        <v>56768</v>
      </c>
      <c r="V456" s="3">
        <f ca="1">IFERROR(__xludf.DUMMYFUNCTION("""COMPUTED_VALUE"""),4.5)</f>
        <v>4.5</v>
      </c>
      <c r="W456" s="3">
        <f ca="1">IFERROR(__xludf.DUMMYFUNCTION("""COMPUTED_VALUE"""),2500)</f>
        <v>2500</v>
      </c>
      <c r="X456" s="3">
        <f ca="1">IFERROR(__xludf.DUMMYFUNCTION("""COMPUTED_VALUE"""),2169)</f>
        <v>2169</v>
      </c>
      <c r="Y456" s="3"/>
      <c r="Z456" s="3"/>
      <c r="AA456" s="3">
        <f ca="1">IFERROR(__xludf.DUMMYFUNCTION("""COMPUTED_VALUE"""),970)</f>
        <v>970</v>
      </c>
      <c r="AB456" s="3">
        <f ca="1">IFERROR(__xludf.DUMMYFUNCTION("""COMPUTED_VALUE"""),0)</f>
        <v>0</v>
      </c>
      <c r="AC456" s="3">
        <f ca="1">IFERROR(__xludf.DUMMYFUNCTION("""COMPUTED_VALUE"""),4)</f>
        <v>4</v>
      </c>
      <c r="AD456" s="3"/>
      <c r="AE456" s="3" t="str">
        <f ca="1">IFERROR(__xludf.DUMMYFUNCTION("""COMPUTED_VALUE"""),"2055-06-03T20:36:09.337713Z")</f>
        <v>2055-06-03T20:36:09.337713Z</v>
      </c>
      <c r="AF456" s="3" t="str">
        <f ca="1">IFERROR(__xludf.DUMMYFUNCTION("""COMPUTED_VALUE"""),"2055-06-03T20:52:19.337382Z")</f>
        <v>2055-06-03T20:52:19.337382Z</v>
      </c>
      <c r="AG456" s="3" t="str">
        <f ca="1">IFERROR(__xludf.DUMMYFUNCTION("""COMPUTED_VALUE"""),"2055-06-03T20:16:07.338954Z")</f>
        <v>2055-06-03T20:16:07.338954Z</v>
      </c>
      <c r="AH456" s="3"/>
      <c r="AI456" s="3">
        <f ca="1">IFERROR(__xludf.DUMMYFUNCTION("""COMPUTED_VALUE"""),4.42)</f>
        <v>4.42</v>
      </c>
      <c r="AJ456" s="3">
        <f ca="1">IFERROR(__xludf.DUMMYFUNCTION("""COMPUTED_VALUE"""),1396)</f>
        <v>1396</v>
      </c>
      <c r="AK456" s="3">
        <f ca="1">IFERROR(__xludf.DUMMYFUNCTION("""COMPUTED_VALUE"""),4836)</f>
        <v>4836</v>
      </c>
      <c r="AL456" s="3">
        <f ca="1">IFERROR(__xludf.DUMMYFUNCTION("""COMPUTED_VALUE"""),1278)</f>
        <v>1278</v>
      </c>
    </row>
    <row r="457" spans="1:38" ht="13">
      <c r="A457" s="3">
        <f ca="1">IFERROR(__xludf.DUMMYFUNCTION("""COMPUTED_VALUE"""),513)</f>
        <v>513</v>
      </c>
      <c r="B457" s="3"/>
      <c r="C457" s="3">
        <f ca="1">IFERROR(__xludf.DUMMYFUNCTION("""COMPUTED_VALUE"""),4001)</f>
        <v>4001</v>
      </c>
      <c r="D457" s="3" t="str">
        <f ca="1">IFERROR(__xludf.DUMMYFUNCTION("""COMPUTED_VALUE"""),"Dashattan")</f>
        <v>Dashattan</v>
      </c>
      <c r="E457" s="3" t="str">
        <f ca="1">IFERROR(__xludf.DUMMYFUNCTION("""COMPUTED_VALUE"""),"Galaxy A")</f>
        <v>Galaxy A</v>
      </c>
      <c r="F457" s="3" t="str">
        <f ca="1">IFERROR(__xludf.DUMMYFUNCTION("""COMPUTED_VALUE"""),"Arya")</f>
        <v>Arya</v>
      </c>
      <c r="G457" s="3">
        <f ca="1">IFERROR(__xludf.DUMMYFUNCTION("""COMPUTED_VALUE"""),0)</f>
        <v>0</v>
      </c>
      <c r="H457" s="3" t="str">
        <f ca="1">IFERROR(__xludf.DUMMYFUNCTION("""COMPUTED_VALUE"""),"bicycle")</f>
        <v>bicycle</v>
      </c>
      <c r="I457" s="3" t="str">
        <f ca="1">IFERROR(__xludf.DUMMYFUNCTION("""COMPUTED_VALUE"""),"2055-06-05T00:36:42.839496Z")</f>
        <v>2055-06-05T00:36:42.839496Z</v>
      </c>
      <c r="J457" s="3" t="str">
        <f ca="1">IFERROR(__xludf.DUMMYFUNCTION("""COMPUTED_VALUE"""),"2055-06-05T01:29:46.903Z")</f>
        <v>2055-06-05T01:29:46.903Z</v>
      </c>
      <c r="K457" s="3" t="str">
        <f ca="1">IFERROR(__xludf.DUMMYFUNCTION("""COMPUTED_VALUE"""),"2055-06-05T01:09:39.903Z")</f>
        <v>2055-06-05T01:09:39.903Z</v>
      </c>
      <c r="L457" s="3">
        <f ca="1">IFERROR(__xludf.DUMMYFUNCTION("""COMPUTED_VALUE"""),1)</f>
        <v>1</v>
      </c>
      <c r="M457" s="3">
        <f ca="1">IFERROR(__xludf.DUMMYFUNCTION("""COMPUTED_VALUE"""),0)</f>
        <v>0</v>
      </c>
      <c r="N457" s="3" t="str">
        <f ca="1">IFERROR(__xludf.DUMMYFUNCTION("""COMPUTED_VALUE"""),"2055-06-05T01:17:03.329083Z")</f>
        <v>2055-06-05T01:17:03.329083Z</v>
      </c>
      <c r="O457" s="3" t="str">
        <f ca="1">IFERROR(__xludf.DUMMYFUNCTION("""COMPUTED_VALUE"""),"2055-06-05T01:17:12.634154Z")</f>
        <v>2055-06-05T01:17:12.634154Z</v>
      </c>
      <c r="P457" s="3" t="str">
        <f ca="1">IFERROR(__xludf.DUMMYFUNCTION("""COMPUTED_VALUE"""),"2055-06-05T00:42:55.04255Z")</f>
        <v>2055-06-05T00:42:55.04255Z</v>
      </c>
      <c r="Q457" s="3">
        <f ca="1">IFERROR(__xludf.DUMMYFUNCTION("""COMPUTED_VALUE"""),0)</f>
        <v>0</v>
      </c>
      <c r="R457" s="3" t="str">
        <f ca="1">IFERROR(__xludf.DUMMYFUNCTION("""COMPUTED_VALUE"""),"2055-06-05T00:43:02.609709Z")</f>
        <v>2055-06-05T00:43:02.609709Z</v>
      </c>
      <c r="S457" s="3"/>
      <c r="T457" s="3"/>
      <c r="U457" s="4">
        <f ca="1">IFERROR(__xludf.DUMMYFUNCTION("""COMPUTED_VALUE"""),56769)</f>
        <v>56769</v>
      </c>
      <c r="V457" s="3">
        <f ca="1">IFERROR(__xludf.DUMMYFUNCTION("""COMPUTED_VALUE"""),4.6)</f>
        <v>4.5999999999999996</v>
      </c>
      <c r="W457" s="3">
        <f ca="1">IFERROR(__xludf.DUMMYFUNCTION("""COMPUTED_VALUE"""),2500)</f>
        <v>2500</v>
      </c>
      <c r="X457" s="3">
        <f ca="1">IFERROR(__xludf.DUMMYFUNCTION("""COMPUTED_VALUE"""),2050)</f>
        <v>2050</v>
      </c>
      <c r="Y457" s="3"/>
      <c r="Z457" s="3"/>
      <c r="AA457" s="3">
        <f ca="1">IFERROR(__xludf.DUMMYFUNCTION("""COMPUTED_VALUE"""),9)</f>
        <v>9</v>
      </c>
      <c r="AB457" s="3">
        <f ca="1">IFERROR(__xludf.DUMMYFUNCTION("""COMPUTED_VALUE"""),0)</f>
        <v>0</v>
      </c>
      <c r="AC457" s="3">
        <f ca="1">IFERROR(__xludf.DUMMYFUNCTION("""COMPUTED_VALUE"""),2)</f>
        <v>2</v>
      </c>
      <c r="AD457" s="3"/>
      <c r="AE457" s="3" t="str">
        <f ca="1">IFERROR(__xludf.DUMMYFUNCTION("""COMPUTED_VALUE"""),"2055-06-04T21:17:03.329083Z")</f>
        <v>2055-06-04T21:17:03.329083Z</v>
      </c>
      <c r="AF457" s="3" t="str">
        <f ca="1">IFERROR(__xludf.DUMMYFUNCTION("""COMPUTED_VALUE"""),"2055-06-04T21:17:12.634154Z")</f>
        <v>2055-06-04T21:17:12.634154Z</v>
      </c>
      <c r="AG457" s="3" t="str">
        <f ca="1">IFERROR(__xludf.DUMMYFUNCTION("""COMPUTED_VALUE"""),"2055-06-04T20:42:55.04255Z")</f>
        <v>2055-06-04T20:42:55.04255Z</v>
      </c>
      <c r="AH457" s="3"/>
      <c r="AI457" s="3">
        <f ca="1">IFERROR(__xludf.DUMMYFUNCTION("""COMPUTED_VALUE"""),4.17)</f>
        <v>4.17</v>
      </c>
      <c r="AJ457" s="3">
        <f ca="1">IFERROR(__xludf.DUMMYFUNCTION("""COMPUTED_VALUE"""),457)</f>
        <v>457</v>
      </c>
      <c r="AK457" s="3">
        <f ca="1">IFERROR(__xludf.DUMMYFUNCTION("""COMPUTED_VALUE"""),1599)</f>
        <v>1599</v>
      </c>
      <c r="AL457" s="3"/>
    </row>
    <row r="458" spans="1:38" ht="13">
      <c r="A458" s="3">
        <f ca="1">IFERROR(__xludf.DUMMYFUNCTION("""COMPUTED_VALUE"""),1001)</f>
        <v>1001</v>
      </c>
      <c r="B458" s="3">
        <f ca="1">IFERROR(__xludf.DUMMYFUNCTION("""COMPUTED_VALUE"""),5)</f>
        <v>5</v>
      </c>
      <c r="C458" s="3">
        <f ca="1">IFERROR(__xludf.DUMMYFUNCTION("""COMPUTED_VALUE"""),4001)</f>
        <v>4001</v>
      </c>
      <c r="D458" s="3" t="str">
        <f ca="1">IFERROR(__xludf.DUMMYFUNCTION("""COMPUTED_VALUE"""),"Dashattan")</f>
        <v>Dashattan</v>
      </c>
      <c r="E458" s="3" t="str">
        <f ca="1">IFERROR(__xludf.DUMMYFUNCTION("""COMPUTED_VALUE"""),"Galaxy A")</f>
        <v>Galaxy A</v>
      </c>
      <c r="F458" s="3" t="str">
        <f ca="1">IFERROR(__xludf.DUMMYFUNCTION("""COMPUTED_VALUE"""),"KC")</f>
        <v>KC</v>
      </c>
      <c r="G458" s="3">
        <f ca="1">IFERROR(__xludf.DUMMYFUNCTION("""COMPUTED_VALUE"""),0)</f>
        <v>0</v>
      </c>
      <c r="H458" s="3" t="str">
        <f ca="1">IFERROR(__xludf.DUMMYFUNCTION("""COMPUTED_VALUE"""),"car")</f>
        <v>car</v>
      </c>
      <c r="I458" s="3" t="str">
        <f ca="1">IFERROR(__xludf.DUMMYFUNCTION("""COMPUTED_VALUE"""),"2055-06-09T01:15:04.532395Z")</f>
        <v>2055-06-09T01:15:04.532395Z</v>
      </c>
      <c r="J458" s="3" t="str">
        <f ca="1">IFERROR(__xludf.DUMMYFUNCTION("""COMPUTED_VALUE"""),"2055-06-09T02:07:53.593Z")</f>
        <v>2055-06-09T02:07:53.593Z</v>
      </c>
      <c r="K458" s="3" t="str">
        <f ca="1">IFERROR(__xludf.DUMMYFUNCTION("""COMPUTED_VALUE"""),"2055-06-09T01:48:14.593Z")</f>
        <v>2055-06-09T01:48:14.593Z</v>
      </c>
      <c r="L458" s="3">
        <f ca="1">IFERROR(__xludf.DUMMYFUNCTION("""COMPUTED_VALUE"""),1)</f>
        <v>1</v>
      </c>
      <c r="M458" s="3">
        <f ca="1">IFERROR(__xludf.DUMMYFUNCTION("""COMPUTED_VALUE"""),0)</f>
        <v>0</v>
      </c>
      <c r="N458" s="3" t="str">
        <f ca="1">IFERROR(__xludf.DUMMYFUNCTION("""COMPUTED_VALUE"""),"2055-06-09T01:37:57.959545Z")</f>
        <v>2055-06-09T01:37:57.959545Z</v>
      </c>
      <c r="O458" s="3" t="str">
        <f ca="1">IFERROR(__xludf.DUMMYFUNCTION("""COMPUTED_VALUE"""),"2055-06-09T01:48:05.687329Z")</f>
        <v>2055-06-09T01:48:05.687329Z</v>
      </c>
      <c r="P458" s="3" t="str">
        <f ca="1">IFERROR(__xludf.DUMMYFUNCTION("""COMPUTED_VALUE"""),"2055-06-09T01:22:14.433778Z")</f>
        <v>2055-06-09T01:22:14.433778Z</v>
      </c>
      <c r="Q458" s="3">
        <f ca="1">IFERROR(__xludf.DUMMYFUNCTION("""COMPUTED_VALUE"""),0)</f>
        <v>0</v>
      </c>
      <c r="R458" s="3" t="str">
        <f ca="1">IFERROR(__xludf.DUMMYFUNCTION("""COMPUTED_VALUE"""),"2055-06-09T01:22:42.289593Z")</f>
        <v>2055-06-09T01:22:42.289593Z</v>
      </c>
      <c r="S458" s="3" t="str">
        <f ca="1">IFERROR(__xludf.DUMMYFUNCTION("""COMPUTED_VALUE"""),"2055-06-09T01:26:04.600567Z")</f>
        <v>2055-06-09T01:26:04.600567Z</v>
      </c>
      <c r="T458" s="3"/>
      <c r="U458" s="4">
        <f ca="1">IFERROR(__xludf.DUMMYFUNCTION("""COMPUTED_VALUE"""),56773)</f>
        <v>56773</v>
      </c>
      <c r="V458" s="3">
        <f ca="1">IFERROR(__xludf.DUMMYFUNCTION("""COMPUTED_VALUE"""),4.5)</f>
        <v>4.5</v>
      </c>
      <c r="W458" s="3">
        <f ca="1">IFERROR(__xludf.DUMMYFUNCTION("""COMPUTED_VALUE"""),2500)</f>
        <v>2500</v>
      </c>
      <c r="X458" s="3">
        <f ca="1">IFERROR(__xludf.DUMMYFUNCTION("""COMPUTED_VALUE"""),1523)</f>
        <v>1523</v>
      </c>
      <c r="Y458" s="3">
        <f ca="1">IFERROR(__xludf.DUMMYFUNCTION("""COMPUTED_VALUE"""),202)</f>
        <v>202</v>
      </c>
      <c r="Z458" s="3">
        <f ca="1">IFERROR(__xludf.DUMMYFUNCTION("""COMPUTED_VALUE"""),713)</f>
        <v>713</v>
      </c>
      <c r="AA458" s="3">
        <f ca="1">IFERROR(__xludf.DUMMYFUNCTION("""COMPUTED_VALUE"""),608)</f>
        <v>608</v>
      </c>
      <c r="AB458" s="3">
        <f ca="1">IFERROR(__xludf.DUMMYFUNCTION("""COMPUTED_VALUE"""),0)</f>
        <v>0</v>
      </c>
      <c r="AC458" s="3">
        <f ca="1">IFERROR(__xludf.DUMMYFUNCTION("""COMPUTED_VALUE"""),1)</f>
        <v>1</v>
      </c>
      <c r="AD458" s="3" t="str">
        <f ca="1">IFERROR(__xludf.DUMMYFUNCTION("""COMPUTED_VALUE"""),"on time")</f>
        <v>on time</v>
      </c>
      <c r="AE458" s="3" t="str">
        <f ca="1">IFERROR(__xludf.DUMMYFUNCTION("""COMPUTED_VALUE"""),"2055-06-08T21:37:57.959545Z")</f>
        <v>2055-06-08T21:37:57.959545Z</v>
      </c>
      <c r="AF458" s="3" t="str">
        <f ca="1">IFERROR(__xludf.DUMMYFUNCTION("""COMPUTED_VALUE"""),"2055-06-08T21:48:05.687329Z")</f>
        <v>2055-06-08T21:48:05.687329Z</v>
      </c>
      <c r="AG458" s="3" t="str">
        <f ca="1">IFERROR(__xludf.DUMMYFUNCTION("""COMPUTED_VALUE"""),"2055-06-08T21:22:14.433778Z")</f>
        <v>2055-06-08T21:22:14.433778Z</v>
      </c>
      <c r="AH458" s="3" t="str">
        <f ca="1">IFERROR(__xludf.DUMMYFUNCTION("""COMPUTED_VALUE"""),"2055-06-08T21:26:04.600567Z")</f>
        <v>2055-06-08T21:26:04.600567Z</v>
      </c>
      <c r="AI458" s="3">
        <f ca="1">IFERROR(__xludf.DUMMYFUNCTION("""COMPUTED_VALUE"""),4.54)</f>
        <v>4.54</v>
      </c>
      <c r="AJ458" s="3">
        <f ca="1">IFERROR(__xludf.DUMMYFUNCTION("""COMPUTED_VALUE"""),2229)</f>
        <v>2229</v>
      </c>
      <c r="AK458" s="3">
        <f ca="1">IFERROR(__xludf.DUMMYFUNCTION("""COMPUTED_VALUE"""),6580)</f>
        <v>6580</v>
      </c>
      <c r="AL458" s="3"/>
    </row>
    <row r="459" spans="1:38" ht="13">
      <c r="A459" s="3">
        <f ca="1">IFERROR(__xludf.DUMMYFUNCTION("""COMPUTED_VALUE"""),1247)</f>
        <v>1247</v>
      </c>
      <c r="B459" s="3"/>
      <c r="C459" s="3">
        <f ca="1">IFERROR(__xludf.DUMMYFUNCTION("""COMPUTED_VALUE"""),4001)</f>
        <v>4001</v>
      </c>
      <c r="D459" s="3" t="str">
        <f ca="1">IFERROR(__xludf.DUMMYFUNCTION("""COMPUTED_VALUE"""),"Dashattan")</f>
        <v>Dashattan</v>
      </c>
      <c r="E459" s="3" t="str">
        <f ca="1">IFERROR(__xludf.DUMMYFUNCTION("""COMPUTED_VALUE"""),"Galaxy A")</f>
        <v>Galaxy A</v>
      </c>
      <c r="F459" s="3" t="str">
        <f ca="1">IFERROR(__xludf.DUMMYFUNCTION("""COMPUTED_VALUE"""),"Jim")</f>
        <v>Jim</v>
      </c>
      <c r="G459" s="3">
        <f ca="1">IFERROR(__xludf.DUMMYFUNCTION("""COMPUTED_VALUE"""),0)</f>
        <v>0</v>
      </c>
      <c r="H459" s="3" t="str">
        <f ca="1">IFERROR(__xludf.DUMMYFUNCTION("""COMPUTED_VALUE"""),"bicycle")</f>
        <v>bicycle</v>
      </c>
      <c r="I459" s="3" t="str">
        <f ca="1">IFERROR(__xludf.DUMMYFUNCTION("""COMPUTED_VALUE"""),"2055-06-11T15:48:04.726426Z")</f>
        <v>2055-06-11T15:48:04.726426Z</v>
      </c>
      <c r="J459" s="3" t="str">
        <f ca="1">IFERROR(__xludf.DUMMYFUNCTION("""COMPUTED_VALUE"""),"2055-06-11T16:25:57.785Z")</f>
        <v>2055-06-11T16:25:57.785Z</v>
      </c>
      <c r="K459" s="3" t="str">
        <f ca="1">IFERROR(__xludf.DUMMYFUNCTION("""COMPUTED_VALUE"""),"2055-06-11T16:21:18.785Z")</f>
        <v>2055-06-11T16:21:18.785Z</v>
      </c>
      <c r="L459" s="3">
        <f ca="1">IFERROR(__xludf.DUMMYFUNCTION("""COMPUTED_VALUE"""),1)</f>
        <v>1</v>
      </c>
      <c r="M459" s="3">
        <f ca="1">IFERROR(__xludf.DUMMYFUNCTION("""COMPUTED_VALUE"""),0)</f>
        <v>0</v>
      </c>
      <c r="N459" s="3" t="str">
        <f ca="1">IFERROR(__xludf.DUMMYFUNCTION("""COMPUTED_VALUE"""),"2055-06-11T16:00:08.700473Z")</f>
        <v>2055-06-11T16:00:08.700473Z</v>
      </c>
      <c r="O459" s="3" t="str">
        <f ca="1">IFERROR(__xludf.DUMMYFUNCTION("""COMPUTED_VALUE"""),"2055-06-11T16:10:42.931414Z")</f>
        <v>2055-06-11T16:10:42.931414Z</v>
      </c>
      <c r="P459" s="3" t="str">
        <f ca="1">IFERROR(__xludf.DUMMYFUNCTION("""COMPUTED_VALUE"""),"2055-06-11T15:54:14.464811Z")</f>
        <v>2055-06-11T15:54:14.464811Z</v>
      </c>
      <c r="Q459" s="3">
        <f ca="1">IFERROR(__xludf.DUMMYFUNCTION("""COMPUTED_VALUE"""),0)</f>
        <v>0</v>
      </c>
      <c r="R459" s="3" t="str">
        <f ca="1">IFERROR(__xludf.DUMMYFUNCTION("""COMPUTED_VALUE"""),"2055-06-11T15:54:26.963599Z")</f>
        <v>2055-06-11T15:54:26.963599Z</v>
      </c>
      <c r="S459" s="3" t="str">
        <f ca="1">IFERROR(__xludf.DUMMYFUNCTION("""COMPUTED_VALUE"""),"2055-06-11T15:57:01.356551Z")</f>
        <v>2055-06-11T15:57:01.356551Z</v>
      </c>
      <c r="T459" s="3"/>
      <c r="U459" s="4">
        <f ca="1">IFERROR(__xludf.DUMMYFUNCTION("""COMPUTED_VALUE"""),56776)</f>
        <v>56776</v>
      </c>
      <c r="V459" s="3">
        <f ca="1">IFERROR(__xludf.DUMMYFUNCTION("""COMPUTED_VALUE"""),4.6)</f>
        <v>4.5999999999999996</v>
      </c>
      <c r="W459" s="3">
        <f ca="1">IFERROR(__xludf.DUMMYFUNCTION("""COMPUTED_VALUE"""),2500)</f>
        <v>2500</v>
      </c>
      <c r="X459" s="3">
        <f ca="1">IFERROR(__xludf.DUMMYFUNCTION("""COMPUTED_VALUE"""),976)</f>
        <v>976</v>
      </c>
      <c r="Y459" s="3">
        <f ca="1">IFERROR(__xludf.DUMMYFUNCTION("""COMPUTED_VALUE"""),155)</f>
        <v>155</v>
      </c>
      <c r="Z459" s="3">
        <f ca="1">IFERROR(__xludf.DUMMYFUNCTION("""COMPUTED_VALUE"""),187)</f>
        <v>187</v>
      </c>
      <c r="AA459" s="3">
        <f ca="1">IFERROR(__xludf.DUMMYFUNCTION("""COMPUTED_VALUE"""),634)</f>
        <v>634</v>
      </c>
      <c r="AB459" s="3">
        <f ca="1">IFERROR(__xludf.DUMMYFUNCTION("""COMPUTED_VALUE"""),0)</f>
        <v>0</v>
      </c>
      <c r="AC459" s="3">
        <f ca="1">IFERROR(__xludf.DUMMYFUNCTION("""COMPUTED_VALUE"""),2)</f>
        <v>2</v>
      </c>
      <c r="AD459" s="3" t="str">
        <f ca="1">IFERROR(__xludf.DUMMYFUNCTION("""COMPUTED_VALUE"""),"early")</f>
        <v>early</v>
      </c>
      <c r="AE459" s="3" t="str">
        <f ca="1">IFERROR(__xludf.DUMMYFUNCTION("""COMPUTED_VALUE"""),"2055-06-11T12:00:08.700473Z")</f>
        <v>2055-06-11T12:00:08.700473Z</v>
      </c>
      <c r="AF459" s="3" t="str">
        <f ca="1">IFERROR(__xludf.DUMMYFUNCTION("""COMPUTED_VALUE"""),"2055-06-11T12:10:42.931414Z")</f>
        <v>2055-06-11T12:10:42.931414Z</v>
      </c>
      <c r="AG459" s="3" t="str">
        <f ca="1">IFERROR(__xludf.DUMMYFUNCTION("""COMPUTED_VALUE"""),"2055-06-11T11:54:14.464811Z")</f>
        <v>2055-06-11T11:54:14.464811Z</v>
      </c>
      <c r="AH459" s="3" t="str">
        <f ca="1">IFERROR(__xludf.DUMMYFUNCTION("""COMPUTED_VALUE"""),"2055-06-11T11:57:01.356551Z")</f>
        <v>2055-06-11T11:57:01.356551Z</v>
      </c>
      <c r="AI459" s="3">
        <f ca="1">IFERROR(__xludf.DUMMYFUNCTION("""COMPUTED_VALUE"""),4.4375)</f>
        <v>4.4375</v>
      </c>
      <c r="AJ459" s="3">
        <f ca="1">IFERROR(__xludf.DUMMYFUNCTION("""COMPUTED_VALUE"""),24)</f>
        <v>24</v>
      </c>
      <c r="AK459" s="3">
        <f ca="1">IFERROR(__xludf.DUMMYFUNCTION("""COMPUTED_VALUE"""),65)</f>
        <v>65</v>
      </c>
      <c r="AL459" s="3"/>
    </row>
    <row r="460" spans="1:38" ht="13">
      <c r="A460" s="3">
        <f ca="1">IFERROR(__xludf.DUMMYFUNCTION("""COMPUTED_VALUE"""),1397)</f>
        <v>1397</v>
      </c>
      <c r="B460" s="3">
        <f ca="1">IFERROR(__xludf.DUMMYFUNCTION("""COMPUTED_VALUE"""),5)</f>
        <v>5</v>
      </c>
      <c r="C460" s="3">
        <f ca="1">IFERROR(__xludf.DUMMYFUNCTION("""COMPUTED_VALUE"""),4001)</f>
        <v>4001</v>
      </c>
      <c r="D460" s="3" t="str">
        <f ca="1">IFERROR(__xludf.DUMMYFUNCTION("""COMPUTED_VALUE"""),"Dashattan")</f>
        <v>Dashattan</v>
      </c>
      <c r="E460" s="3" t="str">
        <f ca="1">IFERROR(__xludf.DUMMYFUNCTION("""COMPUTED_VALUE"""),"Galaxy A")</f>
        <v>Galaxy A</v>
      </c>
      <c r="F460" s="3" t="str">
        <f ca="1">IFERROR(__xludf.DUMMYFUNCTION("""COMPUTED_VALUE"""),"Rojan")</f>
        <v>Rojan</v>
      </c>
      <c r="G460" s="3">
        <f ca="1">IFERROR(__xludf.DUMMYFUNCTION("""COMPUTED_VALUE"""),0)</f>
        <v>0</v>
      </c>
      <c r="H460" s="3" t="str">
        <f ca="1">IFERROR(__xludf.DUMMYFUNCTION("""COMPUTED_VALUE"""),"bicycle")</f>
        <v>bicycle</v>
      </c>
      <c r="I460" s="3" t="str">
        <f ca="1">IFERROR(__xludf.DUMMYFUNCTION("""COMPUTED_VALUE"""),"2055-06-12T16:04:23.100463Z")</f>
        <v>2055-06-12T16:04:23.100463Z</v>
      </c>
      <c r="J460" s="3" t="str">
        <f ca="1">IFERROR(__xludf.DUMMYFUNCTION("""COMPUTED_VALUE"""),"2055-06-12T16:58:40.184Z")</f>
        <v>2055-06-12T16:58:40.184Z</v>
      </c>
      <c r="K460" s="3" t="str">
        <f ca="1">IFERROR(__xludf.DUMMYFUNCTION("""COMPUTED_VALUE"""),"2055-06-12T16:39:01.184Z")</f>
        <v>2055-06-12T16:39:01.184Z</v>
      </c>
      <c r="L460" s="3">
        <f ca="1">IFERROR(__xludf.DUMMYFUNCTION("""COMPUTED_VALUE"""),1)</f>
        <v>1</v>
      </c>
      <c r="M460" s="3">
        <f ca="1">IFERROR(__xludf.DUMMYFUNCTION("""COMPUTED_VALUE"""),0)</f>
        <v>0</v>
      </c>
      <c r="N460" s="3" t="str">
        <f ca="1">IFERROR(__xludf.DUMMYFUNCTION("""COMPUTED_VALUE"""),"2055-06-12T16:20:17.267967Z")</f>
        <v>2055-06-12T16:20:17.267967Z</v>
      </c>
      <c r="O460" s="3" t="str">
        <f ca="1">IFERROR(__xludf.DUMMYFUNCTION("""COMPUTED_VALUE"""),"2055-06-12T16:35:24.965585Z")</f>
        <v>2055-06-12T16:35:24.965585Z</v>
      </c>
      <c r="P460" s="3" t="str">
        <f ca="1">IFERROR(__xludf.DUMMYFUNCTION("""COMPUTED_VALUE"""),"2055-06-12T16:12:14.278348Z")</f>
        <v>2055-06-12T16:12:14.278348Z</v>
      </c>
      <c r="Q460" s="3">
        <f ca="1">IFERROR(__xludf.DUMMYFUNCTION("""COMPUTED_VALUE"""),0)</f>
        <v>0</v>
      </c>
      <c r="R460" s="3" t="str">
        <f ca="1">IFERROR(__xludf.DUMMYFUNCTION("""COMPUTED_VALUE"""),"2055-06-12T16:12:33.683384Z")</f>
        <v>2055-06-12T16:12:33.683384Z</v>
      </c>
      <c r="S460" s="3" t="str">
        <f ca="1">IFERROR(__xludf.DUMMYFUNCTION("""COMPUTED_VALUE"""),"2055-06-12T16:17:11.377508Z")</f>
        <v>2055-06-12T16:17:11.377508Z</v>
      </c>
      <c r="T460" s="3"/>
      <c r="U460" s="4">
        <f ca="1">IFERROR(__xludf.DUMMYFUNCTION("""COMPUTED_VALUE"""),56777)</f>
        <v>56777</v>
      </c>
      <c r="V460" s="3">
        <f ca="1">IFERROR(__xludf.DUMMYFUNCTION("""COMPUTED_VALUE"""),3.606257911)</f>
        <v>3.6062579110000001</v>
      </c>
      <c r="W460" s="3">
        <f ca="1">IFERROR(__xludf.DUMMYFUNCTION("""COMPUTED_VALUE"""),2500)</f>
        <v>2500</v>
      </c>
      <c r="X460" s="3">
        <f ca="1">IFERROR(__xludf.DUMMYFUNCTION("""COMPUTED_VALUE"""),1371)</f>
        <v>1371</v>
      </c>
      <c r="Y460" s="3">
        <f ca="1">IFERROR(__xludf.DUMMYFUNCTION("""COMPUTED_VALUE"""),278)</f>
        <v>278</v>
      </c>
      <c r="Z460" s="3">
        <f ca="1">IFERROR(__xludf.DUMMYFUNCTION("""COMPUTED_VALUE"""),186)</f>
        <v>186</v>
      </c>
      <c r="AA460" s="3">
        <f ca="1">IFERROR(__xludf.DUMMYFUNCTION("""COMPUTED_VALUE"""),907)</f>
        <v>907</v>
      </c>
      <c r="AB460" s="3">
        <f ca="1">IFERROR(__xludf.DUMMYFUNCTION("""COMPUTED_VALUE"""),0)</f>
        <v>0</v>
      </c>
      <c r="AC460" s="3">
        <f ca="1">IFERROR(__xludf.DUMMYFUNCTION("""COMPUTED_VALUE"""),3)</f>
        <v>3</v>
      </c>
      <c r="AD460" s="3" t="str">
        <f ca="1">IFERROR(__xludf.DUMMYFUNCTION("""COMPUTED_VALUE"""),"on time")</f>
        <v>on time</v>
      </c>
      <c r="AE460" s="3" t="str">
        <f ca="1">IFERROR(__xludf.DUMMYFUNCTION("""COMPUTED_VALUE"""),"2055-06-12T12:20:17.267967Z")</f>
        <v>2055-06-12T12:20:17.267967Z</v>
      </c>
      <c r="AF460" s="3" t="str">
        <f ca="1">IFERROR(__xludf.DUMMYFUNCTION("""COMPUTED_VALUE"""),"2055-06-12T12:35:24.965585Z")</f>
        <v>2055-06-12T12:35:24.965585Z</v>
      </c>
      <c r="AG460" s="3" t="str">
        <f ca="1">IFERROR(__xludf.DUMMYFUNCTION("""COMPUTED_VALUE"""),"2055-06-12T12:12:14.278348Z")</f>
        <v>2055-06-12T12:12:14.278348Z</v>
      </c>
      <c r="AH460" s="3" t="str">
        <f ca="1">IFERROR(__xludf.DUMMYFUNCTION("""COMPUTED_VALUE"""),"2055-06-12T12:17:11.377508Z")</f>
        <v>2055-06-12T12:17:11.377508Z</v>
      </c>
      <c r="AI460" s="3">
        <f ca="1">IFERROR(__xludf.DUMMYFUNCTION("""COMPUTED_VALUE"""),4.58)</f>
        <v>4.58</v>
      </c>
      <c r="AJ460" s="3">
        <f ca="1">IFERROR(__xludf.DUMMYFUNCTION("""COMPUTED_VALUE"""),254)</f>
        <v>254</v>
      </c>
      <c r="AK460" s="3">
        <f ca="1">IFERROR(__xludf.DUMMYFUNCTION("""COMPUTED_VALUE"""),788)</f>
        <v>788</v>
      </c>
      <c r="AL460" s="3">
        <f ca="1">IFERROR(__xludf.DUMMYFUNCTION("""COMPUTED_VALUE"""),9)</f>
        <v>9</v>
      </c>
    </row>
    <row r="461" spans="1:38" ht="13">
      <c r="A461" s="3">
        <f ca="1">IFERROR(__xludf.DUMMYFUNCTION("""COMPUTED_VALUE"""),806)</f>
        <v>806</v>
      </c>
      <c r="B461" s="3"/>
      <c r="C461" s="3">
        <f ca="1">IFERROR(__xludf.DUMMYFUNCTION("""COMPUTED_VALUE"""),4050)</f>
        <v>4050</v>
      </c>
      <c r="D461" s="3" t="str">
        <f ca="1">IFERROR(__xludf.DUMMYFUNCTION("""COMPUTED_VALUE"""),"Doorlanta")</f>
        <v>Doorlanta</v>
      </c>
      <c r="E461" s="3" t="str">
        <f ca="1">IFERROR(__xludf.DUMMYFUNCTION("""COMPUTED_VALUE"""),"Galaxy A")</f>
        <v>Galaxy A</v>
      </c>
      <c r="F461" s="3" t="str">
        <f ca="1">IFERROR(__xludf.DUMMYFUNCTION("""COMPUTED_VALUE"""),"Hanna")</f>
        <v>Hanna</v>
      </c>
      <c r="G461" s="3">
        <f ca="1">IFERROR(__xludf.DUMMYFUNCTION("""COMPUTED_VALUE"""),0)</f>
        <v>0</v>
      </c>
      <c r="H461" s="3" t="str">
        <f ca="1">IFERROR(__xludf.DUMMYFUNCTION("""COMPUTED_VALUE"""),"car")</f>
        <v>car</v>
      </c>
      <c r="I461" s="3" t="str">
        <f ca="1">IFERROR(__xludf.DUMMYFUNCTION("""COMPUTED_VALUE"""),"2055-06-07T00:28:55.848911Z")</f>
        <v>2055-06-07T00:28:55.848911Z</v>
      </c>
      <c r="J461" s="3" t="str">
        <f ca="1">IFERROR(__xludf.DUMMYFUNCTION("""COMPUTED_VALUE"""),"2055-06-07T01:30:15.937Z")</f>
        <v>2055-06-07T01:30:15.937Z</v>
      </c>
      <c r="K461" s="3" t="str">
        <f ca="1">IFERROR(__xludf.DUMMYFUNCTION("""COMPUTED_VALUE"""),"2055-06-07T01:10:08.937Z")</f>
        <v>2055-06-07T01:10:08.937Z</v>
      </c>
      <c r="L461" s="3">
        <f ca="1">IFERROR(__xludf.DUMMYFUNCTION("""COMPUTED_VALUE"""),1)</f>
        <v>1</v>
      </c>
      <c r="M461" s="3">
        <f ca="1">IFERROR(__xludf.DUMMYFUNCTION("""COMPUTED_VALUE"""),0)</f>
        <v>0</v>
      </c>
      <c r="N461" s="3" t="str">
        <f ca="1">IFERROR(__xludf.DUMMYFUNCTION("""COMPUTED_VALUE"""),"2055-06-07T00:45:34.837723Z")</f>
        <v>2055-06-07T00:45:34.837723Z</v>
      </c>
      <c r="O461" s="3" t="str">
        <f ca="1">IFERROR(__xludf.DUMMYFUNCTION("""COMPUTED_VALUE"""),"2055-06-07T00:55:24.02814Z")</f>
        <v>2055-06-07T00:55:24.02814Z</v>
      </c>
      <c r="P461" s="3" t="str">
        <f ca="1">IFERROR(__xludf.DUMMYFUNCTION("""COMPUTED_VALUE"""),"2055-06-07T00:36:07.256054Z")</f>
        <v>2055-06-07T00:36:07.256054Z</v>
      </c>
      <c r="Q461" s="3">
        <f ca="1">IFERROR(__xludf.DUMMYFUNCTION("""COMPUTED_VALUE"""),0)</f>
        <v>0</v>
      </c>
      <c r="R461" s="3" t="str">
        <f ca="1">IFERROR(__xludf.DUMMYFUNCTION("""COMPUTED_VALUE"""),"2055-06-07T00:36:15.522763Z")</f>
        <v>2055-06-07T00:36:15.522763Z</v>
      </c>
      <c r="S461" s="3" t="str">
        <f ca="1">IFERROR(__xludf.DUMMYFUNCTION("""COMPUTED_VALUE"""),"2055-06-07T00:41:59.682642Z")</f>
        <v>2055-06-07T00:41:59.682642Z</v>
      </c>
      <c r="T461" s="3"/>
      <c r="U461" s="4">
        <f ca="1">IFERROR(__xludf.DUMMYFUNCTION("""COMPUTED_VALUE"""),56771)</f>
        <v>56771</v>
      </c>
      <c r="V461" s="3">
        <f ca="1">IFERROR(__xludf.DUMMYFUNCTION("""COMPUTED_VALUE"""),4.8)</f>
        <v>4.8</v>
      </c>
      <c r="W461" s="3">
        <f ca="1">IFERROR(__xludf.DUMMYFUNCTION("""COMPUTED_VALUE"""),2500)</f>
        <v>2500</v>
      </c>
      <c r="X461" s="3">
        <f ca="1">IFERROR(__xludf.DUMMYFUNCTION("""COMPUTED_VALUE"""),1149)</f>
        <v>1149</v>
      </c>
      <c r="Y461" s="3">
        <f ca="1">IFERROR(__xludf.DUMMYFUNCTION("""COMPUTED_VALUE"""),344)</f>
        <v>344</v>
      </c>
      <c r="Z461" s="3">
        <f ca="1">IFERROR(__xludf.DUMMYFUNCTION("""COMPUTED_VALUE"""),215)</f>
        <v>215</v>
      </c>
      <c r="AA461" s="3">
        <f ca="1">IFERROR(__xludf.DUMMYFUNCTION("""COMPUTED_VALUE"""),590)</f>
        <v>590</v>
      </c>
      <c r="AB461" s="3">
        <f ca="1">IFERROR(__xludf.DUMMYFUNCTION("""COMPUTED_VALUE"""),0)</f>
        <v>0</v>
      </c>
      <c r="AC461" s="3">
        <f ca="1">IFERROR(__xludf.DUMMYFUNCTION("""COMPUTED_VALUE"""),4)</f>
        <v>4</v>
      </c>
      <c r="AD461" s="3" t="str">
        <f ca="1">IFERROR(__xludf.DUMMYFUNCTION("""COMPUTED_VALUE"""),"on time")</f>
        <v>on time</v>
      </c>
      <c r="AE461" s="3" t="str">
        <f ca="1">IFERROR(__xludf.DUMMYFUNCTION("""COMPUTED_VALUE"""),"2055-06-06T20:45:34.837723Z")</f>
        <v>2055-06-06T20:45:34.837723Z</v>
      </c>
      <c r="AF461" s="3" t="str">
        <f ca="1">IFERROR(__xludf.DUMMYFUNCTION("""COMPUTED_VALUE"""),"2055-06-06T20:55:24.02814Z")</f>
        <v>2055-06-06T20:55:24.02814Z</v>
      </c>
      <c r="AG461" s="3" t="str">
        <f ca="1">IFERROR(__xludf.DUMMYFUNCTION("""COMPUTED_VALUE"""),"2055-06-06T20:36:07.256054Z")</f>
        <v>2055-06-06T20:36:07.256054Z</v>
      </c>
      <c r="AH461" s="3" t="str">
        <f ca="1">IFERROR(__xludf.DUMMYFUNCTION("""COMPUTED_VALUE"""),"2055-06-06T20:41:59.682642Z")</f>
        <v>2055-06-06T20:41:59.682642Z</v>
      </c>
      <c r="AI461" s="3">
        <f ca="1">IFERROR(__xludf.DUMMYFUNCTION("""COMPUTED_VALUE"""),4.79)</f>
        <v>4.79</v>
      </c>
      <c r="AJ461" s="3">
        <f ca="1">IFERROR(__xludf.DUMMYFUNCTION("""COMPUTED_VALUE"""),1007)</f>
        <v>1007</v>
      </c>
      <c r="AK461" s="3">
        <f ca="1">IFERROR(__xludf.DUMMYFUNCTION("""COMPUTED_VALUE"""),2899)</f>
        <v>2899</v>
      </c>
      <c r="AL461" s="3">
        <f ca="1">IFERROR(__xludf.DUMMYFUNCTION("""COMPUTED_VALUE"""),1301)</f>
        <v>1301</v>
      </c>
    </row>
    <row r="462" spans="1:38" ht="13">
      <c r="A462" s="3">
        <f ca="1">IFERROR(__xludf.DUMMYFUNCTION("""COMPUTED_VALUE"""),521)</f>
        <v>521</v>
      </c>
      <c r="B462" s="3"/>
      <c r="C462" s="3">
        <f ca="1">IFERROR(__xludf.DUMMYFUNCTION("""COMPUTED_VALUE"""),4050)</f>
        <v>4050</v>
      </c>
      <c r="D462" s="3" t="str">
        <f ca="1">IFERROR(__xludf.DUMMYFUNCTION("""COMPUTED_VALUE"""),"Doorlanta")</f>
        <v>Doorlanta</v>
      </c>
      <c r="E462" s="3" t="str">
        <f ca="1">IFERROR(__xludf.DUMMYFUNCTION("""COMPUTED_VALUE"""),"Galaxy A")</f>
        <v>Galaxy A</v>
      </c>
      <c r="F462" s="3" t="str">
        <f ca="1">IFERROR(__xludf.DUMMYFUNCTION("""COMPUTED_VALUE"""),"Katelynn")</f>
        <v>Katelynn</v>
      </c>
      <c r="G462" s="3">
        <f ca="1">IFERROR(__xludf.DUMMYFUNCTION("""COMPUTED_VALUE"""),0)</f>
        <v>0</v>
      </c>
      <c r="H462" s="3" t="str">
        <f ca="1">IFERROR(__xludf.DUMMYFUNCTION("""COMPUTED_VALUE"""),"car")</f>
        <v>car</v>
      </c>
      <c r="I462" s="3" t="str">
        <f ca="1">IFERROR(__xludf.DUMMYFUNCTION("""COMPUTED_VALUE"""),"2055-06-05T01:07:55.893782Z")</f>
        <v>2055-06-05T01:07:55.893782Z</v>
      </c>
      <c r="J462" s="3" t="str">
        <f ca="1">IFERROR(__xludf.DUMMYFUNCTION("""COMPUTED_VALUE"""),"2055-06-05T01:59:22.967Z")</f>
        <v>2055-06-05T01:59:22.967Z</v>
      </c>
      <c r="K462" s="3" t="str">
        <f ca="1">IFERROR(__xludf.DUMMYFUNCTION("""COMPUTED_VALUE"""),"2055-06-05T01:54:15.967Z")</f>
        <v>2055-06-05T01:54:15.967Z</v>
      </c>
      <c r="L462" s="3">
        <f ca="1">IFERROR(__xludf.DUMMYFUNCTION("""COMPUTED_VALUE"""),1)</f>
        <v>1</v>
      </c>
      <c r="M462" s="3">
        <f ca="1">IFERROR(__xludf.DUMMYFUNCTION("""COMPUTED_VALUE"""),0)</f>
        <v>0</v>
      </c>
      <c r="N462" s="3" t="str">
        <f ca="1">IFERROR(__xludf.DUMMYFUNCTION("""COMPUTED_VALUE"""),"2055-06-05T01:45:03.003171Z")</f>
        <v>2055-06-05T01:45:03.003171Z</v>
      </c>
      <c r="O462" s="3" t="str">
        <f ca="1">IFERROR(__xludf.DUMMYFUNCTION("""COMPUTED_VALUE"""),"2055-06-05T01:59:59.6263Z")</f>
        <v>2055-06-05T01:59:59.6263Z</v>
      </c>
      <c r="P462" s="3" t="str">
        <f ca="1">IFERROR(__xludf.DUMMYFUNCTION("""COMPUTED_VALUE"""),"2055-06-05T01:30:07.431107Z")</f>
        <v>2055-06-05T01:30:07.431107Z</v>
      </c>
      <c r="Q462" s="3">
        <f ca="1">IFERROR(__xludf.DUMMYFUNCTION("""COMPUTED_VALUE"""),0)</f>
        <v>0</v>
      </c>
      <c r="R462" s="3" t="str">
        <f ca="1">IFERROR(__xludf.DUMMYFUNCTION("""COMPUTED_VALUE"""),"2055-06-05T01:31:10.506127Z")</f>
        <v>2055-06-05T01:31:10.506127Z</v>
      </c>
      <c r="S462" s="3" t="str">
        <f ca="1">IFERROR(__xludf.DUMMYFUNCTION("""COMPUTED_VALUE"""),"2055-06-05T01:39:50.139672Z")</f>
        <v>2055-06-05T01:39:50.139672Z</v>
      </c>
      <c r="T462" s="3"/>
      <c r="U462" s="4">
        <f ca="1">IFERROR(__xludf.DUMMYFUNCTION("""COMPUTED_VALUE"""),56769)</f>
        <v>56769</v>
      </c>
      <c r="V462" s="3">
        <f ca="1">IFERROR(__xludf.DUMMYFUNCTION("""COMPUTED_VALUE"""),4.6)</f>
        <v>4.5999999999999996</v>
      </c>
      <c r="W462" s="3">
        <f ca="1">IFERROR(__xludf.DUMMYFUNCTION("""COMPUTED_VALUE"""),2500)</f>
        <v>2500</v>
      </c>
      <c r="X462" s="3">
        <f ca="1">IFERROR(__xludf.DUMMYFUNCTION("""COMPUTED_VALUE"""),1729)</f>
        <v>1729</v>
      </c>
      <c r="Y462" s="3">
        <f ca="1">IFERROR(__xludf.DUMMYFUNCTION("""COMPUTED_VALUE"""),520)</f>
        <v>520</v>
      </c>
      <c r="Z462" s="3">
        <f ca="1">IFERROR(__xludf.DUMMYFUNCTION("""COMPUTED_VALUE"""),313)</f>
        <v>313</v>
      </c>
      <c r="AA462" s="3">
        <f ca="1">IFERROR(__xludf.DUMMYFUNCTION("""COMPUTED_VALUE"""),896)</f>
        <v>896</v>
      </c>
      <c r="AB462" s="3">
        <f ca="1">IFERROR(__xludf.DUMMYFUNCTION("""COMPUTED_VALUE"""),0)</f>
        <v>0</v>
      </c>
      <c r="AC462" s="3">
        <f ca="1">IFERROR(__xludf.DUMMYFUNCTION("""COMPUTED_VALUE"""),3)</f>
        <v>3</v>
      </c>
      <c r="AD462" s="3" t="str">
        <f ca="1">IFERROR(__xludf.DUMMYFUNCTION("""COMPUTED_VALUE"""),"late")</f>
        <v>late</v>
      </c>
      <c r="AE462" s="3" t="str">
        <f ca="1">IFERROR(__xludf.DUMMYFUNCTION("""COMPUTED_VALUE"""),"2055-06-04T21:45:03.003171Z")</f>
        <v>2055-06-04T21:45:03.003171Z</v>
      </c>
      <c r="AF462" s="3" t="str">
        <f ca="1">IFERROR(__xludf.DUMMYFUNCTION("""COMPUTED_VALUE"""),"2055-06-04T21:59:59.6263Z")</f>
        <v>2055-06-04T21:59:59.6263Z</v>
      </c>
      <c r="AG462" s="3" t="str">
        <f ca="1">IFERROR(__xludf.DUMMYFUNCTION("""COMPUTED_VALUE"""),"2055-06-04T21:30:07.431107Z")</f>
        <v>2055-06-04T21:30:07.431107Z</v>
      </c>
      <c r="AH462" s="3" t="str">
        <f ca="1">IFERROR(__xludf.DUMMYFUNCTION("""COMPUTED_VALUE"""),"2055-06-04T21:39:50.139672Z")</f>
        <v>2055-06-04T21:39:50.139672Z</v>
      </c>
      <c r="AI462" s="3">
        <f ca="1">IFERROR(__xludf.DUMMYFUNCTION("""COMPUTED_VALUE"""),4.7)</f>
        <v>4.7</v>
      </c>
      <c r="AJ462" s="3">
        <f ca="1">IFERROR(__xludf.DUMMYFUNCTION("""COMPUTED_VALUE"""),1261)</f>
        <v>1261</v>
      </c>
      <c r="AK462" s="3">
        <f ca="1">IFERROR(__xludf.DUMMYFUNCTION("""COMPUTED_VALUE"""),3264)</f>
        <v>3264</v>
      </c>
      <c r="AL462" s="3">
        <f ca="1">IFERROR(__xludf.DUMMYFUNCTION("""COMPUTED_VALUE"""),232)</f>
        <v>232</v>
      </c>
    </row>
    <row r="463" spans="1:38" ht="13">
      <c r="A463" s="3">
        <f ca="1">IFERROR(__xludf.DUMMYFUNCTION("""COMPUTED_VALUE"""),608)</f>
        <v>608</v>
      </c>
      <c r="B463" s="3">
        <f ca="1">IFERROR(__xludf.DUMMYFUNCTION("""COMPUTED_VALUE"""),5)</f>
        <v>5</v>
      </c>
      <c r="C463" s="3">
        <f ca="1">IFERROR(__xludf.DUMMYFUNCTION("""COMPUTED_VALUE"""),4050)</f>
        <v>4050</v>
      </c>
      <c r="D463" s="3" t="str">
        <f ca="1">IFERROR(__xludf.DUMMYFUNCTION("""COMPUTED_VALUE"""),"Doorlanta")</f>
        <v>Doorlanta</v>
      </c>
      <c r="E463" s="3" t="str">
        <f ca="1">IFERROR(__xludf.DUMMYFUNCTION("""COMPUTED_VALUE"""),"Galaxy A")</f>
        <v>Galaxy A</v>
      </c>
      <c r="F463" s="3" t="str">
        <f ca="1">IFERROR(__xludf.DUMMYFUNCTION("""COMPUTED_VALUE"""),"Katelynn")</f>
        <v>Katelynn</v>
      </c>
      <c r="G463" s="3">
        <f ca="1">IFERROR(__xludf.DUMMYFUNCTION("""COMPUTED_VALUE"""),0)</f>
        <v>0</v>
      </c>
      <c r="H463" s="3" t="str">
        <f ca="1">IFERROR(__xludf.DUMMYFUNCTION("""COMPUTED_VALUE"""),"car")</f>
        <v>car</v>
      </c>
      <c r="I463" s="3" t="str">
        <f ca="1">IFERROR(__xludf.DUMMYFUNCTION("""COMPUTED_VALUE"""),"2055-06-05T20:20:41.526163Z")</f>
        <v>2055-06-05T20:20:41.526163Z</v>
      </c>
      <c r="J463" s="3" t="str">
        <f ca="1">IFERROR(__xludf.DUMMYFUNCTION("""COMPUTED_VALUE"""),"2055-06-05T21:25:32.666Z")</f>
        <v>2055-06-05T21:25:32.666Z</v>
      </c>
      <c r="K463" s="3" t="str">
        <f ca="1">IFERROR(__xludf.DUMMYFUNCTION("""COMPUTED_VALUE"""),"2055-06-05T21:06:39.666Z")</f>
        <v>2055-06-05T21:06:39.666Z</v>
      </c>
      <c r="L463" s="3">
        <f ca="1">IFERROR(__xludf.DUMMYFUNCTION("""COMPUTED_VALUE"""),1)</f>
        <v>1</v>
      </c>
      <c r="M463" s="3">
        <f ca="1">IFERROR(__xludf.DUMMYFUNCTION("""COMPUTED_VALUE"""),0)</f>
        <v>0</v>
      </c>
      <c r="N463" s="3" t="str">
        <f ca="1">IFERROR(__xludf.DUMMYFUNCTION("""COMPUTED_VALUE"""),"2055-06-05T20:29:53.442912Z")</f>
        <v>2055-06-05T20:29:53.442912Z</v>
      </c>
      <c r="O463" s="3" t="str">
        <f ca="1">IFERROR(__xludf.DUMMYFUNCTION("""COMPUTED_VALUE"""),"2055-06-05T20:47:32.687009Z")</f>
        <v>2055-06-05T20:47:32.687009Z</v>
      </c>
      <c r="P463" s="3" t="str">
        <f ca="1">IFERROR(__xludf.DUMMYFUNCTION("""COMPUTED_VALUE"""),"2055-06-05T20:20:47.467819Z")</f>
        <v>2055-06-05T20:20:47.467819Z</v>
      </c>
      <c r="Q463" s="3">
        <f ca="1">IFERROR(__xludf.DUMMYFUNCTION("""COMPUTED_VALUE"""),0)</f>
        <v>0</v>
      </c>
      <c r="R463" s="3" t="str">
        <f ca="1">IFERROR(__xludf.DUMMYFUNCTION("""COMPUTED_VALUE"""),"2055-06-05T20:21:13.400821Z")</f>
        <v>2055-06-05T20:21:13.400821Z</v>
      </c>
      <c r="S463" s="3" t="str">
        <f ca="1">IFERROR(__xludf.DUMMYFUNCTION("""COMPUTED_VALUE"""),"2055-06-05T20:28:34.491173Z")</f>
        <v>2055-06-05T20:28:34.491173Z</v>
      </c>
      <c r="T463" s="3"/>
      <c r="U463" s="4">
        <f ca="1">IFERROR(__xludf.DUMMYFUNCTION("""COMPUTED_VALUE"""),56770)</f>
        <v>56770</v>
      </c>
      <c r="V463" s="3">
        <f ca="1">IFERROR(__xludf.DUMMYFUNCTION("""COMPUTED_VALUE"""),4.7)</f>
        <v>4.7</v>
      </c>
      <c r="W463" s="3">
        <f ca="1">IFERROR(__xludf.DUMMYFUNCTION("""COMPUTED_VALUE"""),2500)</f>
        <v>2500</v>
      </c>
      <c r="X463" s="3">
        <f ca="1">IFERROR(__xludf.DUMMYFUNCTION("""COMPUTED_VALUE"""),1579)</f>
        <v>1579</v>
      </c>
      <c r="Y463" s="3">
        <f ca="1">IFERROR(__xludf.DUMMYFUNCTION("""COMPUTED_VALUE"""),441)</f>
        <v>441</v>
      </c>
      <c r="Z463" s="3">
        <f ca="1">IFERROR(__xludf.DUMMYFUNCTION("""COMPUTED_VALUE"""),79)</f>
        <v>79</v>
      </c>
      <c r="AA463" s="3">
        <f ca="1">IFERROR(__xludf.DUMMYFUNCTION("""COMPUTED_VALUE"""),1059)</f>
        <v>1059</v>
      </c>
      <c r="AB463" s="3">
        <f ca="1">IFERROR(__xludf.DUMMYFUNCTION("""COMPUTED_VALUE"""),0)</f>
        <v>0</v>
      </c>
      <c r="AC463" s="3">
        <f ca="1">IFERROR(__xludf.DUMMYFUNCTION("""COMPUTED_VALUE"""),2)</f>
        <v>2</v>
      </c>
      <c r="AD463" s="3" t="str">
        <f ca="1">IFERROR(__xludf.DUMMYFUNCTION("""COMPUTED_VALUE"""),"early")</f>
        <v>early</v>
      </c>
      <c r="AE463" s="3" t="str">
        <f ca="1">IFERROR(__xludf.DUMMYFUNCTION("""COMPUTED_VALUE"""),"2055-06-05T16:29:53.442912Z")</f>
        <v>2055-06-05T16:29:53.442912Z</v>
      </c>
      <c r="AF463" s="3" t="str">
        <f ca="1">IFERROR(__xludf.DUMMYFUNCTION("""COMPUTED_VALUE"""),"2055-06-05T16:47:32.687009Z")</f>
        <v>2055-06-05T16:47:32.687009Z</v>
      </c>
      <c r="AG463" s="3" t="str">
        <f ca="1">IFERROR(__xludf.DUMMYFUNCTION("""COMPUTED_VALUE"""),"2055-06-05T16:20:47.467819Z")</f>
        <v>2055-06-05T16:20:47.467819Z</v>
      </c>
      <c r="AH463" s="3" t="str">
        <f ca="1">IFERROR(__xludf.DUMMYFUNCTION("""COMPUTED_VALUE"""),"2055-06-05T16:28:34.491173Z")</f>
        <v>2055-06-05T16:28:34.491173Z</v>
      </c>
      <c r="AI463" s="3">
        <f ca="1">IFERROR(__xludf.DUMMYFUNCTION("""COMPUTED_VALUE"""),4.7)</f>
        <v>4.7</v>
      </c>
      <c r="AJ463" s="3">
        <f ca="1">IFERROR(__xludf.DUMMYFUNCTION("""COMPUTED_VALUE"""),1261)</f>
        <v>1261</v>
      </c>
      <c r="AK463" s="3">
        <f ca="1">IFERROR(__xludf.DUMMYFUNCTION("""COMPUTED_VALUE"""),3264)</f>
        <v>3264</v>
      </c>
      <c r="AL463" s="3">
        <f ca="1">IFERROR(__xludf.DUMMYFUNCTION("""COMPUTED_VALUE"""),232)</f>
        <v>232</v>
      </c>
    </row>
    <row r="464" spans="1:38" ht="13">
      <c r="A464" s="3">
        <f ca="1">IFERROR(__xludf.DUMMYFUNCTION("""COMPUTED_VALUE"""),650)</f>
        <v>650</v>
      </c>
      <c r="B464" s="3">
        <f ca="1">IFERROR(__xludf.DUMMYFUNCTION("""COMPUTED_VALUE"""),5)</f>
        <v>5</v>
      </c>
      <c r="C464" s="3">
        <f ca="1">IFERROR(__xludf.DUMMYFUNCTION("""COMPUTED_VALUE"""),4050)</f>
        <v>4050</v>
      </c>
      <c r="D464" s="3" t="str">
        <f ca="1">IFERROR(__xludf.DUMMYFUNCTION("""COMPUTED_VALUE"""),"Doorlanta")</f>
        <v>Doorlanta</v>
      </c>
      <c r="E464" s="3" t="str">
        <f ca="1">IFERROR(__xludf.DUMMYFUNCTION("""COMPUTED_VALUE"""),"Galaxy A")</f>
        <v>Galaxy A</v>
      </c>
      <c r="F464" s="3" t="str">
        <f ca="1">IFERROR(__xludf.DUMMYFUNCTION("""COMPUTED_VALUE"""),"Elon")</f>
        <v>Elon</v>
      </c>
      <c r="G464" s="3">
        <f ca="1">IFERROR(__xludf.DUMMYFUNCTION("""COMPUTED_VALUE"""),0)</f>
        <v>0</v>
      </c>
      <c r="H464" s="3" t="str">
        <f ca="1">IFERROR(__xludf.DUMMYFUNCTION("""COMPUTED_VALUE"""),"car")</f>
        <v>car</v>
      </c>
      <c r="I464" s="3" t="str">
        <f ca="1">IFERROR(__xludf.DUMMYFUNCTION("""COMPUTED_VALUE"""),"2055-06-05T22:26:06.878478Z")</f>
        <v>2055-06-05T22:26:06.878478Z</v>
      </c>
      <c r="J464" s="3" t="str">
        <f ca="1">IFERROR(__xludf.DUMMYFUNCTION("""COMPUTED_VALUE"""),"2055-06-05T23:59:43.94Z")</f>
        <v>2055-06-05T23:59:43.94Z</v>
      </c>
      <c r="K464" s="3" t="str">
        <f ca="1">IFERROR(__xludf.DUMMYFUNCTION("""COMPUTED_VALUE"""),"2055-06-05T23:39:36.94Z")</f>
        <v>2055-06-05T23:39:36.94Z</v>
      </c>
      <c r="L464" s="3">
        <f ca="1">IFERROR(__xludf.DUMMYFUNCTION("""COMPUTED_VALUE"""),1)</f>
        <v>1</v>
      </c>
      <c r="M464" s="3">
        <f ca="1">IFERROR(__xludf.DUMMYFUNCTION("""COMPUTED_VALUE"""),0)</f>
        <v>0</v>
      </c>
      <c r="N464" s="3" t="str">
        <f ca="1">IFERROR(__xludf.DUMMYFUNCTION("""COMPUTED_VALUE"""),"2055-06-05T23:18:47.179885Z")</f>
        <v>2055-06-05T23:18:47.179885Z</v>
      </c>
      <c r="O464" s="3" t="str">
        <f ca="1">IFERROR(__xludf.DUMMYFUNCTION("""COMPUTED_VALUE"""),"2055-06-05T23:35:40.050643Z")</f>
        <v>2055-06-05T23:35:40.050643Z</v>
      </c>
      <c r="P464" s="3" t="str">
        <f ca="1">IFERROR(__xludf.DUMMYFUNCTION("""COMPUTED_VALUE"""),"2055-06-05T22:39:47.949791Z")</f>
        <v>2055-06-05T22:39:47.949791Z</v>
      </c>
      <c r="Q464" s="3">
        <f ca="1">IFERROR(__xludf.DUMMYFUNCTION("""COMPUTED_VALUE"""),0)</f>
        <v>0</v>
      </c>
      <c r="R464" s="3" t="str">
        <f ca="1">IFERROR(__xludf.DUMMYFUNCTION("""COMPUTED_VALUE"""),"2055-06-05T22:40:02.827851Z")</f>
        <v>2055-06-05T22:40:02.827851Z</v>
      </c>
      <c r="S464" s="3" t="str">
        <f ca="1">IFERROR(__xludf.DUMMYFUNCTION("""COMPUTED_VALUE"""),"2055-06-05T22:53:14.419498Z")</f>
        <v>2055-06-05T22:53:14.419498Z</v>
      </c>
      <c r="T464" s="3"/>
      <c r="U464" s="4">
        <f ca="1">IFERROR(__xludf.DUMMYFUNCTION("""COMPUTED_VALUE"""),56770)</f>
        <v>56770</v>
      </c>
      <c r="V464" s="3">
        <f ca="1">IFERROR(__xludf.DUMMYFUNCTION("""COMPUTED_VALUE"""),4.2)</f>
        <v>4.2</v>
      </c>
      <c r="W464" s="3">
        <f ca="1">IFERROR(__xludf.DUMMYFUNCTION("""COMPUTED_VALUE"""),2500)</f>
        <v>2500</v>
      </c>
      <c r="X464" s="3">
        <f ca="1">IFERROR(__xludf.DUMMYFUNCTION("""COMPUTED_VALUE"""),3338)</f>
        <v>3338</v>
      </c>
      <c r="Y464" s="3">
        <f ca="1">IFERROR(__xludf.DUMMYFUNCTION("""COMPUTED_VALUE"""),792)</f>
        <v>792</v>
      </c>
      <c r="Z464" s="3">
        <f ca="1">IFERROR(__xludf.DUMMYFUNCTION("""COMPUTED_VALUE"""),1533)</f>
        <v>1533</v>
      </c>
      <c r="AA464" s="3">
        <f ca="1">IFERROR(__xludf.DUMMYFUNCTION("""COMPUTED_VALUE"""),1013)</f>
        <v>1013</v>
      </c>
      <c r="AB464" s="3">
        <f ca="1">IFERROR(__xludf.DUMMYFUNCTION("""COMPUTED_VALUE"""),0)</f>
        <v>0</v>
      </c>
      <c r="AC464" s="3">
        <f ca="1">IFERROR(__xludf.DUMMYFUNCTION("""COMPUTED_VALUE"""),3)</f>
        <v>3</v>
      </c>
      <c r="AD464" s="3" t="str">
        <f ca="1">IFERROR(__xludf.DUMMYFUNCTION("""COMPUTED_VALUE"""),"early")</f>
        <v>early</v>
      </c>
      <c r="AE464" s="3" t="str">
        <f ca="1">IFERROR(__xludf.DUMMYFUNCTION("""COMPUTED_VALUE"""),"2055-06-05T19:18:47.179885Z")</f>
        <v>2055-06-05T19:18:47.179885Z</v>
      </c>
      <c r="AF464" s="3" t="str">
        <f ca="1">IFERROR(__xludf.DUMMYFUNCTION("""COMPUTED_VALUE"""),"2055-06-05T19:35:40.050643Z")</f>
        <v>2055-06-05T19:35:40.050643Z</v>
      </c>
      <c r="AG464" s="3" t="str">
        <f ca="1">IFERROR(__xludf.DUMMYFUNCTION("""COMPUTED_VALUE"""),"2055-06-05T18:39:47.949791Z")</f>
        <v>2055-06-05T18:39:47.949791Z</v>
      </c>
      <c r="AH464" s="3" t="str">
        <f ca="1">IFERROR(__xludf.DUMMYFUNCTION("""COMPUTED_VALUE"""),"2055-06-05T18:53:14.419498Z")</f>
        <v>2055-06-05T18:53:14.419498Z</v>
      </c>
      <c r="AI464" s="3">
        <f ca="1">IFERROR(__xludf.DUMMYFUNCTION("""COMPUTED_VALUE"""),4.62)</f>
        <v>4.62</v>
      </c>
      <c r="AJ464" s="3">
        <f ca="1">IFERROR(__xludf.DUMMYFUNCTION("""COMPUTED_VALUE"""),259)</f>
        <v>259</v>
      </c>
      <c r="AK464" s="3">
        <f ca="1">IFERROR(__xludf.DUMMYFUNCTION("""COMPUTED_VALUE"""),604)</f>
        <v>604</v>
      </c>
      <c r="AL464" s="3">
        <f ca="1">IFERROR(__xludf.DUMMYFUNCTION("""COMPUTED_VALUE"""),21)</f>
        <v>21</v>
      </c>
    </row>
    <row r="465" spans="1:38" ht="13">
      <c r="A465" s="3">
        <f ca="1">IFERROR(__xludf.DUMMYFUNCTION("""COMPUTED_VALUE"""),1225)</f>
        <v>1225</v>
      </c>
      <c r="B465" s="3"/>
      <c r="C465" s="3">
        <f ca="1">IFERROR(__xludf.DUMMYFUNCTION("""COMPUTED_VALUE"""),4001)</f>
        <v>4001</v>
      </c>
      <c r="D465" s="3" t="str">
        <f ca="1">IFERROR(__xludf.DUMMYFUNCTION("""COMPUTED_VALUE"""),"Dashattan")</f>
        <v>Dashattan</v>
      </c>
      <c r="E465" s="3" t="str">
        <f ca="1">IFERROR(__xludf.DUMMYFUNCTION("""COMPUTED_VALUE"""),"Galaxy A")</f>
        <v>Galaxy A</v>
      </c>
      <c r="F465" s="3" t="str">
        <f ca="1">IFERROR(__xludf.DUMMYFUNCTION("""COMPUTED_VALUE"""),"Arya")</f>
        <v>Arya</v>
      </c>
      <c r="G465" s="3">
        <f ca="1">IFERROR(__xludf.DUMMYFUNCTION("""COMPUTED_VALUE"""),0)</f>
        <v>0</v>
      </c>
      <c r="H465" s="3" t="str">
        <f ca="1">IFERROR(__xludf.DUMMYFUNCTION("""COMPUTED_VALUE"""),"bicycle")</f>
        <v>bicycle</v>
      </c>
      <c r="I465" s="3" t="str">
        <f ca="1">IFERROR(__xludf.DUMMYFUNCTION("""COMPUTED_VALUE"""),"2055-06-11T01:40:15.092519Z")</f>
        <v>2055-06-11T01:40:15.092519Z</v>
      </c>
      <c r="J465" s="3" t="str">
        <f ca="1">IFERROR(__xludf.DUMMYFUNCTION("""COMPUTED_VALUE"""),"2055-06-11T02:46:34.147Z")</f>
        <v>2055-06-11T02:46:34.147Z</v>
      </c>
      <c r="K465" s="3" t="str">
        <f ca="1">IFERROR(__xludf.DUMMYFUNCTION("""COMPUTED_VALUE"""),"2055-06-11T02:24:40.147Z")</f>
        <v>2055-06-11T02:24:40.147Z</v>
      </c>
      <c r="L465" s="3">
        <f ca="1">IFERROR(__xludf.DUMMYFUNCTION("""COMPUTED_VALUE"""),1)</f>
        <v>1</v>
      </c>
      <c r="M465" s="3">
        <f ca="1">IFERROR(__xludf.DUMMYFUNCTION("""COMPUTED_VALUE"""),0)</f>
        <v>0</v>
      </c>
      <c r="N465" s="3" t="str">
        <f ca="1">IFERROR(__xludf.DUMMYFUNCTION("""COMPUTED_VALUE"""),"2055-06-11T02:18:17.693235Z")</f>
        <v>2055-06-11T02:18:17.693235Z</v>
      </c>
      <c r="O465" s="3" t="str">
        <f ca="1">IFERROR(__xludf.DUMMYFUNCTION("""COMPUTED_VALUE"""),"2055-06-11T02:29:53.64608Z")</f>
        <v>2055-06-11T02:29:53.64608Z</v>
      </c>
      <c r="P465" s="3" t="str">
        <f ca="1">IFERROR(__xludf.DUMMYFUNCTION("""COMPUTED_VALUE"""),"2055-06-11T01:41:54.613263Z")</f>
        <v>2055-06-11T01:41:54.613263Z</v>
      </c>
      <c r="Q465" s="3">
        <f ca="1">IFERROR(__xludf.DUMMYFUNCTION("""COMPUTED_VALUE"""),0)</f>
        <v>0</v>
      </c>
      <c r="R465" s="3" t="str">
        <f ca="1">IFERROR(__xludf.DUMMYFUNCTION("""COMPUTED_VALUE"""),"2055-06-11T01:42:03.189007Z")</f>
        <v>2055-06-11T01:42:03.189007Z</v>
      </c>
      <c r="S465" s="3" t="str">
        <f ca="1">IFERROR(__xludf.DUMMYFUNCTION("""COMPUTED_VALUE"""),"2055-06-11T02:07:07.14353Z")</f>
        <v>2055-06-11T02:07:07.14353Z</v>
      </c>
      <c r="T465" s="3"/>
      <c r="U465" s="4">
        <f ca="1">IFERROR(__xludf.DUMMYFUNCTION("""COMPUTED_VALUE"""),56775)</f>
        <v>56775</v>
      </c>
      <c r="V465" s="3">
        <f ca="1">IFERROR(__xludf.DUMMYFUNCTION("""COMPUTED_VALUE"""),4.4)</f>
        <v>4.4000000000000004</v>
      </c>
      <c r="W465" s="3">
        <f ca="1">IFERROR(__xludf.DUMMYFUNCTION("""COMPUTED_VALUE"""),2500)</f>
        <v>2500</v>
      </c>
      <c r="X465" s="3">
        <f ca="1">IFERROR(__xludf.DUMMYFUNCTION("""COMPUTED_VALUE"""),2870)</f>
        <v>2870</v>
      </c>
      <c r="Y465" s="3">
        <f ca="1">IFERROR(__xludf.DUMMYFUNCTION("""COMPUTED_VALUE"""),1504)</f>
        <v>1504</v>
      </c>
      <c r="Z465" s="3">
        <f ca="1">IFERROR(__xludf.DUMMYFUNCTION("""COMPUTED_VALUE"""),670)</f>
        <v>670</v>
      </c>
      <c r="AA465" s="3">
        <f ca="1">IFERROR(__xludf.DUMMYFUNCTION("""COMPUTED_VALUE"""),696)</f>
        <v>696</v>
      </c>
      <c r="AB465" s="3">
        <f ca="1">IFERROR(__xludf.DUMMYFUNCTION("""COMPUTED_VALUE"""),0)</f>
        <v>0</v>
      </c>
      <c r="AC465" s="3">
        <f ca="1">IFERROR(__xludf.DUMMYFUNCTION("""COMPUTED_VALUE"""),6)</f>
        <v>6</v>
      </c>
      <c r="AD465" s="3"/>
      <c r="AE465" s="3" t="str">
        <f ca="1">IFERROR(__xludf.DUMMYFUNCTION("""COMPUTED_VALUE"""),"2055-06-10T22:18:17.693235Z")</f>
        <v>2055-06-10T22:18:17.693235Z</v>
      </c>
      <c r="AF465" s="3" t="str">
        <f ca="1">IFERROR(__xludf.DUMMYFUNCTION("""COMPUTED_VALUE"""),"2055-06-10T22:29:53.64608Z")</f>
        <v>2055-06-10T22:29:53.64608Z</v>
      </c>
      <c r="AG465" s="3" t="str">
        <f ca="1">IFERROR(__xludf.DUMMYFUNCTION("""COMPUTED_VALUE"""),"2055-06-10T21:41:54.613263Z")</f>
        <v>2055-06-10T21:41:54.613263Z</v>
      </c>
      <c r="AH465" s="3" t="str">
        <f ca="1">IFERROR(__xludf.DUMMYFUNCTION("""COMPUTED_VALUE"""),"2055-06-10T22:07:07.14353Z")</f>
        <v>2055-06-10T22:07:07.14353Z</v>
      </c>
      <c r="AI465" s="3">
        <f ca="1">IFERROR(__xludf.DUMMYFUNCTION("""COMPUTED_VALUE"""),4.17)</f>
        <v>4.17</v>
      </c>
      <c r="AJ465" s="3">
        <f ca="1">IFERROR(__xludf.DUMMYFUNCTION("""COMPUTED_VALUE"""),457)</f>
        <v>457</v>
      </c>
      <c r="AK465" s="3">
        <f ca="1">IFERROR(__xludf.DUMMYFUNCTION("""COMPUTED_VALUE"""),1599)</f>
        <v>1599</v>
      </c>
      <c r="AL465" s="3"/>
    </row>
    <row r="466" spans="1:38" ht="13">
      <c r="A466" s="3">
        <f ca="1">IFERROR(__xludf.DUMMYFUNCTION("""COMPUTED_VALUE"""),1427)</f>
        <v>1427</v>
      </c>
      <c r="B466" s="3">
        <f ca="1">IFERROR(__xludf.DUMMYFUNCTION("""COMPUTED_VALUE"""),5)</f>
        <v>5</v>
      </c>
      <c r="C466" s="3">
        <f ca="1">IFERROR(__xludf.DUMMYFUNCTION("""COMPUTED_VALUE"""),4001)</f>
        <v>4001</v>
      </c>
      <c r="D466" s="3" t="str">
        <f ca="1">IFERROR(__xludf.DUMMYFUNCTION("""COMPUTED_VALUE"""),"Dashattan")</f>
        <v>Dashattan</v>
      </c>
      <c r="E466" s="3" t="str">
        <f ca="1">IFERROR(__xludf.DUMMYFUNCTION("""COMPUTED_VALUE"""),"Galaxy A")</f>
        <v>Galaxy A</v>
      </c>
      <c r="F466" s="3" t="str">
        <f ca="1">IFERROR(__xludf.DUMMYFUNCTION("""COMPUTED_VALUE"""),"Mike")</f>
        <v>Mike</v>
      </c>
      <c r="G466" s="3">
        <f ca="1">IFERROR(__xludf.DUMMYFUNCTION("""COMPUTED_VALUE"""),0)</f>
        <v>0</v>
      </c>
      <c r="H466" s="3" t="str">
        <f ca="1">IFERROR(__xludf.DUMMYFUNCTION("""COMPUTED_VALUE"""),"bicycle")</f>
        <v>bicycle</v>
      </c>
      <c r="I466" s="3" t="str">
        <f ca="1">IFERROR(__xludf.DUMMYFUNCTION("""COMPUTED_VALUE"""),"2055-06-12T18:26:48.313887Z")</f>
        <v>2055-06-12T18:26:48.313887Z</v>
      </c>
      <c r="J466" s="3" t="str">
        <f ca="1">IFERROR(__xludf.DUMMYFUNCTION("""COMPUTED_VALUE"""),"2055-06-12T19:13:59.371Z")</f>
        <v>2055-06-12T19:13:59.371Z</v>
      </c>
      <c r="K466" s="3" t="str">
        <f ca="1">IFERROR(__xludf.DUMMYFUNCTION("""COMPUTED_VALUE"""),"2055-06-12T19:00:06.371Z")</f>
        <v>2055-06-12T19:00:06.371Z</v>
      </c>
      <c r="L466" s="3">
        <f ca="1">IFERROR(__xludf.DUMMYFUNCTION("""COMPUTED_VALUE"""),1)</f>
        <v>1</v>
      </c>
      <c r="M466" s="3">
        <f ca="1">IFERROR(__xludf.DUMMYFUNCTION("""COMPUTED_VALUE"""),0)</f>
        <v>0</v>
      </c>
      <c r="N466" s="3" t="str">
        <f ca="1">IFERROR(__xludf.DUMMYFUNCTION("""COMPUTED_VALUE"""),"2055-06-12T18:51:00.018008Z")</f>
        <v>2055-06-12T18:51:00.018008Z</v>
      </c>
      <c r="O466" s="3" t="str">
        <f ca="1">IFERROR(__xludf.DUMMYFUNCTION("""COMPUTED_VALUE"""),"2055-06-12T19:13:21.130223Z")</f>
        <v>2055-06-12T19:13:21.130223Z</v>
      </c>
      <c r="P466" s="3" t="str">
        <f ca="1">IFERROR(__xludf.DUMMYFUNCTION("""COMPUTED_VALUE"""),"2055-06-12T18:32:54.679853Z")</f>
        <v>2055-06-12T18:32:54.679853Z</v>
      </c>
      <c r="Q466" s="3">
        <f ca="1">IFERROR(__xludf.DUMMYFUNCTION("""COMPUTED_VALUE"""),0)</f>
        <v>0</v>
      </c>
      <c r="R466" s="3" t="str">
        <f ca="1">IFERROR(__xludf.DUMMYFUNCTION("""COMPUTED_VALUE"""),"2055-06-12T18:33:03.651716Z")</f>
        <v>2055-06-12T18:33:03.651716Z</v>
      </c>
      <c r="S466" s="3" t="str">
        <f ca="1">IFERROR(__xludf.DUMMYFUNCTION("""COMPUTED_VALUE"""),"2055-06-12T18:39:03.789334Z")</f>
        <v>2055-06-12T18:39:03.789334Z</v>
      </c>
      <c r="T466" s="3"/>
      <c r="U466" s="4">
        <f ca="1">IFERROR(__xludf.DUMMYFUNCTION("""COMPUTED_VALUE"""),56777)</f>
        <v>56777</v>
      </c>
      <c r="V466" s="3">
        <f ca="1">IFERROR(__xludf.DUMMYFUNCTION("""COMPUTED_VALUE"""),4.3)</f>
        <v>4.3</v>
      </c>
      <c r="W466" s="3">
        <f ca="1">IFERROR(__xludf.DUMMYFUNCTION("""COMPUTED_VALUE"""),2500)</f>
        <v>2500</v>
      </c>
      <c r="X466" s="3">
        <f ca="1">IFERROR(__xludf.DUMMYFUNCTION("""COMPUTED_VALUE"""),2418)</f>
        <v>2418</v>
      </c>
      <c r="Y466" s="3">
        <f ca="1">IFERROR(__xludf.DUMMYFUNCTION("""COMPUTED_VALUE"""),360)</f>
        <v>360</v>
      </c>
      <c r="Z466" s="3">
        <f ca="1">IFERROR(__xludf.DUMMYFUNCTION("""COMPUTED_VALUE"""),717)</f>
        <v>717</v>
      </c>
      <c r="AA466" s="3">
        <f ca="1">IFERROR(__xludf.DUMMYFUNCTION("""COMPUTED_VALUE"""),1341)</f>
        <v>1341</v>
      </c>
      <c r="AB466" s="3">
        <f ca="1">IFERROR(__xludf.DUMMYFUNCTION("""COMPUTED_VALUE"""),0)</f>
        <v>0</v>
      </c>
      <c r="AC466" s="3">
        <f ca="1">IFERROR(__xludf.DUMMYFUNCTION("""COMPUTED_VALUE"""),2)</f>
        <v>2</v>
      </c>
      <c r="AD466" s="3" t="str">
        <f ca="1">IFERROR(__xludf.DUMMYFUNCTION("""COMPUTED_VALUE"""),"early")</f>
        <v>early</v>
      </c>
      <c r="AE466" s="3" t="str">
        <f ca="1">IFERROR(__xludf.DUMMYFUNCTION("""COMPUTED_VALUE"""),"2055-06-12T14:51:00.018008Z")</f>
        <v>2055-06-12T14:51:00.018008Z</v>
      </c>
      <c r="AF466" s="3" t="str">
        <f ca="1">IFERROR(__xludf.DUMMYFUNCTION("""COMPUTED_VALUE"""),"2055-06-12T15:13:21.130223Z")</f>
        <v>2055-06-12T15:13:21.130223Z</v>
      </c>
      <c r="AG466" s="3" t="str">
        <f ca="1">IFERROR(__xludf.DUMMYFUNCTION("""COMPUTED_VALUE"""),"2055-06-12T14:32:54.679853Z")</f>
        <v>2055-06-12T14:32:54.679853Z</v>
      </c>
      <c r="AH466" s="3" t="str">
        <f ca="1">IFERROR(__xludf.DUMMYFUNCTION("""COMPUTED_VALUE"""),"2055-06-12T14:39:03.789334Z")</f>
        <v>2055-06-12T14:39:03.789334Z</v>
      </c>
      <c r="AI466" s="3">
        <f ca="1">IFERROR(__xludf.DUMMYFUNCTION("""COMPUTED_VALUE"""),4.63)</f>
        <v>4.63</v>
      </c>
      <c r="AJ466" s="3">
        <f ca="1">IFERROR(__xludf.DUMMYFUNCTION("""COMPUTED_VALUE"""),242)</f>
        <v>242</v>
      </c>
      <c r="AK466" s="3">
        <f ca="1">IFERROR(__xludf.DUMMYFUNCTION("""COMPUTED_VALUE"""),736)</f>
        <v>736</v>
      </c>
      <c r="AL466" s="3"/>
    </row>
    <row r="467" spans="1:38" ht="13">
      <c r="A467" s="3">
        <f ca="1">IFERROR(__xludf.DUMMYFUNCTION("""COMPUTED_VALUE"""),558)</f>
        <v>558</v>
      </c>
      <c r="B467" s="3">
        <f ca="1">IFERROR(__xludf.DUMMYFUNCTION("""COMPUTED_VALUE"""),5)</f>
        <v>5</v>
      </c>
      <c r="C467" s="3">
        <f ca="1">IFERROR(__xludf.DUMMYFUNCTION("""COMPUTED_VALUE"""),4001)</f>
        <v>4001</v>
      </c>
      <c r="D467" s="3" t="str">
        <f ca="1">IFERROR(__xludf.DUMMYFUNCTION("""COMPUTED_VALUE"""),"Dashattan")</f>
        <v>Dashattan</v>
      </c>
      <c r="E467" s="3" t="str">
        <f ca="1">IFERROR(__xludf.DUMMYFUNCTION("""COMPUTED_VALUE"""),"Galaxy A")</f>
        <v>Galaxy A</v>
      </c>
      <c r="F467" s="3" t="str">
        <f ca="1">IFERROR(__xludf.DUMMYFUNCTION("""COMPUTED_VALUE"""),"KC")</f>
        <v>KC</v>
      </c>
      <c r="G467" s="3">
        <f ca="1">IFERROR(__xludf.DUMMYFUNCTION("""COMPUTED_VALUE"""),0)</f>
        <v>0</v>
      </c>
      <c r="H467" s="3" t="str">
        <f ca="1">IFERROR(__xludf.DUMMYFUNCTION("""COMPUTED_VALUE"""),"car")</f>
        <v>car</v>
      </c>
      <c r="I467" s="3" t="str">
        <f ca="1">IFERROR(__xludf.DUMMYFUNCTION("""COMPUTED_VALUE"""),"2055-06-05T15:52:40.125219Z")</f>
        <v>2055-06-05T15:52:40.125219Z</v>
      </c>
      <c r="J467" s="3" t="str">
        <f ca="1">IFERROR(__xludf.DUMMYFUNCTION("""COMPUTED_VALUE"""),"2055-06-05T17:22:47.188Z")</f>
        <v>2055-06-05T17:22:47.188Z</v>
      </c>
      <c r="K467" s="3" t="str">
        <f ca="1">IFERROR(__xludf.DUMMYFUNCTION("""COMPUTED_VALUE"""),"2055-06-05T16:58:06.188Z")</f>
        <v>2055-06-05T16:58:06.188Z</v>
      </c>
      <c r="L467" s="3">
        <f ca="1">IFERROR(__xludf.DUMMYFUNCTION("""COMPUTED_VALUE"""),1)</f>
        <v>1</v>
      </c>
      <c r="M467" s="3">
        <f ca="1">IFERROR(__xludf.DUMMYFUNCTION("""COMPUTED_VALUE"""),0)</f>
        <v>0</v>
      </c>
      <c r="N467" s="3" t="str">
        <f ca="1">IFERROR(__xludf.DUMMYFUNCTION("""COMPUTED_VALUE"""),"2055-06-05T16:43:16.461966Z")</f>
        <v>2055-06-05T16:43:16.461966Z</v>
      </c>
      <c r="O467" s="3" t="str">
        <f ca="1">IFERROR(__xludf.DUMMYFUNCTION("""COMPUTED_VALUE"""),"2055-06-05T16:53:39.749421Z")</f>
        <v>2055-06-05T16:53:39.749421Z</v>
      </c>
      <c r="P467" s="3" t="str">
        <f ca="1">IFERROR(__xludf.DUMMYFUNCTION("""COMPUTED_VALUE"""),"2055-06-05T16:09:54.942712Z")</f>
        <v>2055-06-05T16:09:54.942712Z</v>
      </c>
      <c r="Q467" s="3">
        <f ca="1">IFERROR(__xludf.DUMMYFUNCTION("""COMPUTED_VALUE"""),0)</f>
        <v>0</v>
      </c>
      <c r="R467" s="3" t="str">
        <f ca="1">IFERROR(__xludf.DUMMYFUNCTION("""COMPUTED_VALUE"""),"2055-06-05T16:10:13.985963Z")</f>
        <v>2055-06-05T16:10:13.985963Z</v>
      </c>
      <c r="S467" s="3" t="str">
        <f ca="1">IFERROR(__xludf.DUMMYFUNCTION("""COMPUTED_VALUE"""),"2055-06-05T16:28:35.432743Z")</f>
        <v>2055-06-05T16:28:35.432743Z</v>
      </c>
      <c r="T467" s="3"/>
      <c r="U467" s="4">
        <f ca="1">IFERROR(__xludf.DUMMYFUNCTION("""COMPUTED_VALUE"""),56770)</f>
        <v>56770</v>
      </c>
      <c r="V467" s="3">
        <f ca="1">IFERROR(__xludf.DUMMYFUNCTION("""COMPUTED_VALUE"""),4.2)</f>
        <v>4.2</v>
      </c>
      <c r="W467" s="3">
        <f ca="1">IFERROR(__xludf.DUMMYFUNCTION("""COMPUTED_VALUE"""),2500)</f>
        <v>2500</v>
      </c>
      <c r="X467" s="3">
        <f ca="1">IFERROR(__xludf.DUMMYFUNCTION("""COMPUTED_VALUE"""),2606)</f>
        <v>2606</v>
      </c>
      <c r="Y467" s="3">
        <f ca="1">IFERROR(__xludf.DUMMYFUNCTION("""COMPUTED_VALUE"""),1102)</f>
        <v>1102</v>
      </c>
      <c r="Z467" s="3">
        <f ca="1">IFERROR(__xludf.DUMMYFUNCTION("""COMPUTED_VALUE"""),881)</f>
        <v>881</v>
      </c>
      <c r="AA467" s="3">
        <f ca="1">IFERROR(__xludf.DUMMYFUNCTION("""COMPUTED_VALUE"""),623)</f>
        <v>623</v>
      </c>
      <c r="AB467" s="3">
        <f ca="1">IFERROR(__xludf.DUMMYFUNCTION("""COMPUTED_VALUE"""),1)</f>
        <v>1</v>
      </c>
      <c r="AC467" s="3">
        <f ca="1">IFERROR(__xludf.DUMMYFUNCTION("""COMPUTED_VALUE"""),5)</f>
        <v>5</v>
      </c>
      <c r="AD467" s="3"/>
      <c r="AE467" s="3" t="str">
        <f ca="1">IFERROR(__xludf.DUMMYFUNCTION("""COMPUTED_VALUE"""),"2055-06-05T12:43:16.461966Z")</f>
        <v>2055-06-05T12:43:16.461966Z</v>
      </c>
      <c r="AF467" s="3" t="str">
        <f ca="1">IFERROR(__xludf.DUMMYFUNCTION("""COMPUTED_VALUE"""),"2055-06-05T12:53:39.749421Z")</f>
        <v>2055-06-05T12:53:39.749421Z</v>
      </c>
      <c r="AG467" s="3" t="str">
        <f ca="1">IFERROR(__xludf.DUMMYFUNCTION("""COMPUTED_VALUE"""),"2055-06-05T12:09:54.942712Z")</f>
        <v>2055-06-05T12:09:54.942712Z</v>
      </c>
      <c r="AH467" s="3" t="str">
        <f ca="1">IFERROR(__xludf.DUMMYFUNCTION("""COMPUTED_VALUE"""),"2055-06-05T12:28:35.432743Z")</f>
        <v>2055-06-05T12:28:35.432743Z</v>
      </c>
      <c r="AI467" s="3">
        <f ca="1">IFERROR(__xludf.DUMMYFUNCTION("""COMPUTED_VALUE"""),4.54)</f>
        <v>4.54</v>
      </c>
      <c r="AJ467" s="3">
        <f ca="1">IFERROR(__xludf.DUMMYFUNCTION("""COMPUTED_VALUE"""),2229)</f>
        <v>2229</v>
      </c>
      <c r="AK467" s="3">
        <f ca="1">IFERROR(__xludf.DUMMYFUNCTION("""COMPUTED_VALUE"""),6580)</f>
        <v>6580</v>
      </c>
      <c r="AL467" s="3"/>
    </row>
    <row r="468" spans="1:38" ht="13">
      <c r="A468" s="3">
        <f ca="1">IFERROR(__xludf.DUMMYFUNCTION("""COMPUTED_VALUE"""),758)</f>
        <v>758</v>
      </c>
      <c r="B468" s="3"/>
      <c r="C468" s="3">
        <f ca="1">IFERROR(__xludf.DUMMYFUNCTION("""COMPUTED_VALUE"""),4050)</f>
        <v>4050</v>
      </c>
      <c r="D468" s="3" t="str">
        <f ca="1">IFERROR(__xludf.DUMMYFUNCTION("""COMPUTED_VALUE"""),"Doorlanta")</f>
        <v>Doorlanta</v>
      </c>
      <c r="E468" s="3" t="str">
        <f ca="1">IFERROR(__xludf.DUMMYFUNCTION("""COMPUTED_VALUE"""),"Galaxy A")</f>
        <v>Galaxy A</v>
      </c>
      <c r="F468" s="3" t="str">
        <f ca="1">IFERROR(__xludf.DUMMYFUNCTION("""COMPUTED_VALUE"""),"Jagar")</f>
        <v>Jagar</v>
      </c>
      <c r="G468" s="3">
        <f ca="1">IFERROR(__xludf.DUMMYFUNCTION("""COMPUTED_VALUE"""),0)</f>
        <v>0</v>
      </c>
      <c r="H468" s="3" t="str">
        <f ca="1">IFERROR(__xludf.DUMMYFUNCTION("""COMPUTED_VALUE"""),"car")</f>
        <v>car</v>
      </c>
      <c r="I468" s="3" t="str">
        <f ca="1">IFERROR(__xludf.DUMMYFUNCTION("""COMPUTED_VALUE"""),"2055-06-06T19:17:40.180023Z")</f>
        <v>2055-06-06T19:17:40.180023Z</v>
      </c>
      <c r="J468" s="3" t="str">
        <f ca="1">IFERROR(__xludf.DUMMYFUNCTION("""COMPUTED_VALUE"""),"2055-06-06T20:07:40.253Z")</f>
        <v>2055-06-06T20:07:40.253Z</v>
      </c>
      <c r="K468" s="3" t="str">
        <f ca="1">IFERROR(__xludf.DUMMYFUNCTION("""COMPUTED_VALUE"""),"2055-06-06T19:41:14.253Z")</f>
        <v>2055-06-06T19:41:14.253Z</v>
      </c>
      <c r="L468" s="3">
        <f ca="1">IFERROR(__xludf.DUMMYFUNCTION("""COMPUTED_VALUE"""),1)</f>
        <v>1</v>
      </c>
      <c r="M468" s="3">
        <f ca="1">IFERROR(__xludf.DUMMYFUNCTION("""COMPUTED_VALUE"""),0)</f>
        <v>0</v>
      </c>
      <c r="N468" s="3" t="str">
        <f ca="1">IFERROR(__xludf.DUMMYFUNCTION("""COMPUTED_VALUE"""),"2055-06-06T19:38:06.031754Z")</f>
        <v>2055-06-06T19:38:06.031754Z</v>
      </c>
      <c r="O468" s="3" t="str">
        <f ca="1">IFERROR(__xludf.DUMMYFUNCTION("""COMPUTED_VALUE"""),"2055-06-06T19:42:06.408543Z")</f>
        <v>2055-06-06T19:42:06.408543Z</v>
      </c>
      <c r="P468" s="3" t="str">
        <f ca="1">IFERROR(__xludf.DUMMYFUNCTION("""COMPUTED_VALUE"""),"2055-06-06T19:23:47.24824Z")</f>
        <v>2055-06-06T19:23:47.24824Z</v>
      </c>
      <c r="Q468" s="3">
        <f ca="1">IFERROR(__xludf.DUMMYFUNCTION("""COMPUTED_VALUE"""),0)</f>
        <v>0</v>
      </c>
      <c r="R468" s="3" t="str">
        <f ca="1">IFERROR(__xludf.DUMMYFUNCTION("""COMPUTED_VALUE"""),"2055-06-06T19:23:57.581113Z")</f>
        <v>2055-06-06T19:23:57.581113Z</v>
      </c>
      <c r="S468" s="3" t="str">
        <f ca="1">IFERROR(__xludf.DUMMYFUNCTION("""COMPUTED_VALUE"""),"2055-06-06T19:38:32.283429Z")</f>
        <v>2055-06-06T19:38:32.283429Z</v>
      </c>
      <c r="T468" s="3"/>
      <c r="U468" s="4">
        <f ca="1">IFERROR(__xludf.DUMMYFUNCTION("""COMPUTED_VALUE"""),56771)</f>
        <v>56771</v>
      </c>
      <c r="V468" s="3">
        <f ca="1">IFERROR(__xludf.DUMMYFUNCTION("""COMPUTED_VALUE"""),4.6)</f>
        <v>4.5999999999999996</v>
      </c>
      <c r="W468" s="3">
        <f ca="1">IFERROR(__xludf.DUMMYFUNCTION("""COMPUTED_VALUE"""),2500)</f>
        <v>2500</v>
      </c>
      <c r="X468" s="3">
        <f ca="1">IFERROR(__xludf.DUMMYFUNCTION("""COMPUTED_VALUE"""),1089)</f>
        <v>1089</v>
      </c>
      <c r="Y468" s="3">
        <f ca="1">IFERROR(__xludf.DUMMYFUNCTION("""COMPUTED_VALUE"""),875)</f>
        <v>875</v>
      </c>
      <c r="Z468" s="3"/>
      <c r="AA468" s="3">
        <f ca="1">IFERROR(__xludf.DUMMYFUNCTION("""COMPUTED_VALUE"""),240)</f>
        <v>240</v>
      </c>
      <c r="AB468" s="3">
        <f ca="1">IFERROR(__xludf.DUMMYFUNCTION("""COMPUTED_VALUE"""),0)</f>
        <v>0</v>
      </c>
      <c r="AC468" s="3">
        <f ca="1">IFERROR(__xludf.DUMMYFUNCTION("""COMPUTED_VALUE"""),4)</f>
        <v>4</v>
      </c>
      <c r="AD468" s="3" t="str">
        <f ca="1">IFERROR(__xludf.DUMMYFUNCTION("""COMPUTED_VALUE"""),"late")</f>
        <v>late</v>
      </c>
      <c r="AE468" s="3" t="str">
        <f ca="1">IFERROR(__xludf.DUMMYFUNCTION("""COMPUTED_VALUE"""),"2055-06-06T15:38:06.031754Z")</f>
        <v>2055-06-06T15:38:06.031754Z</v>
      </c>
      <c r="AF468" s="3" t="str">
        <f ca="1">IFERROR(__xludf.DUMMYFUNCTION("""COMPUTED_VALUE"""),"2055-06-06T15:42:06.408543Z")</f>
        <v>2055-06-06T15:42:06.408543Z</v>
      </c>
      <c r="AG468" s="3" t="str">
        <f ca="1">IFERROR(__xludf.DUMMYFUNCTION("""COMPUTED_VALUE"""),"2055-06-06T15:23:47.24824Z")</f>
        <v>2055-06-06T15:23:47.24824Z</v>
      </c>
      <c r="AH468" s="3" t="str">
        <f ca="1">IFERROR(__xludf.DUMMYFUNCTION("""COMPUTED_VALUE"""),"2055-06-06T15:38:32.283429Z")</f>
        <v>2055-06-06T15:38:32.283429Z</v>
      </c>
      <c r="AI468" s="3">
        <f ca="1">IFERROR(__xludf.DUMMYFUNCTION("""COMPUTED_VALUE"""),4.89)</f>
        <v>4.8899999999999997</v>
      </c>
      <c r="AJ468" s="3">
        <f ca="1">IFERROR(__xludf.DUMMYFUNCTION("""COMPUTED_VALUE"""),1778)</f>
        <v>1778</v>
      </c>
      <c r="AK468" s="3">
        <f ca="1">IFERROR(__xludf.DUMMYFUNCTION("""COMPUTED_VALUE"""),5138)</f>
        <v>5138</v>
      </c>
      <c r="AL468" s="3">
        <f ca="1">IFERROR(__xludf.DUMMYFUNCTION("""COMPUTED_VALUE"""),314)</f>
        <v>314</v>
      </c>
    </row>
    <row r="469" spans="1:38" ht="13">
      <c r="A469" s="3">
        <f ca="1">IFERROR(__xludf.DUMMYFUNCTION("""COMPUTED_VALUE"""),811)</f>
        <v>811</v>
      </c>
      <c r="B469" s="3"/>
      <c r="C469" s="3">
        <f ca="1">IFERROR(__xludf.DUMMYFUNCTION("""COMPUTED_VALUE"""),4001)</f>
        <v>4001</v>
      </c>
      <c r="D469" s="3" t="str">
        <f ca="1">IFERROR(__xludf.DUMMYFUNCTION("""COMPUTED_VALUE"""),"Dashattan")</f>
        <v>Dashattan</v>
      </c>
      <c r="E469" s="3" t="str">
        <f ca="1">IFERROR(__xludf.DUMMYFUNCTION("""COMPUTED_VALUE"""),"Galaxy A")</f>
        <v>Galaxy A</v>
      </c>
      <c r="F469" s="3" t="str">
        <f ca="1">IFERROR(__xludf.DUMMYFUNCTION("""COMPUTED_VALUE"""),"KC")</f>
        <v>KC</v>
      </c>
      <c r="G469" s="3">
        <f ca="1">IFERROR(__xludf.DUMMYFUNCTION("""COMPUTED_VALUE"""),0)</f>
        <v>0</v>
      </c>
      <c r="H469" s="3" t="str">
        <f ca="1">IFERROR(__xludf.DUMMYFUNCTION("""COMPUTED_VALUE"""),"car")</f>
        <v>car</v>
      </c>
      <c r="I469" s="3" t="str">
        <f ca="1">IFERROR(__xludf.DUMMYFUNCTION("""COMPUTED_VALUE"""),"2055-06-07T00:44:31.306883Z")</f>
        <v>2055-06-07T00:44:31.306883Z</v>
      </c>
      <c r="J469" s="3" t="str">
        <f ca="1">IFERROR(__xludf.DUMMYFUNCTION("""COMPUTED_VALUE"""),"2055-06-07T01:46:34.386Z")</f>
        <v>2055-06-07T01:46:34.386Z</v>
      </c>
      <c r="K469" s="3" t="str">
        <f ca="1">IFERROR(__xludf.DUMMYFUNCTION("""COMPUTED_VALUE"""),"2055-06-07T01:26:27.386Z")</f>
        <v>2055-06-07T01:26:27.386Z</v>
      </c>
      <c r="L469" s="3">
        <f ca="1">IFERROR(__xludf.DUMMYFUNCTION("""COMPUTED_VALUE"""),1)</f>
        <v>1</v>
      </c>
      <c r="M469" s="3">
        <f ca="1">IFERROR(__xludf.DUMMYFUNCTION("""COMPUTED_VALUE"""),0)</f>
        <v>0</v>
      </c>
      <c r="N469" s="3" t="str">
        <f ca="1">IFERROR(__xludf.DUMMYFUNCTION("""COMPUTED_VALUE"""),"2055-06-07T01:18:38.550962Z")</f>
        <v>2055-06-07T01:18:38.550962Z</v>
      </c>
      <c r="O469" s="3" t="str">
        <f ca="1">IFERROR(__xludf.DUMMYFUNCTION("""COMPUTED_VALUE"""),"2055-06-07T01:27:40.278073Z")</f>
        <v>2055-06-07T01:27:40.278073Z</v>
      </c>
      <c r="P469" s="3" t="str">
        <f ca="1">IFERROR(__xludf.DUMMYFUNCTION("""COMPUTED_VALUE"""),"2055-06-07T00:44:34.45884Z")</f>
        <v>2055-06-07T00:44:34.45884Z</v>
      </c>
      <c r="Q469" s="3">
        <f ca="1">IFERROR(__xludf.DUMMYFUNCTION("""COMPUTED_VALUE"""),0)</f>
        <v>0</v>
      </c>
      <c r="R469" s="3" t="str">
        <f ca="1">IFERROR(__xludf.DUMMYFUNCTION("""COMPUTED_VALUE"""),"2055-06-07T00:45:56.870424Z")</f>
        <v>2055-06-07T00:45:56.870424Z</v>
      </c>
      <c r="S469" s="3" t="str">
        <f ca="1">IFERROR(__xludf.DUMMYFUNCTION("""COMPUTED_VALUE"""),"2055-06-07T01:00:52.474858Z")</f>
        <v>2055-06-07T01:00:52.474858Z</v>
      </c>
      <c r="T469" s="3"/>
      <c r="U469" s="4">
        <f ca="1">IFERROR(__xludf.DUMMYFUNCTION("""COMPUTED_VALUE"""),56771)</f>
        <v>56771</v>
      </c>
      <c r="V469" s="3">
        <f ca="1">IFERROR(__xludf.DUMMYFUNCTION("""COMPUTED_VALUE"""),4.2)</f>
        <v>4.2</v>
      </c>
      <c r="W469" s="3">
        <f ca="1">IFERROR(__xludf.DUMMYFUNCTION("""COMPUTED_VALUE"""),2500)</f>
        <v>2500</v>
      </c>
      <c r="X469" s="3">
        <f ca="1">IFERROR(__xludf.DUMMYFUNCTION("""COMPUTED_VALUE"""),2504)</f>
        <v>2504</v>
      </c>
      <c r="Y469" s="3">
        <f ca="1">IFERROR(__xludf.DUMMYFUNCTION("""COMPUTED_VALUE"""),896)</f>
        <v>896</v>
      </c>
      <c r="Z469" s="3">
        <f ca="1">IFERROR(__xludf.DUMMYFUNCTION("""COMPUTED_VALUE"""),1066)</f>
        <v>1066</v>
      </c>
      <c r="AA469" s="3">
        <f ca="1">IFERROR(__xludf.DUMMYFUNCTION("""COMPUTED_VALUE"""),542)</f>
        <v>542</v>
      </c>
      <c r="AB469" s="3">
        <f ca="1">IFERROR(__xludf.DUMMYFUNCTION("""COMPUTED_VALUE"""),0)</f>
        <v>0</v>
      </c>
      <c r="AC469" s="3">
        <f ca="1">IFERROR(__xludf.DUMMYFUNCTION("""COMPUTED_VALUE"""),4)</f>
        <v>4</v>
      </c>
      <c r="AD469" s="3" t="str">
        <f ca="1">IFERROR(__xludf.DUMMYFUNCTION("""COMPUTED_VALUE"""),"on time")</f>
        <v>on time</v>
      </c>
      <c r="AE469" s="3" t="str">
        <f ca="1">IFERROR(__xludf.DUMMYFUNCTION("""COMPUTED_VALUE"""),"2055-06-06T21:18:38.550962Z")</f>
        <v>2055-06-06T21:18:38.550962Z</v>
      </c>
      <c r="AF469" s="3" t="str">
        <f ca="1">IFERROR(__xludf.DUMMYFUNCTION("""COMPUTED_VALUE"""),"2055-06-06T21:27:40.278073Z")</f>
        <v>2055-06-06T21:27:40.278073Z</v>
      </c>
      <c r="AG469" s="3" t="str">
        <f ca="1">IFERROR(__xludf.DUMMYFUNCTION("""COMPUTED_VALUE"""),"2055-06-06T20:44:34.45884Z")</f>
        <v>2055-06-06T20:44:34.45884Z</v>
      </c>
      <c r="AH469" s="3" t="str">
        <f ca="1">IFERROR(__xludf.DUMMYFUNCTION("""COMPUTED_VALUE"""),"2055-06-06T21:00:52.474858Z")</f>
        <v>2055-06-06T21:00:52.474858Z</v>
      </c>
      <c r="AI469" s="3">
        <f ca="1">IFERROR(__xludf.DUMMYFUNCTION("""COMPUTED_VALUE"""),4.54)</f>
        <v>4.54</v>
      </c>
      <c r="AJ469" s="3">
        <f ca="1">IFERROR(__xludf.DUMMYFUNCTION("""COMPUTED_VALUE"""),2229)</f>
        <v>2229</v>
      </c>
      <c r="AK469" s="3">
        <f ca="1">IFERROR(__xludf.DUMMYFUNCTION("""COMPUTED_VALUE"""),6580)</f>
        <v>6580</v>
      </c>
      <c r="AL469" s="3"/>
    </row>
    <row r="470" spans="1:38" ht="13">
      <c r="A470" s="3">
        <f ca="1">IFERROR(__xludf.DUMMYFUNCTION("""COMPUTED_VALUE"""),1181)</f>
        <v>1181</v>
      </c>
      <c r="B470" s="3"/>
      <c r="C470" s="3">
        <f ca="1">IFERROR(__xludf.DUMMYFUNCTION("""COMPUTED_VALUE"""),4001)</f>
        <v>4001</v>
      </c>
      <c r="D470" s="3" t="str">
        <f ca="1">IFERROR(__xludf.DUMMYFUNCTION("""COMPUTED_VALUE"""),"Dashattan")</f>
        <v>Dashattan</v>
      </c>
      <c r="E470" s="3" t="str">
        <f ca="1">IFERROR(__xludf.DUMMYFUNCTION("""COMPUTED_VALUE"""),"Galaxy A")</f>
        <v>Galaxy A</v>
      </c>
      <c r="F470" s="3" t="str">
        <f ca="1">IFERROR(__xludf.DUMMYFUNCTION("""COMPUTED_VALUE"""),"KC")</f>
        <v>KC</v>
      </c>
      <c r="G470" s="3">
        <f ca="1">IFERROR(__xludf.DUMMYFUNCTION("""COMPUTED_VALUE"""),0)</f>
        <v>0</v>
      </c>
      <c r="H470" s="3" t="str">
        <f ca="1">IFERROR(__xludf.DUMMYFUNCTION("""COMPUTED_VALUE"""),"car")</f>
        <v>car</v>
      </c>
      <c r="I470" s="3" t="str">
        <f ca="1">IFERROR(__xludf.DUMMYFUNCTION("""COMPUTED_VALUE"""),"2055-06-10T22:33:43.697757Z")</f>
        <v>2055-06-10T22:33:43.697757Z</v>
      </c>
      <c r="J470" s="3" t="str">
        <f ca="1">IFERROR(__xludf.DUMMYFUNCTION("""COMPUTED_VALUE"""),"2055-06-10T23:20:57.744Z")</f>
        <v>2055-06-10T23:20:57.744Z</v>
      </c>
      <c r="K470" s="3" t="str">
        <f ca="1">IFERROR(__xludf.DUMMYFUNCTION("""COMPUTED_VALUE"""),"2055-06-10T23:02:04.744Z")</f>
        <v>2055-06-10T23:02:04.744Z</v>
      </c>
      <c r="L470" s="3">
        <f ca="1">IFERROR(__xludf.DUMMYFUNCTION("""COMPUTED_VALUE"""),1)</f>
        <v>1</v>
      </c>
      <c r="M470" s="3">
        <f ca="1">IFERROR(__xludf.DUMMYFUNCTION("""COMPUTED_VALUE"""),0)</f>
        <v>0</v>
      </c>
      <c r="N470" s="3" t="str">
        <f ca="1">IFERROR(__xludf.DUMMYFUNCTION("""COMPUTED_VALUE"""),"2055-06-10T22:56:43.560414Z")</f>
        <v>2055-06-10T22:56:43.560414Z</v>
      </c>
      <c r="O470" s="3" t="str">
        <f ca="1">IFERROR(__xludf.DUMMYFUNCTION("""COMPUTED_VALUE"""),"2055-06-10T23:06:49.935523Z")</f>
        <v>2055-06-10T23:06:49.935523Z</v>
      </c>
      <c r="P470" s="3" t="str">
        <f ca="1">IFERROR(__xludf.DUMMYFUNCTION("""COMPUTED_VALUE"""),"2055-06-10T22:40:34.579348Z")</f>
        <v>2055-06-10T22:40:34.579348Z</v>
      </c>
      <c r="Q470" s="3">
        <f ca="1">IFERROR(__xludf.DUMMYFUNCTION("""COMPUTED_VALUE"""),0)</f>
        <v>0</v>
      </c>
      <c r="R470" s="3" t="str">
        <f ca="1">IFERROR(__xludf.DUMMYFUNCTION("""COMPUTED_VALUE"""),"2055-06-10T22:40:54.026557Z")</f>
        <v>2055-06-10T22:40:54.026557Z</v>
      </c>
      <c r="S470" s="3" t="str">
        <f ca="1">IFERROR(__xludf.DUMMYFUNCTION("""COMPUTED_VALUE"""),"2055-06-10T22:44:48.996141Z")</f>
        <v>2055-06-10T22:44:48.996141Z</v>
      </c>
      <c r="T470" s="3"/>
      <c r="U470" s="4">
        <f ca="1">IFERROR(__xludf.DUMMYFUNCTION("""COMPUTED_VALUE"""),56775)</f>
        <v>56775</v>
      </c>
      <c r="V470" s="3">
        <f ca="1">IFERROR(__xludf.DUMMYFUNCTION("""COMPUTED_VALUE"""),4.6)</f>
        <v>4.5999999999999996</v>
      </c>
      <c r="W470" s="3">
        <f ca="1">IFERROR(__xludf.DUMMYFUNCTION("""COMPUTED_VALUE"""),2500)</f>
        <v>2500</v>
      </c>
      <c r="X470" s="3">
        <f ca="1">IFERROR(__xludf.DUMMYFUNCTION("""COMPUTED_VALUE"""),1555)</f>
        <v>1555</v>
      </c>
      <c r="Y470" s="3">
        <f ca="1">IFERROR(__xludf.DUMMYFUNCTION("""COMPUTED_VALUE"""),234)</f>
        <v>234</v>
      </c>
      <c r="Z470" s="3">
        <f ca="1">IFERROR(__xludf.DUMMYFUNCTION("""COMPUTED_VALUE"""),715)</f>
        <v>715</v>
      </c>
      <c r="AA470" s="3">
        <f ca="1">IFERROR(__xludf.DUMMYFUNCTION("""COMPUTED_VALUE"""),606)</f>
        <v>606</v>
      </c>
      <c r="AB470" s="3">
        <f ca="1">IFERROR(__xludf.DUMMYFUNCTION("""COMPUTED_VALUE"""),0)</f>
        <v>0</v>
      </c>
      <c r="AC470" s="3">
        <f ca="1">IFERROR(__xludf.DUMMYFUNCTION("""COMPUTED_VALUE"""),4)</f>
        <v>4</v>
      </c>
      <c r="AD470" s="3" t="str">
        <f ca="1">IFERROR(__xludf.DUMMYFUNCTION("""COMPUTED_VALUE"""),"early")</f>
        <v>early</v>
      </c>
      <c r="AE470" s="3" t="str">
        <f ca="1">IFERROR(__xludf.DUMMYFUNCTION("""COMPUTED_VALUE"""),"2055-06-10T18:56:43.560414Z")</f>
        <v>2055-06-10T18:56:43.560414Z</v>
      </c>
      <c r="AF470" s="3" t="str">
        <f ca="1">IFERROR(__xludf.DUMMYFUNCTION("""COMPUTED_VALUE"""),"2055-06-10T19:06:49.935523Z")</f>
        <v>2055-06-10T19:06:49.935523Z</v>
      </c>
      <c r="AG470" s="3" t="str">
        <f ca="1">IFERROR(__xludf.DUMMYFUNCTION("""COMPUTED_VALUE"""),"2055-06-10T18:40:34.579348Z")</f>
        <v>2055-06-10T18:40:34.579348Z</v>
      </c>
      <c r="AH470" s="3" t="str">
        <f ca="1">IFERROR(__xludf.DUMMYFUNCTION("""COMPUTED_VALUE"""),"2055-06-10T18:44:48.996141Z")</f>
        <v>2055-06-10T18:44:48.996141Z</v>
      </c>
      <c r="AI470" s="3">
        <f ca="1">IFERROR(__xludf.DUMMYFUNCTION("""COMPUTED_VALUE"""),4.54)</f>
        <v>4.54</v>
      </c>
      <c r="AJ470" s="3">
        <f ca="1">IFERROR(__xludf.DUMMYFUNCTION("""COMPUTED_VALUE"""),2229)</f>
        <v>2229</v>
      </c>
      <c r="AK470" s="3">
        <f ca="1">IFERROR(__xludf.DUMMYFUNCTION("""COMPUTED_VALUE"""),6580)</f>
        <v>6580</v>
      </c>
      <c r="AL470" s="3"/>
    </row>
    <row r="471" spans="1:38" ht="13">
      <c r="A471" s="3">
        <f ca="1">IFERROR(__xludf.DUMMYFUNCTION("""COMPUTED_VALUE"""),39)</f>
        <v>39</v>
      </c>
      <c r="B471" s="3">
        <f ca="1">IFERROR(__xludf.DUMMYFUNCTION("""COMPUTED_VALUE"""),5)</f>
        <v>5</v>
      </c>
      <c r="C471" s="3">
        <f ca="1">IFERROR(__xludf.DUMMYFUNCTION("""COMPUTED_VALUE"""),4050)</f>
        <v>4050</v>
      </c>
      <c r="D471" s="3" t="str">
        <f ca="1">IFERROR(__xludf.DUMMYFUNCTION("""COMPUTED_VALUE"""),"Doorlanta")</f>
        <v>Doorlanta</v>
      </c>
      <c r="E471" s="3" t="str">
        <f ca="1">IFERROR(__xludf.DUMMYFUNCTION("""COMPUTED_VALUE"""),"Galaxy A")</f>
        <v>Galaxy A</v>
      </c>
      <c r="F471" s="3" t="str">
        <f ca="1">IFERROR(__xludf.DUMMYFUNCTION("""COMPUTED_VALUE"""),"Jagar")</f>
        <v>Jagar</v>
      </c>
      <c r="G471" s="3">
        <f ca="1">IFERROR(__xludf.DUMMYFUNCTION("""COMPUTED_VALUE"""),0)</f>
        <v>0</v>
      </c>
      <c r="H471" s="3" t="str">
        <f ca="1">IFERROR(__xludf.DUMMYFUNCTION("""COMPUTED_VALUE"""),"car")</f>
        <v>car</v>
      </c>
      <c r="I471" s="3" t="str">
        <f ca="1">IFERROR(__xludf.DUMMYFUNCTION("""COMPUTED_VALUE"""),"2055-06-01T21:14:14.355269Z")</f>
        <v>2055-06-01T21:14:14.355269Z</v>
      </c>
      <c r="J471" s="3" t="str">
        <f ca="1">IFERROR(__xludf.DUMMYFUNCTION("""COMPUTED_VALUE"""),"2055-06-01T22:43:01.427Z")</f>
        <v>2055-06-01T22:43:01.427Z</v>
      </c>
      <c r="K471" s="3" t="str">
        <f ca="1">IFERROR(__xludf.DUMMYFUNCTION("""COMPUTED_VALUE"""),"2055-06-01T22:14:48.427Z")</f>
        <v>2055-06-01T22:14:48.427Z</v>
      </c>
      <c r="L471" s="3">
        <f ca="1">IFERROR(__xludf.DUMMYFUNCTION("""COMPUTED_VALUE"""),1)</f>
        <v>1</v>
      </c>
      <c r="M471" s="3">
        <f ca="1">IFERROR(__xludf.DUMMYFUNCTION("""COMPUTED_VALUE"""),0)</f>
        <v>0</v>
      </c>
      <c r="N471" s="3" t="str">
        <f ca="1">IFERROR(__xludf.DUMMYFUNCTION("""COMPUTED_VALUE"""),"2055-06-01T22:19:04.69216Z")</f>
        <v>2055-06-01T22:19:04.69216Z</v>
      </c>
      <c r="O471" s="3" t="str">
        <f ca="1">IFERROR(__xludf.DUMMYFUNCTION("""COMPUTED_VALUE"""),"2055-06-01T22:36:00.033873Z")</f>
        <v>2055-06-01T22:36:00.033873Z</v>
      </c>
      <c r="P471" s="3" t="str">
        <f ca="1">IFERROR(__xludf.DUMMYFUNCTION("""COMPUTED_VALUE"""),"2055-06-01T21:27:27.332849Z")</f>
        <v>2055-06-01T21:27:27.332849Z</v>
      </c>
      <c r="Q471" s="3">
        <f ca="1">IFERROR(__xludf.DUMMYFUNCTION("""COMPUTED_VALUE"""),0)</f>
        <v>0</v>
      </c>
      <c r="R471" s="3" t="str">
        <f ca="1">IFERROR(__xludf.DUMMYFUNCTION("""COMPUTED_VALUE"""),"2055-06-01T21:27:31.147004Z")</f>
        <v>2055-06-01T21:27:31.147004Z</v>
      </c>
      <c r="S471" s="3" t="str">
        <f ca="1">IFERROR(__xludf.DUMMYFUNCTION("""COMPUTED_VALUE"""),"2055-06-01T21:47:43.708958Z")</f>
        <v>2055-06-01T21:47:43.708958Z</v>
      </c>
      <c r="T471" s="3"/>
      <c r="U471" s="4">
        <f ca="1">IFERROR(__xludf.DUMMYFUNCTION("""COMPUTED_VALUE"""),56766)</f>
        <v>56766</v>
      </c>
      <c r="V471" s="3">
        <f ca="1">IFERROR(__xludf.DUMMYFUNCTION("""COMPUTED_VALUE"""),4.6)</f>
        <v>4.5999999999999996</v>
      </c>
      <c r="W471" s="3">
        <f ca="1">IFERROR(__xludf.DUMMYFUNCTION("""COMPUTED_VALUE"""),2500)</f>
        <v>2500</v>
      </c>
      <c r="X471" s="3">
        <f ca="1">IFERROR(__xludf.DUMMYFUNCTION("""COMPUTED_VALUE"""),4109)</f>
        <v>4109</v>
      </c>
      <c r="Y471" s="3">
        <f ca="1">IFERROR(__xludf.DUMMYFUNCTION("""COMPUTED_VALUE"""),1212)</f>
        <v>1212</v>
      </c>
      <c r="Z471" s="3">
        <f ca="1">IFERROR(__xludf.DUMMYFUNCTION("""COMPUTED_VALUE"""),1881)</f>
        <v>1881</v>
      </c>
      <c r="AA471" s="3">
        <f ca="1">IFERROR(__xludf.DUMMYFUNCTION("""COMPUTED_VALUE"""),1016)</f>
        <v>1016</v>
      </c>
      <c r="AB471" s="3">
        <f ca="1">IFERROR(__xludf.DUMMYFUNCTION("""COMPUTED_VALUE"""),1)</f>
        <v>1</v>
      </c>
      <c r="AC471" s="3">
        <f ca="1">IFERROR(__xludf.DUMMYFUNCTION("""COMPUTED_VALUE"""),4)</f>
        <v>4</v>
      </c>
      <c r="AD471" s="3"/>
      <c r="AE471" s="3" t="str">
        <f ca="1">IFERROR(__xludf.DUMMYFUNCTION("""COMPUTED_VALUE"""),"2055-06-01T18:19:04.69216Z")</f>
        <v>2055-06-01T18:19:04.69216Z</v>
      </c>
      <c r="AF471" s="3" t="str">
        <f ca="1">IFERROR(__xludf.DUMMYFUNCTION("""COMPUTED_VALUE"""),"2055-06-01T18:36:00.033873Z")</f>
        <v>2055-06-01T18:36:00.033873Z</v>
      </c>
      <c r="AG471" s="3" t="str">
        <f ca="1">IFERROR(__xludf.DUMMYFUNCTION("""COMPUTED_VALUE"""),"2055-06-01T17:27:27.332849Z")</f>
        <v>2055-06-01T17:27:27.332849Z</v>
      </c>
      <c r="AH471" s="3" t="str">
        <f ca="1">IFERROR(__xludf.DUMMYFUNCTION("""COMPUTED_VALUE"""),"2055-06-01T17:47:43.708958Z")</f>
        <v>2055-06-01T17:47:43.708958Z</v>
      </c>
      <c r="AI471" s="3">
        <f ca="1">IFERROR(__xludf.DUMMYFUNCTION("""COMPUTED_VALUE"""),4.89)</f>
        <v>4.8899999999999997</v>
      </c>
      <c r="AJ471" s="3">
        <f ca="1">IFERROR(__xludf.DUMMYFUNCTION("""COMPUTED_VALUE"""),1778)</f>
        <v>1778</v>
      </c>
      <c r="AK471" s="3">
        <f ca="1">IFERROR(__xludf.DUMMYFUNCTION("""COMPUTED_VALUE"""),5138)</f>
        <v>5138</v>
      </c>
      <c r="AL471" s="3">
        <f ca="1">IFERROR(__xludf.DUMMYFUNCTION("""COMPUTED_VALUE"""),314)</f>
        <v>314</v>
      </c>
    </row>
    <row r="472" spans="1:38" ht="13">
      <c r="A472" s="3">
        <f ca="1">IFERROR(__xludf.DUMMYFUNCTION("""COMPUTED_VALUE"""),121)</f>
        <v>121</v>
      </c>
      <c r="B472" s="3"/>
      <c r="C472" s="3">
        <f ca="1">IFERROR(__xludf.DUMMYFUNCTION("""COMPUTED_VALUE"""),4001)</f>
        <v>4001</v>
      </c>
      <c r="D472" s="3" t="str">
        <f ca="1">IFERROR(__xludf.DUMMYFUNCTION("""COMPUTED_VALUE"""),"Dashattan")</f>
        <v>Dashattan</v>
      </c>
      <c r="E472" s="3" t="str">
        <f ca="1">IFERROR(__xludf.DUMMYFUNCTION("""COMPUTED_VALUE"""),"Galaxy A")</f>
        <v>Galaxy A</v>
      </c>
      <c r="F472" s="3" t="str">
        <f ca="1">IFERROR(__xludf.DUMMYFUNCTION("""COMPUTED_VALUE"""),"Bunje")</f>
        <v>Bunje</v>
      </c>
      <c r="G472" s="3">
        <f ca="1">IFERROR(__xludf.DUMMYFUNCTION("""COMPUTED_VALUE"""),0)</f>
        <v>0</v>
      </c>
      <c r="H472" s="3" t="str">
        <f ca="1">IFERROR(__xludf.DUMMYFUNCTION("""COMPUTED_VALUE"""),"bicycle")</f>
        <v>bicycle</v>
      </c>
      <c r="I472" s="3" t="str">
        <f ca="1">IFERROR(__xludf.DUMMYFUNCTION("""COMPUTED_VALUE"""),"2055-06-02T15:17:32.912414Z")</f>
        <v>2055-06-02T15:17:32.912414Z</v>
      </c>
      <c r="J472" s="3" t="str">
        <f ca="1">IFERROR(__xludf.DUMMYFUNCTION("""COMPUTED_VALUE"""),"2055-06-02T16:05:00.975Z")</f>
        <v>2055-06-02T16:05:00.975Z</v>
      </c>
      <c r="K472" s="3" t="str">
        <f ca="1">IFERROR(__xludf.DUMMYFUNCTION("""COMPUTED_VALUE"""),"2055-06-02T15:45:21.975Z")</f>
        <v>2055-06-02T15:45:21.975Z</v>
      </c>
      <c r="L472" s="3">
        <f ca="1">IFERROR(__xludf.DUMMYFUNCTION("""COMPUTED_VALUE"""),1)</f>
        <v>1</v>
      </c>
      <c r="M472" s="3">
        <f ca="1">IFERROR(__xludf.DUMMYFUNCTION("""COMPUTED_VALUE"""),0)</f>
        <v>0</v>
      </c>
      <c r="N472" s="3" t="str">
        <f ca="1">IFERROR(__xludf.DUMMYFUNCTION("""COMPUTED_VALUE"""),"2055-06-02T15:44:12.083021Z")</f>
        <v>2055-06-02T15:44:12.083021Z</v>
      </c>
      <c r="O472" s="3" t="str">
        <f ca="1">IFERROR(__xludf.DUMMYFUNCTION("""COMPUTED_VALUE"""),"2055-06-02T15:53:25.62727Z")</f>
        <v>2055-06-02T15:53:25.62727Z</v>
      </c>
      <c r="P472" s="3" t="str">
        <f ca="1">IFERROR(__xludf.DUMMYFUNCTION("""COMPUTED_VALUE"""),"2055-06-02T15:23:54.767387Z")</f>
        <v>2055-06-02T15:23:54.767387Z</v>
      </c>
      <c r="Q472" s="3">
        <f ca="1">IFERROR(__xludf.DUMMYFUNCTION("""COMPUTED_VALUE"""),0)</f>
        <v>0</v>
      </c>
      <c r="R472" s="3" t="str">
        <f ca="1">IFERROR(__xludf.DUMMYFUNCTION("""COMPUTED_VALUE"""),"2055-06-02T15:24:03.070442Z")</f>
        <v>2055-06-02T15:24:03.070442Z</v>
      </c>
      <c r="S472" s="3" t="str">
        <f ca="1">IFERROR(__xludf.DUMMYFUNCTION("""COMPUTED_VALUE"""),"2055-06-02T15:29:35.260404Z")</f>
        <v>2055-06-02T15:29:35.260404Z</v>
      </c>
      <c r="T472" s="3"/>
      <c r="U472" s="4">
        <f ca="1">IFERROR(__xludf.DUMMYFUNCTION("""COMPUTED_VALUE"""),56767)</f>
        <v>56767</v>
      </c>
      <c r="V472" s="3">
        <f ca="1">IFERROR(__xludf.DUMMYFUNCTION("""COMPUTED_VALUE"""),4.542521796)</f>
        <v>4.5425217959999999</v>
      </c>
      <c r="W472" s="3">
        <f ca="1">IFERROR(__xludf.DUMMYFUNCTION("""COMPUTED_VALUE"""),2500)</f>
        <v>2500</v>
      </c>
      <c r="X472" s="3">
        <f ca="1">IFERROR(__xludf.DUMMYFUNCTION("""COMPUTED_VALUE"""),1762)</f>
        <v>1762</v>
      </c>
      <c r="Y472" s="3">
        <f ca="1">IFERROR(__xludf.DUMMYFUNCTION("""COMPUTED_VALUE"""),332)</f>
        <v>332</v>
      </c>
      <c r="Z472" s="3">
        <f ca="1">IFERROR(__xludf.DUMMYFUNCTION("""COMPUTED_VALUE"""),877)</f>
        <v>877</v>
      </c>
      <c r="AA472" s="3">
        <f ca="1">IFERROR(__xludf.DUMMYFUNCTION("""COMPUTED_VALUE"""),553)</f>
        <v>553</v>
      </c>
      <c r="AB472" s="3">
        <f ca="1">IFERROR(__xludf.DUMMYFUNCTION("""COMPUTED_VALUE"""),0)</f>
        <v>0</v>
      </c>
      <c r="AC472" s="3">
        <f ca="1">IFERROR(__xludf.DUMMYFUNCTION("""COMPUTED_VALUE"""),2)</f>
        <v>2</v>
      </c>
      <c r="AD472" s="3" t="str">
        <f ca="1">IFERROR(__xludf.DUMMYFUNCTION("""COMPUTED_VALUE"""),"early")</f>
        <v>early</v>
      </c>
      <c r="AE472" s="3" t="str">
        <f ca="1">IFERROR(__xludf.DUMMYFUNCTION("""COMPUTED_VALUE"""),"2055-06-02T11:44:12.083021Z")</f>
        <v>2055-06-02T11:44:12.083021Z</v>
      </c>
      <c r="AF472" s="3" t="str">
        <f ca="1">IFERROR(__xludf.DUMMYFUNCTION("""COMPUTED_VALUE"""),"2055-06-02T11:53:25.62727Z")</f>
        <v>2055-06-02T11:53:25.62727Z</v>
      </c>
      <c r="AG472" s="3" t="str">
        <f ca="1">IFERROR(__xludf.DUMMYFUNCTION("""COMPUTED_VALUE"""),"2055-06-02T11:23:54.767387Z")</f>
        <v>2055-06-02T11:23:54.767387Z</v>
      </c>
      <c r="AH472" s="3" t="str">
        <f ca="1">IFERROR(__xludf.DUMMYFUNCTION("""COMPUTED_VALUE"""),"2055-06-02T11:29:35.260404Z")</f>
        <v>2055-06-02T11:29:35.260404Z</v>
      </c>
      <c r="AI472" s="3">
        <f ca="1">IFERROR(__xludf.DUMMYFUNCTION("""COMPUTED_VALUE"""),4.7)</f>
        <v>4.7</v>
      </c>
      <c r="AJ472" s="3">
        <f ca="1">IFERROR(__xludf.DUMMYFUNCTION("""COMPUTED_VALUE"""),443)</f>
        <v>443</v>
      </c>
      <c r="AK472" s="3">
        <f ca="1">IFERROR(__xludf.DUMMYFUNCTION("""COMPUTED_VALUE"""),1579)</f>
        <v>1579</v>
      </c>
      <c r="AL472" s="3"/>
    </row>
    <row r="473" spans="1:38" ht="13">
      <c r="A473" s="3">
        <f ca="1">IFERROR(__xludf.DUMMYFUNCTION("""COMPUTED_VALUE"""),170)</f>
        <v>170</v>
      </c>
      <c r="B473" s="3">
        <f ca="1">IFERROR(__xludf.DUMMYFUNCTION("""COMPUTED_VALUE"""),5)</f>
        <v>5</v>
      </c>
      <c r="C473" s="3">
        <f ca="1">IFERROR(__xludf.DUMMYFUNCTION("""COMPUTED_VALUE"""),4001)</f>
        <v>4001</v>
      </c>
      <c r="D473" s="3" t="str">
        <f ca="1">IFERROR(__xludf.DUMMYFUNCTION("""COMPUTED_VALUE"""),"Dashattan")</f>
        <v>Dashattan</v>
      </c>
      <c r="E473" s="3" t="str">
        <f ca="1">IFERROR(__xludf.DUMMYFUNCTION("""COMPUTED_VALUE"""),"Galaxy A")</f>
        <v>Galaxy A</v>
      </c>
      <c r="F473" s="3" t="str">
        <f ca="1">IFERROR(__xludf.DUMMYFUNCTION("""COMPUTED_VALUE"""),"Ron")</f>
        <v>Ron</v>
      </c>
      <c r="G473" s="3">
        <f ca="1">IFERROR(__xludf.DUMMYFUNCTION("""COMPUTED_VALUE"""),0)</f>
        <v>0</v>
      </c>
      <c r="H473" s="3" t="str">
        <f ca="1">IFERROR(__xludf.DUMMYFUNCTION("""COMPUTED_VALUE"""),"bicycle")</f>
        <v>bicycle</v>
      </c>
      <c r="I473" s="3" t="str">
        <f ca="1">IFERROR(__xludf.DUMMYFUNCTION("""COMPUTED_VALUE"""),"2055-06-02T21:28:24.354284Z")</f>
        <v>2055-06-02T21:28:24.354284Z</v>
      </c>
      <c r="J473" s="3" t="str">
        <f ca="1">IFERROR(__xludf.DUMMYFUNCTION("""COMPUTED_VALUE"""),"2055-06-02T22:07:26.406Z")</f>
        <v>2055-06-02T22:07:26.406Z</v>
      </c>
      <c r="K473" s="3" t="str">
        <f ca="1">IFERROR(__xludf.DUMMYFUNCTION("""COMPUTED_VALUE"""),"2055-06-02T21:57:19.406Z")</f>
        <v>2055-06-02T21:57:19.406Z</v>
      </c>
      <c r="L473" s="3">
        <f ca="1">IFERROR(__xludf.DUMMYFUNCTION("""COMPUTED_VALUE"""),1)</f>
        <v>1</v>
      </c>
      <c r="M473" s="3">
        <f ca="1">IFERROR(__xludf.DUMMYFUNCTION("""COMPUTED_VALUE"""),0)</f>
        <v>0</v>
      </c>
      <c r="N473" s="3" t="str">
        <f ca="1">IFERROR(__xludf.DUMMYFUNCTION("""COMPUTED_VALUE"""),"2055-06-02T21:58:54.041931Z")</f>
        <v>2055-06-02T21:58:54.041931Z</v>
      </c>
      <c r="O473" s="3" t="str">
        <f ca="1">IFERROR(__xludf.DUMMYFUNCTION("""COMPUTED_VALUE"""),"2055-06-02T22:12:17.891601Z")</f>
        <v>2055-06-02T22:12:17.891601Z</v>
      </c>
      <c r="P473" s="3" t="str">
        <f ca="1">IFERROR(__xludf.DUMMYFUNCTION("""COMPUTED_VALUE"""),"2055-06-02T21:34:34.20312Z")</f>
        <v>2055-06-02T21:34:34.20312Z</v>
      </c>
      <c r="Q473" s="3">
        <f ca="1">IFERROR(__xludf.DUMMYFUNCTION("""COMPUTED_VALUE"""),0)</f>
        <v>0</v>
      </c>
      <c r="R473" s="3" t="str">
        <f ca="1">IFERROR(__xludf.DUMMYFUNCTION("""COMPUTED_VALUE"""),"2055-06-02T21:34:39.049979Z")</f>
        <v>2055-06-02T21:34:39.049979Z</v>
      </c>
      <c r="S473" s="3" t="str">
        <f ca="1">IFERROR(__xludf.DUMMYFUNCTION("""COMPUTED_VALUE"""),"2055-06-02T21:40:54.196246Z")</f>
        <v>2055-06-02T21:40:54.196246Z</v>
      </c>
      <c r="T473" s="3"/>
      <c r="U473" s="4">
        <f ca="1">IFERROR(__xludf.DUMMYFUNCTION("""COMPUTED_VALUE"""),56767)</f>
        <v>56767</v>
      </c>
      <c r="V473" s="3">
        <f ca="1">IFERROR(__xludf.DUMMYFUNCTION("""COMPUTED_VALUE"""),4.5)</f>
        <v>4.5</v>
      </c>
      <c r="W473" s="3">
        <f ca="1">IFERROR(__xludf.DUMMYFUNCTION("""COMPUTED_VALUE"""),2500)</f>
        <v>2500</v>
      </c>
      <c r="X473" s="3">
        <f ca="1">IFERROR(__xludf.DUMMYFUNCTION("""COMPUTED_VALUE"""),2258)</f>
        <v>2258</v>
      </c>
      <c r="Y473" s="3">
        <f ca="1">IFERROR(__xludf.DUMMYFUNCTION("""COMPUTED_VALUE"""),375)</f>
        <v>375</v>
      </c>
      <c r="Z473" s="3">
        <f ca="1">IFERROR(__xludf.DUMMYFUNCTION("""COMPUTED_VALUE"""),1080)</f>
        <v>1080</v>
      </c>
      <c r="AA473" s="3">
        <f ca="1">IFERROR(__xludf.DUMMYFUNCTION("""COMPUTED_VALUE"""),803)</f>
        <v>803</v>
      </c>
      <c r="AB473" s="3">
        <f ca="1">IFERROR(__xludf.DUMMYFUNCTION("""COMPUTED_VALUE"""),0)</f>
        <v>0</v>
      </c>
      <c r="AC473" s="3">
        <f ca="1">IFERROR(__xludf.DUMMYFUNCTION("""COMPUTED_VALUE"""),2)</f>
        <v>2</v>
      </c>
      <c r="AD473" s="3"/>
      <c r="AE473" s="3" t="str">
        <f ca="1">IFERROR(__xludf.DUMMYFUNCTION("""COMPUTED_VALUE"""),"2055-06-02T17:58:54.041931Z")</f>
        <v>2055-06-02T17:58:54.041931Z</v>
      </c>
      <c r="AF473" s="3" t="str">
        <f ca="1">IFERROR(__xludf.DUMMYFUNCTION("""COMPUTED_VALUE"""),"2055-06-02T18:12:17.891601Z")</f>
        <v>2055-06-02T18:12:17.891601Z</v>
      </c>
      <c r="AG473" s="3" t="str">
        <f ca="1">IFERROR(__xludf.DUMMYFUNCTION("""COMPUTED_VALUE"""),"2055-06-02T17:34:34.20312Z")</f>
        <v>2055-06-02T17:34:34.20312Z</v>
      </c>
      <c r="AH473" s="3" t="str">
        <f ca="1">IFERROR(__xludf.DUMMYFUNCTION("""COMPUTED_VALUE"""),"2055-06-02T17:40:54.196246Z")</f>
        <v>2055-06-02T17:40:54.196246Z</v>
      </c>
      <c r="AI473" s="3">
        <f ca="1">IFERROR(__xludf.DUMMYFUNCTION("""COMPUTED_VALUE"""),4.56)</f>
        <v>4.5599999999999996</v>
      </c>
      <c r="AJ473" s="3">
        <f ca="1">IFERROR(__xludf.DUMMYFUNCTION("""COMPUTED_VALUE"""),765)</f>
        <v>765</v>
      </c>
      <c r="AK473" s="3">
        <f ca="1">IFERROR(__xludf.DUMMYFUNCTION("""COMPUTED_VALUE"""),2618)</f>
        <v>2618</v>
      </c>
      <c r="AL473" s="3"/>
    </row>
    <row r="474" spans="1:38" ht="13">
      <c r="A474" s="3">
        <f ca="1">IFERROR(__xludf.DUMMYFUNCTION("""COMPUTED_VALUE"""),219)</f>
        <v>219</v>
      </c>
      <c r="B474" s="3"/>
      <c r="C474" s="3">
        <f ca="1">IFERROR(__xludf.DUMMYFUNCTION("""COMPUTED_VALUE"""),4050)</f>
        <v>4050</v>
      </c>
      <c r="D474" s="3" t="str">
        <f ca="1">IFERROR(__xludf.DUMMYFUNCTION("""COMPUTED_VALUE"""),"Doorlanta")</f>
        <v>Doorlanta</v>
      </c>
      <c r="E474" s="3" t="str">
        <f ca="1">IFERROR(__xludf.DUMMYFUNCTION("""COMPUTED_VALUE"""),"Galaxy A")</f>
        <v>Galaxy A</v>
      </c>
      <c r="F474" s="3" t="str">
        <f ca="1">IFERROR(__xludf.DUMMYFUNCTION("""COMPUTED_VALUE"""),"Katelynn")</f>
        <v>Katelynn</v>
      </c>
      <c r="G474" s="3">
        <f ca="1">IFERROR(__xludf.DUMMYFUNCTION("""COMPUTED_VALUE"""),0)</f>
        <v>0</v>
      </c>
      <c r="H474" s="3" t="str">
        <f ca="1">IFERROR(__xludf.DUMMYFUNCTION("""COMPUTED_VALUE"""),"car")</f>
        <v>car</v>
      </c>
      <c r="I474" s="3" t="str">
        <f ca="1">IFERROR(__xludf.DUMMYFUNCTION("""COMPUTED_VALUE"""),"2055-06-03T00:09:18.230229Z")</f>
        <v>2055-06-03T00:09:18.230229Z</v>
      </c>
      <c r="J474" s="3" t="str">
        <f ca="1">IFERROR(__xludf.DUMMYFUNCTION("""COMPUTED_VALUE"""),"2055-06-03T01:01:44.299Z")</f>
        <v>2055-06-03T01:01:44.299Z</v>
      </c>
      <c r="K474" s="3" t="str">
        <f ca="1">IFERROR(__xludf.DUMMYFUNCTION("""COMPUTED_VALUE"""),"2055-06-03T00:46:37.299Z")</f>
        <v>2055-06-03T00:46:37.299Z</v>
      </c>
      <c r="L474" s="3">
        <f ca="1">IFERROR(__xludf.DUMMYFUNCTION("""COMPUTED_VALUE"""),1)</f>
        <v>1</v>
      </c>
      <c r="M474" s="3">
        <f ca="1">IFERROR(__xludf.DUMMYFUNCTION("""COMPUTED_VALUE"""),0)</f>
        <v>0</v>
      </c>
      <c r="N474" s="3" t="str">
        <f ca="1">IFERROR(__xludf.DUMMYFUNCTION("""COMPUTED_VALUE"""),"2055-06-03T00:20:41.911654Z")</f>
        <v>2055-06-03T00:20:41.911654Z</v>
      </c>
      <c r="O474" s="3" t="str">
        <f ca="1">IFERROR(__xludf.DUMMYFUNCTION("""COMPUTED_VALUE"""),"2055-06-03T00:34:07.223389Z")</f>
        <v>2055-06-03T00:34:07.223389Z</v>
      </c>
      <c r="P474" s="3" t="str">
        <f ca="1">IFERROR(__xludf.DUMMYFUNCTION("""COMPUTED_VALUE"""),"2055-06-03T00:09:47.349101Z")</f>
        <v>2055-06-03T00:09:47.349101Z</v>
      </c>
      <c r="Q474" s="3">
        <f ca="1">IFERROR(__xludf.DUMMYFUNCTION("""COMPUTED_VALUE"""),0)</f>
        <v>0</v>
      </c>
      <c r="R474" s="3" t="str">
        <f ca="1">IFERROR(__xludf.DUMMYFUNCTION("""COMPUTED_VALUE"""),"2055-06-03T00:09:54.632206Z")</f>
        <v>2055-06-03T00:09:54.632206Z</v>
      </c>
      <c r="S474" s="3" t="str">
        <f ca="1">IFERROR(__xludf.DUMMYFUNCTION("""COMPUTED_VALUE"""),"2055-06-03T00:20:14.83318Z")</f>
        <v>2055-06-03T00:20:14.83318Z</v>
      </c>
      <c r="T474" s="3"/>
      <c r="U474" s="4">
        <f ca="1">IFERROR(__xludf.DUMMYFUNCTION("""COMPUTED_VALUE"""),56767)</f>
        <v>56767</v>
      </c>
      <c r="V474" s="3">
        <f ca="1">IFERROR(__xludf.DUMMYFUNCTION("""COMPUTED_VALUE"""),4.3)</f>
        <v>4.3</v>
      </c>
      <c r="W474" s="3">
        <f ca="1">IFERROR(__xludf.DUMMYFUNCTION("""COMPUTED_VALUE"""),2500)</f>
        <v>2500</v>
      </c>
      <c r="X474" s="3">
        <f ca="1">IFERROR(__xludf.DUMMYFUNCTION("""COMPUTED_VALUE"""),1453)</f>
        <v>1453</v>
      </c>
      <c r="Y474" s="3">
        <f ca="1">IFERROR(__xludf.DUMMYFUNCTION("""COMPUTED_VALUE"""),620)</f>
        <v>620</v>
      </c>
      <c r="Z474" s="3">
        <f ca="1">IFERROR(__xludf.DUMMYFUNCTION("""COMPUTED_VALUE"""),27)</f>
        <v>27</v>
      </c>
      <c r="AA474" s="3">
        <f ca="1">IFERROR(__xludf.DUMMYFUNCTION("""COMPUTED_VALUE"""),806)</f>
        <v>806</v>
      </c>
      <c r="AB474" s="3">
        <f ca="1">IFERROR(__xludf.DUMMYFUNCTION("""COMPUTED_VALUE"""),0)</f>
        <v>0</v>
      </c>
      <c r="AC474" s="3">
        <f ca="1">IFERROR(__xludf.DUMMYFUNCTION("""COMPUTED_VALUE"""),2)</f>
        <v>2</v>
      </c>
      <c r="AD474" s="3" t="str">
        <f ca="1">IFERROR(__xludf.DUMMYFUNCTION("""COMPUTED_VALUE"""),"on time")</f>
        <v>on time</v>
      </c>
      <c r="AE474" s="3" t="str">
        <f ca="1">IFERROR(__xludf.DUMMYFUNCTION("""COMPUTED_VALUE"""),"2055-06-02T20:20:41.911654Z")</f>
        <v>2055-06-02T20:20:41.911654Z</v>
      </c>
      <c r="AF474" s="3" t="str">
        <f ca="1">IFERROR(__xludf.DUMMYFUNCTION("""COMPUTED_VALUE"""),"2055-06-02T20:34:07.223389Z")</f>
        <v>2055-06-02T20:34:07.223389Z</v>
      </c>
      <c r="AG474" s="3" t="str">
        <f ca="1">IFERROR(__xludf.DUMMYFUNCTION("""COMPUTED_VALUE"""),"2055-06-02T20:09:47.349101Z")</f>
        <v>2055-06-02T20:09:47.349101Z</v>
      </c>
      <c r="AH474" s="3" t="str">
        <f ca="1">IFERROR(__xludf.DUMMYFUNCTION("""COMPUTED_VALUE"""),"2055-06-02T20:20:14.83318Z")</f>
        <v>2055-06-02T20:20:14.83318Z</v>
      </c>
      <c r="AI474" s="3">
        <f ca="1">IFERROR(__xludf.DUMMYFUNCTION("""COMPUTED_VALUE"""),4.7)</f>
        <v>4.7</v>
      </c>
      <c r="AJ474" s="3">
        <f ca="1">IFERROR(__xludf.DUMMYFUNCTION("""COMPUTED_VALUE"""),1261)</f>
        <v>1261</v>
      </c>
      <c r="AK474" s="3">
        <f ca="1">IFERROR(__xludf.DUMMYFUNCTION("""COMPUTED_VALUE"""),3264)</f>
        <v>3264</v>
      </c>
      <c r="AL474" s="3">
        <f ca="1">IFERROR(__xludf.DUMMYFUNCTION("""COMPUTED_VALUE"""),232)</f>
        <v>232</v>
      </c>
    </row>
    <row r="475" spans="1:38" ht="13">
      <c r="A475" s="3">
        <f ca="1">IFERROR(__xludf.DUMMYFUNCTION("""COMPUTED_VALUE"""),360)</f>
        <v>360</v>
      </c>
      <c r="B475" s="3"/>
      <c r="C475" s="3">
        <f ca="1">IFERROR(__xludf.DUMMYFUNCTION("""COMPUTED_VALUE"""),4050)</f>
        <v>4050</v>
      </c>
      <c r="D475" s="3" t="str">
        <f ca="1">IFERROR(__xludf.DUMMYFUNCTION("""COMPUTED_VALUE"""),"Doorlanta")</f>
        <v>Doorlanta</v>
      </c>
      <c r="E475" s="3" t="str">
        <f ca="1">IFERROR(__xludf.DUMMYFUNCTION("""COMPUTED_VALUE"""),"Galaxy A")</f>
        <v>Galaxy A</v>
      </c>
      <c r="F475" s="3" t="str">
        <f ca="1">IFERROR(__xludf.DUMMYFUNCTION("""COMPUTED_VALUE"""),"Elon")</f>
        <v>Elon</v>
      </c>
      <c r="G475" s="3">
        <f ca="1">IFERROR(__xludf.DUMMYFUNCTION("""COMPUTED_VALUE"""),0)</f>
        <v>0</v>
      </c>
      <c r="H475" s="3" t="str">
        <f ca="1">IFERROR(__xludf.DUMMYFUNCTION("""COMPUTED_VALUE"""),"car")</f>
        <v>car</v>
      </c>
      <c r="I475" s="3" t="str">
        <f ca="1">IFERROR(__xludf.DUMMYFUNCTION("""COMPUTED_VALUE"""),"2055-06-03T23:08:36.129808Z")</f>
        <v>2055-06-03T23:08:36.129808Z</v>
      </c>
      <c r="J475" s="3" t="str">
        <f ca="1">IFERROR(__xludf.DUMMYFUNCTION("""COMPUTED_VALUE"""),"2055-06-04T00:03:39.229Z")</f>
        <v>2055-06-04T00:03:39.229Z</v>
      </c>
      <c r="K475" s="3" t="str">
        <f ca="1">IFERROR(__xludf.DUMMYFUNCTION("""COMPUTED_VALUE"""),"2055-06-03T23:43:32.229Z")</f>
        <v>2055-06-03T23:43:32.229Z</v>
      </c>
      <c r="L475" s="3">
        <f ca="1">IFERROR(__xludf.DUMMYFUNCTION("""COMPUTED_VALUE"""),1)</f>
        <v>1</v>
      </c>
      <c r="M475" s="3">
        <f ca="1">IFERROR(__xludf.DUMMYFUNCTION("""COMPUTED_VALUE"""),0)</f>
        <v>0</v>
      </c>
      <c r="N475" s="3" t="str">
        <f ca="1">IFERROR(__xludf.DUMMYFUNCTION("""COMPUTED_VALUE"""),"2055-06-03T23:38:15.626521Z")</f>
        <v>2055-06-03T23:38:15.626521Z</v>
      </c>
      <c r="O475" s="3" t="str">
        <f ca="1">IFERROR(__xludf.DUMMYFUNCTION("""COMPUTED_VALUE"""),"2055-06-03T23:46:40.97923Z")</f>
        <v>2055-06-03T23:46:40.97923Z</v>
      </c>
      <c r="P475" s="3" t="str">
        <f ca="1">IFERROR(__xludf.DUMMYFUNCTION("""COMPUTED_VALUE"""),"2055-06-03T23:08:47.3423Z")</f>
        <v>2055-06-03T23:08:47.3423Z</v>
      </c>
      <c r="Q475" s="3">
        <f ca="1">IFERROR(__xludf.DUMMYFUNCTION("""COMPUTED_VALUE"""),0)</f>
        <v>0</v>
      </c>
      <c r="R475" s="3" t="str">
        <f ca="1">IFERROR(__xludf.DUMMYFUNCTION("""COMPUTED_VALUE"""),"2055-06-03T23:08:53.339185Z")</f>
        <v>2055-06-03T23:08:53.339185Z</v>
      </c>
      <c r="S475" s="3" t="str">
        <f ca="1">IFERROR(__xludf.DUMMYFUNCTION("""COMPUTED_VALUE"""),"2055-06-03T23:23:03.658107Z")</f>
        <v>2055-06-03T23:23:03.658107Z</v>
      </c>
      <c r="T475" s="3"/>
      <c r="U475" s="4">
        <f ca="1">IFERROR(__xludf.DUMMYFUNCTION("""COMPUTED_VALUE"""),56768)</f>
        <v>56768</v>
      </c>
      <c r="V475" s="3">
        <f ca="1">IFERROR(__xludf.DUMMYFUNCTION("""COMPUTED_VALUE"""),4.5)</f>
        <v>4.5</v>
      </c>
      <c r="W475" s="3">
        <f ca="1">IFERROR(__xludf.DUMMYFUNCTION("""COMPUTED_VALUE"""),2500)</f>
        <v>2500</v>
      </c>
      <c r="X475" s="3">
        <f ca="1">IFERROR(__xludf.DUMMYFUNCTION("""COMPUTED_VALUE"""),2267)</f>
        <v>2267</v>
      </c>
      <c r="Y475" s="3">
        <f ca="1">IFERROR(__xludf.DUMMYFUNCTION("""COMPUTED_VALUE"""),850)</f>
        <v>850</v>
      </c>
      <c r="Z475" s="3">
        <f ca="1">IFERROR(__xludf.DUMMYFUNCTION("""COMPUTED_VALUE"""),912)</f>
        <v>912</v>
      </c>
      <c r="AA475" s="3">
        <f ca="1">IFERROR(__xludf.DUMMYFUNCTION("""COMPUTED_VALUE"""),505)</f>
        <v>505</v>
      </c>
      <c r="AB475" s="3">
        <f ca="1">IFERROR(__xludf.DUMMYFUNCTION("""COMPUTED_VALUE"""),0)</f>
        <v>0</v>
      </c>
      <c r="AC475" s="3">
        <f ca="1">IFERROR(__xludf.DUMMYFUNCTION("""COMPUTED_VALUE"""),1)</f>
        <v>1</v>
      </c>
      <c r="AD475" s="3" t="str">
        <f ca="1">IFERROR(__xludf.DUMMYFUNCTION("""COMPUTED_VALUE"""),"on time")</f>
        <v>on time</v>
      </c>
      <c r="AE475" s="3" t="str">
        <f ca="1">IFERROR(__xludf.DUMMYFUNCTION("""COMPUTED_VALUE"""),"2055-06-03T19:38:15.626521Z")</f>
        <v>2055-06-03T19:38:15.626521Z</v>
      </c>
      <c r="AF475" s="3" t="str">
        <f ca="1">IFERROR(__xludf.DUMMYFUNCTION("""COMPUTED_VALUE"""),"2055-06-03T19:46:40.97923Z")</f>
        <v>2055-06-03T19:46:40.97923Z</v>
      </c>
      <c r="AG475" s="3" t="str">
        <f ca="1">IFERROR(__xludf.DUMMYFUNCTION("""COMPUTED_VALUE"""),"2055-06-03T19:08:47.3423Z")</f>
        <v>2055-06-03T19:08:47.3423Z</v>
      </c>
      <c r="AH475" s="3" t="str">
        <f ca="1">IFERROR(__xludf.DUMMYFUNCTION("""COMPUTED_VALUE"""),"2055-06-03T19:23:03.658107Z")</f>
        <v>2055-06-03T19:23:03.658107Z</v>
      </c>
      <c r="AI475" s="3">
        <f ca="1">IFERROR(__xludf.DUMMYFUNCTION("""COMPUTED_VALUE"""),4.62)</f>
        <v>4.62</v>
      </c>
      <c r="AJ475" s="3">
        <f ca="1">IFERROR(__xludf.DUMMYFUNCTION("""COMPUTED_VALUE"""),259)</f>
        <v>259</v>
      </c>
      <c r="AK475" s="3">
        <f ca="1">IFERROR(__xludf.DUMMYFUNCTION("""COMPUTED_VALUE"""),604)</f>
        <v>604</v>
      </c>
      <c r="AL475" s="3">
        <f ca="1">IFERROR(__xludf.DUMMYFUNCTION("""COMPUTED_VALUE"""),21)</f>
        <v>21</v>
      </c>
    </row>
    <row r="476" spans="1:38" ht="13">
      <c r="A476" s="3">
        <f ca="1">IFERROR(__xludf.DUMMYFUNCTION("""COMPUTED_VALUE"""),495)</f>
        <v>495</v>
      </c>
      <c r="B476" s="3">
        <f ca="1">IFERROR(__xludf.DUMMYFUNCTION("""COMPUTED_VALUE"""),5)</f>
        <v>5</v>
      </c>
      <c r="C476" s="3">
        <f ca="1">IFERROR(__xludf.DUMMYFUNCTION("""COMPUTED_VALUE"""),4001)</f>
        <v>4001</v>
      </c>
      <c r="D476" s="3" t="str">
        <f ca="1">IFERROR(__xludf.DUMMYFUNCTION("""COMPUTED_VALUE"""),"Dashattan")</f>
        <v>Dashattan</v>
      </c>
      <c r="E476" s="3" t="str">
        <f ca="1">IFERROR(__xludf.DUMMYFUNCTION("""COMPUTED_VALUE"""),"Galaxy A")</f>
        <v>Galaxy A</v>
      </c>
      <c r="F476" s="3" t="str">
        <f ca="1">IFERROR(__xludf.DUMMYFUNCTION("""COMPUTED_VALUE"""),"Ron")</f>
        <v>Ron</v>
      </c>
      <c r="G476" s="3">
        <f ca="1">IFERROR(__xludf.DUMMYFUNCTION("""COMPUTED_VALUE"""),0)</f>
        <v>0</v>
      </c>
      <c r="H476" s="3" t="str">
        <f ca="1">IFERROR(__xludf.DUMMYFUNCTION("""COMPUTED_VALUE"""),"bicycle")</f>
        <v>bicycle</v>
      </c>
      <c r="I476" s="3" t="str">
        <f ca="1">IFERROR(__xludf.DUMMYFUNCTION("""COMPUTED_VALUE"""),"2055-06-04T23:44:56.456105Z")</f>
        <v>2055-06-04T23:44:56.456105Z</v>
      </c>
      <c r="J476" s="3" t="str">
        <f ca="1">IFERROR(__xludf.DUMMYFUNCTION("""COMPUTED_VALUE"""),"2055-06-05T00:46:08.595Z")</f>
        <v>2055-06-05T00:46:08.595Z</v>
      </c>
      <c r="K476" s="3" t="str">
        <f ca="1">IFERROR(__xludf.DUMMYFUNCTION("""COMPUTED_VALUE"""),"2055-06-05T00:26:29.595Z")</f>
        <v>2055-06-05T00:26:29.595Z</v>
      </c>
      <c r="L476" s="3">
        <f ca="1">IFERROR(__xludf.DUMMYFUNCTION("""COMPUTED_VALUE"""),1)</f>
        <v>1</v>
      </c>
      <c r="M476" s="3">
        <f ca="1">IFERROR(__xludf.DUMMYFUNCTION("""COMPUTED_VALUE"""),0)</f>
        <v>0</v>
      </c>
      <c r="N476" s="3" t="str">
        <f ca="1">IFERROR(__xludf.DUMMYFUNCTION("""COMPUTED_VALUE"""),"2055-06-05T00:23:59.162648Z")</f>
        <v>2055-06-05T00:23:59.162648Z</v>
      </c>
      <c r="O476" s="3" t="str">
        <f ca="1">IFERROR(__xludf.DUMMYFUNCTION("""COMPUTED_VALUE"""),"2055-06-05T00:36:28.321198Z")</f>
        <v>2055-06-05T00:36:28.321198Z</v>
      </c>
      <c r="P476" s="3" t="str">
        <f ca="1">IFERROR(__xludf.DUMMYFUNCTION("""COMPUTED_VALUE"""),"2055-06-04T23:50:35.73427Z")</f>
        <v>2055-06-04T23:50:35.73427Z</v>
      </c>
      <c r="Q476" s="3">
        <f ca="1">IFERROR(__xludf.DUMMYFUNCTION("""COMPUTED_VALUE"""),0)</f>
        <v>0</v>
      </c>
      <c r="R476" s="3" t="str">
        <f ca="1">IFERROR(__xludf.DUMMYFUNCTION("""COMPUTED_VALUE"""),"2055-06-04T23:51:06.369968Z")</f>
        <v>2055-06-04T23:51:06.369968Z</v>
      </c>
      <c r="S476" s="3" t="str">
        <f ca="1">IFERROR(__xludf.DUMMYFUNCTION("""COMPUTED_VALUE"""),"2055-06-05T00:25:48.651438Z")</f>
        <v>2055-06-05T00:25:48.651438Z</v>
      </c>
      <c r="T476" s="3"/>
      <c r="U476" s="4">
        <f ca="1">IFERROR(__xludf.DUMMYFUNCTION("""COMPUTED_VALUE"""),56769)</f>
        <v>56769</v>
      </c>
      <c r="V476" s="3">
        <f ca="1">IFERROR(__xludf.DUMMYFUNCTION("""COMPUTED_VALUE"""),3.718802896)</f>
        <v>3.7188028960000001</v>
      </c>
      <c r="W476" s="3">
        <f ca="1">IFERROR(__xludf.DUMMYFUNCTION("""COMPUTED_VALUE"""),2500)</f>
        <v>2500</v>
      </c>
      <c r="X476" s="3">
        <f ca="1">IFERROR(__xludf.DUMMYFUNCTION("""COMPUTED_VALUE"""),2722)</f>
        <v>2722</v>
      </c>
      <c r="Y476" s="3">
        <f ca="1">IFERROR(__xludf.DUMMYFUNCTION("""COMPUTED_VALUE"""),2082)</f>
        <v>2082</v>
      </c>
      <c r="Z476" s="3"/>
      <c r="AA476" s="3">
        <f ca="1">IFERROR(__xludf.DUMMYFUNCTION("""COMPUTED_VALUE"""),749)</f>
        <v>749</v>
      </c>
      <c r="AB476" s="3">
        <f ca="1">IFERROR(__xludf.DUMMYFUNCTION("""COMPUTED_VALUE"""),0)</f>
        <v>0</v>
      </c>
      <c r="AC476" s="3">
        <f ca="1">IFERROR(__xludf.DUMMYFUNCTION("""COMPUTED_VALUE"""),3)</f>
        <v>3</v>
      </c>
      <c r="AD476" s="3" t="str">
        <f ca="1">IFERROR(__xludf.DUMMYFUNCTION("""COMPUTED_VALUE"""),"late")</f>
        <v>late</v>
      </c>
      <c r="AE476" s="3" t="str">
        <f ca="1">IFERROR(__xludf.DUMMYFUNCTION("""COMPUTED_VALUE"""),"2055-06-04T20:23:59.162648Z")</f>
        <v>2055-06-04T20:23:59.162648Z</v>
      </c>
      <c r="AF476" s="3" t="str">
        <f ca="1">IFERROR(__xludf.DUMMYFUNCTION("""COMPUTED_VALUE"""),"2055-06-04T20:36:28.321198Z")</f>
        <v>2055-06-04T20:36:28.321198Z</v>
      </c>
      <c r="AG476" s="3" t="str">
        <f ca="1">IFERROR(__xludf.DUMMYFUNCTION("""COMPUTED_VALUE"""),"2055-06-04T19:50:35.73427Z")</f>
        <v>2055-06-04T19:50:35.73427Z</v>
      </c>
      <c r="AH476" s="3" t="str">
        <f ca="1">IFERROR(__xludf.DUMMYFUNCTION("""COMPUTED_VALUE"""),"2055-06-04T20:25:48.651438Z")</f>
        <v>2055-06-04T20:25:48.651438Z</v>
      </c>
      <c r="AI476" s="3">
        <f ca="1">IFERROR(__xludf.DUMMYFUNCTION("""COMPUTED_VALUE"""),4.56)</f>
        <v>4.5599999999999996</v>
      </c>
      <c r="AJ476" s="3">
        <f ca="1">IFERROR(__xludf.DUMMYFUNCTION("""COMPUTED_VALUE"""),765)</f>
        <v>765</v>
      </c>
      <c r="AK476" s="3">
        <f ca="1">IFERROR(__xludf.DUMMYFUNCTION("""COMPUTED_VALUE"""),2618)</f>
        <v>2618</v>
      </c>
      <c r="AL476" s="3"/>
    </row>
    <row r="477" spans="1:38" ht="13">
      <c r="A477" s="3">
        <f ca="1">IFERROR(__xludf.DUMMYFUNCTION("""COMPUTED_VALUE"""),537)</f>
        <v>537</v>
      </c>
      <c r="B477" s="3">
        <f ca="1">IFERROR(__xludf.DUMMYFUNCTION("""COMPUTED_VALUE"""),5)</f>
        <v>5</v>
      </c>
      <c r="C477" s="3">
        <f ca="1">IFERROR(__xludf.DUMMYFUNCTION("""COMPUTED_VALUE"""),4001)</f>
        <v>4001</v>
      </c>
      <c r="D477" s="3" t="str">
        <f ca="1">IFERROR(__xludf.DUMMYFUNCTION("""COMPUTED_VALUE"""),"Dashattan")</f>
        <v>Dashattan</v>
      </c>
      <c r="E477" s="3" t="str">
        <f ca="1">IFERROR(__xludf.DUMMYFUNCTION("""COMPUTED_VALUE"""),"Galaxy A")</f>
        <v>Galaxy A</v>
      </c>
      <c r="F477" s="3" t="str">
        <f ca="1">IFERROR(__xludf.DUMMYFUNCTION("""COMPUTED_VALUE"""),"Bret")</f>
        <v>Bret</v>
      </c>
      <c r="G477" s="3">
        <f ca="1">IFERROR(__xludf.DUMMYFUNCTION("""COMPUTED_VALUE"""),0)</f>
        <v>0</v>
      </c>
      <c r="H477" s="3" t="str">
        <f ca="1">IFERROR(__xludf.DUMMYFUNCTION("""COMPUTED_VALUE"""),"car")</f>
        <v>car</v>
      </c>
      <c r="I477" s="3" t="str">
        <f ca="1">IFERROR(__xludf.DUMMYFUNCTION("""COMPUTED_VALUE"""),"2055-06-05T13:22:47.465115Z")</f>
        <v>2055-06-05T13:22:47.465115Z</v>
      </c>
      <c r="J477" s="3" t="str">
        <f ca="1">IFERROR(__xludf.DUMMYFUNCTION("""COMPUTED_VALUE"""),"2055-06-05T14:04:28.545Z")</f>
        <v>2055-06-05T14:04:28.545Z</v>
      </c>
      <c r="K477" s="3" t="str">
        <f ca="1">IFERROR(__xludf.DUMMYFUNCTION("""COMPUTED_VALUE"""),"2055-06-05T13:50:35.545Z")</f>
        <v>2055-06-05T13:50:35.545Z</v>
      </c>
      <c r="L477" s="3">
        <f ca="1">IFERROR(__xludf.DUMMYFUNCTION("""COMPUTED_VALUE"""),1)</f>
        <v>1</v>
      </c>
      <c r="M477" s="3">
        <f ca="1">IFERROR(__xludf.DUMMYFUNCTION("""COMPUTED_VALUE"""),0)</f>
        <v>0</v>
      </c>
      <c r="N477" s="3" t="str">
        <f ca="1">IFERROR(__xludf.DUMMYFUNCTION("""COMPUTED_VALUE"""),"2055-06-05T13:40:39.413048Z")</f>
        <v>2055-06-05T13:40:39.413048Z</v>
      </c>
      <c r="O477" s="3" t="str">
        <f ca="1">IFERROR(__xludf.DUMMYFUNCTION("""COMPUTED_VALUE"""),"2055-06-05T13:52:05.898278Z")</f>
        <v>2055-06-05T13:52:05.898278Z</v>
      </c>
      <c r="P477" s="3" t="str">
        <f ca="1">IFERROR(__xludf.DUMMYFUNCTION("""COMPUTED_VALUE"""),"2055-06-05T13:26:54.101513Z")</f>
        <v>2055-06-05T13:26:54.101513Z</v>
      </c>
      <c r="Q477" s="3">
        <f ca="1">IFERROR(__xludf.DUMMYFUNCTION("""COMPUTED_VALUE"""),0)</f>
        <v>0</v>
      </c>
      <c r="R477" s="3" t="str">
        <f ca="1">IFERROR(__xludf.DUMMYFUNCTION("""COMPUTED_VALUE"""),"2055-06-05T13:27:13.913359Z")</f>
        <v>2055-06-05T13:27:13.913359Z</v>
      </c>
      <c r="S477" s="3" t="str">
        <f ca="1">IFERROR(__xludf.DUMMYFUNCTION("""COMPUTED_VALUE"""),"2055-06-05T13:34:29.522741Z")</f>
        <v>2055-06-05T13:34:29.522741Z</v>
      </c>
      <c r="T477" s="3"/>
      <c r="U477" s="4">
        <f ca="1">IFERROR(__xludf.DUMMYFUNCTION("""COMPUTED_VALUE"""),56770)</f>
        <v>56770</v>
      </c>
      <c r="V477" s="3">
        <f ca="1">IFERROR(__xludf.DUMMYFUNCTION("""COMPUTED_VALUE"""),4.004794665)</f>
        <v>4.0047946650000004</v>
      </c>
      <c r="W477" s="3">
        <f ca="1">IFERROR(__xludf.DUMMYFUNCTION("""COMPUTED_VALUE"""),2500)</f>
        <v>2500</v>
      </c>
      <c r="X477" s="3">
        <f ca="1">IFERROR(__xludf.DUMMYFUNCTION("""COMPUTED_VALUE"""),1492)</f>
        <v>1492</v>
      </c>
      <c r="Y477" s="3">
        <f ca="1">IFERROR(__xludf.DUMMYFUNCTION("""COMPUTED_VALUE"""),436)</f>
        <v>436</v>
      </c>
      <c r="Z477" s="3">
        <f ca="1">IFERROR(__xludf.DUMMYFUNCTION("""COMPUTED_VALUE"""),370)</f>
        <v>370</v>
      </c>
      <c r="AA477" s="3">
        <f ca="1">IFERROR(__xludf.DUMMYFUNCTION("""COMPUTED_VALUE"""),686)</f>
        <v>686</v>
      </c>
      <c r="AB477" s="3">
        <f ca="1">IFERROR(__xludf.DUMMYFUNCTION("""COMPUTED_VALUE"""),0)</f>
        <v>0</v>
      </c>
      <c r="AC477" s="3">
        <f ca="1">IFERROR(__xludf.DUMMYFUNCTION("""COMPUTED_VALUE"""),3)</f>
        <v>3</v>
      </c>
      <c r="AD477" s="3" t="str">
        <f ca="1">IFERROR(__xludf.DUMMYFUNCTION("""COMPUTED_VALUE"""),"on time")</f>
        <v>on time</v>
      </c>
      <c r="AE477" s="3" t="str">
        <f ca="1">IFERROR(__xludf.DUMMYFUNCTION("""COMPUTED_VALUE"""),"2055-06-05T09:40:39.413048Z")</f>
        <v>2055-06-05T09:40:39.413048Z</v>
      </c>
      <c r="AF477" s="3" t="str">
        <f ca="1">IFERROR(__xludf.DUMMYFUNCTION("""COMPUTED_VALUE"""),"2055-06-05T09:52:05.898278Z")</f>
        <v>2055-06-05T09:52:05.898278Z</v>
      </c>
      <c r="AG477" s="3" t="str">
        <f ca="1">IFERROR(__xludf.DUMMYFUNCTION("""COMPUTED_VALUE"""),"2055-06-05T09:26:54.101513Z")</f>
        <v>2055-06-05T09:26:54.101513Z</v>
      </c>
      <c r="AH477" s="3" t="str">
        <f ca="1">IFERROR(__xludf.DUMMYFUNCTION("""COMPUTED_VALUE"""),"2055-06-05T09:34:29.522741Z")</f>
        <v>2055-06-05T09:34:29.522741Z</v>
      </c>
      <c r="AI477" s="3">
        <f ca="1">IFERROR(__xludf.DUMMYFUNCTION("""COMPUTED_VALUE"""),3.82)</f>
        <v>3.82</v>
      </c>
      <c r="AJ477" s="3">
        <f ca="1">IFERROR(__xludf.DUMMYFUNCTION("""COMPUTED_VALUE"""),174)</f>
        <v>174</v>
      </c>
      <c r="AK477" s="3">
        <f ca="1">IFERROR(__xludf.DUMMYFUNCTION("""COMPUTED_VALUE"""),773)</f>
        <v>773</v>
      </c>
      <c r="AL477" s="3"/>
    </row>
    <row r="478" spans="1:38" ht="13">
      <c r="A478" s="3">
        <f ca="1">IFERROR(__xludf.DUMMYFUNCTION("""COMPUTED_VALUE"""),781)</f>
        <v>781</v>
      </c>
      <c r="B478" s="3">
        <f ca="1">IFERROR(__xludf.DUMMYFUNCTION("""COMPUTED_VALUE"""),5)</f>
        <v>5</v>
      </c>
      <c r="C478" s="3">
        <f ca="1">IFERROR(__xludf.DUMMYFUNCTION("""COMPUTED_VALUE"""),4050)</f>
        <v>4050</v>
      </c>
      <c r="D478" s="3" t="str">
        <f ca="1">IFERROR(__xludf.DUMMYFUNCTION("""COMPUTED_VALUE"""),"Doorlanta")</f>
        <v>Doorlanta</v>
      </c>
      <c r="E478" s="3" t="str">
        <f ca="1">IFERROR(__xludf.DUMMYFUNCTION("""COMPUTED_VALUE"""),"Galaxy A")</f>
        <v>Galaxy A</v>
      </c>
      <c r="F478" s="3" t="str">
        <f ca="1">IFERROR(__xludf.DUMMYFUNCTION("""COMPUTED_VALUE"""),"Drew")</f>
        <v>Drew</v>
      </c>
      <c r="G478" s="3">
        <f ca="1">IFERROR(__xludf.DUMMYFUNCTION("""COMPUTED_VALUE"""),0)</f>
        <v>0</v>
      </c>
      <c r="H478" s="3" t="str">
        <f ca="1">IFERROR(__xludf.DUMMYFUNCTION("""COMPUTED_VALUE"""),"car")</f>
        <v>car</v>
      </c>
      <c r="I478" s="3" t="str">
        <f ca="1">IFERROR(__xludf.DUMMYFUNCTION("""COMPUTED_VALUE"""),"2055-06-06T22:35:08.428728Z")</f>
        <v>2055-06-06T22:35:08.428728Z</v>
      </c>
      <c r="J478" s="3" t="str">
        <f ca="1">IFERROR(__xludf.DUMMYFUNCTION("""COMPUTED_VALUE"""),"2055-06-06T23:34:44.517Z")</f>
        <v>2055-06-06T23:34:44.517Z</v>
      </c>
      <c r="K478" s="3" t="str">
        <f ca="1">IFERROR(__xludf.DUMMYFUNCTION("""COMPUTED_VALUE"""),"2055-06-06T23:21:26.517Z")</f>
        <v>2055-06-06T23:21:26.517Z</v>
      </c>
      <c r="L478" s="3">
        <f ca="1">IFERROR(__xludf.DUMMYFUNCTION("""COMPUTED_VALUE"""),1)</f>
        <v>1</v>
      </c>
      <c r="M478" s="3">
        <f ca="1">IFERROR(__xludf.DUMMYFUNCTION("""COMPUTED_VALUE"""),0)</f>
        <v>0</v>
      </c>
      <c r="N478" s="3" t="str">
        <f ca="1">IFERROR(__xludf.DUMMYFUNCTION("""COMPUTED_VALUE"""),"2055-06-06T22:55:09.632536Z")</f>
        <v>2055-06-06T22:55:09.632536Z</v>
      </c>
      <c r="O478" s="3" t="str">
        <f ca="1">IFERROR(__xludf.DUMMYFUNCTION("""COMPUTED_VALUE"""),"2055-06-06T23:07:01.486577Z")</f>
        <v>2055-06-06T23:07:01.486577Z</v>
      </c>
      <c r="P478" s="3" t="str">
        <f ca="1">IFERROR(__xludf.DUMMYFUNCTION("""COMPUTED_VALUE"""),"2055-06-06T22:37:51.997057Z")</f>
        <v>2055-06-06T22:37:51.997057Z</v>
      </c>
      <c r="Q478" s="3">
        <f ca="1">IFERROR(__xludf.DUMMYFUNCTION("""COMPUTED_VALUE"""),0)</f>
        <v>0</v>
      </c>
      <c r="R478" s="3" t="str">
        <f ca="1">IFERROR(__xludf.DUMMYFUNCTION("""COMPUTED_VALUE"""),"2055-06-06T22:38:01.922758Z")</f>
        <v>2055-06-06T22:38:01.922758Z</v>
      </c>
      <c r="S478" s="3" t="str">
        <f ca="1">IFERROR(__xludf.DUMMYFUNCTION("""COMPUTED_VALUE"""),"2055-06-06T22:49:54.446446Z")</f>
        <v>2055-06-06T22:49:54.446446Z</v>
      </c>
      <c r="T478" s="3"/>
      <c r="U478" s="4">
        <f ca="1">IFERROR(__xludf.DUMMYFUNCTION("""COMPUTED_VALUE"""),56771)</f>
        <v>56771</v>
      </c>
      <c r="V478" s="3">
        <f ca="1">IFERROR(__xludf.DUMMYFUNCTION("""COMPUTED_VALUE"""),3.599554723)</f>
        <v>3.5995547229999998</v>
      </c>
      <c r="W478" s="3">
        <f ca="1">IFERROR(__xludf.DUMMYFUNCTION("""COMPUTED_VALUE"""),2500)</f>
        <v>2500</v>
      </c>
      <c r="X478" s="3">
        <f ca="1">IFERROR(__xludf.DUMMYFUNCTION("""COMPUTED_VALUE"""),1740)</f>
        <v>1740</v>
      </c>
      <c r="Y478" s="3">
        <f ca="1">IFERROR(__xludf.DUMMYFUNCTION("""COMPUTED_VALUE"""),713)</f>
        <v>713</v>
      </c>
      <c r="Z478" s="3">
        <f ca="1">IFERROR(__xludf.DUMMYFUNCTION("""COMPUTED_VALUE"""),315)</f>
        <v>315</v>
      </c>
      <c r="AA478" s="3">
        <f ca="1">IFERROR(__xludf.DUMMYFUNCTION("""COMPUTED_VALUE"""),712)</f>
        <v>712</v>
      </c>
      <c r="AB478" s="3">
        <f ca="1">IFERROR(__xludf.DUMMYFUNCTION("""COMPUTED_VALUE"""),0)</f>
        <v>0</v>
      </c>
      <c r="AC478" s="3">
        <f ca="1">IFERROR(__xludf.DUMMYFUNCTION("""COMPUTED_VALUE"""),3)</f>
        <v>3</v>
      </c>
      <c r="AD478" s="3" t="str">
        <f ca="1">IFERROR(__xludf.DUMMYFUNCTION("""COMPUTED_VALUE"""),"on time")</f>
        <v>on time</v>
      </c>
      <c r="AE478" s="3" t="str">
        <f ca="1">IFERROR(__xludf.DUMMYFUNCTION("""COMPUTED_VALUE"""),"2055-06-06T18:55:09.632536Z")</f>
        <v>2055-06-06T18:55:09.632536Z</v>
      </c>
      <c r="AF478" s="3" t="str">
        <f ca="1">IFERROR(__xludf.DUMMYFUNCTION("""COMPUTED_VALUE"""),"2055-06-06T19:07:01.486577Z")</f>
        <v>2055-06-06T19:07:01.486577Z</v>
      </c>
      <c r="AG478" s="3" t="str">
        <f ca="1">IFERROR(__xludf.DUMMYFUNCTION("""COMPUTED_VALUE"""),"2055-06-06T18:37:51.997057Z")</f>
        <v>2055-06-06T18:37:51.997057Z</v>
      </c>
      <c r="AH478" s="3" t="str">
        <f ca="1">IFERROR(__xludf.DUMMYFUNCTION("""COMPUTED_VALUE"""),"2055-06-06T18:49:54.446446Z")</f>
        <v>2055-06-06T18:49:54.446446Z</v>
      </c>
      <c r="AI478" s="3">
        <f ca="1">IFERROR(__xludf.DUMMYFUNCTION("""COMPUTED_VALUE"""),4.79)</f>
        <v>4.79</v>
      </c>
      <c r="AJ478" s="3">
        <f ca="1">IFERROR(__xludf.DUMMYFUNCTION("""COMPUTED_VALUE"""),213)</f>
        <v>213</v>
      </c>
      <c r="AK478" s="3">
        <f ca="1">IFERROR(__xludf.DUMMYFUNCTION("""COMPUTED_VALUE"""),611)</f>
        <v>611</v>
      </c>
      <c r="AL478" s="3">
        <f ca="1">IFERROR(__xludf.DUMMYFUNCTION("""COMPUTED_VALUE"""),122)</f>
        <v>122</v>
      </c>
    </row>
    <row r="479" spans="1:38" ht="13">
      <c r="A479" s="3">
        <f ca="1">IFERROR(__xludf.DUMMYFUNCTION("""COMPUTED_VALUE"""),824)</f>
        <v>824</v>
      </c>
      <c r="B479" s="3"/>
      <c r="C479" s="3">
        <f ca="1">IFERROR(__xludf.DUMMYFUNCTION("""COMPUTED_VALUE"""),4001)</f>
        <v>4001</v>
      </c>
      <c r="D479" s="3" t="str">
        <f ca="1">IFERROR(__xludf.DUMMYFUNCTION("""COMPUTED_VALUE"""),"Dashattan")</f>
        <v>Dashattan</v>
      </c>
      <c r="E479" s="3" t="str">
        <f ca="1">IFERROR(__xludf.DUMMYFUNCTION("""COMPUTED_VALUE"""),"Galaxy A")</f>
        <v>Galaxy A</v>
      </c>
      <c r="F479" s="3" t="str">
        <f ca="1">IFERROR(__xludf.DUMMYFUNCTION("""COMPUTED_VALUE"""),"Bret")</f>
        <v>Bret</v>
      </c>
      <c r="G479" s="3">
        <f ca="1">IFERROR(__xludf.DUMMYFUNCTION("""COMPUTED_VALUE"""),0)</f>
        <v>0</v>
      </c>
      <c r="H479" s="3" t="str">
        <f ca="1">IFERROR(__xludf.DUMMYFUNCTION("""COMPUTED_VALUE"""),"car")</f>
        <v>car</v>
      </c>
      <c r="I479" s="3" t="str">
        <f ca="1">IFERROR(__xludf.DUMMYFUNCTION("""COMPUTED_VALUE"""),"2055-06-07T12:45:59.668373Z")</f>
        <v>2055-06-07T12:45:59.668373Z</v>
      </c>
      <c r="J479" s="3" t="str">
        <f ca="1">IFERROR(__xludf.DUMMYFUNCTION("""COMPUTED_VALUE"""),"2055-06-07T13:26:08.758Z")</f>
        <v>2055-06-07T13:26:08.758Z</v>
      </c>
      <c r="K479" s="3" t="str">
        <f ca="1">IFERROR(__xludf.DUMMYFUNCTION("""COMPUTED_VALUE"""),"2055-06-07T13:17:15.758Z")</f>
        <v>2055-06-07T13:17:15.758Z</v>
      </c>
      <c r="L479" s="3">
        <f ca="1">IFERROR(__xludf.DUMMYFUNCTION("""COMPUTED_VALUE"""),1)</f>
        <v>1</v>
      </c>
      <c r="M479" s="3">
        <f ca="1">IFERROR(__xludf.DUMMYFUNCTION("""COMPUTED_VALUE"""),0)</f>
        <v>0</v>
      </c>
      <c r="N479" s="3" t="str">
        <f ca="1">IFERROR(__xludf.DUMMYFUNCTION("""COMPUTED_VALUE"""),"2055-06-07T13:16:08.432274Z")</f>
        <v>2055-06-07T13:16:08.432274Z</v>
      </c>
      <c r="O479" s="3" t="str">
        <f ca="1">IFERROR(__xludf.DUMMYFUNCTION("""COMPUTED_VALUE"""),"2055-06-07T13:29:14.539689Z")</f>
        <v>2055-06-07T13:29:14.539689Z</v>
      </c>
      <c r="P479" s="3" t="str">
        <f ca="1">IFERROR(__xludf.DUMMYFUNCTION("""COMPUTED_VALUE"""),"2055-06-07T12:51:34.057672Z")</f>
        <v>2055-06-07T12:51:34.057672Z</v>
      </c>
      <c r="Q479" s="3">
        <f ca="1">IFERROR(__xludf.DUMMYFUNCTION("""COMPUTED_VALUE"""),0)</f>
        <v>0</v>
      </c>
      <c r="R479" s="3" t="str">
        <f ca="1">IFERROR(__xludf.DUMMYFUNCTION("""COMPUTED_VALUE"""),"2055-06-07T12:52:30.305568Z")</f>
        <v>2055-06-07T12:52:30.305568Z</v>
      </c>
      <c r="S479" s="3" t="str">
        <f ca="1">IFERROR(__xludf.DUMMYFUNCTION("""COMPUTED_VALUE"""),"2055-06-07T13:04:13.499756Z")</f>
        <v>2055-06-07T13:04:13.499756Z</v>
      </c>
      <c r="T479" s="3"/>
      <c r="U479" s="4">
        <f ca="1">IFERROR(__xludf.DUMMYFUNCTION("""COMPUTED_VALUE"""),56772)</f>
        <v>56772</v>
      </c>
      <c r="V479" s="3">
        <f ca="1">IFERROR(__xludf.DUMMYFUNCTION("""COMPUTED_VALUE"""),4.6)</f>
        <v>4.5999999999999996</v>
      </c>
      <c r="W479" s="3">
        <f ca="1">IFERROR(__xludf.DUMMYFUNCTION("""COMPUTED_VALUE"""),2500)</f>
        <v>2500</v>
      </c>
      <c r="X479" s="3">
        <f ca="1">IFERROR(__xludf.DUMMYFUNCTION("""COMPUTED_VALUE"""),2204)</f>
        <v>2204</v>
      </c>
      <c r="Y479" s="3">
        <f ca="1">IFERROR(__xludf.DUMMYFUNCTION("""COMPUTED_VALUE"""),703)</f>
        <v>703</v>
      </c>
      <c r="Z479" s="3">
        <f ca="1">IFERROR(__xludf.DUMMYFUNCTION("""COMPUTED_VALUE"""),715)</f>
        <v>715</v>
      </c>
      <c r="AA479" s="3">
        <f ca="1">IFERROR(__xludf.DUMMYFUNCTION("""COMPUTED_VALUE"""),786)</f>
        <v>786</v>
      </c>
      <c r="AB479" s="3">
        <f ca="1">IFERROR(__xludf.DUMMYFUNCTION("""COMPUTED_VALUE"""),0)</f>
        <v>0</v>
      </c>
      <c r="AC479" s="3">
        <f ca="1">IFERROR(__xludf.DUMMYFUNCTION("""COMPUTED_VALUE"""),3)</f>
        <v>3</v>
      </c>
      <c r="AD479" s="3" t="str">
        <f ca="1">IFERROR(__xludf.DUMMYFUNCTION("""COMPUTED_VALUE"""),"late")</f>
        <v>late</v>
      </c>
      <c r="AE479" s="3" t="str">
        <f ca="1">IFERROR(__xludf.DUMMYFUNCTION("""COMPUTED_VALUE"""),"2055-06-07T09:16:08.432274Z")</f>
        <v>2055-06-07T09:16:08.432274Z</v>
      </c>
      <c r="AF479" s="3" t="str">
        <f ca="1">IFERROR(__xludf.DUMMYFUNCTION("""COMPUTED_VALUE"""),"2055-06-07T09:29:14.539689Z")</f>
        <v>2055-06-07T09:29:14.539689Z</v>
      </c>
      <c r="AG479" s="3" t="str">
        <f ca="1">IFERROR(__xludf.DUMMYFUNCTION("""COMPUTED_VALUE"""),"2055-06-07T08:51:34.057672Z")</f>
        <v>2055-06-07T08:51:34.057672Z</v>
      </c>
      <c r="AH479" s="3" t="str">
        <f ca="1">IFERROR(__xludf.DUMMYFUNCTION("""COMPUTED_VALUE"""),"2055-06-07T09:04:13.499756Z")</f>
        <v>2055-06-07T09:04:13.499756Z</v>
      </c>
      <c r="AI479" s="3">
        <f ca="1">IFERROR(__xludf.DUMMYFUNCTION("""COMPUTED_VALUE"""),3.82)</f>
        <v>3.82</v>
      </c>
      <c r="AJ479" s="3">
        <f ca="1">IFERROR(__xludf.DUMMYFUNCTION("""COMPUTED_VALUE"""),174)</f>
        <v>174</v>
      </c>
      <c r="AK479" s="3">
        <f ca="1">IFERROR(__xludf.DUMMYFUNCTION("""COMPUTED_VALUE"""),773)</f>
        <v>773</v>
      </c>
      <c r="AL479" s="3"/>
    </row>
    <row r="480" spans="1:38" ht="13">
      <c r="A480" s="3">
        <f ca="1">IFERROR(__xludf.DUMMYFUNCTION("""COMPUTED_VALUE"""),1280)</f>
        <v>1280</v>
      </c>
      <c r="B480" s="3">
        <f ca="1">IFERROR(__xludf.DUMMYFUNCTION("""COMPUTED_VALUE"""),5)</f>
        <v>5</v>
      </c>
      <c r="C480" s="3">
        <f ca="1">IFERROR(__xludf.DUMMYFUNCTION("""COMPUTED_VALUE"""),4001)</f>
        <v>4001</v>
      </c>
      <c r="D480" s="3" t="str">
        <f ca="1">IFERROR(__xludf.DUMMYFUNCTION("""COMPUTED_VALUE"""),"Dashattan")</f>
        <v>Dashattan</v>
      </c>
      <c r="E480" s="3" t="str">
        <f ca="1">IFERROR(__xludf.DUMMYFUNCTION("""COMPUTED_VALUE"""),"Galaxy A")</f>
        <v>Galaxy A</v>
      </c>
      <c r="F480" s="3" t="str">
        <f ca="1">IFERROR(__xludf.DUMMYFUNCTION("""COMPUTED_VALUE"""),"KC")</f>
        <v>KC</v>
      </c>
      <c r="G480" s="3">
        <f ca="1">IFERROR(__xludf.DUMMYFUNCTION("""COMPUTED_VALUE"""),0)</f>
        <v>0</v>
      </c>
      <c r="H480" s="3" t="str">
        <f ca="1">IFERROR(__xludf.DUMMYFUNCTION("""COMPUTED_VALUE"""),"car")</f>
        <v>car</v>
      </c>
      <c r="I480" s="3" t="str">
        <f ca="1">IFERROR(__xludf.DUMMYFUNCTION("""COMPUTED_VALUE"""),"2055-06-11T18:43:01.751916Z")</f>
        <v>2055-06-11T18:43:01.751916Z</v>
      </c>
      <c r="J480" s="3" t="str">
        <f ca="1">IFERROR(__xludf.DUMMYFUNCTION("""COMPUTED_VALUE"""),"2055-06-11T19:31:29.806Z")</f>
        <v>2055-06-11T19:31:29.806Z</v>
      </c>
      <c r="K480" s="3" t="str">
        <f ca="1">IFERROR(__xludf.DUMMYFUNCTION("""COMPUTED_VALUE"""),"2055-06-11T19:18:11.806Z")</f>
        <v>2055-06-11T19:18:11.806Z</v>
      </c>
      <c r="L480" s="3">
        <f ca="1">IFERROR(__xludf.DUMMYFUNCTION("""COMPUTED_VALUE"""),1)</f>
        <v>1</v>
      </c>
      <c r="M480" s="3">
        <f ca="1">IFERROR(__xludf.DUMMYFUNCTION("""COMPUTED_VALUE"""),0)</f>
        <v>0</v>
      </c>
      <c r="N480" s="3" t="str">
        <f ca="1">IFERROR(__xludf.DUMMYFUNCTION("""COMPUTED_VALUE"""),"2055-06-11T19:09:11.910491Z")</f>
        <v>2055-06-11T19:09:11.910491Z</v>
      </c>
      <c r="O480" s="3" t="str">
        <f ca="1">IFERROR(__xludf.DUMMYFUNCTION("""COMPUTED_VALUE"""),"2055-06-11T19:20:06.116426Z")</f>
        <v>2055-06-11T19:20:06.116426Z</v>
      </c>
      <c r="P480" s="3" t="str">
        <f ca="1">IFERROR(__xludf.DUMMYFUNCTION("""COMPUTED_VALUE"""),"2055-06-11T18:49:14.511642Z")</f>
        <v>2055-06-11T18:49:14.511642Z</v>
      </c>
      <c r="Q480" s="3">
        <f ca="1">IFERROR(__xludf.DUMMYFUNCTION("""COMPUTED_VALUE"""),0)</f>
        <v>0</v>
      </c>
      <c r="R480" s="3" t="str">
        <f ca="1">IFERROR(__xludf.DUMMYFUNCTION("""COMPUTED_VALUE"""),"2055-06-11T18:49:28.627091Z")</f>
        <v>2055-06-11T18:49:28.627091Z</v>
      </c>
      <c r="S480" s="3" t="str">
        <f ca="1">IFERROR(__xludf.DUMMYFUNCTION("""COMPUTED_VALUE"""),"2055-06-11T19:03:58.558052Z")</f>
        <v>2055-06-11T19:03:58.558052Z</v>
      </c>
      <c r="T480" s="3"/>
      <c r="U480" s="4">
        <f ca="1">IFERROR(__xludf.DUMMYFUNCTION("""COMPUTED_VALUE"""),56776)</f>
        <v>56776</v>
      </c>
      <c r="V480" s="3">
        <f ca="1">IFERROR(__xludf.DUMMYFUNCTION("""COMPUTED_VALUE"""),4.5)</f>
        <v>4.5</v>
      </c>
      <c r="W480" s="3">
        <f ca="1">IFERROR(__xludf.DUMMYFUNCTION("""COMPUTED_VALUE"""),2500)</f>
        <v>2500</v>
      </c>
      <c r="X480" s="3">
        <f ca="1">IFERROR(__xludf.DUMMYFUNCTION("""COMPUTED_VALUE"""),1838)</f>
        <v>1838</v>
      </c>
      <c r="Y480" s="3">
        <f ca="1">IFERROR(__xludf.DUMMYFUNCTION("""COMPUTED_VALUE"""),870)</f>
        <v>870</v>
      </c>
      <c r="Z480" s="3">
        <f ca="1">IFERROR(__xludf.DUMMYFUNCTION("""COMPUTED_VALUE"""),313)</f>
        <v>313</v>
      </c>
      <c r="AA480" s="3">
        <f ca="1">IFERROR(__xludf.DUMMYFUNCTION("""COMPUTED_VALUE"""),655)</f>
        <v>655</v>
      </c>
      <c r="AB480" s="3">
        <f ca="1">IFERROR(__xludf.DUMMYFUNCTION("""COMPUTED_VALUE"""),0)</f>
        <v>0</v>
      </c>
      <c r="AC480" s="3">
        <f ca="1">IFERROR(__xludf.DUMMYFUNCTION("""COMPUTED_VALUE"""),2)</f>
        <v>2</v>
      </c>
      <c r="AD480" s="3" t="str">
        <f ca="1">IFERROR(__xludf.DUMMYFUNCTION("""COMPUTED_VALUE"""),"late")</f>
        <v>late</v>
      </c>
      <c r="AE480" s="3" t="str">
        <f ca="1">IFERROR(__xludf.DUMMYFUNCTION("""COMPUTED_VALUE"""),"2055-06-11T15:09:11.910491Z")</f>
        <v>2055-06-11T15:09:11.910491Z</v>
      </c>
      <c r="AF480" s="3" t="str">
        <f ca="1">IFERROR(__xludf.DUMMYFUNCTION("""COMPUTED_VALUE"""),"2055-06-11T15:20:06.116426Z")</f>
        <v>2055-06-11T15:20:06.116426Z</v>
      </c>
      <c r="AG480" s="3" t="str">
        <f ca="1">IFERROR(__xludf.DUMMYFUNCTION("""COMPUTED_VALUE"""),"2055-06-11T14:49:14.511642Z")</f>
        <v>2055-06-11T14:49:14.511642Z</v>
      </c>
      <c r="AH480" s="3" t="str">
        <f ca="1">IFERROR(__xludf.DUMMYFUNCTION("""COMPUTED_VALUE"""),"2055-06-11T15:03:58.558052Z")</f>
        <v>2055-06-11T15:03:58.558052Z</v>
      </c>
      <c r="AI480" s="3">
        <f ca="1">IFERROR(__xludf.DUMMYFUNCTION("""COMPUTED_VALUE"""),4.54)</f>
        <v>4.54</v>
      </c>
      <c r="AJ480" s="3">
        <f ca="1">IFERROR(__xludf.DUMMYFUNCTION("""COMPUTED_VALUE"""),2229)</f>
        <v>2229</v>
      </c>
      <c r="AK480" s="3">
        <f ca="1">IFERROR(__xludf.DUMMYFUNCTION("""COMPUTED_VALUE"""),6580)</f>
        <v>6580</v>
      </c>
      <c r="AL480" s="3"/>
    </row>
    <row r="481" spans="1:38" ht="13">
      <c r="A481" s="3">
        <f ca="1">IFERROR(__xludf.DUMMYFUNCTION("""COMPUTED_VALUE"""),1372)</f>
        <v>1372</v>
      </c>
      <c r="B481" s="3"/>
      <c r="C481" s="3">
        <f ca="1">IFERROR(__xludf.DUMMYFUNCTION("""COMPUTED_VALUE"""),4001)</f>
        <v>4001</v>
      </c>
      <c r="D481" s="3" t="str">
        <f ca="1">IFERROR(__xludf.DUMMYFUNCTION("""COMPUTED_VALUE"""),"Dashattan")</f>
        <v>Dashattan</v>
      </c>
      <c r="E481" s="3" t="str">
        <f ca="1">IFERROR(__xludf.DUMMYFUNCTION("""COMPUTED_VALUE"""),"Galaxy A")</f>
        <v>Galaxy A</v>
      </c>
      <c r="F481" s="3" t="str">
        <f ca="1">IFERROR(__xludf.DUMMYFUNCTION("""COMPUTED_VALUE"""),"Rojan")</f>
        <v>Rojan</v>
      </c>
      <c r="G481" s="3">
        <f ca="1">IFERROR(__xludf.DUMMYFUNCTION("""COMPUTED_VALUE"""),0)</f>
        <v>0</v>
      </c>
      <c r="H481" s="3" t="str">
        <f ca="1">IFERROR(__xludf.DUMMYFUNCTION("""COMPUTED_VALUE"""),"bicycle")</f>
        <v>bicycle</v>
      </c>
      <c r="I481" s="3" t="str">
        <f ca="1">IFERROR(__xludf.DUMMYFUNCTION("""COMPUTED_VALUE"""),"2055-06-12T01:40:34.194782Z")</f>
        <v>2055-06-12T01:40:34.194782Z</v>
      </c>
      <c r="J481" s="3" t="str">
        <f ca="1">IFERROR(__xludf.DUMMYFUNCTION("""COMPUTED_VALUE"""),"2055-06-12T02:32:00.26Z")</f>
        <v>2055-06-12T02:32:00.26Z</v>
      </c>
      <c r="K481" s="3" t="str">
        <f ca="1">IFERROR(__xludf.DUMMYFUNCTION("""COMPUTED_VALUE"""),"2055-06-12T02:11:53.26Z")</f>
        <v>2055-06-12T02:11:53.26Z</v>
      </c>
      <c r="L481" s="3">
        <f ca="1">IFERROR(__xludf.DUMMYFUNCTION("""COMPUTED_VALUE"""),1)</f>
        <v>1</v>
      </c>
      <c r="M481" s="3">
        <f ca="1">IFERROR(__xludf.DUMMYFUNCTION("""COMPUTED_VALUE"""),0)</f>
        <v>0</v>
      </c>
      <c r="N481" s="3" t="str">
        <f ca="1">IFERROR(__xludf.DUMMYFUNCTION("""COMPUTED_VALUE"""),"2055-06-12T01:58:32.617862Z")</f>
        <v>2055-06-12T01:58:32.617862Z</v>
      </c>
      <c r="O481" s="3" t="str">
        <f ca="1">IFERROR(__xludf.DUMMYFUNCTION("""COMPUTED_VALUE"""),"2055-06-12T02:07:22.520473Z")</f>
        <v>2055-06-12T02:07:22.520473Z</v>
      </c>
      <c r="P481" s="3" t="str">
        <f ca="1">IFERROR(__xludf.DUMMYFUNCTION("""COMPUTED_VALUE"""),"2055-06-12T01:46:54.510201Z")</f>
        <v>2055-06-12T01:46:54.510201Z</v>
      </c>
      <c r="Q481" s="3">
        <f ca="1">IFERROR(__xludf.DUMMYFUNCTION("""COMPUTED_VALUE"""),0)</f>
        <v>0</v>
      </c>
      <c r="R481" s="3" t="str">
        <f ca="1">IFERROR(__xludf.DUMMYFUNCTION("""COMPUTED_VALUE"""),"2055-06-12T01:47:11.842942Z")</f>
        <v>2055-06-12T01:47:11.842942Z</v>
      </c>
      <c r="S481" s="3" t="str">
        <f ca="1">IFERROR(__xludf.DUMMYFUNCTION("""COMPUTED_VALUE"""),"2055-06-12T01:56:08.338418Z")</f>
        <v>2055-06-12T01:56:08.338418Z</v>
      </c>
      <c r="T481" s="3"/>
      <c r="U481" s="4">
        <f ca="1">IFERROR(__xludf.DUMMYFUNCTION("""COMPUTED_VALUE"""),56776)</f>
        <v>56776</v>
      </c>
      <c r="V481" s="3">
        <f ca="1">IFERROR(__xludf.DUMMYFUNCTION("""COMPUTED_VALUE"""),4.5)</f>
        <v>4.5</v>
      </c>
      <c r="W481" s="3">
        <f ca="1">IFERROR(__xludf.DUMMYFUNCTION("""COMPUTED_VALUE"""),2500)</f>
        <v>2500</v>
      </c>
      <c r="X481" s="3">
        <f ca="1">IFERROR(__xludf.DUMMYFUNCTION("""COMPUTED_VALUE"""),1211)</f>
        <v>1211</v>
      </c>
      <c r="Y481" s="3">
        <f ca="1">IFERROR(__xludf.DUMMYFUNCTION("""COMPUTED_VALUE"""),537)</f>
        <v>537</v>
      </c>
      <c r="Z481" s="3">
        <f ca="1">IFERROR(__xludf.DUMMYFUNCTION("""COMPUTED_VALUE"""),144)</f>
        <v>144</v>
      </c>
      <c r="AA481" s="3">
        <f ca="1">IFERROR(__xludf.DUMMYFUNCTION("""COMPUTED_VALUE"""),530)</f>
        <v>530</v>
      </c>
      <c r="AB481" s="3">
        <f ca="1">IFERROR(__xludf.DUMMYFUNCTION("""COMPUTED_VALUE"""),0)</f>
        <v>0</v>
      </c>
      <c r="AC481" s="3">
        <f ca="1">IFERROR(__xludf.DUMMYFUNCTION("""COMPUTED_VALUE"""),4)</f>
        <v>4</v>
      </c>
      <c r="AD481" s="3" t="str">
        <f ca="1">IFERROR(__xludf.DUMMYFUNCTION("""COMPUTED_VALUE"""),"on time")</f>
        <v>on time</v>
      </c>
      <c r="AE481" s="3" t="str">
        <f ca="1">IFERROR(__xludf.DUMMYFUNCTION("""COMPUTED_VALUE"""),"2055-06-11T21:58:32.617862Z")</f>
        <v>2055-06-11T21:58:32.617862Z</v>
      </c>
      <c r="AF481" s="3" t="str">
        <f ca="1">IFERROR(__xludf.DUMMYFUNCTION("""COMPUTED_VALUE"""),"2055-06-11T22:07:22.520473Z")</f>
        <v>2055-06-11T22:07:22.520473Z</v>
      </c>
      <c r="AG481" s="3" t="str">
        <f ca="1">IFERROR(__xludf.DUMMYFUNCTION("""COMPUTED_VALUE"""),"2055-06-11T21:46:54.510201Z")</f>
        <v>2055-06-11T21:46:54.510201Z</v>
      </c>
      <c r="AH481" s="3" t="str">
        <f ca="1">IFERROR(__xludf.DUMMYFUNCTION("""COMPUTED_VALUE"""),"2055-06-11T21:56:08.338418Z")</f>
        <v>2055-06-11T21:56:08.338418Z</v>
      </c>
      <c r="AI481" s="3">
        <f ca="1">IFERROR(__xludf.DUMMYFUNCTION("""COMPUTED_VALUE"""),4.58)</f>
        <v>4.58</v>
      </c>
      <c r="AJ481" s="3">
        <f ca="1">IFERROR(__xludf.DUMMYFUNCTION("""COMPUTED_VALUE"""),254)</f>
        <v>254</v>
      </c>
      <c r="AK481" s="3">
        <f ca="1">IFERROR(__xludf.DUMMYFUNCTION("""COMPUTED_VALUE"""),788)</f>
        <v>788</v>
      </c>
      <c r="AL481" s="3">
        <f ca="1">IFERROR(__xludf.DUMMYFUNCTION("""COMPUTED_VALUE"""),9)</f>
        <v>9</v>
      </c>
    </row>
    <row r="482" spans="1:38" ht="13">
      <c r="A482" s="3">
        <f ca="1">IFERROR(__xludf.DUMMYFUNCTION("""COMPUTED_VALUE"""),934)</f>
        <v>934</v>
      </c>
      <c r="B482" s="3"/>
      <c r="C482" s="3">
        <f ca="1">IFERROR(__xludf.DUMMYFUNCTION("""COMPUTED_VALUE"""),4050)</f>
        <v>4050</v>
      </c>
      <c r="D482" s="3" t="str">
        <f ca="1">IFERROR(__xludf.DUMMYFUNCTION("""COMPUTED_VALUE"""),"Doorlanta")</f>
        <v>Doorlanta</v>
      </c>
      <c r="E482" s="3" t="str">
        <f ca="1">IFERROR(__xludf.DUMMYFUNCTION("""COMPUTED_VALUE"""),"Galaxy A")</f>
        <v>Galaxy A</v>
      </c>
      <c r="F482" s="3" t="str">
        <f ca="1">IFERROR(__xludf.DUMMYFUNCTION("""COMPUTED_VALUE"""),"Cate")</f>
        <v>Cate</v>
      </c>
      <c r="G482" s="3">
        <f ca="1">IFERROR(__xludf.DUMMYFUNCTION("""COMPUTED_VALUE"""),0)</f>
        <v>0</v>
      </c>
      <c r="H482" s="3" t="str">
        <f ca="1">IFERROR(__xludf.DUMMYFUNCTION("""COMPUTED_VALUE"""),"car")</f>
        <v>car</v>
      </c>
      <c r="I482" s="3" t="str">
        <f ca="1">IFERROR(__xludf.DUMMYFUNCTION("""COMPUTED_VALUE"""),"2055-06-08T15:16:16.098162Z")</f>
        <v>2055-06-08T15:16:16.098162Z</v>
      </c>
      <c r="J482" s="3" t="str">
        <f ca="1">IFERROR(__xludf.DUMMYFUNCTION("""COMPUTED_VALUE"""),"2055-06-08T16:45:25.174Z")</f>
        <v>2055-06-08T16:45:25.174Z</v>
      </c>
      <c r="K482" s="3" t="str">
        <f ca="1">IFERROR(__xludf.DUMMYFUNCTION("""COMPUTED_VALUE"""),"2055-06-08T16:17:12.174Z")</f>
        <v>2055-06-08T16:17:12.174Z</v>
      </c>
      <c r="L482" s="3">
        <f ca="1">IFERROR(__xludf.DUMMYFUNCTION("""COMPUTED_VALUE"""),1)</f>
        <v>1</v>
      </c>
      <c r="M482" s="3">
        <f ca="1">IFERROR(__xludf.DUMMYFUNCTION("""COMPUTED_VALUE"""),0)</f>
        <v>0</v>
      </c>
      <c r="N482" s="3" t="str">
        <f ca="1">IFERROR(__xludf.DUMMYFUNCTION("""COMPUTED_VALUE"""),"2055-06-08T15:30:24.823294Z")</f>
        <v>2055-06-08T15:30:24.823294Z</v>
      </c>
      <c r="O482" s="3" t="str">
        <f ca="1">IFERROR(__xludf.DUMMYFUNCTION("""COMPUTED_VALUE"""),"2055-06-08T15:44:57.692354Z")</f>
        <v>2055-06-08T15:44:57.692354Z</v>
      </c>
      <c r="P482" s="3" t="str">
        <f ca="1">IFERROR(__xludf.DUMMYFUNCTION("""COMPUTED_VALUE"""),"2055-06-08T15:19:07.296757Z")</f>
        <v>2055-06-08T15:19:07.296757Z</v>
      </c>
      <c r="Q482" s="3">
        <f ca="1">IFERROR(__xludf.DUMMYFUNCTION("""COMPUTED_VALUE"""),0)</f>
        <v>0</v>
      </c>
      <c r="R482" s="3" t="str">
        <f ca="1">IFERROR(__xludf.DUMMYFUNCTION("""COMPUTED_VALUE"""),"2055-06-08T15:19:10.122884Z")</f>
        <v>2055-06-08T15:19:10.122884Z</v>
      </c>
      <c r="S482" s="3" t="str">
        <f ca="1">IFERROR(__xludf.DUMMYFUNCTION("""COMPUTED_VALUE"""),"2055-06-08T15:29:14.586842Z")</f>
        <v>2055-06-08T15:29:14.586842Z</v>
      </c>
      <c r="T482" s="3"/>
      <c r="U482" s="4">
        <f ca="1">IFERROR(__xludf.DUMMYFUNCTION("""COMPUTED_VALUE"""),56773)</f>
        <v>56773</v>
      </c>
      <c r="V482" s="3">
        <f ca="1">IFERROR(__xludf.DUMMYFUNCTION("""COMPUTED_VALUE"""),4.6)</f>
        <v>4.5999999999999996</v>
      </c>
      <c r="W482" s="3">
        <f ca="1">IFERROR(__xludf.DUMMYFUNCTION("""COMPUTED_VALUE"""),2500)</f>
        <v>2500</v>
      </c>
      <c r="X482" s="3">
        <f ca="1">IFERROR(__xludf.DUMMYFUNCTION("""COMPUTED_VALUE"""),1547)</f>
        <v>1547</v>
      </c>
      <c r="Y482" s="3">
        <f ca="1">IFERROR(__xludf.DUMMYFUNCTION("""COMPUTED_VALUE"""),604)</f>
        <v>604</v>
      </c>
      <c r="Z482" s="3">
        <f ca="1">IFERROR(__xludf.DUMMYFUNCTION("""COMPUTED_VALUE"""),70)</f>
        <v>70</v>
      </c>
      <c r="AA482" s="3">
        <f ca="1">IFERROR(__xludf.DUMMYFUNCTION("""COMPUTED_VALUE"""),873)</f>
        <v>873</v>
      </c>
      <c r="AB482" s="3">
        <f ca="1">IFERROR(__xludf.DUMMYFUNCTION("""COMPUTED_VALUE"""),0)</f>
        <v>0</v>
      </c>
      <c r="AC482" s="3">
        <f ca="1">IFERROR(__xludf.DUMMYFUNCTION("""COMPUTED_VALUE"""),4)</f>
        <v>4</v>
      </c>
      <c r="AD482" s="3" t="str">
        <f ca="1">IFERROR(__xludf.DUMMYFUNCTION("""COMPUTED_VALUE"""),"on time")</f>
        <v>on time</v>
      </c>
      <c r="AE482" s="3" t="str">
        <f ca="1">IFERROR(__xludf.DUMMYFUNCTION("""COMPUTED_VALUE"""),"2055-06-08T11:30:24.823294Z")</f>
        <v>2055-06-08T11:30:24.823294Z</v>
      </c>
      <c r="AF482" s="3" t="str">
        <f ca="1">IFERROR(__xludf.DUMMYFUNCTION("""COMPUTED_VALUE"""),"2055-06-08T11:44:57.692354Z")</f>
        <v>2055-06-08T11:44:57.692354Z</v>
      </c>
      <c r="AG482" s="3" t="str">
        <f ca="1">IFERROR(__xludf.DUMMYFUNCTION("""COMPUTED_VALUE"""),"2055-06-08T11:19:07.296757Z")</f>
        <v>2055-06-08T11:19:07.296757Z</v>
      </c>
      <c r="AH482" s="3" t="str">
        <f ca="1">IFERROR(__xludf.DUMMYFUNCTION("""COMPUTED_VALUE"""),"2055-06-08T11:29:14.586842Z")</f>
        <v>2055-06-08T11:29:14.586842Z</v>
      </c>
      <c r="AI482" s="3">
        <f ca="1">IFERROR(__xludf.DUMMYFUNCTION("""COMPUTED_VALUE"""),4.49)</f>
        <v>4.49</v>
      </c>
      <c r="AJ482" s="3">
        <f ca="1">IFERROR(__xludf.DUMMYFUNCTION("""COMPUTED_VALUE"""),2315)</f>
        <v>2315</v>
      </c>
      <c r="AK482" s="3">
        <f ca="1">IFERROR(__xludf.DUMMYFUNCTION("""COMPUTED_VALUE"""),7039)</f>
        <v>7039</v>
      </c>
      <c r="AL482" s="3">
        <f ca="1">IFERROR(__xludf.DUMMYFUNCTION("""COMPUTED_VALUE"""),763)</f>
        <v>763</v>
      </c>
    </row>
    <row r="483" spans="1:38" ht="13">
      <c r="A483" s="3">
        <f ca="1">IFERROR(__xludf.DUMMYFUNCTION("""COMPUTED_VALUE"""),544)</f>
        <v>544</v>
      </c>
      <c r="B483" s="3"/>
      <c r="C483" s="3">
        <f ca="1">IFERROR(__xludf.DUMMYFUNCTION("""COMPUTED_VALUE"""),4001)</f>
        <v>4001</v>
      </c>
      <c r="D483" s="3" t="str">
        <f ca="1">IFERROR(__xludf.DUMMYFUNCTION("""COMPUTED_VALUE"""),"Dashattan")</f>
        <v>Dashattan</v>
      </c>
      <c r="E483" s="3" t="str">
        <f ca="1">IFERROR(__xludf.DUMMYFUNCTION("""COMPUTED_VALUE"""),"Galaxy A")</f>
        <v>Galaxy A</v>
      </c>
      <c r="F483" s="3" t="str">
        <f ca="1">IFERROR(__xludf.DUMMYFUNCTION("""COMPUTED_VALUE"""),"KC")</f>
        <v>KC</v>
      </c>
      <c r="G483" s="3">
        <f ca="1">IFERROR(__xludf.DUMMYFUNCTION("""COMPUTED_VALUE"""),0)</f>
        <v>0</v>
      </c>
      <c r="H483" s="3" t="str">
        <f ca="1">IFERROR(__xludf.DUMMYFUNCTION("""COMPUTED_VALUE"""),"car")</f>
        <v>car</v>
      </c>
      <c r="I483" s="3" t="str">
        <f ca="1">IFERROR(__xludf.DUMMYFUNCTION("""COMPUTED_VALUE"""),"2055-06-05T14:29:04.685305Z")</f>
        <v>2055-06-05T14:29:04.685305Z</v>
      </c>
      <c r="J483" s="3" t="str">
        <f ca="1">IFERROR(__xludf.DUMMYFUNCTION("""COMPUTED_VALUE"""),"2055-06-05T15:45:00Z")</f>
        <v>2055-06-05T15:45:00Z</v>
      </c>
      <c r="K483" s="3" t="str">
        <f ca="1">IFERROR(__xludf.DUMMYFUNCTION("""COMPUTED_VALUE"""),"2055-06-05T15:45:00Z")</f>
        <v>2055-06-05T15:45:00Z</v>
      </c>
      <c r="L483" s="3">
        <f ca="1">IFERROR(__xludf.DUMMYFUNCTION("""COMPUTED_VALUE"""),0)</f>
        <v>0</v>
      </c>
      <c r="M483" s="3">
        <f ca="1">IFERROR(__xludf.DUMMYFUNCTION("""COMPUTED_VALUE"""),0)</f>
        <v>0</v>
      </c>
      <c r="N483" s="3" t="str">
        <f ca="1">IFERROR(__xludf.DUMMYFUNCTION("""COMPUTED_VALUE"""),"2055-06-05T15:06:51.763414Z")</f>
        <v>2055-06-05T15:06:51.763414Z</v>
      </c>
      <c r="O483" s="3" t="str">
        <f ca="1">IFERROR(__xludf.DUMMYFUNCTION("""COMPUTED_VALUE"""),"2055-06-05T15:17:40.740752Z")</f>
        <v>2055-06-05T15:17:40.740752Z</v>
      </c>
      <c r="P483" s="3" t="str">
        <f ca="1">IFERROR(__xludf.DUMMYFUNCTION("""COMPUTED_VALUE"""),"2055-06-05T14:45:54.245Z")</f>
        <v>2055-06-05T14:45:54.245Z</v>
      </c>
      <c r="Q483" s="3">
        <f ca="1">IFERROR(__xludf.DUMMYFUNCTION("""COMPUTED_VALUE"""),0)</f>
        <v>0</v>
      </c>
      <c r="R483" s="3" t="str">
        <f ca="1">IFERROR(__xludf.DUMMYFUNCTION("""COMPUTED_VALUE"""),"2055-06-05T14:46:02.598527Z")</f>
        <v>2055-06-05T14:46:02.598527Z</v>
      </c>
      <c r="S483" s="3" t="str">
        <f ca="1">IFERROR(__xludf.DUMMYFUNCTION("""COMPUTED_VALUE"""),"2055-06-05T14:51:52.779492Z")</f>
        <v>2055-06-05T14:51:52.779492Z</v>
      </c>
      <c r="T483" s="3"/>
      <c r="U483" s="4">
        <f ca="1">IFERROR(__xludf.DUMMYFUNCTION("""COMPUTED_VALUE"""),56770)</f>
        <v>56770</v>
      </c>
      <c r="V483" s="3">
        <f ca="1">IFERROR(__xludf.DUMMYFUNCTION("""COMPUTED_VALUE"""),3.04009713)</f>
        <v>3.0400971299999999</v>
      </c>
      <c r="W483" s="3">
        <f ca="1">IFERROR(__xludf.DUMMYFUNCTION("""COMPUTED_VALUE"""),2500)</f>
        <v>2500</v>
      </c>
      <c r="X483" s="3">
        <f ca="1">IFERROR(__xludf.DUMMYFUNCTION("""COMPUTED_VALUE"""),1898)</f>
        <v>1898</v>
      </c>
      <c r="Y483" s="3">
        <f ca="1">IFERROR(__xludf.DUMMYFUNCTION("""COMPUTED_VALUE"""),350)</f>
        <v>350</v>
      </c>
      <c r="Z483" s="3">
        <f ca="1">IFERROR(__xludf.DUMMYFUNCTION("""COMPUTED_VALUE"""),899)</f>
        <v>899</v>
      </c>
      <c r="AA483" s="3">
        <f ca="1">IFERROR(__xludf.DUMMYFUNCTION("""COMPUTED_VALUE"""),649)</f>
        <v>649</v>
      </c>
      <c r="AB483" s="3">
        <f ca="1">IFERROR(__xludf.DUMMYFUNCTION("""COMPUTED_VALUE"""),0)</f>
        <v>0</v>
      </c>
      <c r="AC483" s="3">
        <f ca="1">IFERROR(__xludf.DUMMYFUNCTION("""COMPUTED_VALUE"""),3)</f>
        <v>3</v>
      </c>
      <c r="AD483" s="3" t="str">
        <f ca="1">IFERROR(__xludf.DUMMYFUNCTION("""COMPUTED_VALUE"""),"early")</f>
        <v>early</v>
      </c>
      <c r="AE483" s="3" t="str">
        <f ca="1">IFERROR(__xludf.DUMMYFUNCTION("""COMPUTED_VALUE"""),"2055-06-05T11:06:51.763414Z")</f>
        <v>2055-06-05T11:06:51.763414Z</v>
      </c>
      <c r="AF483" s="3" t="str">
        <f ca="1">IFERROR(__xludf.DUMMYFUNCTION("""COMPUTED_VALUE"""),"2055-06-05T11:17:40.740752Z")</f>
        <v>2055-06-05T11:17:40.740752Z</v>
      </c>
      <c r="AG483" s="3" t="str">
        <f ca="1">IFERROR(__xludf.DUMMYFUNCTION("""COMPUTED_VALUE"""),"2055-06-05T10:45:54.245Z")</f>
        <v>2055-06-05T10:45:54.245Z</v>
      </c>
      <c r="AH483" s="3" t="str">
        <f ca="1">IFERROR(__xludf.DUMMYFUNCTION("""COMPUTED_VALUE"""),"2055-06-05T10:51:52.779492Z")</f>
        <v>2055-06-05T10:51:52.779492Z</v>
      </c>
      <c r="AI483" s="3">
        <f ca="1">IFERROR(__xludf.DUMMYFUNCTION("""COMPUTED_VALUE"""),4.54)</f>
        <v>4.54</v>
      </c>
      <c r="AJ483" s="3">
        <f ca="1">IFERROR(__xludf.DUMMYFUNCTION("""COMPUTED_VALUE"""),2229)</f>
        <v>2229</v>
      </c>
      <c r="AK483" s="3">
        <f ca="1">IFERROR(__xludf.DUMMYFUNCTION("""COMPUTED_VALUE"""),6580)</f>
        <v>6580</v>
      </c>
      <c r="AL483" s="3"/>
    </row>
    <row r="484" spans="1:38" ht="13">
      <c r="A484" s="3">
        <f ca="1">IFERROR(__xludf.DUMMYFUNCTION("""COMPUTED_VALUE"""),1142)</f>
        <v>1142</v>
      </c>
      <c r="B484" s="3">
        <f ca="1">IFERROR(__xludf.DUMMYFUNCTION("""COMPUTED_VALUE"""),5)</f>
        <v>5</v>
      </c>
      <c r="C484" s="3">
        <f ca="1">IFERROR(__xludf.DUMMYFUNCTION("""COMPUTED_VALUE"""),4001)</f>
        <v>4001</v>
      </c>
      <c r="D484" s="3" t="str">
        <f ca="1">IFERROR(__xludf.DUMMYFUNCTION("""COMPUTED_VALUE"""),"Dashattan")</f>
        <v>Dashattan</v>
      </c>
      <c r="E484" s="3" t="str">
        <f ca="1">IFERROR(__xludf.DUMMYFUNCTION("""COMPUTED_VALUE"""),"Galaxy A")</f>
        <v>Galaxy A</v>
      </c>
      <c r="F484" s="3" t="str">
        <f ca="1">IFERROR(__xludf.DUMMYFUNCTION("""COMPUTED_VALUE"""),"KC")</f>
        <v>KC</v>
      </c>
      <c r="G484" s="3">
        <f ca="1">IFERROR(__xludf.DUMMYFUNCTION("""COMPUTED_VALUE"""),0)</f>
        <v>0</v>
      </c>
      <c r="H484" s="3" t="str">
        <f ca="1">IFERROR(__xludf.DUMMYFUNCTION("""COMPUTED_VALUE"""),"car")</f>
        <v>car</v>
      </c>
      <c r="I484" s="3" t="str">
        <f ca="1">IFERROR(__xludf.DUMMYFUNCTION("""COMPUTED_VALUE"""),"2055-06-10T16:59:22.790801Z")</f>
        <v>2055-06-10T16:59:22.790801Z</v>
      </c>
      <c r="J484" s="3" t="str">
        <f ca="1">IFERROR(__xludf.DUMMYFUNCTION("""COMPUTED_VALUE"""),"2055-06-10T17:49:40.891Z")</f>
        <v>2055-06-10T17:49:40.891Z</v>
      </c>
      <c r="K484" s="3" t="str">
        <f ca="1">IFERROR(__xludf.DUMMYFUNCTION("""COMPUTED_VALUE"""),"2055-06-10T17:30:47.891Z")</f>
        <v>2055-06-10T17:30:47.891Z</v>
      </c>
      <c r="L484" s="3">
        <f ca="1">IFERROR(__xludf.DUMMYFUNCTION("""COMPUTED_VALUE"""),1)</f>
        <v>1</v>
      </c>
      <c r="M484" s="3">
        <f ca="1">IFERROR(__xludf.DUMMYFUNCTION("""COMPUTED_VALUE"""),0)</f>
        <v>0</v>
      </c>
      <c r="N484" s="3" t="str">
        <f ca="1">IFERROR(__xludf.DUMMYFUNCTION("""COMPUTED_VALUE"""),"2055-06-10T17:23:51.803409Z")</f>
        <v>2055-06-10T17:23:51.803409Z</v>
      </c>
      <c r="O484" s="3" t="str">
        <f ca="1">IFERROR(__xludf.DUMMYFUNCTION("""COMPUTED_VALUE"""),"2055-06-10T17:34:16.336692Z")</f>
        <v>2055-06-10T17:34:16.336692Z</v>
      </c>
      <c r="P484" s="3" t="str">
        <f ca="1">IFERROR(__xludf.DUMMYFUNCTION("""COMPUTED_VALUE"""),"2055-06-10T17:05:54.313885Z")</f>
        <v>2055-06-10T17:05:54.313885Z</v>
      </c>
      <c r="Q484" s="3">
        <f ca="1">IFERROR(__xludf.DUMMYFUNCTION("""COMPUTED_VALUE"""),0)</f>
        <v>0</v>
      </c>
      <c r="R484" s="3" t="str">
        <f ca="1">IFERROR(__xludf.DUMMYFUNCTION("""COMPUTED_VALUE"""),"2055-06-10T17:06:10.8988Z")</f>
        <v>2055-06-10T17:06:10.8988Z</v>
      </c>
      <c r="S484" s="3" t="str">
        <f ca="1">IFERROR(__xludf.DUMMYFUNCTION("""COMPUTED_VALUE"""),"2055-06-10T17:12:28.45531Z")</f>
        <v>2055-06-10T17:12:28.45531Z</v>
      </c>
      <c r="T484" s="3"/>
      <c r="U484" s="4">
        <f ca="1">IFERROR(__xludf.DUMMYFUNCTION("""COMPUTED_VALUE"""),56775)</f>
        <v>56775</v>
      </c>
      <c r="V484" s="3">
        <f ca="1">IFERROR(__xludf.DUMMYFUNCTION("""COMPUTED_VALUE"""),4.5)</f>
        <v>4.5</v>
      </c>
      <c r="W484" s="3">
        <f ca="1">IFERROR(__xludf.DUMMYFUNCTION("""COMPUTED_VALUE"""),2500)</f>
        <v>2500</v>
      </c>
      <c r="X484" s="3">
        <f ca="1">IFERROR(__xludf.DUMMYFUNCTION("""COMPUTED_VALUE"""),1686)</f>
        <v>1686</v>
      </c>
      <c r="Y484" s="3">
        <f ca="1">IFERROR(__xludf.DUMMYFUNCTION("""COMPUTED_VALUE"""),378)</f>
        <v>378</v>
      </c>
      <c r="Z484" s="3">
        <f ca="1">IFERROR(__xludf.DUMMYFUNCTION("""COMPUTED_VALUE"""),683)</f>
        <v>683</v>
      </c>
      <c r="AA484" s="3">
        <f ca="1">IFERROR(__xludf.DUMMYFUNCTION("""COMPUTED_VALUE"""),625)</f>
        <v>625</v>
      </c>
      <c r="AB484" s="3">
        <f ca="1">IFERROR(__xludf.DUMMYFUNCTION("""COMPUTED_VALUE"""),0)</f>
        <v>0</v>
      </c>
      <c r="AC484" s="3">
        <f ca="1">IFERROR(__xludf.DUMMYFUNCTION("""COMPUTED_VALUE"""),3)</f>
        <v>3</v>
      </c>
      <c r="AD484" s="3" t="str">
        <f ca="1">IFERROR(__xludf.DUMMYFUNCTION("""COMPUTED_VALUE"""),"on time")</f>
        <v>on time</v>
      </c>
      <c r="AE484" s="3" t="str">
        <f ca="1">IFERROR(__xludf.DUMMYFUNCTION("""COMPUTED_VALUE"""),"2055-06-10T13:23:51.803409Z")</f>
        <v>2055-06-10T13:23:51.803409Z</v>
      </c>
      <c r="AF484" s="3" t="str">
        <f ca="1">IFERROR(__xludf.DUMMYFUNCTION("""COMPUTED_VALUE"""),"2055-06-10T13:34:16.336692Z")</f>
        <v>2055-06-10T13:34:16.336692Z</v>
      </c>
      <c r="AG484" s="3" t="str">
        <f ca="1">IFERROR(__xludf.DUMMYFUNCTION("""COMPUTED_VALUE"""),"2055-06-10T13:05:54.313885Z")</f>
        <v>2055-06-10T13:05:54.313885Z</v>
      </c>
      <c r="AH484" s="3" t="str">
        <f ca="1">IFERROR(__xludf.DUMMYFUNCTION("""COMPUTED_VALUE"""),"2055-06-10T13:12:28.45531Z")</f>
        <v>2055-06-10T13:12:28.45531Z</v>
      </c>
      <c r="AI484" s="3">
        <f ca="1">IFERROR(__xludf.DUMMYFUNCTION("""COMPUTED_VALUE"""),4.54)</f>
        <v>4.54</v>
      </c>
      <c r="AJ484" s="3">
        <f ca="1">IFERROR(__xludf.DUMMYFUNCTION("""COMPUTED_VALUE"""),2229)</f>
        <v>2229</v>
      </c>
      <c r="AK484" s="3">
        <f ca="1">IFERROR(__xludf.DUMMYFUNCTION("""COMPUTED_VALUE"""),6580)</f>
        <v>6580</v>
      </c>
      <c r="AL484" s="3"/>
    </row>
    <row r="485" spans="1:38" ht="13">
      <c r="A485" s="3">
        <f ca="1">IFERROR(__xludf.DUMMYFUNCTION("""COMPUTED_VALUE"""),71)</f>
        <v>71</v>
      </c>
      <c r="B485" s="3">
        <f ca="1">IFERROR(__xludf.DUMMYFUNCTION("""COMPUTED_VALUE"""),3)</f>
        <v>3</v>
      </c>
      <c r="C485" s="3">
        <f ca="1">IFERROR(__xludf.DUMMYFUNCTION("""COMPUTED_VALUE"""),4050)</f>
        <v>4050</v>
      </c>
      <c r="D485" s="3" t="str">
        <f ca="1">IFERROR(__xludf.DUMMYFUNCTION("""COMPUTED_VALUE"""),"Doorlanta")</f>
        <v>Doorlanta</v>
      </c>
      <c r="E485" s="3" t="str">
        <f ca="1">IFERROR(__xludf.DUMMYFUNCTION("""COMPUTED_VALUE"""),"Galaxy A")</f>
        <v>Galaxy A</v>
      </c>
      <c r="F485" s="3" t="str">
        <f ca="1">IFERROR(__xludf.DUMMYFUNCTION("""COMPUTED_VALUE"""),"Lauran")</f>
        <v>Lauran</v>
      </c>
      <c r="G485" s="3">
        <f ca="1">IFERROR(__xludf.DUMMYFUNCTION("""COMPUTED_VALUE"""),0)</f>
        <v>0</v>
      </c>
      <c r="H485" s="3" t="str">
        <f ca="1">IFERROR(__xludf.DUMMYFUNCTION("""COMPUTED_VALUE"""),"car")</f>
        <v>car</v>
      </c>
      <c r="I485" s="3" t="str">
        <f ca="1">IFERROR(__xludf.DUMMYFUNCTION("""COMPUTED_VALUE"""),"2055-06-01T22:53:18.578274Z")</f>
        <v>2055-06-01T22:53:18.578274Z</v>
      </c>
      <c r="J485" s="3" t="str">
        <f ca="1">IFERROR(__xludf.DUMMYFUNCTION("""COMPUTED_VALUE"""),"2055-06-01T23:41:37.638Z")</f>
        <v>2055-06-01T23:41:37.638Z</v>
      </c>
      <c r="K485" s="3" t="str">
        <f ca="1">IFERROR(__xludf.DUMMYFUNCTION("""COMPUTED_VALUE"""),"2055-06-01T23:34:43.638Z")</f>
        <v>2055-06-01T23:34:43.638Z</v>
      </c>
      <c r="L485" s="3">
        <f ca="1">IFERROR(__xludf.DUMMYFUNCTION("""COMPUTED_VALUE"""),1)</f>
        <v>1</v>
      </c>
      <c r="M485" s="3">
        <f ca="1">IFERROR(__xludf.DUMMYFUNCTION("""COMPUTED_VALUE"""),0)</f>
        <v>0</v>
      </c>
      <c r="N485" s="3" t="str">
        <f ca="1">IFERROR(__xludf.DUMMYFUNCTION("""COMPUTED_VALUE"""),"2055-06-01T23:26:42.266013Z")</f>
        <v>2055-06-01T23:26:42.266013Z</v>
      </c>
      <c r="O485" s="3" t="str">
        <f ca="1">IFERROR(__xludf.DUMMYFUNCTION("""COMPUTED_VALUE"""),"2055-06-01T23:55:40.58824Z")</f>
        <v>2055-06-01T23:55:40.58824Z</v>
      </c>
      <c r="P485" s="3" t="str">
        <f ca="1">IFERROR(__xludf.DUMMYFUNCTION("""COMPUTED_VALUE"""),"2055-06-01T23:06:27.355037Z")</f>
        <v>2055-06-01T23:06:27.355037Z</v>
      </c>
      <c r="Q485" s="3">
        <f ca="1">IFERROR(__xludf.DUMMYFUNCTION("""COMPUTED_VALUE"""),0)</f>
        <v>0</v>
      </c>
      <c r="R485" s="3" t="str">
        <f ca="1">IFERROR(__xludf.DUMMYFUNCTION("""COMPUTED_VALUE"""),"2055-06-01T23:06:59.678222Z")</f>
        <v>2055-06-01T23:06:59.678222Z</v>
      </c>
      <c r="S485" s="3" t="str">
        <f ca="1">IFERROR(__xludf.DUMMYFUNCTION("""COMPUTED_VALUE"""),"2055-06-01T23:24:40.714406Z")</f>
        <v>2055-06-01T23:24:40.714406Z</v>
      </c>
      <c r="T485" s="3"/>
      <c r="U485" s="4">
        <f ca="1">IFERROR(__xludf.DUMMYFUNCTION("""COMPUTED_VALUE"""),56766)</f>
        <v>56766</v>
      </c>
      <c r="V485" s="3">
        <f ca="1">IFERROR(__xludf.DUMMYFUNCTION("""COMPUTED_VALUE"""),4.5)</f>
        <v>4.5</v>
      </c>
      <c r="W485" s="3">
        <f ca="1">IFERROR(__xludf.DUMMYFUNCTION("""COMPUTED_VALUE"""),2500)</f>
        <v>2500</v>
      </c>
      <c r="X485" s="3">
        <f ca="1">IFERROR(__xludf.DUMMYFUNCTION("""COMPUTED_VALUE"""),2921)</f>
        <v>2921</v>
      </c>
      <c r="Y485" s="3">
        <f ca="1">IFERROR(__xludf.DUMMYFUNCTION("""COMPUTED_VALUE"""),1061)</f>
        <v>1061</v>
      </c>
      <c r="Z485" s="3">
        <f ca="1">IFERROR(__xludf.DUMMYFUNCTION("""COMPUTED_VALUE"""),122)</f>
        <v>122</v>
      </c>
      <c r="AA485" s="3">
        <f ca="1">IFERROR(__xludf.DUMMYFUNCTION("""COMPUTED_VALUE"""),1738)</f>
        <v>1738</v>
      </c>
      <c r="AB485" s="3">
        <f ca="1">IFERROR(__xludf.DUMMYFUNCTION("""COMPUTED_VALUE"""),0)</f>
        <v>0</v>
      </c>
      <c r="AC485" s="3">
        <f ca="1">IFERROR(__xludf.DUMMYFUNCTION("""COMPUTED_VALUE"""),3)</f>
        <v>3</v>
      </c>
      <c r="AD485" s="3" t="str">
        <f ca="1">IFERROR(__xludf.DUMMYFUNCTION("""COMPUTED_VALUE"""),"late")</f>
        <v>late</v>
      </c>
      <c r="AE485" s="3" t="str">
        <f ca="1">IFERROR(__xludf.DUMMYFUNCTION("""COMPUTED_VALUE"""),"2055-06-01T19:26:42.266013Z")</f>
        <v>2055-06-01T19:26:42.266013Z</v>
      </c>
      <c r="AF485" s="3" t="str">
        <f ca="1">IFERROR(__xludf.DUMMYFUNCTION("""COMPUTED_VALUE"""),"2055-06-01T19:55:40.58824Z")</f>
        <v>2055-06-01T19:55:40.58824Z</v>
      </c>
      <c r="AG485" s="3" t="str">
        <f ca="1">IFERROR(__xludf.DUMMYFUNCTION("""COMPUTED_VALUE"""),"2055-06-01T19:06:27.355037Z")</f>
        <v>2055-06-01T19:06:27.355037Z</v>
      </c>
      <c r="AH485" s="3" t="str">
        <f ca="1">IFERROR(__xludf.DUMMYFUNCTION("""COMPUTED_VALUE"""),"2055-06-01T19:24:40.714406Z")</f>
        <v>2055-06-01T19:24:40.714406Z</v>
      </c>
      <c r="AI485" s="3">
        <f ca="1">IFERROR(__xludf.DUMMYFUNCTION("""COMPUTED_VALUE"""),4.42)</f>
        <v>4.42</v>
      </c>
      <c r="AJ485" s="3">
        <f ca="1">IFERROR(__xludf.DUMMYFUNCTION("""COMPUTED_VALUE"""),1396)</f>
        <v>1396</v>
      </c>
      <c r="AK485" s="3">
        <f ca="1">IFERROR(__xludf.DUMMYFUNCTION("""COMPUTED_VALUE"""),4836)</f>
        <v>4836</v>
      </c>
      <c r="AL485" s="3">
        <f ca="1">IFERROR(__xludf.DUMMYFUNCTION("""COMPUTED_VALUE"""),1278)</f>
        <v>1278</v>
      </c>
    </row>
    <row r="486" spans="1:38" ht="13">
      <c r="A486" s="3">
        <f ca="1">IFERROR(__xludf.DUMMYFUNCTION("""COMPUTED_VALUE"""),372)</f>
        <v>372</v>
      </c>
      <c r="B486" s="3">
        <f ca="1">IFERROR(__xludf.DUMMYFUNCTION("""COMPUTED_VALUE"""),5)</f>
        <v>5</v>
      </c>
      <c r="C486" s="3">
        <f ca="1">IFERROR(__xludf.DUMMYFUNCTION("""COMPUTED_VALUE"""),4050)</f>
        <v>4050</v>
      </c>
      <c r="D486" s="3" t="str">
        <f ca="1">IFERROR(__xludf.DUMMYFUNCTION("""COMPUTED_VALUE"""),"Doorlanta")</f>
        <v>Doorlanta</v>
      </c>
      <c r="E486" s="3" t="str">
        <f ca="1">IFERROR(__xludf.DUMMYFUNCTION("""COMPUTED_VALUE"""),"Galaxy A")</f>
        <v>Galaxy A</v>
      </c>
      <c r="F486" s="3" t="str">
        <f ca="1">IFERROR(__xludf.DUMMYFUNCTION("""COMPUTED_VALUE"""),"Katelynn")</f>
        <v>Katelynn</v>
      </c>
      <c r="G486" s="3">
        <f ca="1">IFERROR(__xludf.DUMMYFUNCTION("""COMPUTED_VALUE"""),0)</f>
        <v>0</v>
      </c>
      <c r="H486" s="3" t="str">
        <f ca="1">IFERROR(__xludf.DUMMYFUNCTION("""COMPUTED_VALUE"""),"car")</f>
        <v>car</v>
      </c>
      <c r="I486" s="3" t="str">
        <f ca="1">IFERROR(__xludf.DUMMYFUNCTION("""COMPUTED_VALUE"""),"2055-06-03T23:58:00.988386Z")</f>
        <v>2055-06-03T23:58:00.988386Z</v>
      </c>
      <c r="J486" s="3" t="str">
        <f ca="1">IFERROR(__xludf.DUMMYFUNCTION("""COMPUTED_VALUE"""),"2055-06-04T00:55:27.075Z")</f>
        <v>2055-06-04T00:55:27.075Z</v>
      </c>
      <c r="K486" s="3" t="str">
        <f ca="1">IFERROR(__xludf.DUMMYFUNCTION("""COMPUTED_VALUE"""),"2055-06-04T00:36:34.075Z")</f>
        <v>2055-06-04T00:36:34.075Z</v>
      </c>
      <c r="L486" s="3">
        <f ca="1">IFERROR(__xludf.DUMMYFUNCTION("""COMPUTED_VALUE"""),1)</f>
        <v>1</v>
      </c>
      <c r="M486" s="3">
        <f ca="1">IFERROR(__xludf.DUMMYFUNCTION("""COMPUTED_VALUE"""),0)</f>
        <v>0</v>
      </c>
      <c r="N486" s="3" t="str">
        <f ca="1">IFERROR(__xludf.DUMMYFUNCTION("""COMPUTED_VALUE"""),"2055-06-04T00:20:27.426147Z")</f>
        <v>2055-06-04T00:20:27.426147Z</v>
      </c>
      <c r="O486" s="3" t="str">
        <f ca="1">IFERROR(__xludf.DUMMYFUNCTION("""COMPUTED_VALUE"""),"2055-06-04T00:47:22.432902Z")</f>
        <v>2055-06-04T00:47:22.432902Z</v>
      </c>
      <c r="P486" s="3" t="str">
        <f ca="1">IFERROR(__xludf.DUMMYFUNCTION("""COMPUTED_VALUE"""),"2055-06-04T00:00:07.590919Z")</f>
        <v>2055-06-04T00:00:07.590919Z</v>
      </c>
      <c r="Q486" s="3">
        <f ca="1">IFERROR(__xludf.DUMMYFUNCTION("""COMPUTED_VALUE"""),0)</f>
        <v>0</v>
      </c>
      <c r="R486" s="3" t="str">
        <f ca="1">IFERROR(__xludf.DUMMYFUNCTION("""COMPUTED_VALUE"""),"2055-06-04T00:00:47.476943Z")</f>
        <v>2055-06-04T00:00:47.476943Z</v>
      </c>
      <c r="S486" s="3"/>
      <c r="T486" s="3"/>
      <c r="U486" s="4">
        <f ca="1">IFERROR(__xludf.DUMMYFUNCTION("""COMPUTED_VALUE"""),56768)</f>
        <v>56768</v>
      </c>
      <c r="V486" s="3">
        <f ca="1">IFERROR(__xludf.DUMMYFUNCTION("""COMPUTED_VALUE"""),4.4)</f>
        <v>4.4000000000000004</v>
      </c>
      <c r="W486" s="3">
        <f ca="1">IFERROR(__xludf.DUMMYFUNCTION("""COMPUTED_VALUE"""),2500)</f>
        <v>2500</v>
      </c>
      <c r="X486" s="3">
        <f ca="1">IFERROR(__xludf.DUMMYFUNCTION("""COMPUTED_VALUE"""),2795)</f>
        <v>2795</v>
      </c>
      <c r="Y486" s="3"/>
      <c r="Z486" s="3"/>
      <c r="AA486" s="3">
        <f ca="1">IFERROR(__xludf.DUMMYFUNCTION("""COMPUTED_VALUE"""),1615)</f>
        <v>1615</v>
      </c>
      <c r="AB486" s="3">
        <f ca="1">IFERROR(__xludf.DUMMYFUNCTION("""COMPUTED_VALUE"""),0)</f>
        <v>0</v>
      </c>
      <c r="AC486" s="3">
        <f ca="1">IFERROR(__xludf.DUMMYFUNCTION("""COMPUTED_VALUE"""),2)</f>
        <v>2</v>
      </c>
      <c r="AD486" s="3"/>
      <c r="AE486" s="3" t="str">
        <f ca="1">IFERROR(__xludf.DUMMYFUNCTION("""COMPUTED_VALUE"""),"2055-06-03T20:20:27.426147Z")</f>
        <v>2055-06-03T20:20:27.426147Z</v>
      </c>
      <c r="AF486" s="3" t="str">
        <f ca="1">IFERROR(__xludf.DUMMYFUNCTION("""COMPUTED_VALUE"""),"2055-06-03T20:47:22.432902Z")</f>
        <v>2055-06-03T20:47:22.432902Z</v>
      </c>
      <c r="AG486" s="3" t="str">
        <f ca="1">IFERROR(__xludf.DUMMYFUNCTION("""COMPUTED_VALUE"""),"2055-06-03T20:00:07.590919Z")</f>
        <v>2055-06-03T20:00:07.590919Z</v>
      </c>
      <c r="AH486" s="3"/>
      <c r="AI486" s="3">
        <f ca="1">IFERROR(__xludf.DUMMYFUNCTION("""COMPUTED_VALUE"""),4.7)</f>
        <v>4.7</v>
      </c>
      <c r="AJ486" s="3">
        <f ca="1">IFERROR(__xludf.DUMMYFUNCTION("""COMPUTED_VALUE"""),1261)</f>
        <v>1261</v>
      </c>
      <c r="AK486" s="3">
        <f ca="1">IFERROR(__xludf.DUMMYFUNCTION("""COMPUTED_VALUE"""),3264)</f>
        <v>3264</v>
      </c>
      <c r="AL486" s="3">
        <f ca="1">IFERROR(__xludf.DUMMYFUNCTION("""COMPUTED_VALUE"""),232)</f>
        <v>232</v>
      </c>
    </row>
    <row r="487" spans="1:38" ht="13">
      <c r="A487" s="3">
        <f ca="1">IFERROR(__xludf.DUMMYFUNCTION("""COMPUTED_VALUE"""),695)</f>
        <v>695</v>
      </c>
      <c r="B487" s="3"/>
      <c r="C487" s="3">
        <f ca="1">IFERROR(__xludf.DUMMYFUNCTION("""COMPUTED_VALUE"""),4050)</f>
        <v>4050</v>
      </c>
      <c r="D487" s="3" t="str">
        <f ca="1">IFERROR(__xludf.DUMMYFUNCTION("""COMPUTED_VALUE"""),"Doorlanta")</f>
        <v>Doorlanta</v>
      </c>
      <c r="E487" s="3" t="str">
        <f ca="1">IFERROR(__xludf.DUMMYFUNCTION("""COMPUTED_VALUE"""),"Galaxy A")</f>
        <v>Galaxy A</v>
      </c>
      <c r="F487" s="3" t="str">
        <f ca="1">IFERROR(__xludf.DUMMYFUNCTION("""COMPUTED_VALUE"""),"Katelynn")</f>
        <v>Katelynn</v>
      </c>
      <c r="G487" s="3">
        <f ca="1">IFERROR(__xludf.DUMMYFUNCTION("""COMPUTED_VALUE"""),0)</f>
        <v>0</v>
      </c>
      <c r="H487" s="3" t="str">
        <f ca="1">IFERROR(__xludf.DUMMYFUNCTION("""COMPUTED_VALUE"""),"car")</f>
        <v>car</v>
      </c>
      <c r="I487" s="3" t="str">
        <f ca="1">IFERROR(__xludf.DUMMYFUNCTION("""COMPUTED_VALUE"""),"2055-06-06T00:05:20.961933Z")</f>
        <v>2055-06-06T00:05:20.961933Z</v>
      </c>
      <c r="J487" s="3" t="str">
        <f ca="1">IFERROR(__xludf.DUMMYFUNCTION("""COMPUTED_VALUE"""),"2055-06-06T01:09:08.042Z")</f>
        <v>2055-06-06T01:09:08.042Z</v>
      </c>
      <c r="K487" s="3" t="str">
        <f ca="1">IFERROR(__xludf.DUMMYFUNCTION("""COMPUTED_VALUE"""),"2055-06-06T00:47:14.042Z")</f>
        <v>2055-06-06T00:47:14.042Z</v>
      </c>
      <c r="L487" s="3">
        <f ca="1">IFERROR(__xludf.DUMMYFUNCTION("""COMPUTED_VALUE"""),1)</f>
        <v>1</v>
      </c>
      <c r="M487" s="3">
        <f ca="1">IFERROR(__xludf.DUMMYFUNCTION("""COMPUTED_VALUE"""),0)</f>
        <v>0</v>
      </c>
      <c r="N487" s="3" t="str">
        <f ca="1">IFERROR(__xludf.DUMMYFUNCTION("""COMPUTED_VALUE"""),"2055-06-06T00:33:14.140394Z")</f>
        <v>2055-06-06T00:33:14.140394Z</v>
      </c>
      <c r="O487" s="3" t="str">
        <f ca="1">IFERROR(__xludf.DUMMYFUNCTION("""COMPUTED_VALUE"""),"2055-06-06T00:42:14.199788Z")</f>
        <v>2055-06-06T00:42:14.199788Z</v>
      </c>
      <c r="P487" s="3" t="str">
        <f ca="1">IFERROR(__xludf.DUMMYFUNCTION("""COMPUTED_VALUE"""),"2055-06-06T00:14:27.383618Z")</f>
        <v>2055-06-06T00:14:27.383618Z</v>
      </c>
      <c r="Q487" s="3">
        <f ca="1">IFERROR(__xludf.DUMMYFUNCTION("""COMPUTED_VALUE"""),0)</f>
        <v>0</v>
      </c>
      <c r="R487" s="3" t="str">
        <f ca="1">IFERROR(__xludf.DUMMYFUNCTION("""COMPUTED_VALUE"""),"2055-06-06T00:14:54.841069Z")</f>
        <v>2055-06-06T00:14:54.841069Z</v>
      </c>
      <c r="S487" s="3"/>
      <c r="T487" s="3"/>
      <c r="U487" s="4">
        <f ca="1">IFERROR(__xludf.DUMMYFUNCTION("""COMPUTED_VALUE"""),56770)</f>
        <v>56770</v>
      </c>
      <c r="V487" s="3">
        <f ca="1">IFERROR(__xludf.DUMMYFUNCTION("""COMPUTED_VALUE"""),3.501498169)</f>
        <v>3.501498169</v>
      </c>
      <c r="W487" s="3">
        <f ca="1">IFERROR(__xludf.DUMMYFUNCTION("""COMPUTED_VALUE"""),2500)</f>
        <v>2500</v>
      </c>
      <c r="X487" s="3">
        <f ca="1">IFERROR(__xludf.DUMMYFUNCTION("""COMPUTED_VALUE"""),1640)</f>
        <v>1640</v>
      </c>
      <c r="Y487" s="3"/>
      <c r="Z487" s="3"/>
      <c r="AA487" s="3">
        <f ca="1">IFERROR(__xludf.DUMMYFUNCTION("""COMPUTED_VALUE"""),540)</f>
        <v>540</v>
      </c>
      <c r="AB487" s="3">
        <f ca="1">IFERROR(__xludf.DUMMYFUNCTION("""COMPUTED_VALUE"""),0)</f>
        <v>0</v>
      </c>
      <c r="AC487" s="3">
        <f ca="1">IFERROR(__xludf.DUMMYFUNCTION("""COMPUTED_VALUE"""),2)</f>
        <v>2</v>
      </c>
      <c r="AD487" s="3"/>
      <c r="AE487" s="3" t="str">
        <f ca="1">IFERROR(__xludf.DUMMYFUNCTION("""COMPUTED_VALUE"""),"2055-06-05T20:33:14.140394Z")</f>
        <v>2055-06-05T20:33:14.140394Z</v>
      </c>
      <c r="AF487" s="3" t="str">
        <f ca="1">IFERROR(__xludf.DUMMYFUNCTION("""COMPUTED_VALUE"""),"2055-06-05T20:42:14.199788Z")</f>
        <v>2055-06-05T20:42:14.199788Z</v>
      </c>
      <c r="AG487" s="3" t="str">
        <f ca="1">IFERROR(__xludf.DUMMYFUNCTION("""COMPUTED_VALUE"""),"2055-06-05T20:14:27.383618Z")</f>
        <v>2055-06-05T20:14:27.383618Z</v>
      </c>
      <c r="AH487" s="3"/>
      <c r="AI487" s="3">
        <f ca="1">IFERROR(__xludf.DUMMYFUNCTION("""COMPUTED_VALUE"""),4.7)</f>
        <v>4.7</v>
      </c>
      <c r="AJ487" s="3">
        <f ca="1">IFERROR(__xludf.DUMMYFUNCTION("""COMPUTED_VALUE"""),1261)</f>
        <v>1261</v>
      </c>
      <c r="AK487" s="3">
        <f ca="1">IFERROR(__xludf.DUMMYFUNCTION("""COMPUTED_VALUE"""),3264)</f>
        <v>3264</v>
      </c>
      <c r="AL487" s="3">
        <f ca="1">IFERROR(__xludf.DUMMYFUNCTION("""COMPUTED_VALUE"""),232)</f>
        <v>232</v>
      </c>
    </row>
    <row r="488" spans="1:38" ht="13">
      <c r="A488" s="3">
        <f ca="1">IFERROR(__xludf.DUMMYFUNCTION("""COMPUTED_VALUE"""),166)</f>
        <v>166</v>
      </c>
      <c r="B488" s="3">
        <f ca="1">IFERROR(__xludf.DUMMYFUNCTION("""COMPUTED_VALUE"""),5)</f>
        <v>5</v>
      </c>
      <c r="C488" s="3">
        <f ca="1">IFERROR(__xludf.DUMMYFUNCTION("""COMPUTED_VALUE"""),4050)</f>
        <v>4050</v>
      </c>
      <c r="D488" s="3" t="str">
        <f ca="1">IFERROR(__xludf.DUMMYFUNCTION("""COMPUTED_VALUE"""),"Doorlanta")</f>
        <v>Doorlanta</v>
      </c>
      <c r="E488" s="3" t="str">
        <f ca="1">IFERROR(__xludf.DUMMYFUNCTION("""COMPUTED_VALUE"""),"Galaxy A")</f>
        <v>Galaxy A</v>
      </c>
      <c r="F488" s="3" t="str">
        <f ca="1">IFERROR(__xludf.DUMMYFUNCTION("""COMPUTED_VALUE"""),"Abhai")</f>
        <v>Abhai</v>
      </c>
      <c r="G488" s="3">
        <f ca="1">IFERROR(__xludf.DUMMYFUNCTION("""COMPUTED_VALUE"""),0)</f>
        <v>0</v>
      </c>
      <c r="H488" s="3" t="str">
        <f ca="1">IFERROR(__xludf.DUMMYFUNCTION("""COMPUTED_VALUE"""),"car")</f>
        <v>car</v>
      </c>
      <c r="I488" s="3" t="str">
        <f ca="1">IFERROR(__xludf.DUMMYFUNCTION("""COMPUTED_VALUE"""),"2055-06-02T21:05:28.350843Z")</f>
        <v>2055-06-02T21:05:28.350843Z</v>
      </c>
      <c r="J488" s="3" t="str">
        <f ca="1">IFERROR(__xludf.DUMMYFUNCTION("""COMPUTED_VALUE"""),"2055-06-02T22:30:00Z")</f>
        <v>2055-06-02T22:30:00Z</v>
      </c>
      <c r="K488" s="3" t="str">
        <f ca="1">IFERROR(__xludf.DUMMYFUNCTION("""COMPUTED_VALUE"""),"2055-06-02T22:30:00Z")</f>
        <v>2055-06-02T22:30:00Z</v>
      </c>
      <c r="L488" s="3">
        <f ca="1">IFERROR(__xludf.DUMMYFUNCTION("""COMPUTED_VALUE"""),0)</f>
        <v>0</v>
      </c>
      <c r="M488" s="3">
        <f ca="1">IFERROR(__xludf.DUMMYFUNCTION("""COMPUTED_VALUE"""),0)</f>
        <v>0</v>
      </c>
      <c r="N488" s="3" t="str">
        <f ca="1">IFERROR(__xludf.DUMMYFUNCTION("""COMPUTED_VALUE"""),"2055-06-02T21:52:53.250089Z")</f>
        <v>2055-06-02T21:52:53.250089Z</v>
      </c>
      <c r="O488" s="3" t="str">
        <f ca="1">IFERROR(__xludf.DUMMYFUNCTION("""COMPUTED_VALUE"""),"2055-06-02T22:24:41.603232Z")</f>
        <v>2055-06-02T22:24:41.603232Z</v>
      </c>
      <c r="P488" s="3" t="str">
        <f ca="1">IFERROR(__xludf.DUMMYFUNCTION("""COMPUTED_VALUE"""),"2055-06-02T21:30:07.421234Z")</f>
        <v>2055-06-02T21:30:07.421234Z</v>
      </c>
      <c r="Q488" s="3">
        <f ca="1">IFERROR(__xludf.DUMMYFUNCTION("""COMPUTED_VALUE"""),0)</f>
        <v>0</v>
      </c>
      <c r="R488" s="3" t="str">
        <f ca="1">IFERROR(__xludf.DUMMYFUNCTION("""COMPUTED_VALUE"""),"2055-06-02T21:30:16.552915Z")</f>
        <v>2055-06-02T21:30:16.552915Z</v>
      </c>
      <c r="S488" s="3" t="str">
        <f ca="1">IFERROR(__xludf.DUMMYFUNCTION("""COMPUTED_VALUE"""),"2055-06-02T21:50:12.296993Z")</f>
        <v>2055-06-02T21:50:12.296993Z</v>
      </c>
      <c r="T488" s="3"/>
      <c r="U488" s="4">
        <f ca="1">IFERROR(__xludf.DUMMYFUNCTION("""COMPUTED_VALUE"""),56767)</f>
        <v>56767</v>
      </c>
      <c r="V488" s="3">
        <f ca="1">IFERROR(__xludf.DUMMYFUNCTION("""COMPUTED_VALUE"""),4.5)</f>
        <v>4.5</v>
      </c>
      <c r="W488" s="3">
        <f ca="1">IFERROR(__xludf.DUMMYFUNCTION("""COMPUTED_VALUE"""),2500)</f>
        <v>2500</v>
      </c>
      <c r="X488" s="3">
        <f ca="1">IFERROR(__xludf.DUMMYFUNCTION("""COMPUTED_VALUE"""),3265)</f>
        <v>3265</v>
      </c>
      <c r="Y488" s="3">
        <f ca="1">IFERROR(__xludf.DUMMYFUNCTION("""COMPUTED_VALUE"""),1196)</f>
        <v>1196</v>
      </c>
      <c r="Z488" s="3">
        <f ca="1">IFERROR(__xludf.DUMMYFUNCTION("""COMPUTED_VALUE"""),161)</f>
        <v>161</v>
      </c>
      <c r="AA488" s="3">
        <f ca="1">IFERROR(__xludf.DUMMYFUNCTION("""COMPUTED_VALUE"""),1908)</f>
        <v>1908</v>
      </c>
      <c r="AB488" s="3">
        <f ca="1">IFERROR(__xludf.DUMMYFUNCTION("""COMPUTED_VALUE"""),0)</f>
        <v>0</v>
      </c>
      <c r="AC488" s="3">
        <f ca="1">IFERROR(__xludf.DUMMYFUNCTION("""COMPUTED_VALUE"""),2)</f>
        <v>2</v>
      </c>
      <c r="AD488" s="3" t="str">
        <f ca="1">IFERROR(__xludf.DUMMYFUNCTION("""COMPUTED_VALUE"""),"on time")</f>
        <v>on time</v>
      </c>
      <c r="AE488" s="3" t="str">
        <f ca="1">IFERROR(__xludf.DUMMYFUNCTION("""COMPUTED_VALUE"""),"2055-06-02T17:52:53.250089Z")</f>
        <v>2055-06-02T17:52:53.250089Z</v>
      </c>
      <c r="AF488" s="3" t="str">
        <f ca="1">IFERROR(__xludf.DUMMYFUNCTION("""COMPUTED_VALUE"""),"2055-06-02T18:24:41.603232Z")</f>
        <v>2055-06-02T18:24:41.603232Z</v>
      </c>
      <c r="AG488" s="3" t="str">
        <f ca="1">IFERROR(__xludf.DUMMYFUNCTION("""COMPUTED_VALUE"""),"2055-06-02T17:30:07.421234Z")</f>
        <v>2055-06-02T17:30:07.421234Z</v>
      </c>
      <c r="AH488" s="3" t="str">
        <f ca="1">IFERROR(__xludf.DUMMYFUNCTION("""COMPUTED_VALUE"""),"2055-06-02T17:50:12.296993Z")</f>
        <v>2055-06-02T17:50:12.296993Z</v>
      </c>
      <c r="AI488" s="3">
        <f ca="1">IFERROR(__xludf.DUMMYFUNCTION("""COMPUTED_VALUE"""),4.56)</f>
        <v>4.5599999999999996</v>
      </c>
      <c r="AJ488" s="3">
        <f ca="1">IFERROR(__xludf.DUMMYFUNCTION("""COMPUTED_VALUE"""),344)</f>
        <v>344</v>
      </c>
      <c r="AK488" s="3">
        <f ca="1">IFERROR(__xludf.DUMMYFUNCTION("""COMPUTED_VALUE"""),947)</f>
        <v>947</v>
      </c>
      <c r="AL488" s="3">
        <f ca="1">IFERROR(__xludf.DUMMYFUNCTION("""COMPUTED_VALUE"""),22)</f>
        <v>22</v>
      </c>
    </row>
    <row r="489" spans="1:38" ht="13">
      <c r="A489" s="3">
        <f ca="1">IFERROR(__xludf.DUMMYFUNCTION("""COMPUTED_VALUE"""),769)</f>
        <v>769</v>
      </c>
      <c r="B489" s="3"/>
      <c r="C489" s="3">
        <f ca="1">IFERROR(__xludf.DUMMYFUNCTION("""COMPUTED_VALUE"""),4050)</f>
        <v>4050</v>
      </c>
      <c r="D489" s="3" t="str">
        <f ca="1">IFERROR(__xludf.DUMMYFUNCTION("""COMPUTED_VALUE"""),"Doorlanta")</f>
        <v>Doorlanta</v>
      </c>
      <c r="E489" s="3" t="str">
        <f ca="1">IFERROR(__xludf.DUMMYFUNCTION("""COMPUTED_VALUE"""),"Galaxy A")</f>
        <v>Galaxy A</v>
      </c>
      <c r="F489" s="3" t="str">
        <f ca="1">IFERROR(__xludf.DUMMYFUNCTION("""COMPUTED_VALUE"""),"Hersh")</f>
        <v>Hersh</v>
      </c>
      <c r="G489" s="3">
        <f ca="1">IFERROR(__xludf.DUMMYFUNCTION("""COMPUTED_VALUE"""),0)</f>
        <v>0</v>
      </c>
      <c r="H489" s="3" t="str">
        <f ca="1">IFERROR(__xludf.DUMMYFUNCTION("""COMPUTED_VALUE"""),"car")</f>
        <v>car</v>
      </c>
      <c r="I489" s="3" t="str">
        <f ca="1">IFERROR(__xludf.DUMMYFUNCTION("""COMPUTED_VALUE"""),"2055-06-06T21:44:56.978857Z")</f>
        <v>2055-06-06T21:44:56.978857Z</v>
      </c>
      <c r="J489" s="3" t="str">
        <f ca="1">IFERROR(__xludf.DUMMYFUNCTION("""COMPUTED_VALUE"""),"2055-06-06T23:30:00Z")</f>
        <v>2055-06-06T23:30:00Z</v>
      </c>
      <c r="K489" s="3" t="str">
        <f ca="1">IFERROR(__xludf.DUMMYFUNCTION("""COMPUTED_VALUE"""),"2055-06-06T23:30:00Z")</f>
        <v>2055-06-06T23:30:00Z</v>
      </c>
      <c r="L489" s="3">
        <f ca="1">IFERROR(__xludf.DUMMYFUNCTION("""COMPUTED_VALUE"""),0)</f>
        <v>0</v>
      </c>
      <c r="M489" s="3">
        <f ca="1">IFERROR(__xludf.DUMMYFUNCTION("""COMPUTED_VALUE"""),0)</f>
        <v>0</v>
      </c>
      <c r="N489" s="3" t="str">
        <f ca="1">IFERROR(__xludf.DUMMYFUNCTION("""COMPUTED_VALUE"""),"2055-06-06T23:22:41.423274Z")</f>
        <v>2055-06-06T23:22:41.423274Z</v>
      </c>
      <c r="O489" s="3" t="str">
        <f ca="1">IFERROR(__xludf.DUMMYFUNCTION("""COMPUTED_VALUE"""),"2055-06-06T23:35:35.580781Z")</f>
        <v>2055-06-06T23:35:35.580781Z</v>
      </c>
      <c r="P489" s="3" t="str">
        <f ca="1">IFERROR(__xludf.DUMMYFUNCTION("""COMPUTED_VALUE"""),"2055-06-06T22:35:07.323816Z")</f>
        <v>2055-06-06T22:35:07.323816Z</v>
      </c>
      <c r="Q489" s="3">
        <f ca="1">IFERROR(__xludf.DUMMYFUNCTION("""COMPUTED_VALUE"""),0)</f>
        <v>0</v>
      </c>
      <c r="R489" s="3" t="str">
        <f ca="1">IFERROR(__xludf.DUMMYFUNCTION("""COMPUTED_VALUE"""),"2055-06-06T22:35:13.94157Z")</f>
        <v>2055-06-06T22:35:13.94157Z</v>
      </c>
      <c r="S489" s="3" t="str">
        <f ca="1">IFERROR(__xludf.DUMMYFUNCTION("""COMPUTED_VALUE"""),"2055-06-06T22:49:30.847599Z")</f>
        <v>2055-06-06T22:49:30.847599Z</v>
      </c>
      <c r="T489" s="3"/>
      <c r="U489" s="4">
        <f ca="1">IFERROR(__xludf.DUMMYFUNCTION("""COMPUTED_VALUE"""),56771)</f>
        <v>56771</v>
      </c>
      <c r="V489" s="3">
        <f ca="1">IFERROR(__xludf.DUMMYFUNCTION("""COMPUTED_VALUE"""),4.8)</f>
        <v>4.8</v>
      </c>
      <c r="W489" s="3">
        <f ca="1">IFERROR(__xludf.DUMMYFUNCTION("""COMPUTED_VALUE"""),2500)</f>
        <v>2500</v>
      </c>
      <c r="X489" s="3">
        <f ca="1">IFERROR(__xludf.DUMMYFUNCTION("""COMPUTED_VALUE"""),3622)</f>
        <v>3622</v>
      </c>
      <c r="Y489" s="3">
        <f ca="1">IFERROR(__xludf.DUMMYFUNCTION("""COMPUTED_VALUE"""),857)</f>
        <v>857</v>
      </c>
      <c r="Z489" s="3">
        <f ca="1">IFERROR(__xludf.DUMMYFUNCTION("""COMPUTED_VALUE"""),1991)</f>
        <v>1991</v>
      </c>
      <c r="AA489" s="3">
        <f ca="1">IFERROR(__xludf.DUMMYFUNCTION("""COMPUTED_VALUE"""),774)</f>
        <v>774</v>
      </c>
      <c r="AB489" s="3">
        <f ca="1">IFERROR(__xludf.DUMMYFUNCTION("""COMPUTED_VALUE"""),1)</f>
        <v>1</v>
      </c>
      <c r="AC489" s="3">
        <f ca="1">IFERROR(__xludf.DUMMYFUNCTION("""COMPUTED_VALUE"""),3)</f>
        <v>3</v>
      </c>
      <c r="AD489" s="3"/>
      <c r="AE489" s="3" t="str">
        <f ca="1">IFERROR(__xludf.DUMMYFUNCTION("""COMPUTED_VALUE"""),"2055-06-06T19:22:41.423274Z")</f>
        <v>2055-06-06T19:22:41.423274Z</v>
      </c>
      <c r="AF489" s="3" t="str">
        <f ca="1">IFERROR(__xludf.DUMMYFUNCTION("""COMPUTED_VALUE"""),"2055-06-06T19:35:35.580781Z")</f>
        <v>2055-06-06T19:35:35.580781Z</v>
      </c>
      <c r="AG489" s="3" t="str">
        <f ca="1">IFERROR(__xludf.DUMMYFUNCTION("""COMPUTED_VALUE"""),"2055-06-06T18:35:07.323816Z")</f>
        <v>2055-06-06T18:35:07.323816Z</v>
      </c>
      <c r="AH489" s="3" t="str">
        <f ca="1">IFERROR(__xludf.DUMMYFUNCTION("""COMPUTED_VALUE"""),"2055-06-06T18:49:30.847599Z")</f>
        <v>2055-06-06T18:49:30.847599Z</v>
      </c>
      <c r="AI489" s="3">
        <f ca="1">IFERROR(__xludf.DUMMYFUNCTION("""COMPUTED_VALUE"""),4.7)</f>
        <v>4.7</v>
      </c>
      <c r="AJ489" s="3">
        <f ca="1">IFERROR(__xludf.DUMMYFUNCTION("""COMPUTED_VALUE"""),212)</f>
        <v>212</v>
      </c>
      <c r="AK489" s="3">
        <f ca="1">IFERROR(__xludf.DUMMYFUNCTION("""COMPUTED_VALUE"""),624)</f>
        <v>624</v>
      </c>
      <c r="AL489" s="3">
        <f ca="1">IFERROR(__xludf.DUMMYFUNCTION("""COMPUTED_VALUE"""),347)</f>
        <v>347</v>
      </c>
    </row>
    <row r="490" spans="1:38" ht="13">
      <c r="A490" s="3">
        <f ca="1">IFERROR(__xludf.DUMMYFUNCTION("""COMPUTED_VALUE"""),711)</f>
        <v>711</v>
      </c>
      <c r="B490" s="3">
        <f ca="1">IFERROR(__xludf.DUMMYFUNCTION("""COMPUTED_VALUE"""),4)</f>
        <v>4</v>
      </c>
      <c r="C490" s="3">
        <f ca="1">IFERROR(__xludf.DUMMYFUNCTION("""COMPUTED_VALUE"""),4050)</f>
        <v>4050</v>
      </c>
      <c r="D490" s="3" t="str">
        <f ca="1">IFERROR(__xludf.DUMMYFUNCTION("""COMPUTED_VALUE"""),"Doorlanta")</f>
        <v>Doorlanta</v>
      </c>
      <c r="E490" s="3" t="str">
        <f ca="1">IFERROR(__xludf.DUMMYFUNCTION("""COMPUTED_VALUE"""),"Galaxy A")</f>
        <v>Galaxy A</v>
      </c>
      <c r="F490" s="3" t="str">
        <f ca="1">IFERROR(__xludf.DUMMYFUNCTION("""COMPUTED_VALUE"""),"Benn")</f>
        <v>Benn</v>
      </c>
      <c r="G490" s="3">
        <f ca="1">IFERROR(__xludf.DUMMYFUNCTION("""COMPUTED_VALUE"""),0)</f>
        <v>0</v>
      </c>
      <c r="H490" s="3" t="str">
        <f ca="1">IFERROR(__xludf.DUMMYFUNCTION("""COMPUTED_VALUE"""),"car")</f>
        <v>car</v>
      </c>
      <c r="I490" s="3" t="str">
        <f ca="1">IFERROR(__xludf.DUMMYFUNCTION("""COMPUTED_VALUE"""),"2055-06-06T00:57:44.140418Z")</f>
        <v>2055-06-06T00:57:44.140418Z</v>
      </c>
      <c r="J490" s="3" t="str">
        <f ca="1">IFERROR(__xludf.DUMMYFUNCTION("""COMPUTED_VALUE"""),"2055-06-06T01:58:49.223Z")</f>
        <v>2055-06-06T01:58:49.223Z</v>
      </c>
      <c r="K490" s="3" t="str">
        <f ca="1">IFERROR(__xludf.DUMMYFUNCTION("""COMPUTED_VALUE"""),"2055-06-06T01:41:55.223Z")</f>
        <v>2055-06-06T01:41:55.223Z</v>
      </c>
      <c r="L490" s="3">
        <f ca="1">IFERROR(__xludf.DUMMYFUNCTION("""COMPUTED_VALUE"""),1)</f>
        <v>1</v>
      </c>
      <c r="M490" s="3">
        <f ca="1">IFERROR(__xludf.DUMMYFUNCTION("""COMPUTED_VALUE"""),0)</f>
        <v>0</v>
      </c>
      <c r="N490" s="3" t="str">
        <f ca="1">IFERROR(__xludf.DUMMYFUNCTION("""COMPUTED_VALUE"""),"2055-06-06T01:34:59.469719Z")</f>
        <v>2055-06-06T01:34:59.469719Z</v>
      </c>
      <c r="O490" s="3" t="str">
        <f ca="1">IFERROR(__xludf.DUMMYFUNCTION("""COMPUTED_VALUE"""),"2055-06-06T01:36:08.151521Z")</f>
        <v>2055-06-06T01:36:08.151521Z</v>
      </c>
      <c r="P490" s="3" t="str">
        <f ca="1">IFERROR(__xludf.DUMMYFUNCTION("""COMPUTED_VALUE"""),"2055-06-06T01:00:08.193645Z")</f>
        <v>2055-06-06T01:00:08.193645Z</v>
      </c>
      <c r="Q490" s="3">
        <f ca="1">IFERROR(__xludf.DUMMYFUNCTION("""COMPUTED_VALUE"""),0)</f>
        <v>0</v>
      </c>
      <c r="R490" s="3" t="str">
        <f ca="1">IFERROR(__xludf.DUMMYFUNCTION("""COMPUTED_VALUE"""),"2055-06-06T01:01:28.663801Z")</f>
        <v>2055-06-06T01:01:28.663801Z</v>
      </c>
      <c r="S490" s="3" t="str">
        <f ca="1">IFERROR(__xludf.DUMMYFUNCTION("""COMPUTED_VALUE"""),"2055-06-06T01:11:41.511606Z")</f>
        <v>2055-06-06T01:11:41.511606Z</v>
      </c>
      <c r="T490" s="3"/>
      <c r="U490" s="4">
        <f ca="1">IFERROR(__xludf.DUMMYFUNCTION("""COMPUTED_VALUE"""),56770)</f>
        <v>56770</v>
      </c>
      <c r="V490" s="3">
        <f ca="1">IFERROR(__xludf.DUMMYFUNCTION("""COMPUTED_VALUE"""),2.814925789)</f>
        <v>2.8149257890000001</v>
      </c>
      <c r="W490" s="3">
        <f ca="1">IFERROR(__xludf.DUMMYFUNCTION("""COMPUTED_VALUE"""),2500)</f>
        <v>2500</v>
      </c>
      <c r="X490" s="3">
        <f ca="1">IFERROR(__xludf.DUMMYFUNCTION("""COMPUTED_VALUE"""),2080)</f>
        <v>2080</v>
      </c>
      <c r="Y490" s="3">
        <f ca="1">IFERROR(__xludf.DUMMYFUNCTION("""COMPUTED_VALUE"""),613)</f>
        <v>613</v>
      </c>
      <c r="Z490" s="3">
        <f ca="1">IFERROR(__xludf.DUMMYFUNCTION("""COMPUTED_VALUE"""),1398)</f>
        <v>1398</v>
      </c>
      <c r="AA490" s="3">
        <f ca="1">IFERROR(__xludf.DUMMYFUNCTION("""COMPUTED_VALUE"""),69)</f>
        <v>69</v>
      </c>
      <c r="AB490" s="3">
        <f ca="1">IFERROR(__xludf.DUMMYFUNCTION("""COMPUTED_VALUE"""),0)</f>
        <v>0</v>
      </c>
      <c r="AC490" s="3">
        <f ca="1">IFERROR(__xludf.DUMMYFUNCTION("""COMPUTED_VALUE"""),3)</f>
        <v>3</v>
      </c>
      <c r="AD490" s="3" t="str">
        <f ca="1">IFERROR(__xludf.DUMMYFUNCTION("""COMPUTED_VALUE"""),"early")</f>
        <v>early</v>
      </c>
      <c r="AE490" s="3" t="str">
        <f ca="1">IFERROR(__xludf.DUMMYFUNCTION("""COMPUTED_VALUE"""),"2055-06-05T21:34:59.469719Z")</f>
        <v>2055-06-05T21:34:59.469719Z</v>
      </c>
      <c r="AF490" s="3" t="str">
        <f ca="1">IFERROR(__xludf.DUMMYFUNCTION("""COMPUTED_VALUE"""),"2055-06-05T21:36:08.151521Z")</f>
        <v>2055-06-05T21:36:08.151521Z</v>
      </c>
      <c r="AG490" s="3" t="str">
        <f ca="1">IFERROR(__xludf.DUMMYFUNCTION("""COMPUTED_VALUE"""),"2055-06-05T21:00:08.193645Z")</f>
        <v>2055-06-05T21:00:08.193645Z</v>
      </c>
      <c r="AH490" s="3" t="str">
        <f ca="1">IFERROR(__xludf.DUMMYFUNCTION("""COMPUTED_VALUE"""),"2055-06-05T21:11:41.511606Z")</f>
        <v>2055-06-05T21:11:41.511606Z</v>
      </c>
      <c r="AI490" s="3">
        <f ca="1">IFERROR(__xludf.DUMMYFUNCTION("""COMPUTED_VALUE"""),4.63)</f>
        <v>4.63</v>
      </c>
      <c r="AJ490" s="3">
        <f ca="1">IFERROR(__xludf.DUMMYFUNCTION("""COMPUTED_VALUE"""),241)</f>
        <v>241</v>
      </c>
      <c r="AK490" s="3">
        <f ca="1">IFERROR(__xludf.DUMMYFUNCTION("""COMPUTED_VALUE"""),995)</f>
        <v>995</v>
      </c>
      <c r="AL490" s="3">
        <f ca="1">IFERROR(__xludf.DUMMYFUNCTION("""COMPUTED_VALUE"""),626)</f>
        <v>626</v>
      </c>
    </row>
    <row r="491" spans="1:38" ht="13">
      <c r="A491" s="3">
        <f ca="1">IFERROR(__xludf.DUMMYFUNCTION("""COMPUTED_VALUE"""),276)</f>
        <v>276</v>
      </c>
      <c r="B491" s="3">
        <f ca="1">IFERROR(__xludf.DUMMYFUNCTION("""COMPUTED_VALUE"""),4)</f>
        <v>4</v>
      </c>
      <c r="C491" s="3">
        <f ca="1">IFERROR(__xludf.DUMMYFUNCTION("""COMPUTED_VALUE"""),4050)</f>
        <v>4050</v>
      </c>
      <c r="D491" s="3" t="str">
        <f ca="1">IFERROR(__xludf.DUMMYFUNCTION("""COMPUTED_VALUE"""),"Doorlanta")</f>
        <v>Doorlanta</v>
      </c>
      <c r="E491" s="3" t="str">
        <f ca="1">IFERROR(__xludf.DUMMYFUNCTION("""COMPUTED_VALUE"""),"Galaxy A")</f>
        <v>Galaxy A</v>
      </c>
      <c r="F491" s="3" t="str">
        <f ca="1">IFERROR(__xludf.DUMMYFUNCTION("""COMPUTED_VALUE"""),"Katelynn")</f>
        <v>Katelynn</v>
      </c>
      <c r="G491" s="3">
        <f ca="1">IFERROR(__xludf.DUMMYFUNCTION("""COMPUTED_VALUE"""),0)</f>
        <v>0</v>
      </c>
      <c r="H491" s="3" t="str">
        <f ca="1">IFERROR(__xludf.DUMMYFUNCTION("""COMPUTED_VALUE"""),"car")</f>
        <v>car</v>
      </c>
      <c r="I491" s="3" t="str">
        <f ca="1">IFERROR(__xludf.DUMMYFUNCTION("""COMPUTED_VALUE"""),"2055-06-03T15:49:50.243892Z")</f>
        <v>2055-06-03T15:49:50.243892Z</v>
      </c>
      <c r="J491" s="3" t="str">
        <f ca="1">IFERROR(__xludf.DUMMYFUNCTION("""COMPUTED_VALUE"""),"2055-06-03T16:42:24.322Z")</f>
        <v>2055-06-03T16:42:24.322Z</v>
      </c>
      <c r="K491" s="3" t="str">
        <f ca="1">IFERROR(__xludf.DUMMYFUNCTION("""COMPUTED_VALUE"""),"2055-06-03T16:29:06.322Z")</f>
        <v>2055-06-03T16:29:06.322Z</v>
      </c>
      <c r="L491" s="3">
        <f ca="1">IFERROR(__xludf.DUMMYFUNCTION("""COMPUTED_VALUE"""),1)</f>
        <v>1</v>
      </c>
      <c r="M491" s="3">
        <f ca="1">IFERROR(__xludf.DUMMYFUNCTION("""COMPUTED_VALUE"""),0)</f>
        <v>0</v>
      </c>
      <c r="N491" s="3" t="str">
        <f ca="1">IFERROR(__xludf.DUMMYFUNCTION("""COMPUTED_VALUE"""),"2055-06-03T16:21:17.990659Z")</f>
        <v>2055-06-03T16:21:17.990659Z</v>
      </c>
      <c r="O491" s="3" t="str">
        <f ca="1">IFERROR(__xludf.DUMMYFUNCTION("""COMPUTED_VALUE"""),"2055-06-03T16:41:55.844436Z")</f>
        <v>2055-06-03T16:41:55.844436Z</v>
      </c>
      <c r="P491" s="3" t="str">
        <f ca="1">IFERROR(__xludf.DUMMYFUNCTION("""COMPUTED_VALUE"""),"2055-06-03T15:57:47.411062Z")</f>
        <v>2055-06-03T15:57:47.411062Z</v>
      </c>
      <c r="Q491" s="3">
        <f ca="1">IFERROR(__xludf.DUMMYFUNCTION("""COMPUTED_VALUE"""),0)</f>
        <v>0</v>
      </c>
      <c r="R491" s="3" t="str">
        <f ca="1">IFERROR(__xludf.DUMMYFUNCTION("""COMPUTED_VALUE"""),"2055-06-03T15:57:51.884156Z")</f>
        <v>2055-06-03T15:57:51.884156Z</v>
      </c>
      <c r="S491" s="3" t="str">
        <f ca="1">IFERROR(__xludf.DUMMYFUNCTION("""COMPUTED_VALUE"""),"2055-06-03T16:15:14.877956Z")</f>
        <v>2055-06-03T16:15:14.877956Z</v>
      </c>
      <c r="T491" s="3"/>
      <c r="U491" s="4">
        <f ca="1">IFERROR(__xludf.DUMMYFUNCTION("""COMPUTED_VALUE"""),56768)</f>
        <v>56768</v>
      </c>
      <c r="V491" s="3">
        <f ca="1">IFERROR(__xludf.DUMMYFUNCTION("""COMPUTED_VALUE"""),4.4)</f>
        <v>4.4000000000000004</v>
      </c>
      <c r="W491" s="3">
        <f ca="1">IFERROR(__xludf.DUMMYFUNCTION("""COMPUTED_VALUE"""),2500)</f>
        <v>2500</v>
      </c>
      <c r="X491" s="3">
        <f ca="1">IFERROR(__xludf.DUMMYFUNCTION("""COMPUTED_VALUE"""),2644)</f>
        <v>2644</v>
      </c>
      <c r="Y491" s="3">
        <f ca="1">IFERROR(__xludf.DUMMYFUNCTION("""COMPUTED_VALUE"""),1043)</f>
        <v>1043</v>
      </c>
      <c r="Z491" s="3">
        <f ca="1">IFERROR(__xludf.DUMMYFUNCTION("""COMPUTED_VALUE"""),363)</f>
        <v>363</v>
      </c>
      <c r="AA491" s="3">
        <f ca="1">IFERROR(__xludf.DUMMYFUNCTION("""COMPUTED_VALUE"""),1238)</f>
        <v>1238</v>
      </c>
      <c r="AB491" s="3">
        <f ca="1">IFERROR(__xludf.DUMMYFUNCTION("""COMPUTED_VALUE"""),0)</f>
        <v>0</v>
      </c>
      <c r="AC491" s="3">
        <f ca="1">IFERROR(__xludf.DUMMYFUNCTION("""COMPUTED_VALUE"""),2)</f>
        <v>2</v>
      </c>
      <c r="AD491" s="3" t="str">
        <f ca="1">IFERROR(__xludf.DUMMYFUNCTION("""COMPUTED_VALUE"""),"late")</f>
        <v>late</v>
      </c>
      <c r="AE491" s="3" t="str">
        <f ca="1">IFERROR(__xludf.DUMMYFUNCTION("""COMPUTED_VALUE"""),"2055-06-03T12:21:17.990659Z")</f>
        <v>2055-06-03T12:21:17.990659Z</v>
      </c>
      <c r="AF491" s="3" t="str">
        <f ca="1">IFERROR(__xludf.DUMMYFUNCTION("""COMPUTED_VALUE"""),"2055-06-03T12:41:55.844436Z")</f>
        <v>2055-06-03T12:41:55.844436Z</v>
      </c>
      <c r="AG491" s="3" t="str">
        <f ca="1">IFERROR(__xludf.DUMMYFUNCTION("""COMPUTED_VALUE"""),"2055-06-03T11:57:47.411062Z")</f>
        <v>2055-06-03T11:57:47.411062Z</v>
      </c>
      <c r="AH491" s="3" t="str">
        <f ca="1">IFERROR(__xludf.DUMMYFUNCTION("""COMPUTED_VALUE"""),"2055-06-03T12:15:14.877956Z")</f>
        <v>2055-06-03T12:15:14.877956Z</v>
      </c>
      <c r="AI491" s="3">
        <f ca="1">IFERROR(__xludf.DUMMYFUNCTION("""COMPUTED_VALUE"""),4.7)</f>
        <v>4.7</v>
      </c>
      <c r="AJ491" s="3">
        <f ca="1">IFERROR(__xludf.DUMMYFUNCTION("""COMPUTED_VALUE"""),1261)</f>
        <v>1261</v>
      </c>
      <c r="AK491" s="3">
        <f ca="1">IFERROR(__xludf.DUMMYFUNCTION("""COMPUTED_VALUE"""),3264)</f>
        <v>3264</v>
      </c>
      <c r="AL491" s="3">
        <f ca="1">IFERROR(__xludf.DUMMYFUNCTION("""COMPUTED_VALUE"""),232)</f>
        <v>232</v>
      </c>
    </row>
    <row r="492" spans="1:38" ht="13">
      <c r="A492" s="3">
        <f ca="1">IFERROR(__xludf.DUMMYFUNCTION("""COMPUTED_VALUE"""),680)</f>
        <v>680</v>
      </c>
      <c r="B492" s="3"/>
      <c r="C492" s="3">
        <f ca="1">IFERROR(__xludf.DUMMYFUNCTION("""COMPUTED_VALUE"""),4050)</f>
        <v>4050</v>
      </c>
      <c r="D492" s="3" t="str">
        <f ca="1">IFERROR(__xludf.DUMMYFUNCTION("""COMPUTED_VALUE"""),"Doorlanta")</f>
        <v>Doorlanta</v>
      </c>
      <c r="E492" s="3" t="str">
        <f ca="1">IFERROR(__xludf.DUMMYFUNCTION("""COMPUTED_VALUE"""),"Galaxy A")</f>
        <v>Galaxy A</v>
      </c>
      <c r="F492" s="3" t="str">
        <f ca="1">IFERROR(__xludf.DUMMYFUNCTION("""COMPUTED_VALUE"""),"Anisha")</f>
        <v>Anisha</v>
      </c>
      <c r="G492" s="3">
        <f ca="1">IFERROR(__xludf.DUMMYFUNCTION("""COMPUTED_VALUE"""),0)</f>
        <v>0</v>
      </c>
      <c r="H492" s="3" t="str">
        <f ca="1">IFERROR(__xludf.DUMMYFUNCTION("""COMPUTED_VALUE"""),"car")</f>
        <v>car</v>
      </c>
      <c r="I492" s="3" t="str">
        <f ca="1">IFERROR(__xludf.DUMMYFUNCTION("""COMPUTED_VALUE"""),"2055-06-05T23:35:49.800169Z")</f>
        <v>2055-06-05T23:35:49.800169Z</v>
      </c>
      <c r="J492" s="3" t="str">
        <f ca="1">IFERROR(__xludf.DUMMYFUNCTION("""COMPUTED_VALUE"""),"2055-06-06T00:51:34.854Z")</f>
        <v>2055-06-06T00:51:34.854Z</v>
      </c>
      <c r="K492" s="3" t="str">
        <f ca="1">IFERROR(__xludf.DUMMYFUNCTION("""COMPUTED_VALUE"""),"2055-06-06T00:25:45.854Z")</f>
        <v>2055-06-06T00:25:45.854Z</v>
      </c>
      <c r="L492" s="3">
        <f ca="1">IFERROR(__xludf.DUMMYFUNCTION("""COMPUTED_VALUE"""),1)</f>
        <v>1</v>
      </c>
      <c r="M492" s="3">
        <f ca="1">IFERROR(__xludf.DUMMYFUNCTION("""COMPUTED_VALUE"""),0)</f>
        <v>0</v>
      </c>
      <c r="N492" s="3" t="str">
        <f ca="1">IFERROR(__xludf.DUMMYFUNCTION("""COMPUTED_VALUE"""),"2055-06-06T00:09:23.042277Z")</f>
        <v>2055-06-06T00:09:23.042277Z</v>
      </c>
      <c r="O492" s="3" t="str">
        <f ca="1">IFERROR(__xludf.DUMMYFUNCTION("""COMPUTED_VALUE"""),"2055-06-06T00:17:28.374276Z")</f>
        <v>2055-06-06T00:17:28.374276Z</v>
      </c>
      <c r="P492" s="3" t="str">
        <f ca="1">IFERROR(__xludf.DUMMYFUNCTION("""COMPUTED_VALUE"""),"2055-06-05T23:47:27.520826Z")</f>
        <v>2055-06-05T23:47:27.520826Z</v>
      </c>
      <c r="Q492" s="3">
        <f ca="1">IFERROR(__xludf.DUMMYFUNCTION("""COMPUTED_VALUE"""),0)</f>
        <v>0</v>
      </c>
      <c r="R492" s="3" t="str">
        <f ca="1">IFERROR(__xludf.DUMMYFUNCTION("""COMPUTED_VALUE"""),"2055-06-05T23:47:31.66729Z")</f>
        <v>2055-06-05T23:47:31.66729Z</v>
      </c>
      <c r="S492" s="3" t="str">
        <f ca="1">IFERROR(__xludf.DUMMYFUNCTION("""COMPUTED_VALUE"""),"2055-06-05T23:53:54.452341Z")</f>
        <v>2055-06-05T23:53:54.452341Z</v>
      </c>
      <c r="T492" s="3"/>
      <c r="U492" s="4">
        <f ca="1">IFERROR(__xludf.DUMMYFUNCTION("""COMPUTED_VALUE"""),56770)</f>
        <v>56770</v>
      </c>
      <c r="V492" s="3">
        <f ca="1">IFERROR(__xludf.DUMMYFUNCTION("""COMPUTED_VALUE"""),4.5)</f>
        <v>4.5</v>
      </c>
      <c r="W492" s="3">
        <f ca="1">IFERROR(__xludf.DUMMYFUNCTION("""COMPUTED_VALUE"""),2500)</f>
        <v>2500</v>
      </c>
      <c r="X492" s="3">
        <f ca="1">IFERROR(__xludf.DUMMYFUNCTION("""COMPUTED_VALUE"""),1797)</f>
        <v>1797</v>
      </c>
      <c r="Y492" s="3">
        <f ca="1">IFERROR(__xludf.DUMMYFUNCTION("""COMPUTED_VALUE"""),383)</f>
        <v>383</v>
      </c>
      <c r="Z492" s="3">
        <f ca="1">IFERROR(__xludf.DUMMYFUNCTION("""COMPUTED_VALUE"""),929)</f>
        <v>929</v>
      </c>
      <c r="AA492" s="3">
        <f ca="1">IFERROR(__xludf.DUMMYFUNCTION("""COMPUTED_VALUE"""),485)</f>
        <v>485</v>
      </c>
      <c r="AB492" s="3">
        <f ca="1">IFERROR(__xludf.DUMMYFUNCTION("""COMPUTED_VALUE"""),0)</f>
        <v>0</v>
      </c>
      <c r="AC492" s="3">
        <f ca="1">IFERROR(__xludf.DUMMYFUNCTION("""COMPUTED_VALUE"""),6)</f>
        <v>6</v>
      </c>
      <c r="AD492" s="3" t="str">
        <f ca="1">IFERROR(__xludf.DUMMYFUNCTION("""COMPUTED_VALUE"""),"late")</f>
        <v>late</v>
      </c>
      <c r="AE492" s="3" t="str">
        <f ca="1">IFERROR(__xludf.DUMMYFUNCTION("""COMPUTED_VALUE"""),"2055-06-05T20:09:23.042277Z")</f>
        <v>2055-06-05T20:09:23.042277Z</v>
      </c>
      <c r="AF492" s="3" t="str">
        <f ca="1">IFERROR(__xludf.DUMMYFUNCTION("""COMPUTED_VALUE"""),"2055-06-05T20:17:28.374276Z")</f>
        <v>2055-06-05T20:17:28.374276Z</v>
      </c>
      <c r="AG492" s="3" t="str">
        <f ca="1">IFERROR(__xludf.DUMMYFUNCTION("""COMPUTED_VALUE"""),"2055-06-05T19:47:27.520826Z")</f>
        <v>2055-06-05T19:47:27.520826Z</v>
      </c>
      <c r="AH492" s="3" t="str">
        <f ca="1">IFERROR(__xludf.DUMMYFUNCTION("""COMPUTED_VALUE"""),"2055-06-05T19:53:54.452341Z")</f>
        <v>2055-06-05T19:53:54.452341Z</v>
      </c>
      <c r="AI492" s="3">
        <f ca="1">IFERROR(__xludf.DUMMYFUNCTION("""COMPUTED_VALUE"""),4.7)</f>
        <v>4.7</v>
      </c>
      <c r="AJ492" s="3">
        <f ca="1">IFERROR(__xludf.DUMMYFUNCTION("""COMPUTED_VALUE"""),272)</f>
        <v>272</v>
      </c>
      <c r="AK492" s="3">
        <f ca="1">IFERROR(__xludf.DUMMYFUNCTION("""COMPUTED_VALUE"""),931)</f>
        <v>931</v>
      </c>
      <c r="AL492" s="3">
        <f ca="1">IFERROR(__xludf.DUMMYFUNCTION("""COMPUTED_VALUE"""),144)</f>
        <v>144</v>
      </c>
    </row>
    <row r="493" spans="1:38" ht="13">
      <c r="A493" s="3">
        <f ca="1">IFERROR(__xludf.DUMMYFUNCTION("""COMPUTED_VALUE"""),1539)</f>
        <v>1539</v>
      </c>
      <c r="B493" s="3">
        <f ca="1">IFERROR(__xludf.DUMMYFUNCTION("""COMPUTED_VALUE"""),5)</f>
        <v>5</v>
      </c>
      <c r="C493" s="3">
        <f ca="1">IFERROR(__xludf.DUMMYFUNCTION("""COMPUTED_VALUE"""),4001)</f>
        <v>4001</v>
      </c>
      <c r="D493" s="3" t="str">
        <f ca="1">IFERROR(__xludf.DUMMYFUNCTION("""COMPUTED_VALUE"""),"Dashattan")</f>
        <v>Dashattan</v>
      </c>
      <c r="E493" s="3" t="str">
        <f ca="1">IFERROR(__xludf.DUMMYFUNCTION("""COMPUTED_VALUE"""),"Galaxy A")</f>
        <v>Galaxy A</v>
      </c>
      <c r="F493" s="3" t="str">
        <f ca="1">IFERROR(__xludf.DUMMYFUNCTION("""COMPUTED_VALUE"""),"Rojan")</f>
        <v>Rojan</v>
      </c>
      <c r="G493" s="3">
        <f ca="1">IFERROR(__xludf.DUMMYFUNCTION("""COMPUTED_VALUE"""),0)</f>
        <v>0</v>
      </c>
      <c r="H493" s="3" t="str">
        <f ca="1">IFERROR(__xludf.DUMMYFUNCTION("""COMPUTED_VALUE"""),"bicycle")</f>
        <v>bicycle</v>
      </c>
      <c r="I493" s="3" t="str">
        <f ca="1">IFERROR(__xludf.DUMMYFUNCTION("""COMPUTED_VALUE"""),"2055-06-13T01:27:55.53241Z")</f>
        <v>2055-06-13T01:27:55.53241Z</v>
      </c>
      <c r="J493" s="3" t="str">
        <f ca="1">IFERROR(__xludf.DUMMYFUNCTION("""COMPUTED_VALUE"""),"2055-06-13T02:24:19.591Z")</f>
        <v>2055-06-13T02:24:19.591Z</v>
      </c>
      <c r="K493" s="3" t="str">
        <f ca="1">IFERROR(__xludf.DUMMYFUNCTION("""COMPUTED_VALUE"""),"2055-06-13T02:11:01.591Z")</f>
        <v>2055-06-13T02:11:01.591Z</v>
      </c>
      <c r="L493" s="3">
        <f ca="1">IFERROR(__xludf.DUMMYFUNCTION("""COMPUTED_VALUE"""),1)</f>
        <v>1</v>
      </c>
      <c r="M493" s="3">
        <f ca="1">IFERROR(__xludf.DUMMYFUNCTION("""COMPUTED_VALUE"""),0)</f>
        <v>0</v>
      </c>
      <c r="N493" s="3" t="str">
        <f ca="1">IFERROR(__xludf.DUMMYFUNCTION("""COMPUTED_VALUE"""),"2055-06-13T01:49:35.422294Z")</f>
        <v>2055-06-13T01:49:35.422294Z</v>
      </c>
      <c r="O493" s="3" t="str">
        <f ca="1">IFERROR(__xludf.DUMMYFUNCTION("""COMPUTED_VALUE"""),"2055-06-13T01:57:45.986577Z")</f>
        <v>2055-06-13T01:57:45.986577Z</v>
      </c>
      <c r="P493" s="3" t="str">
        <f ca="1">IFERROR(__xludf.DUMMYFUNCTION("""COMPUTED_VALUE"""),"2055-06-13T01:33:14.406879Z")</f>
        <v>2055-06-13T01:33:14.406879Z</v>
      </c>
      <c r="Q493" s="3">
        <f ca="1">IFERROR(__xludf.DUMMYFUNCTION("""COMPUTED_VALUE"""),0)</f>
        <v>0</v>
      </c>
      <c r="R493" s="3" t="str">
        <f ca="1">IFERROR(__xludf.DUMMYFUNCTION("""COMPUTED_VALUE"""),"2055-06-13T01:33:19.409478Z")</f>
        <v>2055-06-13T01:33:19.409478Z</v>
      </c>
      <c r="S493" s="3" t="str">
        <f ca="1">IFERROR(__xludf.DUMMYFUNCTION("""COMPUTED_VALUE"""),"2055-06-13T01:41:19.37148Z")</f>
        <v>2055-06-13T01:41:19.37148Z</v>
      </c>
      <c r="T493" s="3"/>
      <c r="U493" s="4">
        <f ca="1">IFERROR(__xludf.DUMMYFUNCTION("""COMPUTED_VALUE"""),56777)</f>
        <v>56777</v>
      </c>
      <c r="V493" s="3">
        <f ca="1">IFERROR(__xludf.DUMMYFUNCTION("""COMPUTED_VALUE"""),4.4)</f>
        <v>4.4000000000000004</v>
      </c>
      <c r="W493" s="3">
        <f ca="1">IFERROR(__xludf.DUMMYFUNCTION("""COMPUTED_VALUE"""),2500)</f>
        <v>2500</v>
      </c>
      <c r="X493" s="3">
        <f ca="1">IFERROR(__xludf.DUMMYFUNCTION("""COMPUTED_VALUE"""),1466)</f>
        <v>1466</v>
      </c>
      <c r="Y493" s="3">
        <f ca="1">IFERROR(__xludf.DUMMYFUNCTION("""COMPUTED_VALUE"""),480)</f>
        <v>480</v>
      </c>
      <c r="Z493" s="3">
        <f ca="1">IFERROR(__xludf.DUMMYFUNCTION("""COMPUTED_VALUE"""),496)</f>
        <v>496</v>
      </c>
      <c r="AA493" s="3">
        <f ca="1">IFERROR(__xludf.DUMMYFUNCTION("""COMPUTED_VALUE"""),490)</f>
        <v>490</v>
      </c>
      <c r="AB493" s="3">
        <f ca="1">IFERROR(__xludf.DUMMYFUNCTION("""COMPUTED_VALUE"""),0)</f>
        <v>0</v>
      </c>
      <c r="AC493" s="3">
        <f ca="1">IFERROR(__xludf.DUMMYFUNCTION("""COMPUTED_VALUE"""),8)</f>
        <v>8</v>
      </c>
      <c r="AD493" s="3" t="str">
        <f ca="1">IFERROR(__xludf.DUMMYFUNCTION("""COMPUTED_VALUE"""),"on time")</f>
        <v>on time</v>
      </c>
      <c r="AE493" s="3" t="str">
        <f ca="1">IFERROR(__xludf.DUMMYFUNCTION("""COMPUTED_VALUE"""),"2055-06-12T21:49:35.422294Z")</f>
        <v>2055-06-12T21:49:35.422294Z</v>
      </c>
      <c r="AF493" s="3" t="str">
        <f ca="1">IFERROR(__xludf.DUMMYFUNCTION("""COMPUTED_VALUE"""),"2055-06-12T21:57:45.986577Z")</f>
        <v>2055-06-12T21:57:45.986577Z</v>
      </c>
      <c r="AG493" s="3" t="str">
        <f ca="1">IFERROR(__xludf.DUMMYFUNCTION("""COMPUTED_VALUE"""),"2055-06-12T21:33:14.406879Z")</f>
        <v>2055-06-12T21:33:14.406879Z</v>
      </c>
      <c r="AH493" s="3" t="str">
        <f ca="1">IFERROR(__xludf.DUMMYFUNCTION("""COMPUTED_VALUE"""),"2055-06-12T21:41:19.37148Z")</f>
        <v>2055-06-12T21:41:19.37148Z</v>
      </c>
      <c r="AI493" s="3">
        <f ca="1">IFERROR(__xludf.DUMMYFUNCTION("""COMPUTED_VALUE"""),4.58)</f>
        <v>4.58</v>
      </c>
      <c r="AJ493" s="3">
        <f ca="1">IFERROR(__xludf.DUMMYFUNCTION("""COMPUTED_VALUE"""),254)</f>
        <v>254</v>
      </c>
      <c r="AK493" s="3">
        <f ca="1">IFERROR(__xludf.DUMMYFUNCTION("""COMPUTED_VALUE"""),788)</f>
        <v>788</v>
      </c>
      <c r="AL493" s="3">
        <f ca="1">IFERROR(__xludf.DUMMYFUNCTION("""COMPUTED_VALUE"""),9)</f>
        <v>9</v>
      </c>
    </row>
    <row r="494" spans="1:38" ht="13">
      <c r="A494" s="3">
        <f ca="1">IFERROR(__xludf.DUMMYFUNCTION("""COMPUTED_VALUE"""),631)</f>
        <v>631</v>
      </c>
      <c r="B494" s="3"/>
      <c r="C494" s="3">
        <f ca="1">IFERROR(__xludf.DUMMYFUNCTION("""COMPUTED_VALUE"""),4001)</f>
        <v>4001</v>
      </c>
      <c r="D494" s="3" t="str">
        <f ca="1">IFERROR(__xludf.DUMMYFUNCTION("""COMPUTED_VALUE"""),"Dashattan")</f>
        <v>Dashattan</v>
      </c>
      <c r="E494" s="3" t="str">
        <f ca="1">IFERROR(__xludf.DUMMYFUNCTION("""COMPUTED_VALUE"""),"Galaxy A")</f>
        <v>Galaxy A</v>
      </c>
      <c r="F494" s="3" t="str">
        <f ca="1">IFERROR(__xludf.DUMMYFUNCTION("""COMPUTED_VALUE"""),"KC")</f>
        <v>KC</v>
      </c>
      <c r="G494" s="3">
        <f ca="1">IFERROR(__xludf.DUMMYFUNCTION("""COMPUTED_VALUE"""),0)</f>
        <v>0</v>
      </c>
      <c r="H494" s="3" t="str">
        <f ca="1">IFERROR(__xludf.DUMMYFUNCTION("""COMPUTED_VALUE"""),"car")</f>
        <v>car</v>
      </c>
      <c r="I494" s="3" t="str">
        <f ca="1">IFERROR(__xludf.DUMMYFUNCTION("""COMPUTED_VALUE"""),"2055-06-05T21:53:14.940938Z")</f>
        <v>2055-06-05T21:53:14.940938Z</v>
      </c>
      <c r="J494" s="3" t="str">
        <f ca="1">IFERROR(__xludf.DUMMYFUNCTION("""COMPUTED_VALUE"""),"2055-06-05T23:01:04.007Z")</f>
        <v>2055-06-05T23:01:04.007Z</v>
      </c>
      <c r="K494" s="3" t="str">
        <f ca="1">IFERROR(__xludf.DUMMYFUNCTION("""COMPUTED_VALUE"""),"2055-06-05T22:42:11.007Z")</f>
        <v>2055-06-05T22:42:11.007Z</v>
      </c>
      <c r="L494" s="3">
        <f ca="1">IFERROR(__xludf.DUMMYFUNCTION("""COMPUTED_VALUE"""),1)</f>
        <v>1</v>
      </c>
      <c r="M494" s="3">
        <f ca="1">IFERROR(__xludf.DUMMYFUNCTION("""COMPUTED_VALUE"""),0)</f>
        <v>0</v>
      </c>
      <c r="N494" s="3" t="str">
        <f ca="1">IFERROR(__xludf.DUMMYFUNCTION("""COMPUTED_VALUE"""),"2055-06-05T22:10:11.606669Z")</f>
        <v>2055-06-05T22:10:11.606669Z</v>
      </c>
      <c r="O494" s="3" t="str">
        <f ca="1">IFERROR(__xludf.DUMMYFUNCTION("""COMPUTED_VALUE"""),"2055-06-05T22:18:21.176849Z")</f>
        <v>2055-06-05T22:18:21.176849Z</v>
      </c>
      <c r="P494" s="3" t="str">
        <f ca="1">IFERROR(__xludf.DUMMYFUNCTION("""COMPUTED_VALUE"""),"2055-06-05T21:59:35.74218Z")</f>
        <v>2055-06-05T21:59:35.74218Z</v>
      </c>
      <c r="Q494" s="3">
        <f ca="1">IFERROR(__xludf.DUMMYFUNCTION("""COMPUTED_VALUE"""),0)</f>
        <v>0</v>
      </c>
      <c r="R494" s="3" t="str">
        <f ca="1">IFERROR(__xludf.DUMMYFUNCTION("""COMPUTED_VALUE"""),"2055-06-05T21:59:42.918858Z")</f>
        <v>2055-06-05T21:59:42.918858Z</v>
      </c>
      <c r="S494" s="3" t="str">
        <f ca="1">IFERROR(__xludf.DUMMYFUNCTION("""COMPUTED_VALUE"""),"2055-06-05T22:05:10.624317Z")</f>
        <v>2055-06-05T22:05:10.624317Z</v>
      </c>
      <c r="T494" s="3"/>
      <c r="U494" s="4">
        <f ca="1">IFERROR(__xludf.DUMMYFUNCTION("""COMPUTED_VALUE"""),56770)</f>
        <v>56770</v>
      </c>
      <c r="V494" s="3">
        <f ca="1">IFERROR(__xludf.DUMMYFUNCTION("""COMPUTED_VALUE"""),4.4)</f>
        <v>4.4000000000000004</v>
      </c>
      <c r="W494" s="3">
        <f ca="1">IFERROR(__xludf.DUMMYFUNCTION("""COMPUTED_VALUE"""),2500)</f>
        <v>2500</v>
      </c>
      <c r="X494" s="3">
        <f ca="1">IFERROR(__xludf.DUMMYFUNCTION("""COMPUTED_VALUE"""),1119)</f>
        <v>1119</v>
      </c>
      <c r="Y494" s="3">
        <f ca="1">IFERROR(__xludf.DUMMYFUNCTION("""COMPUTED_VALUE"""),328)</f>
        <v>328</v>
      </c>
      <c r="Z494" s="3">
        <f ca="1">IFERROR(__xludf.DUMMYFUNCTION("""COMPUTED_VALUE"""),301)</f>
        <v>301</v>
      </c>
      <c r="AA494" s="3">
        <f ca="1">IFERROR(__xludf.DUMMYFUNCTION("""COMPUTED_VALUE"""),490)</f>
        <v>490</v>
      </c>
      <c r="AB494" s="3">
        <f ca="1">IFERROR(__xludf.DUMMYFUNCTION("""COMPUTED_VALUE"""),0)</f>
        <v>0</v>
      </c>
      <c r="AC494" s="3">
        <f ca="1">IFERROR(__xludf.DUMMYFUNCTION("""COMPUTED_VALUE"""),2)</f>
        <v>2</v>
      </c>
      <c r="AD494" s="3" t="str">
        <f ca="1">IFERROR(__xludf.DUMMYFUNCTION("""COMPUTED_VALUE"""),"early")</f>
        <v>early</v>
      </c>
      <c r="AE494" s="3" t="str">
        <f ca="1">IFERROR(__xludf.DUMMYFUNCTION("""COMPUTED_VALUE"""),"2055-06-05T18:10:11.606669Z")</f>
        <v>2055-06-05T18:10:11.606669Z</v>
      </c>
      <c r="AF494" s="3" t="str">
        <f ca="1">IFERROR(__xludf.DUMMYFUNCTION("""COMPUTED_VALUE"""),"2055-06-05T18:18:21.176849Z")</f>
        <v>2055-06-05T18:18:21.176849Z</v>
      </c>
      <c r="AG494" s="3" t="str">
        <f ca="1">IFERROR(__xludf.DUMMYFUNCTION("""COMPUTED_VALUE"""),"2055-06-05T17:59:35.74218Z")</f>
        <v>2055-06-05T17:59:35.74218Z</v>
      </c>
      <c r="AH494" s="3" t="str">
        <f ca="1">IFERROR(__xludf.DUMMYFUNCTION("""COMPUTED_VALUE"""),"2055-06-05T18:05:10.624317Z")</f>
        <v>2055-06-05T18:05:10.624317Z</v>
      </c>
      <c r="AI494" s="3">
        <f ca="1">IFERROR(__xludf.DUMMYFUNCTION("""COMPUTED_VALUE"""),4.54)</f>
        <v>4.54</v>
      </c>
      <c r="AJ494" s="3">
        <f ca="1">IFERROR(__xludf.DUMMYFUNCTION("""COMPUTED_VALUE"""),2229)</f>
        <v>2229</v>
      </c>
      <c r="AK494" s="3">
        <f ca="1">IFERROR(__xludf.DUMMYFUNCTION("""COMPUTED_VALUE"""),6580)</f>
        <v>6580</v>
      </c>
      <c r="AL494" s="3"/>
    </row>
    <row r="495" spans="1:38" ht="13">
      <c r="A495" s="3">
        <f ca="1">IFERROR(__xludf.DUMMYFUNCTION("""COMPUTED_VALUE"""),190)</f>
        <v>190</v>
      </c>
      <c r="B495" s="3"/>
      <c r="C495" s="3">
        <f ca="1">IFERROR(__xludf.DUMMYFUNCTION("""COMPUTED_VALUE"""),4050)</f>
        <v>4050</v>
      </c>
      <c r="D495" s="3" t="str">
        <f ca="1">IFERROR(__xludf.DUMMYFUNCTION("""COMPUTED_VALUE"""),"Doorlanta")</f>
        <v>Doorlanta</v>
      </c>
      <c r="E495" s="3" t="str">
        <f ca="1">IFERROR(__xludf.DUMMYFUNCTION("""COMPUTED_VALUE"""),"Galaxy A")</f>
        <v>Galaxy A</v>
      </c>
      <c r="F495" s="3" t="str">
        <f ca="1">IFERROR(__xludf.DUMMYFUNCTION("""COMPUTED_VALUE"""),"Katelynn")</f>
        <v>Katelynn</v>
      </c>
      <c r="G495" s="3">
        <f ca="1">IFERROR(__xludf.DUMMYFUNCTION("""COMPUTED_VALUE"""),0)</f>
        <v>0</v>
      </c>
      <c r="H495" s="3" t="str">
        <f ca="1">IFERROR(__xludf.DUMMYFUNCTION("""COMPUTED_VALUE"""),"car")</f>
        <v>car</v>
      </c>
      <c r="I495" s="3" t="str">
        <f ca="1">IFERROR(__xludf.DUMMYFUNCTION("""COMPUTED_VALUE"""),"2055-06-02T22:36:59.37152Z")</f>
        <v>2055-06-02T22:36:59.37152Z</v>
      </c>
      <c r="J495" s="3" t="str">
        <f ca="1">IFERROR(__xludf.DUMMYFUNCTION("""COMPUTED_VALUE"""),"2055-06-02T23:32:07.423Z")</f>
        <v>2055-06-02T23:32:07.423Z</v>
      </c>
      <c r="K495" s="3" t="str">
        <f ca="1">IFERROR(__xludf.DUMMYFUNCTION("""COMPUTED_VALUE"""),"2055-06-02T23:15:13.423Z")</f>
        <v>2055-06-02T23:15:13.423Z</v>
      </c>
      <c r="L495" s="3">
        <f ca="1">IFERROR(__xludf.DUMMYFUNCTION("""COMPUTED_VALUE"""),1)</f>
        <v>1</v>
      </c>
      <c r="M495" s="3">
        <f ca="1">IFERROR(__xludf.DUMMYFUNCTION("""COMPUTED_VALUE"""),0)</f>
        <v>0</v>
      </c>
      <c r="N495" s="3" t="str">
        <f ca="1">IFERROR(__xludf.DUMMYFUNCTION("""COMPUTED_VALUE"""),"2055-06-02T22:58:58.557158Z")</f>
        <v>2055-06-02T22:58:58.557158Z</v>
      </c>
      <c r="O495" s="3" t="str">
        <f ca="1">IFERROR(__xludf.DUMMYFUNCTION("""COMPUTED_VALUE"""),"2055-06-02T23:10:56.734632Z")</f>
        <v>2055-06-02T23:10:56.734632Z</v>
      </c>
      <c r="P495" s="3" t="str">
        <f ca="1">IFERROR(__xludf.DUMMYFUNCTION("""COMPUTED_VALUE"""),"2055-06-02T22:38:27.452158Z")</f>
        <v>2055-06-02T22:38:27.452158Z</v>
      </c>
      <c r="Q495" s="3">
        <f ca="1">IFERROR(__xludf.DUMMYFUNCTION("""COMPUTED_VALUE"""),0)</f>
        <v>0</v>
      </c>
      <c r="R495" s="3" t="str">
        <f ca="1">IFERROR(__xludf.DUMMYFUNCTION("""COMPUTED_VALUE"""),"2055-06-02T22:38:52.268486Z")</f>
        <v>2055-06-02T22:38:52.268486Z</v>
      </c>
      <c r="S495" s="3"/>
      <c r="T495" s="3"/>
      <c r="U495" s="4">
        <f ca="1">IFERROR(__xludf.DUMMYFUNCTION("""COMPUTED_VALUE"""),56767)</f>
        <v>56767</v>
      </c>
      <c r="V495" s="3">
        <f ca="1">IFERROR(__xludf.DUMMYFUNCTION("""COMPUTED_VALUE"""),4.5)</f>
        <v>4.5</v>
      </c>
      <c r="W495" s="3">
        <f ca="1">IFERROR(__xludf.DUMMYFUNCTION("""COMPUTED_VALUE"""),2500)</f>
        <v>2500</v>
      </c>
      <c r="X495" s="3">
        <f ca="1">IFERROR(__xludf.DUMMYFUNCTION("""COMPUTED_VALUE"""),1924)</f>
        <v>1924</v>
      </c>
      <c r="Y495" s="3"/>
      <c r="Z495" s="3"/>
      <c r="AA495" s="3">
        <f ca="1">IFERROR(__xludf.DUMMYFUNCTION("""COMPUTED_VALUE"""),718)</f>
        <v>718</v>
      </c>
      <c r="AB495" s="3">
        <f ca="1">IFERROR(__xludf.DUMMYFUNCTION("""COMPUTED_VALUE"""),0)</f>
        <v>0</v>
      </c>
      <c r="AC495" s="3">
        <f ca="1">IFERROR(__xludf.DUMMYFUNCTION("""COMPUTED_VALUE"""),4)</f>
        <v>4</v>
      </c>
      <c r="AD495" s="3"/>
      <c r="AE495" s="3" t="str">
        <f ca="1">IFERROR(__xludf.DUMMYFUNCTION("""COMPUTED_VALUE"""),"2055-06-02T18:58:58.557158Z")</f>
        <v>2055-06-02T18:58:58.557158Z</v>
      </c>
      <c r="AF495" s="3" t="str">
        <f ca="1">IFERROR(__xludf.DUMMYFUNCTION("""COMPUTED_VALUE"""),"2055-06-02T19:10:56.734632Z")</f>
        <v>2055-06-02T19:10:56.734632Z</v>
      </c>
      <c r="AG495" s="3" t="str">
        <f ca="1">IFERROR(__xludf.DUMMYFUNCTION("""COMPUTED_VALUE"""),"2055-06-02T18:38:27.452158Z")</f>
        <v>2055-06-02T18:38:27.452158Z</v>
      </c>
      <c r="AH495" s="3"/>
      <c r="AI495" s="3">
        <f ca="1">IFERROR(__xludf.DUMMYFUNCTION("""COMPUTED_VALUE"""),4.7)</f>
        <v>4.7</v>
      </c>
      <c r="AJ495" s="3">
        <f ca="1">IFERROR(__xludf.DUMMYFUNCTION("""COMPUTED_VALUE"""),1261)</f>
        <v>1261</v>
      </c>
      <c r="AK495" s="3">
        <f ca="1">IFERROR(__xludf.DUMMYFUNCTION("""COMPUTED_VALUE"""),3264)</f>
        <v>3264</v>
      </c>
      <c r="AL495" s="3">
        <f ca="1">IFERROR(__xludf.DUMMYFUNCTION("""COMPUTED_VALUE"""),232)</f>
        <v>232</v>
      </c>
    </row>
    <row r="496" spans="1:38" ht="13">
      <c r="A496" s="3">
        <f ca="1">IFERROR(__xludf.DUMMYFUNCTION("""COMPUTED_VALUE"""),112)</f>
        <v>112</v>
      </c>
      <c r="B496" s="3"/>
      <c r="C496" s="3">
        <f ca="1">IFERROR(__xludf.DUMMYFUNCTION("""COMPUTED_VALUE"""),4001)</f>
        <v>4001</v>
      </c>
      <c r="D496" s="3" t="str">
        <f ca="1">IFERROR(__xludf.DUMMYFUNCTION("""COMPUTED_VALUE"""),"Dashattan")</f>
        <v>Dashattan</v>
      </c>
      <c r="E496" s="3" t="str">
        <f ca="1">IFERROR(__xludf.DUMMYFUNCTION("""COMPUTED_VALUE"""),"Galaxy A")</f>
        <v>Galaxy A</v>
      </c>
      <c r="F496" s="3" t="str">
        <f ca="1">IFERROR(__xludf.DUMMYFUNCTION("""COMPUTED_VALUE"""),"Rojan")</f>
        <v>Rojan</v>
      </c>
      <c r="G496" s="3">
        <f ca="1">IFERROR(__xludf.DUMMYFUNCTION("""COMPUTED_VALUE"""),0)</f>
        <v>0</v>
      </c>
      <c r="H496" s="3" t="str">
        <f ca="1">IFERROR(__xludf.DUMMYFUNCTION("""COMPUTED_VALUE"""),"bicycle")</f>
        <v>bicycle</v>
      </c>
      <c r="I496" s="3" t="str">
        <f ca="1">IFERROR(__xludf.DUMMYFUNCTION("""COMPUTED_VALUE"""),"2055-06-02T13:53:39.599445Z")</f>
        <v>2055-06-02T13:53:39.599445Z</v>
      </c>
      <c r="J496" s="3" t="str">
        <f ca="1">IFERROR(__xludf.DUMMYFUNCTION("""COMPUTED_VALUE"""),"2055-06-02T15:30:00Z")</f>
        <v>2055-06-02T15:30:00Z</v>
      </c>
      <c r="K496" s="3" t="str">
        <f ca="1">IFERROR(__xludf.DUMMYFUNCTION("""COMPUTED_VALUE"""),"2055-06-02T15:30:00Z")</f>
        <v>2055-06-02T15:30:00Z</v>
      </c>
      <c r="L496" s="3">
        <f ca="1">IFERROR(__xludf.DUMMYFUNCTION("""COMPUTED_VALUE"""),0)</f>
        <v>0</v>
      </c>
      <c r="M496" s="3">
        <f ca="1">IFERROR(__xludf.DUMMYFUNCTION("""COMPUTED_VALUE"""),0)</f>
        <v>0</v>
      </c>
      <c r="N496" s="3" t="str">
        <f ca="1">IFERROR(__xludf.DUMMYFUNCTION("""COMPUTED_VALUE"""),"2055-06-02T15:03:44.444132Z")</f>
        <v>2055-06-02T15:03:44.444132Z</v>
      </c>
      <c r="O496" s="3" t="str">
        <f ca="1">IFERROR(__xludf.DUMMYFUNCTION("""COMPUTED_VALUE"""),"2055-06-02T15:20:17.467757Z")</f>
        <v>2055-06-02T15:20:17.467757Z</v>
      </c>
      <c r="P496" s="3" t="str">
        <f ca="1">IFERROR(__xludf.DUMMYFUNCTION("""COMPUTED_VALUE"""),"2055-06-02T14:46:34.294707Z")</f>
        <v>2055-06-02T14:46:34.294707Z</v>
      </c>
      <c r="Q496" s="3">
        <f ca="1">IFERROR(__xludf.DUMMYFUNCTION("""COMPUTED_VALUE"""),0)</f>
        <v>0</v>
      </c>
      <c r="R496" s="3" t="str">
        <f ca="1">IFERROR(__xludf.DUMMYFUNCTION("""COMPUTED_VALUE"""),"2055-06-02T14:46:50.45492Z")</f>
        <v>2055-06-02T14:46:50.45492Z</v>
      </c>
      <c r="S496" s="3"/>
      <c r="T496" s="3"/>
      <c r="U496" s="4">
        <f ca="1">IFERROR(__xludf.DUMMYFUNCTION("""COMPUTED_VALUE"""),56767)</f>
        <v>56767</v>
      </c>
      <c r="V496" s="3">
        <f ca="1">IFERROR(__xludf.DUMMYFUNCTION("""COMPUTED_VALUE"""),3.979211633)</f>
        <v>3.9792116329999998</v>
      </c>
      <c r="W496" s="3">
        <f ca="1">IFERROR(__xludf.DUMMYFUNCTION("""COMPUTED_VALUE"""),2500)</f>
        <v>2500</v>
      </c>
      <c r="X496" s="3">
        <f ca="1">IFERROR(__xludf.DUMMYFUNCTION("""COMPUTED_VALUE"""),2007)</f>
        <v>2007</v>
      </c>
      <c r="Y496" s="3"/>
      <c r="Z496" s="3"/>
      <c r="AA496" s="3">
        <f ca="1">IFERROR(__xludf.DUMMYFUNCTION("""COMPUTED_VALUE"""),993)</f>
        <v>993</v>
      </c>
      <c r="AB496" s="3">
        <f ca="1">IFERROR(__xludf.DUMMYFUNCTION("""COMPUTED_VALUE"""),0)</f>
        <v>0</v>
      </c>
      <c r="AC496" s="3">
        <f ca="1">IFERROR(__xludf.DUMMYFUNCTION("""COMPUTED_VALUE"""),3)</f>
        <v>3</v>
      </c>
      <c r="AD496" s="3"/>
      <c r="AE496" s="3" t="str">
        <f ca="1">IFERROR(__xludf.DUMMYFUNCTION("""COMPUTED_VALUE"""),"2055-06-02T11:03:44.444132Z")</f>
        <v>2055-06-02T11:03:44.444132Z</v>
      </c>
      <c r="AF496" s="3" t="str">
        <f ca="1">IFERROR(__xludf.DUMMYFUNCTION("""COMPUTED_VALUE"""),"2055-06-02T11:20:17.467757Z")</f>
        <v>2055-06-02T11:20:17.467757Z</v>
      </c>
      <c r="AG496" s="3" t="str">
        <f ca="1">IFERROR(__xludf.DUMMYFUNCTION("""COMPUTED_VALUE"""),"2055-06-02T10:46:34.294707Z")</f>
        <v>2055-06-02T10:46:34.294707Z</v>
      </c>
      <c r="AH496" s="3"/>
      <c r="AI496" s="3">
        <f ca="1">IFERROR(__xludf.DUMMYFUNCTION("""COMPUTED_VALUE"""),4.58)</f>
        <v>4.58</v>
      </c>
      <c r="AJ496" s="3">
        <f ca="1">IFERROR(__xludf.DUMMYFUNCTION("""COMPUTED_VALUE"""),254)</f>
        <v>254</v>
      </c>
      <c r="AK496" s="3">
        <f ca="1">IFERROR(__xludf.DUMMYFUNCTION("""COMPUTED_VALUE"""),788)</f>
        <v>788</v>
      </c>
      <c r="AL496" s="3">
        <f ca="1">IFERROR(__xludf.DUMMYFUNCTION("""COMPUTED_VALUE"""),9)</f>
        <v>9</v>
      </c>
    </row>
    <row r="497" spans="1:38" ht="13">
      <c r="A497" s="3">
        <f ca="1">IFERROR(__xludf.DUMMYFUNCTION("""COMPUTED_VALUE"""),653)</f>
        <v>653</v>
      </c>
      <c r="B497" s="3"/>
      <c r="C497" s="3">
        <f ca="1">IFERROR(__xludf.DUMMYFUNCTION("""COMPUTED_VALUE"""),4001)</f>
        <v>4001</v>
      </c>
      <c r="D497" s="3" t="str">
        <f ca="1">IFERROR(__xludf.DUMMYFUNCTION("""COMPUTED_VALUE"""),"Dashattan")</f>
        <v>Dashattan</v>
      </c>
      <c r="E497" s="3" t="str">
        <f ca="1">IFERROR(__xludf.DUMMYFUNCTION("""COMPUTED_VALUE"""),"Galaxy A")</f>
        <v>Galaxy A</v>
      </c>
      <c r="F497" s="3" t="str">
        <f ca="1">IFERROR(__xludf.DUMMYFUNCTION("""COMPUTED_VALUE"""),"Bunje")</f>
        <v>Bunje</v>
      </c>
      <c r="G497" s="3">
        <f ca="1">IFERROR(__xludf.DUMMYFUNCTION("""COMPUTED_VALUE"""),0)</f>
        <v>0</v>
      </c>
      <c r="H497" s="3" t="str">
        <f ca="1">IFERROR(__xludf.DUMMYFUNCTION("""COMPUTED_VALUE"""),"bicycle")</f>
        <v>bicycle</v>
      </c>
      <c r="I497" s="3" t="str">
        <f ca="1">IFERROR(__xludf.DUMMYFUNCTION("""COMPUTED_VALUE"""),"2055-06-05T22:30:17.6462Z")</f>
        <v>2055-06-05T22:30:17.6462Z</v>
      </c>
      <c r="J497" s="3" t="str">
        <f ca="1">IFERROR(__xludf.DUMMYFUNCTION("""COMPUTED_VALUE"""),"2055-06-05T23:30:53.736Z")</f>
        <v>2055-06-05T23:30:53.736Z</v>
      </c>
      <c r="K497" s="3" t="str">
        <f ca="1">IFERROR(__xludf.DUMMYFUNCTION("""COMPUTED_VALUE"""),"2055-06-05T23:10:46.736Z")</f>
        <v>2055-06-05T23:10:46.736Z</v>
      </c>
      <c r="L497" s="3">
        <f ca="1">IFERROR(__xludf.DUMMYFUNCTION("""COMPUTED_VALUE"""),1)</f>
        <v>1</v>
      </c>
      <c r="M497" s="3">
        <f ca="1">IFERROR(__xludf.DUMMYFUNCTION("""COMPUTED_VALUE"""),0)</f>
        <v>0</v>
      </c>
      <c r="N497" s="3" t="str">
        <f ca="1">IFERROR(__xludf.DUMMYFUNCTION("""COMPUTED_VALUE"""),"2055-06-05T22:50:24.859027Z")</f>
        <v>2055-06-05T22:50:24.859027Z</v>
      </c>
      <c r="O497" s="3" t="str">
        <f ca="1">IFERROR(__xludf.DUMMYFUNCTION("""COMPUTED_VALUE"""),"2055-06-05T23:05:57.79048Z")</f>
        <v>2055-06-05T23:05:57.79048Z</v>
      </c>
      <c r="P497" s="3" t="str">
        <f ca="1">IFERROR(__xludf.DUMMYFUNCTION("""COMPUTED_VALUE"""),"2055-06-05T22:30:36.351848Z")</f>
        <v>2055-06-05T22:30:36.351848Z</v>
      </c>
      <c r="Q497" s="3">
        <f ca="1">IFERROR(__xludf.DUMMYFUNCTION("""COMPUTED_VALUE"""),0)</f>
        <v>0</v>
      </c>
      <c r="R497" s="3" t="str">
        <f ca="1">IFERROR(__xludf.DUMMYFUNCTION("""COMPUTED_VALUE"""),"2055-06-05T22:30:44.329665Z")</f>
        <v>2055-06-05T22:30:44.329665Z</v>
      </c>
      <c r="S497" s="3" t="str">
        <f ca="1">IFERROR(__xludf.DUMMYFUNCTION("""COMPUTED_VALUE"""),"2055-06-05T22:40:45.624945Z")</f>
        <v>2055-06-05T22:40:45.624945Z</v>
      </c>
      <c r="T497" s="3"/>
      <c r="U497" s="4">
        <f ca="1">IFERROR(__xludf.DUMMYFUNCTION("""COMPUTED_VALUE"""),56770)</f>
        <v>56770</v>
      </c>
      <c r="V497" s="3">
        <f ca="1">IFERROR(__xludf.DUMMYFUNCTION("""COMPUTED_VALUE"""),3.364537599)</f>
        <v>3.3645375990000002</v>
      </c>
      <c r="W497" s="3">
        <f ca="1">IFERROR(__xludf.DUMMYFUNCTION("""COMPUTED_VALUE"""),2500)</f>
        <v>2500</v>
      </c>
      <c r="X497" s="3">
        <f ca="1">IFERROR(__xludf.DUMMYFUNCTION("""COMPUTED_VALUE"""),2113)</f>
        <v>2113</v>
      </c>
      <c r="Y497" s="3">
        <f ca="1">IFERROR(__xludf.DUMMYFUNCTION("""COMPUTED_VALUE"""),601)</f>
        <v>601</v>
      </c>
      <c r="Z497" s="3">
        <f ca="1">IFERROR(__xludf.DUMMYFUNCTION("""COMPUTED_VALUE"""),579)</f>
        <v>579</v>
      </c>
      <c r="AA497" s="3">
        <f ca="1">IFERROR(__xludf.DUMMYFUNCTION("""COMPUTED_VALUE"""),933)</f>
        <v>933</v>
      </c>
      <c r="AB497" s="3">
        <f ca="1">IFERROR(__xludf.DUMMYFUNCTION("""COMPUTED_VALUE"""),0)</f>
        <v>0</v>
      </c>
      <c r="AC497" s="3">
        <f ca="1">IFERROR(__xludf.DUMMYFUNCTION("""COMPUTED_VALUE"""),2)</f>
        <v>2</v>
      </c>
      <c r="AD497" s="3" t="str">
        <f ca="1">IFERROR(__xludf.DUMMYFUNCTION("""COMPUTED_VALUE"""),"on time")</f>
        <v>on time</v>
      </c>
      <c r="AE497" s="3" t="str">
        <f ca="1">IFERROR(__xludf.DUMMYFUNCTION("""COMPUTED_VALUE"""),"2055-06-05T18:50:24.859027Z")</f>
        <v>2055-06-05T18:50:24.859027Z</v>
      </c>
      <c r="AF497" s="3" t="str">
        <f ca="1">IFERROR(__xludf.DUMMYFUNCTION("""COMPUTED_VALUE"""),"2055-06-05T19:05:57.79048Z")</f>
        <v>2055-06-05T19:05:57.79048Z</v>
      </c>
      <c r="AG497" s="3" t="str">
        <f ca="1">IFERROR(__xludf.DUMMYFUNCTION("""COMPUTED_VALUE"""),"2055-06-05T18:30:36.351848Z")</f>
        <v>2055-06-05T18:30:36.351848Z</v>
      </c>
      <c r="AH497" s="3" t="str">
        <f ca="1">IFERROR(__xludf.DUMMYFUNCTION("""COMPUTED_VALUE"""),"2055-06-05T18:40:45.624945Z")</f>
        <v>2055-06-05T18:40:45.624945Z</v>
      </c>
      <c r="AI497" s="3">
        <f ca="1">IFERROR(__xludf.DUMMYFUNCTION("""COMPUTED_VALUE"""),4.7)</f>
        <v>4.7</v>
      </c>
      <c r="AJ497" s="3">
        <f ca="1">IFERROR(__xludf.DUMMYFUNCTION("""COMPUTED_VALUE"""),443)</f>
        <v>443</v>
      </c>
      <c r="AK497" s="3">
        <f ca="1">IFERROR(__xludf.DUMMYFUNCTION("""COMPUTED_VALUE"""),1579)</f>
        <v>1579</v>
      </c>
      <c r="AL497" s="3"/>
    </row>
    <row r="498" spans="1:38" ht="13">
      <c r="A498" s="3">
        <f ca="1">IFERROR(__xludf.DUMMYFUNCTION("""COMPUTED_VALUE"""),586)</f>
        <v>586</v>
      </c>
      <c r="B498" s="3"/>
      <c r="C498" s="3">
        <f ca="1">IFERROR(__xludf.DUMMYFUNCTION("""COMPUTED_VALUE"""),4050)</f>
        <v>4050</v>
      </c>
      <c r="D498" s="3" t="str">
        <f ca="1">IFERROR(__xludf.DUMMYFUNCTION("""COMPUTED_VALUE"""),"Doorlanta")</f>
        <v>Doorlanta</v>
      </c>
      <c r="E498" s="3" t="str">
        <f ca="1">IFERROR(__xludf.DUMMYFUNCTION("""COMPUTED_VALUE"""),"Galaxy A")</f>
        <v>Galaxy A</v>
      </c>
      <c r="F498" s="3" t="str">
        <f ca="1">IFERROR(__xludf.DUMMYFUNCTION("""COMPUTED_VALUE"""),"Hanna")</f>
        <v>Hanna</v>
      </c>
      <c r="G498" s="3">
        <f ca="1">IFERROR(__xludf.DUMMYFUNCTION("""COMPUTED_VALUE"""),0)</f>
        <v>0</v>
      </c>
      <c r="H498" s="3" t="str">
        <f ca="1">IFERROR(__xludf.DUMMYFUNCTION("""COMPUTED_VALUE"""),"car")</f>
        <v>car</v>
      </c>
      <c r="I498" s="3" t="str">
        <f ca="1">IFERROR(__xludf.DUMMYFUNCTION("""COMPUTED_VALUE"""),"2055-06-05T18:25:28.295298Z")</f>
        <v>2055-06-05T18:25:28.295298Z</v>
      </c>
      <c r="J498" s="3" t="str">
        <f ca="1">IFERROR(__xludf.DUMMYFUNCTION("""COMPUTED_VALUE"""),"2055-06-05T19:05:28.425Z")</f>
        <v>2055-06-05T19:05:28.425Z</v>
      </c>
      <c r="K498" s="3" t="str">
        <f ca="1">IFERROR(__xludf.DUMMYFUNCTION("""COMPUTED_VALUE"""),"2055-06-05T18:59:23.425Z")</f>
        <v>2055-06-05T18:59:23.425Z</v>
      </c>
      <c r="L498" s="3">
        <f ca="1">IFERROR(__xludf.DUMMYFUNCTION("""COMPUTED_VALUE"""),1)</f>
        <v>1</v>
      </c>
      <c r="M498" s="3">
        <f ca="1">IFERROR(__xludf.DUMMYFUNCTION("""COMPUTED_VALUE"""),0)</f>
        <v>0</v>
      </c>
      <c r="N498" s="3" t="str">
        <f ca="1">IFERROR(__xludf.DUMMYFUNCTION("""COMPUTED_VALUE"""),"2055-06-05T18:52:04.61221Z")</f>
        <v>2055-06-05T18:52:04.61221Z</v>
      </c>
      <c r="O498" s="3" t="str">
        <f ca="1">IFERROR(__xludf.DUMMYFUNCTION("""COMPUTED_VALUE"""),"2055-06-05T19:00:46.207884Z")</f>
        <v>2055-06-05T19:00:46.207884Z</v>
      </c>
      <c r="P498" s="3" t="str">
        <f ca="1">IFERROR(__xludf.DUMMYFUNCTION("""COMPUTED_VALUE"""),"2055-06-05T18:35:27.433526Z")</f>
        <v>2055-06-05T18:35:27.433526Z</v>
      </c>
      <c r="Q498" s="3">
        <f ca="1">IFERROR(__xludf.DUMMYFUNCTION("""COMPUTED_VALUE"""),0)</f>
        <v>0</v>
      </c>
      <c r="R498" s="3" t="str">
        <f ca="1">IFERROR(__xludf.DUMMYFUNCTION("""COMPUTED_VALUE"""),"2055-06-05T18:35:35.731346Z")</f>
        <v>2055-06-05T18:35:35.731346Z</v>
      </c>
      <c r="S498" s="3" t="str">
        <f ca="1">IFERROR(__xludf.DUMMYFUNCTION("""COMPUTED_VALUE"""),"2055-06-05T18:49:27.459888Z")</f>
        <v>2055-06-05T18:49:27.459888Z</v>
      </c>
      <c r="T498" s="3"/>
      <c r="U498" s="4">
        <f ca="1">IFERROR(__xludf.DUMMYFUNCTION("""COMPUTED_VALUE"""),56770)</f>
        <v>56770</v>
      </c>
      <c r="V498" s="3">
        <f ca="1">IFERROR(__xludf.DUMMYFUNCTION("""COMPUTED_VALUE"""),4.7)</f>
        <v>4.7</v>
      </c>
      <c r="W498" s="3">
        <f ca="1">IFERROR(__xludf.DUMMYFUNCTION("""COMPUTED_VALUE"""),2500)</f>
        <v>2500</v>
      </c>
      <c r="X498" s="3">
        <f ca="1">IFERROR(__xludf.DUMMYFUNCTION("""COMPUTED_VALUE"""),1511)</f>
        <v>1511</v>
      </c>
      <c r="Y498" s="3">
        <f ca="1">IFERROR(__xludf.DUMMYFUNCTION("""COMPUTED_VALUE"""),832)</f>
        <v>832</v>
      </c>
      <c r="Z498" s="3">
        <f ca="1">IFERROR(__xludf.DUMMYFUNCTION("""COMPUTED_VALUE"""),157)</f>
        <v>157</v>
      </c>
      <c r="AA498" s="3">
        <f ca="1">IFERROR(__xludf.DUMMYFUNCTION("""COMPUTED_VALUE"""),522)</f>
        <v>522</v>
      </c>
      <c r="AB498" s="3">
        <f ca="1">IFERROR(__xludf.DUMMYFUNCTION("""COMPUTED_VALUE"""),0)</f>
        <v>0</v>
      </c>
      <c r="AC498" s="3">
        <f ca="1">IFERROR(__xludf.DUMMYFUNCTION("""COMPUTED_VALUE"""),3)</f>
        <v>3</v>
      </c>
      <c r="AD498" s="3" t="str">
        <f ca="1">IFERROR(__xludf.DUMMYFUNCTION("""COMPUTED_VALUE"""),"late")</f>
        <v>late</v>
      </c>
      <c r="AE498" s="3" t="str">
        <f ca="1">IFERROR(__xludf.DUMMYFUNCTION("""COMPUTED_VALUE"""),"2055-06-05T14:52:04.61221Z")</f>
        <v>2055-06-05T14:52:04.61221Z</v>
      </c>
      <c r="AF498" s="3" t="str">
        <f ca="1">IFERROR(__xludf.DUMMYFUNCTION("""COMPUTED_VALUE"""),"2055-06-05T15:00:46.207884Z")</f>
        <v>2055-06-05T15:00:46.207884Z</v>
      </c>
      <c r="AG498" s="3" t="str">
        <f ca="1">IFERROR(__xludf.DUMMYFUNCTION("""COMPUTED_VALUE"""),"2055-06-05T14:35:27.433526Z")</f>
        <v>2055-06-05T14:35:27.433526Z</v>
      </c>
      <c r="AH498" s="3" t="str">
        <f ca="1">IFERROR(__xludf.DUMMYFUNCTION("""COMPUTED_VALUE"""),"2055-06-05T14:49:27.459888Z")</f>
        <v>2055-06-05T14:49:27.459888Z</v>
      </c>
      <c r="AI498" s="3">
        <f ca="1">IFERROR(__xludf.DUMMYFUNCTION("""COMPUTED_VALUE"""),4.79)</f>
        <v>4.79</v>
      </c>
      <c r="AJ498" s="3">
        <f ca="1">IFERROR(__xludf.DUMMYFUNCTION("""COMPUTED_VALUE"""),1007)</f>
        <v>1007</v>
      </c>
      <c r="AK498" s="3">
        <f ca="1">IFERROR(__xludf.DUMMYFUNCTION("""COMPUTED_VALUE"""),2899)</f>
        <v>2899</v>
      </c>
      <c r="AL498" s="3">
        <f ca="1">IFERROR(__xludf.DUMMYFUNCTION("""COMPUTED_VALUE"""),1301)</f>
        <v>1301</v>
      </c>
    </row>
    <row r="499" spans="1:38" ht="13">
      <c r="A499" s="3">
        <f ca="1">IFERROR(__xludf.DUMMYFUNCTION("""COMPUTED_VALUE"""),703)</f>
        <v>703</v>
      </c>
      <c r="B499" s="3"/>
      <c r="C499" s="3">
        <f ca="1">IFERROR(__xludf.DUMMYFUNCTION("""COMPUTED_VALUE"""),4050)</f>
        <v>4050</v>
      </c>
      <c r="D499" s="3" t="str">
        <f ca="1">IFERROR(__xludf.DUMMYFUNCTION("""COMPUTED_VALUE"""),"Doorlanta")</f>
        <v>Doorlanta</v>
      </c>
      <c r="E499" s="3" t="str">
        <f ca="1">IFERROR(__xludf.DUMMYFUNCTION("""COMPUTED_VALUE"""),"Galaxy A")</f>
        <v>Galaxy A</v>
      </c>
      <c r="F499" s="3" t="str">
        <f ca="1">IFERROR(__xludf.DUMMYFUNCTION("""COMPUTED_VALUE"""),"Hanna")</f>
        <v>Hanna</v>
      </c>
      <c r="G499" s="3">
        <f ca="1">IFERROR(__xludf.DUMMYFUNCTION("""COMPUTED_VALUE"""),0)</f>
        <v>0</v>
      </c>
      <c r="H499" s="3" t="str">
        <f ca="1">IFERROR(__xludf.DUMMYFUNCTION("""COMPUTED_VALUE"""),"car")</f>
        <v>car</v>
      </c>
      <c r="I499" s="3" t="str">
        <f ca="1">IFERROR(__xludf.DUMMYFUNCTION("""COMPUTED_VALUE"""),"2055-06-06T00:21:28.707659Z")</f>
        <v>2055-06-06T00:21:28.707659Z</v>
      </c>
      <c r="J499" s="3" t="str">
        <f ca="1">IFERROR(__xludf.DUMMYFUNCTION("""COMPUTED_VALUE"""),"2055-06-06T01:15:04.763Z")</f>
        <v>2055-06-06T01:15:04.763Z</v>
      </c>
      <c r="K499" s="3" t="str">
        <f ca="1">IFERROR(__xludf.DUMMYFUNCTION("""COMPUTED_VALUE"""),"2055-06-06T01:08:10.763Z")</f>
        <v>2055-06-06T01:08:10.763Z</v>
      </c>
      <c r="L499" s="3">
        <f ca="1">IFERROR(__xludf.DUMMYFUNCTION("""COMPUTED_VALUE"""),1)</f>
        <v>1</v>
      </c>
      <c r="M499" s="3">
        <f ca="1">IFERROR(__xludf.DUMMYFUNCTION("""COMPUTED_VALUE"""),0)</f>
        <v>0</v>
      </c>
      <c r="N499" s="3" t="str">
        <f ca="1">IFERROR(__xludf.DUMMYFUNCTION("""COMPUTED_VALUE"""),"2055-06-06T00:49:14.564733Z")</f>
        <v>2055-06-06T00:49:14.564733Z</v>
      </c>
      <c r="O499" s="3" t="str">
        <f ca="1">IFERROR(__xludf.DUMMYFUNCTION("""COMPUTED_VALUE"""),"2055-06-06T01:02:01.578941Z")</f>
        <v>2055-06-06T01:02:01.578941Z</v>
      </c>
      <c r="P499" s="3" t="str">
        <f ca="1">IFERROR(__xludf.DUMMYFUNCTION("""COMPUTED_VALUE"""),"2055-06-06T00:23:07.798622Z")</f>
        <v>2055-06-06T00:23:07.798622Z</v>
      </c>
      <c r="Q499" s="3">
        <f ca="1">IFERROR(__xludf.DUMMYFUNCTION("""COMPUTED_VALUE"""),0)</f>
        <v>0</v>
      </c>
      <c r="R499" s="3" t="str">
        <f ca="1">IFERROR(__xludf.DUMMYFUNCTION("""COMPUTED_VALUE"""),"2055-06-06T00:23:16.561939Z")</f>
        <v>2055-06-06T00:23:16.561939Z</v>
      </c>
      <c r="S499" s="3" t="str">
        <f ca="1">IFERROR(__xludf.DUMMYFUNCTION("""COMPUTED_VALUE"""),"2055-06-06T00:46:36.480461Z")</f>
        <v>2055-06-06T00:46:36.480461Z</v>
      </c>
      <c r="T499" s="3"/>
      <c r="U499" s="4">
        <f ca="1">IFERROR(__xludf.DUMMYFUNCTION("""COMPUTED_VALUE"""),56770)</f>
        <v>56770</v>
      </c>
      <c r="V499" s="3">
        <f ca="1">IFERROR(__xludf.DUMMYFUNCTION("""COMPUTED_VALUE"""),4.6)</f>
        <v>4.5999999999999996</v>
      </c>
      <c r="W499" s="3">
        <f ca="1">IFERROR(__xludf.DUMMYFUNCTION("""COMPUTED_VALUE"""),2500)</f>
        <v>2500</v>
      </c>
      <c r="X499" s="3">
        <f ca="1">IFERROR(__xludf.DUMMYFUNCTION("""COMPUTED_VALUE"""),2325)</f>
        <v>2325</v>
      </c>
      <c r="Y499" s="3">
        <f ca="1">IFERROR(__xludf.DUMMYFUNCTION("""COMPUTED_VALUE"""),1400)</f>
        <v>1400</v>
      </c>
      <c r="Z499" s="3">
        <f ca="1">IFERROR(__xludf.DUMMYFUNCTION("""COMPUTED_VALUE"""),158)</f>
        <v>158</v>
      </c>
      <c r="AA499" s="3">
        <f ca="1">IFERROR(__xludf.DUMMYFUNCTION("""COMPUTED_VALUE"""),767)</f>
        <v>767</v>
      </c>
      <c r="AB499" s="3">
        <f ca="1">IFERROR(__xludf.DUMMYFUNCTION("""COMPUTED_VALUE"""),0)</f>
        <v>0</v>
      </c>
      <c r="AC499" s="3">
        <f ca="1">IFERROR(__xludf.DUMMYFUNCTION("""COMPUTED_VALUE"""),2)</f>
        <v>2</v>
      </c>
      <c r="AD499" s="3" t="str">
        <f ca="1">IFERROR(__xludf.DUMMYFUNCTION("""COMPUTED_VALUE"""),"late")</f>
        <v>late</v>
      </c>
      <c r="AE499" s="3" t="str">
        <f ca="1">IFERROR(__xludf.DUMMYFUNCTION("""COMPUTED_VALUE"""),"2055-06-05T20:49:14.564733Z")</f>
        <v>2055-06-05T20:49:14.564733Z</v>
      </c>
      <c r="AF499" s="3" t="str">
        <f ca="1">IFERROR(__xludf.DUMMYFUNCTION("""COMPUTED_VALUE"""),"2055-06-05T21:02:01.578941Z")</f>
        <v>2055-06-05T21:02:01.578941Z</v>
      </c>
      <c r="AG499" s="3" t="str">
        <f ca="1">IFERROR(__xludf.DUMMYFUNCTION("""COMPUTED_VALUE"""),"2055-06-05T20:23:07.798622Z")</f>
        <v>2055-06-05T20:23:07.798622Z</v>
      </c>
      <c r="AH499" s="3" t="str">
        <f ca="1">IFERROR(__xludf.DUMMYFUNCTION("""COMPUTED_VALUE"""),"2055-06-05T20:46:36.480461Z")</f>
        <v>2055-06-05T20:46:36.480461Z</v>
      </c>
      <c r="AI499" s="3">
        <f ca="1">IFERROR(__xludf.DUMMYFUNCTION("""COMPUTED_VALUE"""),4.79)</f>
        <v>4.79</v>
      </c>
      <c r="AJ499" s="3">
        <f ca="1">IFERROR(__xludf.DUMMYFUNCTION("""COMPUTED_VALUE"""),1007)</f>
        <v>1007</v>
      </c>
      <c r="AK499" s="3">
        <f ca="1">IFERROR(__xludf.DUMMYFUNCTION("""COMPUTED_VALUE"""),2899)</f>
        <v>2899</v>
      </c>
      <c r="AL499" s="3">
        <f ca="1">IFERROR(__xludf.DUMMYFUNCTION("""COMPUTED_VALUE"""),1301)</f>
        <v>1301</v>
      </c>
    </row>
    <row r="500" spans="1:38" ht="13">
      <c r="A500" s="3">
        <f ca="1">IFERROR(__xludf.DUMMYFUNCTION("""COMPUTED_VALUE"""),1090)</f>
        <v>1090</v>
      </c>
      <c r="B500" s="3">
        <f ca="1">IFERROR(__xludf.DUMMYFUNCTION("""COMPUTED_VALUE"""),5)</f>
        <v>5</v>
      </c>
      <c r="C500" s="3">
        <f ca="1">IFERROR(__xludf.DUMMYFUNCTION("""COMPUTED_VALUE"""),4001)</f>
        <v>4001</v>
      </c>
      <c r="D500" s="3" t="str">
        <f ca="1">IFERROR(__xludf.DUMMYFUNCTION("""COMPUTED_VALUE"""),"Dashattan")</f>
        <v>Dashattan</v>
      </c>
      <c r="E500" s="3" t="str">
        <f ca="1">IFERROR(__xludf.DUMMYFUNCTION("""COMPUTED_VALUE"""),"Galaxy A")</f>
        <v>Galaxy A</v>
      </c>
      <c r="F500" s="3" t="str">
        <f ca="1">IFERROR(__xludf.DUMMYFUNCTION("""COMPUTED_VALUE"""),"Rojan")</f>
        <v>Rojan</v>
      </c>
      <c r="G500" s="3">
        <f ca="1">IFERROR(__xludf.DUMMYFUNCTION("""COMPUTED_VALUE"""),0)</f>
        <v>0</v>
      </c>
      <c r="H500" s="3" t="str">
        <f ca="1">IFERROR(__xludf.DUMMYFUNCTION("""COMPUTED_VALUE"""),"bicycle")</f>
        <v>bicycle</v>
      </c>
      <c r="I500" s="3" t="str">
        <f ca="1">IFERROR(__xludf.DUMMYFUNCTION("""COMPUTED_VALUE"""),"2055-06-10T00:03:53.823666Z")</f>
        <v>2055-06-10T00:03:53.823666Z</v>
      </c>
      <c r="J500" s="3" t="str">
        <f ca="1">IFERROR(__xludf.DUMMYFUNCTION("""COMPUTED_VALUE"""),"2055-06-10T00:51:06.889Z")</f>
        <v>2055-06-10T00:51:06.889Z</v>
      </c>
      <c r="K500" s="3" t="str">
        <f ca="1">IFERROR(__xludf.DUMMYFUNCTION("""COMPUTED_VALUE"""),"2055-06-10T00:44:12.889Z")</f>
        <v>2055-06-10T00:44:12.889Z</v>
      </c>
      <c r="L500" s="3">
        <f ca="1">IFERROR(__xludf.DUMMYFUNCTION("""COMPUTED_VALUE"""),1)</f>
        <v>1</v>
      </c>
      <c r="M500" s="3">
        <f ca="1">IFERROR(__xludf.DUMMYFUNCTION("""COMPUTED_VALUE"""),0)</f>
        <v>0</v>
      </c>
      <c r="N500" s="3" t="str">
        <f ca="1">IFERROR(__xludf.DUMMYFUNCTION("""COMPUTED_VALUE"""),"2055-06-10T00:33:35.165969Z")</f>
        <v>2055-06-10T00:33:35.165969Z</v>
      </c>
      <c r="O500" s="3" t="str">
        <f ca="1">IFERROR(__xludf.DUMMYFUNCTION("""COMPUTED_VALUE"""),"2055-06-10T00:46:02.752081Z")</f>
        <v>2055-06-10T00:46:02.752081Z</v>
      </c>
      <c r="P500" s="3" t="str">
        <f ca="1">IFERROR(__xludf.DUMMYFUNCTION("""COMPUTED_VALUE"""),"2055-06-10T00:19:35.204647Z")</f>
        <v>2055-06-10T00:19:35.204647Z</v>
      </c>
      <c r="Q500" s="3">
        <f ca="1">IFERROR(__xludf.DUMMYFUNCTION("""COMPUTED_VALUE"""),0)</f>
        <v>0</v>
      </c>
      <c r="R500" s="3" t="str">
        <f ca="1">IFERROR(__xludf.DUMMYFUNCTION("""COMPUTED_VALUE"""),"2055-06-10T00:19:40.075665Z")</f>
        <v>2055-06-10T00:19:40.075665Z</v>
      </c>
      <c r="S500" s="3" t="str">
        <f ca="1">IFERROR(__xludf.DUMMYFUNCTION("""COMPUTED_VALUE"""),"2055-06-10T00:25:18.171232Z")</f>
        <v>2055-06-10T00:25:18.171232Z</v>
      </c>
      <c r="T500" s="3"/>
      <c r="U500" s="4">
        <f ca="1">IFERROR(__xludf.DUMMYFUNCTION("""COMPUTED_VALUE"""),56774)</f>
        <v>56774</v>
      </c>
      <c r="V500" s="3">
        <f ca="1">IFERROR(__xludf.DUMMYFUNCTION("""COMPUTED_VALUE"""),3.55688406)</f>
        <v>3.5568840599999998</v>
      </c>
      <c r="W500" s="3">
        <f ca="1">IFERROR(__xludf.DUMMYFUNCTION("""COMPUTED_VALUE"""),2500)</f>
        <v>2500</v>
      </c>
      <c r="X500" s="3">
        <f ca="1">IFERROR(__xludf.DUMMYFUNCTION("""COMPUTED_VALUE"""),1582)</f>
        <v>1582</v>
      </c>
      <c r="Y500" s="3">
        <f ca="1">IFERROR(__xludf.DUMMYFUNCTION("""COMPUTED_VALUE"""),338)</f>
        <v>338</v>
      </c>
      <c r="Z500" s="3">
        <f ca="1">IFERROR(__xludf.DUMMYFUNCTION("""COMPUTED_VALUE"""),497)</f>
        <v>497</v>
      </c>
      <c r="AA500" s="3">
        <f ca="1">IFERROR(__xludf.DUMMYFUNCTION("""COMPUTED_VALUE"""),747)</f>
        <v>747</v>
      </c>
      <c r="AB500" s="3">
        <f ca="1">IFERROR(__xludf.DUMMYFUNCTION("""COMPUTED_VALUE"""),0)</f>
        <v>0</v>
      </c>
      <c r="AC500" s="3">
        <f ca="1">IFERROR(__xludf.DUMMYFUNCTION("""COMPUTED_VALUE"""),2)</f>
        <v>2</v>
      </c>
      <c r="AD500" s="3" t="str">
        <f ca="1">IFERROR(__xludf.DUMMYFUNCTION("""COMPUTED_VALUE"""),"late")</f>
        <v>late</v>
      </c>
      <c r="AE500" s="3" t="str">
        <f ca="1">IFERROR(__xludf.DUMMYFUNCTION("""COMPUTED_VALUE"""),"2055-06-09T20:33:35.165969Z")</f>
        <v>2055-06-09T20:33:35.165969Z</v>
      </c>
      <c r="AF500" s="3" t="str">
        <f ca="1">IFERROR(__xludf.DUMMYFUNCTION("""COMPUTED_VALUE"""),"2055-06-09T20:46:02.752081Z")</f>
        <v>2055-06-09T20:46:02.752081Z</v>
      </c>
      <c r="AG500" s="3" t="str">
        <f ca="1">IFERROR(__xludf.DUMMYFUNCTION("""COMPUTED_VALUE"""),"2055-06-09T20:19:35.204647Z")</f>
        <v>2055-06-09T20:19:35.204647Z</v>
      </c>
      <c r="AH500" s="3" t="str">
        <f ca="1">IFERROR(__xludf.DUMMYFUNCTION("""COMPUTED_VALUE"""),"2055-06-09T20:25:18.171232Z")</f>
        <v>2055-06-09T20:25:18.171232Z</v>
      </c>
      <c r="AI500" s="3">
        <f ca="1">IFERROR(__xludf.DUMMYFUNCTION("""COMPUTED_VALUE"""),4.58)</f>
        <v>4.58</v>
      </c>
      <c r="AJ500" s="3">
        <f ca="1">IFERROR(__xludf.DUMMYFUNCTION("""COMPUTED_VALUE"""),254)</f>
        <v>254</v>
      </c>
      <c r="AK500" s="3">
        <f ca="1">IFERROR(__xludf.DUMMYFUNCTION("""COMPUTED_VALUE"""),788)</f>
        <v>788</v>
      </c>
      <c r="AL500" s="3">
        <f ca="1">IFERROR(__xludf.DUMMYFUNCTION("""COMPUTED_VALUE"""),9)</f>
        <v>9</v>
      </c>
    </row>
    <row r="501" spans="1:38" ht="13">
      <c r="A501" s="3">
        <f ca="1">IFERROR(__xludf.DUMMYFUNCTION("""COMPUTED_VALUE"""),909)</f>
        <v>909</v>
      </c>
      <c r="B501" s="3">
        <f ca="1">IFERROR(__xludf.DUMMYFUNCTION("""COMPUTED_VALUE"""),5)</f>
        <v>5</v>
      </c>
      <c r="C501" s="3">
        <f ca="1">IFERROR(__xludf.DUMMYFUNCTION("""COMPUTED_VALUE"""),4050)</f>
        <v>4050</v>
      </c>
      <c r="D501" s="3" t="str">
        <f ca="1">IFERROR(__xludf.DUMMYFUNCTION("""COMPUTED_VALUE"""),"Doorlanta")</f>
        <v>Doorlanta</v>
      </c>
      <c r="E501" s="3" t="str">
        <f ca="1">IFERROR(__xludf.DUMMYFUNCTION("""COMPUTED_VALUE"""),"Galaxy A")</f>
        <v>Galaxy A</v>
      </c>
      <c r="F501" s="3" t="str">
        <f ca="1">IFERROR(__xludf.DUMMYFUNCTION("""COMPUTED_VALUE"""),"Elon")</f>
        <v>Elon</v>
      </c>
      <c r="G501" s="3">
        <f ca="1">IFERROR(__xludf.DUMMYFUNCTION("""COMPUTED_VALUE"""),0)</f>
        <v>0</v>
      </c>
      <c r="H501" s="3" t="str">
        <f ca="1">IFERROR(__xludf.DUMMYFUNCTION("""COMPUTED_VALUE"""),"car")</f>
        <v>car</v>
      </c>
      <c r="I501" s="3" t="str">
        <f ca="1">IFERROR(__xludf.DUMMYFUNCTION("""COMPUTED_VALUE"""),"2055-06-08T01:12:20.858153Z")</f>
        <v>2055-06-08T01:12:20.858153Z</v>
      </c>
      <c r="J501" s="3" t="str">
        <f ca="1">IFERROR(__xludf.DUMMYFUNCTION("""COMPUTED_VALUE"""),"2055-06-08T01:52:20.928Z")</f>
        <v>2055-06-08T01:52:20.928Z</v>
      </c>
      <c r="K501" s="3" t="str">
        <f ca="1">IFERROR(__xludf.DUMMYFUNCTION("""COMPUTED_VALUE"""),"2055-06-08T01:41:51.928Z")</f>
        <v>2055-06-08T01:41:51.928Z</v>
      </c>
      <c r="L501" s="3">
        <f ca="1">IFERROR(__xludf.DUMMYFUNCTION("""COMPUTED_VALUE"""),1)</f>
        <v>1</v>
      </c>
      <c r="M501" s="3">
        <f ca="1">IFERROR(__xludf.DUMMYFUNCTION("""COMPUTED_VALUE"""),0)</f>
        <v>0</v>
      </c>
      <c r="N501" s="3" t="str">
        <f ca="1">IFERROR(__xludf.DUMMYFUNCTION("""COMPUTED_VALUE"""),"2055-06-08T01:27:45.964782Z")</f>
        <v>2055-06-08T01:27:45.964782Z</v>
      </c>
      <c r="O501" s="3" t="str">
        <f ca="1">IFERROR(__xludf.DUMMYFUNCTION("""COMPUTED_VALUE"""),"2055-06-08T02:03:56.07241Z")</f>
        <v>2055-06-08T02:03:56.07241Z</v>
      </c>
      <c r="P501" s="3" t="str">
        <f ca="1">IFERROR(__xludf.DUMMYFUNCTION("""COMPUTED_VALUE"""),"2055-06-08T01:13:07.315441Z")</f>
        <v>2055-06-08T01:13:07.315441Z</v>
      </c>
      <c r="Q501" s="3">
        <f ca="1">IFERROR(__xludf.DUMMYFUNCTION("""COMPUTED_VALUE"""),0)</f>
        <v>0</v>
      </c>
      <c r="R501" s="3" t="str">
        <f ca="1">IFERROR(__xludf.DUMMYFUNCTION("""COMPUTED_VALUE"""),"2055-06-08T01:13:11.225536Z")</f>
        <v>2055-06-08T01:13:11.225536Z</v>
      </c>
      <c r="S501" s="3" t="str">
        <f ca="1">IFERROR(__xludf.DUMMYFUNCTION("""COMPUTED_VALUE"""),"2055-06-08T01:22:26.879746Z")</f>
        <v>2055-06-08T01:22:26.879746Z</v>
      </c>
      <c r="T501" s="3"/>
      <c r="U501" s="4">
        <f ca="1">IFERROR(__xludf.DUMMYFUNCTION("""COMPUTED_VALUE"""),56772)</f>
        <v>56772</v>
      </c>
      <c r="V501" s="3">
        <f ca="1">IFERROR(__xludf.DUMMYFUNCTION("""COMPUTED_VALUE"""),2.670288627)</f>
        <v>2.6702886270000001</v>
      </c>
      <c r="W501" s="3">
        <f ca="1">IFERROR(__xludf.DUMMYFUNCTION("""COMPUTED_VALUE"""),2500)</f>
        <v>2500</v>
      </c>
      <c r="X501" s="3">
        <f ca="1">IFERROR(__xludf.DUMMYFUNCTION("""COMPUTED_VALUE"""),3045)</f>
        <v>3045</v>
      </c>
      <c r="Y501" s="3">
        <f ca="1">IFERROR(__xludf.DUMMYFUNCTION("""COMPUTED_VALUE"""),555)</f>
        <v>555</v>
      </c>
      <c r="Z501" s="3">
        <f ca="1">IFERROR(__xludf.DUMMYFUNCTION("""COMPUTED_VALUE"""),319)</f>
        <v>319</v>
      </c>
      <c r="AA501" s="3">
        <f ca="1">IFERROR(__xludf.DUMMYFUNCTION("""COMPUTED_VALUE"""),2171)</f>
        <v>2171</v>
      </c>
      <c r="AB501" s="3">
        <f ca="1">IFERROR(__xludf.DUMMYFUNCTION("""COMPUTED_VALUE"""),0)</f>
        <v>0</v>
      </c>
      <c r="AC501" s="3">
        <f ca="1">IFERROR(__xludf.DUMMYFUNCTION("""COMPUTED_VALUE"""),6)</f>
        <v>6</v>
      </c>
      <c r="AD501" s="3" t="str">
        <f ca="1">IFERROR(__xludf.DUMMYFUNCTION("""COMPUTED_VALUE"""),"on time")</f>
        <v>on time</v>
      </c>
      <c r="AE501" s="3" t="str">
        <f ca="1">IFERROR(__xludf.DUMMYFUNCTION("""COMPUTED_VALUE"""),"2055-06-07T21:27:45.964782Z")</f>
        <v>2055-06-07T21:27:45.964782Z</v>
      </c>
      <c r="AF501" s="3" t="str">
        <f ca="1">IFERROR(__xludf.DUMMYFUNCTION("""COMPUTED_VALUE"""),"2055-06-07T22:03:56.07241Z")</f>
        <v>2055-06-07T22:03:56.07241Z</v>
      </c>
      <c r="AG501" s="3" t="str">
        <f ca="1">IFERROR(__xludf.DUMMYFUNCTION("""COMPUTED_VALUE"""),"2055-06-07T21:13:07.315441Z")</f>
        <v>2055-06-07T21:13:07.315441Z</v>
      </c>
      <c r="AH501" s="3" t="str">
        <f ca="1">IFERROR(__xludf.DUMMYFUNCTION("""COMPUTED_VALUE"""),"2055-06-07T21:22:26.879746Z")</f>
        <v>2055-06-07T21:22:26.879746Z</v>
      </c>
      <c r="AI501" s="3">
        <f ca="1">IFERROR(__xludf.DUMMYFUNCTION("""COMPUTED_VALUE"""),4.62)</f>
        <v>4.62</v>
      </c>
      <c r="AJ501" s="3">
        <f ca="1">IFERROR(__xludf.DUMMYFUNCTION("""COMPUTED_VALUE"""),259)</f>
        <v>259</v>
      </c>
      <c r="AK501" s="3">
        <f ca="1">IFERROR(__xludf.DUMMYFUNCTION("""COMPUTED_VALUE"""),604)</f>
        <v>604</v>
      </c>
      <c r="AL501" s="3">
        <f ca="1">IFERROR(__xludf.DUMMYFUNCTION("""COMPUTED_VALUE"""),21)</f>
        <v>21</v>
      </c>
    </row>
    <row r="502" spans="1:38" ht="13">
      <c r="A502" s="3">
        <f ca="1">IFERROR(__xludf.DUMMYFUNCTION("""COMPUTED_VALUE"""),103)</f>
        <v>103</v>
      </c>
      <c r="B502" s="3"/>
      <c r="C502" s="3">
        <f ca="1">IFERROR(__xludf.DUMMYFUNCTION("""COMPUTED_VALUE"""),4050)</f>
        <v>4050</v>
      </c>
      <c r="D502" s="3" t="str">
        <f ca="1">IFERROR(__xludf.DUMMYFUNCTION("""COMPUTED_VALUE"""),"Doorlanta")</f>
        <v>Doorlanta</v>
      </c>
      <c r="E502" s="3" t="str">
        <f ca="1">IFERROR(__xludf.DUMMYFUNCTION("""COMPUTED_VALUE"""),"Galaxy A")</f>
        <v>Galaxy A</v>
      </c>
      <c r="F502" s="3" t="str">
        <f ca="1">IFERROR(__xludf.DUMMYFUNCTION("""COMPUTED_VALUE"""),"Cate")</f>
        <v>Cate</v>
      </c>
      <c r="G502" s="3">
        <f ca="1">IFERROR(__xludf.DUMMYFUNCTION("""COMPUTED_VALUE"""),0)</f>
        <v>0</v>
      </c>
      <c r="H502" s="3" t="str">
        <f ca="1">IFERROR(__xludf.DUMMYFUNCTION("""COMPUTED_VALUE"""),"car")</f>
        <v>car</v>
      </c>
      <c r="I502" s="3" t="str">
        <f ca="1">IFERROR(__xludf.DUMMYFUNCTION("""COMPUTED_VALUE"""),"2055-06-02T01:06:31.873459Z")</f>
        <v>2055-06-02T01:06:31.873459Z</v>
      </c>
      <c r="J502" s="3" t="str">
        <f ca="1">IFERROR(__xludf.DUMMYFUNCTION("""COMPUTED_VALUE"""),"2055-06-02T02:02:39.961Z")</f>
        <v>2055-06-02T02:02:39.961Z</v>
      </c>
      <c r="K502" s="3" t="str">
        <f ca="1">IFERROR(__xludf.DUMMYFUNCTION("""COMPUTED_VALUE"""),"2055-06-02T01:50:45.961Z")</f>
        <v>2055-06-02T01:50:45.961Z</v>
      </c>
      <c r="L502" s="3">
        <f ca="1">IFERROR(__xludf.DUMMYFUNCTION("""COMPUTED_VALUE"""),1)</f>
        <v>1</v>
      </c>
      <c r="M502" s="3">
        <f ca="1">IFERROR(__xludf.DUMMYFUNCTION("""COMPUTED_VALUE"""),0)</f>
        <v>0</v>
      </c>
      <c r="N502" s="3" t="str">
        <f ca="1">IFERROR(__xludf.DUMMYFUNCTION("""COMPUTED_VALUE"""),"2055-06-02T01:38:12.704075Z")</f>
        <v>2055-06-02T01:38:12.704075Z</v>
      </c>
      <c r="O502" s="3" t="str">
        <f ca="1">IFERROR(__xludf.DUMMYFUNCTION("""COMPUTED_VALUE"""),"2055-06-02T02:06:28.087008Z")</f>
        <v>2055-06-02T02:06:28.087008Z</v>
      </c>
      <c r="P502" s="3" t="str">
        <f ca="1">IFERROR(__xludf.DUMMYFUNCTION("""COMPUTED_VALUE"""),"2055-06-02T01:11:47.25183Z")</f>
        <v>2055-06-02T01:11:47.25183Z</v>
      </c>
      <c r="Q502" s="3">
        <f ca="1">IFERROR(__xludf.DUMMYFUNCTION("""COMPUTED_VALUE"""),0)</f>
        <v>0</v>
      </c>
      <c r="R502" s="3" t="str">
        <f ca="1">IFERROR(__xludf.DUMMYFUNCTION("""COMPUTED_VALUE"""),"2055-06-02T01:11:56.305882Z")</f>
        <v>2055-06-02T01:11:56.305882Z</v>
      </c>
      <c r="S502" s="3" t="str">
        <f ca="1">IFERROR(__xludf.DUMMYFUNCTION("""COMPUTED_VALUE"""),"2055-06-02T01:33:59.494979Z")</f>
        <v>2055-06-02T01:33:59.494979Z</v>
      </c>
      <c r="T502" s="3"/>
      <c r="U502" s="4">
        <f ca="1">IFERROR(__xludf.DUMMYFUNCTION("""COMPUTED_VALUE"""),56766)</f>
        <v>56766</v>
      </c>
      <c r="V502" s="3">
        <f ca="1">IFERROR(__xludf.DUMMYFUNCTION("""COMPUTED_VALUE"""),4.7)</f>
        <v>4.7</v>
      </c>
      <c r="W502" s="3">
        <f ca="1">IFERROR(__xludf.DUMMYFUNCTION("""COMPUTED_VALUE"""),2500)</f>
        <v>2500</v>
      </c>
      <c r="X502" s="3">
        <f ca="1">IFERROR(__xludf.DUMMYFUNCTION("""COMPUTED_VALUE"""),3272)</f>
        <v>3272</v>
      </c>
      <c r="Y502" s="3">
        <f ca="1">IFERROR(__xludf.DUMMYFUNCTION("""COMPUTED_VALUE"""),1323)</f>
        <v>1323</v>
      </c>
      <c r="Z502" s="3">
        <f ca="1">IFERROR(__xludf.DUMMYFUNCTION("""COMPUTED_VALUE"""),253)</f>
        <v>253</v>
      </c>
      <c r="AA502" s="3">
        <f ca="1">IFERROR(__xludf.DUMMYFUNCTION("""COMPUTED_VALUE"""),1696)</f>
        <v>1696</v>
      </c>
      <c r="AB502" s="3">
        <f ca="1">IFERROR(__xludf.DUMMYFUNCTION("""COMPUTED_VALUE"""),0)</f>
        <v>0</v>
      </c>
      <c r="AC502" s="3">
        <f ca="1">IFERROR(__xludf.DUMMYFUNCTION("""COMPUTED_VALUE"""),2)</f>
        <v>2</v>
      </c>
      <c r="AD502" s="3" t="str">
        <f ca="1">IFERROR(__xludf.DUMMYFUNCTION("""COMPUTED_VALUE"""),"late")</f>
        <v>late</v>
      </c>
      <c r="AE502" s="3" t="str">
        <f ca="1">IFERROR(__xludf.DUMMYFUNCTION("""COMPUTED_VALUE"""),"2055-06-01T21:38:12.704075Z")</f>
        <v>2055-06-01T21:38:12.704075Z</v>
      </c>
      <c r="AF502" s="3" t="str">
        <f ca="1">IFERROR(__xludf.DUMMYFUNCTION("""COMPUTED_VALUE"""),"2055-06-01T22:06:28.087008Z")</f>
        <v>2055-06-01T22:06:28.087008Z</v>
      </c>
      <c r="AG502" s="3" t="str">
        <f ca="1">IFERROR(__xludf.DUMMYFUNCTION("""COMPUTED_VALUE"""),"2055-06-01T21:11:47.25183Z")</f>
        <v>2055-06-01T21:11:47.25183Z</v>
      </c>
      <c r="AH502" s="3" t="str">
        <f ca="1">IFERROR(__xludf.DUMMYFUNCTION("""COMPUTED_VALUE"""),"2055-06-01T21:33:59.494979Z")</f>
        <v>2055-06-01T21:33:59.494979Z</v>
      </c>
      <c r="AI502" s="3">
        <f ca="1">IFERROR(__xludf.DUMMYFUNCTION("""COMPUTED_VALUE"""),4.49)</f>
        <v>4.49</v>
      </c>
      <c r="AJ502" s="3">
        <f ca="1">IFERROR(__xludf.DUMMYFUNCTION("""COMPUTED_VALUE"""),2315)</f>
        <v>2315</v>
      </c>
      <c r="AK502" s="3">
        <f ca="1">IFERROR(__xludf.DUMMYFUNCTION("""COMPUTED_VALUE"""),7039)</f>
        <v>7039</v>
      </c>
      <c r="AL502" s="3">
        <f ca="1">IFERROR(__xludf.DUMMYFUNCTION("""COMPUTED_VALUE"""),763)</f>
        <v>763</v>
      </c>
    </row>
    <row r="503" spans="1:38" ht="13">
      <c r="A503" s="3">
        <f ca="1">IFERROR(__xludf.DUMMYFUNCTION("""COMPUTED_VALUE"""),1034)</f>
        <v>1034</v>
      </c>
      <c r="B503" s="3"/>
      <c r="C503" s="3">
        <f ca="1">IFERROR(__xludf.DUMMYFUNCTION("""COMPUTED_VALUE"""),4001)</f>
        <v>4001</v>
      </c>
      <c r="D503" s="3" t="str">
        <f ca="1">IFERROR(__xludf.DUMMYFUNCTION("""COMPUTED_VALUE"""),"Dashattan")</f>
        <v>Dashattan</v>
      </c>
      <c r="E503" s="3" t="str">
        <f ca="1">IFERROR(__xludf.DUMMYFUNCTION("""COMPUTED_VALUE"""),"Galaxy A")</f>
        <v>Galaxy A</v>
      </c>
      <c r="F503" s="3" t="str">
        <f ca="1">IFERROR(__xludf.DUMMYFUNCTION("""COMPUTED_VALUE"""),"Sean")</f>
        <v>Sean</v>
      </c>
      <c r="G503" s="3">
        <f ca="1">IFERROR(__xludf.DUMMYFUNCTION("""COMPUTED_VALUE"""),0)</f>
        <v>0</v>
      </c>
      <c r="H503" s="3" t="str">
        <f ca="1">IFERROR(__xludf.DUMMYFUNCTION("""COMPUTED_VALUE"""),"bicycle")</f>
        <v>bicycle</v>
      </c>
      <c r="I503" s="3" t="str">
        <f ca="1">IFERROR(__xludf.DUMMYFUNCTION("""COMPUTED_VALUE"""),"2055-06-09T16:54:00.686969Z")</f>
        <v>2055-06-09T16:54:00.686969Z</v>
      </c>
      <c r="J503" s="3" t="str">
        <f ca="1">IFERROR(__xludf.DUMMYFUNCTION("""COMPUTED_VALUE"""),"2055-06-09T17:50:28.745Z")</f>
        <v>2055-06-09T17:50:28.745Z</v>
      </c>
      <c r="K503" s="3" t="str">
        <f ca="1">IFERROR(__xludf.DUMMYFUNCTION("""COMPUTED_VALUE"""),"2055-06-09T17:30:49.745Z")</f>
        <v>2055-06-09T17:30:49.745Z</v>
      </c>
      <c r="L503" s="3">
        <f ca="1">IFERROR(__xludf.DUMMYFUNCTION("""COMPUTED_VALUE"""),1)</f>
        <v>1</v>
      </c>
      <c r="M503" s="3">
        <f ca="1">IFERROR(__xludf.DUMMYFUNCTION("""COMPUTED_VALUE"""),0)</f>
        <v>0</v>
      </c>
      <c r="N503" s="3" t="str">
        <f ca="1">IFERROR(__xludf.DUMMYFUNCTION("""COMPUTED_VALUE"""),"2055-06-09T17:28:48.145529Z")</f>
        <v>2055-06-09T17:28:48.145529Z</v>
      </c>
      <c r="O503" s="3" t="str">
        <f ca="1">IFERROR(__xludf.DUMMYFUNCTION("""COMPUTED_VALUE"""),"2055-06-09T17:38:37.892098Z")</f>
        <v>2055-06-09T17:38:37.892098Z</v>
      </c>
      <c r="P503" s="3" t="str">
        <f ca="1">IFERROR(__xludf.DUMMYFUNCTION("""COMPUTED_VALUE"""),"2055-06-09T16:59:54.875082Z")</f>
        <v>2055-06-09T16:59:54.875082Z</v>
      </c>
      <c r="Q503" s="3">
        <f ca="1">IFERROR(__xludf.DUMMYFUNCTION("""COMPUTED_VALUE"""),0)</f>
        <v>0</v>
      </c>
      <c r="R503" s="3" t="str">
        <f ca="1">IFERROR(__xludf.DUMMYFUNCTION("""COMPUTED_VALUE"""),"2055-06-09T17:00:13.106035Z")</f>
        <v>2055-06-09T17:00:13.106035Z</v>
      </c>
      <c r="S503" s="3" t="str">
        <f ca="1">IFERROR(__xludf.DUMMYFUNCTION("""COMPUTED_VALUE"""),"2055-06-09T17:08:27.915838Z")</f>
        <v>2055-06-09T17:08:27.915838Z</v>
      </c>
      <c r="T503" s="3"/>
      <c r="U503" s="4">
        <f ca="1">IFERROR(__xludf.DUMMYFUNCTION("""COMPUTED_VALUE"""),56774)</f>
        <v>56774</v>
      </c>
      <c r="V503" s="3">
        <f ca="1">IFERROR(__xludf.DUMMYFUNCTION("""COMPUTED_VALUE"""),4.2)</f>
        <v>4.2</v>
      </c>
      <c r="W503" s="3">
        <f ca="1">IFERROR(__xludf.DUMMYFUNCTION("""COMPUTED_VALUE"""),2500)</f>
        <v>2500</v>
      </c>
      <c r="X503" s="3">
        <f ca="1">IFERROR(__xludf.DUMMYFUNCTION("""COMPUTED_VALUE"""),2304)</f>
        <v>2304</v>
      </c>
      <c r="Y503" s="3">
        <f ca="1">IFERROR(__xludf.DUMMYFUNCTION("""COMPUTED_VALUE"""),494)</f>
        <v>494</v>
      </c>
      <c r="Z503" s="3">
        <f ca="1">IFERROR(__xludf.DUMMYFUNCTION("""COMPUTED_VALUE"""),1221)</f>
        <v>1221</v>
      </c>
      <c r="AA503" s="3">
        <f ca="1">IFERROR(__xludf.DUMMYFUNCTION("""COMPUTED_VALUE"""),589)</f>
        <v>589</v>
      </c>
      <c r="AB503" s="3">
        <f ca="1">IFERROR(__xludf.DUMMYFUNCTION("""COMPUTED_VALUE"""),0)</f>
        <v>0</v>
      </c>
      <c r="AC503" s="3">
        <f ca="1">IFERROR(__xludf.DUMMYFUNCTION("""COMPUTED_VALUE"""),6)</f>
        <v>6</v>
      </c>
      <c r="AD503" s="3"/>
      <c r="AE503" s="3" t="str">
        <f ca="1">IFERROR(__xludf.DUMMYFUNCTION("""COMPUTED_VALUE"""),"2055-06-09T13:28:48.145529Z")</f>
        <v>2055-06-09T13:28:48.145529Z</v>
      </c>
      <c r="AF503" s="3" t="str">
        <f ca="1">IFERROR(__xludf.DUMMYFUNCTION("""COMPUTED_VALUE"""),"2055-06-09T13:38:37.892098Z")</f>
        <v>2055-06-09T13:38:37.892098Z</v>
      </c>
      <c r="AG503" s="3" t="str">
        <f ca="1">IFERROR(__xludf.DUMMYFUNCTION("""COMPUTED_VALUE"""),"2055-06-09T12:59:54.875082Z")</f>
        <v>2055-06-09T12:59:54.875082Z</v>
      </c>
      <c r="AH503" s="3" t="str">
        <f ca="1">IFERROR(__xludf.DUMMYFUNCTION("""COMPUTED_VALUE"""),"2055-06-09T13:08:27.915838Z")</f>
        <v>2055-06-09T13:08:27.915838Z</v>
      </c>
      <c r="AI503" s="3">
        <f ca="1">IFERROR(__xludf.DUMMYFUNCTION("""COMPUTED_VALUE"""),4.52)</f>
        <v>4.5199999999999996</v>
      </c>
      <c r="AJ503" s="3">
        <f ca="1">IFERROR(__xludf.DUMMYFUNCTION("""COMPUTED_VALUE"""),183)</f>
        <v>183</v>
      </c>
      <c r="AK503" s="3">
        <f ca="1">IFERROR(__xludf.DUMMYFUNCTION("""COMPUTED_VALUE"""),522)</f>
        <v>522</v>
      </c>
      <c r="AL503" s="3"/>
    </row>
    <row r="504" spans="1:38" ht="13">
      <c r="A504" s="3">
        <f ca="1">IFERROR(__xludf.DUMMYFUNCTION("""COMPUTED_VALUE"""),1466)</f>
        <v>1466</v>
      </c>
      <c r="B504" s="3">
        <f ca="1">IFERROR(__xludf.DUMMYFUNCTION("""COMPUTED_VALUE"""),5)</f>
        <v>5</v>
      </c>
      <c r="C504" s="3">
        <f ca="1">IFERROR(__xludf.DUMMYFUNCTION("""COMPUTED_VALUE"""),4001)</f>
        <v>4001</v>
      </c>
      <c r="D504" s="3" t="str">
        <f ca="1">IFERROR(__xludf.DUMMYFUNCTION("""COMPUTED_VALUE"""),"Dashattan")</f>
        <v>Dashattan</v>
      </c>
      <c r="E504" s="3" t="str">
        <f ca="1">IFERROR(__xludf.DUMMYFUNCTION("""COMPUTED_VALUE"""),"Galaxy A")</f>
        <v>Galaxy A</v>
      </c>
      <c r="F504" s="3" t="str">
        <f ca="1">IFERROR(__xludf.DUMMYFUNCTION("""COMPUTED_VALUE"""),"Ron")</f>
        <v>Ron</v>
      </c>
      <c r="G504" s="3">
        <f ca="1">IFERROR(__xludf.DUMMYFUNCTION("""COMPUTED_VALUE"""),0)</f>
        <v>0</v>
      </c>
      <c r="H504" s="3" t="str">
        <f ca="1">IFERROR(__xludf.DUMMYFUNCTION("""COMPUTED_VALUE"""),"bicycle")</f>
        <v>bicycle</v>
      </c>
      <c r="I504" s="3" t="str">
        <f ca="1">IFERROR(__xludf.DUMMYFUNCTION("""COMPUTED_VALUE"""),"2055-06-12T21:46:35.081832Z")</f>
        <v>2055-06-12T21:46:35.081832Z</v>
      </c>
      <c r="J504" s="3" t="str">
        <f ca="1">IFERROR(__xludf.DUMMYFUNCTION("""COMPUTED_VALUE"""),"2055-06-12T22:38:42.181Z")</f>
        <v>2055-06-12T22:38:42.181Z</v>
      </c>
      <c r="K504" s="3" t="str">
        <f ca="1">IFERROR(__xludf.DUMMYFUNCTION("""COMPUTED_VALUE"""),"2055-06-12T22:29:49.181Z")</f>
        <v>2055-06-12T22:29:49.181Z</v>
      </c>
      <c r="L504" s="3">
        <f ca="1">IFERROR(__xludf.DUMMYFUNCTION("""COMPUTED_VALUE"""),1)</f>
        <v>1</v>
      </c>
      <c r="M504" s="3">
        <f ca="1">IFERROR(__xludf.DUMMYFUNCTION("""COMPUTED_VALUE"""),0)</f>
        <v>0</v>
      </c>
      <c r="N504" s="3" t="str">
        <f ca="1">IFERROR(__xludf.DUMMYFUNCTION("""COMPUTED_VALUE"""),"2055-06-12T22:36:42.181983Z")</f>
        <v>2055-06-12T22:36:42.181983Z</v>
      </c>
      <c r="O504" s="3" t="str">
        <f ca="1">IFERROR(__xludf.DUMMYFUNCTION("""COMPUTED_VALUE"""),"2055-06-12T22:48:04.856235Z")</f>
        <v>2055-06-12T22:48:04.856235Z</v>
      </c>
      <c r="P504" s="3" t="str">
        <f ca="1">IFERROR(__xludf.DUMMYFUNCTION("""COMPUTED_VALUE"""),"2055-06-12T21:46:54.688573Z")</f>
        <v>2055-06-12T21:46:54.688573Z</v>
      </c>
      <c r="Q504" s="3">
        <f ca="1">IFERROR(__xludf.DUMMYFUNCTION("""COMPUTED_VALUE"""),0)</f>
        <v>0</v>
      </c>
      <c r="R504" s="3" t="str">
        <f ca="1">IFERROR(__xludf.DUMMYFUNCTION("""COMPUTED_VALUE"""),"2055-06-12T21:47:10.798734Z")</f>
        <v>2055-06-12T21:47:10.798734Z</v>
      </c>
      <c r="S504" s="3" t="str">
        <f ca="1">IFERROR(__xludf.DUMMYFUNCTION("""COMPUTED_VALUE"""),"2055-06-12T21:52:28.56226Z")</f>
        <v>2055-06-12T21:52:28.56226Z</v>
      </c>
      <c r="T504" s="3"/>
      <c r="U504" s="4">
        <f ca="1">IFERROR(__xludf.DUMMYFUNCTION("""COMPUTED_VALUE"""),56777)</f>
        <v>56777</v>
      </c>
      <c r="V504" s="3">
        <f ca="1">IFERROR(__xludf.DUMMYFUNCTION("""COMPUTED_VALUE"""),4.3)</f>
        <v>4.3</v>
      </c>
      <c r="W504" s="3">
        <f ca="1">IFERROR(__xludf.DUMMYFUNCTION("""COMPUTED_VALUE"""),2500)</f>
        <v>2500</v>
      </c>
      <c r="X504" s="3">
        <f ca="1">IFERROR(__xludf.DUMMYFUNCTION("""COMPUTED_VALUE"""),3654)</f>
        <v>3654</v>
      </c>
      <c r="Y504" s="3">
        <f ca="1">IFERROR(__xludf.DUMMYFUNCTION("""COMPUTED_VALUE"""),318)</f>
        <v>318</v>
      </c>
      <c r="Z504" s="3">
        <f ca="1">IFERROR(__xludf.DUMMYFUNCTION("""COMPUTED_VALUE"""),2654)</f>
        <v>2654</v>
      </c>
      <c r="AA504" s="3">
        <f ca="1">IFERROR(__xludf.DUMMYFUNCTION("""COMPUTED_VALUE"""),682)</f>
        <v>682</v>
      </c>
      <c r="AB504" s="3">
        <f ca="1">IFERROR(__xludf.DUMMYFUNCTION("""COMPUTED_VALUE"""),0)</f>
        <v>0</v>
      </c>
      <c r="AC504" s="3">
        <f ca="1">IFERROR(__xludf.DUMMYFUNCTION("""COMPUTED_VALUE"""),5)</f>
        <v>5</v>
      </c>
      <c r="AD504" s="3"/>
      <c r="AE504" s="3" t="str">
        <f ca="1">IFERROR(__xludf.DUMMYFUNCTION("""COMPUTED_VALUE"""),"2055-06-12T18:36:42.181983Z")</f>
        <v>2055-06-12T18:36:42.181983Z</v>
      </c>
      <c r="AF504" s="3" t="str">
        <f ca="1">IFERROR(__xludf.DUMMYFUNCTION("""COMPUTED_VALUE"""),"2055-06-12T18:48:04.856235Z")</f>
        <v>2055-06-12T18:48:04.856235Z</v>
      </c>
      <c r="AG504" s="3" t="str">
        <f ca="1">IFERROR(__xludf.DUMMYFUNCTION("""COMPUTED_VALUE"""),"2055-06-12T17:46:54.688573Z")</f>
        <v>2055-06-12T17:46:54.688573Z</v>
      </c>
      <c r="AH504" s="3" t="str">
        <f ca="1">IFERROR(__xludf.DUMMYFUNCTION("""COMPUTED_VALUE"""),"2055-06-12T17:52:28.56226Z")</f>
        <v>2055-06-12T17:52:28.56226Z</v>
      </c>
      <c r="AI504" s="3">
        <f ca="1">IFERROR(__xludf.DUMMYFUNCTION("""COMPUTED_VALUE"""),4.56)</f>
        <v>4.5599999999999996</v>
      </c>
      <c r="AJ504" s="3">
        <f ca="1">IFERROR(__xludf.DUMMYFUNCTION("""COMPUTED_VALUE"""),765)</f>
        <v>765</v>
      </c>
      <c r="AK504" s="3">
        <f ca="1">IFERROR(__xludf.DUMMYFUNCTION("""COMPUTED_VALUE"""),2618)</f>
        <v>2618</v>
      </c>
      <c r="AL504" s="3"/>
    </row>
    <row r="505" spans="1:38" ht="13">
      <c r="A505" s="3">
        <f ca="1">IFERROR(__xludf.DUMMYFUNCTION("""COMPUTED_VALUE"""),273)</f>
        <v>273</v>
      </c>
      <c r="B505" s="3">
        <f ca="1">IFERROR(__xludf.DUMMYFUNCTION("""COMPUTED_VALUE"""),5)</f>
        <v>5</v>
      </c>
      <c r="C505" s="3">
        <f ca="1">IFERROR(__xludf.DUMMYFUNCTION("""COMPUTED_VALUE"""),4050)</f>
        <v>4050</v>
      </c>
      <c r="D505" s="3" t="str">
        <f ca="1">IFERROR(__xludf.DUMMYFUNCTION("""COMPUTED_VALUE"""),"Doorlanta")</f>
        <v>Doorlanta</v>
      </c>
      <c r="E505" s="3" t="str">
        <f ca="1">IFERROR(__xludf.DUMMYFUNCTION("""COMPUTED_VALUE"""),"Galaxy A")</f>
        <v>Galaxy A</v>
      </c>
      <c r="F505" s="3" t="str">
        <f ca="1">IFERROR(__xludf.DUMMYFUNCTION("""COMPUTED_VALUE"""),"Elon")</f>
        <v>Elon</v>
      </c>
      <c r="G505" s="3">
        <f ca="1">IFERROR(__xludf.DUMMYFUNCTION("""COMPUTED_VALUE"""),0)</f>
        <v>0</v>
      </c>
      <c r="H505" s="3" t="str">
        <f ca="1">IFERROR(__xludf.DUMMYFUNCTION("""COMPUTED_VALUE"""),"car")</f>
        <v>car</v>
      </c>
      <c r="I505" s="3" t="str">
        <f ca="1">IFERROR(__xludf.DUMMYFUNCTION("""COMPUTED_VALUE"""),"2055-06-03T15:45:54.66207Z")</f>
        <v>2055-06-03T15:45:54.66207Z</v>
      </c>
      <c r="J505" s="3" t="str">
        <f ca="1">IFERROR(__xludf.DUMMYFUNCTION("""COMPUTED_VALUE"""),"2055-06-03T16:58:06.737Z")</f>
        <v>2055-06-03T16:58:06.737Z</v>
      </c>
      <c r="K505" s="3" t="str">
        <f ca="1">IFERROR(__xludf.DUMMYFUNCTION("""COMPUTED_VALUE"""),"2055-06-03T16:34:48.737Z")</f>
        <v>2055-06-03T16:34:48.737Z</v>
      </c>
      <c r="L505" s="3">
        <f ca="1">IFERROR(__xludf.DUMMYFUNCTION("""COMPUTED_VALUE"""),1)</f>
        <v>1</v>
      </c>
      <c r="M505" s="3">
        <f ca="1">IFERROR(__xludf.DUMMYFUNCTION("""COMPUTED_VALUE"""),0)</f>
        <v>0</v>
      </c>
      <c r="N505" s="3" t="str">
        <f ca="1">IFERROR(__xludf.DUMMYFUNCTION("""COMPUTED_VALUE"""),"2055-06-03T16:06:41.970048Z")</f>
        <v>2055-06-03T16:06:41.970048Z</v>
      </c>
      <c r="O505" s="3" t="str">
        <f ca="1">IFERROR(__xludf.DUMMYFUNCTION("""COMPUTED_VALUE"""),"2055-06-03T16:28:35.294409Z")</f>
        <v>2055-06-03T16:28:35.294409Z</v>
      </c>
      <c r="P505" s="3" t="str">
        <f ca="1">IFERROR(__xludf.DUMMYFUNCTION("""COMPUTED_VALUE"""),"2055-06-03T15:57:27.466345Z")</f>
        <v>2055-06-03T15:57:27.466345Z</v>
      </c>
      <c r="Q505" s="3">
        <f ca="1">IFERROR(__xludf.DUMMYFUNCTION("""COMPUTED_VALUE"""),0)</f>
        <v>0</v>
      </c>
      <c r="R505" s="3" t="str">
        <f ca="1">IFERROR(__xludf.DUMMYFUNCTION("""COMPUTED_VALUE"""),"2055-06-03T15:57:44.727387Z")</f>
        <v>2055-06-03T15:57:44.727387Z</v>
      </c>
      <c r="S505" s="3" t="str">
        <f ca="1">IFERROR(__xludf.DUMMYFUNCTION("""COMPUTED_VALUE"""),"2055-06-03T16:06:40.713052Z")</f>
        <v>2055-06-03T16:06:40.713052Z</v>
      </c>
      <c r="T505" s="3"/>
      <c r="U505" s="4">
        <f ca="1">IFERROR(__xludf.DUMMYFUNCTION("""COMPUTED_VALUE"""),56768)</f>
        <v>56768</v>
      </c>
      <c r="V505" s="3">
        <f ca="1">IFERROR(__xludf.DUMMYFUNCTION("""COMPUTED_VALUE"""),4.7)</f>
        <v>4.7</v>
      </c>
      <c r="W505" s="3">
        <f ca="1">IFERROR(__xludf.DUMMYFUNCTION("""COMPUTED_VALUE"""),2500)</f>
        <v>2500</v>
      </c>
      <c r="X505" s="3">
        <f ca="1">IFERROR(__xludf.DUMMYFUNCTION("""COMPUTED_VALUE"""),1851)</f>
        <v>1851</v>
      </c>
      <c r="Y505" s="3">
        <f ca="1">IFERROR(__xludf.DUMMYFUNCTION("""COMPUTED_VALUE"""),536)</f>
        <v>536</v>
      </c>
      <c r="Z505" s="3">
        <f ca="1">IFERROR(__xludf.DUMMYFUNCTION("""COMPUTED_VALUE"""),1)</f>
        <v>1</v>
      </c>
      <c r="AA505" s="3">
        <f ca="1">IFERROR(__xludf.DUMMYFUNCTION("""COMPUTED_VALUE"""),1314)</f>
        <v>1314</v>
      </c>
      <c r="AB505" s="3">
        <f ca="1">IFERROR(__xludf.DUMMYFUNCTION("""COMPUTED_VALUE"""),0)</f>
        <v>0</v>
      </c>
      <c r="AC505" s="3">
        <f ca="1">IFERROR(__xludf.DUMMYFUNCTION("""COMPUTED_VALUE"""),2)</f>
        <v>2</v>
      </c>
      <c r="AD505" s="3" t="str">
        <f ca="1">IFERROR(__xludf.DUMMYFUNCTION("""COMPUTED_VALUE"""),"late")</f>
        <v>late</v>
      </c>
      <c r="AE505" s="3" t="str">
        <f ca="1">IFERROR(__xludf.DUMMYFUNCTION("""COMPUTED_VALUE"""),"2055-06-03T12:06:41.970048Z")</f>
        <v>2055-06-03T12:06:41.970048Z</v>
      </c>
      <c r="AF505" s="3" t="str">
        <f ca="1">IFERROR(__xludf.DUMMYFUNCTION("""COMPUTED_VALUE"""),"2055-06-03T12:28:35.294409Z")</f>
        <v>2055-06-03T12:28:35.294409Z</v>
      </c>
      <c r="AG505" s="3" t="str">
        <f ca="1">IFERROR(__xludf.DUMMYFUNCTION("""COMPUTED_VALUE"""),"2055-06-03T11:57:27.466345Z")</f>
        <v>2055-06-03T11:57:27.466345Z</v>
      </c>
      <c r="AH505" s="3" t="str">
        <f ca="1">IFERROR(__xludf.DUMMYFUNCTION("""COMPUTED_VALUE"""),"2055-06-03T12:06:40.713052Z")</f>
        <v>2055-06-03T12:06:40.713052Z</v>
      </c>
      <c r="AI505" s="3">
        <f ca="1">IFERROR(__xludf.DUMMYFUNCTION("""COMPUTED_VALUE"""),4.62)</f>
        <v>4.62</v>
      </c>
      <c r="AJ505" s="3">
        <f ca="1">IFERROR(__xludf.DUMMYFUNCTION("""COMPUTED_VALUE"""),259)</f>
        <v>259</v>
      </c>
      <c r="AK505" s="3">
        <f ca="1">IFERROR(__xludf.DUMMYFUNCTION("""COMPUTED_VALUE"""),604)</f>
        <v>604</v>
      </c>
      <c r="AL505" s="3">
        <f ca="1">IFERROR(__xludf.DUMMYFUNCTION("""COMPUTED_VALUE"""),21)</f>
        <v>21</v>
      </c>
    </row>
    <row r="506" spans="1:38" ht="13">
      <c r="A506" s="3">
        <f ca="1">IFERROR(__xludf.DUMMYFUNCTION("""COMPUTED_VALUE"""),318)</f>
        <v>318</v>
      </c>
      <c r="B506" s="3">
        <f ca="1">IFERROR(__xludf.DUMMYFUNCTION("""COMPUTED_VALUE"""),5)</f>
        <v>5</v>
      </c>
      <c r="C506" s="3">
        <f ca="1">IFERROR(__xludf.DUMMYFUNCTION("""COMPUTED_VALUE"""),4001)</f>
        <v>4001</v>
      </c>
      <c r="D506" s="3" t="str">
        <f ca="1">IFERROR(__xludf.DUMMYFUNCTION("""COMPUTED_VALUE"""),"Dashattan")</f>
        <v>Dashattan</v>
      </c>
      <c r="E506" s="3" t="str">
        <f ca="1">IFERROR(__xludf.DUMMYFUNCTION("""COMPUTED_VALUE"""),"Galaxy A")</f>
        <v>Galaxy A</v>
      </c>
      <c r="F506" s="3" t="str">
        <f ca="1">IFERROR(__xludf.DUMMYFUNCTION("""COMPUTED_VALUE"""),"Bunje")</f>
        <v>Bunje</v>
      </c>
      <c r="G506" s="3">
        <f ca="1">IFERROR(__xludf.DUMMYFUNCTION("""COMPUTED_VALUE"""),0)</f>
        <v>0</v>
      </c>
      <c r="H506" s="3" t="str">
        <f ca="1">IFERROR(__xludf.DUMMYFUNCTION("""COMPUTED_VALUE"""),"bicycle")</f>
        <v>bicycle</v>
      </c>
      <c r="I506" s="3" t="str">
        <f ca="1">IFERROR(__xludf.DUMMYFUNCTION("""COMPUTED_VALUE"""),"2055-06-03T19:17:17.491267Z")</f>
        <v>2055-06-03T19:17:17.491267Z</v>
      </c>
      <c r="J506" s="3" t="str">
        <f ca="1">IFERROR(__xludf.DUMMYFUNCTION("""COMPUTED_VALUE"""),"2055-06-03T20:08:36.57Z")</f>
        <v>2055-06-03T20:08:36.57Z</v>
      </c>
      <c r="K506" s="3" t="str">
        <f ca="1">IFERROR(__xludf.DUMMYFUNCTION("""COMPUTED_VALUE"""),"2055-06-03T19:48:29.57Z")</f>
        <v>2055-06-03T19:48:29.57Z</v>
      </c>
      <c r="L506" s="3">
        <f ca="1">IFERROR(__xludf.DUMMYFUNCTION("""COMPUTED_VALUE"""),1)</f>
        <v>1</v>
      </c>
      <c r="M506" s="3">
        <f ca="1">IFERROR(__xludf.DUMMYFUNCTION("""COMPUTED_VALUE"""),0)</f>
        <v>0</v>
      </c>
      <c r="N506" s="3" t="str">
        <f ca="1">IFERROR(__xludf.DUMMYFUNCTION("""COMPUTED_VALUE"""),"2055-06-03T19:36:40.445459Z")</f>
        <v>2055-06-03T19:36:40.445459Z</v>
      </c>
      <c r="O506" s="3" t="str">
        <f ca="1">IFERROR(__xludf.DUMMYFUNCTION("""COMPUTED_VALUE"""),"2055-06-03T19:52:04.456547Z")</f>
        <v>2055-06-03T19:52:04.456547Z</v>
      </c>
      <c r="P506" s="3" t="str">
        <f ca="1">IFERROR(__xludf.DUMMYFUNCTION("""COMPUTED_VALUE"""),"2055-06-03T19:25:14.22128Z")</f>
        <v>2055-06-03T19:25:14.22128Z</v>
      </c>
      <c r="Q506" s="3">
        <f ca="1">IFERROR(__xludf.DUMMYFUNCTION("""COMPUTED_VALUE"""),0)</f>
        <v>0</v>
      </c>
      <c r="R506" s="3" t="str">
        <f ca="1">IFERROR(__xludf.DUMMYFUNCTION("""COMPUTED_VALUE"""),"2055-06-03T19:25:32.445936Z")</f>
        <v>2055-06-03T19:25:32.445936Z</v>
      </c>
      <c r="S506" s="3" t="str">
        <f ca="1">IFERROR(__xludf.DUMMYFUNCTION("""COMPUTED_VALUE"""),"2055-06-03T19:35:23.617885Z")</f>
        <v>2055-06-03T19:35:23.617885Z</v>
      </c>
      <c r="T506" s="3"/>
      <c r="U506" s="4">
        <f ca="1">IFERROR(__xludf.DUMMYFUNCTION("""COMPUTED_VALUE"""),56768)</f>
        <v>56768</v>
      </c>
      <c r="V506" s="3">
        <f ca="1">IFERROR(__xludf.DUMMYFUNCTION("""COMPUTED_VALUE"""),4.678193006)</f>
        <v>4.6781930059999999</v>
      </c>
      <c r="W506" s="3">
        <f ca="1">IFERROR(__xludf.DUMMYFUNCTION("""COMPUTED_VALUE"""),2500)</f>
        <v>2500</v>
      </c>
      <c r="X506" s="3">
        <f ca="1">IFERROR(__xludf.DUMMYFUNCTION("""COMPUTED_VALUE"""),1592)</f>
        <v>1592</v>
      </c>
      <c r="Y506" s="3">
        <f ca="1">IFERROR(__xludf.DUMMYFUNCTION("""COMPUTED_VALUE"""),591)</f>
        <v>591</v>
      </c>
      <c r="Z506" s="3">
        <f ca="1">IFERROR(__xludf.DUMMYFUNCTION("""COMPUTED_VALUE"""),77)</f>
        <v>77</v>
      </c>
      <c r="AA506" s="3">
        <f ca="1">IFERROR(__xludf.DUMMYFUNCTION("""COMPUTED_VALUE"""),924)</f>
        <v>924</v>
      </c>
      <c r="AB506" s="3">
        <f ca="1">IFERROR(__xludf.DUMMYFUNCTION("""COMPUTED_VALUE"""),0)</f>
        <v>0</v>
      </c>
      <c r="AC506" s="3">
        <f ca="1">IFERROR(__xludf.DUMMYFUNCTION("""COMPUTED_VALUE"""),2)</f>
        <v>2</v>
      </c>
      <c r="AD506" s="3" t="str">
        <f ca="1">IFERROR(__xludf.DUMMYFUNCTION("""COMPUTED_VALUE"""),"late")</f>
        <v>late</v>
      </c>
      <c r="AE506" s="3" t="str">
        <f ca="1">IFERROR(__xludf.DUMMYFUNCTION("""COMPUTED_VALUE"""),"2055-06-03T15:36:40.445459Z")</f>
        <v>2055-06-03T15:36:40.445459Z</v>
      </c>
      <c r="AF506" s="3" t="str">
        <f ca="1">IFERROR(__xludf.DUMMYFUNCTION("""COMPUTED_VALUE"""),"2055-06-03T15:52:04.456547Z")</f>
        <v>2055-06-03T15:52:04.456547Z</v>
      </c>
      <c r="AG506" s="3" t="str">
        <f ca="1">IFERROR(__xludf.DUMMYFUNCTION("""COMPUTED_VALUE"""),"2055-06-03T15:25:14.22128Z")</f>
        <v>2055-06-03T15:25:14.22128Z</v>
      </c>
      <c r="AH506" s="3" t="str">
        <f ca="1">IFERROR(__xludf.DUMMYFUNCTION("""COMPUTED_VALUE"""),"2055-06-03T15:35:23.617885Z")</f>
        <v>2055-06-03T15:35:23.617885Z</v>
      </c>
      <c r="AI506" s="3">
        <f ca="1">IFERROR(__xludf.DUMMYFUNCTION("""COMPUTED_VALUE"""),4.7)</f>
        <v>4.7</v>
      </c>
      <c r="AJ506" s="3">
        <f ca="1">IFERROR(__xludf.DUMMYFUNCTION("""COMPUTED_VALUE"""),443)</f>
        <v>443</v>
      </c>
      <c r="AK506" s="3">
        <f ca="1">IFERROR(__xludf.DUMMYFUNCTION("""COMPUTED_VALUE"""),1579)</f>
        <v>1579</v>
      </c>
      <c r="AL506" s="3"/>
    </row>
    <row r="507" spans="1:38" ht="13">
      <c r="A507" s="3">
        <f ca="1">IFERROR(__xludf.DUMMYFUNCTION("""COMPUTED_VALUE"""),442)</f>
        <v>442</v>
      </c>
      <c r="B507" s="3"/>
      <c r="C507" s="3">
        <f ca="1">IFERROR(__xludf.DUMMYFUNCTION("""COMPUTED_VALUE"""),4050)</f>
        <v>4050</v>
      </c>
      <c r="D507" s="3" t="str">
        <f ca="1">IFERROR(__xludf.DUMMYFUNCTION("""COMPUTED_VALUE"""),"Doorlanta")</f>
        <v>Doorlanta</v>
      </c>
      <c r="E507" s="3" t="str">
        <f ca="1">IFERROR(__xludf.DUMMYFUNCTION("""COMPUTED_VALUE"""),"Galaxy A")</f>
        <v>Galaxy A</v>
      </c>
      <c r="F507" s="3" t="str">
        <f ca="1">IFERROR(__xludf.DUMMYFUNCTION("""COMPUTED_VALUE"""),"Joe")</f>
        <v>Joe</v>
      </c>
      <c r="G507" s="3">
        <f ca="1">IFERROR(__xludf.DUMMYFUNCTION("""COMPUTED_VALUE"""),0)</f>
        <v>0</v>
      </c>
      <c r="H507" s="3" t="str">
        <f ca="1">IFERROR(__xludf.DUMMYFUNCTION("""COMPUTED_VALUE"""),"car")</f>
        <v>car</v>
      </c>
      <c r="I507" s="3" t="str">
        <f ca="1">IFERROR(__xludf.DUMMYFUNCTION("""COMPUTED_VALUE"""),"2055-06-04T20:35:00.776207Z")</f>
        <v>2055-06-04T20:35:00.776207Z</v>
      </c>
      <c r="J507" s="3" t="str">
        <f ca="1">IFERROR(__xludf.DUMMYFUNCTION("""COMPUTED_VALUE"""),"2055-06-04T21:15:42.867Z")</f>
        <v>2055-06-04T21:15:42.867Z</v>
      </c>
      <c r="K507" s="3" t="str">
        <f ca="1">IFERROR(__xludf.DUMMYFUNCTION("""COMPUTED_VALUE"""),"2055-06-04T21:10:35.867Z")</f>
        <v>2055-06-04T21:10:35.867Z</v>
      </c>
      <c r="L507" s="3">
        <f ca="1">IFERROR(__xludf.DUMMYFUNCTION("""COMPUTED_VALUE"""),1)</f>
        <v>1</v>
      </c>
      <c r="M507" s="3">
        <f ca="1">IFERROR(__xludf.DUMMYFUNCTION("""COMPUTED_VALUE"""),0)</f>
        <v>0</v>
      </c>
      <c r="N507" s="3" t="str">
        <f ca="1">IFERROR(__xludf.DUMMYFUNCTION("""COMPUTED_VALUE"""),"2055-06-04T21:15:59.275502Z")</f>
        <v>2055-06-04T21:15:59.275502Z</v>
      </c>
      <c r="O507" s="3" t="str">
        <f ca="1">IFERROR(__xludf.DUMMYFUNCTION("""COMPUTED_VALUE"""),"2055-06-04T21:31:32.495374Z")</f>
        <v>2055-06-04T21:31:32.495374Z</v>
      </c>
      <c r="P507" s="3" t="str">
        <f ca="1">IFERROR(__xludf.DUMMYFUNCTION("""COMPUTED_VALUE"""),"2055-06-04T20:37:47.328304Z")</f>
        <v>2055-06-04T20:37:47.328304Z</v>
      </c>
      <c r="Q507" s="3">
        <f ca="1">IFERROR(__xludf.DUMMYFUNCTION("""COMPUTED_VALUE"""),0)</f>
        <v>0</v>
      </c>
      <c r="R507" s="3" t="str">
        <f ca="1">IFERROR(__xludf.DUMMYFUNCTION("""COMPUTED_VALUE"""),"2055-06-04T20:37:57.90004Z")</f>
        <v>2055-06-04T20:37:57.90004Z</v>
      </c>
      <c r="S507" s="3" t="str">
        <f ca="1">IFERROR(__xludf.DUMMYFUNCTION("""COMPUTED_VALUE"""),"2055-06-04T21:01:11.939198Z")</f>
        <v>2055-06-04T21:01:11.939198Z</v>
      </c>
      <c r="T507" s="3"/>
      <c r="U507" s="4">
        <f ca="1">IFERROR(__xludf.DUMMYFUNCTION("""COMPUTED_VALUE"""),56769)</f>
        <v>56769</v>
      </c>
      <c r="V507" s="3">
        <f ca="1">IFERROR(__xludf.DUMMYFUNCTION("""COMPUTED_VALUE"""),3.415980267)</f>
        <v>3.4159802670000001</v>
      </c>
      <c r="W507" s="3">
        <f ca="1">IFERROR(__xludf.DUMMYFUNCTION("""COMPUTED_VALUE"""),2500)</f>
        <v>2500</v>
      </c>
      <c r="X507" s="3">
        <f ca="1">IFERROR(__xludf.DUMMYFUNCTION("""COMPUTED_VALUE"""),3215)</f>
        <v>3215</v>
      </c>
      <c r="Y507" s="3">
        <f ca="1">IFERROR(__xludf.DUMMYFUNCTION("""COMPUTED_VALUE"""),1394)</f>
        <v>1394</v>
      </c>
      <c r="Z507" s="3">
        <f ca="1">IFERROR(__xludf.DUMMYFUNCTION("""COMPUTED_VALUE"""),888)</f>
        <v>888</v>
      </c>
      <c r="AA507" s="3">
        <f ca="1">IFERROR(__xludf.DUMMYFUNCTION("""COMPUTED_VALUE"""),933)</f>
        <v>933</v>
      </c>
      <c r="AB507" s="3">
        <f ca="1">IFERROR(__xludf.DUMMYFUNCTION("""COMPUTED_VALUE"""),1)</f>
        <v>1</v>
      </c>
      <c r="AC507" s="3">
        <f ca="1">IFERROR(__xludf.DUMMYFUNCTION("""COMPUTED_VALUE"""),2)</f>
        <v>2</v>
      </c>
      <c r="AD507" s="3"/>
      <c r="AE507" s="3" t="str">
        <f ca="1">IFERROR(__xludf.DUMMYFUNCTION("""COMPUTED_VALUE"""),"2055-06-04T17:15:59.275502Z")</f>
        <v>2055-06-04T17:15:59.275502Z</v>
      </c>
      <c r="AF507" s="3" t="str">
        <f ca="1">IFERROR(__xludf.DUMMYFUNCTION("""COMPUTED_VALUE"""),"2055-06-04T17:31:32.495374Z")</f>
        <v>2055-06-04T17:31:32.495374Z</v>
      </c>
      <c r="AG507" s="3" t="str">
        <f ca="1">IFERROR(__xludf.DUMMYFUNCTION("""COMPUTED_VALUE"""),"2055-06-04T16:37:47.328304Z")</f>
        <v>2055-06-04T16:37:47.328304Z</v>
      </c>
      <c r="AH507" s="3" t="str">
        <f ca="1">IFERROR(__xludf.DUMMYFUNCTION("""COMPUTED_VALUE"""),"2055-06-04T17:01:11.939198Z")</f>
        <v>2055-06-04T17:01:11.939198Z</v>
      </c>
      <c r="AI507" s="3">
        <f ca="1">IFERROR(__xludf.DUMMYFUNCTION("""COMPUTED_VALUE"""),4.38)</f>
        <v>4.38</v>
      </c>
      <c r="AJ507" s="3">
        <f ca="1">IFERROR(__xludf.DUMMYFUNCTION("""COMPUTED_VALUE"""),196)</f>
        <v>196</v>
      </c>
      <c r="AK507" s="3">
        <f ca="1">IFERROR(__xludf.DUMMYFUNCTION("""COMPUTED_VALUE"""),626)</f>
        <v>626</v>
      </c>
      <c r="AL507" s="3"/>
    </row>
    <row r="508" spans="1:38" ht="13">
      <c r="A508" s="3">
        <f ca="1">IFERROR(__xludf.DUMMYFUNCTION("""COMPUTED_VALUE"""),796)</f>
        <v>796</v>
      </c>
      <c r="B508" s="3">
        <f ca="1">IFERROR(__xludf.DUMMYFUNCTION("""COMPUTED_VALUE"""),5)</f>
        <v>5</v>
      </c>
      <c r="C508" s="3">
        <f ca="1">IFERROR(__xludf.DUMMYFUNCTION("""COMPUTED_VALUE"""),4001)</f>
        <v>4001</v>
      </c>
      <c r="D508" s="3" t="str">
        <f ca="1">IFERROR(__xludf.DUMMYFUNCTION("""COMPUTED_VALUE"""),"Dashattan")</f>
        <v>Dashattan</v>
      </c>
      <c r="E508" s="3" t="str">
        <f ca="1">IFERROR(__xludf.DUMMYFUNCTION("""COMPUTED_VALUE"""),"Galaxy A")</f>
        <v>Galaxy A</v>
      </c>
      <c r="F508" s="3" t="str">
        <f ca="1">IFERROR(__xludf.DUMMYFUNCTION("""COMPUTED_VALUE"""),"Rachael")</f>
        <v>Rachael</v>
      </c>
      <c r="G508" s="3">
        <f ca="1">IFERROR(__xludf.DUMMYFUNCTION("""COMPUTED_VALUE"""),0)</f>
        <v>0</v>
      </c>
      <c r="H508" s="3" t="str">
        <f ca="1">IFERROR(__xludf.DUMMYFUNCTION("""COMPUTED_VALUE"""),"bicycle")</f>
        <v>bicycle</v>
      </c>
      <c r="I508" s="3" t="str">
        <f ca="1">IFERROR(__xludf.DUMMYFUNCTION("""COMPUTED_VALUE"""),"2055-06-06T23:50:15.406288Z")</f>
        <v>2055-06-06T23:50:15.406288Z</v>
      </c>
      <c r="J508" s="3" t="str">
        <f ca="1">IFERROR(__xludf.DUMMYFUNCTION("""COMPUTED_VALUE"""),"2055-06-07T00:39:10.48Z")</f>
        <v>2055-06-07T00:39:10.48Z</v>
      </c>
      <c r="K508" s="3" t="str">
        <f ca="1">IFERROR(__xludf.DUMMYFUNCTION("""COMPUTED_VALUE"""),"2055-06-07T00:19:31.48Z")</f>
        <v>2055-06-07T00:19:31.48Z</v>
      </c>
      <c r="L508" s="3">
        <f ca="1">IFERROR(__xludf.DUMMYFUNCTION("""COMPUTED_VALUE"""),1)</f>
        <v>1</v>
      </c>
      <c r="M508" s="3">
        <f ca="1">IFERROR(__xludf.DUMMYFUNCTION("""COMPUTED_VALUE"""),0)</f>
        <v>0</v>
      </c>
      <c r="N508" s="3" t="str">
        <f ca="1">IFERROR(__xludf.DUMMYFUNCTION("""COMPUTED_VALUE"""),"2055-06-07T00:17:56.59Z")</f>
        <v>2055-06-07T00:17:56.59Z</v>
      </c>
      <c r="O508" s="3" t="str">
        <f ca="1">IFERROR(__xludf.DUMMYFUNCTION("""COMPUTED_VALUE"""),"2055-06-07T00:25:45.830944Z")</f>
        <v>2055-06-07T00:25:45.830944Z</v>
      </c>
      <c r="P508" s="3" t="str">
        <f ca="1">IFERROR(__xludf.DUMMYFUNCTION("""COMPUTED_VALUE"""),"2055-06-06T23:59:15.2834Z")</f>
        <v>2055-06-06T23:59:15.2834Z</v>
      </c>
      <c r="Q508" s="3">
        <f ca="1">IFERROR(__xludf.DUMMYFUNCTION("""COMPUTED_VALUE"""),0)</f>
        <v>0</v>
      </c>
      <c r="R508" s="3" t="str">
        <f ca="1">IFERROR(__xludf.DUMMYFUNCTION("""COMPUTED_VALUE"""),"2055-06-06T23:59:22.703513Z")</f>
        <v>2055-06-06T23:59:22.703513Z</v>
      </c>
      <c r="S508" s="3" t="str">
        <f ca="1">IFERROR(__xludf.DUMMYFUNCTION("""COMPUTED_VALUE"""),"2055-06-07T00:16:37.668972Z")</f>
        <v>2055-06-07T00:16:37.668972Z</v>
      </c>
      <c r="T508" s="3"/>
      <c r="U508" s="4">
        <f ca="1">IFERROR(__xludf.DUMMYFUNCTION("""COMPUTED_VALUE"""),56771)</f>
        <v>56771</v>
      </c>
      <c r="V508" s="3">
        <f ca="1">IFERROR(__xludf.DUMMYFUNCTION("""COMPUTED_VALUE"""),4.3)</f>
        <v>4.3</v>
      </c>
      <c r="W508" s="3">
        <f ca="1">IFERROR(__xludf.DUMMYFUNCTION("""COMPUTED_VALUE"""),2500)</f>
        <v>2500</v>
      </c>
      <c r="X508" s="3">
        <f ca="1">IFERROR(__xludf.DUMMYFUNCTION("""COMPUTED_VALUE"""),1583)</f>
        <v>1583</v>
      </c>
      <c r="Y508" s="3">
        <f ca="1">IFERROR(__xludf.DUMMYFUNCTION("""COMPUTED_VALUE"""),1035)</f>
        <v>1035</v>
      </c>
      <c r="Z508" s="3">
        <f ca="1">IFERROR(__xludf.DUMMYFUNCTION("""COMPUTED_VALUE"""),79)</f>
        <v>79</v>
      </c>
      <c r="AA508" s="3">
        <f ca="1">IFERROR(__xludf.DUMMYFUNCTION("""COMPUTED_VALUE"""),469)</f>
        <v>469</v>
      </c>
      <c r="AB508" s="3">
        <f ca="1">IFERROR(__xludf.DUMMYFUNCTION("""COMPUTED_VALUE"""),0)</f>
        <v>0</v>
      </c>
      <c r="AC508" s="3">
        <f ca="1">IFERROR(__xludf.DUMMYFUNCTION("""COMPUTED_VALUE"""),2)</f>
        <v>2</v>
      </c>
      <c r="AD508" s="3" t="str">
        <f ca="1">IFERROR(__xludf.DUMMYFUNCTION("""COMPUTED_VALUE"""),"late")</f>
        <v>late</v>
      </c>
      <c r="AE508" s="3" t="str">
        <f ca="1">IFERROR(__xludf.DUMMYFUNCTION("""COMPUTED_VALUE"""),"2055-06-06T20:17:56.59Z")</f>
        <v>2055-06-06T20:17:56.59Z</v>
      </c>
      <c r="AF508" s="3" t="str">
        <f ca="1">IFERROR(__xludf.DUMMYFUNCTION("""COMPUTED_VALUE"""),"2055-06-06T20:25:45.830944Z")</f>
        <v>2055-06-06T20:25:45.830944Z</v>
      </c>
      <c r="AG508" s="3" t="str">
        <f ca="1">IFERROR(__xludf.DUMMYFUNCTION("""COMPUTED_VALUE"""),"2055-06-06T19:59:15.2834Z")</f>
        <v>2055-06-06T19:59:15.2834Z</v>
      </c>
      <c r="AH508" s="3" t="str">
        <f ca="1">IFERROR(__xludf.DUMMYFUNCTION("""COMPUTED_VALUE"""),"2055-06-06T20:16:37.668972Z")</f>
        <v>2055-06-06T20:16:37.668972Z</v>
      </c>
      <c r="AI508" s="3">
        <f ca="1">IFERROR(__xludf.DUMMYFUNCTION("""COMPUTED_VALUE"""),4.47)</f>
        <v>4.47</v>
      </c>
      <c r="AJ508" s="3">
        <f ca="1">IFERROR(__xludf.DUMMYFUNCTION("""COMPUTED_VALUE"""),78)</f>
        <v>78</v>
      </c>
      <c r="AK508" s="3">
        <f ca="1">IFERROR(__xludf.DUMMYFUNCTION("""COMPUTED_VALUE"""),278)</f>
        <v>278</v>
      </c>
      <c r="AL508" s="3">
        <f ca="1">IFERROR(__xludf.DUMMYFUNCTION("""COMPUTED_VALUE"""),26)</f>
        <v>26</v>
      </c>
    </row>
    <row r="509" spans="1:38" ht="13">
      <c r="A509" s="3">
        <f ca="1">IFERROR(__xludf.DUMMYFUNCTION("""COMPUTED_VALUE"""),838)</f>
        <v>838</v>
      </c>
      <c r="B509" s="3"/>
      <c r="C509" s="3">
        <f ca="1">IFERROR(__xludf.DUMMYFUNCTION("""COMPUTED_VALUE"""),4050)</f>
        <v>4050</v>
      </c>
      <c r="D509" s="3" t="str">
        <f ca="1">IFERROR(__xludf.DUMMYFUNCTION("""COMPUTED_VALUE"""),"Doorlanta")</f>
        <v>Doorlanta</v>
      </c>
      <c r="E509" s="3" t="str">
        <f ca="1">IFERROR(__xludf.DUMMYFUNCTION("""COMPUTED_VALUE"""),"Galaxy A")</f>
        <v>Galaxy A</v>
      </c>
      <c r="F509" s="3" t="str">
        <f ca="1">IFERROR(__xludf.DUMMYFUNCTION("""COMPUTED_VALUE"""),"Jarry")</f>
        <v>Jarry</v>
      </c>
      <c r="G509" s="3">
        <f ca="1">IFERROR(__xludf.DUMMYFUNCTION("""COMPUTED_VALUE"""),0)</f>
        <v>0</v>
      </c>
      <c r="H509" s="3" t="str">
        <f ca="1">IFERROR(__xludf.DUMMYFUNCTION("""COMPUTED_VALUE"""),"car")</f>
        <v>car</v>
      </c>
      <c r="I509" s="3" t="str">
        <f ca="1">IFERROR(__xludf.DUMMYFUNCTION("""COMPUTED_VALUE"""),"2055-06-07T16:03:00.741319Z")</f>
        <v>2055-06-07T16:03:00.741319Z</v>
      </c>
      <c r="J509" s="3" t="str">
        <f ca="1">IFERROR(__xludf.DUMMYFUNCTION("""COMPUTED_VALUE"""),"2055-06-07T16:58:00.827Z")</f>
        <v>2055-06-07T16:58:00.827Z</v>
      </c>
      <c r="K509" s="3" t="str">
        <f ca="1">IFERROR(__xludf.DUMMYFUNCTION("""COMPUTED_VALUE"""),"2055-06-07T16:36:20.827Z")</f>
        <v>2055-06-07T16:36:20.827Z</v>
      </c>
      <c r="L509" s="3">
        <f ca="1">IFERROR(__xludf.DUMMYFUNCTION("""COMPUTED_VALUE"""),1)</f>
        <v>1</v>
      </c>
      <c r="M509" s="3">
        <f ca="1">IFERROR(__xludf.DUMMYFUNCTION("""COMPUTED_VALUE"""),0)</f>
        <v>0</v>
      </c>
      <c r="N509" s="3" t="str">
        <f ca="1">IFERROR(__xludf.DUMMYFUNCTION("""COMPUTED_VALUE"""),"2055-06-07T16:44:23.17281Z")</f>
        <v>2055-06-07T16:44:23.17281Z</v>
      </c>
      <c r="O509" s="3" t="str">
        <f ca="1">IFERROR(__xludf.DUMMYFUNCTION("""COMPUTED_VALUE"""),"2055-06-07T16:52:47.207408Z")</f>
        <v>2055-06-07T16:52:47.207408Z</v>
      </c>
      <c r="P509" s="3" t="str">
        <f ca="1">IFERROR(__xludf.DUMMYFUNCTION("""COMPUTED_VALUE"""),"2055-06-07T16:04:07.322684Z")</f>
        <v>2055-06-07T16:04:07.322684Z</v>
      </c>
      <c r="Q509" s="3">
        <f ca="1">IFERROR(__xludf.DUMMYFUNCTION("""COMPUTED_VALUE"""),0)</f>
        <v>0</v>
      </c>
      <c r="R509" s="3" t="str">
        <f ca="1">IFERROR(__xludf.DUMMYFUNCTION("""COMPUTED_VALUE"""),"2055-06-07T16:04:29.988904Z")</f>
        <v>2055-06-07T16:04:29.988904Z</v>
      </c>
      <c r="S509" s="3" t="str">
        <f ca="1">IFERROR(__xludf.DUMMYFUNCTION("""COMPUTED_VALUE"""),"2055-06-07T16:14:59.927473Z")</f>
        <v>2055-06-07T16:14:59.927473Z</v>
      </c>
      <c r="T509" s="3"/>
      <c r="U509" s="4">
        <f ca="1">IFERROR(__xludf.DUMMYFUNCTION("""COMPUTED_VALUE"""),56772)</f>
        <v>56772</v>
      </c>
      <c r="V509" s="3">
        <f ca="1">IFERROR(__xludf.DUMMYFUNCTION("""COMPUTED_VALUE"""),4.4)</f>
        <v>4.4000000000000004</v>
      </c>
      <c r="W509" s="3">
        <f ca="1">IFERROR(__xludf.DUMMYFUNCTION("""COMPUTED_VALUE"""),2500)</f>
        <v>2500</v>
      </c>
      <c r="X509" s="3">
        <f ca="1">IFERROR(__xludf.DUMMYFUNCTION("""COMPUTED_VALUE"""),2898)</f>
        <v>2898</v>
      </c>
      <c r="Y509" s="3">
        <f ca="1">IFERROR(__xludf.DUMMYFUNCTION("""COMPUTED_VALUE"""),630)</f>
        <v>630</v>
      </c>
      <c r="Z509" s="3">
        <f ca="1">IFERROR(__xludf.DUMMYFUNCTION("""COMPUTED_VALUE"""),1764)</f>
        <v>1764</v>
      </c>
      <c r="AA509" s="3">
        <f ca="1">IFERROR(__xludf.DUMMYFUNCTION("""COMPUTED_VALUE"""),504)</f>
        <v>504</v>
      </c>
      <c r="AB509" s="3">
        <f ca="1">IFERROR(__xludf.DUMMYFUNCTION("""COMPUTED_VALUE"""),0)</f>
        <v>0</v>
      </c>
      <c r="AC509" s="3">
        <f ca="1">IFERROR(__xludf.DUMMYFUNCTION("""COMPUTED_VALUE"""),2)</f>
        <v>2</v>
      </c>
      <c r="AD509" s="3" t="str">
        <f ca="1">IFERROR(__xludf.DUMMYFUNCTION("""COMPUTED_VALUE"""),"early")</f>
        <v>early</v>
      </c>
      <c r="AE509" s="3" t="str">
        <f ca="1">IFERROR(__xludf.DUMMYFUNCTION("""COMPUTED_VALUE"""),"2055-06-07T12:44:23.17281Z")</f>
        <v>2055-06-07T12:44:23.17281Z</v>
      </c>
      <c r="AF509" s="3" t="str">
        <f ca="1">IFERROR(__xludf.DUMMYFUNCTION("""COMPUTED_VALUE"""),"2055-06-07T12:52:47.207408Z")</f>
        <v>2055-06-07T12:52:47.207408Z</v>
      </c>
      <c r="AG509" s="3" t="str">
        <f ca="1">IFERROR(__xludf.DUMMYFUNCTION("""COMPUTED_VALUE"""),"2055-06-07T12:04:07.322684Z")</f>
        <v>2055-06-07T12:04:07.322684Z</v>
      </c>
      <c r="AH509" s="3" t="str">
        <f ca="1">IFERROR(__xludf.DUMMYFUNCTION("""COMPUTED_VALUE"""),"2055-06-07T12:14:59.927473Z")</f>
        <v>2055-06-07T12:14:59.927473Z</v>
      </c>
      <c r="AI509" s="3">
        <f ca="1">IFERROR(__xludf.DUMMYFUNCTION("""COMPUTED_VALUE"""),4.720588235)</f>
        <v>4.7205882350000001</v>
      </c>
      <c r="AJ509" s="3">
        <f ca="1">IFERROR(__xludf.DUMMYFUNCTION("""COMPUTED_VALUE"""),59)</f>
        <v>59</v>
      </c>
      <c r="AK509" s="3">
        <f ca="1">IFERROR(__xludf.DUMMYFUNCTION("""COMPUTED_VALUE"""),198)</f>
        <v>198</v>
      </c>
      <c r="AL509" s="3">
        <f ca="1">IFERROR(__xludf.DUMMYFUNCTION("""COMPUTED_VALUE"""),82)</f>
        <v>82</v>
      </c>
    </row>
    <row r="510" spans="1:38" ht="13">
      <c r="A510" s="3">
        <f ca="1">IFERROR(__xludf.DUMMYFUNCTION("""COMPUTED_VALUE"""),901)</f>
        <v>901</v>
      </c>
      <c r="B510" s="3">
        <f ca="1">IFERROR(__xludf.DUMMYFUNCTION("""COMPUTED_VALUE"""),5)</f>
        <v>5</v>
      </c>
      <c r="C510" s="3">
        <f ca="1">IFERROR(__xludf.DUMMYFUNCTION("""COMPUTED_VALUE"""),4050)</f>
        <v>4050</v>
      </c>
      <c r="D510" s="3" t="str">
        <f ca="1">IFERROR(__xludf.DUMMYFUNCTION("""COMPUTED_VALUE"""),"Doorlanta")</f>
        <v>Doorlanta</v>
      </c>
      <c r="E510" s="3" t="str">
        <f ca="1">IFERROR(__xludf.DUMMYFUNCTION("""COMPUTED_VALUE"""),"Galaxy A")</f>
        <v>Galaxy A</v>
      </c>
      <c r="F510" s="3" t="str">
        <f ca="1">IFERROR(__xludf.DUMMYFUNCTION("""COMPUTED_VALUE"""),"Abhai")</f>
        <v>Abhai</v>
      </c>
      <c r="G510" s="3">
        <f ca="1">IFERROR(__xludf.DUMMYFUNCTION("""COMPUTED_VALUE"""),0)</f>
        <v>0</v>
      </c>
      <c r="H510" s="3" t="str">
        <f ca="1">IFERROR(__xludf.DUMMYFUNCTION("""COMPUTED_VALUE"""),"car")</f>
        <v>car</v>
      </c>
      <c r="I510" s="3" t="str">
        <f ca="1">IFERROR(__xludf.DUMMYFUNCTION("""COMPUTED_VALUE"""),"2055-06-08T00:13:07.491511Z")</f>
        <v>2055-06-08T00:13:07.491511Z</v>
      </c>
      <c r="J510" s="3" t="str">
        <f ca="1">IFERROR(__xludf.DUMMYFUNCTION("""COMPUTED_VALUE"""),"2055-06-08T01:01:17.567Z")</f>
        <v>2055-06-08T01:01:17.567Z</v>
      </c>
      <c r="K510" s="3" t="str">
        <f ca="1">IFERROR(__xludf.DUMMYFUNCTION("""COMPUTED_VALUE"""),"2055-06-08T00:56:10.567Z")</f>
        <v>2055-06-08T00:56:10.567Z</v>
      </c>
      <c r="L510" s="3">
        <f ca="1">IFERROR(__xludf.DUMMYFUNCTION("""COMPUTED_VALUE"""),1)</f>
        <v>1</v>
      </c>
      <c r="M510" s="3">
        <f ca="1">IFERROR(__xludf.DUMMYFUNCTION("""COMPUTED_VALUE"""),0)</f>
        <v>0</v>
      </c>
      <c r="N510" s="3" t="str">
        <f ca="1">IFERROR(__xludf.DUMMYFUNCTION("""COMPUTED_VALUE"""),"2055-06-08T00:25:44.442789Z")</f>
        <v>2055-06-08T00:25:44.442789Z</v>
      </c>
      <c r="O510" s="3" t="str">
        <f ca="1">IFERROR(__xludf.DUMMYFUNCTION("""COMPUTED_VALUE"""),"2055-06-08T00:45:48.400917Z")</f>
        <v>2055-06-08T00:45:48.400917Z</v>
      </c>
      <c r="P510" s="3" t="str">
        <f ca="1">IFERROR(__xludf.DUMMYFUNCTION("""COMPUTED_VALUE"""),"2055-06-08T00:13:27.429499Z")</f>
        <v>2055-06-08T00:13:27.429499Z</v>
      </c>
      <c r="Q510" s="3">
        <f ca="1">IFERROR(__xludf.DUMMYFUNCTION("""COMPUTED_VALUE"""),0)</f>
        <v>0</v>
      </c>
      <c r="R510" s="3" t="str">
        <f ca="1">IFERROR(__xludf.DUMMYFUNCTION("""COMPUTED_VALUE"""),"2055-06-08T00:13:34.675622Z")</f>
        <v>2055-06-08T00:13:34.675622Z</v>
      </c>
      <c r="S510" s="3" t="str">
        <f ca="1">IFERROR(__xludf.DUMMYFUNCTION("""COMPUTED_VALUE"""),"2055-06-08T00:15:43.262491Z")</f>
        <v>2055-06-08T00:15:43.262491Z</v>
      </c>
      <c r="T510" s="3"/>
      <c r="U510" s="4">
        <f ca="1">IFERROR(__xludf.DUMMYFUNCTION("""COMPUTED_VALUE"""),56772)</f>
        <v>56772</v>
      </c>
      <c r="V510" s="3">
        <f ca="1">IFERROR(__xludf.DUMMYFUNCTION("""COMPUTED_VALUE"""),4.8)</f>
        <v>4.8</v>
      </c>
      <c r="W510" s="3">
        <f ca="1">IFERROR(__xludf.DUMMYFUNCTION("""COMPUTED_VALUE"""),2500)</f>
        <v>2500</v>
      </c>
      <c r="X510" s="3">
        <f ca="1">IFERROR(__xludf.DUMMYFUNCTION("""COMPUTED_VALUE"""),1934)</f>
        <v>1934</v>
      </c>
      <c r="Y510" s="3">
        <f ca="1">IFERROR(__xludf.DUMMYFUNCTION("""COMPUTED_VALUE"""),129)</f>
        <v>129</v>
      </c>
      <c r="Z510" s="3">
        <f ca="1">IFERROR(__xludf.DUMMYFUNCTION("""COMPUTED_VALUE"""),601)</f>
        <v>601</v>
      </c>
      <c r="AA510" s="3">
        <f ca="1">IFERROR(__xludf.DUMMYFUNCTION("""COMPUTED_VALUE"""),1204)</f>
        <v>1204</v>
      </c>
      <c r="AB510" s="3">
        <f ca="1">IFERROR(__xludf.DUMMYFUNCTION("""COMPUTED_VALUE"""),0)</f>
        <v>0</v>
      </c>
      <c r="AC510" s="3">
        <f ca="1">IFERROR(__xludf.DUMMYFUNCTION("""COMPUTED_VALUE"""),4)</f>
        <v>4</v>
      </c>
      <c r="AD510" s="3" t="str">
        <f ca="1">IFERROR(__xludf.DUMMYFUNCTION("""COMPUTED_VALUE"""),"early")</f>
        <v>early</v>
      </c>
      <c r="AE510" s="3" t="str">
        <f ca="1">IFERROR(__xludf.DUMMYFUNCTION("""COMPUTED_VALUE"""),"2055-06-07T20:25:44.442789Z")</f>
        <v>2055-06-07T20:25:44.442789Z</v>
      </c>
      <c r="AF510" s="3" t="str">
        <f ca="1">IFERROR(__xludf.DUMMYFUNCTION("""COMPUTED_VALUE"""),"2055-06-07T20:45:48.400917Z")</f>
        <v>2055-06-07T20:45:48.400917Z</v>
      </c>
      <c r="AG510" s="3" t="str">
        <f ca="1">IFERROR(__xludf.DUMMYFUNCTION("""COMPUTED_VALUE"""),"2055-06-07T20:13:27.429499Z")</f>
        <v>2055-06-07T20:13:27.429499Z</v>
      </c>
      <c r="AH510" s="3" t="str">
        <f ca="1">IFERROR(__xludf.DUMMYFUNCTION("""COMPUTED_VALUE"""),"2055-06-07T20:15:43.262491Z")</f>
        <v>2055-06-07T20:15:43.262491Z</v>
      </c>
      <c r="AI510" s="3">
        <f ca="1">IFERROR(__xludf.DUMMYFUNCTION("""COMPUTED_VALUE"""),4.56)</f>
        <v>4.5599999999999996</v>
      </c>
      <c r="AJ510" s="3">
        <f ca="1">IFERROR(__xludf.DUMMYFUNCTION("""COMPUTED_VALUE"""),344)</f>
        <v>344</v>
      </c>
      <c r="AK510" s="3">
        <f ca="1">IFERROR(__xludf.DUMMYFUNCTION("""COMPUTED_VALUE"""),947)</f>
        <v>947</v>
      </c>
      <c r="AL510" s="3">
        <f ca="1">IFERROR(__xludf.DUMMYFUNCTION("""COMPUTED_VALUE"""),22)</f>
        <v>22</v>
      </c>
    </row>
    <row r="511" spans="1:38" ht="13">
      <c r="A511" s="3">
        <f ca="1">IFERROR(__xludf.DUMMYFUNCTION("""COMPUTED_VALUE"""),1127)</f>
        <v>1127</v>
      </c>
      <c r="B511" s="3">
        <f ca="1">IFERROR(__xludf.DUMMYFUNCTION("""COMPUTED_VALUE"""),5)</f>
        <v>5</v>
      </c>
      <c r="C511" s="3">
        <f ca="1">IFERROR(__xludf.DUMMYFUNCTION("""COMPUTED_VALUE"""),4001)</f>
        <v>4001</v>
      </c>
      <c r="D511" s="3" t="str">
        <f ca="1">IFERROR(__xludf.DUMMYFUNCTION("""COMPUTED_VALUE"""),"Dashattan")</f>
        <v>Dashattan</v>
      </c>
      <c r="E511" s="3" t="str">
        <f ca="1">IFERROR(__xludf.DUMMYFUNCTION("""COMPUTED_VALUE"""),"Galaxy A")</f>
        <v>Galaxy A</v>
      </c>
      <c r="F511" s="3" t="str">
        <f ca="1">IFERROR(__xludf.DUMMYFUNCTION("""COMPUTED_VALUE"""),"Rojan")</f>
        <v>Rojan</v>
      </c>
      <c r="G511" s="3">
        <f ca="1">IFERROR(__xludf.DUMMYFUNCTION("""COMPUTED_VALUE"""),0)</f>
        <v>0</v>
      </c>
      <c r="H511" s="3" t="str">
        <f ca="1">IFERROR(__xludf.DUMMYFUNCTION("""COMPUTED_VALUE"""),"bicycle")</f>
        <v>bicycle</v>
      </c>
      <c r="I511" s="3" t="str">
        <f ca="1">IFERROR(__xludf.DUMMYFUNCTION("""COMPUTED_VALUE"""),"2055-06-10T16:02:59.776408Z")</f>
        <v>2055-06-10T16:02:59.776408Z</v>
      </c>
      <c r="J511" s="3" t="str">
        <f ca="1">IFERROR(__xludf.DUMMYFUNCTION("""COMPUTED_VALUE"""),"2055-06-10T16:49:03.843Z")</f>
        <v>2055-06-10T16:49:03.843Z</v>
      </c>
      <c r="K511" s="3" t="str">
        <f ca="1">IFERROR(__xludf.DUMMYFUNCTION("""COMPUTED_VALUE"""),"2055-06-10T16:30:10.843Z")</f>
        <v>2055-06-10T16:30:10.843Z</v>
      </c>
      <c r="L511" s="3">
        <f ca="1">IFERROR(__xludf.DUMMYFUNCTION("""COMPUTED_VALUE"""),1)</f>
        <v>1</v>
      </c>
      <c r="M511" s="3">
        <f ca="1">IFERROR(__xludf.DUMMYFUNCTION("""COMPUTED_VALUE"""),0)</f>
        <v>0</v>
      </c>
      <c r="N511" s="3" t="str">
        <f ca="1">IFERROR(__xludf.DUMMYFUNCTION("""COMPUTED_VALUE"""),"2055-06-10T16:43:32.70298Z")</f>
        <v>2055-06-10T16:43:32.70298Z</v>
      </c>
      <c r="O511" s="3" t="str">
        <f ca="1">IFERROR(__xludf.DUMMYFUNCTION("""COMPUTED_VALUE"""),"2055-06-10T16:49:36.770995Z")</f>
        <v>2055-06-10T16:49:36.770995Z</v>
      </c>
      <c r="P511" s="3" t="str">
        <f ca="1">IFERROR(__xludf.DUMMYFUNCTION("""COMPUTED_VALUE"""),"2055-06-10T16:03:14.115197Z")</f>
        <v>2055-06-10T16:03:14.115197Z</v>
      </c>
      <c r="Q511" s="3">
        <f ca="1">IFERROR(__xludf.DUMMYFUNCTION("""COMPUTED_VALUE"""),0)</f>
        <v>0</v>
      </c>
      <c r="R511" s="3" t="str">
        <f ca="1">IFERROR(__xludf.DUMMYFUNCTION("""COMPUTED_VALUE"""),"2055-06-10T16:03:38.387693Z")</f>
        <v>2055-06-10T16:03:38.387693Z</v>
      </c>
      <c r="S511" s="3" t="str">
        <f ca="1">IFERROR(__xludf.DUMMYFUNCTION("""COMPUTED_VALUE"""),"2055-06-10T16:09:50.641912Z")</f>
        <v>2055-06-10T16:09:50.641912Z</v>
      </c>
      <c r="T511" s="3"/>
      <c r="U511" s="4">
        <f ca="1">IFERROR(__xludf.DUMMYFUNCTION("""COMPUTED_VALUE"""),56775)</f>
        <v>56775</v>
      </c>
      <c r="V511" s="3">
        <f ca="1">IFERROR(__xludf.DUMMYFUNCTION("""COMPUTED_VALUE"""),3.979211633)</f>
        <v>3.9792116329999998</v>
      </c>
      <c r="W511" s="3">
        <f ca="1">IFERROR(__xludf.DUMMYFUNCTION("""COMPUTED_VALUE"""),2500)</f>
        <v>2500</v>
      </c>
      <c r="X511" s="3">
        <f ca="1">IFERROR(__xludf.DUMMYFUNCTION("""COMPUTED_VALUE"""),2758)</f>
        <v>2758</v>
      </c>
      <c r="Y511" s="3">
        <f ca="1">IFERROR(__xludf.DUMMYFUNCTION("""COMPUTED_VALUE"""),372)</f>
        <v>372</v>
      </c>
      <c r="Z511" s="3">
        <f ca="1">IFERROR(__xludf.DUMMYFUNCTION("""COMPUTED_VALUE"""),2022)</f>
        <v>2022</v>
      </c>
      <c r="AA511" s="3">
        <f ca="1">IFERROR(__xludf.DUMMYFUNCTION("""COMPUTED_VALUE"""),364)</f>
        <v>364</v>
      </c>
      <c r="AB511" s="3">
        <f ca="1">IFERROR(__xludf.DUMMYFUNCTION("""COMPUTED_VALUE"""),1)</f>
        <v>1</v>
      </c>
      <c r="AC511" s="3">
        <f ca="1">IFERROR(__xludf.DUMMYFUNCTION("""COMPUTED_VALUE"""),2)</f>
        <v>2</v>
      </c>
      <c r="AD511" s="3"/>
      <c r="AE511" s="3" t="str">
        <f ca="1">IFERROR(__xludf.DUMMYFUNCTION("""COMPUTED_VALUE"""),"2055-06-10T12:43:32.70298Z")</f>
        <v>2055-06-10T12:43:32.70298Z</v>
      </c>
      <c r="AF511" s="3" t="str">
        <f ca="1">IFERROR(__xludf.DUMMYFUNCTION("""COMPUTED_VALUE"""),"2055-06-10T12:49:36.770995Z")</f>
        <v>2055-06-10T12:49:36.770995Z</v>
      </c>
      <c r="AG511" s="3" t="str">
        <f ca="1">IFERROR(__xludf.DUMMYFUNCTION("""COMPUTED_VALUE"""),"2055-06-10T12:03:14.115197Z")</f>
        <v>2055-06-10T12:03:14.115197Z</v>
      </c>
      <c r="AH511" s="3" t="str">
        <f ca="1">IFERROR(__xludf.DUMMYFUNCTION("""COMPUTED_VALUE"""),"2055-06-10T12:09:50.641912Z")</f>
        <v>2055-06-10T12:09:50.641912Z</v>
      </c>
      <c r="AI511" s="3">
        <f ca="1">IFERROR(__xludf.DUMMYFUNCTION("""COMPUTED_VALUE"""),4.58)</f>
        <v>4.58</v>
      </c>
      <c r="AJ511" s="3">
        <f ca="1">IFERROR(__xludf.DUMMYFUNCTION("""COMPUTED_VALUE"""),254)</f>
        <v>254</v>
      </c>
      <c r="AK511" s="3">
        <f ca="1">IFERROR(__xludf.DUMMYFUNCTION("""COMPUTED_VALUE"""),788)</f>
        <v>788</v>
      </c>
      <c r="AL511" s="3">
        <f ca="1">IFERROR(__xludf.DUMMYFUNCTION("""COMPUTED_VALUE"""),9)</f>
        <v>9</v>
      </c>
    </row>
    <row r="512" spans="1:38" ht="13">
      <c r="A512" s="3">
        <f ca="1">IFERROR(__xludf.DUMMYFUNCTION("""COMPUTED_VALUE"""),1136)</f>
        <v>1136</v>
      </c>
      <c r="B512" s="3"/>
      <c r="C512" s="3">
        <f ca="1">IFERROR(__xludf.DUMMYFUNCTION("""COMPUTED_VALUE"""),4001)</f>
        <v>4001</v>
      </c>
      <c r="D512" s="3" t="str">
        <f ca="1">IFERROR(__xludf.DUMMYFUNCTION("""COMPUTED_VALUE"""),"Dashattan")</f>
        <v>Dashattan</v>
      </c>
      <c r="E512" s="3" t="str">
        <f ca="1">IFERROR(__xludf.DUMMYFUNCTION("""COMPUTED_VALUE"""),"Galaxy A")</f>
        <v>Galaxy A</v>
      </c>
      <c r="F512" s="3" t="str">
        <f ca="1">IFERROR(__xludf.DUMMYFUNCTION("""COMPUTED_VALUE"""),"J")</f>
        <v>J</v>
      </c>
      <c r="G512" s="3">
        <f ca="1">IFERROR(__xludf.DUMMYFUNCTION("""COMPUTED_VALUE"""),0)</f>
        <v>0</v>
      </c>
      <c r="H512" s="3" t="str">
        <f ca="1">IFERROR(__xludf.DUMMYFUNCTION("""COMPUTED_VALUE"""),"bicycle")</f>
        <v>bicycle</v>
      </c>
      <c r="I512" s="3" t="str">
        <f ca="1">IFERROR(__xludf.DUMMYFUNCTION("""COMPUTED_VALUE"""),"2055-06-10T16:28:35.88286Z")</f>
        <v>2055-06-10T16:28:35.88286Z</v>
      </c>
      <c r="J512" s="3" t="str">
        <f ca="1">IFERROR(__xludf.DUMMYFUNCTION("""COMPUTED_VALUE"""),"2055-06-10T17:10:42.939Z")</f>
        <v>2055-06-10T17:10:42.939Z</v>
      </c>
      <c r="K512" s="3" t="str">
        <f ca="1">IFERROR(__xludf.DUMMYFUNCTION("""COMPUTED_VALUE"""),"2055-06-10T17:06:03.939Z")</f>
        <v>2055-06-10T17:06:03.939Z</v>
      </c>
      <c r="L512" s="3">
        <f ca="1">IFERROR(__xludf.DUMMYFUNCTION("""COMPUTED_VALUE"""),1)</f>
        <v>1</v>
      </c>
      <c r="M512" s="3">
        <f ca="1">IFERROR(__xludf.DUMMYFUNCTION("""COMPUTED_VALUE"""),0)</f>
        <v>0</v>
      </c>
      <c r="N512" s="3" t="str">
        <f ca="1">IFERROR(__xludf.DUMMYFUNCTION("""COMPUTED_VALUE"""),"2055-06-10T16:46:17.310582Z")</f>
        <v>2055-06-10T16:46:17.310582Z</v>
      </c>
      <c r="O512" s="3" t="str">
        <f ca="1">IFERROR(__xludf.DUMMYFUNCTION("""COMPUTED_VALUE"""),"2055-06-10T17:06:12.651687Z")</f>
        <v>2055-06-10T17:06:12.651687Z</v>
      </c>
      <c r="P512" s="3" t="str">
        <f ca="1">IFERROR(__xludf.DUMMYFUNCTION("""COMPUTED_VALUE"""),"2055-06-10T16:33:14.451351Z")</f>
        <v>2055-06-10T16:33:14.451351Z</v>
      </c>
      <c r="Q512" s="3">
        <f ca="1">IFERROR(__xludf.DUMMYFUNCTION("""COMPUTED_VALUE"""),0)</f>
        <v>0</v>
      </c>
      <c r="R512" s="3" t="str">
        <f ca="1">IFERROR(__xludf.DUMMYFUNCTION("""COMPUTED_VALUE"""),"2055-06-10T16:33:58.86698Z")</f>
        <v>2055-06-10T16:33:58.86698Z</v>
      </c>
      <c r="S512" s="3" t="str">
        <f ca="1">IFERROR(__xludf.DUMMYFUNCTION("""COMPUTED_VALUE"""),"2055-06-10T16:44:12.032663Z")</f>
        <v>2055-06-10T16:44:12.032663Z</v>
      </c>
      <c r="T512" s="3"/>
      <c r="U512" s="4">
        <f ca="1">IFERROR(__xludf.DUMMYFUNCTION("""COMPUTED_VALUE"""),56775)</f>
        <v>56775</v>
      </c>
      <c r="V512" s="3">
        <f ca="1">IFERROR(__xludf.DUMMYFUNCTION("""COMPUTED_VALUE"""),3.745852985)</f>
        <v>3.745852985</v>
      </c>
      <c r="W512" s="3">
        <f ca="1">IFERROR(__xludf.DUMMYFUNCTION("""COMPUTED_VALUE"""),2500)</f>
        <v>2500</v>
      </c>
      <c r="X512" s="3">
        <f ca="1">IFERROR(__xludf.DUMMYFUNCTION("""COMPUTED_VALUE"""),1934)</f>
        <v>1934</v>
      </c>
      <c r="Y512" s="3">
        <f ca="1">IFERROR(__xludf.DUMMYFUNCTION("""COMPUTED_VALUE"""),614)</f>
        <v>614</v>
      </c>
      <c r="Z512" s="3">
        <f ca="1">IFERROR(__xludf.DUMMYFUNCTION("""COMPUTED_VALUE"""),125)</f>
        <v>125</v>
      </c>
      <c r="AA512" s="3">
        <f ca="1">IFERROR(__xludf.DUMMYFUNCTION("""COMPUTED_VALUE"""),1195)</f>
        <v>1195</v>
      </c>
      <c r="AB512" s="3">
        <f ca="1">IFERROR(__xludf.DUMMYFUNCTION("""COMPUTED_VALUE"""),0)</f>
        <v>0</v>
      </c>
      <c r="AC512" s="3">
        <f ca="1">IFERROR(__xludf.DUMMYFUNCTION("""COMPUTED_VALUE"""),3)</f>
        <v>3</v>
      </c>
      <c r="AD512" s="3" t="str">
        <f ca="1">IFERROR(__xludf.DUMMYFUNCTION("""COMPUTED_VALUE"""),"on time")</f>
        <v>on time</v>
      </c>
      <c r="AE512" s="3" t="str">
        <f ca="1">IFERROR(__xludf.DUMMYFUNCTION("""COMPUTED_VALUE"""),"2055-06-10T12:46:17.310582Z")</f>
        <v>2055-06-10T12:46:17.310582Z</v>
      </c>
      <c r="AF512" s="3" t="str">
        <f ca="1">IFERROR(__xludf.DUMMYFUNCTION("""COMPUTED_VALUE"""),"2055-06-10T13:06:12.651687Z")</f>
        <v>2055-06-10T13:06:12.651687Z</v>
      </c>
      <c r="AG512" s="3" t="str">
        <f ca="1">IFERROR(__xludf.DUMMYFUNCTION("""COMPUTED_VALUE"""),"2055-06-10T12:33:14.451351Z")</f>
        <v>2055-06-10T12:33:14.451351Z</v>
      </c>
      <c r="AH512" s="3" t="str">
        <f ca="1">IFERROR(__xludf.DUMMYFUNCTION("""COMPUTED_VALUE"""),"2055-06-10T12:44:12.032663Z")</f>
        <v>2055-06-10T12:44:12.032663Z</v>
      </c>
      <c r="AI512" s="3">
        <f ca="1">IFERROR(__xludf.DUMMYFUNCTION("""COMPUTED_VALUE"""),4.6)</f>
        <v>4.5999999999999996</v>
      </c>
      <c r="AJ512" s="3">
        <f ca="1">IFERROR(__xludf.DUMMYFUNCTION("""COMPUTED_VALUE"""),292)</f>
        <v>292</v>
      </c>
      <c r="AK512" s="3">
        <f ca="1">IFERROR(__xludf.DUMMYFUNCTION("""COMPUTED_VALUE"""),1027)</f>
        <v>1027</v>
      </c>
      <c r="AL512" s="3">
        <f ca="1">IFERROR(__xludf.DUMMYFUNCTION("""COMPUTED_VALUE"""),26)</f>
        <v>26</v>
      </c>
    </row>
    <row r="513" spans="1:38" ht="13">
      <c r="A513" s="3">
        <f ca="1">IFERROR(__xludf.DUMMYFUNCTION("""COMPUTED_VALUE"""),1415)</f>
        <v>1415</v>
      </c>
      <c r="B513" s="3"/>
      <c r="C513" s="3">
        <f ca="1">IFERROR(__xludf.DUMMYFUNCTION("""COMPUTED_VALUE"""),4001)</f>
        <v>4001</v>
      </c>
      <c r="D513" s="3" t="str">
        <f ca="1">IFERROR(__xludf.DUMMYFUNCTION("""COMPUTED_VALUE"""),"Dashattan")</f>
        <v>Dashattan</v>
      </c>
      <c r="E513" s="3" t="str">
        <f ca="1">IFERROR(__xludf.DUMMYFUNCTION("""COMPUTED_VALUE"""),"Galaxy A")</f>
        <v>Galaxy A</v>
      </c>
      <c r="F513" s="3" t="str">
        <f ca="1">IFERROR(__xludf.DUMMYFUNCTION("""COMPUTED_VALUE"""),"Mike")</f>
        <v>Mike</v>
      </c>
      <c r="G513" s="3">
        <f ca="1">IFERROR(__xludf.DUMMYFUNCTION("""COMPUTED_VALUE"""),0)</f>
        <v>0</v>
      </c>
      <c r="H513" s="3" t="str">
        <f ca="1">IFERROR(__xludf.DUMMYFUNCTION("""COMPUTED_VALUE"""),"bicycle")</f>
        <v>bicycle</v>
      </c>
      <c r="I513" s="3" t="str">
        <f ca="1">IFERROR(__xludf.DUMMYFUNCTION("""COMPUTED_VALUE"""),"2055-06-12T17:37:19.165485Z")</f>
        <v>2055-06-12T17:37:19.165485Z</v>
      </c>
      <c r="J513" s="3" t="str">
        <f ca="1">IFERROR(__xludf.DUMMYFUNCTION("""COMPUTED_VALUE"""),"2055-06-12T18:23:31.219Z")</f>
        <v>2055-06-12T18:23:31.219Z</v>
      </c>
      <c r="K513" s="3" t="str">
        <f ca="1">IFERROR(__xludf.DUMMYFUNCTION("""COMPUTED_VALUE"""),"2055-06-12T18:04:38.219Z")</f>
        <v>2055-06-12T18:04:38.219Z</v>
      </c>
      <c r="L513" s="3">
        <f ca="1">IFERROR(__xludf.DUMMYFUNCTION("""COMPUTED_VALUE"""),1)</f>
        <v>1</v>
      </c>
      <c r="M513" s="3">
        <f ca="1">IFERROR(__xludf.DUMMYFUNCTION("""COMPUTED_VALUE"""),0)</f>
        <v>0</v>
      </c>
      <c r="N513" s="3" t="str">
        <f ca="1">IFERROR(__xludf.DUMMYFUNCTION("""COMPUTED_VALUE"""),"2055-06-12T17:55:27.215395Z")</f>
        <v>2055-06-12T17:55:27.215395Z</v>
      </c>
      <c r="O513" s="3" t="str">
        <f ca="1">IFERROR(__xludf.DUMMYFUNCTION("""COMPUTED_VALUE"""),"2055-06-12T18:15:32.585307Z")</f>
        <v>2055-06-12T18:15:32.585307Z</v>
      </c>
      <c r="P513" s="3" t="str">
        <f ca="1">IFERROR(__xludf.DUMMYFUNCTION("""COMPUTED_VALUE"""),"2055-06-12T17:44:14.490792Z")</f>
        <v>2055-06-12T17:44:14.490792Z</v>
      </c>
      <c r="Q513" s="3">
        <f ca="1">IFERROR(__xludf.DUMMYFUNCTION("""COMPUTED_VALUE"""),0)</f>
        <v>0</v>
      </c>
      <c r="R513" s="3" t="str">
        <f ca="1">IFERROR(__xludf.DUMMYFUNCTION("""COMPUTED_VALUE"""),"2055-06-12T17:44:20.758807Z")</f>
        <v>2055-06-12T17:44:20.758807Z</v>
      </c>
      <c r="S513" s="3" t="str">
        <f ca="1">IFERROR(__xludf.DUMMYFUNCTION("""COMPUTED_VALUE"""),"2055-06-12T17:51:30.599632Z")</f>
        <v>2055-06-12T17:51:30.599632Z</v>
      </c>
      <c r="T513" s="3"/>
      <c r="U513" s="4">
        <f ca="1">IFERROR(__xludf.DUMMYFUNCTION("""COMPUTED_VALUE"""),56777)</f>
        <v>56777</v>
      </c>
      <c r="V513" s="3">
        <f ca="1">IFERROR(__xludf.DUMMYFUNCTION("""COMPUTED_VALUE"""),4.061921099)</f>
        <v>4.0619210990000001</v>
      </c>
      <c r="W513" s="3">
        <f ca="1">IFERROR(__xludf.DUMMYFUNCTION("""COMPUTED_VALUE"""),2500)</f>
        <v>2500</v>
      </c>
      <c r="X513" s="3">
        <f ca="1">IFERROR(__xludf.DUMMYFUNCTION("""COMPUTED_VALUE"""),1872)</f>
        <v>1872</v>
      </c>
      <c r="Y513" s="3">
        <f ca="1">IFERROR(__xludf.DUMMYFUNCTION("""COMPUTED_VALUE"""),430)</f>
        <v>430</v>
      </c>
      <c r="Z513" s="3">
        <f ca="1">IFERROR(__xludf.DUMMYFUNCTION("""COMPUTED_VALUE"""),237)</f>
        <v>237</v>
      </c>
      <c r="AA513" s="3">
        <f ca="1">IFERROR(__xludf.DUMMYFUNCTION("""COMPUTED_VALUE"""),1205)</f>
        <v>1205</v>
      </c>
      <c r="AB513" s="3">
        <f ca="1">IFERROR(__xludf.DUMMYFUNCTION("""COMPUTED_VALUE"""),0)</f>
        <v>0</v>
      </c>
      <c r="AC513" s="3">
        <f ca="1">IFERROR(__xludf.DUMMYFUNCTION("""COMPUTED_VALUE"""),2)</f>
        <v>2</v>
      </c>
      <c r="AD513" s="3" t="str">
        <f ca="1">IFERROR(__xludf.DUMMYFUNCTION("""COMPUTED_VALUE"""),"on time")</f>
        <v>on time</v>
      </c>
      <c r="AE513" s="3" t="str">
        <f ca="1">IFERROR(__xludf.DUMMYFUNCTION("""COMPUTED_VALUE"""),"2055-06-12T13:55:27.215395Z")</f>
        <v>2055-06-12T13:55:27.215395Z</v>
      </c>
      <c r="AF513" s="3" t="str">
        <f ca="1">IFERROR(__xludf.DUMMYFUNCTION("""COMPUTED_VALUE"""),"2055-06-12T14:15:32.585307Z")</f>
        <v>2055-06-12T14:15:32.585307Z</v>
      </c>
      <c r="AG513" s="3" t="str">
        <f ca="1">IFERROR(__xludf.DUMMYFUNCTION("""COMPUTED_VALUE"""),"2055-06-12T13:44:14.490792Z")</f>
        <v>2055-06-12T13:44:14.490792Z</v>
      </c>
      <c r="AH513" s="3" t="str">
        <f ca="1">IFERROR(__xludf.DUMMYFUNCTION("""COMPUTED_VALUE"""),"2055-06-12T13:51:30.599632Z")</f>
        <v>2055-06-12T13:51:30.599632Z</v>
      </c>
      <c r="AI513" s="3">
        <f ca="1">IFERROR(__xludf.DUMMYFUNCTION("""COMPUTED_VALUE"""),4.63)</f>
        <v>4.63</v>
      </c>
      <c r="AJ513" s="3">
        <f ca="1">IFERROR(__xludf.DUMMYFUNCTION("""COMPUTED_VALUE"""),242)</f>
        <v>242</v>
      </c>
      <c r="AK513" s="3">
        <f ca="1">IFERROR(__xludf.DUMMYFUNCTION("""COMPUTED_VALUE"""),736)</f>
        <v>736</v>
      </c>
      <c r="AL513" s="3"/>
    </row>
    <row r="514" spans="1:38" ht="13">
      <c r="A514" s="3">
        <f ca="1">IFERROR(__xludf.DUMMYFUNCTION("""COMPUTED_VALUE"""),41)</f>
        <v>41</v>
      </c>
      <c r="B514" s="3">
        <f ca="1">IFERROR(__xludf.DUMMYFUNCTION("""COMPUTED_VALUE"""),5)</f>
        <v>5</v>
      </c>
      <c r="C514" s="3">
        <f ca="1">IFERROR(__xludf.DUMMYFUNCTION("""COMPUTED_VALUE"""),4050)</f>
        <v>4050</v>
      </c>
      <c r="D514" s="3" t="str">
        <f ca="1">IFERROR(__xludf.DUMMYFUNCTION("""COMPUTED_VALUE"""),"Doorlanta")</f>
        <v>Doorlanta</v>
      </c>
      <c r="E514" s="3" t="str">
        <f ca="1">IFERROR(__xludf.DUMMYFUNCTION("""COMPUTED_VALUE"""),"Galaxy A")</f>
        <v>Galaxy A</v>
      </c>
      <c r="F514" s="3" t="str">
        <f ca="1">IFERROR(__xludf.DUMMYFUNCTION("""COMPUTED_VALUE"""),"Hersh")</f>
        <v>Hersh</v>
      </c>
      <c r="G514" s="3">
        <f ca="1">IFERROR(__xludf.DUMMYFUNCTION("""COMPUTED_VALUE"""),0)</f>
        <v>0</v>
      </c>
      <c r="H514" s="3" t="str">
        <f ca="1">IFERROR(__xludf.DUMMYFUNCTION("""COMPUTED_VALUE"""),"car")</f>
        <v>car</v>
      </c>
      <c r="I514" s="3" t="str">
        <f ca="1">IFERROR(__xludf.DUMMYFUNCTION("""COMPUTED_VALUE"""),"2055-06-01T21:22:17.768222Z")</f>
        <v>2055-06-01T21:22:17.768222Z</v>
      </c>
      <c r="J514" s="3" t="str">
        <f ca="1">IFERROR(__xludf.DUMMYFUNCTION("""COMPUTED_VALUE"""),"2055-06-01T22:30:14.842Z")</f>
        <v>2055-06-01T22:30:14.842Z</v>
      </c>
      <c r="K514" s="3" t="str">
        <f ca="1">IFERROR(__xludf.DUMMYFUNCTION("""COMPUTED_VALUE"""),"2055-06-01T22:08:20.842Z")</f>
        <v>2055-06-01T22:08:20.842Z</v>
      </c>
      <c r="L514" s="3">
        <f ca="1">IFERROR(__xludf.DUMMYFUNCTION("""COMPUTED_VALUE"""),1)</f>
        <v>1</v>
      </c>
      <c r="M514" s="3">
        <f ca="1">IFERROR(__xludf.DUMMYFUNCTION("""COMPUTED_VALUE"""),0)</f>
        <v>0</v>
      </c>
      <c r="N514" s="3" t="str">
        <f ca="1">IFERROR(__xludf.DUMMYFUNCTION("""COMPUTED_VALUE"""),"2055-06-01T21:52:12.236512Z")</f>
        <v>2055-06-01T21:52:12.236512Z</v>
      </c>
      <c r="O514" s="3" t="str">
        <f ca="1">IFERROR(__xludf.DUMMYFUNCTION("""COMPUTED_VALUE"""),"2055-06-01T22:19:36.836192Z")</f>
        <v>2055-06-01T22:19:36.836192Z</v>
      </c>
      <c r="P514" s="3" t="str">
        <f ca="1">IFERROR(__xludf.DUMMYFUNCTION("""COMPUTED_VALUE"""),"2055-06-01T21:26:47.319767Z")</f>
        <v>2055-06-01T21:26:47.319767Z</v>
      </c>
      <c r="Q514" s="3">
        <f ca="1">IFERROR(__xludf.DUMMYFUNCTION("""COMPUTED_VALUE"""),0)</f>
        <v>0</v>
      </c>
      <c r="R514" s="3" t="str">
        <f ca="1">IFERROR(__xludf.DUMMYFUNCTION("""COMPUTED_VALUE"""),"2055-06-01T21:26:52.638166Z")</f>
        <v>2055-06-01T21:26:52.638166Z</v>
      </c>
      <c r="S514" s="3" t="str">
        <f ca="1">IFERROR(__xludf.DUMMYFUNCTION("""COMPUTED_VALUE"""),"2055-06-01T21:42:00.270957Z")</f>
        <v>2055-06-01T21:42:00.270957Z</v>
      </c>
      <c r="T514" s="3"/>
      <c r="U514" s="4">
        <f ca="1">IFERROR(__xludf.DUMMYFUNCTION("""COMPUTED_VALUE"""),56766)</f>
        <v>56766</v>
      </c>
      <c r="V514" s="3">
        <f ca="1">IFERROR(__xludf.DUMMYFUNCTION("""COMPUTED_VALUE"""),4.3)</f>
        <v>4.3</v>
      </c>
      <c r="W514" s="3">
        <f ca="1">IFERROR(__xludf.DUMMYFUNCTION("""COMPUTED_VALUE"""),2500)</f>
        <v>2500</v>
      </c>
      <c r="X514" s="3">
        <f ca="1">IFERROR(__xludf.DUMMYFUNCTION("""COMPUTED_VALUE"""),3164)</f>
        <v>3164</v>
      </c>
      <c r="Y514" s="3">
        <f ca="1">IFERROR(__xludf.DUMMYFUNCTION("""COMPUTED_VALUE"""),908)</f>
        <v>908</v>
      </c>
      <c r="Z514" s="3">
        <f ca="1">IFERROR(__xludf.DUMMYFUNCTION("""COMPUTED_VALUE"""),612)</f>
        <v>612</v>
      </c>
      <c r="AA514" s="3">
        <f ca="1">IFERROR(__xludf.DUMMYFUNCTION("""COMPUTED_VALUE"""),1644)</f>
        <v>1644</v>
      </c>
      <c r="AB514" s="3">
        <f ca="1">IFERROR(__xludf.DUMMYFUNCTION("""COMPUTED_VALUE"""),0)</f>
        <v>0</v>
      </c>
      <c r="AC514" s="3">
        <f ca="1">IFERROR(__xludf.DUMMYFUNCTION("""COMPUTED_VALUE"""),3)</f>
        <v>3</v>
      </c>
      <c r="AD514" s="3" t="str">
        <f ca="1">IFERROR(__xludf.DUMMYFUNCTION("""COMPUTED_VALUE"""),"late")</f>
        <v>late</v>
      </c>
      <c r="AE514" s="3" t="str">
        <f ca="1">IFERROR(__xludf.DUMMYFUNCTION("""COMPUTED_VALUE"""),"2055-06-01T17:52:12.236512Z")</f>
        <v>2055-06-01T17:52:12.236512Z</v>
      </c>
      <c r="AF514" s="3" t="str">
        <f ca="1">IFERROR(__xludf.DUMMYFUNCTION("""COMPUTED_VALUE"""),"2055-06-01T18:19:36.836192Z")</f>
        <v>2055-06-01T18:19:36.836192Z</v>
      </c>
      <c r="AG514" s="3" t="str">
        <f ca="1">IFERROR(__xludf.DUMMYFUNCTION("""COMPUTED_VALUE"""),"2055-06-01T17:26:47.319767Z")</f>
        <v>2055-06-01T17:26:47.319767Z</v>
      </c>
      <c r="AH514" s="3" t="str">
        <f ca="1">IFERROR(__xludf.DUMMYFUNCTION("""COMPUTED_VALUE"""),"2055-06-01T17:42:00.270957Z")</f>
        <v>2055-06-01T17:42:00.270957Z</v>
      </c>
      <c r="AI514" s="3">
        <f ca="1">IFERROR(__xludf.DUMMYFUNCTION("""COMPUTED_VALUE"""),4.7)</f>
        <v>4.7</v>
      </c>
      <c r="AJ514" s="3">
        <f ca="1">IFERROR(__xludf.DUMMYFUNCTION("""COMPUTED_VALUE"""),212)</f>
        <v>212</v>
      </c>
      <c r="AK514" s="3">
        <f ca="1">IFERROR(__xludf.DUMMYFUNCTION("""COMPUTED_VALUE"""),624)</f>
        <v>624</v>
      </c>
      <c r="AL514" s="3">
        <f ca="1">IFERROR(__xludf.DUMMYFUNCTION("""COMPUTED_VALUE"""),347)</f>
        <v>347</v>
      </c>
    </row>
    <row r="515" spans="1:38" ht="13">
      <c r="A515" s="3">
        <f ca="1">IFERROR(__xludf.DUMMYFUNCTION("""COMPUTED_VALUE"""),729)</f>
        <v>729</v>
      </c>
      <c r="B515" s="3"/>
      <c r="C515" s="3">
        <f ca="1">IFERROR(__xludf.DUMMYFUNCTION("""COMPUTED_VALUE"""),4050)</f>
        <v>4050</v>
      </c>
      <c r="D515" s="3" t="str">
        <f ca="1">IFERROR(__xludf.DUMMYFUNCTION("""COMPUTED_VALUE"""),"Doorlanta")</f>
        <v>Doorlanta</v>
      </c>
      <c r="E515" s="3" t="str">
        <f ca="1">IFERROR(__xludf.DUMMYFUNCTION("""COMPUTED_VALUE"""),"Galaxy A")</f>
        <v>Galaxy A</v>
      </c>
      <c r="F515" s="3" t="str">
        <f ca="1">IFERROR(__xludf.DUMMYFUNCTION("""COMPUTED_VALUE"""),"Jarry")</f>
        <v>Jarry</v>
      </c>
      <c r="G515" s="3">
        <f ca="1">IFERROR(__xludf.DUMMYFUNCTION("""COMPUTED_VALUE"""),1)</f>
        <v>1</v>
      </c>
      <c r="H515" s="3" t="str">
        <f ca="1">IFERROR(__xludf.DUMMYFUNCTION("""COMPUTED_VALUE"""),"car")</f>
        <v>car</v>
      </c>
      <c r="I515" s="3" t="str">
        <f ca="1">IFERROR(__xludf.DUMMYFUNCTION("""COMPUTED_VALUE"""),"2055-06-06T15:33:10.693884Z")</f>
        <v>2055-06-06T15:33:10.693884Z</v>
      </c>
      <c r="J515" s="3" t="str">
        <f ca="1">IFERROR(__xludf.DUMMYFUNCTION("""COMPUTED_VALUE"""),"2055-06-06T16:32:05.772Z")</f>
        <v>2055-06-06T16:32:05.772Z</v>
      </c>
      <c r="K515" s="3" t="str">
        <f ca="1">IFERROR(__xludf.DUMMYFUNCTION("""COMPUTED_VALUE"""),"2055-06-06T16:13:12.772Z")</f>
        <v>2055-06-06T16:13:12.772Z</v>
      </c>
      <c r="L515" s="3">
        <f ca="1">IFERROR(__xludf.DUMMYFUNCTION("""COMPUTED_VALUE"""),1)</f>
        <v>1</v>
      </c>
      <c r="M515" s="3">
        <f ca="1">IFERROR(__xludf.DUMMYFUNCTION("""COMPUTED_VALUE"""),0)</f>
        <v>0</v>
      </c>
      <c r="N515" s="3" t="str">
        <f ca="1">IFERROR(__xludf.DUMMYFUNCTION("""COMPUTED_VALUE"""),"2055-06-06T16:01:34.742112Z")</f>
        <v>2055-06-06T16:01:34.742112Z</v>
      </c>
      <c r="O515" s="3" t="str">
        <f ca="1">IFERROR(__xludf.DUMMYFUNCTION("""COMPUTED_VALUE"""),"2055-06-06T16:28:23.462706Z")</f>
        <v>2055-06-06T16:28:23.462706Z</v>
      </c>
      <c r="P515" s="3" t="str">
        <f ca="1">IFERROR(__xludf.DUMMYFUNCTION("""COMPUTED_VALUE"""),"2055-06-06T15:33:27.317487Z")</f>
        <v>2055-06-06T15:33:27.317487Z</v>
      </c>
      <c r="Q515" s="3">
        <f ca="1">IFERROR(__xludf.DUMMYFUNCTION("""COMPUTED_VALUE"""),0)</f>
        <v>0</v>
      </c>
      <c r="R515" s="3" t="str">
        <f ca="1">IFERROR(__xludf.DUMMYFUNCTION("""COMPUTED_VALUE"""),"2055-06-06T15:33:36.172181Z")</f>
        <v>2055-06-06T15:33:36.172181Z</v>
      </c>
      <c r="S515" s="3" t="str">
        <f ca="1">IFERROR(__xludf.DUMMYFUNCTION("""COMPUTED_VALUE"""),"2055-06-06T15:41:29.753796Z")</f>
        <v>2055-06-06T15:41:29.753796Z</v>
      </c>
      <c r="T515" s="3"/>
      <c r="U515" s="4">
        <f ca="1">IFERROR(__xludf.DUMMYFUNCTION("""COMPUTED_VALUE"""),56771)</f>
        <v>56771</v>
      </c>
      <c r="V515" s="3">
        <f ca="1">IFERROR(__xludf.DUMMYFUNCTION("""COMPUTED_VALUE"""),3.853649317)</f>
        <v>3.8536493169999999</v>
      </c>
      <c r="W515" s="3">
        <f ca="1">IFERROR(__xludf.DUMMYFUNCTION("""COMPUTED_VALUE"""),2500)</f>
        <v>2500</v>
      </c>
      <c r="X515" s="3">
        <f ca="1">IFERROR(__xludf.DUMMYFUNCTION("""COMPUTED_VALUE"""),3287)</f>
        <v>3287</v>
      </c>
      <c r="Y515" s="3">
        <f ca="1">IFERROR(__xludf.DUMMYFUNCTION("""COMPUTED_VALUE"""),473)</f>
        <v>473</v>
      </c>
      <c r="Z515" s="3">
        <f ca="1">IFERROR(__xludf.DUMMYFUNCTION("""COMPUTED_VALUE"""),1205)</f>
        <v>1205</v>
      </c>
      <c r="AA515" s="3">
        <f ca="1">IFERROR(__xludf.DUMMYFUNCTION("""COMPUTED_VALUE"""),1609)</f>
        <v>1609</v>
      </c>
      <c r="AB515" s="3">
        <f ca="1">IFERROR(__xludf.DUMMYFUNCTION("""COMPUTED_VALUE"""),0)</f>
        <v>0</v>
      </c>
      <c r="AC515" s="3">
        <f ca="1">IFERROR(__xludf.DUMMYFUNCTION("""COMPUTED_VALUE"""),2)</f>
        <v>2</v>
      </c>
      <c r="AD515" s="3" t="str">
        <f ca="1">IFERROR(__xludf.DUMMYFUNCTION("""COMPUTED_VALUE"""),"early")</f>
        <v>early</v>
      </c>
      <c r="AE515" s="3" t="str">
        <f ca="1">IFERROR(__xludf.DUMMYFUNCTION("""COMPUTED_VALUE"""),"2055-06-06T12:01:34.742112Z")</f>
        <v>2055-06-06T12:01:34.742112Z</v>
      </c>
      <c r="AF515" s="3" t="str">
        <f ca="1">IFERROR(__xludf.DUMMYFUNCTION("""COMPUTED_VALUE"""),"2055-06-06T12:28:23.462706Z")</f>
        <v>2055-06-06T12:28:23.462706Z</v>
      </c>
      <c r="AG515" s="3" t="str">
        <f ca="1">IFERROR(__xludf.DUMMYFUNCTION("""COMPUTED_VALUE"""),"2055-06-06T11:33:27.317487Z")</f>
        <v>2055-06-06T11:33:27.317487Z</v>
      </c>
      <c r="AH515" s="3" t="str">
        <f ca="1">IFERROR(__xludf.DUMMYFUNCTION("""COMPUTED_VALUE"""),"2055-06-06T11:41:29.753796Z")</f>
        <v>2055-06-06T11:41:29.753796Z</v>
      </c>
      <c r="AI515" s="3">
        <f ca="1">IFERROR(__xludf.DUMMYFUNCTION("""COMPUTED_VALUE"""),4.720588235)</f>
        <v>4.7205882350000001</v>
      </c>
      <c r="AJ515" s="3">
        <f ca="1">IFERROR(__xludf.DUMMYFUNCTION("""COMPUTED_VALUE"""),59)</f>
        <v>59</v>
      </c>
      <c r="AK515" s="3">
        <f ca="1">IFERROR(__xludf.DUMMYFUNCTION("""COMPUTED_VALUE"""),198)</f>
        <v>198</v>
      </c>
      <c r="AL515" s="3">
        <f ca="1">IFERROR(__xludf.DUMMYFUNCTION("""COMPUTED_VALUE"""),82)</f>
        <v>82</v>
      </c>
    </row>
    <row r="516" spans="1:38" ht="13">
      <c r="A516" s="3">
        <f ca="1">IFERROR(__xludf.DUMMYFUNCTION("""COMPUTED_VALUE"""),97)</f>
        <v>97</v>
      </c>
      <c r="B516" s="3"/>
      <c r="C516" s="3">
        <f ca="1">IFERROR(__xludf.DUMMYFUNCTION("""COMPUTED_VALUE"""),4001)</f>
        <v>4001</v>
      </c>
      <c r="D516" s="3" t="str">
        <f ca="1">IFERROR(__xludf.DUMMYFUNCTION("""COMPUTED_VALUE"""),"Dashattan")</f>
        <v>Dashattan</v>
      </c>
      <c r="E516" s="3" t="str">
        <f ca="1">IFERROR(__xludf.DUMMYFUNCTION("""COMPUTED_VALUE"""),"Galaxy A")</f>
        <v>Galaxy A</v>
      </c>
      <c r="F516" s="3" t="str">
        <f ca="1">IFERROR(__xludf.DUMMYFUNCTION("""COMPUTED_VALUE"""),"Arya")</f>
        <v>Arya</v>
      </c>
      <c r="G516" s="3">
        <f ca="1">IFERROR(__xludf.DUMMYFUNCTION("""COMPUTED_VALUE"""),0)</f>
        <v>0</v>
      </c>
      <c r="H516" s="3" t="str">
        <f ca="1">IFERROR(__xludf.DUMMYFUNCTION("""COMPUTED_VALUE"""),"bicycle")</f>
        <v>bicycle</v>
      </c>
      <c r="I516" s="3" t="str">
        <f ca="1">IFERROR(__xludf.DUMMYFUNCTION("""COMPUTED_VALUE"""),"2055-06-02T00:35:04.551209Z")</f>
        <v>2055-06-02T00:35:04.551209Z</v>
      </c>
      <c r="J516" s="3" t="str">
        <f ca="1">IFERROR(__xludf.DUMMYFUNCTION("""COMPUTED_VALUE"""),"2055-06-02T01:29:47.643Z")</f>
        <v>2055-06-02T01:29:47.643Z</v>
      </c>
      <c r="K516" s="3" t="str">
        <f ca="1">IFERROR(__xludf.DUMMYFUNCTION("""COMPUTED_VALUE"""),"2055-06-02T01:07:53.643Z")</f>
        <v>2055-06-02T01:07:53.643Z</v>
      </c>
      <c r="L516" s="3">
        <f ca="1">IFERROR(__xludf.DUMMYFUNCTION("""COMPUTED_VALUE"""),1)</f>
        <v>1</v>
      </c>
      <c r="M516" s="3">
        <f ca="1">IFERROR(__xludf.DUMMYFUNCTION("""COMPUTED_VALUE"""),0)</f>
        <v>0</v>
      </c>
      <c r="N516" s="3" t="str">
        <f ca="1">IFERROR(__xludf.DUMMYFUNCTION("""COMPUTED_VALUE"""),"2055-06-02T00:58:59.101033Z")</f>
        <v>2055-06-02T00:58:59.101033Z</v>
      </c>
      <c r="O516" s="3" t="str">
        <f ca="1">IFERROR(__xludf.DUMMYFUNCTION("""COMPUTED_VALUE"""),"2055-06-02T01:06:58.182595Z")</f>
        <v>2055-06-02T01:06:58.182595Z</v>
      </c>
      <c r="P516" s="3" t="str">
        <f ca="1">IFERROR(__xludf.DUMMYFUNCTION("""COMPUTED_VALUE"""),"2055-06-02T00:38:54.819007Z")</f>
        <v>2055-06-02T00:38:54.819007Z</v>
      </c>
      <c r="Q516" s="3">
        <f ca="1">IFERROR(__xludf.DUMMYFUNCTION("""COMPUTED_VALUE"""),0)</f>
        <v>0</v>
      </c>
      <c r="R516" s="3" t="str">
        <f ca="1">IFERROR(__xludf.DUMMYFUNCTION("""COMPUTED_VALUE"""),"2055-06-02T00:39:21.145075Z")</f>
        <v>2055-06-02T00:39:21.145075Z</v>
      </c>
      <c r="S516" s="3" t="str">
        <f ca="1">IFERROR(__xludf.DUMMYFUNCTION("""COMPUTED_VALUE"""),"2055-06-02T00:58:14.627629Z")</f>
        <v>2055-06-02T00:58:14.627629Z</v>
      </c>
      <c r="T516" s="3"/>
      <c r="U516" s="4">
        <f ca="1">IFERROR(__xludf.DUMMYFUNCTION("""COMPUTED_VALUE"""),56766)</f>
        <v>56766</v>
      </c>
      <c r="V516" s="3">
        <f ca="1">IFERROR(__xludf.DUMMYFUNCTION("""COMPUTED_VALUE"""),4.5)</f>
        <v>4.5</v>
      </c>
      <c r="W516" s="3">
        <f ca="1">IFERROR(__xludf.DUMMYFUNCTION("""COMPUTED_VALUE"""),2500)</f>
        <v>2500</v>
      </c>
      <c r="X516" s="3">
        <f ca="1">IFERROR(__xludf.DUMMYFUNCTION("""COMPUTED_VALUE"""),1657)</f>
        <v>1657</v>
      </c>
      <c r="Y516" s="3">
        <f ca="1">IFERROR(__xludf.DUMMYFUNCTION("""COMPUTED_VALUE"""),1133)</f>
        <v>1133</v>
      </c>
      <c r="Z516" s="3">
        <f ca="1">IFERROR(__xludf.DUMMYFUNCTION("""COMPUTED_VALUE"""),45)</f>
        <v>45</v>
      </c>
      <c r="AA516" s="3">
        <f ca="1">IFERROR(__xludf.DUMMYFUNCTION("""COMPUTED_VALUE"""),479)</f>
        <v>479</v>
      </c>
      <c r="AB516" s="3">
        <f ca="1">IFERROR(__xludf.DUMMYFUNCTION("""COMPUTED_VALUE"""),0)</f>
        <v>0</v>
      </c>
      <c r="AC516" s="3">
        <f ca="1">IFERROR(__xludf.DUMMYFUNCTION("""COMPUTED_VALUE"""),1)</f>
        <v>1</v>
      </c>
      <c r="AD516" s="3" t="str">
        <f ca="1">IFERROR(__xludf.DUMMYFUNCTION("""COMPUTED_VALUE"""),"late")</f>
        <v>late</v>
      </c>
      <c r="AE516" s="3" t="str">
        <f ca="1">IFERROR(__xludf.DUMMYFUNCTION("""COMPUTED_VALUE"""),"2055-06-01T20:58:59.101033Z")</f>
        <v>2055-06-01T20:58:59.101033Z</v>
      </c>
      <c r="AF516" s="3" t="str">
        <f ca="1">IFERROR(__xludf.DUMMYFUNCTION("""COMPUTED_VALUE"""),"2055-06-01T21:06:58.182595Z")</f>
        <v>2055-06-01T21:06:58.182595Z</v>
      </c>
      <c r="AG516" s="3" t="str">
        <f ca="1">IFERROR(__xludf.DUMMYFUNCTION("""COMPUTED_VALUE"""),"2055-06-01T20:38:54.819007Z")</f>
        <v>2055-06-01T20:38:54.819007Z</v>
      </c>
      <c r="AH516" s="3" t="str">
        <f ca="1">IFERROR(__xludf.DUMMYFUNCTION("""COMPUTED_VALUE"""),"2055-06-01T20:58:14.627629Z")</f>
        <v>2055-06-01T20:58:14.627629Z</v>
      </c>
      <c r="AI516" s="3">
        <f ca="1">IFERROR(__xludf.DUMMYFUNCTION("""COMPUTED_VALUE"""),4.17)</f>
        <v>4.17</v>
      </c>
      <c r="AJ516" s="3">
        <f ca="1">IFERROR(__xludf.DUMMYFUNCTION("""COMPUTED_VALUE"""),457)</f>
        <v>457</v>
      </c>
      <c r="AK516" s="3">
        <f ca="1">IFERROR(__xludf.DUMMYFUNCTION("""COMPUTED_VALUE"""),1599)</f>
        <v>1599</v>
      </c>
      <c r="AL516" s="3"/>
    </row>
    <row r="517" spans="1:38" ht="13">
      <c r="A517" s="3">
        <f ca="1">IFERROR(__xludf.DUMMYFUNCTION("""COMPUTED_VALUE"""),346)</f>
        <v>346</v>
      </c>
      <c r="B517" s="3"/>
      <c r="C517" s="3">
        <f ca="1">IFERROR(__xludf.DUMMYFUNCTION("""COMPUTED_VALUE"""),4050)</f>
        <v>4050</v>
      </c>
      <c r="D517" s="3" t="str">
        <f ca="1">IFERROR(__xludf.DUMMYFUNCTION("""COMPUTED_VALUE"""),"Doorlanta")</f>
        <v>Doorlanta</v>
      </c>
      <c r="E517" s="3" t="str">
        <f ca="1">IFERROR(__xludf.DUMMYFUNCTION("""COMPUTED_VALUE"""),"Galaxy A")</f>
        <v>Galaxy A</v>
      </c>
      <c r="F517" s="3" t="str">
        <f ca="1">IFERROR(__xludf.DUMMYFUNCTION("""COMPUTED_VALUE"""),"Jagar")</f>
        <v>Jagar</v>
      </c>
      <c r="G517" s="3">
        <f ca="1">IFERROR(__xludf.DUMMYFUNCTION("""COMPUTED_VALUE"""),0)</f>
        <v>0</v>
      </c>
      <c r="H517" s="3" t="str">
        <f ca="1">IFERROR(__xludf.DUMMYFUNCTION("""COMPUTED_VALUE"""),"car")</f>
        <v>car</v>
      </c>
      <c r="I517" s="3" t="str">
        <f ca="1">IFERROR(__xludf.DUMMYFUNCTION("""COMPUTED_VALUE"""),"2055-06-03T22:21:36.738396Z")</f>
        <v>2055-06-03T22:21:36.738396Z</v>
      </c>
      <c r="J517" s="3" t="str">
        <f ca="1">IFERROR(__xludf.DUMMYFUNCTION("""COMPUTED_VALUE"""),"2055-06-03T23:16:36.797Z")</f>
        <v>2055-06-03T23:16:36.797Z</v>
      </c>
      <c r="K517" s="3" t="str">
        <f ca="1">IFERROR(__xludf.DUMMYFUNCTION("""COMPUTED_VALUE"""),"2055-06-03T22:55:58.797Z")</f>
        <v>2055-06-03T22:55:58.797Z</v>
      </c>
      <c r="L517" s="3">
        <f ca="1">IFERROR(__xludf.DUMMYFUNCTION("""COMPUTED_VALUE"""),1)</f>
        <v>1</v>
      </c>
      <c r="M517" s="3">
        <f ca="1">IFERROR(__xludf.DUMMYFUNCTION("""COMPUTED_VALUE"""),0)</f>
        <v>0</v>
      </c>
      <c r="N517" s="3" t="str">
        <f ca="1">IFERROR(__xludf.DUMMYFUNCTION("""COMPUTED_VALUE"""),"2055-06-03T22:41:16.781232Z")</f>
        <v>2055-06-03T22:41:16.781232Z</v>
      </c>
      <c r="O517" s="3" t="str">
        <f ca="1">IFERROR(__xludf.DUMMYFUNCTION("""COMPUTED_VALUE"""),"2055-06-03T22:51:10.991634Z")</f>
        <v>2055-06-03T22:51:10.991634Z</v>
      </c>
      <c r="P517" s="3" t="str">
        <f ca="1">IFERROR(__xludf.DUMMYFUNCTION("""COMPUTED_VALUE"""),"2055-06-03T22:21:47.450467Z")</f>
        <v>2055-06-03T22:21:47.450467Z</v>
      </c>
      <c r="Q517" s="3">
        <f ca="1">IFERROR(__xludf.DUMMYFUNCTION("""COMPUTED_VALUE"""),0)</f>
        <v>0</v>
      </c>
      <c r="R517" s="3" t="str">
        <f ca="1">IFERROR(__xludf.DUMMYFUNCTION("""COMPUTED_VALUE"""),"2055-06-03T22:21:54.538788Z")</f>
        <v>2055-06-03T22:21:54.538788Z</v>
      </c>
      <c r="S517" s="3" t="str">
        <f ca="1">IFERROR(__xludf.DUMMYFUNCTION("""COMPUTED_VALUE"""),"2055-06-03T22:25:53.687527Z")</f>
        <v>2055-06-03T22:25:53.687527Z</v>
      </c>
      <c r="T517" s="3"/>
      <c r="U517" s="4">
        <f ca="1">IFERROR(__xludf.DUMMYFUNCTION("""COMPUTED_VALUE"""),56768)</f>
        <v>56768</v>
      </c>
      <c r="V517" s="3">
        <f ca="1">IFERROR(__xludf.DUMMYFUNCTION("""COMPUTED_VALUE"""),4.8)</f>
        <v>4.8</v>
      </c>
      <c r="W517" s="3">
        <f ca="1">IFERROR(__xludf.DUMMYFUNCTION("""COMPUTED_VALUE"""),2500)</f>
        <v>2500</v>
      </c>
      <c r="X517" s="3">
        <f ca="1">IFERROR(__xludf.DUMMYFUNCTION("""COMPUTED_VALUE"""),1756)</f>
        <v>1756</v>
      </c>
      <c r="Y517" s="3">
        <f ca="1">IFERROR(__xludf.DUMMYFUNCTION("""COMPUTED_VALUE"""),239)</f>
        <v>239</v>
      </c>
      <c r="Z517" s="3">
        <f ca="1">IFERROR(__xludf.DUMMYFUNCTION("""COMPUTED_VALUE"""),923)</f>
        <v>923</v>
      </c>
      <c r="AA517" s="3">
        <f ca="1">IFERROR(__xludf.DUMMYFUNCTION("""COMPUTED_VALUE"""),594)</f>
        <v>594</v>
      </c>
      <c r="AB517" s="3">
        <f ca="1">IFERROR(__xludf.DUMMYFUNCTION("""COMPUTED_VALUE"""),0)</f>
        <v>0</v>
      </c>
      <c r="AC517" s="3">
        <f ca="1">IFERROR(__xludf.DUMMYFUNCTION("""COMPUTED_VALUE"""),2)</f>
        <v>2</v>
      </c>
      <c r="AD517" s="3" t="str">
        <f ca="1">IFERROR(__xludf.DUMMYFUNCTION("""COMPUTED_VALUE"""),"early")</f>
        <v>early</v>
      </c>
      <c r="AE517" s="3" t="str">
        <f ca="1">IFERROR(__xludf.DUMMYFUNCTION("""COMPUTED_VALUE"""),"2055-06-03T18:41:16.781232Z")</f>
        <v>2055-06-03T18:41:16.781232Z</v>
      </c>
      <c r="AF517" s="3" t="str">
        <f ca="1">IFERROR(__xludf.DUMMYFUNCTION("""COMPUTED_VALUE"""),"2055-06-03T18:51:10.991634Z")</f>
        <v>2055-06-03T18:51:10.991634Z</v>
      </c>
      <c r="AG517" s="3" t="str">
        <f ca="1">IFERROR(__xludf.DUMMYFUNCTION("""COMPUTED_VALUE"""),"2055-06-03T18:21:47.450467Z")</f>
        <v>2055-06-03T18:21:47.450467Z</v>
      </c>
      <c r="AH517" s="3" t="str">
        <f ca="1">IFERROR(__xludf.DUMMYFUNCTION("""COMPUTED_VALUE"""),"2055-06-03T18:25:53.687527Z")</f>
        <v>2055-06-03T18:25:53.687527Z</v>
      </c>
      <c r="AI517" s="3">
        <f ca="1">IFERROR(__xludf.DUMMYFUNCTION("""COMPUTED_VALUE"""),4.89)</f>
        <v>4.8899999999999997</v>
      </c>
      <c r="AJ517" s="3">
        <f ca="1">IFERROR(__xludf.DUMMYFUNCTION("""COMPUTED_VALUE"""),1778)</f>
        <v>1778</v>
      </c>
      <c r="AK517" s="3">
        <f ca="1">IFERROR(__xludf.DUMMYFUNCTION("""COMPUTED_VALUE"""),5138)</f>
        <v>5138</v>
      </c>
      <c r="AL517" s="3">
        <f ca="1">IFERROR(__xludf.DUMMYFUNCTION("""COMPUTED_VALUE"""),314)</f>
        <v>314</v>
      </c>
    </row>
    <row r="518" spans="1:38" ht="13">
      <c r="A518" s="3">
        <f ca="1">IFERROR(__xludf.DUMMYFUNCTION("""COMPUTED_VALUE"""),764)</f>
        <v>764</v>
      </c>
      <c r="B518" s="3">
        <f ca="1">IFERROR(__xludf.DUMMYFUNCTION("""COMPUTED_VALUE"""),5)</f>
        <v>5</v>
      </c>
      <c r="C518" s="3">
        <f ca="1">IFERROR(__xludf.DUMMYFUNCTION("""COMPUTED_VALUE"""),4050)</f>
        <v>4050</v>
      </c>
      <c r="D518" s="3" t="str">
        <f ca="1">IFERROR(__xludf.DUMMYFUNCTION("""COMPUTED_VALUE"""),"Doorlanta")</f>
        <v>Doorlanta</v>
      </c>
      <c r="E518" s="3" t="str">
        <f ca="1">IFERROR(__xludf.DUMMYFUNCTION("""COMPUTED_VALUE"""),"Galaxy A")</f>
        <v>Galaxy A</v>
      </c>
      <c r="F518" s="3" t="str">
        <f ca="1">IFERROR(__xludf.DUMMYFUNCTION("""COMPUTED_VALUE"""),"Jagar")</f>
        <v>Jagar</v>
      </c>
      <c r="G518" s="3">
        <f ca="1">IFERROR(__xludf.DUMMYFUNCTION("""COMPUTED_VALUE"""),0)</f>
        <v>0</v>
      </c>
      <c r="H518" s="3" t="str">
        <f ca="1">IFERROR(__xludf.DUMMYFUNCTION("""COMPUTED_VALUE"""),"car")</f>
        <v>car</v>
      </c>
      <c r="I518" s="3" t="str">
        <f ca="1">IFERROR(__xludf.DUMMYFUNCTION("""COMPUTED_VALUE"""),"2055-06-06T21:07:57.41538Z")</f>
        <v>2055-06-06T21:07:57.41538Z</v>
      </c>
      <c r="J518" s="3" t="str">
        <f ca="1">IFERROR(__xludf.DUMMYFUNCTION("""COMPUTED_VALUE"""),"2055-06-06T22:02:29.482Z")</f>
        <v>2055-06-06T22:02:29.482Z</v>
      </c>
      <c r="K518" s="3" t="str">
        <f ca="1">IFERROR(__xludf.DUMMYFUNCTION("""COMPUTED_VALUE"""),"2055-06-06T21:45:35.482Z")</f>
        <v>2055-06-06T21:45:35.482Z</v>
      </c>
      <c r="L518" s="3">
        <f ca="1">IFERROR(__xludf.DUMMYFUNCTION("""COMPUTED_VALUE"""),1)</f>
        <v>1</v>
      </c>
      <c r="M518" s="3">
        <f ca="1">IFERROR(__xludf.DUMMYFUNCTION("""COMPUTED_VALUE"""),0)</f>
        <v>0</v>
      </c>
      <c r="N518" s="3" t="str">
        <f ca="1">IFERROR(__xludf.DUMMYFUNCTION("""COMPUTED_VALUE"""),"2055-06-06T21:32:08.36817Z")</f>
        <v>2055-06-06T21:32:08.36817Z</v>
      </c>
      <c r="O518" s="3" t="str">
        <f ca="1">IFERROR(__xludf.DUMMYFUNCTION("""COMPUTED_VALUE"""),"2055-06-06T21:42:40.318714Z")</f>
        <v>2055-06-06T21:42:40.318714Z</v>
      </c>
      <c r="P518" s="3" t="str">
        <f ca="1">IFERROR(__xludf.DUMMYFUNCTION("""COMPUTED_VALUE"""),"2055-06-06T21:13:27.327288Z")</f>
        <v>2055-06-06T21:13:27.327288Z</v>
      </c>
      <c r="Q518" s="3">
        <f ca="1">IFERROR(__xludf.DUMMYFUNCTION("""COMPUTED_VALUE"""),0)</f>
        <v>0</v>
      </c>
      <c r="R518" s="3" t="str">
        <f ca="1">IFERROR(__xludf.DUMMYFUNCTION("""COMPUTED_VALUE"""),"2055-06-06T21:13:31.331624Z")</f>
        <v>2055-06-06T21:13:31.331624Z</v>
      </c>
      <c r="S518" s="3" t="str">
        <f ca="1">IFERROR(__xludf.DUMMYFUNCTION("""COMPUTED_VALUE"""),"2055-06-06T21:28:33.092668Z")</f>
        <v>2055-06-06T21:28:33.092668Z</v>
      </c>
      <c r="T518" s="3"/>
      <c r="U518" s="4">
        <f ca="1">IFERROR(__xludf.DUMMYFUNCTION("""COMPUTED_VALUE"""),56771)</f>
        <v>56771</v>
      </c>
      <c r="V518" s="3">
        <f ca="1">IFERROR(__xludf.DUMMYFUNCTION("""COMPUTED_VALUE"""),4.6)</f>
        <v>4.5999999999999996</v>
      </c>
      <c r="W518" s="3">
        <f ca="1">IFERROR(__xludf.DUMMYFUNCTION("""COMPUTED_VALUE"""),2500)</f>
        <v>2500</v>
      </c>
      <c r="X518" s="3">
        <f ca="1">IFERROR(__xludf.DUMMYFUNCTION("""COMPUTED_VALUE"""),1749)</f>
        <v>1749</v>
      </c>
      <c r="Y518" s="3">
        <f ca="1">IFERROR(__xludf.DUMMYFUNCTION("""COMPUTED_VALUE"""),902)</f>
        <v>902</v>
      </c>
      <c r="Z518" s="3">
        <f ca="1">IFERROR(__xludf.DUMMYFUNCTION("""COMPUTED_VALUE"""),215)</f>
        <v>215</v>
      </c>
      <c r="AA518" s="3">
        <f ca="1">IFERROR(__xludf.DUMMYFUNCTION("""COMPUTED_VALUE"""),632)</f>
        <v>632</v>
      </c>
      <c r="AB518" s="3">
        <f ca="1">IFERROR(__xludf.DUMMYFUNCTION("""COMPUTED_VALUE"""),0)</f>
        <v>0</v>
      </c>
      <c r="AC518" s="3">
        <f ca="1">IFERROR(__xludf.DUMMYFUNCTION("""COMPUTED_VALUE"""),4)</f>
        <v>4</v>
      </c>
      <c r="AD518" s="3" t="str">
        <f ca="1">IFERROR(__xludf.DUMMYFUNCTION("""COMPUTED_VALUE"""),"late")</f>
        <v>late</v>
      </c>
      <c r="AE518" s="3" t="str">
        <f ca="1">IFERROR(__xludf.DUMMYFUNCTION("""COMPUTED_VALUE"""),"2055-06-06T17:32:08.36817Z")</f>
        <v>2055-06-06T17:32:08.36817Z</v>
      </c>
      <c r="AF518" s="3" t="str">
        <f ca="1">IFERROR(__xludf.DUMMYFUNCTION("""COMPUTED_VALUE"""),"2055-06-06T17:42:40.318714Z")</f>
        <v>2055-06-06T17:42:40.318714Z</v>
      </c>
      <c r="AG518" s="3" t="str">
        <f ca="1">IFERROR(__xludf.DUMMYFUNCTION("""COMPUTED_VALUE"""),"2055-06-06T17:13:27.327288Z")</f>
        <v>2055-06-06T17:13:27.327288Z</v>
      </c>
      <c r="AH518" s="3" t="str">
        <f ca="1">IFERROR(__xludf.DUMMYFUNCTION("""COMPUTED_VALUE"""),"2055-06-06T17:28:33.092668Z")</f>
        <v>2055-06-06T17:28:33.092668Z</v>
      </c>
      <c r="AI518" s="3">
        <f ca="1">IFERROR(__xludf.DUMMYFUNCTION("""COMPUTED_VALUE"""),4.89)</f>
        <v>4.8899999999999997</v>
      </c>
      <c r="AJ518" s="3">
        <f ca="1">IFERROR(__xludf.DUMMYFUNCTION("""COMPUTED_VALUE"""),1778)</f>
        <v>1778</v>
      </c>
      <c r="AK518" s="3">
        <f ca="1">IFERROR(__xludf.DUMMYFUNCTION("""COMPUTED_VALUE"""),5138)</f>
        <v>5138</v>
      </c>
      <c r="AL518" s="3">
        <f ca="1">IFERROR(__xludf.DUMMYFUNCTION("""COMPUTED_VALUE"""),314)</f>
        <v>314</v>
      </c>
    </row>
    <row r="519" spans="1:38" ht="13">
      <c r="A519" s="3">
        <f ca="1">IFERROR(__xludf.DUMMYFUNCTION("""COMPUTED_VALUE"""),910)</f>
        <v>910</v>
      </c>
      <c r="B519" s="3"/>
      <c r="C519" s="3">
        <f ca="1">IFERROR(__xludf.DUMMYFUNCTION("""COMPUTED_VALUE"""),4001)</f>
        <v>4001</v>
      </c>
      <c r="D519" s="3" t="str">
        <f ca="1">IFERROR(__xludf.DUMMYFUNCTION("""COMPUTED_VALUE"""),"Dashattan")</f>
        <v>Dashattan</v>
      </c>
      <c r="E519" s="3" t="str">
        <f ca="1">IFERROR(__xludf.DUMMYFUNCTION("""COMPUTED_VALUE"""),"Galaxy A")</f>
        <v>Galaxy A</v>
      </c>
      <c r="F519" s="3" t="str">
        <f ca="1">IFERROR(__xludf.DUMMYFUNCTION("""COMPUTED_VALUE"""),"Rojan")</f>
        <v>Rojan</v>
      </c>
      <c r="G519" s="3">
        <f ca="1">IFERROR(__xludf.DUMMYFUNCTION("""COMPUTED_VALUE"""),0)</f>
        <v>0</v>
      </c>
      <c r="H519" s="3" t="str">
        <f ca="1">IFERROR(__xludf.DUMMYFUNCTION("""COMPUTED_VALUE"""),"bicycle")</f>
        <v>bicycle</v>
      </c>
      <c r="I519" s="3" t="str">
        <f ca="1">IFERROR(__xludf.DUMMYFUNCTION("""COMPUTED_VALUE"""),"2055-06-08T01:18:07.759123Z")</f>
        <v>2055-06-08T01:18:07.759123Z</v>
      </c>
      <c r="J519" s="3" t="str">
        <f ca="1">IFERROR(__xludf.DUMMYFUNCTION("""COMPUTED_VALUE"""),"2055-06-08T02:12:16.806Z")</f>
        <v>2055-06-08T02:12:16.806Z</v>
      </c>
      <c r="K519" s="3" t="str">
        <f ca="1">IFERROR(__xludf.DUMMYFUNCTION("""COMPUTED_VALUE"""),"2055-06-08T01:52:37.806Z")</f>
        <v>2055-06-08T01:52:37.806Z</v>
      </c>
      <c r="L519" s="3">
        <f ca="1">IFERROR(__xludf.DUMMYFUNCTION("""COMPUTED_VALUE"""),1)</f>
        <v>1</v>
      </c>
      <c r="M519" s="3">
        <f ca="1">IFERROR(__xludf.DUMMYFUNCTION("""COMPUTED_VALUE"""),0)</f>
        <v>0</v>
      </c>
      <c r="N519" s="3" t="str">
        <f ca="1">IFERROR(__xludf.DUMMYFUNCTION("""COMPUTED_VALUE"""),"2055-06-08T01:40:43.62992Z")</f>
        <v>2055-06-08T01:40:43.62992Z</v>
      </c>
      <c r="O519" s="3" t="str">
        <f ca="1">IFERROR(__xludf.DUMMYFUNCTION("""COMPUTED_VALUE"""),"2055-06-08T01:50:39.529985Z")</f>
        <v>2055-06-08T01:50:39.529985Z</v>
      </c>
      <c r="P519" s="3" t="str">
        <f ca="1">IFERROR(__xludf.DUMMYFUNCTION("""COMPUTED_VALUE"""),"2055-06-08T01:22:34.254145Z")</f>
        <v>2055-06-08T01:22:34.254145Z</v>
      </c>
      <c r="Q519" s="3">
        <f ca="1">IFERROR(__xludf.DUMMYFUNCTION("""COMPUTED_VALUE"""),0)</f>
        <v>0</v>
      </c>
      <c r="R519" s="3" t="str">
        <f ca="1">IFERROR(__xludf.DUMMYFUNCTION("""COMPUTED_VALUE"""),"2055-06-08T01:22:50.992668Z")</f>
        <v>2055-06-08T01:22:50.992668Z</v>
      </c>
      <c r="S519" s="3" t="str">
        <f ca="1">IFERROR(__xludf.DUMMYFUNCTION("""COMPUTED_VALUE"""),"2055-06-08T01:37:20.957176Z")</f>
        <v>2055-06-08T01:37:20.957176Z</v>
      </c>
      <c r="T519" s="3"/>
      <c r="U519" s="4">
        <f ca="1">IFERROR(__xludf.DUMMYFUNCTION("""COMPUTED_VALUE"""),56772)</f>
        <v>56772</v>
      </c>
      <c r="V519" s="3">
        <f ca="1">IFERROR(__xludf.DUMMYFUNCTION("""COMPUTED_VALUE"""),4.6)</f>
        <v>4.5999999999999996</v>
      </c>
      <c r="W519" s="3">
        <f ca="1">IFERROR(__xludf.DUMMYFUNCTION("""COMPUTED_VALUE"""),2500)</f>
        <v>2500</v>
      </c>
      <c r="X519" s="3">
        <f ca="1">IFERROR(__xludf.DUMMYFUNCTION("""COMPUTED_VALUE"""),1669)</f>
        <v>1669</v>
      </c>
      <c r="Y519" s="3">
        <f ca="1">IFERROR(__xludf.DUMMYFUNCTION("""COMPUTED_VALUE"""),870)</f>
        <v>870</v>
      </c>
      <c r="Z519" s="3">
        <f ca="1">IFERROR(__xludf.DUMMYFUNCTION("""COMPUTED_VALUE"""),203)</f>
        <v>203</v>
      </c>
      <c r="AA519" s="3">
        <f ca="1">IFERROR(__xludf.DUMMYFUNCTION("""COMPUTED_VALUE"""),596)</f>
        <v>596</v>
      </c>
      <c r="AB519" s="3">
        <f ca="1">IFERROR(__xludf.DUMMYFUNCTION("""COMPUTED_VALUE"""),0)</f>
        <v>0</v>
      </c>
      <c r="AC519" s="3">
        <f ca="1">IFERROR(__xludf.DUMMYFUNCTION("""COMPUTED_VALUE"""),1)</f>
        <v>1</v>
      </c>
      <c r="AD519" s="3" t="str">
        <f ca="1">IFERROR(__xludf.DUMMYFUNCTION("""COMPUTED_VALUE"""),"on time")</f>
        <v>on time</v>
      </c>
      <c r="AE519" s="3" t="str">
        <f ca="1">IFERROR(__xludf.DUMMYFUNCTION("""COMPUTED_VALUE"""),"2055-06-07T21:40:43.62992Z")</f>
        <v>2055-06-07T21:40:43.62992Z</v>
      </c>
      <c r="AF519" s="3" t="str">
        <f ca="1">IFERROR(__xludf.DUMMYFUNCTION("""COMPUTED_VALUE"""),"2055-06-07T21:50:39.529985Z")</f>
        <v>2055-06-07T21:50:39.529985Z</v>
      </c>
      <c r="AG519" s="3" t="str">
        <f ca="1">IFERROR(__xludf.DUMMYFUNCTION("""COMPUTED_VALUE"""),"2055-06-07T21:22:34.254145Z")</f>
        <v>2055-06-07T21:22:34.254145Z</v>
      </c>
      <c r="AH519" s="3" t="str">
        <f ca="1">IFERROR(__xludf.DUMMYFUNCTION("""COMPUTED_VALUE"""),"2055-06-07T21:37:20.957176Z")</f>
        <v>2055-06-07T21:37:20.957176Z</v>
      </c>
      <c r="AI519" s="3">
        <f ca="1">IFERROR(__xludf.DUMMYFUNCTION("""COMPUTED_VALUE"""),4.58)</f>
        <v>4.58</v>
      </c>
      <c r="AJ519" s="3">
        <f ca="1">IFERROR(__xludf.DUMMYFUNCTION("""COMPUTED_VALUE"""),254)</f>
        <v>254</v>
      </c>
      <c r="AK519" s="3">
        <f ca="1">IFERROR(__xludf.DUMMYFUNCTION("""COMPUTED_VALUE"""),788)</f>
        <v>788</v>
      </c>
      <c r="AL519" s="3">
        <f ca="1">IFERROR(__xludf.DUMMYFUNCTION("""COMPUTED_VALUE"""),9)</f>
        <v>9</v>
      </c>
    </row>
    <row r="520" spans="1:38" ht="13">
      <c r="A520" s="3">
        <f ca="1">IFERROR(__xludf.DUMMYFUNCTION("""COMPUTED_VALUE"""),621)</f>
        <v>621</v>
      </c>
      <c r="B520" s="3"/>
      <c r="C520" s="3">
        <f ca="1">IFERROR(__xludf.DUMMYFUNCTION("""COMPUTED_VALUE"""),4001)</f>
        <v>4001</v>
      </c>
      <c r="D520" s="3" t="str">
        <f ca="1">IFERROR(__xludf.DUMMYFUNCTION("""COMPUTED_VALUE"""),"Dashattan")</f>
        <v>Dashattan</v>
      </c>
      <c r="E520" s="3" t="str">
        <f ca="1">IFERROR(__xludf.DUMMYFUNCTION("""COMPUTED_VALUE"""),"Galaxy A")</f>
        <v>Galaxy A</v>
      </c>
      <c r="F520" s="3" t="str">
        <f ca="1">IFERROR(__xludf.DUMMYFUNCTION("""COMPUTED_VALUE"""),"KC")</f>
        <v>KC</v>
      </c>
      <c r="G520" s="3">
        <f ca="1">IFERROR(__xludf.DUMMYFUNCTION("""COMPUTED_VALUE"""),0)</f>
        <v>0</v>
      </c>
      <c r="H520" s="3" t="str">
        <f ca="1">IFERROR(__xludf.DUMMYFUNCTION("""COMPUTED_VALUE"""),"car")</f>
        <v>car</v>
      </c>
      <c r="I520" s="3" t="str">
        <f ca="1">IFERROR(__xludf.DUMMYFUNCTION("""COMPUTED_VALUE"""),"2055-06-05T21:13:33.649856Z")</f>
        <v>2055-06-05T21:13:33.649856Z</v>
      </c>
      <c r="J520" s="3" t="str">
        <f ca="1">IFERROR(__xludf.DUMMYFUNCTION("""COMPUTED_VALUE"""),"2055-06-05T22:01:18.716Z")</f>
        <v>2055-06-05T22:01:18.716Z</v>
      </c>
      <c r="K520" s="3" t="str">
        <f ca="1">IFERROR(__xludf.DUMMYFUNCTION("""COMPUTED_VALUE"""),"2055-06-05T21:52:25.716Z")</f>
        <v>2055-06-05T21:52:25.716Z</v>
      </c>
      <c r="L520" s="3">
        <f ca="1">IFERROR(__xludf.DUMMYFUNCTION("""COMPUTED_VALUE"""),1)</f>
        <v>1</v>
      </c>
      <c r="M520" s="3">
        <f ca="1">IFERROR(__xludf.DUMMYFUNCTION("""COMPUTED_VALUE"""),0)</f>
        <v>0</v>
      </c>
      <c r="N520" s="3" t="str">
        <f ca="1">IFERROR(__xludf.DUMMYFUNCTION("""COMPUTED_VALUE"""),"2055-06-05T21:30:39.554025Z")</f>
        <v>2055-06-05T21:30:39.554025Z</v>
      </c>
      <c r="O520" s="3" t="str">
        <f ca="1">IFERROR(__xludf.DUMMYFUNCTION("""COMPUTED_VALUE"""),"2055-06-05T21:37:56.999156Z")</f>
        <v>2055-06-05T21:37:56.999156Z</v>
      </c>
      <c r="P520" s="3" t="str">
        <f ca="1">IFERROR(__xludf.DUMMYFUNCTION("""COMPUTED_VALUE"""),"2055-06-05T21:13:54.573408Z")</f>
        <v>2055-06-05T21:13:54.573408Z</v>
      </c>
      <c r="Q520" s="3">
        <f ca="1">IFERROR(__xludf.DUMMYFUNCTION("""COMPUTED_VALUE"""),0)</f>
        <v>0</v>
      </c>
      <c r="R520" s="3" t="str">
        <f ca="1">IFERROR(__xludf.DUMMYFUNCTION("""COMPUTED_VALUE"""),"2055-06-05T21:14:10.859127Z")</f>
        <v>2055-06-05T21:14:10.859127Z</v>
      </c>
      <c r="S520" s="3" t="str">
        <f ca="1">IFERROR(__xludf.DUMMYFUNCTION("""COMPUTED_VALUE"""),"2055-06-05T21:19:41.6541Z")</f>
        <v>2055-06-05T21:19:41.6541Z</v>
      </c>
      <c r="T520" s="3"/>
      <c r="U520" s="4">
        <f ca="1">IFERROR(__xludf.DUMMYFUNCTION("""COMPUTED_VALUE"""),56770)</f>
        <v>56770</v>
      </c>
      <c r="V520" s="3">
        <f ca="1">IFERROR(__xludf.DUMMYFUNCTION("""COMPUTED_VALUE"""),4.2)</f>
        <v>4.2</v>
      </c>
      <c r="W520" s="3">
        <f ca="1">IFERROR(__xludf.DUMMYFUNCTION("""COMPUTED_VALUE"""),2500)</f>
        <v>2500</v>
      </c>
      <c r="X520" s="3">
        <f ca="1">IFERROR(__xludf.DUMMYFUNCTION("""COMPUTED_VALUE"""),1426)</f>
        <v>1426</v>
      </c>
      <c r="Y520" s="3">
        <f ca="1">IFERROR(__xludf.DUMMYFUNCTION("""COMPUTED_VALUE"""),331)</f>
        <v>331</v>
      </c>
      <c r="Z520" s="3">
        <f ca="1">IFERROR(__xludf.DUMMYFUNCTION("""COMPUTED_VALUE"""),658)</f>
        <v>658</v>
      </c>
      <c r="AA520" s="3">
        <f ca="1">IFERROR(__xludf.DUMMYFUNCTION("""COMPUTED_VALUE"""),437)</f>
        <v>437</v>
      </c>
      <c r="AB520" s="3">
        <f ca="1">IFERROR(__xludf.DUMMYFUNCTION("""COMPUTED_VALUE"""),0)</f>
        <v>0</v>
      </c>
      <c r="AC520" s="3">
        <f ca="1">IFERROR(__xludf.DUMMYFUNCTION("""COMPUTED_VALUE"""),4)</f>
        <v>4</v>
      </c>
      <c r="AD520" s="3" t="str">
        <f ca="1">IFERROR(__xludf.DUMMYFUNCTION("""COMPUTED_VALUE"""),"on time")</f>
        <v>on time</v>
      </c>
      <c r="AE520" s="3" t="str">
        <f ca="1">IFERROR(__xludf.DUMMYFUNCTION("""COMPUTED_VALUE"""),"2055-06-05T17:30:39.554025Z")</f>
        <v>2055-06-05T17:30:39.554025Z</v>
      </c>
      <c r="AF520" s="3" t="str">
        <f ca="1">IFERROR(__xludf.DUMMYFUNCTION("""COMPUTED_VALUE"""),"2055-06-05T17:37:56.999156Z")</f>
        <v>2055-06-05T17:37:56.999156Z</v>
      </c>
      <c r="AG520" s="3" t="str">
        <f ca="1">IFERROR(__xludf.DUMMYFUNCTION("""COMPUTED_VALUE"""),"2055-06-05T17:13:54.573408Z")</f>
        <v>2055-06-05T17:13:54.573408Z</v>
      </c>
      <c r="AH520" s="3" t="str">
        <f ca="1">IFERROR(__xludf.DUMMYFUNCTION("""COMPUTED_VALUE"""),"2055-06-05T17:19:41.6541Z")</f>
        <v>2055-06-05T17:19:41.6541Z</v>
      </c>
      <c r="AI520" s="3">
        <f ca="1">IFERROR(__xludf.DUMMYFUNCTION("""COMPUTED_VALUE"""),4.54)</f>
        <v>4.54</v>
      </c>
      <c r="AJ520" s="3">
        <f ca="1">IFERROR(__xludf.DUMMYFUNCTION("""COMPUTED_VALUE"""),2229)</f>
        <v>2229</v>
      </c>
      <c r="AK520" s="3">
        <f ca="1">IFERROR(__xludf.DUMMYFUNCTION("""COMPUTED_VALUE"""),6580)</f>
        <v>6580</v>
      </c>
      <c r="AL520" s="3"/>
    </row>
    <row r="521" spans="1:38" ht="13">
      <c r="A521" s="3">
        <f ca="1">IFERROR(__xludf.DUMMYFUNCTION("""COMPUTED_VALUE"""),407)</f>
        <v>407</v>
      </c>
      <c r="B521" s="3"/>
      <c r="C521" s="3">
        <f ca="1">IFERROR(__xludf.DUMMYFUNCTION("""COMPUTED_VALUE"""),4001)</f>
        <v>4001</v>
      </c>
      <c r="D521" s="3" t="str">
        <f ca="1">IFERROR(__xludf.DUMMYFUNCTION("""COMPUTED_VALUE"""),"Dashattan")</f>
        <v>Dashattan</v>
      </c>
      <c r="E521" s="3" t="str">
        <f ca="1">IFERROR(__xludf.DUMMYFUNCTION("""COMPUTED_VALUE"""),"Galaxy A")</f>
        <v>Galaxy A</v>
      </c>
      <c r="F521" s="3" t="str">
        <f ca="1">IFERROR(__xludf.DUMMYFUNCTION("""COMPUTED_VALUE"""),"Samm")</f>
        <v>Samm</v>
      </c>
      <c r="G521" s="3">
        <f ca="1">IFERROR(__xludf.DUMMYFUNCTION("""COMPUTED_VALUE"""),0)</f>
        <v>0</v>
      </c>
      <c r="H521" s="3" t="str">
        <f ca="1">IFERROR(__xludf.DUMMYFUNCTION("""COMPUTED_VALUE"""),"car")</f>
        <v>car</v>
      </c>
      <c r="I521" s="3" t="str">
        <f ca="1">IFERROR(__xludf.DUMMYFUNCTION("""COMPUTED_VALUE"""),"2055-06-04T15:46:20.06528Z")</f>
        <v>2055-06-04T15:46:20.06528Z</v>
      </c>
      <c r="J521" s="3" t="str">
        <f ca="1">IFERROR(__xludf.DUMMYFUNCTION("""COMPUTED_VALUE"""),"2055-06-04T16:44:00.158Z")</f>
        <v>2055-06-04T16:44:00.158Z</v>
      </c>
      <c r="K521" s="3" t="str">
        <f ca="1">IFERROR(__xludf.DUMMYFUNCTION("""COMPUTED_VALUE"""),"2055-06-04T16:24:21.158Z")</f>
        <v>2055-06-04T16:24:21.158Z</v>
      </c>
      <c r="L521" s="3">
        <f ca="1">IFERROR(__xludf.DUMMYFUNCTION("""COMPUTED_VALUE"""),1)</f>
        <v>1</v>
      </c>
      <c r="M521" s="3">
        <f ca="1">IFERROR(__xludf.DUMMYFUNCTION("""COMPUTED_VALUE"""),0)</f>
        <v>0</v>
      </c>
      <c r="N521" s="3" t="str">
        <f ca="1">IFERROR(__xludf.DUMMYFUNCTION("""COMPUTED_VALUE"""),"2055-06-04T16:00:33.5499Z")</f>
        <v>2055-06-04T16:00:33.5499Z</v>
      </c>
      <c r="O521" s="3" t="str">
        <f ca="1">IFERROR(__xludf.DUMMYFUNCTION("""COMPUTED_VALUE"""),"2055-06-04T16:20:07.58934Z")</f>
        <v>2055-06-04T16:20:07.58934Z</v>
      </c>
      <c r="P521" s="3" t="str">
        <f ca="1">IFERROR(__xludf.DUMMYFUNCTION("""COMPUTED_VALUE"""),"2055-06-04T15:50:54.476857Z")</f>
        <v>2055-06-04T15:50:54.476857Z</v>
      </c>
      <c r="Q521" s="3">
        <f ca="1">IFERROR(__xludf.DUMMYFUNCTION("""COMPUTED_VALUE"""),0)</f>
        <v>0</v>
      </c>
      <c r="R521" s="3" t="str">
        <f ca="1">IFERROR(__xludf.DUMMYFUNCTION("""COMPUTED_VALUE"""),"2055-06-04T15:51:04.195408Z")</f>
        <v>2055-06-04T15:51:04.195408Z</v>
      </c>
      <c r="S521" s="3" t="str">
        <f ca="1">IFERROR(__xludf.DUMMYFUNCTION("""COMPUTED_VALUE"""),"2055-06-04T15:59:14.269791Z")</f>
        <v>2055-06-04T15:59:14.269791Z</v>
      </c>
      <c r="T521" s="3"/>
      <c r="U521" s="4">
        <f ca="1">IFERROR(__xludf.DUMMYFUNCTION("""COMPUTED_VALUE"""),56769)</f>
        <v>56769</v>
      </c>
      <c r="V521" s="3">
        <f ca="1">IFERROR(__xludf.DUMMYFUNCTION("""COMPUTED_VALUE"""),4.6)</f>
        <v>4.5999999999999996</v>
      </c>
      <c r="W521" s="3">
        <f ca="1">IFERROR(__xludf.DUMMYFUNCTION("""COMPUTED_VALUE"""),2500)</f>
        <v>2500</v>
      </c>
      <c r="X521" s="3">
        <f ca="1">IFERROR(__xludf.DUMMYFUNCTION("""COMPUTED_VALUE"""),1743)</f>
        <v>1743</v>
      </c>
      <c r="Y521" s="3">
        <f ca="1">IFERROR(__xludf.DUMMYFUNCTION("""COMPUTED_VALUE"""),490)</f>
        <v>490</v>
      </c>
      <c r="Z521" s="3">
        <f ca="1">IFERROR(__xludf.DUMMYFUNCTION("""COMPUTED_VALUE"""),79)</f>
        <v>79</v>
      </c>
      <c r="AA521" s="3">
        <f ca="1">IFERROR(__xludf.DUMMYFUNCTION("""COMPUTED_VALUE"""),1174)</f>
        <v>1174</v>
      </c>
      <c r="AB521" s="3">
        <f ca="1">IFERROR(__xludf.DUMMYFUNCTION("""COMPUTED_VALUE"""),0)</f>
        <v>0</v>
      </c>
      <c r="AC521" s="3">
        <f ca="1">IFERROR(__xludf.DUMMYFUNCTION("""COMPUTED_VALUE"""),4)</f>
        <v>4</v>
      </c>
      <c r="AD521" s="3" t="str">
        <f ca="1">IFERROR(__xludf.DUMMYFUNCTION("""COMPUTED_VALUE"""),"on time")</f>
        <v>on time</v>
      </c>
      <c r="AE521" s="3" t="str">
        <f ca="1">IFERROR(__xludf.DUMMYFUNCTION("""COMPUTED_VALUE"""),"2055-06-04T12:00:33.5499Z")</f>
        <v>2055-06-04T12:00:33.5499Z</v>
      </c>
      <c r="AF521" s="3" t="str">
        <f ca="1">IFERROR(__xludf.DUMMYFUNCTION("""COMPUTED_VALUE"""),"2055-06-04T12:20:07.58934Z")</f>
        <v>2055-06-04T12:20:07.58934Z</v>
      </c>
      <c r="AG521" s="3" t="str">
        <f ca="1">IFERROR(__xludf.DUMMYFUNCTION("""COMPUTED_VALUE"""),"2055-06-04T11:50:54.476857Z")</f>
        <v>2055-06-04T11:50:54.476857Z</v>
      </c>
      <c r="AH521" s="3" t="str">
        <f ca="1">IFERROR(__xludf.DUMMYFUNCTION("""COMPUTED_VALUE"""),"2055-06-04T11:59:14.269791Z")</f>
        <v>2055-06-04T11:59:14.269791Z</v>
      </c>
      <c r="AI521" s="3">
        <f ca="1">IFERROR(__xludf.DUMMYFUNCTION("""COMPUTED_VALUE"""),4.03)</f>
        <v>4.03</v>
      </c>
      <c r="AJ521" s="3">
        <f ca="1">IFERROR(__xludf.DUMMYFUNCTION("""COMPUTED_VALUE"""),505)</f>
        <v>505</v>
      </c>
      <c r="AK521" s="3">
        <f ca="1">IFERROR(__xludf.DUMMYFUNCTION("""COMPUTED_VALUE"""),1721)</f>
        <v>1721</v>
      </c>
      <c r="AL521" s="3">
        <f ca="1">IFERROR(__xludf.DUMMYFUNCTION("""COMPUTED_VALUE"""),457)</f>
        <v>457</v>
      </c>
    </row>
    <row r="522" spans="1:38" ht="13">
      <c r="A522" s="3">
        <f ca="1">IFERROR(__xludf.DUMMYFUNCTION("""COMPUTED_VALUE"""),1014)</f>
        <v>1014</v>
      </c>
      <c r="B522" s="3"/>
      <c r="C522" s="3">
        <f ca="1">IFERROR(__xludf.DUMMYFUNCTION("""COMPUTED_VALUE"""),4001)</f>
        <v>4001</v>
      </c>
      <c r="D522" s="3" t="str">
        <f ca="1">IFERROR(__xludf.DUMMYFUNCTION("""COMPUTED_VALUE"""),"Dashattan")</f>
        <v>Dashattan</v>
      </c>
      <c r="E522" s="3" t="str">
        <f ca="1">IFERROR(__xludf.DUMMYFUNCTION("""COMPUTED_VALUE"""),"Galaxy A")</f>
        <v>Galaxy A</v>
      </c>
      <c r="F522" s="3" t="str">
        <f ca="1">IFERROR(__xludf.DUMMYFUNCTION("""COMPUTED_VALUE"""),"Sean")</f>
        <v>Sean</v>
      </c>
      <c r="G522" s="3">
        <f ca="1">IFERROR(__xludf.DUMMYFUNCTION("""COMPUTED_VALUE"""),0)</f>
        <v>0</v>
      </c>
      <c r="H522" s="3" t="str">
        <f ca="1">IFERROR(__xludf.DUMMYFUNCTION("""COMPUTED_VALUE"""),"bicycle")</f>
        <v>bicycle</v>
      </c>
      <c r="I522" s="3" t="str">
        <f ca="1">IFERROR(__xludf.DUMMYFUNCTION("""COMPUTED_VALUE"""),"2055-06-09T14:53:42.660756Z")</f>
        <v>2055-06-09T14:53:42.660756Z</v>
      </c>
      <c r="J522" s="3" t="str">
        <f ca="1">IFERROR(__xludf.DUMMYFUNCTION("""COMPUTED_VALUE"""),"2055-06-09T15:21:19.774Z")</f>
        <v>2055-06-09T15:21:19.774Z</v>
      </c>
      <c r="K522" s="3" t="str">
        <f ca="1">IFERROR(__xludf.DUMMYFUNCTION("""COMPUTED_VALUE"""),"2055-06-09T15:17:26.774Z")</f>
        <v>2055-06-09T15:17:26.774Z</v>
      </c>
      <c r="L522" s="3">
        <f ca="1">IFERROR(__xludf.DUMMYFUNCTION("""COMPUTED_VALUE"""),1)</f>
        <v>1</v>
      </c>
      <c r="M522" s="3">
        <f ca="1">IFERROR(__xludf.DUMMYFUNCTION("""COMPUTED_VALUE"""),0)</f>
        <v>0</v>
      </c>
      <c r="N522" s="3" t="str">
        <f ca="1">IFERROR(__xludf.DUMMYFUNCTION("""COMPUTED_VALUE"""),"2055-06-09T15:13:23.803629Z")</f>
        <v>2055-06-09T15:13:23.803629Z</v>
      </c>
      <c r="O522" s="3" t="str">
        <f ca="1">IFERROR(__xludf.DUMMYFUNCTION("""COMPUTED_VALUE"""),"2055-06-09T15:17:23.012506Z")</f>
        <v>2055-06-09T15:17:23.012506Z</v>
      </c>
      <c r="P522" s="3" t="str">
        <f ca="1">IFERROR(__xludf.DUMMYFUNCTION("""COMPUTED_VALUE"""),"2055-06-09T15:03:14.366956Z")</f>
        <v>2055-06-09T15:03:14.366956Z</v>
      </c>
      <c r="Q522" s="3">
        <f ca="1">IFERROR(__xludf.DUMMYFUNCTION("""COMPUTED_VALUE"""),0)</f>
        <v>0</v>
      </c>
      <c r="R522" s="3" t="str">
        <f ca="1">IFERROR(__xludf.DUMMYFUNCTION("""COMPUTED_VALUE"""),"2055-06-09T15:03:53.456466Z")</f>
        <v>2055-06-09T15:03:53.456466Z</v>
      </c>
      <c r="S522" s="3" t="str">
        <f ca="1">IFERROR(__xludf.DUMMYFUNCTION("""COMPUTED_VALUE"""),"2055-06-09T15:14:47.50551Z")</f>
        <v>2055-06-09T15:14:47.50551Z</v>
      </c>
      <c r="T522" s="3"/>
      <c r="U522" s="4">
        <f ca="1">IFERROR(__xludf.DUMMYFUNCTION("""COMPUTED_VALUE"""),56774)</f>
        <v>56774</v>
      </c>
      <c r="V522" s="3">
        <f ca="1">IFERROR(__xludf.DUMMYFUNCTION("""COMPUTED_VALUE"""),3.979211633)</f>
        <v>3.9792116329999998</v>
      </c>
      <c r="W522" s="3">
        <f ca="1">IFERROR(__xludf.DUMMYFUNCTION("""COMPUTED_VALUE"""),2500)</f>
        <v>2500</v>
      </c>
      <c r="X522" s="3">
        <f ca="1">IFERROR(__xludf.DUMMYFUNCTION("""COMPUTED_VALUE"""),810)</f>
        <v>810</v>
      </c>
      <c r="Y522" s="3">
        <f ca="1">IFERROR(__xludf.DUMMYFUNCTION("""COMPUTED_VALUE"""),654)</f>
        <v>654</v>
      </c>
      <c r="Z522" s="3"/>
      <c r="AA522" s="3">
        <f ca="1">IFERROR(__xludf.DUMMYFUNCTION("""COMPUTED_VALUE"""),240)</f>
        <v>240</v>
      </c>
      <c r="AB522" s="3">
        <f ca="1">IFERROR(__xludf.DUMMYFUNCTION("""COMPUTED_VALUE"""),0)</f>
        <v>0</v>
      </c>
      <c r="AC522" s="3">
        <f ca="1">IFERROR(__xludf.DUMMYFUNCTION("""COMPUTED_VALUE"""),4)</f>
        <v>4</v>
      </c>
      <c r="AD522" s="3" t="str">
        <f ca="1">IFERROR(__xludf.DUMMYFUNCTION("""COMPUTED_VALUE"""),"late")</f>
        <v>late</v>
      </c>
      <c r="AE522" s="3" t="str">
        <f ca="1">IFERROR(__xludf.DUMMYFUNCTION("""COMPUTED_VALUE"""),"2055-06-09T11:13:23.803629Z")</f>
        <v>2055-06-09T11:13:23.803629Z</v>
      </c>
      <c r="AF522" s="3" t="str">
        <f ca="1">IFERROR(__xludf.DUMMYFUNCTION("""COMPUTED_VALUE"""),"2055-06-09T11:17:23.012506Z")</f>
        <v>2055-06-09T11:17:23.012506Z</v>
      </c>
      <c r="AG522" s="3" t="str">
        <f ca="1">IFERROR(__xludf.DUMMYFUNCTION("""COMPUTED_VALUE"""),"2055-06-09T11:03:14.366956Z")</f>
        <v>2055-06-09T11:03:14.366956Z</v>
      </c>
      <c r="AH522" s="3" t="str">
        <f ca="1">IFERROR(__xludf.DUMMYFUNCTION("""COMPUTED_VALUE"""),"2055-06-09T11:14:47.50551Z")</f>
        <v>2055-06-09T11:14:47.50551Z</v>
      </c>
      <c r="AI522" s="3">
        <f ca="1">IFERROR(__xludf.DUMMYFUNCTION("""COMPUTED_VALUE"""),4.52)</f>
        <v>4.5199999999999996</v>
      </c>
      <c r="AJ522" s="3">
        <f ca="1">IFERROR(__xludf.DUMMYFUNCTION("""COMPUTED_VALUE"""),183)</f>
        <v>183</v>
      </c>
      <c r="AK522" s="3">
        <f ca="1">IFERROR(__xludf.DUMMYFUNCTION("""COMPUTED_VALUE"""),522)</f>
        <v>522</v>
      </c>
      <c r="AL522" s="3"/>
    </row>
    <row r="523" spans="1:38" ht="13">
      <c r="A523" s="3">
        <f ca="1">IFERROR(__xludf.DUMMYFUNCTION("""COMPUTED_VALUE"""),1244)</f>
        <v>1244</v>
      </c>
      <c r="B523" s="3"/>
      <c r="C523" s="3">
        <f ca="1">IFERROR(__xludf.DUMMYFUNCTION("""COMPUTED_VALUE"""),4001)</f>
        <v>4001</v>
      </c>
      <c r="D523" s="3" t="str">
        <f ca="1">IFERROR(__xludf.DUMMYFUNCTION("""COMPUTED_VALUE"""),"Dashattan")</f>
        <v>Dashattan</v>
      </c>
      <c r="E523" s="3" t="str">
        <f ca="1">IFERROR(__xludf.DUMMYFUNCTION("""COMPUTED_VALUE"""),"Galaxy A")</f>
        <v>Galaxy A</v>
      </c>
      <c r="F523" s="3" t="str">
        <f ca="1">IFERROR(__xludf.DUMMYFUNCTION("""COMPUTED_VALUE"""),"KC")</f>
        <v>KC</v>
      </c>
      <c r="G523" s="3">
        <f ca="1">IFERROR(__xludf.DUMMYFUNCTION("""COMPUTED_VALUE"""),0)</f>
        <v>0</v>
      </c>
      <c r="H523" s="3" t="str">
        <f ca="1">IFERROR(__xludf.DUMMYFUNCTION("""COMPUTED_VALUE"""),"car")</f>
        <v>car</v>
      </c>
      <c r="I523" s="3" t="str">
        <f ca="1">IFERROR(__xludf.DUMMYFUNCTION("""COMPUTED_VALUE"""),"2055-06-11T15:30:48.169216Z")</f>
        <v>2055-06-11T15:30:48.169216Z</v>
      </c>
      <c r="J523" s="3" t="str">
        <f ca="1">IFERROR(__xludf.DUMMYFUNCTION("""COMPUTED_VALUE"""),"2055-06-11T16:35:50.245Z")</f>
        <v>2055-06-11T16:35:50.245Z</v>
      </c>
      <c r="K523" s="3" t="str">
        <f ca="1">IFERROR(__xludf.DUMMYFUNCTION("""COMPUTED_VALUE"""),"2055-06-11T16:16:57.245Z")</f>
        <v>2055-06-11T16:16:57.245Z</v>
      </c>
      <c r="L523" s="3">
        <f ca="1">IFERROR(__xludf.DUMMYFUNCTION("""COMPUTED_VALUE"""),1)</f>
        <v>1</v>
      </c>
      <c r="M523" s="3">
        <f ca="1">IFERROR(__xludf.DUMMYFUNCTION("""COMPUTED_VALUE"""),0)</f>
        <v>0</v>
      </c>
      <c r="N523" s="3" t="str">
        <f ca="1">IFERROR(__xludf.DUMMYFUNCTION("""COMPUTED_VALUE"""),"2055-06-11T15:45:31.241001Z")</f>
        <v>2055-06-11T15:45:31.241001Z</v>
      </c>
      <c r="O523" s="3" t="str">
        <f ca="1">IFERROR(__xludf.DUMMYFUNCTION("""COMPUTED_VALUE"""),"2055-06-11T15:57:15.223822Z")</f>
        <v>2055-06-11T15:57:15.223822Z</v>
      </c>
      <c r="P523" s="3" t="str">
        <f ca="1">IFERROR(__xludf.DUMMYFUNCTION("""COMPUTED_VALUE"""),"2055-06-11T15:30:54.191141Z")</f>
        <v>2055-06-11T15:30:54.191141Z</v>
      </c>
      <c r="Q523" s="3">
        <f ca="1">IFERROR(__xludf.DUMMYFUNCTION("""COMPUTED_VALUE"""),0)</f>
        <v>0</v>
      </c>
      <c r="R523" s="3" t="str">
        <f ca="1">IFERROR(__xludf.DUMMYFUNCTION("""COMPUTED_VALUE"""),"2055-06-11T15:31:08.254332Z")</f>
        <v>2055-06-11T15:31:08.254332Z</v>
      </c>
      <c r="S523" s="3" t="str">
        <f ca="1">IFERROR(__xludf.DUMMYFUNCTION("""COMPUTED_VALUE"""),"2055-06-11T15:35:01.260705Z")</f>
        <v>2055-06-11T15:35:01.260705Z</v>
      </c>
      <c r="T523" s="3"/>
      <c r="U523" s="4">
        <f ca="1">IFERROR(__xludf.DUMMYFUNCTION("""COMPUTED_VALUE"""),56776)</f>
        <v>56776</v>
      </c>
      <c r="V523" s="3">
        <f ca="1">IFERROR(__xludf.DUMMYFUNCTION("""COMPUTED_VALUE"""),4.4)</f>
        <v>4.4000000000000004</v>
      </c>
      <c r="W523" s="3">
        <f ca="1">IFERROR(__xludf.DUMMYFUNCTION("""COMPUTED_VALUE"""),2500)</f>
        <v>2500</v>
      </c>
      <c r="X523" s="3">
        <f ca="1">IFERROR(__xludf.DUMMYFUNCTION("""COMPUTED_VALUE"""),1567)</f>
        <v>1567</v>
      </c>
      <c r="Y523" s="3">
        <f ca="1">IFERROR(__xludf.DUMMYFUNCTION("""COMPUTED_VALUE"""),233)</f>
        <v>233</v>
      </c>
      <c r="Z523" s="3">
        <f ca="1">IFERROR(__xludf.DUMMYFUNCTION("""COMPUTED_VALUE"""),630)</f>
        <v>630</v>
      </c>
      <c r="AA523" s="3">
        <f ca="1">IFERROR(__xludf.DUMMYFUNCTION("""COMPUTED_VALUE"""),704)</f>
        <v>704</v>
      </c>
      <c r="AB523" s="3">
        <f ca="1">IFERROR(__xludf.DUMMYFUNCTION("""COMPUTED_VALUE"""),0)</f>
        <v>0</v>
      </c>
      <c r="AC523" s="3">
        <f ca="1">IFERROR(__xludf.DUMMYFUNCTION("""COMPUTED_VALUE"""),4)</f>
        <v>4</v>
      </c>
      <c r="AD523" s="3" t="str">
        <f ca="1">IFERROR(__xludf.DUMMYFUNCTION("""COMPUTED_VALUE"""),"early")</f>
        <v>early</v>
      </c>
      <c r="AE523" s="3" t="str">
        <f ca="1">IFERROR(__xludf.DUMMYFUNCTION("""COMPUTED_VALUE"""),"2055-06-11T11:45:31.241001Z")</f>
        <v>2055-06-11T11:45:31.241001Z</v>
      </c>
      <c r="AF523" s="3" t="str">
        <f ca="1">IFERROR(__xludf.DUMMYFUNCTION("""COMPUTED_VALUE"""),"2055-06-11T11:57:15.223822Z")</f>
        <v>2055-06-11T11:57:15.223822Z</v>
      </c>
      <c r="AG523" s="3" t="str">
        <f ca="1">IFERROR(__xludf.DUMMYFUNCTION("""COMPUTED_VALUE"""),"2055-06-11T11:30:54.191141Z")</f>
        <v>2055-06-11T11:30:54.191141Z</v>
      </c>
      <c r="AH523" s="3" t="str">
        <f ca="1">IFERROR(__xludf.DUMMYFUNCTION("""COMPUTED_VALUE"""),"2055-06-11T11:35:01.260705Z")</f>
        <v>2055-06-11T11:35:01.260705Z</v>
      </c>
      <c r="AI523" s="3">
        <f ca="1">IFERROR(__xludf.DUMMYFUNCTION("""COMPUTED_VALUE"""),4.54)</f>
        <v>4.54</v>
      </c>
      <c r="AJ523" s="3">
        <f ca="1">IFERROR(__xludf.DUMMYFUNCTION("""COMPUTED_VALUE"""),2229)</f>
        <v>2229</v>
      </c>
      <c r="AK523" s="3">
        <f ca="1">IFERROR(__xludf.DUMMYFUNCTION("""COMPUTED_VALUE"""),6580)</f>
        <v>6580</v>
      </c>
      <c r="AL523" s="3"/>
    </row>
    <row r="524" spans="1:38" ht="13">
      <c r="A524" s="3">
        <f ca="1">IFERROR(__xludf.DUMMYFUNCTION("""COMPUTED_VALUE"""),463)</f>
        <v>463</v>
      </c>
      <c r="B524" s="3"/>
      <c r="C524" s="3">
        <f ca="1">IFERROR(__xludf.DUMMYFUNCTION("""COMPUTED_VALUE"""),4001)</f>
        <v>4001</v>
      </c>
      <c r="D524" s="3" t="str">
        <f ca="1">IFERROR(__xludf.DUMMYFUNCTION("""COMPUTED_VALUE"""),"Dashattan")</f>
        <v>Dashattan</v>
      </c>
      <c r="E524" s="3" t="str">
        <f ca="1">IFERROR(__xludf.DUMMYFUNCTION("""COMPUTED_VALUE"""),"Galaxy A")</f>
        <v>Galaxy A</v>
      </c>
      <c r="F524" s="3" t="str">
        <f ca="1">IFERROR(__xludf.DUMMYFUNCTION("""COMPUTED_VALUE"""),"Bunje")</f>
        <v>Bunje</v>
      </c>
      <c r="G524" s="3">
        <f ca="1">IFERROR(__xludf.DUMMYFUNCTION("""COMPUTED_VALUE"""),0)</f>
        <v>0</v>
      </c>
      <c r="H524" s="3" t="str">
        <f ca="1">IFERROR(__xludf.DUMMYFUNCTION("""COMPUTED_VALUE"""),"bicycle")</f>
        <v>bicycle</v>
      </c>
      <c r="I524" s="3" t="str">
        <f ca="1">IFERROR(__xludf.DUMMYFUNCTION("""COMPUTED_VALUE"""),"2055-06-04T22:29:34.720725Z")</f>
        <v>2055-06-04T22:29:34.720725Z</v>
      </c>
      <c r="J524" s="3" t="str">
        <f ca="1">IFERROR(__xludf.DUMMYFUNCTION("""COMPUTED_VALUE"""),"2055-06-04T23:35:48.774Z")</f>
        <v>2055-06-04T23:35:48.774Z</v>
      </c>
      <c r="K524" s="3" t="str">
        <f ca="1">IFERROR(__xludf.DUMMYFUNCTION("""COMPUTED_VALUE"""),"2055-06-04T23:16:55.774Z")</f>
        <v>2055-06-04T23:16:55.774Z</v>
      </c>
      <c r="L524" s="3">
        <f ca="1">IFERROR(__xludf.DUMMYFUNCTION("""COMPUTED_VALUE"""),1)</f>
        <v>1</v>
      </c>
      <c r="M524" s="3">
        <f ca="1">IFERROR(__xludf.DUMMYFUNCTION("""COMPUTED_VALUE"""),0)</f>
        <v>0</v>
      </c>
      <c r="N524" s="3" t="str">
        <f ca="1">IFERROR(__xludf.DUMMYFUNCTION("""COMPUTED_VALUE"""),"2055-06-04T22:43:02.043991Z")</f>
        <v>2055-06-04T22:43:02.043991Z</v>
      </c>
      <c r="O524" s="3" t="str">
        <f ca="1">IFERROR(__xludf.DUMMYFUNCTION("""COMPUTED_VALUE"""),"2055-06-04T23:07:14.491928Z")</f>
        <v>2055-06-04T23:07:14.491928Z</v>
      </c>
      <c r="P524" s="3" t="str">
        <f ca="1">IFERROR(__xludf.DUMMYFUNCTION("""COMPUTED_VALUE"""),"2055-06-04T22:29:54.621939Z")</f>
        <v>2055-06-04T22:29:54.621939Z</v>
      </c>
      <c r="Q524" s="3">
        <f ca="1">IFERROR(__xludf.DUMMYFUNCTION("""COMPUTED_VALUE"""),0)</f>
        <v>0</v>
      </c>
      <c r="R524" s="3" t="str">
        <f ca="1">IFERROR(__xludf.DUMMYFUNCTION("""COMPUTED_VALUE"""),"2055-06-04T22:30:12.276683Z")</f>
        <v>2055-06-04T22:30:12.276683Z</v>
      </c>
      <c r="S524" s="3" t="str">
        <f ca="1">IFERROR(__xludf.DUMMYFUNCTION("""COMPUTED_VALUE"""),"2055-06-04T22:39:37.925547Z")</f>
        <v>2055-06-04T22:39:37.925547Z</v>
      </c>
      <c r="T524" s="3"/>
      <c r="U524" s="4">
        <f ca="1">IFERROR(__xludf.DUMMYFUNCTION("""COMPUTED_VALUE"""),56769)</f>
        <v>56769</v>
      </c>
      <c r="V524" s="3">
        <f ca="1">IFERROR(__xludf.DUMMYFUNCTION("""COMPUTED_VALUE"""),4.5)</f>
        <v>4.5</v>
      </c>
      <c r="W524" s="3">
        <f ca="1">IFERROR(__xludf.DUMMYFUNCTION("""COMPUTED_VALUE"""),2500)</f>
        <v>2500</v>
      </c>
      <c r="X524" s="3">
        <f ca="1">IFERROR(__xludf.DUMMYFUNCTION("""COMPUTED_VALUE"""),2222)</f>
        <v>2222</v>
      </c>
      <c r="Y524" s="3">
        <f ca="1">IFERROR(__xludf.DUMMYFUNCTION("""COMPUTED_VALUE"""),565)</f>
        <v>565</v>
      </c>
      <c r="Z524" s="3">
        <f ca="1">IFERROR(__xludf.DUMMYFUNCTION("""COMPUTED_VALUE"""),205)</f>
        <v>205</v>
      </c>
      <c r="AA524" s="3">
        <f ca="1">IFERROR(__xludf.DUMMYFUNCTION("""COMPUTED_VALUE"""),1452)</f>
        <v>1452</v>
      </c>
      <c r="AB524" s="3">
        <f ca="1">IFERROR(__xludf.DUMMYFUNCTION("""COMPUTED_VALUE"""),0)</f>
        <v>0</v>
      </c>
      <c r="AC524" s="3">
        <f ca="1">IFERROR(__xludf.DUMMYFUNCTION("""COMPUTED_VALUE"""),2)</f>
        <v>2</v>
      </c>
      <c r="AD524" s="3" t="str">
        <f ca="1">IFERROR(__xludf.DUMMYFUNCTION("""COMPUTED_VALUE"""),"early")</f>
        <v>early</v>
      </c>
      <c r="AE524" s="3" t="str">
        <f ca="1">IFERROR(__xludf.DUMMYFUNCTION("""COMPUTED_VALUE"""),"2055-06-04T18:43:02.043991Z")</f>
        <v>2055-06-04T18:43:02.043991Z</v>
      </c>
      <c r="AF524" s="3" t="str">
        <f ca="1">IFERROR(__xludf.DUMMYFUNCTION("""COMPUTED_VALUE"""),"2055-06-04T19:07:14.491928Z")</f>
        <v>2055-06-04T19:07:14.491928Z</v>
      </c>
      <c r="AG524" s="3" t="str">
        <f ca="1">IFERROR(__xludf.DUMMYFUNCTION("""COMPUTED_VALUE"""),"2055-06-04T18:29:54.621939Z")</f>
        <v>2055-06-04T18:29:54.621939Z</v>
      </c>
      <c r="AH524" s="3" t="str">
        <f ca="1">IFERROR(__xludf.DUMMYFUNCTION("""COMPUTED_VALUE"""),"2055-06-04T18:39:37.925547Z")</f>
        <v>2055-06-04T18:39:37.925547Z</v>
      </c>
      <c r="AI524" s="3">
        <f ca="1">IFERROR(__xludf.DUMMYFUNCTION("""COMPUTED_VALUE"""),4.7)</f>
        <v>4.7</v>
      </c>
      <c r="AJ524" s="3">
        <f ca="1">IFERROR(__xludf.DUMMYFUNCTION("""COMPUTED_VALUE"""),443)</f>
        <v>443</v>
      </c>
      <c r="AK524" s="3">
        <f ca="1">IFERROR(__xludf.DUMMYFUNCTION("""COMPUTED_VALUE"""),1579)</f>
        <v>1579</v>
      </c>
      <c r="AL524" s="3"/>
    </row>
    <row r="525" spans="1:38" ht="13">
      <c r="A525" s="3">
        <f ca="1">IFERROR(__xludf.DUMMYFUNCTION("""COMPUTED_VALUE"""),987)</f>
        <v>987</v>
      </c>
      <c r="B525" s="3"/>
      <c r="C525" s="3">
        <f ca="1">IFERROR(__xludf.DUMMYFUNCTION("""COMPUTED_VALUE"""),4001)</f>
        <v>4001</v>
      </c>
      <c r="D525" s="3" t="str">
        <f ca="1">IFERROR(__xludf.DUMMYFUNCTION("""COMPUTED_VALUE"""),"Dashattan")</f>
        <v>Dashattan</v>
      </c>
      <c r="E525" s="3" t="str">
        <f ca="1">IFERROR(__xludf.DUMMYFUNCTION("""COMPUTED_VALUE"""),"Galaxy A")</f>
        <v>Galaxy A</v>
      </c>
      <c r="F525" s="3" t="str">
        <f ca="1">IFERROR(__xludf.DUMMYFUNCTION("""COMPUTED_VALUE"""),"KC")</f>
        <v>KC</v>
      </c>
      <c r="G525" s="3">
        <f ca="1">IFERROR(__xludf.DUMMYFUNCTION("""COMPUTED_VALUE"""),0)</f>
        <v>0</v>
      </c>
      <c r="H525" s="3" t="str">
        <f ca="1">IFERROR(__xludf.DUMMYFUNCTION("""COMPUTED_VALUE"""),"car")</f>
        <v>car</v>
      </c>
      <c r="I525" s="3" t="str">
        <f ca="1">IFERROR(__xludf.DUMMYFUNCTION("""COMPUTED_VALUE"""),"2055-06-08T23:35:38.152262Z")</f>
        <v>2055-06-08T23:35:38.152262Z</v>
      </c>
      <c r="J525" s="3" t="str">
        <f ca="1">IFERROR(__xludf.DUMMYFUNCTION("""COMPUTED_VALUE"""),"2055-06-09T00:08:30.208Z")</f>
        <v>2055-06-09T00:08:30.208Z</v>
      </c>
      <c r="K525" s="3" t="str">
        <f ca="1">IFERROR(__xludf.DUMMYFUNCTION("""COMPUTED_VALUE"""),"2055-06-09T00:03:23.208Z")</f>
        <v>2055-06-09T00:03:23.208Z</v>
      </c>
      <c r="L525" s="3">
        <f ca="1">IFERROR(__xludf.DUMMYFUNCTION("""COMPUTED_VALUE"""),1)</f>
        <v>1</v>
      </c>
      <c r="M525" s="3">
        <f ca="1">IFERROR(__xludf.DUMMYFUNCTION("""COMPUTED_VALUE"""),0)</f>
        <v>0</v>
      </c>
      <c r="N525" s="3" t="str">
        <f ca="1">IFERROR(__xludf.DUMMYFUNCTION("""COMPUTED_VALUE"""),"2055-06-08T23:48:40.308248Z")</f>
        <v>2055-06-08T23:48:40.308248Z</v>
      </c>
      <c r="O525" s="3" t="str">
        <f ca="1">IFERROR(__xludf.DUMMYFUNCTION("""COMPUTED_VALUE"""),"2055-06-08T23:58:21.91506Z")</f>
        <v>2055-06-08T23:58:21.91506Z</v>
      </c>
      <c r="P525" s="3" t="str">
        <f ca="1">IFERROR(__xludf.DUMMYFUNCTION("""COMPUTED_VALUE"""),"2055-06-08T23:39:14.702346Z")</f>
        <v>2055-06-08T23:39:14.702346Z</v>
      </c>
      <c r="Q525" s="3">
        <f ca="1">IFERROR(__xludf.DUMMYFUNCTION("""COMPUTED_VALUE"""),0)</f>
        <v>0</v>
      </c>
      <c r="R525" s="3" t="str">
        <f ca="1">IFERROR(__xludf.DUMMYFUNCTION("""COMPUTED_VALUE"""),"2055-06-08T23:39:34.343083Z")</f>
        <v>2055-06-08T23:39:34.343083Z</v>
      </c>
      <c r="S525" s="3" t="str">
        <f ca="1">IFERROR(__xludf.DUMMYFUNCTION("""COMPUTED_VALUE"""),"2055-06-08T23:41:56.045432Z")</f>
        <v>2055-06-08T23:41:56.045432Z</v>
      </c>
      <c r="T525" s="3"/>
      <c r="U525" s="4">
        <f ca="1">IFERROR(__xludf.DUMMYFUNCTION("""COMPUTED_VALUE"""),56773)</f>
        <v>56773</v>
      </c>
      <c r="V525" s="3">
        <f ca="1">IFERROR(__xludf.DUMMYFUNCTION("""COMPUTED_VALUE"""),4.5)</f>
        <v>4.5</v>
      </c>
      <c r="W525" s="3">
        <f ca="1">IFERROR(__xludf.DUMMYFUNCTION("""COMPUTED_VALUE"""),2500)</f>
        <v>2500</v>
      </c>
      <c r="X525" s="3">
        <f ca="1">IFERROR(__xludf.DUMMYFUNCTION("""COMPUTED_VALUE"""),1127)</f>
        <v>1127</v>
      </c>
      <c r="Y525" s="3">
        <f ca="1">IFERROR(__xludf.DUMMYFUNCTION("""COMPUTED_VALUE"""),142)</f>
        <v>142</v>
      </c>
      <c r="Z525" s="3">
        <f ca="1">IFERROR(__xludf.DUMMYFUNCTION("""COMPUTED_VALUE"""),404)</f>
        <v>404</v>
      </c>
      <c r="AA525" s="3">
        <f ca="1">IFERROR(__xludf.DUMMYFUNCTION("""COMPUTED_VALUE"""),581)</f>
        <v>581</v>
      </c>
      <c r="AB525" s="3">
        <f ca="1">IFERROR(__xludf.DUMMYFUNCTION("""COMPUTED_VALUE"""),0)</f>
        <v>0</v>
      </c>
      <c r="AC525" s="3">
        <f ca="1">IFERROR(__xludf.DUMMYFUNCTION("""COMPUTED_VALUE"""),3)</f>
        <v>3</v>
      </c>
      <c r="AD525" s="3" t="str">
        <f ca="1">IFERROR(__xludf.DUMMYFUNCTION("""COMPUTED_VALUE"""),"early")</f>
        <v>early</v>
      </c>
      <c r="AE525" s="3" t="str">
        <f ca="1">IFERROR(__xludf.DUMMYFUNCTION("""COMPUTED_VALUE"""),"2055-06-08T19:48:40.308248Z")</f>
        <v>2055-06-08T19:48:40.308248Z</v>
      </c>
      <c r="AF525" s="3" t="str">
        <f ca="1">IFERROR(__xludf.DUMMYFUNCTION("""COMPUTED_VALUE"""),"2055-06-08T19:58:21.91506Z")</f>
        <v>2055-06-08T19:58:21.91506Z</v>
      </c>
      <c r="AG525" s="3" t="str">
        <f ca="1">IFERROR(__xludf.DUMMYFUNCTION("""COMPUTED_VALUE"""),"2055-06-08T19:39:14.702346Z")</f>
        <v>2055-06-08T19:39:14.702346Z</v>
      </c>
      <c r="AH525" s="3" t="str">
        <f ca="1">IFERROR(__xludf.DUMMYFUNCTION("""COMPUTED_VALUE"""),"2055-06-08T19:41:56.045432Z")</f>
        <v>2055-06-08T19:41:56.045432Z</v>
      </c>
      <c r="AI525" s="3">
        <f ca="1">IFERROR(__xludf.DUMMYFUNCTION("""COMPUTED_VALUE"""),4.54)</f>
        <v>4.54</v>
      </c>
      <c r="AJ525" s="3">
        <f ca="1">IFERROR(__xludf.DUMMYFUNCTION("""COMPUTED_VALUE"""),2229)</f>
        <v>2229</v>
      </c>
      <c r="AK525" s="3">
        <f ca="1">IFERROR(__xludf.DUMMYFUNCTION("""COMPUTED_VALUE"""),6580)</f>
        <v>6580</v>
      </c>
      <c r="AL525" s="3"/>
    </row>
    <row r="526" spans="1:38" ht="13">
      <c r="A526" s="3">
        <f ca="1">IFERROR(__xludf.DUMMYFUNCTION("""COMPUTED_VALUE"""),1494)</f>
        <v>1494</v>
      </c>
      <c r="B526" s="3"/>
      <c r="C526" s="3">
        <f ca="1">IFERROR(__xludf.DUMMYFUNCTION("""COMPUTED_VALUE"""),4001)</f>
        <v>4001</v>
      </c>
      <c r="D526" s="3" t="str">
        <f ca="1">IFERROR(__xludf.DUMMYFUNCTION("""COMPUTED_VALUE"""),"Dashattan")</f>
        <v>Dashattan</v>
      </c>
      <c r="E526" s="3" t="str">
        <f ca="1">IFERROR(__xludf.DUMMYFUNCTION("""COMPUTED_VALUE"""),"Galaxy A")</f>
        <v>Galaxy A</v>
      </c>
      <c r="F526" s="3" t="str">
        <f ca="1">IFERROR(__xludf.DUMMYFUNCTION("""COMPUTED_VALUE"""),"Rojan")</f>
        <v>Rojan</v>
      </c>
      <c r="G526" s="3">
        <f ca="1">IFERROR(__xludf.DUMMYFUNCTION("""COMPUTED_VALUE"""),0)</f>
        <v>0</v>
      </c>
      <c r="H526" s="3" t="str">
        <f ca="1">IFERROR(__xludf.DUMMYFUNCTION("""COMPUTED_VALUE"""),"bicycle")</f>
        <v>bicycle</v>
      </c>
      <c r="I526" s="3" t="str">
        <f ca="1">IFERROR(__xludf.DUMMYFUNCTION("""COMPUTED_VALUE"""),"2055-06-12T23:15:10.735779Z")</f>
        <v>2055-06-12T23:15:10.735779Z</v>
      </c>
      <c r="J526" s="3" t="str">
        <f ca="1">IFERROR(__xludf.DUMMYFUNCTION("""COMPUTED_VALUE"""),"2055-06-13T00:12:38.791Z")</f>
        <v>2055-06-13T00:12:38.791Z</v>
      </c>
      <c r="K526" s="3" t="str">
        <f ca="1">IFERROR(__xludf.DUMMYFUNCTION("""COMPUTED_VALUE"""),"2055-06-12T23:50:44.791Z")</f>
        <v>2055-06-12T23:50:44.791Z</v>
      </c>
      <c r="L526" s="3">
        <f ca="1">IFERROR(__xludf.DUMMYFUNCTION("""COMPUTED_VALUE"""),1)</f>
        <v>1</v>
      </c>
      <c r="M526" s="3">
        <f ca="1">IFERROR(__xludf.DUMMYFUNCTION("""COMPUTED_VALUE"""),0)</f>
        <v>0</v>
      </c>
      <c r="N526" s="3" t="str">
        <f ca="1">IFERROR(__xludf.DUMMYFUNCTION("""COMPUTED_VALUE"""),"2055-06-12T23:45:16.116259Z")</f>
        <v>2055-06-12T23:45:16.116259Z</v>
      </c>
      <c r="O526" s="3" t="str">
        <f ca="1">IFERROR(__xludf.DUMMYFUNCTION("""COMPUTED_VALUE"""),"2055-06-12T23:55:31.250463Z")</f>
        <v>2055-06-12T23:55:31.250463Z</v>
      </c>
      <c r="P526" s="3" t="str">
        <f ca="1">IFERROR(__xludf.DUMMYFUNCTION("""COMPUTED_VALUE"""),"2055-06-12T23:36:36.417847Z")</f>
        <v>2055-06-12T23:36:36.417847Z</v>
      </c>
      <c r="Q526" s="3">
        <f ca="1">IFERROR(__xludf.DUMMYFUNCTION("""COMPUTED_VALUE"""),0)</f>
        <v>0</v>
      </c>
      <c r="R526" s="3" t="str">
        <f ca="1">IFERROR(__xludf.DUMMYFUNCTION("""COMPUTED_VALUE"""),"2055-06-12T23:36:50.993037Z")</f>
        <v>2055-06-12T23:36:50.993037Z</v>
      </c>
      <c r="S526" s="3" t="str">
        <f ca="1">IFERROR(__xludf.DUMMYFUNCTION("""COMPUTED_VALUE"""),"2055-06-12T23:40:11.344508Z")</f>
        <v>2055-06-12T23:40:11.344508Z</v>
      </c>
      <c r="T526" s="3"/>
      <c r="U526" s="4">
        <f ca="1">IFERROR(__xludf.DUMMYFUNCTION("""COMPUTED_VALUE"""),56777)</f>
        <v>56777</v>
      </c>
      <c r="V526" s="3">
        <f ca="1">IFERROR(__xludf.DUMMYFUNCTION("""COMPUTED_VALUE"""),4.177199546)</f>
        <v>4.1771995459999998</v>
      </c>
      <c r="W526" s="3">
        <f ca="1">IFERROR(__xludf.DUMMYFUNCTION("""COMPUTED_VALUE"""),2500)</f>
        <v>2500</v>
      </c>
      <c r="X526" s="3">
        <f ca="1">IFERROR(__xludf.DUMMYFUNCTION("""COMPUTED_VALUE"""),1121)</f>
        <v>1121</v>
      </c>
      <c r="Y526" s="3">
        <f ca="1">IFERROR(__xludf.DUMMYFUNCTION("""COMPUTED_VALUE"""),201)</f>
        <v>201</v>
      </c>
      <c r="Z526" s="3">
        <f ca="1">IFERROR(__xludf.DUMMYFUNCTION("""COMPUTED_VALUE"""),305)</f>
        <v>305</v>
      </c>
      <c r="AA526" s="3">
        <f ca="1">IFERROR(__xludf.DUMMYFUNCTION("""COMPUTED_VALUE"""),615)</f>
        <v>615</v>
      </c>
      <c r="AB526" s="3">
        <f ca="1">IFERROR(__xludf.DUMMYFUNCTION("""COMPUTED_VALUE"""),0)</f>
        <v>0</v>
      </c>
      <c r="AC526" s="3">
        <f ca="1">IFERROR(__xludf.DUMMYFUNCTION("""COMPUTED_VALUE"""),1)</f>
        <v>1</v>
      </c>
      <c r="AD526" s="3" t="str">
        <f ca="1">IFERROR(__xludf.DUMMYFUNCTION("""COMPUTED_VALUE"""),"late")</f>
        <v>late</v>
      </c>
      <c r="AE526" s="3" t="str">
        <f ca="1">IFERROR(__xludf.DUMMYFUNCTION("""COMPUTED_VALUE"""),"2055-06-12T19:45:16.116259Z")</f>
        <v>2055-06-12T19:45:16.116259Z</v>
      </c>
      <c r="AF526" s="3" t="str">
        <f ca="1">IFERROR(__xludf.DUMMYFUNCTION("""COMPUTED_VALUE"""),"2055-06-12T19:55:31.250463Z")</f>
        <v>2055-06-12T19:55:31.250463Z</v>
      </c>
      <c r="AG526" s="3" t="str">
        <f ca="1">IFERROR(__xludf.DUMMYFUNCTION("""COMPUTED_VALUE"""),"2055-06-12T19:36:36.417847Z")</f>
        <v>2055-06-12T19:36:36.417847Z</v>
      </c>
      <c r="AH526" s="3" t="str">
        <f ca="1">IFERROR(__xludf.DUMMYFUNCTION("""COMPUTED_VALUE"""),"2055-06-12T19:40:11.344508Z")</f>
        <v>2055-06-12T19:40:11.344508Z</v>
      </c>
      <c r="AI526" s="3">
        <f ca="1">IFERROR(__xludf.DUMMYFUNCTION("""COMPUTED_VALUE"""),4.58)</f>
        <v>4.58</v>
      </c>
      <c r="AJ526" s="3">
        <f ca="1">IFERROR(__xludf.DUMMYFUNCTION("""COMPUTED_VALUE"""),254)</f>
        <v>254</v>
      </c>
      <c r="AK526" s="3">
        <f ca="1">IFERROR(__xludf.DUMMYFUNCTION("""COMPUTED_VALUE"""),788)</f>
        <v>788</v>
      </c>
      <c r="AL526" s="3">
        <f ca="1">IFERROR(__xludf.DUMMYFUNCTION("""COMPUTED_VALUE"""),9)</f>
        <v>9</v>
      </c>
    </row>
    <row r="527" spans="1:38" ht="13">
      <c r="A527" s="3">
        <f ca="1">IFERROR(__xludf.DUMMYFUNCTION("""COMPUTED_VALUE"""),1506)</f>
        <v>1506</v>
      </c>
      <c r="B527" s="3"/>
      <c r="C527" s="3">
        <f ca="1">IFERROR(__xludf.DUMMYFUNCTION("""COMPUTED_VALUE"""),4001)</f>
        <v>4001</v>
      </c>
      <c r="D527" s="3" t="str">
        <f ca="1">IFERROR(__xludf.DUMMYFUNCTION("""COMPUTED_VALUE"""),"Dashattan")</f>
        <v>Dashattan</v>
      </c>
      <c r="E527" s="3" t="str">
        <f ca="1">IFERROR(__xludf.DUMMYFUNCTION("""COMPUTED_VALUE"""),"Galaxy A")</f>
        <v>Galaxy A</v>
      </c>
      <c r="F527" s="3" t="str">
        <f ca="1">IFERROR(__xludf.DUMMYFUNCTION("""COMPUTED_VALUE"""),"J")</f>
        <v>J</v>
      </c>
      <c r="G527" s="3">
        <f ca="1">IFERROR(__xludf.DUMMYFUNCTION("""COMPUTED_VALUE"""),0)</f>
        <v>0</v>
      </c>
      <c r="H527" s="3" t="str">
        <f ca="1">IFERROR(__xludf.DUMMYFUNCTION("""COMPUTED_VALUE"""),"bicycle")</f>
        <v>bicycle</v>
      </c>
      <c r="I527" s="3" t="str">
        <f ca="1">IFERROR(__xludf.DUMMYFUNCTION("""COMPUTED_VALUE"""),"2055-06-12T23:43:18.597031Z")</f>
        <v>2055-06-12T23:43:18.597031Z</v>
      </c>
      <c r="J527" s="3" t="str">
        <f ca="1">IFERROR(__xludf.DUMMYFUNCTION("""COMPUTED_VALUE"""),"2055-06-13T00:48:49.663Z")</f>
        <v>2055-06-13T00:48:49.663Z</v>
      </c>
      <c r="K527" s="3" t="str">
        <f ca="1">IFERROR(__xludf.DUMMYFUNCTION("""COMPUTED_VALUE"""),"2055-06-13T00:25:31.663Z")</f>
        <v>2055-06-13T00:25:31.663Z</v>
      </c>
      <c r="L527" s="3">
        <f ca="1">IFERROR(__xludf.DUMMYFUNCTION("""COMPUTED_VALUE"""),1)</f>
        <v>1</v>
      </c>
      <c r="M527" s="3">
        <f ca="1">IFERROR(__xludf.DUMMYFUNCTION("""COMPUTED_VALUE"""),0)</f>
        <v>0</v>
      </c>
      <c r="N527" s="3" t="str">
        <f ca="1">IFERROR(__xludf.DUMMYFUNCTION("""COMPUTED_VALUE"""),"2055-06-13T00:01:24.036088Z")</f>
        <v>2055-06-13T00:01:24.036088Z</v>
      </c>
      <c r="O527" s="3" t="str">
        <f ca="1">IFERROR(__xludf.DUMMYFUNCTION("""COMPUTED_VALUE"""),"2055-06-13T00:08:25.060086Z")</f>
        <v>2055-06-13T00:08:25.060086Z</v>
      </c>
      <c r="P527" s="3" t="str">
        <f ca="1">IFERROR(__xludf.DUMMYFUNCTION("""COMPUTED_VALUE"""),"2055-06-12T23:45:56.914564Z")</f>
        <v>2055-06-12T23:45:56.914564Z</v>
      </c>
      <c r="Q527" s="3">
        <f ca="1">IFERROR(__xludf.DUMMYFUNCTION("""COMPUTED_VALUE"""),0)</f>
        <v>0</v>
      </c>
      <c r="R527" s="3" t="str">
        <f ca="1">IFERROR(__xludf.DUMMYFUNCTION("""COMPUTED_VALUE"""),"2055-06-12T23:46:11.763677Z")</f>
        <v>2055-06-12T23:46:11.763677Z</v>
      </c>
      <c r="S527" s="3" t="str">
        <f ca="1">IFERROR(__xludf.DUMMYFUNCTION("""COMPUTED_VALUE"""),"2055-06-13T00:01:36.977891Z")</f>
        <v>2055-06-13T00:01:36.977891Z</v>
      </c>
      <c r="T527" s="3"/>
      <c r="U527" s="4">
        <f ca="1">IFERROR(__xludf.DUMMYFUNCTION("""COMPUTED_VALUE"""),56777)</f>
        <v>56777</v>
      </c>
      <c r="V527" s="3">
        <f ca="1">IFERROR(__xludf.DUMMYFUNCTION("""COMPUTED_VALUE"""),4.6)</f>
        <v>4.5999999999999996</v>
      </c>
      <c r="W527" s="3">
        <f ca="1">IFERROR(__xludf.DUMMYFUNCTION("""COMPUTED_VALUE"""),2500)</f>
        <v>2500</v>
      </c>
      <c r="X527" s="3">
        <f ca="1">IFERROR(__xludf.DUMMYFUNCTION("""COMPUTED_VALUE"""),1334)</f>
        <v>1334</v>
      </c>
      <c r="Y527" s="3">
        <f ca="1">IFERROR(__xludf.DUMMYFUNCTION("""COMPUTED_VALUE"""),925)</f>
        <v>925</v>
      </c>
      <c r="Z527" s="3"/>
      <c r="AA527" s="3">
        <f ca="1">IFERROR(__xludf.DUMMYFUNCTION("""COMPUTED_VALUE"""),421)</f>
        <v>421</v>
      </c>
      <c r="AB527" s="3">
        <f ca="1">IFERROR(__xludf.DUMMYFUNCTION("""COMPUTED_VALUE"""),1)</f>
        <v>1</v>
      </c>
      <c r="AC527" s="3">
        <f ca="1">IFERROR(__xludf.DUMMYFUNCTION("""COMPUTED_VALUE"""),2)</f>
        <v>2</v>
      </c>
      <c r="AD527" s="3"/>
      <c r="AE527" s="3" t="str">
        <f ca="1">IFERROR(__xludf.DUMMYFUNCTION("""COMPUTED_VALUE"""),"2055-06-12T20:01:24.036088Z")</f>
        <v>2055-06-12T20:01:24.036088Z</v>
      </c>
      <c r="AF527" s="3" t="str">
        <f ca="1">IFERROR(__xludf.DUMMYFUNCTION("""COMPUTED_VALUE"""),"2055-06-12T20:08:25.060086Z")</f>
        <v>2055-06-12T20:08:25.060086Z</v>
      </c>
      <c r="AG527" s="3" t="str">
        <f ca="1">IFERROR(__xludf.DUMMYFUNCTION("""COMPUTED_VALUE"""),"2055-06-12T19:45:56.914564Z")</f>
        <v>2055-06-12T19:45:56.914564Z</v>
      </c>
      <c r="AH527" s="3" t="str">
        <f ca="1">IFERROR(__xludf.DUMMYFUNCTION("""COMPUTED_VALUE"""),"2055-06-12T20:01:36.977891Z")</f>
        <v>2055-06-12T20:01:36.977891Z</v>
      </c>
      <c r="AI527" s="3">
        <f ca="1">IFERROR(__xludf.DUMMYFUNCTION("""COMPUTED_VALUE"""),4.6)</f>
        <v>4.5999999999999996</v>
      </c>
      <c r="AJ527" s="3">
        <f ca="1">IFERROR(__xludf.DUMMYFUNCTION("""COMPUTED_VALUE"""),292)</f>
        <v>292</v>
      </c>
      <c r="AK527" s="3">
        <f ca="1">IFERROR(__xludf.DUMMYFUNCTION("""COMPUTED_VALUE"""),1027)</f>
        <v>1027</v>
      </c>
      <c r="AL527" s="3">
        <f ca="1">IFERROR(__xludf.DUMMYFUNCTION("""COMPUTED_VALUE"""),26)</f>
        <v>26</v>
      </c>
    </row>
    <row r="528" spans="1:38" ht="13">
      <c r="A528" s="3">
        <f ca="1">IFERROR(__xludf.DUMMYFUNCTION("""COMPUTED_VALUE"""),1272)</f>
        <v>1272</v>
      </c>
      <c r="B528" s="3">
        <f ca="1">IFERROR(__xludf.DUMMYFUNCTION("""COMPUTED_VALUE"""),5)</f>
        <v>5</v>
      </c>
      <c r="C528" s="3">
        <f ca="1">IFERROR(__xludf.DUMMYFUNCTION("""COMPUTED_VALUE"""),4001)</f>
        <v>4001</v>
      </c>
      <c r="D528" s="3" t="str">
        <f ca="1">IFERROR(__xludf.DUMMYFUNCTION("""COMPUTED_VALUE"""),"Dashattan")</f>
        <v>Dashattan</v>
      </c>
      <c r="E528" s="3" t="str">
        <f ca="1">IFERROR(__xludf.DUMMYFUNCTION("""COMPUTED_VALUE"""),"Galaxy A")</f>
        <v>Galaxy A</v>
      </c>
      <c r="F528" s="3" t="str">
        <f ca="1">IFERROR(__xludf.DUMMYFUNCTION("""COMPUTED_VALUE"""),"Arya")</f>
        <v>Arya</v>
      </c>
      <c r="G528" s="3">
        <f ca="1">IFERROR(__xludf.DUMMYFUNCTION("""COMPUTED_VALUE"""),0)</f>
        <v>0</v>
      </c>
      <c r="H528" s="3" t="str">
        <f ca="1">IFERROR(__xludf.DUMMYFUNCTION("""COMPUTED_VALUE"""),"bicycle")</f>
        <v>bicycle</v>
      </c>
      <c r="I528" s="3" t="str">
        <f ca="1">IFERROR(__xludf.DUMMYFUNCTION("""COMPUTED_VALUE"""),"2055-06-11T17:18:15.904057Z")</f>
        <v>2055-06-11T17:18:15.904057Z</v>
      </c>
      <c r="J528" s="3" t="str">
        <f ca="1">IFERROR(__xludf.DUMMYFUNCTION("""COMPUTED_VALUE"""),"2055-06-11T18:13:36.962Z")</f>
        <v>2055-06-11T18:13:36.962Z</v>
      </c>
      <c r="K528" s="3" t="str">
        <f ca="1">IFERROR(__xludf.DUMMYFUNCTION("""COMPUTED_VALUE"""),"2055-06-11T17:53:29.962Z")</f>
        <v>2055-06-11T17:53:29.962Z</v>
      </c>
      <c r="L528" s="3">
        <f ca="1">IFERROR(__xludf.DUMMYFUNCTION("""COMPUTED_VALUE"""),1)</f>
        <v>1</v>
      </c>
      <c r="M528" s="3">
        <f ca="1">IFERROR(__xludf.DUMMYFUNCTION("""COMPUTED_VALUE"""),0)</f>
        <v>0</v>
      </c>
      <c r="N528" s="3" t="str">
        <f ca="1">IFERROR(__xludf.DUMMYFUNCTION("""COMPUTED_VALUE"""),"2055-06-11T17:41:47.533489Z")</f>
        <v>2055-06-11T17:41:47.533489Z</v>
      </c>
      <c r="O528" s="3" t="str">
        <f ca="1">IFERROR(__xludf.DUMMYFUNCTION("""COMPUTED_VALUE"""),"2055-06-11T18:00:49.737334Z")</f>
        <v>2055-06-11T18:00:49.737334Z</v>
      </c>
      <c r="P528" s="3" t="str">
        <f ca="1">IFERROR(__xludf.DUMMYFUNCTION("""COMPUTED_VALUE"""),"2055-06-11T17:18:34.114302Z")</f>
        <v>2055-06-11T17:18:34.114302Z</v>
      </c>
      <c r="Q528" s="3">
        <f ca="1">IFERROR(__xludf.DUMMYFUNCTION("""COMPUTED_VALUE"""),0)</f>
        <v>0</v>
      </c>
      <c r="R528" s="3" t="str">
        <f ca="1">IFERROR(__xludf.DUMMYFUNCTION("""COMPUTED_VALUE"""),"2055-06-11T17:18:54.85434Z")</f>
        <v>2055-06-11T17:18:54.85434Z</v>
      </c>
      <c r="S528" s="3" t="str">
        <f ca="1">IFERROR(__xludf.DUMMYFUNCTION("""COMPUTED_VALUE"""),"2055-06-11T17:41:49.869311Z")</f>
        <v>2055-06-11T17:41:49.869311Z</v>
      </c>
      <c r="T528" s="3"/>
      <c r="U528" s="4">
        <f ca="1">IFERROR(__xludf.DUMMYFUNCTION("""COMPUTED_VALUE"""),56776)</f>
        <v>56776</v>
      </c>
      <c r="V528" s="3">
        <f ca="1">IFERROR(__xludf.DUMMYFUNCTION("""COMPUTED_VALUE"""),4.5)</f>
        <v>4.5</v>
      </c>
      <c r="W528" s="3">
        <f ca="1">IFERROR(__xludf.DUMMYFUNCTION("""COMPUTED_VALUE"""),2500)</f>
        <v>2500</v>
      </c>
      <c r="X528" s="3">
        <f ca="1">IFERROR(__xludf.DUMMYFUNCTION("""COMPUTED_VALUE"""),2515)</f>
        <v>2515</v>
      </c>
      <c r="Y528" s="3">
        <f ca="1">IFERROR(__xludf.DUMMYFUNCTION("""COMPUTED_VALUE"""),1375)</f>
        <v>1375</v>
      </c>
      <c r="Z528" s="3"/>
      <c r="AA528" s="3">
        <f ca="1">IFERROR(__xludf.DUMMYFUNCTION("""COMPUTED_VALUE"""),1142)</f>
        <v>1142</v>
      </c>
      <c r="AB528" s="3">
        <f ca="1">IFERROR(__xludf.DUMMYFUNCTION("""COMPUTED_VALUE"""),1)</f>
        <v>1</v>
      </c>
      <c r="AC528" s="3">
        <f ca="1">IFERROR(__xludf.DUMMYFUNCTION("""COMPUTED_VALUE"""),3)</f>
        <v>3</v>
      </c>
      <c r="AD528" s="3"/>
      <c r="AE528" s="3" t="str">
        <f ca="1">IFERROR(__xludf.DUMMYFUNCTION("""COMPUTED_VALUE"""),"2055-06-11T13:41:47.533489Z")</f>
        <v>2055-06-11T13:41:47.533489Z</v>
      </c>
      <c r="AF528" s="3" t="str">
        <f ca="1">IFERROR(__xludf.DUMMYFUNCTION("""COMPUTED_VALUE"""),"2055-06-11T14:00:49.737334Z")</f>
        <v>2055-06-11T14:00:49.737334Z</v>
      </c>
      <c r="AG528" s="3" t="str">
        <f ca="1">IFERROR(__xludf.DUMMYFUNCTION("""COMPUTED_VALUE"""),"2055-06-11T13:18:34.114302Z")</f>
        <v>2055-06-11T13:18:34.114302Z</v>
      </c>
      <c r="AH528" s="3" t="str">
        <f ca="1">IFERROR(__xludf.DUMMYFUNCTION("""COMPUTED_VALUE"""),"2055-06-11T13:41:49.869311Z")</f>
        <v>2055-06-11T13:41:49.869311Z</v>
      </c>
      <c r="AI528" s="3">
        <f ca="1">IFERROR(__xludf.DUMMYFUNCTION("""COMPUTED_VALUE"""),4.17)</f>
        <v>4.17</v>
      </c>
      <c r="AJ528" s="3">
        <f ca="1">IFERROR(__xludf.DUMMYFUNCTION("""COMPUTED_VALUE"""),457)</f>
        <v>457</v>
      </c>
      <c r="AK528" s="3">
        <f ca="1">IFERROR(__xludf.DUMMYFUNCTION("""COMPUTED_VALUE"""),1599)</f>
        <v>1599</v>
      </c>
      <c r="AL528" s="3"/>
    </row>
    <row r="529" spans="1:38" ht="13">
      <c r="A529" s="3">
        <f ca="1">IFERROR(__xludf.DUMMYFUNCTION("""COMPUTED_VALUE"""),704)</f>
        <v>704</v>
      </c>
      <c r="B529" s="3">
        <f ca="1">IFERROR(__xludf.DUMMYFUNCTION("""COMPUTED_VALUE"""),5)</f>
        <v>5</v>
      </c>
      <c r="C529" s="3">
        <f ca="1">IFERROR(__xludf.DUMMYFUNCTION("""COMPUTED_VALUE"""),4050)</f>
        <v>4050</v>
      </c>
      <c r="D529" s="3" t="str">
        <f ca="1">IFERROR(__xludf.DUMMYFUNCTION("""COMPUTED_VALUE"""),"Doorlanta")</f>
        <v>Doorlanta</v>
      </c>
      <c r="E529" s="3" t="str">
        <f ca="1">IFERROR(__xludf.DUMMYFUNCTION("""COMPUTED_VALUE"""),"Galaxy A")</f>
        <v>Galaxy A</v>
      </c>
      <c r="F529" s="3" t="str">
        <f ca="1">IFERROR(__xludf.DUMMYFUNCTION("""COMPUTED_VALUE"""),"Anisha")</f>
        <v>Anisha</v>
      </c>
      <c r="G529" s="3">
        <f ca="1">IFERROR(__xludf.DUMMYFUNCTION("""COMPUTED_VALUE"""),0)</f>
        <v>0</v>
      </c>
      <c r="H529" s="3" t="str">
        <f ca="1">IFERROR(__xludf.DUMMYFUNCTION("""COMPUTED_VALUE"""),"car")</f>
        <v>car</v>
      </c>
      <c r="I529" s="3" t="str">
        <f ca="1">IFERROR(__xludf.DUMMYFUNCTION("""COMPUTED_VALUE"""),"2055-06-06T00:24:03.53046Z")</f>
        <v>2055-06-06T00:24:03.53046Z</v>
      </c>
      <c r="J529" s="3" t="str">
        <f ca="1">IFERROR(__xludf.DUMMYFUNCTION("""COMPUTED_VALUE"""),"2055-06-06T01:09:57.6Z")</f>
        <v>2055-06-06T01:09:57.6Z</v>
      </c>
      <c r="K529" s="3" t="str">
        <f ca="1">IFERROR(__xludf.DUMMYFUNCTION("""COMPUTED_VALUE"""),"2055-06-06T01:01:04.6Z")</f>
        <v>2055-06-06T01:01:04.6Z</v>
      </c>
      <c r="L529" s="3">
        <f ca="1">IFERROR(__xludf.DUMMYFUNCTION("""COMPUTED_VALUE"""),1)</f>
        <v>1</v>
      </c>
      <c r="M529" s="3">
        <f ca="1">IFERROR(__xludf.DUMMYFUNCTION("""COMPUTED_VALUE"""),0)</f>
        <v>0</v>
      </c>
      <c r="N529" s="3" t="str">
        <f ca="1">IFERROR(__xludf.DUMMYFUNCTION("""COMPUTED_VALUE"""),"2055-06-06T00:36:20.426914Z")</f>
        <v>2055-06-06T00:36:20.426914Z</v>
      </c>
      <c r="O529" s="3" t="str">
        <f ca="1">IFERROR(__xludf.DUMMYFUNCTION("""COMPUTED_VALUE"""),"2055-06-06T00:46:18.866885Z")</f>
        <v>2055-06-06T00:46:18.866885Z</v>
      </c>
      <c r="P529" s="3" t="str">
        <f ca="1">IFERROR(__xludf.DUMMYFUNCTION("""COMPUTED_VALUE"""),"2055-06-06T00:24:07.668548Z")</f>
        <v>2055-06-06T00:24:07.668548Z</v>
      </c>
      <c r="Q529" s="3">
        <f ca="1">IFERROR(__xludf.DUMMYFUNCTION("""COMPUTED_VALUE"""),0)</f>
        <v>0</v>
      </c>
      <c r="R529" s="3" t="str">
        <f ca="1">IFERROR(__xludf.DUMMYFUNCTION("""COMPUTED_VALUE"""),"2055-06-06T00:24:23.784149Z")</f>
        <v>2055-06-06T00:24:23.784149Z</v>
      </c>
      <c r="S529" s="3" t="str">
        <f ca="1">IFERROR(__xludf.DUMMYFUNCTION("""COMPUTED_VALUE"""),"2055-06-06T00:32:36.615366Z")</f>
        <v>2055-06-06T00:32:36.615366Z</v>
      </c>
      <c r="T529" s="3"/>
      <c r="U529" s="4">
        <f ca="1">IFERROR(__xludf.DUMMYFUNCTION("""COMPUTED_VALUE"""),56770)</f>
        <v>56770</v>
      </c>
      <c r="V529" s="3">
        <f ca="1">IFERROR(__xludf.DUMMYFUNCTION("""COMPUTED_VALUE"""),4.8)</f>
        <v>4.8</v>
      </c>
      <c r="W529" s="3">
        <f ca="1">IFERROR(__xludf.DUMMYFUNCTION("""COMPUTED_VALUE"""),2500)</f>
        <v>2500</v>
      </c>
      <c r="X529" s="3">
        <f ca="1">IFERROR(__xludf.DUMMYFUNCTION("""COMPUTED_VALUE"""),1315)</f>
        <v>1315</v>
      </c>
      <c r="Y529" s="3">
        <f ca="1">IFERROR(__xludf.DUMMYFUNCTION("""COMPUTED_VALUE"""),493)</f>
        <v>493</v>
      </c>
      <c r="Z529" s="3">
        <f ca="1">IFERROR(__xludf.DUMMYFUNCTION("""COMPUTED_VALUE"""),224)</f>
        <v>224</v>
      </c>
      <c r="AA529" s="3">
        <f ca="1">IFERROR(__xludf.DUMMYFUNCTION("""COMPUTED_VALUE"""),598)</f>
        <v>598</v>
      </c>
      <c r="AB529" s="3">
        <f ca="1">IFERROR(__xludf.DUMMYFUNCTION("""COMPUTED_VALUE"""),0)</f>
        <v>0</v>
      </c>
      <c r="AC529" s="3">
        <f ca="1">IFERROR(__xludf.DUMMYFUNCTION("""COMPUTED_VALUE"""),2)</f>
        <v>2</v>
      </c>
      <c r="AD529" s="3" t="str">
        <f ca="1">IFERROR(__xludf.DUMMYFUNCTION("""COMPUTED_VALUE"""),"on time")</f>
        <v>on time</v>
      </c>
      <c r="AE529" s="3" t="str">
        <f ca="1">IFERROR(__xludf.DUMMYFUNCTION("""COMPUTED_VALUE"""),"2055-06-05T20:36:20.426914Z")</f>
        <v>2055-06-05T20:36:20.426914Z</v>
      </c>
      <c r="AF529" s="3" t="str">
        <f ca="1">IFERROR(__xludf.DUMMYFUNCTION("""COMPUTED_VALUE"""),"2055-06-05T20:46:18.866885Z")</f>
        <v>2055-06-05T20:46:18.866885Z</v>
      </c>
      <c r="AG529" s="3" t="str">
        <f ca="1">IFERROR(__xludf.DUMMYFUNCTION("""COMPUTED_VALUE"""),"2055-06-05T20:24:07.668548Z")</f>
        <v>2055-06-05T20:24:07.668548Z</v>
      </c>
      <c r="AH529" s="3" t="str">
        <f ca="1">IFERROR(__xludf.DUMMYFUNCTION("""COMPUTED_VALUE"""),"2055-06-05T20:32:36.615366Z")</f>
        <v>2055-06-05T20:32:36.615366Z</v>
      </c>
      <c r="AI529" s="3">
        <f ca="1">IFERROR(__xludf.DUMMYFUNCTION("""COMPUTED_VALUE"""),4.7)</f>
        <v>4.7</v>
      </c>
      <c r="AJ529" s="3">
        <f ca="1">IFERROR(__xludf.DUMMYFUNCTION("""COMPUTED_VALUE"""),272)</f>
        <v>272</v>
      </c>
      <c r="AK529" s="3">
        <f ca="1">IFERROR(__xludf.DUMMYFUNCTION("""COMPUTED_VALUE"""),931)</f>
        <v>931</v>
      </c>
      <c r="AL529" s="3">
        <f ca="1">IFERROR(__xludf.DUMMYFUNCTION("""COMPUTED_VALUE"""),144)</f>
        <v>144</v>
      </c>
    </row>
    <row r="530" spans="1:38" ht="13">
      <c r="A530" s="3">
        <f ca="1">IFERROR(__xludf.DUMMYFUNCTION("""COMPUTED_VALUE"""),876)</f>
        <v>876</v>
      </c>
      <c r="B530" s="3"/>
      <c r="C530" s="3">
        <f ca="1">IFERROR(__xludf.DUMMYFUNCTION("""COMPUTED_VALUE"""),4050)</f>
        <v>4050</v>
      </c>
      <c r="D530" s="3" t="str">
        <f ca="1">IFERROR(__xludf.DUMMYFUNCTION("""COMPUTED_VALUE"""),"Doorlanta")</f>
        <v>Doorlanta</v>
      </c>
      <c r="E530" s="3" t="str">
        <f ca="1">IFERROR(__xludf.DUMMYFUNCTION("""COMPUTED_VALUE"""),"Galaxy A")</f>
        <v>Galaxy A</v>
      </c>
      <c r="F530" s="3" t="str">
        <f ca="1">IFERROR(__xludf.DUMMYFUNCTION("""COMPUTED_VALUE"""),"Lauran")</f>
        <v>Lauran</v>
      </c>
      <c r="G530" s="3">
        <f ca="1">IFERROR(__xludf.DUMMYFUNCTION("""COMPUTED_VALUE"""),0)</f>
        <v>0</v>
      </c>
      <c r="H530" s="3" t="str">
        <f ca="1">IFERROR(__xludf.DUMMYFUNCTION("""COMPUTED_VALUE"""),"motorcycle")</f>
        <v>motorcycle</v>
      </c>
      <c r="I530" s="3" t="str">
        <f ca="1">IFERROR(__xludf.DUMMYFUNCTION("""COMPUTED_VALUE"""),"2055-06-07T21:39:03.789289Z")</f>
        <v>2055-06-07T21:39:03.789289Z</v>
      </c>
      <c r="J530" s="3" t="str">
        <f ca="1">IFERROR(__xludf.DUMMYFUNCTION("""COMPUTED_VALUE"""),"2055-06-07T22:34:03.863Z")</f>
        <v>2055-06-07T22:34:03.863Z</v>
      </c>
      <c r="K530" s="3" t="str">
        <f ca="1">IFERROR(__xludf.DUMMYFUNCTION("""COMPUTED_VALUE"""),"2055-06-07T22:11:09.863Z")</f>
        <v>2055-06-07T22:11:09.863Z</v>
      </c>
      <c r="L530" s="3">
        <f ca="1">IFERROR(__xludf.DUMMYFUNCTION("""COMPUTED_VALUE"""),1)</f>
        <v>1</v>
      </c>
      <c r="M530" s="3">
        <f ca="1">IFERROR(__xludf.DUMMYFUNCTION("""COMPUTED_VALUE"""),0)</f>
        <v>0</v>
      </c>
      <c r="N530" s="3" t="str">
        <f ca="1">IFERROR(__xludf.DUMMYFUNCTION("""COMPUTED_VALUE"""),"2055-06-07T22:03:43.23698Z")</f>
        <v>2055-06-07T22:03:43.23698Z</v>
      </c>
      <c r="O530" s="3" t="str">
        <f ca="1">IFERROR(__xludf.DUMMYFUNCTION("""COMPUTED_VALUE"""),"2055-06-07T22:21:22.123802Z")</f>
        <v>2055-06-07T22:21:22.123802Z</v>
      </c>
      <c r="P530" s="3" t="str">
        <f ca="1">IFERROR(__xludf.DUMMYFUNCTION("""COMPUTED_VALUE"""),"2055-06-07T21:40:27.235763Z")</f>
        <v>2055-06-07T21:40:27.235763Z</v>
      </c>
      <c r="Q530" s="3">
        <f ca="1">IFERROR(__xludf.DUMMYFUNCTION("""COMPUTED_VALUE"""),0)</f>
        <v>0</v>
      </c>
      <c r="R530" s="3" t="str">
        <f ca="1">IFERROR(__xludf.DUMMYFUNCTION("""COMPUTED_VALUE"""),"2055-06-07T21:40:57.708546Z")</f>
        <v>2055-06-07T21:40:57.708546Z</v>
      </c>
      <c r="S530" s="3"/>
      <c r="T530" s="3"/>
      <c r="U530" s="4">
        <f ca="1">IFERROR(__xludf.DUMMYFUNCTION("""COMPUTED_VALUE"""),56772)</f>
        <v>56772</v>
      </c>
      <c r="V530" s="3">
        <f ca="1">IFERROR(__xludf.DUMMYFUNCTION("""COMPUTED_VALUE"""),4.6)</f>
        <v>4.5999999999999996</v>
      </c>
      <c r="W530" s="3">
        <f ca="1">IFERROR(__xludf.DUMMYFUNCTION("""COMPUTED_VALUE"""),2500)</f>
        <v>2500</v>
      </c>
      <c r="X530" s="3">
        <f ca="1">IFERROR(__xludf.DUMMYFUNCTION("""COMPUTED_VALUE"""),2425)</f>
        <v>2425</v>
      </c>
      <c r="Y530" s="3"/>
      <c r="Z530" s="3"/>
      <c r="AA530" s="3">
        <f ca="1">IFERROR(__xludf.DUMMYFUNCTION("""COMPUTED_VALUE"""),1059)</f>
        <v>1059</v>
      </c>
      <c r="AB530" s="3">
        <f ca="1">IFERROR(__xludf.DUMMYFUNCTION("""COMPUTED_VALUE"""),0)</f>
        <v>0</v>
      </c>
      <c r="AC530" s="3">
        <f ca="1">IFERROR(__xludf.DUMMYFUNCTION("""COMPUTED_VALUE"""),2)</f>
        <v>2</v>
      </c>
      <c r="AD530" s="3"/>
      <c r="AE530" s="3" t="str">
        <f ca="1">IFERROR(__xludf.DUMMYFUNCTION("""COMPUTED_VALUE"""),"2055-06-07T18:03:43.23698Z")</f>
        <v>2055-06-07T18:03:43.23698Z</v>
      </c>
      <c r="AF530" s="3" t="str">
        <f ca="1">IFERROR(__xludf.DUMMYFUNCTION("""COMPUTED_VALUE"""),"2055-06-07T18:21:22.123802Z")</f>
        <v>2055-06-07T18:21:22.123802Z</v>
      </c>
      <c r="AG530" s="3" t="str">
        <f ca="1">IFERROR(__xludf.DUMMYFUNCTION("""COMPUTED_VALUE"""),"2055-06-07T17:40:27.235763Z")</f>
        <v>2055-06-07T17:40:27.235763Z</v>
      </c>
      <c r="AH530" s="3"/>
      <c r="AI530" s="3">
        <f ca="1">IFERROR(__xludf.DUMMYFUNCTION("""COMPUTED_VALUE"""),4.42)</f>
        <v>4.42</v>
      </c>
      <c r="AJ530" s="3">
        <f ca="1">IFERROR(__xludf.DUMMYFUNCTION("""COMPUTED_VALUE"""),1396)</f>
        <v>1396</v>
      </c>
      <c r="AK530" s="3">
        <f ca="1">IFERROR(__xludf.DUMMYFUNCTION("""COMPUTED_VALUE"""),4836)</f>
        <v>4836</v>
      </c>
      <c r="AL530" s="3">
        <f ca="1">IFERROR(__xludf.DUMMYFUNCTION("""COMPUTED_VALUE"""),1278)</f>
        <v>1278</v>
      </c>
    </row>
    <row r="531" spans="1:38" ht="13">
      <c r="A531" s="3">
        <f ca="1">IFERROR(__xludf.DUMMYFUNCTION("""COMPUTED_VALUE"""),330)</f>
        <v>330</v>
      </c>
      <c r="B531" s="3">
        <f ca="1">IFERROR(__xludf.DUMMYFUNCTION("""COMPUTED_VALUE"""),5)</f>
        <v>5</v>
      </c>
      <c r="C531" s="3">
        <f ca="1">IFERROR(__xludf.DUMMYFUNCTION("""COMPUTED_VALUE"""),4001)</f>
        <v>4001</v>
      </c>
      <c r="D531" s="3" t="str">
        <f ca="1">IFERROR(__xludf.DUMMYFUNCTION("""COMPUTED_VALUE"""),"Dashattan")</f>
        <v>Dashattan</v>
      </c>
      <c r="E531" s="3" t="str">
        <f ca="1">IFERROR(__xludf.DUMMYFUNCTION("""COMPUTED_VALUE"""),"Galaxy A")</f>
        <v>Galaxy A</v>
      </c>
      <c r="F531" s="3" t="str">
        <f ca="1">IFERROR(__xludf.DUMMYFUNCTION("""COMPUTED_VALUE"""),"Arya")</f>
        <v>Arya</v>
      </c>
      <c r="G531" s="3">
        <f ca="1">IFERROR(__xludf.DUMMYFUNCTION("""COMPUTED_VALUE"""),0)</f>
        <v>0</v>
      </c>
      <c r="H531" s="3" t="str">
        <f ca="1">IFERROR(__xludf.DUMMYFUNCTION("""COMPUTED_VALUE"""),"bicycle")</f>
        <v>bicycle</v>
      </c>
      <c r="I531" s="3" t="str">
        <f ca="1">IFERROR(__xludf.DUMMYFUNCTION("""COMPUTED_VALUE"""),"2055-06-03T20:57:22.907623Z")</f>
        <v>2055-06-03T20:57:22.907623Z</v>
      </c>
      <c r="J531" s="3" t="str">
        <f ca="1">IFERROR(__xludf.DUMMYFUNCTION("""COMPUTED_VALUE"""),"2055-06-03T21:43:45.977Z")</f>
        <v>2055-06-03T21:43:45.977Z</v>
      </c>
      <c r="K531" s="3" t="str">
        <f ca="1">IFERROR(__xludf.DUMMYFUNCTION("""COMPUTED_VALUE"""),"2055-06-03T21:24:52.977Z")</f>
        <v>2055-06-03T21:24:52.977Z</v>
      </c>
      <c r="L531" s="3">
        <f ca="1">IFERROR(__xludf.DUMMYFUNCTION("""COMPUTED_VALUE"""),1)</f>
        <v>1</v>
      </c>
      <c r="M531" s="3">
        <f ca="1">IFERROR(__xludf.DUMMYFUNCTION("""COMPUTED_VALUE"""),0)</f>
        <v>0</v>
      </c>
      <c r="N531" s="3" t="str">
        <f ca="1">IFERROR(__xludf.DUMMYFUNCTION("""COMPUTED_VALUE"""),"2055-06-03T21:14:55.425239Z")</f>
        <v>2055-06-03T21:14:55.425239Z</v>
      </c>
      <c r="O531" s="3" t="str">
        <f ca="1">IFERROR(__xludf.DUMMYFUNCTION("""COMPUTED_VALUE"""),"2055-06-03T21:26:40.535373Z")</f>
        <v>2055-06-03T21:26:40.535373Z</v>
      </c>
      <c r="P531" s="3" t="str">
        <f ca="1">IFERROR(__xludf.DUMMYFUNCTION("""COMPUTED_VALUE"""),"2055-06-03T20:58:34.184731Z")</f>
        <v>2055-06-03T20:58:34.184731Z</v>
      </c>
      <c r="Q531" s="3">
        <f ca="1">IFERROR(__xludf.DUMMYFUNCTION("""COMPUTED_VALUE"""),0)</f>
        <v>0</v>
      </c>
      <c r="R531" s="3" t="str">
        <f ca="1">IFERROR(__xludf.DUMMYFUNCTION("""COMPUTED_VALUE"""),"2055-06-03T20:59:31.653047Z")</f>
        <v>2055-06-03T20:59:31.653047Z</v>
      </c>
      <c r="S531" s="3"/>
      <c r="T531" s="3"/>
      <c r="U531" s="4">
        <f ca="1">IFERROR(__xludf.DUMMYFUNCTION("""COMPUTED_VALUE"""),56768)</f>
        <v>56768</v>
      </c>
      <c r="V531" s="3">
        <f ca="1">IFERROR(__xludf.DUMMYFUNCTION("""COMPUTED_VALUE"""),4.6)</f>
        <v>4.5999999999999996</v>
      </c>
      <c r="W531" s="3">
        <f ca="1">IFERROR(__xludf.DUMMYFUNCTION("""COMPUTED_VALUE"""),2500)</f>
        <v>2500</v>
      </c>
      <c r="X531" s="3">
        <f ca="1">IFERROR(__xludf.DUMMYFUNCTION("""COMPUTED_VALUE"""),1629)</f>
        <v>1629</v>
      </c>
      <c r="Y531" s="3"/>
      <c r="Z531" s="3"/>
      <c r="AA531" s="3">
        <f ca="1">IFERROR(__xludf.DUMMYFUNCTION("""COMPUTED_VALUE"""),705)</f>
        <v>705</v>
      </c>
      <c r="AB531" s="3">
        <f ca="1">IFERROR(__xludf.DUMMYFUNCTION("""COMPUTED_VALUE"""),0)</f>
        <v>0</v>
      </c>
      <c r="AC531" s="3">
        <f ca="1">IFERROR(__xludf.DUMMYFUNCTION("""COMPUTED_VALUE"""),5)</f>
        <v>5</v>
      </c>
      <c r="AD531" s="3"/>
      <c r="AE531" s="3" t="str">
        <f ca="1">IFERROR(__xludf.DUMMYFUNCTION("""COMPUTED_VALUE"""),"2055-06-03T17:14:55.425239Z")</f>
        <v>2055-06-03T17:14:55.425239Z</v>
      </c>
      <c r="AF531" s="3" t="str">
        <f ca="1">IFERROR(__xludf.DUMMYFUNCTION("""COMPUTED_VALUE"""),"2055-06-03T17:26:40.535373Z")</f>
        <v>2055-06-03T17:26:40.535373Z</v>
      </c>
      <c r="AG531" s="3" t="str">
        <f ca="1">IFERROR(__xludf.DUMMYFUNCTION("""COMPUTED_VALUE"""),"2055-06-03T16:58:34.184731Z")</f>
        <v>2055-06-03T16:58:34.184731Z</v>
      </c>
      <c r="AH531" s="3"/>
      <c r="AI531" s="3">
        <f ca="1">IFERROR(__xludf.DUMMYFUNCTION("""COMPUTED_VALUE"""),4.17)</f>
        <v>4.17</v>
      </c>
      <c r="AJ531" s="3">
        <f ca="1">IFERROR(__xludf.DUMMYFUNCTION("""COMPUTED_VALUE"""),457)</f>
        <v>457</v>
      </c>
      <c r="AK531" s="3">
        <f ca="1">IFERROR(__xludf.DUMMYFUNCTION("""COMPUTED_VALUE"""),1599)</f>
        <v>1599</v>
      </c>
      <c r="AL531" s="3"/>
    </row>
    <row r="532" spans="1:38" ht="13">
      <c r="A532" s="3">
        <f ca="1">IFERROR(__xludf.DUMMYFUNCTION("""COMPUTED_VALUE"""),714)</f>
        <v>714</v>
      </c>
      <c r="B532" s="3">
        <f ca="1">IFERROR(__xludf.DUMMYFUNCTION("""COMPUTED_VALUE"""),5)</f>
        <v>5</v>
      </c>
      <c r="C532" s="3">
        <f ca="1">IFERROR(__xludf.DUMMYFUNCTION("""COMPUTED_VALUE"""),4050)</f>
        <v>4050</v>
      </c>
      <c r="D532" s="3" t="str">
        <f ca="1">IFERROR(__xludf.DUMMYFUNCTION("""COMPUTED_VALUE"""),"Doorlanta")</f>
        <v>Doorlanta</v>
      </c>
      <c r="E532" s="3" t="str">
        <f ca="1">IFERROR(__xludf.DUMMYFUNCTION("""COMPUTED_VALUE"""),"Galaxy A")</f>
        <v>Galaxy A</v>
      </c>
      <c r="F532" s="3" t="str">
        <f ca="1">IFERROR(__xludf.DUMMYFUNCTION("""COMPUTED_VALUE"""),"Katelynn")</f>
        <v>Katelynn</v>
      </c>
      <c r="G532" s="3">
        <f ca="1">IFERROR(__xludf.DUMMYFUNCTION("""COMPUTED_VALUE"""),0)</f>
        <v>0</v>
      </c>
      <c r="H532" s="3" t="str">
        <f ca="1">IFERROR(__xludf.DUMMYFUNCTION("""COMPUTED_VALUE"""),"car")</f>
        <v>car</v>
      </c>
      <c r="I532" s="3" t="str">
        <f ca="1">IFERROR(__xludf.DUMMYFUNCTION("""COMPUTED_VALUE"""),"2055-06-06T01:10:42.834406Z")</f>
        <v>2055-06-06T01:10:42.834406Z</v>
      </c>
      <c r="J532" s="3" t="str">
        <f ca="1">IFERROR(__xludf.DUMMYFUNCTION("""COMPUTED_VALUE"""),"2055-06-06T02:12:14.917Z")</f>
        <v>2055-06-06T02:12:14.917Z</v>
      </c>
      <c r="K532" s="3" t="str">
        <f ca="1">IFERROR(__xludf.DUMMYFUNCTION("""COMPUTED_VALUE"""),"2055-06-06T01:57:07.917Z")</f>
        <v>2055-06-06T01:57:07.917Z</v>
      </c>
      <c r="L532" s="3">
        <f ca="1">IFERROR(__xludf.DUMMYFUNCTION("""COMPUTED_VALUE"""),1)</f>
        <v>1</v>
      </c>
      <c r="M532" s="3">
        <f ca="1">IFERROR(__xludf.DUMMYFUNCTION("""COMPUTED_VALUE"""),0)</f>
        <v>0</v>
      </c>
      <c r="N532" s="3" t="str">
        <f ca="1">IFERROR(__xludf.DUMMYFUNCTION("""COMPUTED_VALUE"""),"2055-06-06T01:58:31.182042Z")</f>
        <v>2055-06-06T01:58:31.182042Z</v>
      </c>
      <c r="O532" s="3" t="str">
        <f ca="1">IFERROR(__xludf.DUMMYFUNCTION("""COMPUTED_VALUE"""),"2055-06-06T02:08:43.385986Z")</f>
        <v>2055-06-06T02:08:43.385986Z</v>
      </c>
      <c r="P532" s="3" t="str">
        <f ca="1">IFERROR(__xludf.DUMMYFUNCTION("""COMPUTED_VALUE"""),"2055-06-06T01:26:47.313609Z")</f>
        <v>2055-06-06T01:26:47.313609Z</v>
      </c>
      <c r="Q532" s="3">
        <f ca="1">IFERROR(__xludf.DUMMYFUNCTION("""COMPUTED_VALUE"""),0)</f>
        <v>0</v>
      </c>
      <c r="R532" s="3" t="str">
        <f ca="1">IFERROR(__xludf.DUMMYFUNCTION("""COMPUTED_VALUE"""),"2055-06-06T01:26:53.519848Z")</f>
        <v>2055-06-06T01:26:53.519848Z</v>
      </c>
      <c r="S532" s="3"/>
      <c r="T532" s="3"/>
      <c r="U532" s="4">
        <f ca="1">IFERROR(__xludf.DUMMYFUNCTION("""COMPUTED_VALUE"""),56770)</f>
        <v>56770</v>
      </c>
      <c r="V532" s="3">
        <f ca="1">IFERROR(__xludf.DUMMYFUNCTION("""COMPUTED_VALUE"""),4.4)</f>
        <v>4.4000000000000004</v>
      </c>
      <c r="W532" s="3">
        <f ca="1">IFERROR(__xludf.DUMMYFUNCTION("""COMPUTED_VALUE"""),2500)</f>
        <v>2500</v>
      </c>
      <c r="X532" s="3">
        <f ca="1">IFERROR(__xludf.DUMMYFUNCTION("""COMPUTED_VALUE"""),2510)</f>
        <v>2510</v>
      </c>
      <c r="Y532" s="3"/>
      <c r="Z532" s="3"/>
      <c r="AA532" s="3">
        <f ca="1">IFERROR(__xludf.DUMMYFUNCTION("""COMPUTED_VALUE"""),612)</f>
        <v>612</v>
      </c>
      <c r="AB532" s="3">
        <f ca="1">IFERROR(__xludf.DUMMYFUNCTION("""COMPUTED_VALUE"""),0)</f>
        <v>0</v>
      </c>
      <c r="AC532" s="3">
        <f ca="1">IFERROR(__xludf.DUMMYFUNCTION("""COMPUTED_VALUE"""),3)</f>
        <v>3</v>
      </c>
      <c r="AD532" s="3"/>
      <c r="AE532" s="3" t="str">
        <f ca="1">IFERROR(__xludf.DUMMYFUNCTION("""COMPUTED_VALUE"""),"2055-06-05T21:58:31.182042Z")</f>
        <v>2055-06-05T21:58:31.182042Z</v>
      </c>
      <c r="AF532" s="3" t="str">
        <f ca="1">IFERROR(__xludf.DUMMYFUNCTION("""COMPUTED_VALUE"""),"2055-06-05T22:08:43.385986Z")</f>
        <v>2055-06-05T22:08:43.385986Z</v>
      </c>
      <c r="AG532" s="3" t="str">
        <f ca="1">IFERROR(__xludf.DUMMYFUNCTION("""COMPUTED_VALUE"""),"2055-06-05T21:26:47.313609Z")</f>
        <v>2055-06-05T21:26:47.313609Z</v>
      </c>
      <c r="AH532" s="3"/>
      <c r="AI532" s="3">
        <f ca="1">IFERROR(__xludf.DUMMYFUNCTION("""COMPUTED_VALUE"""),4.7)</f>
        <v>4.7</v>
      </c>
      <c r="AJ532" s="3">
        <f ca="1">IFERROR(__xludf.DUMMYFUNCTION("""COMPUTED_VALUE"""),1261)</f>
        <v>1261</v>
      </c>
      <c r="AK532" s="3">
        <f ca="1">IFERROR(__xludf.DUMMYFUNCTION("""COMPUTED_VALUE"""),3264)</f>
        <v>3264</v>
      </c>
      <c r="AL532" s="3">
        <f ca="1">IFERROR(__xludf.DUMMYFUNCTION("""COMPUTED_VALUE"""),232)</f>
        <v>232</v>
      </c>
    </row>
    <row r="533" spans="1:38" ht="13">
      <c r="A533" s="3">
        <f ca="1">IFERROR(__xludf.DUMMYFUNCTION("""COMPUTED_VALUE"""),481)</f>
        <v>481</v>
      </c>
      <c r="B533" s="3">
        <f ca="1">IFERROR(__xludf.DUMMYFUNCTION("""COMPUTED_VALUE"""),4)</f>
        <v>4</v>
      </c>
      <c r="C533" s="3">
        <f ca="1">IFERROR(__xludf.DUMMYFUNCTION("""COMPUTED_VALUE"""),4050)</f>
        <v>4050</v>
      </c>
      <c r="D533" s="3" t="str">
        <f ca="1">IFERROR(__xludf.DUMMYFUNCTION("""COMPUTED_VALUE"""),"Doorlanta")</f>
        <v>Doorlanta</v>
      </c>
      <c r="E533" s="3" t="str">
        <f ca="1">IFERROR(__xludf.DUMMYFUNCTION("""COMPUTED_VALUE"""),"Galaxy A")</f>
        <v>Galaxy A</v>
      </c>
      <c r="F533" s="3" t="str">
        <f ca="1">IFERROR(__xludf.DUMMYFUNCTION("""COMPUTED_VALUE"""),"Merissa")</f>
        <v>Merissa</v>
      </c>
      <c r="G533" s="3">
        <f ca="1">IFERROR(__xludf.DUMMYFUNCTION("""COMPUTED_VALUE"""),0)</f>
        <v>0</v>
      </c>
      <c r="H533" s="3" t="str">
        <f ca="1">IFERROR(__xludf.DUMMYFUNCTION("""COMPUTED_VALUE"""),"car")</f>
        <v>car</v>
      </c>
      <c r="I533" s="3" t="str">
        <f ca="1">IFERROR(__xludf.DUMMYFUNCTION("""COMPUTED_VALUE"""),"2055-06-04T23:09:01.569059Z")</f>
        <v>2055-06-04T23:09:01.569059Z</v>
      </c>
      <c r="J533" s="3" t="str">
        <f ca="1">IFERROR(__xludf.DUMMYFUNCTION("""COMPUTED_VALUE"""),"2055-06-05T00:09:50.651Z")</f>
        <v>2055-06-05T00:09:50.651Z</v>
      </c>
      <c r="K533" s="3" t="str">
        <f ca="1">IFERROR(__xludf.DUMMYFUNCTION("""COMPUTED_VALUE"""),"2055-06-04T23:49:43.651Z")</f>
        <v>2055-06-04T23:49:43.651Z</v>
      </c>
      <c r="L533" s="3">
        <f ca="1">IFERROR(__xludf.DUMMYFUNCTION("""COMPUTED_VALUE"""),1)</f>
        <v>1</v>
      </c>
      <c r="M533" s="3">
        <f ca="1">IFERROR(__xludf.DUMMYFUNCTION("""COMPUTED_VALUE"""),0)</f>
        <v>0</v>
      </c>
      <c r="N533" s="3" t="str">
        <f ca="1">IFERROR(__xludf.DUMMYFUNCTION("""COMPUTED_VALUE"""),"2055-06-05T00:00:19.55476Z")</f>
        <v>2055-06-05T00:00:19.55476Z</v>
      </c>
      <c r="O533" s="3" t="str">
        <f ca="1">IFERROR(__xludf.DUMMYFUNCTION("""COMPUTED_VALUE"""),"2055-06-05T00:27:07.896872Z")</f>
        <v>2055-06-05T00:27:07.896872Z</v>
      </c>
      <c r="P533" s="3" t="str">
        <f ca="1">IFERROR(__xludf.DUMMYFUNCTION("""COMPUTED_VALUE"""),"2055-06-04T23:30:27.380356Z")</f>
        <v>2055-06-04T23:30:27.380356Z</v>
      </c>
      <c r="Q533" s="3">
        <f ca="1">IFERROR(__xludf.DUMMYFUNCTION("""COMPUTED_VALUE"""),0)</f>
        <v>0</v>
      </c>
      <c r="R533" s="3" t="str">
        <f ca="1">IFERROR(__xludf.DUMMYFUNCTION("""COMPUTED_VALUE"""),"2055-06-04T23:30:32.749916Z")</f>
        <v>2055-06-04T23:30:32.749916Z</v>
      </c>
      <c r="S533" s="3" t="str">
        <f ca="1">IFERROR(__xludf.DUMMYFUNCTION("""COMPUTED_VALUE"""),"2055-06-04T23:51:57.468177Z")</f>
        <v>2055-06-04T23:51:57.468177Z</v>
      </c>
      <c r="T533" s="3"/>
      <c r="U533" s="4">
        <f ca="1">IFERROR(__xludf.DUMMYFUNCTION("""COMPUTED_VALUE"""),56769)</f>
        <v>56769</v>
      </c>
      <c r="V533" s="3">
        <f ca="1">IFERROR(__xludf.DUMMYFUNCTION("""COMPUTED_VALUE"""),4.5)</f>
        <v>4.5</v>
      </c>
      <c r="W533" s="3">
        <f ca="1">IFERROR(__xludf.DUMMYFUNCTION("""COMPUTED_VALUE"""),2500)</f>
        <v>2500</v>
      </c>
      <c r="X533" s="3">
        <f ca="1">IFERROR(__xludf.DUMMYFUNCTION("""COMPUTED_VALUE"""),3395)</f>
        <v>3395</v>
      </c>
      <c r="Y533" s="3">
        <f ca="1">IFERROR(__xludf.DUMMYFUNCTION("""COMPUTED_VALUE"""),1285)</f>
        <v>1285</v>
      </c>
      <c r="Z533" s="3">
        <f ca="1">IFERROR(__xludf.DUMMYFUNCTION("""COMPUTED_VALUE"""),502)</f>
        <v>502</v>
      </c>
      <c r="AA533" s="3">
        <f ca="1">IFERROR(__xludf.DUMMYFUNCTION("""COMPUTED_VALUE"""),1608)</f>
        <v>1608</v>
      </c>
      <c r="AB533" s="3">
        <f ca="1">IFERROR(__xludf.DUMMYFUNCTION("""COMPUTED_VALUE"""),0)</f>
        <v>0</v>
      </c>
      <c r="AC533" s="3">
        <f ca="1">IFERROR(__xludf.DUMMYFUNCTION("""COMPUTED_VALUE"""),3)</f>
        <v>3</v>
      </c>
      <c r="AD533" s="3" t="str">
        <f ca="1">IFERROR(__xludf.DUMMYFUNCTION("""COMPUTED_VALUE"""),"late")</f>
        <v>late</v>
      </c>
      <c r="AE533" s="3" t="str">
        <f ca="1">IFERROR(__xludf.DUMMYFUNCTION("""COMPUTED_VALUE"""),"2055-06-04T20:00:19.55476Z")</f>
        <v>2055-06-04T20:00:19.55476Z</v>
      </c>
      <c r="AF533" s="3" t="str">
        <f ca="1">IFERROR(__xludf.DUMMYFUNCTION("""COMPUTED_VALUE"""),"2055-06-04T20:27:07.896872Z")</f>
        <v>2055-06-04T20:27:07.896872Z</v>
      </c>
      <c r="AG533" s="3" t="str">
        <f ca="1">IFERROR(__xludf.DUMMYFUNCTION("""COMPUTED_VALUE"""),"2055-06-04T19:30:27.380356Z")</f>
        <v>2055-06-04T19:30:27.380356Z</v>
      </c>
      <c r="AH533" s="3" t="str">
        <f ca="1">IFERROR(__xludf.DUMMYFUNCTION("""COMPUTED_VALUE"""),"2055-06-04T19:51:57.468177Z")</f>
        <v>2055-06-04T19:51:57.468177Z</v>
      </c>
      <c r="AI533" s="3">
        <f ca="1">IFERROR(__xludf.DUMMYFUNCTION("""COMPUTED_VALUE"""),4.58)</f>
        <v>4.58</v>
      </c>
      <c r="AJ533" s="3">
        <f ca="1">IFERROR(__xludf.DUMMYFUNCTION("""COMPUTED_VALUE"""),679)</f>
        <v>679</v>
      </c>
      <c r="AK533" s="3">
        <f ca="1">IFERROR(__xludf.DUMMYFUNCTION("""COMPUTED_VALUE"""),2371)</f>
        <v>2371</v>
      </c>
      <c r="AL533" s="3">
        <f ca="1">IFERROR(__xludf.DUMMYFUNCTION("""COMPUTED_VALUE"""),1830)</f>
        <v>1830</v>
      </c>
    </row>
    <row r="534" spans="1:38" ht="13">
      <c r="A534" s="3">
        <f ca="1">IFERROR(__xludf.DUMMYFUNCTION("""COMPUTED_VALUE"""),429)</f>
        <v>429</v>
      </c>
      <c r="B534" s="3">
        <f ca="1">IFERROR(__xludf.DUMMYFUNCTION("""COMPUTED_VALUE"""),3)</f>
        <v>3</v>
      </c>
      <c r="C534" s="3">
        <f ca="1">IFERROR(__xludf.DUMMYFUNCTION("""COMPUTED_VALUE"""),4050)</f>
        <v>4050</v>
      </c>
      <c r="D534" s="3" t="str">
        <f ca="1">IFERROR(__xludf.DUMMYFUNCTION("""COMPUTED_VALUE"""),"Doorlanta")</f>
        <v>Doorlanta</v>
      </c>
      <c r="E534" s="3" t="str">
        <f ca="1">IFERROR(__xludf.DUMMYFUNCTION("""COMPUTED_VALUE"""),"Galaxy A")</f>
        <v>Galaxy A</v>
      </c>
      <c r="F534" s="3" t="str">
        <f ca="1">IFERROR(__xludf.DUMMYFUNCTION("""COMPUTED_VALUE"""),"Elon")</f>
        <v>Elon</v>
      </c>
      <c r="G534" s="3">
        <f ca="1">IFERROR(__xludf.DUMMYFUNCTION("""COMPUTED_VALUE"""),0)</f>
        <v>0</v>
      </c>
      <c r="H534" s="3" t="str">
        <f ca="1">IFERROR(__xludf.DUMMYFUNCTION("""COMPUTED_VALUE"""),"car")</f>
        <v>car</v>
      </c>
      <c r="I534" s="3" t="str">
        <f ca="1">IFERROR(__xludf.DUMMYFUNCTION("""COMPUTED_VALUE"""),"2055-06-04T18:45:46.779478Z")</f>
        <v>2055-06-04T18:45:46.779478Z</v>
      </c>
      <c r="J534" s="3" t="str">
        <f ca="1">IFERROR(__xludf.DUMMYFUNCTION("""COMPUTED_VALUE"""),"2055-06-04T19:25:46.853Z")</f>
        <v>2055-06-04T19:25:46.853Z</v>
      </c>
      <c r="K534" s="3" t="str">
        <f ca="1">IFERROR(__xludf.DUMMYFUNCTION("""COMPUTED_VALUE"""),"2055-06-04T19:15:19.853Z")</f>
        <v>2055-06-04T19:15:19.853Z</v>
      </c>
      <c r="L534" s="3">
        <f ca="1">IFERROR(__xludf.DUMMYFUNCTION("""COMPUTED_VALUE"""),1)</f>
        <v>1</v>
      </c>
      <c r="M534" s="3">
        <f ca="1">IFERROR(__xludf.DUMMYFUNCTION("""COMPUTED_VALUE"""),0)</f>
        <v>0</v>
      </c>
      <c r="N534" s="3" t="str">
        <f ca="1">IFERROR(__xludf.DUMMYFUNCTION("""COMPUTED_VALUE"""),"2055-06-04T19:00:41.437948Z")</f>
        <v>2055-06-04T19:00:41.437948Z</v>
      </c>
      <c r="O534" s="3" t="str">
        <f ca="1">IFERROR(__xludf.DUMMYFUNCTION("""COMPUTED_VALUE"""),"2055-06-04T19:20:20.585646Z")</f>
        <v>2055-06-04T19:20:20.585646Z</v>
      </c>
      <c r="P534" s="3" t="str">
        <f ca="1">IFERROR(__xludf.DUMMYFUNCTION("""COMPUTED_VALUE"""),"2055-06-04T18:52:47.390414Z")</f>
        <v>2055-06-04T18:52:47.390414Z</v>
      </c>
      <c r="Q534" s="3">
        <f ca="1">IFERROR(__xludf.DUMMYFUNCTION("""COMPUTED_VALUE"""),0)</f>
        <v>0</v>
      </c>
      <c r="R534" s="3" t="str">
        <f ca="1">IFERROR(__xludf.DUMMYFUNCTION("""COMPUTED_VALUE"""),"2055-06-04T18:53:00.664532Z")</f>
        <v>2055-06-04T18:53:00.664532Z</v>
      </c>
      <c r="S534" s="3"/>
      <c r="T534" s="3"/>
      <c r="U534" s="4">
        <f ca="1">IFERROR(__xludf.DUMMYFUNCTION("""COMPUTED_VALUE"""),56769)</f>
        <v>56769</v>
      </c>
      <c r="V534" s="3">
        <f ca="1">IFERROR(__xludf.DUMMYFUNCTION("""COMPUTED_VALUE"""),4.6)</f>
        <v>4.5999999999999996</v>
      </c>
      <c r="W534" s="3">
        <f ca="1">IFERROR(__xludf.DUMMYFUNCTION("""COMPUTED_VALUE"""),2500)</f>
        <v>2500</v>
      </c>
      <c r="X534" s="3">
        <f ca="1">IFERROR(__xludf.DUMMYFUNCTION("""COMPUTED_VALUE"""),1640)</f>
        <v>1640</v>
      </c>
      <c r="Y534" s="3"/>
      <c r="Z534" s="3"/>
      <c r="AA534" s="3">
        <f ca="1">IFERROR(__xludf.DUMMYFUNCTION("""COMPUTED_VALUE"""),1179)</f>
        <v>1179</v>
      </c>
      <c r="AB534" s="3">
        <f ca="1">IFERROR(__xludf.DUMMYFUNCTION("""COMPUTED_VALUE"""),1)</f>
        <v>1</v>
      </c>
      <c r="AC534" s="3">
        <f ca="1">IFERROR(__xludf.DUMMYFUNCTION("""COMPUTED_VALUE"""),3)</f>
        <v>3</v>
      </c>
      <c r="AD534" s="3"/>
      <c r="AE534" s="3" t="str">
        <f ca="1">IFERROR(__xludf.DUMMYFUNCTION("""COMPUTED_VALUE"""),"2055-06-04T15:00:41.437948Z")</f>
        <v>2055-06-04T15:00:41.437948Z</v>
      </c>
      <c r="AF534" s="3" t="str">
        <f ca="1">IFERROR(__xludf.DUMMYFUNCTION("""COMPUTED_VALUE"""),"2055-06-04T15:20:20.585646Z")</f>
        <v>2055-06-04T15:20:20.585646Z</v>
      </c>
      <c r="AG534" s="3" t="str">
        <f ca="1">IFERROR(__xludf.DUMMYFUNCTION("""COMPUTED_VALUE"""),"2055-06-04T14:52:47.390414Z")</f>
        <v>2055-06-04T14:52:47.390414Z</v>
      </c>
      <c r="AH534" s="3"/>
      <c r="AI534" s="3">
        <f ca="1">IFERROR(__xludf.DUMMYFUNCTION("""COMPUTED_VALUE"""),4.62)</f>
        <v>4.62</v>
      </c>
      <c r="AJ534" s="3">
        <f ca="1">IFERROR(__xludf.DUMMYFUNCTION("""COMPUTED_VALUE"""),259)</f>
        <v>259</v>
      </c>
      <c r="AK534" s="3">
        <f ca="1">IFERROR(__xludf.DUMMYFUNCTION("""COMPUTED_VALUE"""),604)</f>
        <v>604</v>
      </c>
      <c r="AL534" s="3">
        <f ca="1">IFERROR(__xludf.DUMMYFUNCTION("""COMPUTED_VALUE"""),21)</f>
        <v>21</v>
      </c>
    </row>
    <row r="535" spans="1:38" ht="13">
      <c r="A535" s="3">
        <f ca="1">IFERROR(__xludf.DUMMYFUNCTION("""COMPUTED_VALUE"""),870)</f>
        <v>870</v>
      </c>
      <c r="B535" s="3">
        <f ca="1">IFERROR(__xludf.DUMMYFUNCTION("""COMPUTED_VALUE"""),5)</f>
        <v>5</v>
      </c>
      <c r="C535" s="3">
        <f ca="1">IFERROR(__xludf.DUMMYFUNCTION("""COMPUTED_VALUE"""),4050)</f>
        <v>4050</v>
      </c>
      <c r="D535" s="3" t="str">
        <f ca="1">IFERROR(__xludf.DUMMYFUNCTION("""COMPUTED_VALUE"""),"Doorlanta")</f>
        <v>Doorlanta</v>
      </c>
      <c r="E535" s="3" t="str">
        <f ca="1">IFERROR(__xludf.DUMMYFUNCTION("""COMPUTED_VALUE"""),"Galaxy A")</f>
        <v>Galaxy A</v>
      </c>
      <c r="F535" s="3" t="str">
        <f ca="1">IFERROR(__xludf.DUMMYFUNCTION("""COMPUTED_VALUE"""),"Jagar")</f>
        <v>Jagar</v>
      </c>
      <c r="G535" s="3">
        <f ca="1">IFERROR(__xludf.DUMMYFUNCTION("""COMPUTED_VALUE"""),0)</f>
        <v>0</v>
      </c>
      <c r="H535" s="3" t="str">
        <f ca="1">IFERROR(__xludf.DUMMYFUNCTION("""COMPUTED_VALUE"""),"car")</f>
        <v>car</v>
      </c>
      <c r="I535" s="3" t="str">
        <f ca="1">IFERROR(__xludf.DUMMYFUNCTION("""COMPUTED_VALUE"""),"2055-06-07T20:05:18.675289Z")</f>
        <v>2055-06-07T20:05:18.675289Z</v>
      </c>
      <c r="J535" s="3" t="str">
        <f ca="1">IFERROR(__xludf.DUMMYFUNCTION("""COMPUTED_VALUE"""),"2055-06-07T20:58:36.75Z")</f>
        <v>2055-06-07T20:58:36.75Z</v>
      </c>
      <c r="K535" s="3" t="str">
        <f ca="1">IFERROR(__xludf.DUMMYFUNCTION("""COMPUTED_VALUE"""),"2055-06-07T20:49:43.75Z")</f>
        <v>2055-06-07T20:49:43.75Z</v>
      </c>
      <c r="L535" s="3">
        <f ca="1">IFERROR(__xludf.DUMMYFUNCTION("""COMPUTED_VALUE"""),1)</f>
        <v>1</v>
      </c>
      <c r="M535" s="3">
        <f ca="1">IFERROR(__xludf.DUMMYFUNCTION("""COMPUTED_VALUE"""),0)</f>
        <v>0</v>
      </c>
      <c r="N535" s="3" t="str">
        <f ca="1">IFERROR(__xludf.DUMMYFUNCTION("""COMPUTED_VALUE"""),"2055-06-07T20:25:57.045068Z")</f>
        <v>2055-06-07T20:25:57.045068Z</v>
      </c>
      <c r="O535" s="3" t="str">
        <f ca="1">IFERROR(__xludf.DUMMYFUNCTION("""COMPUTED_VALUE"""),"2055-06-07T20:43:26.419264Z")</f>
        <v>2055-06-07T20:43:26.419264Z</v>
      </c>
      <c r="P535" s="3" t="str">
        <f ca="1">IFERROR(__xludf.DUMMYFUNCTION("""COMPUTED_VALUE"""),"2055-06-07T20:05:27.288469Z")</f>
        <v>2055-06-07T20:05:27.288469Z</v>
      </c>
      <c r="Q535" s="3">
        <f ca="1">IFERROR(__xludf.DUMMYFUNCTION("""COMPUTED_VALUE"""),0)</f>
        <v>0</v>
      </c>
      <c r="R535" s="3" t="str">
        <f ca="1">IFERROR(__xludf.DUMMYFUNCTION("""COMPUTED_VALUE"""),"2055-06-07T20:05:33.214141Z")</f>
        <v>2055-06-07T20:05:33.214141Z</v>
      </c>
      <c r="S535" s="3" t="str">
        <f ca="1">IFERROR(__xludf.DUMMYFUNCTION("""COMPUTED_VALUE"""),"2055-06-07T20:16:19.642348Z")</f>
        <v>2055-06-07T20:16:19.642348Z</v>
      </c>
      <c r="T535" s="3"/>
      <c r="U535" s="4">
        <f ca="1">IFERROR(__xludf.DUMMYFUNCTION("""COMPUTED_VALUE"""),56772)</f>
        <v>56772</v>
      </c>
      <c r="V535" s="3">
        <f ca="1">IFERROR(__xludf.DUMMYFUNCTION("""COMPUTED_VALUE"""),4.6)</f>
        <v>4.5999999999999996</v>
      </c>
      <c r="W535" s="3">
        <f ca="1">IFERROR(__xludf.DUMMYFUNCTION("""COMPUTED_VALUE"""),2500)</f>
        <v>2500</v>
      </c>
      <c r="X535" s="3">
        <f ca="1">IFERROR(__xludf.DUMMYFUNCTION("""COMPUTED_VALUE"""),2273)</f>
        <v>2273</v>
      </c>
      <c r="Y535" s="3">
        <f ca="1">IFERROR(__xludf.DUMMYFUNCTION("""COMPUTED_VALUE"""),646)</f>
        <v>646</v>
      </c>
      <c r="Z535" s="3">
        <f ca="1">IFERROR(__xludf.DUMMYFUNCTION("""COMPUTED_VALUE"""),578)</f>
        <v>578</v>
      </c>
      <c r="AA535" s="3">
        <f ca="1">IFERROR(__xludf.DUMMYFUNCTION("""COMPUTED_VALUE"""),1049)</f>
        <v>1049</v>
      </c>
      <c r="AB535" s="3">
        <f ca="1">IFERROR(__xludf.DUMMYFUNCTION("""COMPUTED_VALUE"""),0)</f>
        <v>0</v>
      </c>
      <c r="AC535" s="3">
        <f ca="1">IFERROR(__xludf.DUMMYFUNCTION("""COMPUTED_VALUE"""),3)</f>
        <v>3</v>
      </c>
      <c r="AD535" s="3" t="str">
        <f ca="1">IFERROR(__xludf.DUMMYFUNCTION("""COMPUTED_VALUE"""),"early")</f>
        <v>early</v>
      </c>
      <c r="AE535" s="3" t="str">
        <f ca="1">IFERROR(__xludf.DUMMYFUNCTION("""COMPUTED_VALUE"""),"2055-06-07T16:25:57.045068Z")</f>
        <v>2055-06-07T16:25:57.045068Z</v>
      </c>
      <c r="AF535" s="3" t="str">
        <f ca="1">IFERROR(__xludf.DUMMYFUNCTION("""COMPUTED_VALUE"""),"2055-06-07T16:43:26.419264Z")</f>
        <v>2055-06-07T16:43:26.419264Z</v>
      </c>
      <c r="AG535" s="3" t="str">
        <f ca="1">IFERROR(__xludf.DUMMYFUNCTION("""COMPUTED_VALUE"""),"2055-06-07T16:05:27.288469Z")</f>
        <v>2055-06-07T16:05:27.288469Z</v>
      </c>
      <c r="AH535" s="3" t="str">
        <f ca="1">IFERROR(__xludf.DUMMYFUNCTION("""COMPUTED_VALUE"""),"2055-06-07T16:16:19.642348Z")</f>
        <v>2055-06-07T16:16:19.642348Z</v>
      </c>
      <c r="AI535" s="3">
        <f ca="1">IFERROR(__xludf.DUMMYFUNCTION("""COMPUTED_VALUE"""),4.89)</f>
        <v>4.8899999999999997</v>
      </c>
      <c r="AJ535" s="3">
        <f ca="1">IFERROR(__xludf.DUMMYFUNCTION("""COMPUTED_VALUE"""),1778)</f>
        <v>1778</v>
      </c>
      <c r="AK535" s="3">
        <f ca="1">IFERROR(__xludf.DUMMYFUNCTION("""COMPUTED_VALUE"""),5138)</f>
        <v>5138</v>
      </c>
      <c r="AL535" s="3">
        <f ca="1">IFERROR(__xludf.DUMMYFUNCTION("""COMPUTED_VALUE"""),314)</f>
        <v>314</v>
      </c>
    </row>
    <row r="536" spans="1:38" ht="13">
      <c r="A536" s="3">
        <f ca="1">IFERROR(__xludf.DUMMYFUNCTION("""COMPUTED_VALUE"""),1344)</f>
        <v>1344</v>
      </c>
      <c r="B536" s="3">
        <f ca="1">IFERROR(__xludf.DUMMYFUNCTION("""COMPUTED_VALUE"""),1)</f>
        <v>1</v>
      </c>
      <c r="C536" s="3">
        <f ca="1">IFERROR(__xludf.DUMMYFUNCTION("""COMPUTED_VALUE"""),4001)</f>
        <v>4001</v>
      </c>
      <c r="D536" s="3" t="str">
        <f ca="1">IFERROR(__xludf.DUMMYFUNCTION("""COMPUTED_VALUE"""),"Dashattan")</f>
        <v>Dashattan</v>
      </c>
      <c r="E536" s="3" t="str">
        <f ca="1">IFERROR(__xludf.DUMMYFUNCTION("""COMPUTED_VALUE"""),"Galaxy A")</f>
        <v>Galaxy A</v>
      </c>
      <c r="F536" s="3" t="str">
        <f ca="1">IFERROR(__xludf.DUMMYFUNCTION("""COMPUTED_VALUE"""),"Bunje")</f>
        <v>Bunje</v>
      </c>
      <c r="G536" s="3">
        <f ca="1">IFERROR(__xludf.DUMMYFUNCTION("""COMPUTED_VALUE"""),0)</f>
        <v>0</v>
      </c>
      <c r="H536" s="3" t="str">
        <f ca="1">IFERROR(__xludf.DUMMYFUNCTION("""COMPUTED_VALUE"""),"bicycle")</f>
        <v>bicycle</v>
      </c>
      <c r="I536" s="3" t="str">
        <f ca="1">IFERROR(__xludf.DUMMYFUNCTION("""COMPUTED_VALUE"""),"2055-06-11T23:39:08.282732Z")</f>
        <v>2055-06-11T23:39:08.282732Z</v>
      </c>
      <c r="J536" s="3" t="str">
        <f ca="1">IFERROR(__xludf.DUMMYFUNCTION("""COMPUTED_VALUE"""),"2055-06-12T00:49:10.338Z")</f>
        <v>2055-06-12T00:49:10.338Z</v>
      </c>
      <c r="K536" s="3" t="str">
        <f ca="1">IFERROR(__xludf.DUMMYFUNCTION("""COMPUTED_VALUE"""),"2055-06-12T00:29:31.338Z")</f>
        <v>2055-06-12T00:29:31.338Z</v>
      </c>
      <c r="L536" s="3">
        <f ca="1">IFERROR(__xludf.DUMMYFUNCTION("""COMPUTED_VALUE"""),1)</f>
        <v>1</v>
      </c>
      <c r="M536" s="3">
        <f ca="1">IFERROR(__xludf.DUMMYFUNCTION("""COMPUTED_VALUE"""),1)</f>
        <v>1</v>
      </c>
      <c r="N536" s="3" t="str">
        <f ca="1">IFERROR(__xludf.DUMMYFUNCTION("""COMPUTED_VALUE"""),"2055-06-12T00:03:05.802681Z")</f>
        <v>2055-06-12T00:03:05.802681Z</v>
      </c>
      <c r="O536" s="3" t="str">
        <f ca="1">IFERROR(__xludf.DUMMYFUNCTION("""COMPUTED_VALUE"""),"2055-06-12T00:22:33.251075Z")</f>
        <v>2055-06-12T00:22:33.251075Z</v>
      </c>
      <c r="P536" s="3" t="str">
        <f ca="1">IFERROR(__xludf.DUMMYFUNCTION("""COMPUTED_VALUE"""),"2055-06-11T23:39:14.142893Z")</f>
        <v>2055-06-11T23:39:14.142893Z</v>
      </c>
      <c r="Q536" s="3">
        <f ca="1">IFERROR(__xludf.DUMMYFUNCTION("""COMPUTED_VALUE"""),0)</f>
        <v>0</v>
      </c>
      <c r="R536" s="3" t="str">
        <f ca="1">IFERROR(__xludf.DUMMYFUNCTION("""COMPUTED_VALUE"""),"2055-06-11T23:39:34.041659Z")</f>
        <v>2055-06-11T23:39:34.041659Z</v>
      </c>
      <c r="S536" s="3" t="str">
        <f ca="1">IFERROR(__xludf.DUMMYFUNCTION("""COMPUTED_VALUE"""),"2055-06-11T23:39:33.232407Z")</f>
        <v>2055-06-11T23:39:33.232407Z</v>
      </c>
      <c r="T536" s="3"/>
      <c r="U536" s="4">
        <f ca="1">IFERROR(__xludf.DUMMYFUNCTION("""COMPUTED_VALUE"""),56776)</f>
        <v>56776</v>
      </c>
      <c r="V536" s="3">
        <f ca="1">IFERROR(__xludf.DUMMYFUNCTION("""COMPUTED_VALUE"""),2.856812235)</f>
        <v>2.856812235</v>
      </c>
      <c r="W536" s="3">
        <f ca="1">IFERROR(__xludf.DUMMYFUNCTION("""COMPUTED_VALUE"""),2500)</f>
        <v>2500</v>
      </c>
      <c r="X536" s="3">
        <f ca="1">IFERROR(__xludf.DUMMYFUNCTION("""COMPUTED_VALUE"""),2579)</f>
        <v>2579</v>
      </c>
      <c r="Y536" s="3"/>
      <c r="Z536" s="3">
        <f ca="1">IFERROR(__xludf.DUMMYFUNCTION("""COMPUTED_VALUE"""),1412)</f>
        <v>1412</v>
      </c>
      <c r="AA536" s="3">
        <f ca="1">IFERROR(__xludf.DUMMYFUNCTION("""COMPUTED_VALUE"""),1168)</f>
        <v>1168</v>
      </c>
      <c r="AB536" s="3">
        <f ca="1">IFERROR(__xludf.DUMMYFUNCTION("""COMPUTED_VALUE"""),1)</f>
        <v>1</v>
      </c>
      <c r="AC536" s="3">
        <f ca="1">IFERROR(__xludf.DUMMYFUNCTION("""COMPUTED_VALUE"""),4)</f>
        <v>4</v>
      </c>
      <c r="AD536" s="3"/>
      <c r="AE536" s="3" t="str">
        <f ca="1">IFERROR(__xludf.DUMMYFUNCTION("""COMPUTED_VALUE"""),"2055-06-11T20:03:05.802681Z")</f>
        <v>2055-06-11T20:03:05.802681Z</v>
      </c>
      <c r="AF536" s="3" t="str">
        <f ca="1">IFERROR(__xludf.DUMMYFUNCTION("""COMPUTED_VALUE"""),"2055-06-11T20:22:33.251075Z")</f>
        <v>2055-06-11T20:22:33.251075Z</v>
      </c>
      <c r="AG536" s="3" t="str">
        <f ca="1">IFERROR(__xludf.DUMMYFUNCTION("""COMPUTED_VALUE"""),"2055-06-11T19:39:14.142893Z")</f>
        <v>2055-06-11T19:39:14.142893Z</v>
      </c>
      <c r="AH536" s="3" t="str">
        <f ca="1">IFERROR(__xludf.DUMMYFUNCTION("""COMPUTED_VALUE"""),"2055-06-11T19:39:33.232407Z")</f>
        <v>2055-06-11T19:39:33.232407Z</v>
      </c>
      <c r="AI536" s="3">
        <f ca="1">IFERROR(__xludf.DUMMYFUNCTION("""COMPUTED_VALUE"""),4.7)</f>
        <v>4.7</v>
      </c>
      <c r="AJ536" s="3">
        <f ca="1">IFERROR(__xludf.DUMMYFUNCTION("""COMPUTED_VALUE"""),443)</f>
        <v>443</v>
      </c>
      <c r="AK536" s="3">
        <f ca="1">IFERROR(__xludf.DUMMYFUNCTION("""COMPUTED_VALUE"""),1579)</f>
        <v>1579</v>
      </c>
      <c r="AL536" s="3"/>
    </row>
    <row r="537" spans="1:38" ht="13">
      <c r="A537" s="3">
        <f ca="1">IFERROR(__xludf.DUMMYFUNCTION("""COMPUTED_VALUE"""),74)</f>
        <v>74</v>
      </c>
      <c r="B537" s="3"/>
      <c r="C537" s="3">
        <f ca="1">IFERROR(__xludf.DUMMYFUNCTION("""COMPUTED_VALUE"""),4001)</f>
        <v>4001</v>
      </c>
      <c r="D537" s="3" t="str">
        <f ca="1">IFERROR(__xludf.DUMMYFUNCTION("""COMPUTED_VALUE"""),"Dashattan")</f>
        <v>Dashattan</v>
      </c>
      <c r="E537" s="3" t="str">
        <f ca="1">IFERROR(__xludf.DUMMYFUNCTION("""COMPUTED_VALUE"""),"Galaxy A")</f>
        <v>Galaxy A</v>
      </c>
      <c r="F537" s="3" t="str">
        <f ca="1">IFERROR(__xludf.DUMMYFUNCTION("""COMPUTED_VALUE"""),"KC")</f>
        <v>KC</v>
      </c>
      <c r="G537" s="3">
        <f ca="1">IFERROR(__xludf.DUMMYFUNCTION("""COMPUTED_VALUE"""),0)</f>
        <v>0</v>
      </c>
      <c r="H537" s="3" t="str">
        <f ca="1">IFERROR(__xludf.DUMMYFUNCTION("""COMPUTED_VALUE"""),"car")</f>
        <v>car</v>
      </c>
      <c r="I537" s="3" t="str">
        <f ca="1">IFERROR(__xludf.DUMMYFUNCTION("""COMPUTED_VALUE"""),"2055-06-01T23:10:51.02219Z")</f>
        <v>2055-06-01T23:10:51.02219Z</v>
      </c>
      <c r="J537" s="3" t="str">
        <f ca="1">IFERROR(__xludf.DUMMYFUNCTION("""COMPUTED_VALUE"""),"2055-06-02T00:04:54.09Z")</f>
        <v>2055-06-02T00:04:54.09Z</v>
      </c>
      <c r="K537" s="3" t="str">
        <f ca="1">IFERROR(__xludf.DUMMYFUNCTION("""COMPUTED_VALUE"""),"2055-06-01T23:45:15.09Z")</f>
        <v>2055-06-01T23:45:15.09Z</v>
      </c>
      <c r="L537" s="3">
        <f ca="1">IFERROR(__xludf.DUMMYFUNCTION("""COMPUTED_VALUE"""),1)</f>
        <v>1</v>
      </c>
      <c r="M537" s="3">
        <f ca="1">IFERROR(__xludf.DUMMYFUNCTION("""COMPUTED_VALUE"""),0)</f>
        <v>0</v>
      </c>
      <c r="N537" s="3" t="str">
        <f ca="1">IFERROR(__xludf.DUMMYFUNCTION("""COMPUTED_VALUE"""),"2055-06-01T23:28:41.486217Z")</f>
        <v>2055-06-01T23:28:41.486217Z</v>
      </c>
      <c r="O537" s="3" t="str">
        <f ca="1">IFERROR(__xludf.DUMMYFUNCTION("""COMPUTED_VALUE"""),"2055-06-01T23:45:25.748088Z")</f>
        <v>2055-06-01T23:45:25.748088Z</v>
      </c>
      <c r="P537" s="3" t="str">
        <f ca="1">IFERROR(__xludf.DUMMYFUNCTION("""COMPUTED_VALUE"""),"2055-06-01T23:16:55.807581Z")</f>
        <v>2055-06-01T23:16:55.807581Z</v>
      </c>
      <c r="Q537" s="3">
        <f ca="1">IFERROR(__xludf.DUMMYFUNCTION("""COMPUTED_VALUE"""),0)</f>
        <v>0</v>
      </c>
      <c r="R537" s="3" t="str">
        <f ca="1">IFERROR(__xludf.DUMMYFUNCTION("""COMPUTED_VALUE"""),"2055-06-01T23:17:03.520449Z")</f>
        <v>2055-06-01T23:17:03.520449Z</v>
      </c>
      <c r="S537" s="3" t="str">
        <f ca="1">IFERROR(__xludf.DUMMYFUNCTION("""COMPUTED_VALUE"""),"2055-06-01T23:22:09.202169Z")</f>
        <v>2055-06-01T23:22:09.202169Z</v>
      </c>
      <c r="T537" s="3"/>
      <c r="U537" s="4">
        <f ca="1">IFERROR(__xludf.DUMMYFUNCTION("""COMPUTED_VALUE"""),56766)</f>
        <v>56766</v>
      </c>
      <c r="V537" s="3">
        <f ca="1">IFERROR(__xludf.DUMMYFUNCTION("""COMPUTED_VALUE"""),4.6)</f>
        <v>4.5999999999999996</v>
      </c>
      <c r="W537" s="3">
        <f ca="1">IFERROR(__xludf.DUMMYFUNCTION("""COMPUTED_VALUE"""),2500)</f>
        <v>2500</v>
      </c>
      <c r="X537" s="3">
        <f ca="1">IFERROR(__xludf.DUMMYFUNCTION("""COMPUTED_VALUE"""),1702)</f>
        <v>1702</v>
      </c>
      <c r="Y537" s="3">
        <f ca="1">IFERROR(__xludf.DUMMYFUNCTION("""COMPUTED_VALUE"""),306)</f>
        <v>306</v>
      </c>
      <c r="Z537" s="3">
        <f ca="1">IFERROR(__xludf.DUMMYFUNCTION("""COMPUTED_VALUE"""),392)</f>
        <v>392</v>
      </c>
      <c r="AA537" s="3">
        <f ca="1">IFERROR(__xludf.DUMMYFUNCTION("""COMPUTED_VALUE"""),1004)</f>
        <v>1004</v>
      </c>
      <c r="AB537" s="3">
        <f ca="1">IFERROR(__xludf.DUMMYFUNCTION("""COMPUTED_VALUE"""),0)</f>
        <v>0</v>
      </c>
      <c r="AC537" s="3">
        <f ca="1">IFERROR(__xludf.DUMMYFUNCTION("""COMPUTED_VALUE"""),1)</f>
        <v>1</v>
      </c>
      <c r="AD537" s="3"/>
      <c r="AE537" s="3" t="str">
        <f ca="1">IFERROR(__xludf.DUMMYFUNCTION("""COMPUTED_VALUE"""),"2055-06-01T19:28:41.486217Z")</f>
        <v>2055-06-01T19:28:41.486217Z</v>
      </c>
      <c r="AF537" s="3" t="str">
        <f ca="1">IFERROR(__xludf.DUMMYFUNCTION("""COMPUTED_VALUE"""),"2055-06-01T19:45:25.748088Z")</f>
        <v>2055-06-01T19:45:25.748088Z</v>
      </c>
      <c r="AG537" s="3" t="str">
        <f ca="1">IFERROR(__xludf.DUMMYFUNCTION("""COMPUTED_VALUE"""),"2055-06-01T19:16:55.807581Z")</f>
        <v>2055-06-01T19:16:55.807581Z</v>
      </c>
      <c r="AH537" s="3" t="str">
        <f ca="1">IFERROR(__xludf.DUMMYFUNCTION("""COMPUTED_VALUE"""),"2055-06-01T19:22:09.202169Z")</f>
        <v>2055-06-01T19:22:09.202169Z</v>
      </c>
      <c r="AI537" s="3">
        <f ca="1">IFERROR(__xludf.DUMMYFUNCTION("""COMPUTED_VALUE"""),4.54)</f>
        <v>4.54</v>
      </c>
      <c r="AJ537" s="3">
        <f ca="1">IFERROR(__xludf.DUMMYFUNCTION("""COMPUTED_VALUE"""),2229)</f>
        <v>2229</v>
      </c>
      <c r="AK537" s="3">
        <f ca="1">IFERROR(__xludf.DUMMYFUNCTION("""COMPUTED_VALUE"""),6580)</f>
        <v>6580</v>
      </c>
      <c r="AL537" s="3"/>
    </row>
    <row r="538" spans="1:38" ht="13">
      <c r="A538" s="3">
        <f ca="1">IFERROR(__xludf.DUMMYFUNCTION("""COMPUTED_VALUE"""),302)</f>
        <v>302</v>
      </c>
      <c r="B538" s="3"/>
      <c r="C538" s="3">
        <f ca="1">IFERROR(__xludf.DUMMYFUNCTION("""COMPUTED_VALUE"""),4001)</f>
        <v>4001</v>
      </c>
      <c r="D538" s="3" t="str">
        <f ca="1">IFERROR(__xludf.DUMMYFUNCTION("""COMPUTED_VALUE"""),"Dashattan")</f>
        <v>Dashattan</v>
      </c>
      <c r="E538" s="3" t="str">
        <f ca="1">IFERROR(__xludf.DUMMYFUNCTION("""COMPUTED_VALUE"""),"Galaxy A")</f>
        <v>Galaxy A</v>
      </c>
      <c r="F538" s="3" t="str">
        <f ca="1">IFERROR(__xludf.DUMMYFUNCTION("""COMPUTED_VALUE"""),"Sean")</f>
        <v>Sean</v>
      </c>
      <c r="G538" s="3">
        <f ca="1">IFERROR(__xludf.DUMMYFUNCTION("""COMPUTED_VALUE"""),0)</f>
        <v>0</v>
      </c>
      <c r="H538" s="3" t="str">
        <f ca="1">IFERROR(__xludf.DUMMYFUNCTION("""COMPUTED_VALUE"""),"bicycle")</f>
        <v>bicycle</v>
      </c>
      <c r="I538" s="3" t="str">
        <f ca="1">IFERROR(__xludf.DUMMYFUNCTION("""COMPUTED_VALUE"""),"2055-06-03T17:45:26.083149Z")</f>
        <v>2055-06-03T17:45:26.083149Z</v>
      </c>
      <c r="J538" s="3" t="str">
        <f ca="1">IFERROR(__xludf.DUMMYFUNCTION("""COMPUTED_VALUE"""),"2055-06-03T18:38:56.151Z")</f>
        <v>2055-06-03T18:38:56.151Z</v>
      </c>
      <c r="K538" s="3" t="str">
        <f ca="1">IFERROR(__xludf.DUMMYFUNCTION("""COMPUTED_VALUE"""),"2055-06-03T18:19:17.151Z")</f>
        <v>2055-06-03T18:19:17.151Z</v>
      </c>
      <c r="L538" s="3">
        <f ca="1">IFERROR(__xludf.DUMMYFUNCTION("""COMPUTED_VALUE"""),1)</f>
        <v>1</v>
      </c>
      <c r="M538" s="3">
        <f ca="1">IFERROR(__xludf.DUMMYFUNCTION("""COMPUTED_VALUE"""),0)</f>
        <v>0</v>
      </c>
      <c r="N538" s="3" t="str">
        <f ca="1">IFERROR(__xludf.DUMMYFUNCTION("""COMPUTED_VALUE"""),"2055-06-03T17:58:55.307594Z")</f>
        <v>2055-06-03T17:58:55.307594Z</v>
      </c>
      <c r="O538" s="3" t="str">
        <f ca="1">IFERROR(__xludf.DUMMYFUNCTION("""COMPUTED_VALUE"""),"2055-06-03T18:10:44.136552Z")</f>
        <v>2055-06-03T18:10:44.136552Z</v>
      </c>
      <c r="P538" s="3" t="str">
        <f ca="1">IFERROR(__xludf.DUMMYFUNCTION("""COMPUTED_VALUE"""),"2055-06-03T17:52:14.628643Z")</f>
        <v>2055-06-03T17:52:14.628643Z</v>
      </c>
      <c r="Q538" s="3">
        <f ca="1">IFERROR(__xludf.DUMMYFUNCTION("""COMPUTED_VALUE"""),0)</f>
        <v>0</v>
      </c>
      <c r="R538" s="3" t="str">
        <f ca="1">IFERROR(__xludf.DUMMYFUNCTION("""COMPUTED_VALUE"""),"2055-06-03T17:52:50.953808Z")</f>
        <v>2055-06-03T17:52:50.953808Z</v>
      </c>
      <c r="S538" s="3" t="str">
        <f ca="1">IFERROR(__xludf.DUMMYFUNCTION("""COMPUTED_VALUE"""),"2055-06-03T17:56:57.074565Z")</f>
        <v>2055-06-03T17:56:57.074565Z</v>
      </c>
      <c r="T538" s="3"/>
      <c r="U538" s="4">
        <f ca="1">IFERROR(__xludf.DUMMYFUNCTION("""COMPUTED_VALUE"""),56768)</f>
        <v>56768</v>
      </c>
      <c r="V538" s="3">
        <f ca="1">IFERROR(__xludf.DUMMYFUNCTION("""COMPUTED_VALUE"""),4.4)</f>
        <v>4.4000000000000004</v>
      </c>
      <c r="W538" s="3">
        <f ca="1">IFERROR(__xludf.DUMMYFUNCTION("""COMPUTED_VALUE"""),2500)</f>
        <v>2500</v>
      </c>
      <c r="X538" s="3">
        <f ca="1">IFERROR(__xludf.DUMMYFUNCTION("""COMPUTED_VALUE"""),1074)</f>
        <v>1074</v>
      </c>
      <c r="Y538" s="3">
        <f ca="1">IFERROR(__xludf.DUMMYFUNCTION("""COMPUTED_VALUE"""),247)</f>
        <v>247</v>
      </c>
      <c r="Z538" s="3">
        <f ca="1">IFERROR(__xludf.DUMMYFUNCTION("""COMPUTED_VALUE"""),118)</f>
        <v>118</v>
      </c>
      <c r="AA538" s="3">
        <f ca="1">IFERROR(__xludf.DUMMYFUNCTION("""COMPUTED_VALUE"""),709)</f>
        <v>709</v>
      </c>
      <c r="AB538" s="3">
        <f ca="1">IFERROR(__xludf.DUMMYFUNCTION("""COMPUTED_VALUE"""),0)</f>
        <v>0</v>
      </c>
      <c r="AC538" s="3">
        <f ca="1">IFERROR(__xludf.DUMMYFUNCTION("""COMPUTED_VALUE"""),2)</f>
        <v>2</v>
      </c>
      <c r="AD538" s="3" t="str">
        <f ca="1">IFERROR(__xludf.DUMMYFUNCTION("""COMPUTED_VALUE"""),"on time")</f>
        <v>on time</v>
      </c>
      <c r="AE538" s="3" t="str">
        <f ca="1">IFERROR(__xludf.DUMMYFUNCTION("""COMPUTED_VALUE"""),"2055-06-03T13:58:55.307594Z")</f>
        <v>2055-06-03T13:58:55.307594Z</v>
      </c>
      <c r="AF538" s="3" t="str">
        <f ca="1">IFERROR(__xludf.DUMMYFUNCTION("""COMPUTED_VALUE"""),"2055-06-03T14:10:44.136552Z")</f>
        <v>2055-06-03T14:10:44.136552Z</v>
      </c>
      <c r="AG538" s="3" t="str">
        <f ca="1">IFERROR(__xludf.DUMMYFUNCTION("""COMPUTED_VALUE"""),"2055-06-03T13:52:14.628643Z")</f>
        <v>2055-06-03T13:52:14.628643Z</v>
      </c>
      <c r="AH538" s="3" t="str">
        <f ca="1">IFERROR(__xludf.DUMMYFUNCTION("""COMPUTED_VALUE"""),"2055-06-03T13:56:57.074565Z")</f>
        <v>2055-06-03T13:56:57.074565Z</v>
      </c>
      <c r="AI538" s="3">
        <f ca="1">IFERROR(__xludf.DUMMYFUNCTION("""COMPUTED_VALUE"""),4.52)</f>
        <v>4.5199999999999996</v>
      </c>
      <c r="AJ538" s="3">
        <f ca="1">IFERROR(__xludf.DUMMYFUNCTION("""COMPUTED_VALUE"""),183)</f>
        <v>183</v>
      </c>
      <c r="AK538" s="3">
        <f ca="1">IFERROR(__xludf.DUMMYFUNCTION("""COMPUTED_VALUE"""),522)</f>
        <v>522</v>
      </c>
      <c r="AL538" s="3"/>
    </row>
    <row r="539" spans="1:38" ht="13">
      <c r="A539" s="3">
        <f ca="1">IFERROR(__xludf.DUMMYFUNCTION("""COMPUTED_VALUE"""),324)</f>
        <v>324</v>
      </c>
      <c r="B539" s="3">
        <f ca="1">IFERROR(__xludf.DUMMYFUNCTION("""COMPUTED_VALUE"""),5)</f>
        <v>5</v>
      </c>
      <c r="C539" s="3">
        <f ca="1">IFERROR(__xludf.DUMMYFUNCTION("""COMPUTED_VALUE"""),4050)</f>
        <v>4050</v>
      </c>
      <c r="D539" s="3" t="str">
        <f ca="1">IFERROR(__xludf.DUMMYFUNCTION("""COMPUTED_VALUE"""),"Doorlanta")</f>
        <v>Doorlanta</v>
      </c>
      <c r="E539" s="3" t="str">
        <f ca="1">IFERROR(__xludf.DUMMYFUNCTION("""COMPUTED_VALUE"""),"Galaxy A")</f>
        <v>Galaxy A</v>
      </c>
      <c r="F539" s="3" t="str">
        <f ca="1">IFERROR(__xludf.DUMMYFUNCTION("""COMPUTED_VALUE"""),"Benn")</f>
        <v>Benn</v>
      </c>
      <c r="G539" s="3">
        <f ca="1">IFERROR(__xludf.DUMMYFUNCTION("""COMPUTED_VALUE"""),0)</f>
        <v>0</v>
      </c>
      <c r="H539" s="3" t="str">
        <f ca="1">IFERROR(__xludf.DUMMYFUNCTION("""COMPUTED_VALUE"""),"car")</f>
        <v>car</v>
      </c>
      <c r="I539" s="3" t="str">
        <f ca="1">IFERROR(__xludf.DUMMYFUNCTION("""COMPUTED_VALUE"""),"2055-06-03T20:10:18.924018Z")</f>
        <v>2055-06-03T20:10:18.924018Z</v>
      </c>
      <c r="J539" s="3" t="str">
        <f ca="1">IFERROR(__xludf.DUMMYFUNCTION("""COMPUTED_VALUE"""),"2055-06-03T21:05:18.997Z")</f>
        <v>2055-06-03T21:05:18.997Z</v>
      </c>
      <c r="K539" s="3" t="str">
        <f ca="1">IFERROR(__xludf.DUMMYFUNCTION("""COMPUTED_VALUE"""),"2055-06-03T20:43:09.997Z")</f>
        <v>2055-06-03T20:43:09.997Z</v>
      </c>
      <c r="L539" s="3">
        <f ca="1">IFERROR(__xludf.DUMMYFUNCTION("""COMPUTED_VALUE"""),1)</f>
        <v>1</v>
      </c>
      <c r="M539" s="3">
        <f ca="1">IFERROR(__xludf.DUMMYFUNCTION("""COMPUTED_VALUE"""),0)</f>
        <v>0</v>
      </c>
      <c r="N539" s="3" t="str">
        <f ca="1">IFERROR(__xludf.DUMMYFUNCTION("""COMPUTED_VALUE"""),"2055-06-03T20:33:41.994311Z")</f>
        <v>2055-06-03T20:33:41.994311Z</v>
      </c>
      <c r="O539" s="3" t="str">
        <f ca="1">IFERROR(__xludf.DUMMYFUNCTION("""COMPUTED_VALUE"""),"2055-06-03T21:07:39.348488Z")</f>
        <v>2055-06-03T21:07:39.348488Z</v>
      </c>
      <c r="P539" s="3" t="str">
        <f ca="1">IFERROR(__xludf.DUMMYFUNCTION("""COMPUTED_VALUE"""),"2055-06-03T20:12:27.319052Z")</f>
        <v>2055-06-03T20:12:27.319052Z</v>
      </c>
      <c r="Q539" s="3">
        <f ca="1">IFERROR(__xludf.DUMMYFUNCTION("""COMPUTED_VALUE"""),0)</f>
        <v>0</v>
      </c>
      <c r="R539" s="3" t="str">
        <f ca="1">IFERROR(__xludf.DUMMYFUNCTION("""COMPUTED_VALUE"""),"2055-06-03T20:12:35.866051Z")</f>
        <v>2055-06-03T20:12:35.866051Z</v>
      </c>
      <c r="S539" s="3"/>
      <c r="T539" s="3"/>
      <c r="U539" s="4">
        <f ca="1">IFERROR(__xludf.DUMMYFUNCTION("""COMPUTED_VALUE"""),56768)</f>
        <v>56768</v>
      </c>
      <c r="V539" s="3">
        <f ca="1">IFERROR(__xludf.DUMMYFUNCTION("""COMPUTED_VALUE"""),4.6)</f>
        <v>4.5999999999999996</v>
      </c>
      <c r="W539" s="3">
        <f ca="1">IFERROR(__xludf.DUMMYFUNCTION("""COMPUTED_VALUE"""),2500)</f>
        <v>2500</v>
      </c>
      <c r="X539" s="3">
        <f ca="1">IFERROR(__xludf.DUMMYFUNCTION("""COMPUTED_VALUE"""),3304)</f>
        <v>3304</v>
      </c>
      <c r="Y539" s="3"/>
      <c r="Z539" s="3"/>
      <c r="AA539" s="3">
        <f ca="1">IFERROR(__xludf.DUMMYFUNCTION("""COMPUTED_VALUE"""),2038)</f>
        <v>2038</v>
      </c>
      <c r="AB539" s="3">
        <f ca="1">IFERROR(__xludf.DUMMYFUNCTION("""COMPUTED_VALUE"""),0)</f>
        <v>0</v>
      </c>
      <c r="AC539" s="3">
        <f ca="1">IFERROR(__xludf.DUMMYFUNCTION("""COMPUTED_VALUE"""),3)</f>
        <v>3</v>
      </c>
      <c r="AD539" s="3"/>
      <c r="AE539" s="3" t="str">
        <f ca="1">IFERROR(__xludf.DUMMYFUNCTION("""COMPUTED_VALUE"""),"2055-06-03T16:33:41.994311Z")</f>
        <v>2055-06-03T16:33:41.994311Z</v>
      </c>
      <c r="AF539" s="3" t="str">
        <f ca="1">IFERROR(__xludf.DUMMYFUNCTION("""COMPUTED_VALUE"""),"2055-06-03T17:07:39.348488Z")</f>
        <v>2055-06-03T17:07:39.348488Z</v>
      </c>
      <c r="AG539" s="3" t="str">
        <f ca="1">IFERROR(__xludf.DUMMYFUNCTION("""COMPUTED_VALUE"""),"2055-06-03T16:12:27.319052Z")</f>
        <v>2055-06-03T16:12:27.319052Z</v>
      </c>
      <c r="AH539" s="3"/>
      <c r="AI539" s="3">
        <f ca="1">IFERROR(__xludf.DUMMYFUNCTION("""COMPUTED_VALUE"""),4.63)</f>
        <v>4.63</v>
      </c>
      <c r="AJ539" s="3">
        <f ca="1">IFERROR(__xludf.DUMMYFUNCTION("""COMPUTED_VALUE"""),241)</f>
        <v>241</v>
      </c>
      <c r="AK539" s="3">
        <f ca="1">IFERROR(__xludf.DUMMYFUNCTION("""COMPUTED_VALUE"""),995)</f>
        <v>995</v>
      </c>
      <c r="AL539" s="3">
        <f ca="1">IFERROR(__xludf.DUMMYFUNCTION("""COMPUTED_VALUE"""),626)</f>
        <v>626</v>
      </c>
    </row>
    <row r="540" spans="1:38" ht="13">
      <c r="A540" s="3">
        <f ca="1">IFERROR(__xludf.DUMMYFUNCTION("""COMPUTED_VALUE"""),401)</f>
        <v>401</v>
      </c>
      <c r="B540" s="3"/>
      <c r="C540" s="3">
        <f ca="1">IFERROR(__xludf.DUMMYFUNCTION("""COMPUTED_VALUE"""),4001)</f>
        <v>4001</v>
      </c>
      <c r="D540" s="3" t="str">
        <f ca="1">IFERROR(__xludf.DUMMYFUNCTION("""COMPUTED_VALUE"""),"Dashattan")</f>
        <v>Dashattan</v>
      </c>
      <c r="E540" s="3" t="str">
        <f ca="1">IFERROR(__xludf.DUMMYFUNCTION("""COMPUTED_VALUE"""),"Galaxy A")</f>
        <v>Galaxy A</v>
      </c>
      <c r="F540" s="3" t="str">
        <f ca="1">IFERROR(__xludf.DUMMYFUNCTION("""COMPUTED_VALUE"""),"Rojan")</f>
        <v>Rojan</v>
      </c>
      <c r="G540" s="3">
        <f ca="1">IFERROR(__xludf.DUMMYFUNCTION("""COMPUTED_VALUE"""),0)</f>
        <v>0</v>
      </c>
      <c r="H540" s="3" t="str">
        <f ca="1">IFERROR(__xludf.DUMMYFUNCTION("""COMPUTED_VALUE"""),"bicycle")</f>
        <v>bicycle</v>
      </c>
      <c r="I540" s="3" t="str">
        <f ca="1">IFERROR(__xludf.DUMMYFUNCTION("""COMPUTED_VALUE"""),"2055-06-04T14:01:16.428852Z")</f>
        <v>2055-06-04T14:01:16.428852Z</v>
      </c>
      <c r="J540" s="3" t="str">
        <f ca="1">IFERROR(__xludf.DUMMYFUNCTION("""COMPUTED_VALUE"""),"2055-06-04T15:27:45.505Z")</f>
        <v>2055-06-04T15:27:45.505Z</v>
      </c>
      <c r="K540" s="3" t="str">
        <f ca="1">IFERROR(__xludf.DUMMYFUNCTION("""COMPUTED_VALUE"""),"2055-06-04T15:04:27.505Z")</f>
        <v>2055-06-04T15:04:27.505Z</v>
      </c>
      <c r="L540" s="3">
        <f ca="1">IFERROR(__xludf.DUMMYFUNCTION("""COMPUTED_VALUE"""),1)</f>
        <v>1</v>
      </c>
      <c r="M540" s="3">
        <f ca="1">IFERROR(__xludf.DUMMYFUNCTION("""COMPUTED_VALUE"""),0)</f>
        <v>0</v>
      </c>
      <c r="N540" s="3" t="str">
        <f ca="1">IFERROR(__xludf.DUMMYFUNCTION("""COMPUTED_VALUE"""),"2055-06-04T14:34:17.914428Z")</f>
        <v>2055-06-04T14:34:17.914428Z</v>
      </c>
      <c r="O540" s="3" t="str">
        <f ca="1">IFERROR(__xludf.DUMMYFUNCTION("""COMPUTED_VALUE"""),"2055-06-04T14:49:54.002965Z")</f>
        <v>2055-06-04T14:49:54.002965Z</v>
      </c>
      <c r="P540" s="3" t="str">
        <f ca="1">IFERROR(__xludf.DUMMYFUNCTION("""COMPUTED_VALUE"""),"2055-06-04T14:07:14.108351Z")</f>
        <v>2055-06-04T14:07:14.108351Z</v>
      </c>
      <c r="Q540" s="3">
        <f ca="1">IFERROR(__xludf.DUMMYFUNCTION("""COMPUTED_VALUE"""),0)</f>
        <v>0</v>
      </c>
      <c r="R540" s="3" t="str">
        <f ca="1">IFERROR(__xludf.DUMMYFUNCTION("""COMPUTED_VALUE"""),"2055-06-04T14:07:27.900272Z")</f>
        <v>2055-06-04T14:07:27.900272Z</v>
      </c>
      <c r="S540" s="3" t="str">
        <f ca="1">IFERROR(__xludf.DUMMYFUNCTION("""COMPUTED_VALUE"""),"2055-06-04T14:34:20.579329Z")</f>
        <v>2055-06-04T14:34:20.579329Z</v>
      </c>
      <c r="T540" s="3"/>
      <c r="U540" s="4">
        <f ca="1">IFERROR(__xludf.DUMMYFUNCTION("""COMPUTED_VALUE"""),56769)</f>
        <v>56769</v>
      </c>
      <c r="V540" s="3">
        <f ca="1">IFERROR(__xludf.DUMMYFUNCTION("""COMPUTED_VALUE"""),2.796335422)</f>
        <v>2.7963354219999998</v>
      </c>
      <c r="W540" s="3">
        <f ca="1">IFERROR(__xludf.DUMMYFUNCTION("""COMPUTED_VALUE"""),2500)</f>
        <v>2500</v>
      </c>
      <c r="X540" s="3">
        <f ca="1">IFERROR(__xludf.DUMMYFUNCTION("""COMPUTED_VALUE"""),2547)</f>
        <v>2547</v>
      </c>
      <c r="Y540" s="3">
        <f ca="1">IFERROR(__xludf.DUMMYFUNCTION("""COMPUTED_VALUE"""),1613)</f>
        <v>1613</v>
      </c>
      <c r="Z540" s="3"/>
      <c r="AA540" s="3">
        <f ca="1">IFERROR(__xludf.DUMMYFUNCTION("""COMPUTED_VALUE"""),937)</f>
        <v>937</v>
      </c>
      <c r="AB540" s="3">
        <f ca="1">IFERROR(__xludf.DUMMYFUNCTION("""COMPUTED_VALUE"""),0)</f>
        <v>0</v>
      </c>
      <c r="AC540" s="3">
        <f ca="1">IFERROR(__xludf.DUMMYFUNCTION("""COMPUTED_VALUE"""),6)</f>
        <v>6</v>
      </c>
      <c r="AD540" s="3" t="str">
        <f ca="1">IFERROR(__xludf.DUMMYFUNCTION("""COMPUTED_VALUE"""),"on time")</f>
        <v>on time</v>
      </c>
      <c r="AE540" s="3" t="str">
        <f ca="1">IFERROR(__xludf.DUMMYFUNCTION("""COMPUTED_VALUE"""),"2055-06-04T10:34:17.914428Z")</f>
        <v>2055-06-04T10:34:17.914428Z</v>
      </c>
      <c r="AF540" s="3" t="str">
        <f ca="1">IFERROR(__xludf.DUMMYFUNCTION("""COMPUTED_VALUE"""),"2055-06-04T10:49:54.002965Z")</f>
        <v>2055-06-04T10:49:54.002965Z</v>
      </c>
      <c r="AG540" s="3" t="str">
        <f ca="1">IFERROR(__xludf.DUMMYFUNCTION("""COMPUTED_VALUE"""),"2055-06-04T10:07:14.108351Z")</f>
        <v>2055-06-04T10:07:14.108351Z</v>
      </c>
      <c r="AH540" s="3" t="str">
        <f ca="1">IFERROR(__xludf.DUMMYFUNCTION("""COMPUTED_VALUE"""),"2055-06-04T10:34:20.579329Z")</f>
        <v>2055-06-04T10:34:20.579329Z</v>
      </c>
      <c r="AI540" s="3">
        <f ca="1">IFERROR(__xludf.DUMMYFUNCTION("""COMPUTED_VALUE"""),4.58)</f>
        <v>4.58</v>
      </c>
      <c r="AJ540" s="3">
        <f ca="1">IFERROR(__xludf.DUMMYFUNCTION("""COMPUTED_VALUE"""),254)</f>
        <v>254</v>
      </c>
      <c r="AK540" s="3">
        <f ca="1">IFERROR(__xludf.DUMMYFUNCTION("""COMPUTED_VALUE"""),788)</f>
        <v>788</v>
      </c>
      <c r="AL540" s="3">
        <f ca="1">IFERROR(__xludf.DUMMYFUNCTION("""COMPUTED_VALUE"""),9)</f>
        <v>9</v>
      </c>
    </row>
    <row r="541" spans="1:38" ht="13">
      <c r="A541" s="3">
        <f ca="1">IFERROR(__xludf.DUMMYFUNCTION("""COMPUTED_VALUE"""),654)</f>
        <v>654</v>
      </c>
      <c r="B541" s="3"/>
      <c r="C541" s="3">
        <f ca="1">IFERROR(__xludf.DUMMYFUNCTION("""COMPUTED_VALUE"""),4050)</f>
        <v>4050</v>
      </c>
      <c r="D541" s="3" t="str">
        <f ca="1">IFERROR(__xludf.DUMMYFUNCTION("""COMPUTED_VALUE"""),"Doorlanta")</f>
        <v>Doorlanta</v>
      </c>
      <c r="E541" s="3" t="str">
        <f ca="1">IFERROR(__xludf.DUMMYFUNCTION("""COMPUTED_VALUE"""),"Galaxy A")</f>
        <v>Galaxy A</v>
      </c>
      <c r="F541" s="3" t="str">
        <f ca="1">IFERROR(__xludf.DUMMYFUNCTION("""COMPUTED_VALUE"""),"Abhai")</f>
        <v>Abhai</v>
      </c>
      <c r="G541" s="3">
        <f ca="1">IFERROR(__xludf.DUMMYFUNCTION("""COMPUTED_VALUE"""),0)</f>
        <v>0</v>
      </c>
      <c r="H541" s="3" t="str">
        <f ca="1">IFERROR(__xludf.DUMMYFUNCTION("""COMPUTED_VALUE"""),"car")</f>
        <v>car</v>
      </c>
      <c r="I541" s="3" t="str">
        <f ca="1">IFERROR(__xludf.DUMMYFUNCTION("""COMPUTED_VALUE"""),"2055-06-05T22:34:38.452621Z")</f>
        <v>2055-06-05T22:34:38.452621Z</v>
      </c>
      <c r="J541" s="3" t="str">
        <f ca="1">IFERROR(__xludf.DUMMYFUNCTION("""COMPUTED_VALUE"""),"2055-06-05T23:29:38.53Z")</f>
        <v>2055-06-05T23:29:38.53Z</v>
      </c>
      <c r="K541" s="3" t="str">
        <f ca="1">IFERROR(__xludf.DUMMYFUNCTION("""COMPUTED_VALUE"""),"2055-06-05T23:07:32.53Z")</f>
        <v>2055-06-05T23:07:32.53Z</v>
      </c>
      <c r="L541" s="3">
        <f ca="1">IFERROR(__xludf.DUMMYFUNCTION("""COMPUTED_VALUE"""),1)</f>
        <v>1</v>
      </c>
      <c r="M541" s="3">
        <f ca="1">IFERROR(__xludf.DUMMYFUNCTION("""COMPUTED_VALUE"""),0)</f>
        <v>0</v>
      </c>
      <c r="N541" s="3" t="str">
        <f ca="1">IFERROR(__xludf.DUMMYFUNCTION("""COMPUTED_VALUE"""),"2055-06-05T22:55:21.461614Z")</f>
        <v>2055-06-05T22:55:21.461614Z</v>
      </c>
      <c r="O541" s="3" t="str">
        <f ca="1">IFERROR(__xludf.DUMMYFUNCTION("""COMPUTED_VALUE"""),"2055-06-05T23:02:32.026583Z")</f>
        <v>2055-06-05T23:02:32.026583Z</v>
      </c>
      <c r="P541" s="3" t="str">
        <f ca="1">IFERROR(__xludf.DUMMYFUNCTION("""COMPUTED_VALUE"""),"2055-06-05T22:40:27.433508Z")</f>
        <v>2055-06-05T22:40:27.433508Z</v>
      </c>
      <c r="Q541" s="3">
        <f ca="1">IFERROR(__xludf.DUMMYFUNCTION("""COMPUTED_VALUE"""),0)</f>
        <v>0</v>
      </c>
      <c r="R541" s="3" t="str">
        <f ca="1">IFERROR(__xludf.DUMMYFUNCTION("""COMPUTED_VALUE"""),"2055-06-05T22:40:31.405307Z")</f>
        <v>2055-06-05T22:40:31.405307Z</v>
      </c>
      <c r="S541" s="3"/>
      <c r="T541" s="3"/>
      <c r="U541" s="4">
        <f ca="1">IFERROR(__xludf.DUMMYFUNCTION("""COMPUTED_VALUE"""),56770)</f>
        <v>56770</v>
      </c>
      <c r="V541" s="3">
        <f ca="1">IFERROR(__xludf.DUMMYFUNCTION("""COMPUTED_VALUE"""),4.6)</f>
        <v>4.5999999999999996</v>
      </c>
      <c r="W541" s="3">
        <f ca="1">IFERROR(__xludf.DUMMYFUNCTION("""COMPUTED_VALUE"""),2500)</f>
        <v>2500</v>
      </c>
      <c r="X541" s="3">
        <f ca="1">IFERROR(__xludf.DUMMYFUNCTION("""COMPUTED_VALUE"""),1321)</f>
        <v>1321</v>
      </c>
      <c r="Y541" s="3"/>
      <c r="Z541" s="3"/>
      <c r="AA541" s="3">
        <f ca="1">IFERROR(__xludf.DUMMYFUNCTION("""COMPUTED_VALUE"""),431)</f>
        <v>431</v>
      </c>
      <c r="AB541" s="3">
        <f ca="1">IFERROR(__xludf.DUMMYFUNCTION("""COMPUTED_VALUE"""),0)</f>
        <v>0</v>
      </c>
      <c r="AC541" s="3">
        <f ca="1">IFERROR(__xludf.DUMMYFUNCTION("""COMPUTED_VALUE"""),2)</f>
        <v>2</v>
      </c>
      <c r="AD541" s="3"/>
      <c r="AE541" s="3" t="str">
        <f ca="1">IFERROR(__xludf.DUMMYFUNCTION("""COMPUTED_VALUE"""),"2055-06-05T18:55:21.461614Z")</f>
        <v>2055-06-05T18:55:21.461614Z</v>
      </c>
      <c r="AF541" s="3" t="str">
        <f ca="1">IFERROR(__xludf.DUMMYFUNCTION("""COMPUTED_VALUE"""),"2055-06-05T19:02:32.026583Z")</f>
        <v>2055-06-05T19:02:32.026583Z</v>
      </c>
      <c r="AG541" s="3" t="str">
        <f ca="1">IFERROR(__xludf.DUMMYFUNCTION("""COMPUTED_VALUE"""),"2055-06-05T18:40:27.433508Z")</f>
        <v>2055-06-05T18:40:27.433508Z</v>
      </c>
      <c r="AH541" s="3"/>
      <c r="AI541" s="3">
        <f ca="1">IFERROR(__xludf.DUMMYFUNCTION("""COMPUTED_VALUE"""),4.56)</f>
        <v>4.5599999999999996</v>
      </c>
      <c r="AJ541" s="3">
        <f ca="1">IFERROR(__xludf.DUMMYFUNCTION("""COMPUTED_VALUE"""),344)</f>
        <v>344</v>
      </c>
      <c r="AK541" s="3">
        <f ca="1">IFERROR(__xludf.DUMMYFUNCTION("""COMPUTED_VALUE"""),947)</f>
        <v>947</v>
      </c>
      <c r="AL541" s="3">
        <f ca="1">IFERROR(__xludf.DUMMYFUNCTION("""COMPUTED_VALUE"""),22)</f>
        <v>22</v>
      </c>
    </row>
    <row r="542" spans="1:38" ht="13">
      <c r="A542" s="3">
        <f ca="1">IFERROR(__xludf.DUMMYFUNCTION("""COMPUTED_VALUE"""),665)</f>
        <v>665</v>
      </c>
      <c r="B542" s="3">
        <f ca="1">IFERROR(__xludf.DUMMYFUNCTION("""COMPUTED_VALUE"""),2)</f>
        <v>2</v>
      </c>
      <c r="C542" s="3">
        <f ca="1">IFERROR(__xludf.DUMMYFUNCTION("""COMPUTED_VALUE"""),4050)</f>
        <v>4050</v>
      </c>
      <c r="D542" s="3" t="str">
        <f ca="1">IFERROR(__xludf.DUMMYFUNCTION("""COMPUTED_VALUE"""),"Doorlanta")</f>
        <v>Doorlanta</v>
      </c>
      <c r="E542" s="3" t="str">
        <f ca="1">IFERROR(__xludf.DUMMYFUNCTION("""COMPUTED_VALUE"""),"Galaxy A")</f>
        <v>Galaxy A</v>
      </c>
      <c r="F542" s="3" t="str">
        <f ca="1">IFERROR(__xludf.DUMMYFUNCTION("""COMPUTED_VALUE"""),"Hanna")</f>
        <v>Hanna</v>
      </c>
      <c r="G542" s="3">
        <f ca="1">IFERROR(__xludf.DUMMYFUNCTION("""COMPUTED_VALUE"""),0)</f>
        <v>0</v>
      </c>
      <c r="H542" s="3" t="str">
        <f ca="1">IFERROR(__xludf.DUMMYFUNCTION("""COMPUTED_VALUE"""),"car")</f>
        <v>car</v>
      </c>
      <c r="I542" s="3" t="str">
        <f ca="1">IFERROR(__xludf.DUMMYFUNCTION("""COMPUTED_VALUE"""),"2055-06-05T23:07:56.458034Z")</f>
        <v>2055-06-05T23:07:56.458034Z</v>
      </c>
      <c r="J542" s="3" t="str">
        <f ca="1">IFERROR(__xludf.DUMMYFUNCTION("""COMPUTED_VALUE"""),"2055-06-06T00:00:59.523Z")</f>
        <v>2055-06-06T00:00:59.523Z</v>
      </c>
      <c r="K542" s="3" t="str">
        <f ca="1">IFERROR(__xludf.DUMMYFUNCTION("""COMPUTED_VALUE"""),"2055-06-05T23:52:41.523Z")</f>
        <v>2055-06-05T23:52:41.523Z</v>
      </c>
      <c r="L542" s="3">
        <f ca="1">IFERROR(__xludf.DUMMYFUNCTION("""COMPUTED_VALUE"""),1)</f>
        <v>1</v>
      </c>
      <c r="M542" s="3">
        <f ca="1">IFERROR(__xludf.DUMMYFUNCTION("""COMPUTED_VALUE"""),0)</f>
        <v>0</v>
      </c>
      <c r="N542" s="3" t="str">
        <f ca="1">IFERROR(__xludf.DUMMYFUNCTION("""COMPUTED_VALUE"""),"2055-06-05T23:58:01.227722Z")</f>
        <v>2055-06-05T23:58:01.227722Z</v>
      </c>
      <c r="O542" s="3" t="str">
        <f ca="1">IFERROR(__xludf.DUMMYFUNCTION("""COMPUTED_VALUE"""),"2055-06-06T00:15:28.15543Z")</f>
        <v>2055-06-06T00:15:28.15543Z</v>
      </c>
      <c r="P542" s="3" t="str">
        <f ca="1">IFERROR(__xludf.DUMMYFUNCTION("""COMPUTED_VALUE"""),"2055-06-05T23:10:08.647405Z")</f>
        <v>2055-06-05T23:10:08.647405Z</v>
      </c>
      <c r="Q542" s="3">
        <f ca="1">IFERROR(__xludf.DUMMYFUNCTION("""COMPUTED_VALUE"""),0)</f>
        <v>0</v>
      </c>
      <c r="R542" s="3" t="str">
        <f ca="1">IFERROR(__xludf.DUMMYFUNCTION("""COMPUTED_VALUE"""),"2055-06-05T23:10:18.341482Z")</f>
        <v>2055-06-05T23:10:18.341482Z</v>
      </c>
      <c r="S542" s="3" t="str">
        <f ca="1">IFERROR(__xludf.DUMMYFUNCTION("""COMPUTED_VALUE"""),"2055-06-05T23:55:18.629772Z")</f>
        <v>2055-06-05T23:55:18.629772Z</v>
      </c>
      <c r="T542" s="3"/>
      <c r="U542" s="4">
        <f ca="1">IFERROR(__xludf.DUMMYFUNCTION("""COMPUTED_VALUE"""),56770)</f>
        <v>56770</v>
      </c>
      <c r="V542" s="3">
        <f ca="1">IFERROR(__xludf.DUMMYFUNCTION("""COMPUTED_VALUE"""),3.287307105)</f>
        <v>3.287307105</v>
      </c>
      <c r="W542" s="3">
        <f ca="1">IFERROR(__xludf.DUMMYFUNCTION("""COMPUTED_VALUE"""),2500)</f>
        <v>2500</v>
      </c>
      <c r="X542" s="3">
        <f ca="1">IFERROR(__xludf.DUMMYFUNCTION("""COMPUTED_VALUE"""),3910)</f>
        <v>3910</v>
      </c>
      <c r="Y542" s="3">
        <f ca="1">IFERROR(__xludf.DUMMYFUNCTION("""COMPUTED_VALUE"""),2700)</f>
        <v>2700</v>
      </c>
      <c r="Z542" s="3">
        <f ca="1">IFERROR(__xludf.DUMMYFUNCTION("""COMPUTED_VALUE"""),163)</f>
        <v>163</v>
      </c>
      <c r="AA542" s="3">
        <f ca="1">IFERROR(__xludf.DUMMYFUNCTION("""COMPUTED_VALUE"""),1047)</f>
        <v>1047</v>
      </c>
      <c r="AB542" s="3">
        <f ca="1">IFERROR(__xludf.DUMMYFUNCTION("""COMPUTED_VALUE"""),1)</f>
        <v>1</v>
      </c>
      <c r="AC542" s="3">
        <f ca="1">IFERROR(__xludf.DUMMYFUNCTION("""COMPUTED_VALUE"""),3)</f>
        <v>3</v>
      </c>
      <c r="AD542" s="3"/>
      <c r="AE542" s="3" t="str">
        <f ca="1">IFERROR(__xludf.DUMMYFUNCTION("""COMPUTED_VALUE"""),"2055-06-05T19:58:01.227722Z")</f>
        <v>2055-06-05T19:58:01.227722Z</v>
      </c>
      <c r="AF542" s="3" t="str">
        <f ca="1">IFERROR(__xludf.DUMMYFUNCTION("""COMPUTED_VALUE"""),"2055-06-05T20:15:28.15543Z")</f>
        <v>2055-06-05T20:15:28.15543Z</v>
      </c>
      <c r="AG542" s="3" t="str">
        <f ca="1">IFERROR(__xludf.DUMMYFUNCTION("""COMPUTED_VALUE"""),"2055-06-05T19:10:08.647405Z")</f>
        <v>2055-06-05T19:10:08.647405Z</v>
      </c>
      <c r="AH542" s="3" t="str">
        <f ca="1">IFERROR(__xludf.DUMMYFUNCTION("""COMPUTED_VALUE"""),"2055-06-05T19:55:18.629772Z")</f>
        <v>2055-06-05T19:55:18.629772Z</v>
      </c>
      <c r="AI542" s="3">
        <f ca="1">IFERROR(__xludf.DUMMYFUNCTION("""COMPUTED_VALUE"""),4.79)</f>
        <v>4.79</v>
      </c>
      <c r="AJ542" s="3">
        <f ca="1">IFERROR(__xludf.DUMMYFUNCTION("""COMPUTED_VALUE"""),1007)</f>
        <v>1007</v>
      </c>
      <c r="AK542" s="3">
        <f ca="1">IFERROR(__xludf.DUMMYFUNCTION("""COMPUTED_VALUE"""),2899)</f>
        <v>2899</v>
      </c>
      <c r="AL542" s="3">
        <f ca="1">IFERROR(__xludf.DUMMYFUNCTION("""COMPUTED_VALUE"""),1301)</f>
        <v>1301</v>
      </c>
    </row>
    <row r="543" spans="1:38" ht="13">
      <c r="A543" s="3">
        <f ca="1">IFERROR(__xludf.DUMMYFUNCTION("""COMPUTED_VALUE"""),673)</f>
        <v>673</v>
      </c>
      <c r="B543" s="3">
        <f ca="1">IFERROR(__xludf.DUMMYFUNCTION("""COMPUTED_VALUE"""),5)</f>
        <v>5</v>
      </c>
      <c r="C543" s="3">
        <f ca="1">IFERROR(__xludf.DUMMYFUNCTION("""COMPUTED_VALUE"""),4050)</f>
        <v>4050</v>
      </c>
      <c r="D543" s="3" t="str">
        <f ca="1">IFERROR(__xludf.DUMMYFUNCTION("""COMPUTED_VALUE"""),"Doorlanta")</f>
        <v>Doorlanta</v>
      </c>
      <c r="E543" s="3" t="str">
        <f ca="1">IFERROR(__xludf.DUMMYFUNCTION("""COMPUTED_VALUE"""),"Galaxy A")</f>
        <v>Galaxy A</v>
      </c>
      <c r="F543" s="3" t="str">
        <f ca="1">IFERROR(__xludf.DUMMYFUNCTION("""COMPUTED_VALUE"""),"Katelynn")</f>
        <v>Katelynn</v>
      </c>
      <c r="G543" s="3">
        <f ca="1">IFERROR(__xludf.DUMMYFUNCTION("""COMPUTED_VALUE"""),0)</f>
        <v>0</v>
      </c>
      <c r="H543" s="3" t="str">
        <f ca="1">IFERROR(__xludf.DUMMYFUNCTION("""COMPUTED_VALUE"""),"car")</f>
        <v>car</v>
      </c>
      <c r="I543" s="3" t="str">
        <f ca="1">IFERROR(__xludf.DUMMYFUNCTION("""COMPUTED_VALUE"""),"2055-06-05T23:16:08.356096Z")</f>
        <v>2055-06-05T23:16:08.356096Z</v>
      </c>
      <c r="J543" s="3" t="str">
        <f ca="1">IFERROR(__xludf.DUMMYFUNCTION("""COMPUTED_VALUE"""),"2055-06-06T00:51:43.431Z")</f>
        <v>2055-06-06T00:51:43.431Z</v>
      </c>
      <c r="K543" s="3" t="str">
        <f ca="1">IFERROR(__xludf.DUMMYFUNCTION("""COMPUTED_VALUE"""),"2055-06-06T00:23:30.431Z")</f>
        <v>2055-06-06T00:23:30.431Z</v>
      </c>
      <c r="L543" s="3">
        <f ca="1">IFERROR(__xludf.DUMMYFUNCTION("""COMPUTED_VALUE"""),1)</f>
        <v>1</v>
      </c>
      <c r="M543" s="3">
        <f ca="1">IFERROR(__xludf.DUMMYFUNCTION("""COMPUTED_VALUE"""),0)</f>
        <v>0</v>
      </c>
      <c r="N543" s="3" t="str">
        <f ca="1">IFERROR(__xludf.DUMMYFUNCTION("""COMPUTED_VALUE"""),"2055-06-06T00:06:20.474178Z")</f>
        <v>2055-06-06T00:06:20.474178Z</v>
      </c>
      <c r="O543" s="3" t="str">
        <f ca="1">IFERROR(__xludf.DUMMYFUNCTION("""COMPUTED_VALUE"""),"2055-06-06T00:14:26.381455Z")</f>
        <v>2055-06-06T00:14:26.381455Z</v>
      </c>
      <c r="P543" s="3" t="str">
        <f ca="1">IFERROR(__xludf.DUMMYFUNCTION("""COMPUTED_VALUE"""),"2055-06-05T23:50:07.401949Z")</f>
        <v>2055-06-05T23:50:07.401949Z</v>
      </c>
      <c r="Q543" s="3">
        <f ca="1">IFERROR(__xludf.DUMMYFUNCTION("""COMPUTED_VALUE"""),0)</f>
        <v>0</v>
      </c>
      <c r="R543" s="3" t="str">
        <f ca="1">IFERROR(__xludf.DUMMYFUNCTION("""COMPUTED_VALUE"""),"2055-06-05T23:50:58.523778Z")</f>
        <v>2055-06-05T23:50:58.523778Z</v>
      </c>
      <c r="S543" s="3" t="str">
        <f ca="1">IFERROR(__xludf.DUMMYFUNCTION("""COMPUTED_VALUE"""),"2055-06-06T00:00:49.814327Z")</f>
        <v>2055-06-06T00:00:49.814327Z</v>
      </c>
      <c r="T543" s="3"/>
      <c r="U543" s="4">
        <f ca="1">IFERROR(__xludf.DUMMYFUNCTION("""COMPUTED_VALUE"""),56770)</f>
        <v>56770</v>
      </c>
      <c r="V543" s="3">
        <f ca="1">IFERROR(__xludf.DUMMYFUNCTION("""COMPUTED_VALUE"""),4.7)</f>
        <v>4.7</v>
      </c>
      <c r="W543" s="3">
        <f ca="1">IFERROR(__xludf.DUMMYFUNCTION("""COMPUTED_VALUE"""),2500)</f>
        <v>2500</v>
      </c>
      <c r="X543" s="3">
        <f ca="1">IFERROR(__xludf.DUMMYFUNCTION("""COMPUTED_VALUE"""),1408)</f>
        <v>1408</v>
      </c>
      <c r="Y543" s="3">
        <f ca="1">IFERROR(__xludf.DUMMYFUNCTION("""COMPUTED_VALUE"""),591)</f>
        <v>591</v>
      </c>
      <c r="Z543" s="3">
        <f ca="1">IFERROR(__xludf.DUMMYFUNCTION("""COMPUTED_VALUE"""),331)</f>
        <v>331</v>
      </c>
      <c r="AA543" s="3">
        <f ca="1">IFERROR(__xludf.DUMMYFUNCTION("""COMPUTED_VALUE"""),486)</f>
        <v>486</v>
      </c>
      <c r="AB543" s="3">
        <f ca="1">IFERROR(__xludf.DUMMYFUNCTION("""COMPUTED_VALUE"""),0)</f>
        <v>0</v>
      </c>
      <c r="AC543" s="3">
        <f ca="1">IFERROR(__xludf.DUMMYFUNCTION("""COMPUTED_VALUE"""),3)</f>
        <v>3</v>
      </c>
      <c r="AD543" s="3" t="str">
        <f ca="1">IFERROR(__xludf.DUMMYFUNCTION("""COMPUTED_VALUE"""),"early")</f>
        <v>early</v>
      </c>
      <c r="AE543" s="3" t="str">
        <f ca="1">IFERROR(__xludf.DUMMYFUNCTION("""COMPUTED_VALUE"""),"2055-06-05T20:06:20.474178Z")</f>
        <v>2055-06-05T20:06:20.474178Z</v>
      </c>
      <c r="AF543" s="3" t="str">
        <f ca="1">IFERROR(__xludf.DUMMYFUNCTION("""COMPUTED_VALUE"""),"2055-06-05T20:14:26.381455Z")</f>
        <v>2055-06-05T20:14:26.381455Z</v>
      </c>
      <c r="AG543" s="3" t="str">
        <f ca="1">IFERROR(__xludf.DUMMYFUNCTION("""COMPUTED_VALUE"""),"2055-06-05T19:50:07.401949Z")</f>
        <v>2055-06-05T19:50:07.401949Z</v>
      </c>
      <c r="AH543" s="3" t="str">
        <f ca="1">IFERROR(__xludf.DUMMYFUNCTION("""COMPUTED_VALUE"""),"2055-06-05T20:00:49.814327Z")</f>
        <v>2055-06-05T20:00:49.814327Z</v>
      </c>
      <c r="AI543" s="3">
        <f ca="1">IFERROR(__xludf.DUMMYFUNCTION("""COMPUTED_VALUE"""),4.7)</f>
        <v>4.7</v>
      </c>
      <c r="AJ543" s="3">
        <f ca="1">IFERROR(__xludf.DUMMYFUNCTION("""COMPUTED_VALUE"""),1261)</f>
        <v>1261</v>
      </c>
      <c r="AK543" s="3">
        <f ca="1">IFERROR(__xludf.DUMMYFUNCTION("""COMPUTED_VALUE"""),3264)</f>
        <v>3264</v>
      </c>
      <c r="AL543" s="3">
        <f ca="1">IFERROR(__xludf.DUMMYFUNCTION("""COMPUTED_VALUE"""),232)</f>
        <v>232</v>
      </c>
    </row>
    <row r="544" spans="1:38" ht="13">
      <c r="A544" s="3">
        <f ca="1">IFERROR(__xludf.DUMMYFUNCTION("""COMPUTED_VALUE"""),1003)</f>
        <v>1003</v>
      </c>
      <c r="B544" s="3"/>
      <c r="C544" s="3">
        <f ca="1">IFERROR(__xludf.DUMMYFUNCTION("""COMPUTED_VALUE"""),4001)</f>
        <v>4001</v>
      </c>
      <c r="D544" s="3" t="str">
        <f ca="1">IFERROR(__xludf.DUMMYFUNCTION("""COMPUTED_VALUE"""),"Dashattan")</f>
        <v>Dashattan</v>
      </c>
      <c r="E544" s="3" t="str">
        <f ca="1">IFERROR(__xludf.DUMMYFUNCTION("""COMPUTED_VALUE"""),"Galaxy A")</f>
        <v>Galaxy A</v>
      </c>
      <c r="F544" s="3" t="str">
        <f ca="1">IFERROR(__xludf.DUMMYFUNCTION("""COMPUTED_VALUE"""),"J")</f>
        <v>J</v>
      </c>
      <c r="G544" s="3">
        <f ca="1">IFERROR(__xludf.DUMMYFUNCTION("""COMPUTED_VALUE"""),0)</f>
        <v>0</v>
      </c>
      <c r="H544" s="3" t="str">
        <f ca="1">IFERROR(__xludf.DUMMYFUNCTION("""COMPUTED_VALUE"""),"bicycle")</f>
        <v>bicycle</v>
      </c>
      <c r="I544" s="3" t="str">
        <f ca="1">IFERROR(__xludf.DUMMYFUNCTION("""COMPUTED_VALUE"""),"2055-06-09T01:35:36.077216Z")</f>
        <v>2055-06-09T01:35:36.077216Z</v>
      </c>
      <c r="J544" s="3" t="str">
        <f ca="1">IFERROR(__xludf.DUMMYFUNCTION("""COMPUTED_VALUE"""),"2055-06-09T02:33:54.131Z")</f>
        <v>2055-06-09T02:33:54.131Z</v>
      </c>
      <c r="K544" s="3" t="str">
        <f ca="1">IFERROR(__xludf.DUMMYFUNCTION("""COMPUTED_VALUE"""),"2055-06-09T02:24:15.131Z")</f>
        <v>2055-06-09T02:24:15.131Z</v>
      </c>
      <c r="L544" s="3">
        <f ca="1">IFERROR(__xludf.DUMMYFUNCTION("""COMPUTED_VALUE"""),1)</f>
        <v>1</v>
      </c>
      <c r="M544" s="3">
        <f ca="1">IFERROR(__xludf.DUMMYFUNCTION("""COMPUTED_VALUE"""),0)</f>
        <v>0</v>
      </c>
      <c r="N544" s="3" t="str">
        <f ca="1">IFERROR(__xludf.DUMMYFUNCTION("""COMPUTED_VALUE"""),"2055-06-09T01:51:15.282595Z")</f>
        <v>2055-06-09T01:51:15.282595Z</v>
      </c>
      <c r="O544" s="3" t="str">
        <f ca="1">IFERROR(__xludf.DUMMYFUNCTION("""COMPUTED_VALUE"""),"2055-06-09T02:03:37.192784Z")</f>
        <v>2055-06-09T02:03:37.192784Z</v>
      </c>
      <c r="P544" s="3" t="str">
        <f ca="1">IFERROR(__xludf.DUMMYFUNCTION("""COMPUTED_VALUE"""),"2055-06-09T01:35:54.635415Z")</f>
        <v>2055-06-09T01:35:54.635415Z</v>
      </c>
      <c r="Q544" s="3">
        <f ca="1">IFERROR(__xludf.DUMMYFUNCTION("""COMPUTED_VALUE"""),0)</f>
        <v>0</v>
      </c>
      <c r="R544" s="3" t="str">
        <f ca="1">IFERROR(__xludf.DUMMYFUNCTION("""COMPUTED_VALUE"""),"2055-06-09T01:36:07.574852Z")</f>
        <v>2055-06-09T01:36:07.574852Z</v>
      </c>
      <c r="S544" s="3" t="str">
        <f ca="1">IFERROR(__xludf.DUMMYFUNCTION("""COMPUTED_VALUE"""),"2055-06-09T01:45:31.502221Z")</f>
        <v>2055-06-09T01:45:31.502221Z</v>
      </c>
      <c r="T544" s="3"/>
      <c r="U544" s="4">
        <f ca="1">IFERROR(__xludf.DUMMYFUNCTION("""COMPUTED_VALUE"""),56773)</f>
        <v>56773</v>
      </c>
      <c r="V544" s="3">
        <f ca="1">IFERROR(__xludf.DUMMYFUNCTION("""COMPUTED_VALUE"""),4.2)</f>
        <v>4.2</v>
      </c>
      <c r="W544" s="3">
        <f ca="1">IFERROR(__xludf.DUMMYFUNCTION("""COMPUTED_VALUE"""),2500)</f>
        <v>2500</v>
      </c>
      <c r="X544" s="3">
        <f ca="1">IFERROR(__xludf.DUMMYFUNCTION("""COMPUTED_VALUE"""),1650)</f>
        <v>1650</v>
      </c>
      <c r="Y544" s="3">
        <f ca="1">IFERROR(__xludf.DUMMYFUNCTION("""COMPUTED_VALUE"""),564)</f>
        <v>564</v>
      </c>
      <c r="Z544" s="3">
        <f ca="1">IFERROR(__xludf.DUMMYFUNCTION("""COMPUTED_VALUE"""),344)</f>
        <v>344</v>
      </c>
      <c r="AA544" s="3">
        <f ca="1">IFERROR(__xludf.DUMMYFUNCTION("""COMPUTED_VALUE"""),742)</f>
        <v>742</v>
      </c>
      <c r="AB544" s="3">
        <f ca="1">IFERROR(__xludf.DUMMYFUNCTION("""COMPUTED_VALUE"""),0)</f>
        <v>0</v>
      </c>
      <c r="AC544" s="3">
        <f ca="1">IFERROR(__xludf.DUMMYFUNCTION("""COMPUTED_VALUE"""),4)</f>
        <v>4</v>
      </c>
      <c r="AD544" s="3"/>
      <c r="AE544" s="3" t="str">
        <f ca="1">IFERROR(__xludf.DUMMYFUNCTION("""COMPUTED_VALUE"""),"2055-06-08T21:51:15.282595Z")</f>
        <v>2055-06-08T21:51:15.282595Z</v>
      </c>
      <c r="AF544" s="3" t="str">
        <f ca="1">IFERROR(__xludf.DUMMYFUNCTION("""COMPUTED_VALUE"""),"2055-06-08T22:03:37.192784Z")</f>
        <v>2055-06-08T22:03:37.192784Z</v>
      </c>
      <c r="AG544" s="3" t="str">
        <f ca="1">IFERROR(__xludf.DUMMYFUNCTION("""COMPUTED_VALUE"""),"2055-06-08T21:35:54.635415Z")</f>
        <v>2055-06-08T21:35:54.635415Z</v>
      </c>
      <c r="AH544" s="3" t="str">
        <f ca="1">IFERROR(__xludf.DUMMYFUNCTION("""COMPUTED_VALUE"""),"2055-06-08T21:45:31.502221Z")</f>
        <v>2055-06-08T21:45:31.502221Z</v>
      </c>
      <c r="AI544" s="3">
        <f ca="1">IFERROR(__xludf.DUMMYFUNCTION("""COMPUTED_VALUE"""),4.6)</f>
        <v>4.5999999999999996</v>
      </c>
      <c r="AJ544" s="3">
        <f ca="1">IFERROR(__xludf.DUMMYFUNCTION("""COMPUTED_VALUE"""),292)</f>
        <v>292</v>
      </c>
      <c r="AK544" s="3">
        <f ca="1">IFERROR(__xludf.DUMMYFUNCTION("""COMPUTED_VALUE"""),1027)</f>
        <v>1027</v>
      </c>
      <c r="AL544" s="3">
        <f ca="1">IFERROR(__xludf.DUMMYFUNCTION("""COMPUTED_VALUE"""),26)</f>
        <v>26</v>
      </c>
    </row>
    <row r="545" spans="1:38" ht="13">
      <c r="A545" s="3">
        <f ca="1">IFERROR(__xludf.DUMMYFUNCTION("""COMPUTED_VALUE"""),1533)</f>
        <v>1533</v>
      </c>
      <c r="B545" s="3"/>
      <c r="C545" s="3">
        <f ca="1">IFERROR(__xludf.DUMMYFUNCTION("""COMPUTED_VALUE"""),4001)</f>
        <v>4001</v>
      </c>
      <c r="D545" s="3" t="str">
        <f ca="1">IFERROR(__xludf.DUMMYFUNCTION("""COMPUTED_VALUE"""),"Dashattan")</f>
        <v>Dashattan</v>
      </c>
      <c r="E545" s="3" t="str">
        <f ca="1">IFERROR(__xludf.DUMMYFUNCTION("""COMPUTED_VALUE"""),"Galaxy A")</f>
        <v>Galaxy A</v>
      </c>
      <c r="F545" s="3" t="str">
        <f ca="1">IFERROR(__xludf.DUMMYFUNCTION("""COMPUTED_VALUE"""),"Ron")</f>
        <v>Ron</v>
      </c>
      <c r="G545" s="3">
        <f ca="1">IFERROR(__xludf.DUMMYFUNCTION("""COMPUTED_VALUE"""),0)</f>
        <v>0</v>
      </c>
      <c r="H545" s="3" t="str">
        <f ca="1">IFERROR(__xludf.DUMMYFUNCTION("""COMPUTED_VALUE"""),"bicycle")</f>
        <v>bicycle</v>
      </c>
      <c r="I545" s="3" t="str">
        <f ca="1">IFERROR(__xludf.DUMMYFUNCTION("""COMPUTED_VALUE"""),"2055-06-13T00:55:39.629945Z")</f>
        <v>2055-06-13T00:55:39.629945Z</v>
      </c>
      <c r="J545" s="3" t="str">
        <f ca="1">IFERROR(__xludf.DUMMYFUNCTION("""COMPUTED_VALUE"""),"2055-06-13T01:56:42.729Z")</f>
        <v>2055-06-13T01:56:42.729Z</v>
      </c>
      <c r="K545" s="3" t="str">
        <f ca="1">IFERROR(__xludf.DUMMYFUNCTION("""COMPUTED_VALUE"""),"2055-06-13T01:33:24.729Z")</f>
        <v>2055-06-13T01:33:24.729Z</v>
      </c>
      <c r="L545" s="3">
        <f ca="1">IFERROR(__xludf.DUMMYFUNCTION("""COMPUTED_VALUE"""),1)</f>
        <v>1</v>
      </c>
      <c r="M545" s="3">
        <f ca="1">IFERROR(__xludf.DUMMYFUNCTION("""COMPUTED_VALUE"""),0)</f>
        <v>0</v>
      </c>
      <c r="N545" s="3" t="str">
        <f ca="1">IFERROR(__xludf.DUMMYFUNCTION("""COMPUTED_VALUE"""),"2055-06-13T01:19:18.975443Z")</f>
        <v>2055-06-13T01:19:18.975443Z</v>
      </c>
      <c r="O545" s="3" t="str">
        <f ca="1">IFERROR(__xludf.DUMMYFUNCTION("""COMPUTED_VALUE"""),"2055-06-13T01:30:54.1152Z")</f>
        <v>2055-06-13T01:30:54.1152Z</v>
      </c>
      <c r="P545" s="3" t="str">
        <f ca="1">IFERROR(__xludf.DUMMYFUNCTION("""COMPUTED_VALUE"""),"2055-06-13T01:06:34.943952Z")</f>
        <v>2055-06-13T01:06:34.943952Z</v>
      </c>
      <c r="Q545" s="3">
        <f ca="1">IFERROR(__xludf.DUMMYFUNCTION("""COMPUTED_VALUE"""),0)</f>
        <v>0</v>
      </c>
      <c r="R545" s="3" t="str">
        <f ca="1">IFERROR(__xludf.DUMMYFUNCTION("""COMPUTED_VALUE"""),"2055-06-13T01:06:43.909156Z")</f>
        <v>2055-06-13T01:06:43.909156Z</v>
      </c>
      <c r="S545" s="3" t="str">
        <f ca="1">IFERROR(__xludf.DUMMYFUNCTION("""COMPUTED_VALUE"""),"2055-06-13T01:19:12.735454Z")</f>
        <v>2055-06-13T01:19:12.735454Z</v>
      </c>
      <c r="T545" s="3"/>
      <c r="U545" s="4">
        <f ca="1">IFERROR(__xludf.DUMMYFUNCTION("""COMPUTED_VALUE"""),56777)</f>
        <v>56777</v>
      </c>
      <c r="V545" s="3">
        <f ca="1">IFERROR(__xludf.DUMMYFUNCTION("""COMPUTED_VALUE"""),2.989878916)</f>
        <v>2.9898789159999999</v>
      </c>
      <c r="W545" s="3">
        <f ca="1">IFERROR(__xludf.DUMMYFUNCTION("""COMPUTED_VALUE"""),2500)</f>
        <v>2500</v>
      </c>
      <c r="X545" s="3">
        <f ca="1">IFERROR(__xludf.DUMMYFUNCTION("""COMPUTED_VALUE"""),1451)</f>
        <v>1451</v>
      </c>
      <c r="Y545" s="3">
        <f ca="1">IFERROR(__xludf.DUMMYFUNCTION("""COMPUTED_VALUE"""),749)</f>
        <v>749</v>
      </c>
      <c r="Z545" s="3">
        <f ca="1">IFERROR(__xludf.DUMMYFUNCTION("""COMPUTED_VALUE"""),6)</f>
        <v>6</v>
      </c>
      <c r="AA545" s="3">
        <f ca="1">IFERROR(__xludf.DUMMYFUNCTION("""COMPUTED_VALUE"""),696)</f>
        <v>696</v>
      </c>
      <c r="AB545" s="3">
        <f ca="1">IFERROR(__xludf.DUMMYFUNCTION("""COMPUTED_VALUE"""),0)</f>
        <v>0</v>
      </c>
      <c r="AC545" s="3">
        <f ca="1">IFERROR(__xludf.DUMMYFUNCTION("""COMPUTED_VALUE"""),3)</f>
        <v>3</v>
      </c>
      <c r="AD545" s="3" t="str">
        <f ca="1">IFERROR(__xludf.DUMMYFUNCTION("""COMPUTED_VALUE"""),"late")</f>
        <v>late</v>
      </c>
      <c r="AE545" s="3" t="str">
        <f ca="1">IFERROR(__xludf.DUMMYFUNCTION("""COMPUTED_VALUE"""),"2055-06-12T21:19:18.975443Z")</f>
        <v>2055-06-12T21:19:18.975443Z</v>
      </c>
      <c r="AF545" s="3" t="str">
        <f ca="1">IFERROR(__xludf.DUMMYFUNCTION("""COMPUTED_VALUE"""),"2055-06-12T21:30:54.1152Z")</f>
        <v>2055-06-12T21:30:54.1152Z</v>
      </c>
      <c r="AG545" s="3" t="str">
        <f ca="1">IFERROR(__xludf.DUMMYFUNCTION("""COMPUTED_VALUE"""),"2055-06-12T21:06:34.943952Z")</f>
        <v>2055-06-12T21:06:34.943952Z</v>
      </c>
      <c r="AH545" s="3" t="str">
        <f ca="1">IFERROR(__xludf.DUMMYFUNCTION("""COMPUTED_VALUE"""),"2055-06-12T21:19:12.735454Z")</f>
        <v>2055-06-12T21:19:12.735454Z</v>
      </c>
      <c r="AI545" s="3">
        <f ca="1">IFERROR(__xludf.DUMMYFUNCTION("""COMPUTED_VALUE"""),4.56)</f>
        <v>4.5599999999999996</v>
      </c>
      <c r="AJ545" s="3">
        <f ca="1">IFERROR(__xludf.DUMMYFUNCTION("""COMPUTED_VALUE"""),765)</f>
        <v>765</v>
      </c>
      <c r="AK545" s="3">
        <f ca="1">IFERROR(__xludf.DUMMYFUNCTION("""COMPUTED_VALUE"""),2618)</f>
        <v>2618</v>
      </c>
      <c r="AL545" s="3"/>
    </row>
    <row r="546" spans="1:38" ht="13">
      <c r="A546" s="3">
        <f ca="1">IFERROR(__xludf.DUMMYFUNCTION("""COMPUTED_VALUE"""),42)</f>
        <v>42</v>
      </c>
      <c r="B546" s="3">
        <f ca="1">IFERROR(__xludf.DUMMYFUNCTION("""COMPUTED_VALUE"""),5)</f>
        <v>5</v>
      </c>
      <c r="C546" s="3">
        <f ca="1">IFERROR(__xludf.DUMMYFUNCTION("""COMPUTED_VALUE"""),4050)</f>
        <v>4050</v>
      </c>
      <c r="D546" s="3" t="str">
        <f ca="1">IFERROR(__xludf.DUMMYFUNCTION("""COMPUTED_VALUE"""),"Doorlanta")</f>
        <v>Doorlanta</v>
      </c>
      <c r="E546" s="3" t="str">
        <f ca="1">IFERROR(__xludf.DUMMYFUNCTION("""COMPUTED_VALUE"""),"Galaxy A")</f>
        <v>Galaxy A</v>
      </c>
      <c r="F546" s="3" t="str">
        <f ca="1">IFERROR(__xludf.DUMMYFUNCTION("""COMPUTED_VALUE"""),"Lauran")</f>
        <v>Lauran</v>
      </c>
      <c r="G546" s="3">
        <f ca="1">IFERROR(__xludf.DUMMYFUNCTION("""COMPUTED_VALUE"""),0)</f>
        <v>0</v>
      </c>
      <c r="H546" s="3" t="str">
        <f ca="1">IFERROR(__xludf.DUMMYFUNCTION("""COMPUTED_VALUE"""),"car")</f>
        <v>car</v>
      </c>
      <c r="I546" s="3" t="str">
        <f ca="1">IFERROR(__xludf.DUMMYFUNCTION("""COMPUTED_VALUE"""),"2055-06-01T21:23:34.031906Z")</f>
        <v>2055-06-01T21:23:34.031906Z</v>
      </c>
      <c r="J546" s="3" t="str">
        <f ca="1">IFERROR(__xludf.DUMMYFUNCTION("""COMPUTED_VALUE"""),"2055-06-01T22:08:54.118Z")</f>
        <v>2055-06-01T22:08:54.118Z</v>
      </c>
      <c r="K546" s="3" t="str">
        <f ca="1">IFERROR(__xludf.DUMMYFUNCTION("""COMPUTED_VALUE"""),"2055-06-01T21:58:47.118Z")</f>
        <v>2055-06-01T21:58:47.118Z</v>
      </c>
      <c r="L546" s="3">
        <f ca="1">IFERROR(__xludf.DUMMYFUNCTION("""COMPUTED_VALUE"""),1)</f>
        <v>1</v>
      </c>
      <c r="M546" s="3">
        <f ca="1">IFERROR(__xludf.DUMMYFUNCTION("""COMPUTED_VALUE"""),0)</f>
        <v>0</v>
      </c>
      <c r="N546" s="3" t="str">
        <f ca="1">IFERROR(__xludf.DUMMYFUNCTION("""COMPUTED_VALUE"""),"2055-06-01T22:00:16.224724Z")</f>
        <v>2055-06-01T22:00:16.224724Z</v>
      </c>
      <c r="O546" s="3" t="str">
        <f ca="1">IFERROR(__xludf.DUMMYFUNCTION("""COMPUTED_VALUE"""),"2055-06-01T22:16:46.886815Z")</f>
        <v>2055-06-01T22:16:46.886815Z</v>
      </c>
      <c r="P546" s="3" t="str">
        <f ca="1">IFERROR(__xludf.DUMMYFUNCTION("""COMPUTED_VALUE"""),"2055-06-01T21:45:27.317855Z")</f>
        <v>2055-06-01T21:45:27.317855Z</v>
      </c>
      <c r="Q546" s="3">
        <f ca="1">IFERROR(__xludf.DUMMYFUNCTION("""COMPUTED_VALUE"""),0)</f>
        <v>0</v>
      </c>
      <c r="R546" s="3" t="str">
        <f ca="1">IFERROR(__xludf.DUMMYFUNCTION("""COMPUTED_VALUE"""),"2055-06-01T21:45:30.47368Z")</f>
        <v>2055-06-01T21:45:30.47368Z</v>
      </c>
      <c r="S546" s="3"/>
      <c r="T546" s="3"/>
      <c r="U546" s="4">
        <f ca="1">IFERROR(__xludf.DUMMYFUNCTION("""COMPUTED_VALUE"""),56766)</f>
        <v>56766</v>
      </c>
      <c r="V546" s="3">
        <f ca="1">IFERROR(__xludf.DUMMYFUNCTION("""COMPUTED_VALUE"""),4.6)</f>
        <v>4.5999999999999996</v>
      </c>
      <c r="W546" s="3">
        <f ca="1">IFERROR(__xludf.DUMMYFUNCTION("""COMPUTED_VALUE"""),2500)</f>
        <v>2500</v>
      </c>
      <c r="X546" s="3">
        <f ca="1">IFERROR(__xludf.DUMMYFUNCTION("""COMPUTED_VALUE"""),1876)</f>
        <v>1876</v>
      </c>
      <c r="Y546" s="3"/>
      <c r="Z546" s="3"/>
      <c r="AA546" s="3">
        <f ca="1">IFERROR(__xludf.DUMMYFUNCTION("""COMPUTED_VALUE"""),990)</f>
        <v>990</v>
      </c>
      <c r="AB546" s="3">
        <f ca="1">IFERROR(__xludf.DUMMYFUNCTION("""COMPUTED_VALUE"""),0)</f>
        <v>0</v>
      </c>
      <c r="AC546" s="3">
        <f ca="1">IFERROR(__xludf.DUMMYFUNCTION("""COMPUTED_VALUE"""),2)</f>
        <v>2</v>
      </c>
      <c r="AD546" s="3"/>
      <c r="AE546" s="3" t="str">
        <f ca="1">IFERROR(__xludf.DUMMYFUNCTION("""COMPUTED_VALUE"""),"2055-06-01T18:00:16.224724Z")</f>
        <v>2055-06-01T18:00:16.224724Z</v>
      </c>
      <c r="AF546" s="3" t="str">
        <f ca="1">IFERROR(__xludf.DUMMYFUNCTION("""COMPUTED_VALUE"""),"2055-06-01T18:16:46.886815Z")</f>
        <v>2055-06-01T18:16:46.886815Z</v>
      </c>
      <c r="AG546" s="3" t="str">
        <f ca="1">IFERROR(__xludf.DUMMYFUNCTION("""COMPUTED_VALUE"""),"2055-06-01T17:45:27.317855Z")</f>
        <v>2055-06-01T17:45:27.317855Z</v>
      </c>
      <c r="AH546" s="3"/>
      <c r="AI546" s="3">
        <f ca="1">IFERROR(__xludf.DUMMYFUNCTION("""COMPUTED_VALUE"""),4.42)</f>
        <v>4.42</v>
      </c>
      <c r="AJ546" s="3">
        <f ca="1">IFERROR(__xludf.DUMMYFUNCTION("""COMPUTED_VALUE"""),1396)</f>
        <v>1396</v>
      </c>
      <c r="AK546" s="3">
        <f ca="1">IFERROR(__xludf.DUMMYFUNCTION("""COMPUTED_VALUE"""),4836)</f>
        <v>4836</v>
      </c>
      <c r="AL546" s="3">
        <f ca="1">IFERROR(__xludf.DUMMYFUNCTION("""COMPUTED_VALUE"""),1278)</f>
        <v>1278</v>
      </c>
    </row>
    <row r="547" spans="1:38" ht="13">
      <c r="A547" s="3">
        <f ca="1">IFERROR(__xludf.DUMMYFUNCTION("""COMPUTED_VALUE"""),577)</f>
        <v>577</v>
      </c>
      <c r="B547" s="3">
        <f ca="1">IFERROR(__xludf.DUMMYFUNCTION("""COMPUTED_VALUE"""),5)</f>
        <v>5</v>
      </c>
      <c r="C547" s="3">
        <f ca="1">IFERROR(__xludf.DUMMYFUNCTION("""COMPUTED_VALUE"""),4050)</f>
        <v>4050</v>
      </c>
      <c r="D547" s="3" t="str">
        <f ca="1">IFERROR(__xludf.DUMMYFUNCTION("""COMPUTED_VALUE"""),"Doorlanta")</f>
        <v>Doorlanta</v>
      </c>
      <c r="E547" s="3" t="str">
        <f ca="1">IFERROR(__xludf.DUMMYFUNCTION("""COMPUTED_VALUE"""),"Galaxy A")</f>
        <v>Galaxy A</v>
      </c>
      <c r="F547" s="3" t="str">
        <f ca="1">IFERROR(__xludf.DUMMYFUNCTION("""COMPUTED_VALUE"""),"Katelynn")</f>
        <v>Katelynn</v>
      </c>
      <c r="G547" s="3">
        <f ca="1">IFERROR(__xludf.DUMMYFUNCTION("""COMPUTED_VALUE"""),0)</f>
        <v>0</v>
      </c>
      <c r="H547" s="3" t="str">
        <f ca="1">IFERROR(__xludf.DUMMYFUNCTION("""COMPUTED_VALUE"""),"car")</f>
        <v>car</v>
      </c>
      <c r="I547" s="3" t="str">
        <f ca="1">IFERROR(__xludf.DUMMYFUNCTION("""COMPUTED_VALUE"""),"2055-06-05T17:34:58.946505Z")</f>
        <v>2055-06-05T17:34:58.946505Z</v>
      </c>
      <c r="J547" s="3" t="str">
        <f ca="1">IFERROR(__xludf.DUMMYFUNCTION("""COMPUTED_VALUE"""),"2055-06-05T18:39:11.021Z")</f>
        <v>2055-06-05T18:39:11.021Z</v>
      </c>
      <c r="K547" s="3" t="str">
        <f ca="1">IFERROR(__xludf.DUMMYFUNCTION("""COMPUTED_VALUE"""),"2055-06-05T18:24:30.021Z")</f>
        <v>2055-06-05T18:24:30.021Z</v>
      </c>
      <c r="L547" s="3">
        <f ca="1">IFERROR(__xludf.DUMMYFUNCTION("""COMPUTED_VALUE"""),1)</f>
        <v>1</v>
      </c>
      <c r="M547" s="3">
        <f ca="1">IFERROR(__xludf.DUMMYFUNCTION("""COMPUTED_VALUE"""),0)</f>
        <v>0</v>
      </c>
      <c r="N547" s="3" t="str">
        <f ca="1">IFERROR(__xludf.DUMMYFUNCTION("""COMPUTED_VALUE"""),"2055-06-05T18:02:50.029933Z")</f>
        <v>2055-06-05T18:02:50.029933Z</v>
      </c>
      <c r="O547" s="3" t="str">
        <f ca="1">IFERROR(__xludf.DUMMYFUNCTION("""COMPUTED_VALUE"""),"2055-06-05T18:45:17.355361Z")</f>
        <v>2055-06-05T18:45:17.355361Z</v>
      </c>
      <c r="P547" s="3" t="str">
        <f ca="1">IFERROR(__xludf.DUMMYFUNCTION("""COMPUTED_VALUE"""),"2055-06-05T17:35:07.267576Z")</f>
        <v>2055-06-05T17:35:07.267576Z</v>
      </c>
      <c r="Q547" s="3">
        <f ca="1">IFERROR(__xludf.DUMMYFUNCTION("""COMPUTED_VALUE"""),0)</f>
        <v>0</v>
      </c>
      <c r="R547" s="3" t="str">
        <f ca="1">IFERROR(__xludf.DUMMYFUNCTION("""COMPUTED_VALUE"""),"2055-06-05T17:35:17.446163Z")</f>
        <v>2055-06-05T17:35:17.446163Z</v>
      </c>
      <c r="S547" s="3" t="str">
        <f ca="1">IFERROR(__xludf.DUMMYFUNCTION("""COMPUTED_VALUE"""),"2055-06-05T17:48:34.777488Z")</f>
        <v>2055-06-05T17:48:34.777488Z</v>
      </c>
      <c r="T547" s="3"/>
      <c r="U547" s="4">
        <f ca="1">IFERROR(__xludf.DUMMYFUNCTION("""COMPUTED_VALUE"""),56770)</f>
        <v>56770</v>
      </c>
      <c r="V547" s="3">
        <f ca="1">IFERROR(__xludf.DUMMYFUNCTION("""COMPUTED_VALUE"""),4.5)</f>
        <v>4.5</v>
      </c>
      <c r="W547" s="3">
        <f ca="1">IFERROR(__xludf.DUMMYFUNCTION("""COMPUTED_VALUE"""),2500)</f>
        <v>2500</v>
      </c>
      <c r="X547" s="3">
        <f ca="1">IFERROR(__xludf.DUMMYFUNCTION("""COMPUTED_VALUE"""),4200)</f>
        <v>4200</v>
      </c>
      <c r="Y547" s="3">
        <f ca="1">IFERROR(__xludf.DUMMYFUNCTION("""COMPUTED_VALUE"""),797)</f>
        <v>797</v>
      </c>
      <c r="Z547" s="3">
        <f ca="1">IFERROR(__xludf.DUMMYFUNCTION("""COMPUTED_VALUE"""),856)</f>
        <v>856</v>
      </c>
      <c r="AA547" s="3">
        <f ca="1">IFERROR(__xludf.DUMMYFUNCTION("""COMPUTED_VALUE"""),2547)</f>
        <v>2547</v>
      </c>
      <c r="AB547" s="3">
        <f ca="1">IFERROR(__xludf.DUMMYFUNCTION("""COMPUTED_VALUE"""),1)</f>
        <v>1</v>
      </c>
      <c r="AC547" s="3">
        <f ca="1">IFERROR(__xludf.DUMMYFUNCTION("""COMPUTED_VALUE"""),2)</f>
        <v>2</v>
      </c>
      <c r="AD547" s="3"/>
      <c r="AE547" s="3" t="str">
        <f ca="1">IFERROR(__xludf.DUMMYFUNCTION("""COMPUTED_VALUE"""),"2055-06-05T14:02:50.029933Z")</f>
        <v>2055-06-05T14:02:50.029933Z</v>
      </c>
      <c r="AF547" s="3" t="str">
        <f ca="1">IFERROR(__xludf.DUMMYFUNCTION("""COMPUTED_VALUE"""),"2055-06-05T14:45:17.355361Z")</f>
        <v>2055-06-05T14:45:17.355361Z</v>
      </c>
      <c r="AG547" s="3" t="str">
        <f ca="1">IFERROR(__xludf.DUMMYFUNCTION("""COMPUTED_VALUE"""),"2055-06-05T13:35:07.267576Z")</f>
        <v>2055-06-05T13:35:07.267576Z</v>
      </c>
      <c r="AH547" s="3" t="str">
        <f ca="1">IFERROR(__xludf.DUMMYFUNCTION("""COMPUTED_VALUE"""),"2055-06-05T13:48:34.777488Z")</f>
        <v>2055-06-05T13:48:34.777488Z</v>
      </c>
      <c r="AI547" s="3">
        <f ca="1">IFERROR(__xludf.DUMMYFUNCTION("""COMPUTED_VALUE"""),4.7)</f>
        <v>4.7</v>
      </c>
      <c r="AJ547" s="3">
        <f ca="1">IFERROR(__xludf.DUMMYFUNCTION("""COMPUTED_VALUE"""),1261)</f>
        <v>1261</v>
      </c>
      <c r="AK547" s="3">
        <f ca="1">IFERROR(__xludf.DUMMYFUNCTION("""COMPUTED_VALUE"""),3264)</f>
        <v>3264</v>
      </c>
      <c r="AL547" s="3">
        <f ca="1">IFERROR(__xludf.DUMMYFUNCTION("""COMPUTED_VALUE"""),232)</f>
        <v>232</v>
      </c>
    </row>
    <row r="548" spans="1:38" ht="13">
      <c r="A548" s="3">
        <f ca="1">IFERROR(__xludf.DUMMYFUNCTION("""COMPUTED_VALUE"""),637)</f>
        <v>637</v>
      </c>
      <c r="B548" s="3"/>
      <c r="C548" s="3">
        <f ca="1">IFERROR(__xludf.DUMMYFUNCTION("""COMPUTED_VALUE"""),4050)</f>
        <v>4050</v>
      </c>
      <c r="D548" s="3" t="str">
        <f ca="1">IFERROR(__xludf.DUMMYFUNCTION("""COMPUTED_VALUE"""),"Doorlanta")</f>
        <v>Doorlanta</v>
      </c>
      <c r="E548" s="3" t="str">
        <f ca="1">IFERROR(__xludf.DUMMYFUNCTION("""COMPUTED_VALUE"""),"Galaxy A")</f>
        <v>Galaxy A</v>
      </c>
      <c r="F548" s="3" t="str">
        <f ca="1">IFERROR(__xludf.DUMMYFUNCTION("""COMPUTED_VALUE"""),"Elon")</f>
        <v>Elon</v>
      </c>
      <c r="G548" s="3">
        <f ca="1">IFERROR(__xludf.DUMMYFUNCTION("""COMPUTED_VALUE"""),0)</f>
        <v>0</v>
      </c>
      <c r="H548" s="3" t="str">
        <f ca="1">IFERROR(__xludf.DUMMYFUNCTION("""COMPUTED_VALUE"""),"car")</f>
        <v>car</v>
      </c>
      <c r="I548" s="3" t="str">
        <f ca="1">IFERROR(__xludf.DUMMYFUNCTION("""COMPUTED_VALUE"""),"2055-06-05T22:02:57.211756Z")</f>
        <v>2055-06-05T22:02:57.211756Z</v>
      </c>
      <c r="J548" s="3" t="str">
        <f ca="1">IFERROR(__xludf.DUMMYFUNCTION("""COMPUTED_VALUE"""),"2055-06-05T22:57:56.275Z")</f>
        <v>2055-06-05T22:57:56.275Z</v>
      </c>
      <c r="K548" s="3" t="str">
        <f ca="1">IFERROR(__xludf.DUMMYFUNCTION("""COMPUTED_VALUE"""),"2055-06-05T22:42:49.275Z")</f>
        <v>2055-06-05T22:42:49.275Z</v>
      </c>
      <c r="L548" s="3">
        <f ca="1">IFERROR(__xludf.DUMMYFUNCTION("""COMPUTED_VALUE"""),1)</f>
        <v>1</v>
      </c>
      <c r="M548" s="3">
        <f ca="1">IFERROR(__xludf.DUMMYFUNCTION("""COMPUTED_VALUE"""),0)</f>
        <v>0</v>
      </c>
      <c r="N548" s="3" t="str">
        <f ca="1">IFERROR(__xludf.DUMMYFUNCTION("""COMPUTED_VALUE"""),"2055-06-05T22:21:09.690482Z")</f>
        <v>2055-06-05T22:21:09.690482Z</v>
      </c>
      <c r="O548" s="3" t="str">
        <f ca="1">IFERROR(__xludf.DUMMYFUNCTION("""COMPUTED_VALUE"""),"2055-06-05T22:36:55.765789Z")</f>
        <v>2055-06-05T22:36:55.765789Z</v>
      </c>
      <c r="P548" s="3" t="str">
        <f ca="1">IFERROR(__xludf.DUMMYFUNCTION("""COMPUTED_VALUE"""),"2055-06-05T22:03:27.456522Z")</f>
        <v>2055-06-05T22:03:27.456522Z</v>
      </c>
      <c r="Q548" s="3">
        <f ca="1">IFERROR(__xludf.DUMMYFUNCTION("""COMPUTED_VALUE"""),0)</f>
        <v>0</v>
      </c>
      <c r="R548" s="3" t="str">
        <f ca="1">IFERROR(__xludf.DUMMYFUNCTION("""COMPUTED_VALUE"""),"2055-06-05T22:03:30.223049Z")</f>
        <v>2055-06-05T22:03:30.223049Z</v>
      </c>
      <c r="S548" s="3" t="str">
        <f ca="1">IFERROR(__xludf.DUMMYFUNCTION("""COMPUTED_VALUE"""),"2055-06-05T22:13:09.081823Z")</f>
        <v>2055-06-05T22:13:09.081823Z</v>
      </c>
      <c r="T548" s="3"/>
      <c r="U548" s="4">
        <f ca="1">IFERROR(__xludf.DUMMYFUNCTION("""COMPUTED_VALUE"""),56770)</f>
        <v>56770</v>
      </c>
      <c r="V548" s="3">
        <f ca="1">IFERROR(__xludf.DUMMYFUNCTION("""COMPUTED_VALUE"""),4.5)</f>
        <v>4.5</v>
      </c>
      <c r="W548" s="3">
        <f ca="1">IFERROR(__xludf.DUMMYFUNCTION("""COMPUTED_VALUE"""),2500)</f>
        <v>2500</v>
      </c>
      <c r="X548" s="3">
        <f ca="1">IFERROR(__xludf.DUMMYFUNCTION("""COMPUTED_VALUE"""),2005)</f>
        <v>2005</v>
      </c>
      <c r="Y548" s="3">
        <f ca="1">IFERROR(__xludf.DUMMYFUNCTION("""COMPUTED_VALUE"""),579)</f>
        <v>579</v>
      </c>
      <c r="Z548" s="3">
        <f ca="1">IFERROR(__xludf.DUMMYFUNCTION("""COMPUTED_VALUE"""),480)</f>
        <v>480</v>
      </c>
      <c r="AA548" s="3">
        <f ca="1">IFERROR(__xludf.DUMMYFUNCTION("""COMPUTED_VALUE"""),946)</f>
        <v>946</v>
      </c>
      <c r="AB548" s="3">
        <f ca="1">IFERROR(__xludf.DUMMYFUNCTION("""COMPUTED_VALUE"""),0)</f>
        <v>0</v>
      </c>
      <c r="AC548" s="3">
        <f ca="1">IFERROR(__xludf.DUMMYFUNCTION("""COMPUTED_VALUE"""),3)</f>
        <v>3</v>
      </c>
      <c r="AD548" s="3" t="str">
        <f ca="1">IFERROR(__xludf.DUMMYFUNCTION("""COMPUTED_VALUE"""),"on time")</f>
        <v>on time</v>
      </c>
      <c r="AE548" s="3" t="str">
        <f ca="1">IFERROR(__xludf.DUMMYFUNCTION("""COMPUTED_VALUE"""),"2055-06-05T18:21:09.690482Z")</f>
        <v>2055-06-05T18:21:09.690482Z</v>
      </c>
      <c r="AF548" s="3" t="str">
        <f ca="1">IFERROR(__xludf.DUMMYFUNCTION("""COMPUTED_VALUE"""),"2055-06-05T18:36:55.765789Z")</f>
        <v>2055-06-05T18:36:55.765789Z</v>
      </c>
      <c r="AG548" s="3" t="str">
        <f ca="1">IFERROR(__xludf.DUMMYFUNCTION("""COMPUTED_VALUE"""),"2055-06-05T18:03:27.456522Z")</f>
        <v>2055-06-05T18:03:27.456522Z</v>
      </c>
      <c r="AH548" s="3" t="str">
        <f ca="1">IFERROR(__xludf.DUMMYFUNCTION("""COMPUTED_VALUE"""),"2055-06-05T18:13:09.081823Z")</f>
        <v>2055-06-05T18:13:09.081823Z</v>
      </c>
      <c r="AI548" s="3">
        <f ca="1">IFERROR(__xludf.DUMMYFUNCTION("""COMPUTED_VALUE"""),4.62)</f>
        <v>4.62</v>
      </c>
      <c r="AJ548" s="3">
        <f ca="1">IFERROR(__xludf.DUMMYFUNCTION("""COMPUTED_VALUE"""),259)</f>
        <v>259</v>
      </c>
      <c r="AK548" s="3">
        <f ca="1">IFERROR(__xludf.DUMMYFUNCTION("""COMPUTED_VALUE"""),604)</f>
        <v>604</v>
      </c>
      <c r="AL548" s="3">
        <f ca="1">IFERROR(__xludf.DUMMYFUNCTION("""COMPUTED_VALUE"""),21)</f>
        <v>21</v>
      </c>
    </row>
    <row r="549" spans="1:38" ht="13">
      <c r="A549" s="3">
        <f ca="1">IFERROR(__xludf.DUMMYFUNCTION("""COMPUTED_VALUE"""),69)</f>
        <v>69</v>
      </c>
      <c r="B549" s="3"/>
      <c r="C549" s="3">
        <f ca="1">IFERROR(__xludf.DUMMYFUNCTION("""COMPUTED_VALUE"""),4050)</f>
        <v>4050</v>
      </c>
      <c r="D549" s="3" t="str">
        <f ca="1">IFERROR(__xludf.DUMMYFUNCTION("""COMPUTED_VALUE"""),"Doorlanta")</f>
        <v>Doorlanta</v>
      </c>
      <c r="E549" s="3" t="str">
        <f ca="1">IFERROR(__xludf.DUMMYFUNCTION("""COMPUTED_VALUE"""),"Galaxy A")</f>
        <v>Galaxy A</v>
      </c>
      <c r="F549" s="3" t="str">
        <f ca="1">IFERROR(__xludf.DUMMYFUNCTION("""COMPUTED_VALUE"""),"Hersh")</f>
        <v>Hersh</v>
      </c>
      <c r="G549" s="3">
        <f ca="1">IFERROR(__xludf.DUMMYFUNCTION("""COMPUTED_VALUE"""),0)</f>
        <v>0</v>
      </c>
      <c r="H549" s="3" t="str">
        <f ca="1">IFERROR(__xludf.DUMMYFUNCTION("""COMPUTED_VALUE"""),"car")</f>
        <v>car</v>
      </c>
      <c r="I549" s="3" t="str">
        <f ca="1">IFERROR(__xludf.DUMMYFUNCTION("""COMPUTED_VALUE"""),"2055-06-01T22:47:13.159805Z")</f>
        <v>2055-06-01T22:47:13.159805Z</v>
      </c>
      <c r="J549" s="3" t="str">
        <f ca="1">IFERROR(__xludf.DUMMYFUNCTION("""COMPUTED_VALUE"""),"2055-06-01T23:43:55.227Z")</f>
        <v>2055-06-01T23:43:55.227Z</v>
      </c>
      <c r="K549" s="3" t="str">
        <f ca="1">IFERROR(__xludf.DUMMYFUNCTION("""COMPUTED_VALUE"""),"2055-06-01T23:38:48.227Z")</f>
        <v>2055-06-01T23:38:48.227Z</v>
      </c>
      <c r="L549" s="3">
        <f ca="1">IFERROR(__xludf.DUMMYFUNCTION("""COMPUTED_VALUE"""),1)</f>
        <v>1</v>
      </c>
      <c r="M549" s="3">
        <f ca="1">IFERROR(__xludf.DUMMYFUNCTION("""COMPUTED_VALUE"""),0)</f>
        <v>0</v>
      </c>
      <c r="N549" s="3" t="str">
        <f ca="1">IFERROR(__xludf.DUMMYFUNCTION("""COMPUTED_VALUE"""),"2055-06-01T23:26:05.400879Z")</f>
        <v>2055-06-01T23:26:05.400879Z</v>
      </c>
      <c r="O549" s="3" t="str">
        <f ca="1">IFERROR(__xludf.DUMMYFUNCTION("""COMPUTED_VALUE"""),"2055-06-01T23:51:10.281578Z")</f>
        <v>2055-06-01T23:51:10.281578Z</v>
      </c>
      <c r="P549" s="3" t="str">
        <f ca="1">IFERROR(__xludf.DUMMYFUNCTION("""COMPUTED_VALUE"""),"2055-06-01T22:53:43.832553Z")</f>
        <v>2055-06-01T22:53:43.832553Z</v>
      </c>
      <c r="Q549" s="3">
        <f ca="1">IFERROR(__xludf.DUMMYFUNCTION("""COMPUTED_VALUE"""),1)</f>
        <v>1</v>
      </c>
      <c r="R549" s="3" t="str">
        <f ca="1">IFERROR(__xludf.DUMMYFUNCTION("""COMPUTED_VALUE"""),"2055-06-01T22:54:08.706883Z")</f>
        <v>2055-06-01T22:54:08.706883Z</v>
      </c>
      <c r="S549" s="3" t="str">
        <f ca="1">IFERROR(__xludf.DUMMYFUNCTION("""COMPUTED_VALUE"""),"2055-06-01T23:18:19.574155Z")</f>
        <v>2055-06-01T23:18:19.574155Z</v>
      </c>
      <c r="T549" s="3"/>
      <c r="U549" s="4">
        <f ca="1">IFERROR(__xludf.DUMMYFUNCTION("""COMPUTED_VALUE"""),56766)</f>
        <v>56766</v>
      </c>
      <c r="V549" s="3">
        <f ca="1">IFERROR(__xludf.DUMMYFUNCTION("""COMPUTED_VALUE"""),4.5)</f>
        <v>4.5</v>
      </c>
      <c r="W549" s="3">
        <f ca="1">IFERROR(__xludf.DUMMYFUNCTION("""COMPUTED_VALUE"""),2500)</f>
        <v>2500</v>
      </c>
      <c r="X549" s="3">
        <f ca="1">IFERROR(__xludf.DUMMYFUNCTION("""COMPUTED_VALUE"""),3422)</f>
        <v>3422</v>
      </c>
      <c r="Y549" s="3">
        <f ca="1">IFERROR(__xludf.DUMMYFUNCTION("""COMPUTED_VALUE"""),1451)</f>
        <v>1451</v>
      </c>
      <c r="Z549" s="3">
        <f ca="1">IFERROR(__xludf.DUMMYFUNCTION("""COMPUTED_VALUE"""),466)</f>
        <v>466</v>
      </c>
      <c r="AA549" s="3">
        <f ca="1">IFERROR(__xludf.DUMMYFUNCTION("""COMPUTED_VALUE"""),1505)</f>
        <v>1505</v>
      </c>
      <c r="AB549" s="3">
        <f ca="1">IFERROR(__xludf.DUMMYFUNCTION("""COMPUTED_VALUE"""),0)</f>
        <v>0</v>
      </c>
      <c r="AC549" s="3">
        <f ca="1">IFERROR(__xludf.DUMMYFUNCTION("""COMPUTED_VALUE"""),3)</f>
        <v>3</v>
      </c>
      <c r="AD549" s="3" t="str">
        <f ca="1">IFERROR(__xludf.DUMMYFUNCTION("""COMPUTED_VALUE"""),"late")</f>
        <v>late</v>
      </c>
      <c r="AE549" s="3" t="str">
        <f ca="1">IFERROR(__xludf.DUMMYFUNCTION("""COMPUTED_VALUE"""),"2055-06-01T19:26:05.400879Z")</f>
        <v>2055-06-01T19:26:05.400879Z</v>
      </c>
      <c r="AF549" s="3" t="str">
        <f ca="1">IFERROR(__xludf.DUMMYFUNCTION("""COMPUTED_VALUE"""),"2055-06-01T19:51:10.281578Z")</f>
        <v>2055-06-01T19:51:10.281578Z</v>
      </c>
      <c r="AG549" s="3" t="str">
        <f ca="1">IFERROR(__xludf.DUMMYFUNCTION("""COMPUTED_VALUE"""),"2055-06-01T18:53:43.832553Z")</f>
        <v>2055-06-01T18:53:43.832553Z</v>
      </c>
      <c r="AH549" s="3" t="str">
        <f ca="1">IFERROR(__xludf.DUMMYFUNCTION("""COMPUTED_VALUE"""),"2055-06-01T19:18:19.574155Z")</f>
        <v>2055-06-01T19:18:19.574155Z</v>
      </c>
      <c r="AI549" s="3">
        <f ca="1">IFERROR(__xludf.DUMMYFUNCTION("""COMPUTED_VALUE"""),4.7)</f>
        <v>4.7</v>
      </c>
      <c r="AJ549" s="3">
        <f ca="1">IFERROR(__xludf.DUMMYFUNCTION("""COMPUTED_VALUE"""),212)</f>
        <v>212</v>
      </c>
      <c r="AK549" s="3">
        <f ca="1">IFERROR(__xludf.DUMMYFUNCTION("""COMPUTED_VALUE"""),624)</f>
        <v>624</v>
      </c>
      <c r="AL549" s="3">
        <f ca="1">IFERROR(__xludf.DUMMYFUNCTION("""COMPUTED_VALUE"""),347)</f>
        <v>347</v>
      </c>
    </row>
    <row r="550" spans="1:38" ht="13">
      <c r="A550" s="3">
        <f ca="1">IFERROR(__xludf.DUMMYFUNCTION("""COMPUTED_VALUE"""),1376)</f>
        <v>1376</v>
      </c>
      <c r="B550" s="3">
        <f ca="1">IFERROR(__xludf.DUMMYFUNCTION("""COMPUTED_VALUE"""),5)</f>
        <v>5</v>
      </c>
      <c r="C550" s="3">
        <f ca="1">IFERROR(__xludf.DUMMYFUNCTION("""COMPUTED_VALUE"""),4001)</f>
        <v>4001</v>
      </c>
      <c r="D550" s="3" t="str">
        <f ca="1">IFERROR(__xludf.DUMMYFUNCTION("""COMPUTED_VALUE"""),"Dashattan")</f>
        <v>Dashattan</v>
      </c>
      <c r="E550" s="3" t="str">
        <f ca="1">IFERROR(__xludf.DUMMYFUNCTION("""COMPUTED_VALUE"""),"Galaxy A")</f>
        <v>Galaxy A</v>
      </c>
      <c r="F550" s="3" t="str">
        <f ca="1">IFERROR(__xludf.DUMMYFUNCTION("""COMPUTED_VALUE"""),"Awstin")</f>
        <v>Awstin</v>
      </c>
      <c r="G550" s="3">
        <f ca="1">IFERROR(__xludf.DUMMYFUNCTION("""COMPUTED_VALUE"""),0)</f>
        <v>0</v>
      </c>
      <c r="H550" s="3" t="str">
        <f ca="1">IFERROR(__xludf.DUMMYFUNCTION("""COMPUTED_VALUE"""),"bicycle")</f>
        <v>bicycle</v>
      </c>
      <c r="I550" s="3" t="str">
        <f ca="1">IFERROR(__xludf.DUMMYFUNCTION("""COMPUTED_VALUE"""),"2055-06-12T01:58:11.020052Z")</f>
        <v>2055-06-12T01:58:11.020052Z</v>
      </c>
      <c r="J550" s="3" t="str">
        <f ca="1">IFERROR(__xludf.DUMMYFUNCTION("""COMPUTED_VALUE"""),"2055-06-12T02:55:57.073Z")</f>
        <v>2055-06-12T02:55:57.073Z</v>
      </c>
      <c r="K550" s="3" t="str">
        <f ca="1">IFERROR(__xludf.DUMMYFUNCTION("""COMPUTED_VALUE"""),"2055-06-12T02:35:50.073Z")</f>
        <v>2055-06-12T02:35:50.073Z</v>
      </c>
      <c r="L550" s="3">
        <f ca="1">IFERROR(__xludf.DUMMYFUNCTION("""COMPUTED_VALUE"""),1)</f>
        <v>1</v>
      </c>
      <c r="M550" s="3">
        <f ca="1">IFERROR(__xludf.DUMMYFUNCTION("""COMPUTED_VALUE"""),0)</f>
        <v>0</v>
      </c>
      <c r="N550" s="3" t="str">
        <f ca="1">IFERROR(__xludf.DUMMYFUNCTION("""COMPUTED_VALUE"""),"2055-06-12T03:08:19.396577Z")</f>
        <v>2055-06-12T03:08:19.396577Z</v>
      </c>
      <c r="O550" s="3" t="str">
        <f ca="1">IFERROR(__xludf.DUMMYFUNCTION("""COMPUTED_VALUE"""),"2055-06-12T03:13:30.359605Z")</f>
        <v>2055-06-12T03:13:30.359605Z</v>
      </c>
      <c r="P550" s="3" t="str">
        <f ca="1">IFERROR(__xludf.DUMMYFUNCTION("""COMPUTED_VALUE"""),"2055-06-12T01:58:14.450474Z")</f>
        <v>2055-06-12T01:58:14.450474Z</v>
      </c>
      <c r="Q550" s="3">
        <f ca="1">IFERROR(__xludf.DUMMYFUNCTION("""COMPUTED_VALUE"""),0)</f>
        <v>0</v>
      </c>
      <c r="R550" s="3" t="str">
        <f ca="1">IFERROR(__xludf.DUMMYFUNCTION("""COMPUTED_VALUE"""),"2055-06-12T01:58:24.587866Z")</f>
        <v>2055-06-12T01:58:24.587866Z</v>
      </c>
      <c r="S550" s="3" t="str">
        <f ca="1">IFERROR(__xludf.DUMMYFUNCTION("""COMPUTED_VALUE"""),"2055-06-12T02:08:12.384398Z")</f>
        <v>2055-06-12T02:08:12.384398Z</v>
      </c>
      <c r="T550" s="3"/>
      <c r="U550" s="4">
        <f ca="1">IFERROR(__xludf.DUMMYFUNCTION("""COMPUTED_VALUE"""),56776)</f>
        <v>56776</v>
      </c>
      <c r="V550" s="3">
        <f ca="1">IFERROR(__xludf.DUMMYFUNCTION("""COMPUTED_VALUE"""),4.4)</f>
        <v>4.4000000000000004</v>
      </c>
      <c r="W550" s="3">
        <f ca="1">IFERROR(__xludf.DUMMYFUNCTION("""COMPUTED_VALUE"""),2500)</f>
        <v>2500</v>
      </c>
      <c r="X550" s="3">
        <f ca="1">IFERROR(__xludf.DUMMYFUNCTION("""COMPUTED_VALUE"""),4506)</f>
        <v>4506</v>
      </c>
      <c r="Y550" s="3">
        <f ca="1">IFERROR(__xludf.DUMMYFUNCTION("""COMPUTED_VALUE"""),588)</f>
        <v>588</v>
      </c>
      <c r="Z550" s="3">
        <f ca="1">IFERROR(__xludf.DUMMYFUNCTION("""COMPUTED_VALUE"""),3607)</f>
        <v>3607</v>
      </c>
      <c r="AA550" s="3">
        <f ca="1">IFERROR(__xludf.DUMMYFUNCTION("""COMPUTED_VALUE"""),311)</f>
        <v>311</v>
      </c>
      <c r="AB550" s="3">
        <f ca="1">IFERROR(__xludf.DUMMYFUNCTION("""COMPUTED_VALUE"""),0)</f>
        <v>0</v>
      </c>
      <c r="AC550" s="3">
        <f ca="1">IFERROR(__xludf.DUMMYFUNCTION("""COMPUTED_VALUE"""),28)</f>
        <v>28</v>
      </c>
      <c r="AD550" s="3"/>
      <c r="AE550" s="3" t="str">
        <f ca="1">IFERROR(__xludf.DUMMYFUNCTION("""COMPUTED_VALUE"""),"2055-06-11T23:08:19.396577Z")</f>
        <v>2055-06-11T23:08:19.396577Z</v>
      </c>
      <c r="AF550" s="3" t="str">
        <f ca="1">IFERROR(__xludf.DUMMYFUNCTION("""COMPUTED_VALUE"""),"2055-06-11T23:13:30.359605Z")</f>
        <v>2055-06-11T23:13:30.359605Z</v>
      </c>
      <c r="AG550" s="3" t="str">
        <f ca="1">IFERROR(__xludf.DUMMYFUNCTION("""COMPUTED_VALUE"""),"2055-06-11T21:58:14.450474Z")</f>
        <v>2055-06-11T21:58:14.450474Z</v>
      </c>
      <c r="AH550" s="3" t="str">
        <f ca="1">IFERROR(__xludf.DUMMYFUNCTION("""COMPUTED_VALUE"""),"2055-06-11T22:08:12.384398Z")</f>
        <v>2055-06-11T22:08:12.384398Z</v>
      </c>
      <c r="AI550" s="3">
        <f ca="1">IFERROR(__xludf.DUMMYFUNCTION("""COMPUTED_VALUE"""),4.5)</f>
        <v>4.5</v>
      </c>
      <c r="AJ550" s="3">
        <f ca="1">IFERROR(__xludf.DUMMYFUNCTION("""COMPUTED_VALUE"""),394)</f>
        <v>394</v>
      </c>
      <c r="AK550" s="3">
        <f ca="1">IFERROR(__xludf.DUMMYFUNCTION("""COMPUTED_VALUE"""),1403)</f>
        <v>1403</v>
      </c>
      <c r="AL550" s="3"/>
    </row>
    <row r="551" spans="1:38" ht="13">
      <c r="A551" s="3">
        <f ca="1">IFERROR(__xludf.DUMMYFUNCTION("""COMPUTED_VALUE"""),312)</f>
        <v>312</v>
      </c>
      <c r="B551" s="3"/>
      <c r="C551" s="3">
        <f ca="1">IFERROR(__xludf.DUMMYFUNCTION("""COMPUTED_VALUE"""),4001)</f>
        <v>4001</v>
      </c>
      <c r="D551" s="3" t="str">
        <f ca="1">IFERROR(__xludf.DUMMYFUNCTION("""COMPUTED_VALUE"""),"Dashattan")</f>
        <v>Dashattan</v>
      </c>
      <c r="E551" s="3" t="str">
        <f ca="1">IFERROR(__xludf.DUMMYFUNCTION("""COMPUTED_VALUE"""),"Galaxy A")</f>
        <v>Galaxy A</v>
      </c>
      <c r="F551" s="3" t="str">
        <f ca="1">IFERROR(__xludf.DUMMYFUNCTION("""COMPUTED_VALUE"""),"Bunje")</f>
        <v>Bunje</v>
      </c>
      <c r="G551" s="3">
        <f ca="1">IFERROR(__xludf.DUMMYFUNCTION("""COMPUTED_VALUE"""),0)</f>
        <v>0</v>
      </c>
      <c r="H551" s="3" t="str">
        <f ca="1">IFERROR(__xludf.DUMMYFUNCTION("""COMPUTED_VALUE"""),"bicycle")</f>
        <v>bicycle</v>
      </c>
      <c r="I551" s="3" t="str">
        <f ca="1">IFERROR(__xludf.DUMMYFUNCTION("""COMPUTED_VALUE"""),"2055-06-03T18:22:31.068411Z")</f>
        <v>2055-06-03T18:22:31.068411Z</v>
      </c>
      <c r="J551" s="3" t="str">
        <f ca="1">IFERROR(__xludf.DUMMYFUNCTION("""COMPUTED_VALUE"""),"2055-06-03T19:24:43.136Z")</f>
        <v>2055-06-03T19:24:43.136Z</v>
      </c>
      <c r="K551" s="3" t="str">
        <f ca="1">IFERROR(__xludf.DUMMYFUNCTION("""COMPUTED_VALUE"""),"2055-06-03T19:05:04.136Z")</f>
        <v>2055-06-03T19:05:04.136Z</v>
      </c>
      <c r="L551" s="3">
        <f ca="1">IFERROR(__xludf.DUMMYFUNCTION("""COMPUTED_VALUE"""),1)</f>
        <v>1</v>
      </c>
      <c r="M551" s="3">
        <f ca="1">IFERROR(__xludf.DUMMYFUNCTION("""COMPUTED_VALUE"""),0)</f>
        <v>0</v>
      </c>
      <c r="N551" s="3" t="str">
        <f ca="1">IFERROR(__xludf.DUMMYFUNCTION("""COMPUTED_VALUE"""),"2055-06-03T18:35:49.236681Z")</f>
        <v>2055-06-03T18:35:49.236681Z</v>
      </c>
      <c r="O551" s="3" t="str">
        <f ca="1">IFERROR(__xludf.DUMMYFUNCTION("""COMPUTED_VALUE"""),"2055-06-03T18:51:40.406879Z")</f>
        <v>2055-06-03T18:51:40.406879Z</v>
      </c>
      <c r="P551" s="3" t="str">
        <f ca="1">IFERROR(__xludf.DUMMYFUNCTION("""COMPUTED_VALUE"""),"2055-06-03T18:24:54.22984Z")</f>
        <v>2055-06-03T18:24:54.22984Z</v>
      </c>
      <c r="Q551" s="3">
        <f ca="1">IFERROR(__xludf.DUMMYFUNCTION("""COMPUTED_VALUE"""),0)</f>
        <v>0</v>
      </c>
      <c r="R551" s="3" t="str">
        <f ca="1">IFERROR(__xludf.DUMMYFUNCTION("""COMPUTED_VALUE"""),"2055-06-03T18:25:17.81367Z")</f>
        <v>2055-06-03T18:25:17.81367Z</v>
      </c>
      <c r="S551" s="3" t="str">
        <f ca="1">IFERROR(__xludf.DUMMYFUNCTION("""COMPUTED_VALUE"""),"2055-06-03T18:32:18.766678Z")</f>
        <v>2055-06-03T18:32:18.766678Z</v>
      </c>
      <c r="T551" s="3"/>
      <c r="U551" s="4">
        <f ca="1">IFERROR(__xludf.DUMMYFUNCTION("""COMPUTED_VALUE"""),56768)</f>
        <v>56768</v>
      </c>
      <c r="V551" s="3">
        <f ca="1">IFERROR(__xludf.DUMMYFUNCTION("""COMPUTED_VALUE"""),4.5)</f>
        <v>4.5</v>
      </c>
      <c r="W551" s="3">
        <f ca="1">IFERROR(__xludf.DUMMYFUNCTION("""COMPUTED_VALUE"""),2500)</f>
        <v>2500</v>
      </c>
      <c r="X551" s="3">
        <f ca="1">IFERROR(__xludf.DUMMYFUNCTION("""COMPUTED_VALUE"""),1583)</f>
        <v>1583</v>
      </c>
      <c r="Y551" s="3">
        <f ca="1">IFERROR(__xludf.DUMMYFUNCTION("""COMPUTED_VALUE"""),421)</f>
        <v>421</v>
      </c>
      <c r="Z551" s="3">
        <f ca="1">IFERROR(__xludf.DUMMYFUNCTION("""COMPUTED_VALUE"""),211)</f>
        <v>211</v>
      </c>
      <c r="AA551" s="3">
        <f ca="1">IFERROR(__xludf.DUMMYFUNCTION("""COMPUTED_VALUE"""),951)</f>
        <v>951</v>
      </c>
      <c r="AB551" s="3">
        <f ca="1">IFERROR(__xludf.DUMMYFUNCTION("""COMPUTED_VALUE"""),0)</f>
        <v>0</v>
      </c>
      <c r="AC551" s="3">
        <f ca="1">IFERROR(__xludf.DUMMYFUNCTION("""COMPUTED_VALUE"""),2)</f>
        <v>2</v>
      </c>
      <c r="AD551" s="3" t="str">
        <f ca="1">IFERROR(__xludf.DUMMYFUNCTION("""COMPUTED_VALUE"""),"on time")</f>
        <v>on time</v>
      </c>
      <c r="AE551" s="3" t="str">
        <f ca="1">IFERROR(__xludf.DUMMYFUNCTION("""COMPUTED_VALUE"""),"2055-06-03T14:35:49.236681Z")</f>
        <v>2055-06-03T14:35:49.236681Z</v>
      </c>
      <c r="AF551" s="3" t="str">
        <f ca="1">IFERROR(__xludf.DUMMYFUNCTION("""COMPUTED_VALUE"""),"2055-06-03T14:51:40.406879Z")</f>
        <v>2055-06-03T14:51:40.406879Z</v>
      </c>
      <c r="AG551" s="3" t="str">
        <f ca="1">IFERROR(__xludf.DUMMYFUNCTION("""COMPUTED_VALUE"""),"2055-06-03T14:24:54.22984Z")</f>
        <v>2055-06-03T14:24:54.22984Z</v>
      </c>
      <c r="AH551" s="3" t="str">
        <f ca="1">IFERROR(__xludf.DUMMYFUNCTION("""COMPUTED_VALUE"""),"2055-06-03T14:32:18.766678Z")</f>
        <v>2055-06-03T14:32:18.766678Z</v>
      </c>
      <c r="AI551" s="3">
        <f ca="1">IFERROR(__xludf.DUMMYFUNCTION("""COMPUTED_VALUE"""),4.7)</f>
        <v>4.7</v>
      </c>
      <c r="AJ551" s="3">
        <f ca="1">IFERROR(__xludf.DUMMYFUNCTION("""COMPUTED_VALUE"""),443)</f>
        <v>443</v>
      </c>
      <c r="AK551" s="3">
        <f ca="1">IFERROR(__xludf.DUMMYFUNCTION("""COMPUTED_VALUE"""),1579)</f>
        <v>1579</v>
      </c>
      <c r="AL551" s="3"/>
    </row>
    <row r="552" spans="1:38" ht="13">
      <c r="A552" s="3">
        <f ca="1">IFERROR(__xludf.DUMMYFUNCTION("""COMPUTED_VALUE"""),947)</f>
        <v>947</v>
      </c>
      <c r="B552" s="3">
        <f ca="1">IFERROR(__xludf.DUMMYFUNCTION("""COMPUTED_VALUE"""),5)</f>
        <v>5</v>
      </c>
      <c r="C552" s="3">
        <f ca="1">IFERROR(__xludf.DUMMYFUNCTION("""COMPUTED_VALUE"""),4050)</f>
        <v>4050</v>
      </c>
      <c r="D552" s="3" t="str">
        <f ca="1">IFERROR(__xludf.DUMMYFUNCTION("""COMPUTED_VALUE"""),"Doorlanta")</f>
        <v>Doorlanta</v>
      </c>
      <c r="E552" s="3" t="str">
        <f ca="1">IFERROR(__xludf.DUMMYFUNCTION("""COMPUTED_VALUE"""),"Galaxy A")</f>
        <v>Galaxy A</v>
      </c>
      <c r="F552" s="3" t="str">
        <f ca="1">IFERROR(__xludf.DUMMYFUNCTION("""COMPUTED_VALUE"""),"Ash")</f>
        <v>Ash</v>
      </c>
      <c r="G552" s="3">
        <f ca="1">IFERROR(__xludf.DUMMYFUNCTION("""COMPUTED_VALUE"""),0)</f>
        <v>0</v>
      </c>
      <c r="H552" s="3" t="str">
        <f ca="1">IFERROR(__xludf.DUMMYFUNCTION("""COMPUTED_VALUE"""),"car")</f>
        <v>car</v>
      </c>
      <c r="I552" s="3" t="str">
        <f ca="1">IFERROR(__xludf.DUMMYFUNCTION("""COMPUTED_VALUE"""),"2055-06-08T16:49:47.718409Z")</f>
        <v>2055-06-08T16:49:47.718409Z</v>
      </c>
      <c r="J552" s="3" t="str">
        <f ca="1">IFERROR(__xludf.DUMMYFUNCTION("""COMPUTED_VALUE"""),"2055-06-08T17:44:47.768Z")</f>
        <v>2055-06-08T17:44:47.768Z</v>
      </c>
      <c r="K552" s="3" t="str">
        <f ca="1">IFERROR(__xludf.DUMMYFUNCTION("""COMPUTED_VALUE"""),"2055-06-08T17:25:06.768Z")</f>
        <v>2055-06-08T17:25:06.768Z</v>
      </c>
      <c r="L552" s="3">
        <f ca="1">IFERROR(__xludf.DUMMYFUNCTION("""COMPUTED_VALUE"""),1)</f>
        <v>1</v>
      </c>
      <c r="M552" s="3">
        <f ca="1">IFERROR(__xludf.DUMMYFUNCTION("""COMPUTED_VALUE"""),0)</f>
        <v>0</v>
      </c>
      <c r="N552" s="3" t="str">
        <f ca="1">IFERROR(__xludf.DUMMYFUNCTION("""COMPUTED_VALUE"""),"2055-06-08T17:33:27.115993Z")</f>
        <v>2055-06-08T17:33:27.115993Z</v>
      </c>
      <c r="O552" s="3" t="str">
        <f ca="1">IFERROR(__xludf.DUMMYFUNCTION("""COMPUTED_VALUE"""),"2055-06-08T17:47:12.765511Z")</f>
        <v>2055-06-08T17:47:12.765511Z</v>
      </c>
      <c r="P552" s="3" t="str">
        <f ca="1">IFERROR(__xludf.DUMMYFUNCTION("""COMPUTED_VALUE"""),"2055-06-08T16:50:07.297402Z")</f>
        <v>2055-06-08T16:50:07.297402Z</v>
      </c>
      <c r="Q552" s="3">
        <f ca="1">IFERROR(__xludf.DUMMYFUNCTION("""COMPUTED_VALUE"""),0)</f>
        <v>0</v>
      </c>
      <c r="R552" s="3" t="str">
        <f ca="1">IFERROR(__xludf.DUMMYFUNCTION("""COMPUTED_VALUE"""),"2055-06-08T16:50:12.048561Z")</f>
        <v>2055-06-08T16:50:12.048561Z</v>
      </c>
      <c r="S552" s="3" t="str">
        <f ca="1">IFERROR(__xludf.DUMMYFUNCTION("""COMPUTED_VALUE"""),"2055-06-08T17:06:22.405426Z")</f>
        <v>2055-06-08T17:06:22.405426Z</v>
      </c>
      <c r="T552" s="3"/>
      <c r="U552" s="4">
        <f ca="1">IFERROR(__xludf.DUMMYFUNCTION("""COMPUTED_VALUE"""),56773)</f>
        <v>56773</v>
      </c>
      <c r="V552" s="3">
        <f ca="1">IFERROR(__xludf.DUMMYFUNCTION("""COMPUTED_VALUE"""),4.4)</f>
        <v>4.4000000000000004</v>
      </c>
      <c r="W552" s="3">
        <f ca="1">IFERROR(__xludf.DUMMYFUNCTION("""COMPUTED_VALUE"""),2500)</f>
        <v>2500</v>
      </c>
      <c r="X552" s="3">
        <f ca="1">IFERROR(__xludf.DUMMYFUNCTION("""COMPUTED_VALUE"""),3420)</f>
        <v>3420</v>
      </c>
      <c r="Y552" s="3">
        <f ca="1">IFERROR(__xludf.DUMMYFUNCTION("""COMPUTED_VALUE"""),970)</f>
        <v>970</v>
      </c>
      <c r="Z552" s="3">
        <f ca="1">IFERROR(__xludf.DUMMYFUNCTION("""COMPUTED_VALUE"""),1625)</f>
        <v>1625</v>
      </c>
      <c r="AA552" s="3">
        <f ca="1">IFERROR(__xludf.DUMMYFUNCTION("""COMPUTED_VALUE"""),825)</f>
        <v>825</v>
      </c>
      <c r="AB552" s="3">
        <f ca="1">IFERROR(__xludf.DUMMYFUNCTION("""COMPUTED_VALUE"""),0)</f>
        <v>0</v>
      </c>
      <c r="AC552" s="3">
        <f ca="1">IFERROR(__xludf.DUMMYFUNCTION("""COMPUTED_VALUE"""),2)</f>
        <v>2</v>
      </c>
      <c r="AD552" s="3"/>
      <c r="AE552" s="3" t="str">
        <f ca="1">IFERROR(__xludf.DUMMYFUNCTION("""COMPUTED_VALUE"""),"2055-06-08T13:33:27.115993Z")</f>
        <v>2055-06-08T13:33:27.115993Z</v>
      </c>
      <c r="AF552" s="3" t="str">
        <f ca="1">IFERROR(__xludf.DUMMYFUNCTION("""COMPUTED_VALUE"""),"2055-06-08T13:47:12.765511Z")</f>
        <v>2055-06-08T13:47:12.765511Z</v>
      </c>
      <c r="AG552" s="3" t="str">
        <f ca="1">IFERROR(__xludf.DUMMYFUNCTION("""COMPUTED_VALUE"""),"2055-06-08T12:50:07.297402Z")</f>
        <v>2055-06-08T12:50:07.297402Z</v>
      </c>
      <c r="AH552" s="3" t="str">
        <f ca="1">IFERROR(__xludf.DUMMYFUNCTION("""COMPUTED_VALUE"""),"2055-06-08T13:06:22.405426Z")</f>
        <v>2055-06-08T13:06:22.405426Z</v>
      </c>
      <c r="AI552" s="3">
        <f ca="1">IFERROR(__xludf.DUMMYFUNCTION("""COMPUTED_VALUE"""),4.66)</f>
        <v>4.66</v>
      </c>
      <c r="AJ552" s="3">
        <f ca="1">IFERROR(__xludf.DUMMYFUNCTION("""COMPUTED_VALUE"""),161)</f>
        <v>161</v>
      </c>
      <c r="AK552" s="3">
        <f ca="1">IFERROR(__xludf.DUMMYFUNCTION("""COMPUTED_VALUE"""),398)</f>
        <v>398</v>
      </c>
      <c r="AL552" s="3"/>
    </row>
    <row r="553" spans="1:38" ht="13">
      <c r="A553" s="3">
        <f ca="1">IFERROR(__xludf.DUMMYFUNCTION("""COMPUTED_VALUE"""),1084)</f>
        <v>1084</v>
      </c>
      <c r="B553" s="3">
        <f ca="1">IFERROR(__xludf.DUMMYFUNCTION("""COMPUTED_VALUE"""),5)</f>
        <v>5</v>
      </c>
      <c r="C553" s="3">
        <f ca="1">IFERROR(__xludf.DUMMYFUNCTION("""COMPUTED_VALUE"""),4001)</f>
        <v>4001</v>
      </c>
      <c r="D553" s="3" t="str">
        <f ca="1">IFERROR(__xludf.DUMMYFUNCTION("""COMPUTED_VALUE"""),"Dashattan")</f>
        <v>Dashattan</v>
      </c>
      <c r="E553" s="3" t="str">
        <f ca="1">IFERROR(__xludf.DUMMYFUNCTION("""COMPUTED_VALUE"""),"Galaxy A")</f>
        <v>Galaxy A</v>
      </c>
      <c r="F553" s="3" t="str">
        <f ca="1">IFERROR(__xludf.DUMMYFUNCTION("""COMPUTED_VALUE"""),"Rojan")</f>
        <v>Rojan</v>
      </c>
      <c r="G553" s="3">
        <f ca="1">IFERROR(__xludf.DUMMYFUNCTION("""COMPUTED_VALUE"""),0)</f>
        <v>0</v>
      </c>
      <c r="H553" s="3" t="str">
        <f ca="1">IFERROR(__xludf.DUMMYFUNCTION("""COMPUTED_VALUE"""),"bicycle")</f>
        <v>bicycle</v>
      </c>
      <c r="I553" s="3" t="str">
        <f ca="1">IFERROR(__xludf.DUMMYFUNCTION("""COMPUTED_VALUE"""),"2055-06-09T23:50:21.773336Z")</f>
        <v>2055-06-09T23:50:21.773336Z</v>
      </c>
      <c r="J553" s="3" t="str">
        <f ca="1">IFERROR(__xludf.DUMMYFUNCTION("""COMPUTED_VALUE"""),"2055-06-10T00:52:27.825Z")</f>
        <v>2055-06-10T00:52:27.825Z</v>
      </c>
      <c r="K553" s="3" t="str">
        <f ca="1">IFERROR(__xludf.DUMMYFUNCTION("""COMPUTED_VALUE"""),"2055-06-10T00:30:33.825Z")</f>
        <v>2055-06-10T00:30:33.825Z</v>
      </c>
      <c r="L553" s="3">
        <f ca="1">IFERROR(__xludf.DUMMYFUNCTION("""COMPUTED_VALUE"""),1)</f>
        <v>1</v>
      </c>
      <c r="M553" s="3">
        <f ca="1">IFERROR(__xludf.DUMMYFUNCTION("""COMPUTED_VALUE"""),0)</f>
        <v>0</v>
      </c>
      <c r="N553" s="3" t="str">
        <f ca="1">IFERROR(__xludf.DUMMYFUNCTION("""COMPUTED_VALUE"""),"2055-06-10T00:06:30.546769Z")</f>
        <v>2055-06-10T00:06:30.546769Z</v>
      </c>
      <c r="O553" s="3" t="str">
        <f ca="1">IFERROR(__xludf.DUMMYFUNCTION("""COMPUTED_VALUE"""),"2055-06-10T00:19:33.944404Z")</f>
        <v>2055-06-10T00:19:33.944404Z</v>
      </c>
      <c r="P553" s="3" t="str">
        <f ca="1">IFERROR(__xludf.DUMMYFUNCTION("""COMPUTED_VALUE"""),"2055-06-09T23:55:15.313225Z")</f>
        <v>2055-06-09T23:55:15.313225Z</v>
      </c>
      <c r="Q553" s="3">
        <f ca="1">IFERROR(__xludf.DUMMYFUNCTION("""COMPUTED_VALUE"""),0)</f>
        <v>0</v>
      </c>
      <c r="R553" s="3" t="str">
        <f ca="1">IFERROR(__xludf.DUMMYFUNCTION("""COMPUTED_VALUE"""),"2055-06-09T23:55:25.606261Z")</f>
        <v>2055-06-09T23:55:25.606261Z</v>
      </c>
      <c r="S553" s="3" t="str">
        <f ca="1">IFERROR(__xludf.DUMMYFUNCTION("""COMPUTED_VALUE"""),"2055-06-10T00:06:33.091907Z")</f>
        <v>2055-06-10T00:06:33.091907Z</v>
      </c>
      <c r="T553" s="3"/>
      <c r="U553" s="4">
        <f ca="1">IFERROR(__xludf.DUMMYFUNCTION("""COMPUTED_VALUE"""),56774)</f>
        <v>56774</v>
      </c>
      <c r="V553" s="3">
        <f ca="1">IFERROR(__xludf.DUMMYFUNCTION("""COMPUTED_VALUE"""),3.49339893)</f>
        <v>3.4933989300000001</v>
      </c>
      <c r="W553" s="3">
        <f ca="1">IFERROR(__xludf.DUMMYFUNCTION("""COMPUTED_VALUE"""),2500)</f>
        <v>2500</v>
      </c>
      <c r="X553" s="3">
        <f ca="1">IFERROR(__xludf.DUMMYFUNCTION("""COMPUTED_VALUE"""),1448)</f>
        <v>1448</v>
      </c>
      <c r="Y553" s="3">
        <f ca="1">IFERROR(__xludf.DUMMYFUNCTION("""COMPUTED_VALUE"""),668)</f>
        <v>668</v>
      </c>
      <c r="Z553" s="3"/>
      <c r="AA553" s="3">
        <f ca="1">IFERROR(__xludf.DUMMYFUNCTION("""COMPUTED_VALUE"""),783)</f>
        <v>783</v>
      </c>
      <c r="AB553" s="3">
        <f ca="1">IFERROR(__xludf.DUMMYFUNCTION("""COMPUTED_VALUE"""),0)</f>
        <v>0</v>
      </c>
      <c r="AC553" s="3">
        <f ca="1">IFERROR(__xludf.DUMMYFUNCTION("""COMPUTED_VALUE"""),3)</f>
        <v>3</v>
      </c>
      <c r="AD553" s="3" t="str">
        <f ca="1">IFERROR(__xludf.DUMMYFUNCTION("""COMPUTED_VALUE"""),"late")</f>
        <v>late</v>
      </c>
      <c r="AE553" s="3" t="str">
        <f ca="1">IFERROR(__xludf.DUMMYFUNCTION("""COMPUTED_VALUE"""),"2055-06-09T20:06:30.546769Z")</f>
        <v>2055-06-09T20:06:30.546769Z</v>
      </c>
      <c r="AF553" s="3" t="str">
        <f ca="1">IFERROR(__xludf.DUMMYFUNCTION("""COMPUTED_VALUE"""),"2055-06-09T20:19:33.944404Z")</f>
        <v>2055-06-09T20:19:33.944404Z</v>
      </c>
      <c r="AG553" s="3" t="str">
        <f ca="1">IFERROR(__xludf.DUMMYFUNCTION("""COMPUTED_VALUE"""),"2055-06-09T19:55:15.313225Z")</f>
        <v>2055-06-09T19:55:15.313225Z</v>
      </c>
      <c r="AH553" s="3" t="str">
        <f ca="1">IFERROR(__xludf.DUMMYFUNCTION("""COMPUTED_VALUE"""),"2055-06-09T20:06:33.091907Z")</f>
        <v>2055-06-09T20:06:33.091907Z</v>
      </c>
      <c r="AI553" s="3">
        <f ca="1">IFERROR(__xludf.DUMMYFUNCTION("""COMPUTED_VALUE"""),4.58)</f>
        <v>4.58</v>
      </c>
      <c r="AJ553" s="3">
        <f ca="1">IFERROR(__xludf.DUMMYFUNCTION("""COMPUTED_VALUE"""),254)</f>
        <v>254</v>
      </c>
      <c r="AK553" s="3">
        <f ca="1">IFERROR(__xludf.DUMMYFUNCTION("""COMPUTED_VALUE"""),788)</f>
        <v>788</v>
      </c>
      <c r="AL553" s="3">
        <f ca="1">IFERROR(__xludf.DUMMYFUNCTION("""COMPUTED_VALUE"""),9)</f>
        <v>9</v>
      </c>
    </row>
    <row r="554" spans="1:38" ht="13">
      <c r="A554" s="3">
        <f ca="1">IFERROR(__xludf.DUMMYFUNCTION("""COMPUTED_VALUE"""),705)</f>
        <v>705</v>
      </c>
      <c r="B554" s="3">
        <f ca="1">IFERROR(__xludf.DUMMYFUNCTION("""COMPUTED_VALUE"""),4)</f>
        <v>4</v>
      </c>
      <c r="C554" s="3">
        <f ca="1">IFERROR(__xludf.DUMMYFUNCTION("""COMPUTED_VALUE"""),4050)</f>
        <v>4050</v>
      </c>
      <c r="D554" s="3" t="str">
        <f ca="1">IFERROR(__xludf.DUMMYFUNCTION("""COMPUTED_VALUE"""),"Doorlanta")</f>
        <v>Doorlanta</v>
      </c>
      <c r="E554" s="3" t="str">
        <f ca="1">IFERROR(__xludf.DUMMYFUNCTION("""COMPUTED_VALUE"""),"Galaxy A")</f>
        <v>Galaxy A</v>
      </c>
      <c r="F554" s="3" t="str">
        <f ca="1">IFERROR(__xludf.DUMMYFUNCTION("""COMPUTED_VALUE"""),"Katelynn")</f>
        <v>Katelynn</v>
      </c>
      <c r="G554" s="3">
        <f ca="1">IFERROR(__xludf.DUMMYFUNCTION("""COMPUTED_VALUE"""),0)</f>
        <v>0</v>
      </c>
      <c r="H554" s="3" t="str">
        <f ca="1">IFERROR(__xludf.DUMMYFUNCTION("""COMPUTED_VALUE"""),"car")</f>
        <v>car</v>
      </c>
      <c r="I554" s="3" t="str">
        <f ca="1">IFERROR(__xludf.DUMMYFUNCTION("""COMPUTED_VALUE"""),"2055-06-06T00:24:21.886781Z")</f>
        <v>2055-06-06T00:24:21.886781Z</v>
      </c>
      <c r="J554" s="3" t="str">
        <f ca="1">IFERROR(__xludf.DUMMYFUNCTION("""COMPUTED_VALUE"""),"2055-06-06T01:14:21.949Z")</f>
        <v>2055-06-06T01:14:21.949Z</v>
      </c>
      <c r="K554" s="3" t="str">
        <f ca="1">IFERROR(__xludf.DUMMYFUNCTION("""COMPUTED_VALUE"""),"2055-06-06T01:07:27.949Z")</f>
        <v>2055-06-06T01:07:27.949Z</v>
      </c>
      <c r="L554" s="3">
        <f ca="1">IFERROR(__xludf.DUMMYFUNCTION("""COMPUTED_VALUE"""),1)</f>
        <v>1</v>
      </c>
      <c r="M554" s="3">
        <f ca="1">IFERROR(__xludf.DUMMYFUNCTION("""COMPUTED_VALUE"""),0)</f>
        <v>0</v>
      </c>
      <c r="N554" s="3" t="str">
        <f ca="1">IFERROR(__xludf.DUMMYFUNCTION("""COMPUTED_VALUE"""),"2055-06-06T00:55:32.890043Z")</f>
        <v>2055-06-06T00:55:32.890043Z</v>
      </c>
      <c r="O554" s="3" t="str">
        <f ca="1">IFERROR(__xludf.DUMMYFUNCTION("""COMPUTED_VALUE"""),"2055-06-06T01:12:20.487078Z")</f>
        <v>2055-06-06T01:12:20.487078Z</v>
      </c>
      <c r="P554" s="3" t="str">
        <f ca="1">IFERROR(__xludf.DUMMYFUNCTION("""COMPUTED_VALUE"""),"2055-06-06T00:42:27.501891Z")</f>
        <v>2055-06-06T00:42:27.501891Z</v>
      </c>
      <c r="Q554" s="3">
        <f ca="1">IFERROR(__xludf.DUMMYFUNCTION("""COMPUTED_VALUE"""),0)</f>
        <v>0</v>
      </c>
      <c r="R554" s="3" t="str">
        <f ca="1">IFERROR(__xludf.DUMMYFUNCTION("""COMPUTED_VALUE"""),"2055-06-06T00:42:56.350319Z")</f>
        <v>2055-06-06T00:42:56.350319Z</v>
      </c>
      <c r="S554" s="3" t="str">
        <f ca="1">IFERROR(__xludf.DUMMYFUNCTION("""COMPUTED_VALUE"""),"2055-06-06T00:48:34.303261Z")</f>
        <v>2055-06-06T00:48:34.303261Z</v>
      </c>
      <c r="T554" s="3"/>
      <c r="U554" s="4">
        <f ca="1">IFERROR(__xludf.DUMMYFUNCTION("""COMPUTED_VALUE"""),56770)</f>
        <v>56770</v>
      </c>
      <c r="V554" s="3">
        <f ca="1">IFERROR(__xludf.DUMMYFUNCTION("""COMPUTED_VALUE"""),3.501498169)</f>
        <v>3.501498169</v>
      </c>
      <c r="W554" s="3">
        <f ca="1">IFERROR(__xludf.DUMMYFUNCTION("""COMPUTED_VALUE"""),2500)</f>
        <v>2500</v>
      </c>
      <c r="X554" s="3">
        <f ca="1">IFERROR(__xludf.DUMMYFUNCTION("""COMPUTED_VALUE"""),1764)</f>
        <v>1764</v>
      </c>
      <c r="Y554" s="3">
        <f ca="1">IFERROR(__xludf.DUMMYFUNCTION("""COMPUTED_VALUE"""),338)</f>
        <v>338</v>
      </c>
      <c r="Z554" s="3">
        <f ca="1">IFERROR(__xludf.DUMMYFUNCTION("""COMPUTED_VALUE"""),418)</f>
        <v>418</v>
      </c>
      <c r="AA554" s="3">
        <f ca="1">IFERROR(__xludf.DUMMYFUNCTION("""COMPUTED_VALUE"""),1008)</f>
        <v>1008</v>
      </c>
      <c r="AB554" s="3">
        <f ca="1">IFERROR(__xludf.DUMMYFUNCTION("""COMPUTED_VALUE"""),0)</f>
        <v>0</v>
      </c>
      <c r="AC554" s="3">
        <f ca="1">IFERROR(__xludf.DUMMYFUNCTION("""COMPUTED_VALUE"""),2)</f>
        <v>2</v>
      </c>
      <c r="AD554" s="3" t="str">
        <f ca="1">IFERROR(__xludf.DUMMYFUNCTION("""COMPUTED_VALUE"""),"on time")</f>
        <v>on time</v>
      </c>
      <c r="AE554" s="3" t="str">
        <f ca="1">IFERROR(__xludf.DUMMYFUNCTION("""COMPUTED_VALUE"""),"2055-06-05T20:55:32.890043Z")</f>
        <v>2055-06-05T20:55:32.890043Z</v>
      </c>
      <c r="AF554" s="3" t="str">
        <f ca="1">IFERROR(__xludf.DUMMYFUNCTION("""COMPUTED_VALUE"""),"2055-06-05T21:12:20.487078Z")</f>
        <v>2055-06-05T21:12:20.487078Z</v>
      </c>
      <c r="AG554" s="3" t="str">
        <f ca="1">IFERROR(__xludf.DUMMYFUNCTION("""COMPUTED_VALUE"""),"2055-06-05T20:42:27.501891Z")</f>
        <v>2055-06-05T20:42:27.501891Z</v>
      </c>
      <c r="AH554" s="3" t="str">
        <f ca="1">IFERROR(__xludf.DUMMYFUNCTION("""COMPUTED_VALUE"""),"2055-06-05T20:48:34.303261Z")</f>
        <v>2055-06-05T20:48:34.303261Z</v>
      </c>
      <c r="AI554" s="3">
        <f ca="1">IFERROR(__xludf.DUMMYFUNCTION("""COMPUTED_VALUE"""),4.7)</f>
        <v>4.7</v>
      </c>
      <c r="AJ554" s="3">
        <f ca="1">IFERROR(__xludf.DUMMYFUNCTION("""COMPUTED_VALUE"""),1261)</f>
        <v>1261</v>
      </c>
      <c r="AK554" s="3">
        <f ca="1">IFERROR(__xludf.DUMMYFUNCTION("""COMPUTED_VALUE"""),3264)</f>
        <v>3264</v>
      </c>
      <c r="AL554" s="3">
        <f ca="1">IFERROR(__xludf.DUMMYFUNCTION("""COMPUTED_VALUE"""),232)</f>
        <v>232</v>
      </c>
    </row>
    <row r="555" spans="1:38" ht="13">
      <c r="A555" s="3">
        <f ca="1">IFERROR(__xludf.DUMMYFUNCTION("""COMPUTED_VALUE"""),194)</f>
        <v>194</v>
      </c>
      <c r="B555" s="3">
        <f ca="1">IFERROR(__xludf.DUMMYFUNCTION("""COMPUTED_VALUE"""),5)</f>
        <v>5</v>
      </c>
      <c r="C555" s="3">
        <f ca="1">IFERROR(__xludf.DUMMYFUNCTION("""COMPUTED_VALUE"""),4050)</f>
        <v>4050</v>
      </c>
      <c r="D555" s="3" t="str">
        <f ca="1">IFERROR(__xludf.DUMMYFUNCTION("""COMPUTED_VALUE"""),"Doorlanta")</f>
        <v>Doorlanta</v>
      </c>
      <c r="E555" s="3" t="str">
        <f ca="1">IFERROR(__xludf.DUMMYFUNCTION("""COMPUTED_VALUE"""),"Galaxy A")</f>
        <v>Galaxy A</v>
      </c>
      <c r="F555" s="3" t="str">
        <f ca="1">IFERROR(__xludf.DUMMYFUNCTION("""COMPUTED_VALUE"""),"Cate")</f>
        <v>Cate</v>
      </c>
      <c r="G555" s="3">
        <f ca="1">IFERROR(__xludf.DUMMYFUNCTION("""COMPUTED_VALUE"""),0)</f>
        <v>0</v>
      </c>
      <c r="H555" s="3" t="str">
        <f ca="1">IFERROR(__xludf.DUMMYFUNCTION("""COMPUTED_VALUE"""),"car")</f>
        <v>car</v>
      </c>
      <c r="I555" s="3" t="str">
        <f ca="1">IFERROR(__xludf.DUMMYFUNCTION("""COMPUTED_VALUE"""),"2055-06-02T22:44:46.282272Z")</f>
        <v>2055-06-02T22:44:46.282272Z</v>
      </c>
      <c r="J555" s="3" t="str">
        <f ca="1">IFERROR(__xludf.DUMMYFUNCTION("""COMPUTED_VALUE"""),"2055-06-02T23:37:46.34Z")</f>
        <v>2055-06-02T23:37:46.34Z</v>
      </c>
      <c r="K555" s="3" t="str">
        <f ca="1">IFERROR(__xludf.DUMMYFUNCTION("""COMPUTED_VALUE"""),"2055-06-02T23:25:52.34Z")</f>
        <v>2055-06-02T23:25:52.34Z</v>
      </c>
      <c r="L555" s="3">
        <f ca="1">IFERROR(__xludf.DUMMYFUNCTION("""COMPUTED_VALUE"""),1)</f>
        <v>1</v>
      </c>
      <c r="M555" s="3">
        <f ca="1">IFERROR(__xludf.DUMMYFUNCTION("""COMPUTED_VALUE"""),0)</f>
        <v>0</v>
      </c>
      <c r="N555" s="3" t="str">
        <f ca="1">IFERROR(__xludf.DUMMYFUNCTION("""COMPUTED_VALUE"""),"2055-06-02T23:29:54.123145Z")</f>
        <v>2055-06-02T23:29:54.123145Z</v>
      </c>
      <c r="O555" s="3" t="str">
        <f ca="1">IFERROR(__xludf.DUMMYFUNCTION("""COMPUTED_VALUE"""),"2055-06-02T23:36:04.903925Z")</f>
        <v>2055-06-02T23:36:04.903925Z</v>
      </c>
      <c r="P555" s="3" t="str">
        <f ca="1">IFERROR(__xludf.DUMMYFUNCTION("""COMPUTED_VALUE"""),"2055-06-02T22:50:07.361976Z")</f>
        <v>2055-06-02T22:50:07.361976Z</v>
      </c>
      <c r="Q555" s="3">
        <f ca="1">IFERROR(__xludf.DUMMYFUNCTION("""COMPUTED_VALUE"""),0)</f>
        <v>0</v>
      </c>
      <c r="R555" s="3" t="str">
        <f ca="1">IFERROR(__xludf.DUMMYFUNCTION("""COMPUTED_VALUE"""),"2055-06-02T22:50:20.65373Z")</f>
        <v>2055-06-02T22:50:20.65373Z</v>
      </c>
      <c r="S555" s="3"/>
      <c r="T555" s="3"/>
      <c r="U555" s="4">
        <f ca="1">IFERROR(__xludf.DUMMYFUNCTION("""COMPUTED_VALUE"""),56767)</f>
        <v>56767</v>
      </c>
      <c r="V555" s="3">
        <f ca="1">IFERROR(__xludf.DUMMYFUNCTION("""COMPUTED_VALUE"""),4.8)</f>
        <v>4.8</v>
      </c>
      <c r="W555" s="3">
        <f ca="1">IFERROR(__xludf.DUMMYFUNCTION("""COMPUTED_VALUE"""),2500)</f>
        <v>2500</v>
      </c>
      <c r="X555" s="3">
        <f ca="1">IFERROR(__xludf.DUMMYFUNCTION("""COMPUTED_VALUE"""),2744)</f>
        <v>2744</v>
      </c>
      <c r="Y555" s="3"/>
      <c r="Z555" s="3"/>
      <c r="AA555" s="3">
        <f ca="1">IFERROR(__xludf.DUMMYFUNCTION("""COMPUTED_VALUE"""),370)</f>
        <v>370</v>
      </c>
      <c r="AB555" s="3">
        <f ca="1">IFERROR(__xludf.DUMMYFUNCTION("""COMPUTED_VALUE"""),0)</f>
        <v>0</v>
      </c>
      <c r="AC555" s="3">
        <f ca="1">IFERROR(__xludf.DUMMYFUNCTION("""COMPUTED_VALUE"""),6)</f>
        <v>6</v>
      </c>
      <c r="AD555" s="3"/>
      <c r="AE555" s="3" t="str">
        <f ca="1">IFERROR(__xludf.DUMMYFUNCTION("""COMPUTED_VALUE"""),"2055-06-02T19:29:54.123145Z")</f>
        <v>2055-06-02T19:29:54.123145Z</v>
      </c>
      <c r="AF555" s="3" t="str">
        <f ca="1">IFERROR(__xludf.DUMMYFUNCTION("""COMPUTED_VALUE"""),"2055-06-02T19:36:04.903925Z")</f>
        <v>2055-06-02T19:36:04.903925Z</v>
      </c>
      <c r="AG555" s="3" t="str">
        <f ca="1">IFERROR(__xludf.DUMMYFUNCTION("""COMPUTED_VALUE"""),"2055-06-02T18:50:07.361976Z")</f>
        <v>2055-06-02T18:50:07.361976Z</v>
      </c>
      <c r="AH555" s="3"/>
      <c r="AI555" s="3">
        <f ca="1">IFERROR(__xludf.DUMMYFUNCTION("""COMPUTED_VALUE"""),4.49)</f>
        <v>4.49</v>
      </c>
      <c r="AJ555" s="3">
        <f ca="1">IFERROR(__xludf.DUMMYFUNCTION("""COMPUTED_VALUE"""),2315)</f>
        <v>2315</v>
      </c>
      <c r="AK555" s="3">
        <f ca="1">IFERROR(__xludf.DUMMYFUNCTION("""COMPUTED_VALUE"""),7039)</f>
        <v>7039</v>
      </c>
      <c r="AL555" s="3">
        <f ca="1">IFERROR(__xludf.DUMMYFUNCTION("""COMPUTED_VALUE"""),763)</f>
        <v>763</v>
      </c>
    </row>
    <row r="556" spans="1:38" ht="13">
      <c r="A556" s="3">
        <f ca="1">IFERROR(__xludf.DUMMYFUNCTION("""COMPUTED_VALUE"""),632)</f>
        <v>632</v>
      </c>
      <c r="B556" s="3"/>
      <c r="C556" s="3">
        <f ca="1">IFERROR(__xludf.DUMMYFUNCTION("""COMPUTED_VALUE"""),4001)</f>
        <v>4001</v>
      </c>
      <c r="D556" s="3" t="str">
        <f ca="1">IFERROR(__xludf.DUMMYFUNCTION("""COMPUTED_VALUE"""),"Dashattan")</f>
        <v>Dashattan</v>
      </c>
      <c r="E556" s="3" t="str">
        <f ca="1">IFERROR(__xludf.DUMMYFUNCTION("""COMPUTED_VALUE"""),"Galaxy A")</f>
        <v>Galaxy A</v>
      </c>
      <c r="F556" s="3" t="str">
        <f ca="1">IFERROR(__xludf.DUMMYFUNCTION("""COMPUTED_VALUE"""),"Arya")</f>
        <v>Arya</v>
      </c>
      <c r="G556" s="3">
        <f ca="1">IFERROR(__xludf.DUMMYFUNCTION("""COMPUTED_VALUE"""),0)</f>
        <v>0</v>
      </c>
      <c r="H556" s="3" t="str">
        <f ca="1">IFERROR(__xludf.DUMMYFUNCTION("""COMPUTED_VALUE"""),"bicycle")</f>
        <v>bicycle</v>
      </c>
      <c r="I556" s="3" t="str">
        <f ca="1">IFERROR(__xludf.DUMMYFUNCTION("""COMPUTED_VALUE"""),"2055-06-05T21:55:20.104461Z")</f>
        <v>2055-06-05T21:55:20.104461Z</v>
      </c>
      <c r="J556" s="3" t="str">
        <f ca="1">IFERROR(__xludf.DUMMYFUNCTION("""COMPUTED_VALUE"""),"2055-06-05T23:15:39.173Z")</f>
        <v>2055-06-05T23:15:39.173Z</v>
      </c>
      <c r="K556" s="3" t="str">
        <f ca="1">IFERROR(__xludf.DUMMYFUNCTION("""COMPUTED_VALUE"""),"2055-06-05T22:56:46.173Z")</f>
        <v>2055-06-05T22:56:46.173Z</v>
      </c>
      <c r="L556" s="3">
        <f ca="1">IFERROR(__xludf.DUMMYFUNCTION("""COMPUTED_VALUE"""),1)</f>
        <v>1</v>
      </c>
      <c r="M556" s="3">
        <f ca="1">IFERROR(__xludf.DUMMYFUNCTION("""COMPUTED_VALUE"""),0)</f>
        <v>0</v>
      </c>
      <c r="N556" s="3" t="str">
        <f ca="1">IFERROR(__xludf.DUMMYFUNCTION("""COMPUTED_VALUE"""),"2055-06-05T22:32:32.291855Z")</f>
        <v>2055-06-05T22:32:32.291855Z</v>
      </c>
      <c r="O556" s="3" t="str">
        <f ca="1">IFERROR(__xludf.DUMMYFUNCTION("""COMPUTED_VALUE"""),"2055-06-05T23:07:51.038516Z")</f>
        <v>2055-06-05T23:07:51.038516Z</v>
      </c>
      <c r="P556" s="3" t="str">
        <f ca="1">IFERROR(__xludf.DUMMYFUNCTION("""COMPUTED_VALUE"""),"2055-06-05T21:56:55.352125Z")</f>
        <v>2055-06-05T21:56:55.352125Z</v>
      </c>
      <c r="Q556" s="3">
        <f ca="1">IFERROR(__xludf.DUMMYFUNCTION("""COMPUTED_VALUE"""),0)</f>
        <v>0</v>
      </c>
      <c r="R556" s="3" t="str">
        <f ca="1">IFERROR(__xludf.DUMMYFUNCTION("""COMPUTED_VALUE"""),"2055-06-05T21:57:03.708455Z")</f>
        <v>2055-06-05T21:57:03.708455Z</v>
      </c>
      <c r="S556" s="3" t="str">
        <f ca="1">IFERROR(__xludf.DUMMYFUNCTION("""COMPUTED_VALUE"""),"2055-06-05T22:18:40.631145Z")</f>
        <v>2055-06-05T22:18:40.631145Z</v>
      </c>
      <c r="T556" s="3"/>
      <c r="U556" s="4">
        <f ca="1">IFERROR(__xludf.DUMMYFUNCTION("""COMPUTED_VALUE"""),56770)</f>
        <v>56770</v>
      </c>
      <c r="V556" s="3">
        <f ca="1">IFERROR(__xludf.DUMMYFUNCTION("""COMPUTED_VALUE"""),3.11586321)</f>
        <v>3.1158632100000001</v>
      </c>
      <c r="W556" s="3">
        <f ca="1">IFERROR(__xludf.DUMMYFUNCTION("""COMPUTED_VALUE"""),2500)</f>
        <v>2500</v>
      </c>
      <c r="X556" s="3">
        <f ca="1">IFERROR(__xludf.DUMMYFUNCTION("""COMPUTED_VALUE"""),4248)</f>
        <v>4248</v>
      </c>
      <c r="Y556" s="3">
        <f ca="1">IFERROR(__xludf.DUMMYFUNCTION("""COMPUTED_VALUE"""),1297)</f>
        <v>1297</v>
      </c>
      <c r="Z556" s="3">
        <f ca="1">IFERROR(__xludf.DUMMYFUNCTION("""COMPUTED_VALUE"""),832)</f>
        <v>832</v>
      </c>
      <c r="AA556" s="3">
        <f ca="1">IFERROR(__xludf.DUMMYFUNCTION("""COMPUTED_VALUE"""),2119)</f>
        <v>2119</v>
      </c>
      <c r="AB556" s="3">
        <f ca="1">IFERROR(__xludf.DUMMYFUNCTION("""COMPUTED_VALUE"""),1)</f>
        <v>1</v>
      </c>
      <c r="AC556" s="3">
        <f ca="1">IFERROR(__xludf.DUMMYFUNCTION("""COMPUTED_VALUE"""),4)</f>
        <v>4</v>
      </c>
      <c r="AD556" s="3"/>
      <c r="AE556" s="3" t="str">
        <f ca="1">IFERROR(__xludf.DUMMYFUNCTION("""COMPUTED_VALUE"""),"2055-06-05T18:32:32.291855Z")</f>
        <v>2055-06-05T18:32:32.291855Z</v>
      </c>
      <c r="AF556" s="3" t="str">
        <f ca="1">IFERROR(__xludf.DUMMYFUNCTION("""COMPUTED_VALUE"""),"2055-06-05T19:07:51.038516Z")</f>
        <v>2055-06-05T19:07:51.038516Z</v>
      </c>
      <c r="AG556" s="3" t="str">
        <f ca="1">IFERROR(__xludf.DUMMYFUNCTION("""COMPUTED_VALUE"""),"2055-06-05T17:56:55.352125Z")</f>
        <v>2055-06-05T17:56:55.352125Z</v>
      </c>
      <c r="AH556" s="3" t="str">
        <f ca="1">IFERROR(__xludf.DUMMYFUNCTION("""COMPUTED_VALUE"""),"2055-06-05T18:18:40.631145Z")</f>
        <v>2055-06-05T18:18:40.631145Z</v>
      </c>
      <c r="AI556" s="3">
        <f ca="1">IFERROR(__xludf.DUMMYFUNCTION("""COMPUTED_VALUE"""),4.17)</f>
        <v>4.17</v>
      </c>
      <c r="AJ556" s="3">
        <f ca="1">IFERROR(__xludf.DUMMYFUNCTION("""COMPUTED_VALUE"""),457)</f>
        <v>457</v>
      </c>
      <c r="AK556" s="3">
        <f ca="1">IFERROR(__xludf.DUMMYFUNCTION("""COMPUTED_VALUE"""),1599)</f>
        <v>1599</v>
      </c>
      <c r="AL556" s="3"/>
    </row>
    <row r="557" spans="1:38" ht="13">
      <c r="A557" s="3">
        <f ca="1">IFERROR(__xludf.DUMMYFUNCTION("""COMPUTED_VALUE"""),833)</f>
        <v>833</v>
      </c>
      <c r="B557" s="3">
        <f ca="1">IFERROR(__xludf.DUMMYFUNCTION("""COMPUTED_VALUE"""),5)</f>
        <v>5</v>
      </c>
      <c r="C557" s="3">
        <f ca="1">IFERROR(__xludf.DUMMYFUNCTION("""COMPUTED_VALUE"""),4050)</f>
        <v>4050</v>
      </c>
      <c r="D557" s="3" t="str">
        <f ca="1">IFERROR(__xludf.DUMMYFUNCTION("""COMPUTED_VALUE"""),"Doorlanta")</f>
        <v>Doorlanta</v>
      </c>
      <c r="E557" s="3" t="str">
        <f ca="1">IFERROR(__xludf.DUMMYFUNCTION("""COMPUTED_VALUE"""),"Galaxy A")</f>
        <v>Galaxy A</v>
      </c>
      <c r="F557" s="3" t="str">
        <f ca="1">IFERROR(__xludf.DUMMYFUNCTION("""COMPUTED_VALUE"""),"Jagar")</f>
        <v>Jagar</v>
      </c>
      <c r="G557" s="3">
        <f ca="1">IFERROR(__xludf.DUMMYFUNCTION("""COMPUTED_VALUE"""),0)</f>
        <v>0</v>
      </c>
      <c r="H557" s="3" t="str">
        <f ca="1">IFERROR(__xludf.DUMMYFUNCTION("""COMPUTED_VALUE"""),"car")</f>
        <v>car</v>
      </c>
      <c r="I557" s="3" t="str">
        <f ca="1">IFERROR(__xludf.DUMMYFUNCTION("""COMPUTED_VALUE"""),"2055-06-07T15:28:44.1377Z")</f>
        <v>2055-06-07T15:28:44.1377Z</v>
      </c>
      <c r="J557" s="3" t="str">
        <f ca="1">IFERROR(__xludf.DUMMYFUNCTION("""COMPUTED_VALUE"""),"2055-06-07T16:26:01.192Z")</f>
        <v>2055-06-07T16:26:01.192Z</v>
      </c>
      <c r="K557" s="3" t="str">
        <f ca="1">IFERROR(__xludf.DUMMYFUNCTION("""COMPUTED_VALUE"""),"2055-06-07T16:07:08.192Z")</f>
        <v>2055-06-07T16:07:08.192Z</v>
      </c>
      <c r="L557" s="3">
        <f ca="1">IFERROR(__xludf.DUMMYFUNCTION("""COMPUTED_VALUE"""),1)</f>
        <v>1</v>
      </c>
      <c r="M557" s="3">
        <f ca="1">IFERROR(__xludf.DUMMYFUNCTION("""COMPUTED_VALUE"""),0)</f>
        <v>0</v>
      </c>
      <c r="N557" s="3" t="str">
        <f ca="1">IFERROR(__xludf.DUMMYFUNCTION("""COMPUTED_VALUE"""),"2055-06-07T15:45:53.706285Z")</f>
        <v>2055-06-07T15:45:53.706285Z</v>
      </c>
      <c r="O557" s="3" t="str">
        <f ca="1">IFERROR(__xludf.DUMMYFUNCTION("""COMPUTED_VALUE"""),"2055-06-07T15:58:15.804434Z")</f>
        <v>2055-06-07T15:58:15.804434Z</v>
      </c>
      <c r="P557" s="3" t="str">
        <f ca="1">IFERROR(__xludf.DUMMYFUNCTION("""COMPUTED_VALUE"""),"2055-06-07T15:28:47.275063Z")</f>
        <v>2055-06-07T15:28:47.275063Z</v>
      </c>
      <c r="Q557" s="3">
        <f ca="1">IFERROR(__xludf.DUMMYFUNCTION("""COMPUTED_VALUE"""),0)</f>
        <v>0</v>
      </c>
      <c r="R557" s="3" t="str">
        <f ca="1">IFERROR(__xludf.DUMMYFUNCTION("""COMPUTED_VALUE"""),"2055-06-07T15:28:53.327996Z")</f>
        <v>2055-06-07T15:28:53.327996Z</v>
      </c>
      <c r="S557" s="3" t="str">
        <f ca="1">IFERROR(__xludf.DUMMYFUNCTION("""COMPUTED_VALUE"""),"2055-06-07T15:38:56.520582Z")</f>
        <v>2055-06-07T15:38:56.520582Z</v>
      </c>
      <c r="T557" s="3"/>
      <c r="U557" s="4">
        <f ca="1">IFERROR(__xludf.DUMMYFUNCTION("""COMPUTED_VALUE"""),56772)</f>
        <v>56772</v>
      </c>
      <c r="V557" s="3">
        <f ca="1">IFERROR(__xludf.DUMMYFUNCTION("""COMPUTED_VALUE"""),4.7)</f>
        <v>4.7</v>
      </c>
      <c r="W557" s="3">
        <f ca="1">IFERROR(__xludf.DUMMYFUNCTION("""COMPUTED_VALUE"""),2500)</f>
        <v>2500</v>
      </c>
      <c r="X557" s="3">
        <f ca="1">IFERROR(__xludf.DUMMYFUNCTION("""COMPUTED_VALUE"""),1762)</f>
        <v>1762</v>
      </c>
      <c r="Y557" s="3">
        <f ca="1">IFERROR(__xludf.DUMMYFUNCTION("""COMPUTED_VALUE"""),603)</f>
        <v>603</v>
      </c>
      <c r="Z557" s="3">
        <f ca="1">IFERROR(__xludf.DUMMYFUNCTION("""COMPUTED_VALUE"""),417)</f>
        <v>417</v>
      </c>
      <c r="AA557" s="3">
        <f ca="1">IFERROR(__xludf.DUMMYFUNCTION("""COMPUTED_VALUE"""),742)</f>
        <v>742</v>
      </c>
      <c r="AB557" s="3">
        <f ca="1">IFERROR(__xludf.DUMMYFUNCTION("""COMPUTED_VALUE"""),0)</f>
        <v>0</v>
      </c>
      <c r="AC557" s="3">
        <f ca="1">IFERROR(__xludf.DUMMYFUNCTION("""COMPUTED_VALUE"""),2)</f>
        <v>2</v>
      </c>
      <c r="AD557" s="3" t="str">
        <f ca="1">IFERROR(__xludf.DUMMYFUNCTION("""COMPUTED_VALUE"""),"on time")</f>
        <v>on time</v>
      </c>
      <c r="AE557" s="3" t="str">
        <f ca="1">IFERROR(__xludf.DUMMYFUNCTION("""COMPUTED_VALUE"""),"2055-06-07T11:45:53.706285Z")</f>
        <v>2055-06-07T11:45:53.706285Z</v>
      </c>
      <c r="AF557" s="3" t="str">
        <f ca="1">IFERROR(__xludf.DUMMYFUNCTION("""COMPUTED_VALUE"""),"2055-06-07T11:58:15.804434Z")</f>
        <v>2055-06-07T11:58:15.804434Z</v>
      </c>
      <c r="AG557" s="3" t="str">
        <f ca="1">IFERROR(__xludf.DUMMYFUNCTION("""COMPUTED_VALUE"""),"2055-06-07T11:28:47.275063Z")</f>
        <v>2055-06-07T11:28:47.275063Z</v>
      </c>
      <c r="AH557" s="3" t="str">
        <f ca="1">IFERROR(__xludf.DUMMYFUNCTION("""COMPUTED_VALUE"""),"2055-06-07T11:38:56.520582Z")</f>
        <v>2055-06-07T11:38:56.520582Z</v>
      </c>
      <c r="AI557" s="3">
        <f ca="1">IFERROR(__xludf.DUMMYFUNCTION("""COMPUTED_VALUE"""),4.89)</f>
        <v>4.8899999999999997</v>
      </c>
      <c r="AJ557" s="3">
        <f ca="1">IFERROR(__xludf.DUMMYFUNCTION("""COMPUTED_VALUE"""),1778)</f>
        <v>1778</v>
      </c>
      <c r="AK557" s="3">
        <f ca="1">IFERROR(__xludf.DUMMYFUNCTION("""COMPUTED_VALUE"""),5138)</f>
        <v>5138</v>
      </c>
      <c r="AL557" s="3">
        <f ca="1">IFERROR(__xludf.DUMMYFUNCTION("""COMPUTED_VALUE"""),314)</f>
        <v>314</v>
      </c>
    </row>
    <row r="558" spans="1:38" ht="13">
      <c r="A558" s="3">
        <f ca="1">IFERROR(__xludf.DUMMYFUNCTION("""COMPUTED_VALUE"""),1112)</f>
        <v>1112</v>
      </c>
      <c r="B558" s="3"/>
      <c r="C558" s="3">
        <f ca="1">IFERROR(__xludf.DUMMYFUNCTION("""COMPUTED_VALUE"""),4001)</f>
        <v>4001</v>
      </c>
      <c r="D558" s="3" t="str">
        <f ca="1">IFERROR(__xludf.DUMMYFUNCTION("""COMPUTED_VALUE"""),"Dashattan")</f>
        <v>Dashattan</v>
      </c>
      <c r="E558" s="3" t="str">
        <f ca="1">IFERROR(__xludf.DUMMYFUNCTION("""COMPUTED_VALUE"""),"Galaxy A")</f>
        <v>Galaxy A</v>
      </c>
      <c r="F558" s="3" t="str">
        <f ca="1">IFERROR(__xludf.DUMMYFUNCTION("""COMPUTED_VALUE"""),"Carlee")</f>
        <v>Carlee</v>
      </c>
      <c r="G558" s="3">
        <f ca="1">IFERROR(__xludf.DUMMYFUNCTION("""COMPUTED_VALUE"""),0)</f>
        <v>0</v>
      </c>
      <c r="H558" s="3" t="str">
        <f ca="1">IFERROR(__xludf.DUMMYFUNCTION("""COMPUTED_VALUE"""),"car")</f>
        <v>car</v>
      </c>
      <c r="I558" s="3" t="str">
        <f ca="1">IFERROR(__xludf.DUMMYFUNCTION("""COMPUTED_VALUE"""),"2055-06-10T13:51:05.192249Z")</f>
        <v>2055-06-10T13:51:05.192249Z</v>
      </c>
      <c r="J558" s="3" t="str">
        <f ca="1">IFERROR(__xludf.DUMMYFUNCTION("""COMPUTED_VALUE"""),"2055-06-10T14:31:43.273Z")</f>
        <v>2055-06-10T14:31:43.273Z</v>
      </c>
      <c r="K558" s="3" t="str">
        <f ca="1">IFERROR(__xludf.DUMMYFUNCTION("""COMPUTED_VALUE"""),"2055-06-10T14:12:50.273Z")</f>
        <v>2055-06-10T14:12:50.273Z</v>
      </c>
      <c r="L558" s="3">
        <f ca="1">IFERROR(__xludf.DUMMYFUNCTION("""COMPUTED_VALUE"""),1)</f>
        <v>1</v>
      </c>
      <c r="M558" s="3">
        <f ca="1">IFERROR(__xludf.DUMMYFUNCTION("""COMPUTED_VALUE"""),0)</f>
        <v>0</v>
      </c>
      <c r="N558" s="3" t="str">
        <f ca="1">IFERROR(__xludf.DUMMYFUNCTION("""COMPUTED_VALUE"""),"2055-06-10T14:27:15.190972Z")</f>
        <v>2055-06-10T14:27:15.190972Z</v>
      </c>
      <c r="O558" s="3" t="str">
        <f ca="1">IFERROR(__xludf.DUMMYFUNCTION("""COMPUTED_VALUE"""),"2055-06-10T14:42:02.498543Z")</f>
        <v>2055-06-10T14:42:02.498543Z</v>
      </c>
      <c r="P558" s="3" t="str">
        <f ca="1">IFERROR(__xludf.DUMMYFUNCTION("""COMPUTED_VALUE"""),"2055-06-10T13:52:34.087565Z")</f>
        <v>2055-06-10T13:52:34.087565Z</v>
      </c>
      <c r="Q558" s="3">
        <f ca="1">IFERROR(__xludf.DUMMYFUNCTION("""COMPUTED_VALUE"""),0)</f>
        <v>0</v>
      </c>
      <c r="R558" s="3" t="str">
        <f ca="1">IFERROR(__xludf.DUMMYFUNCTION("""COMPUTED_VALUE"""),"2055-06-10T13:52:40.431234Z")</f>
        <v>2055-06-10T13:52:40.431234Z</v>
      </c>
      <c r="S558" s="3" t="str">
        <f ca="1">IFERROR(__xludf.DUMMYFUNCTION("""COMPUTED_VALUE"""),"2055-06-10T14:14:46.116791Z")</f>
        <v>2055-06-10T14:14:46.116791Z</v>
      </c>
      <c r="T558" s="3"/>
      <c r="U558" s="4">
        <f ca="1">IFERROR(__xludf.DUMMYFUNCTION("""COMPUTED_VALUE"""),56775)</f>
        <v>56775</v>
      </c>
      <c r="V558" s="3">
        <f ca="1">IFERROR(__xludf.DUMMYFUNCTION("""COMPUTED_VALUE"""),3.979211633)</f>
        <v>3.9792116329999998</v>
      </c>
      <c r="W558" s="3">
        <f ca="1">IFERROR(__xludf.DUMMYFUNCTION("""COMPUTED_VALUE"""),2500)</f>
        <v>2500</v>
      </c>
      <c r="X558" s="3">
        <f ca="1">IFERROR(__xludf.DUMMYFUNCTION("""COMPUTED_VALUE"""),2962)</f>
        <v>2962</v>
      </c>
      <c r="Y558" s="3">
        <f ca="1">IFERROR(__xludf.DUMMYFUNCTION("""COMPUTED_VALUE"""),1326)</f>
        <v>1326</v>
      </c>
      <c r="Z558" s="3">
        <f ca="1">IFERROR(__xludf.DUMMYFUNCTION("""COMPUTED_VALUE"""),749)</f>
        <v>749</v>
      </c>
      <c r="AA558" s="3">
        <f ca="1">IFERROR(__xludf.DUMMYFUNCTION("""COMPUTED_VALUE"""),887)</f>
        <v>887</v>
      </c>
      <c r="AB558" s="3">
        <f ca="1">IFERROR(__xludf.DUMMYFUNCTION("""COMPUTED_VALUE"""),0)</f>
        <v>0</v>
      </c>
      <c r="AC558" s="3">
        <f ca="1">IFERROR(__xludf.DUMMYFUNCTION("""COMPUTED_VALUE"""),5)</f>
        <v>5</v>
      </c>
      <c r="AD558" s="3" t="str">
        <f ca="1">IFERROR(__xludf.DUMMYFUNCTION("""COMPUTED_VALUE"""),"late")</f>
        <v>late</v>
      </c>
      <c r="AE558" s="3" t="str">
        <f ca="1">IFERROR(__xludf.DUMMYFUNCTION("""COMPUTED_VALUE"""),"2055-06-10T10:27:15.190972Z")</f>
        <v>2055-06-10T10:27:15.190972Z</v>
      </c>
      <c r="AF558" s="3" t="str">
        <f ca="1">IFERROR(__xludf.DUMMYFUNCTION("""COMPUTED_VALUE"""),"2055-06-10T10:42:02.498543Z")</f>
        <v>2055-06-10T10:42:02.498543Z</v>
      </c>
      <c r="AG558" s="3" t="str">
        <f ca="1">IFERROR(__xludf.DUMMYFUNCTION("""COMPUTED_VALUE"""),"2055-06-10T09:52:34.087565Z")</f>
        <v>2055-06-10T09:52:34.087565Z</v>
      </c>
      <c r="AH558" s="3" t="str">
        <f ca="1">IFERROR(__xludf.DUMMYFUNCTION("""COMPUTED_VALUE"""),"2055-06-10T10:14:46.116791Z")</f>
        <v>2055-06-10T10:14:46.116791Z</v>
      </c>
      <c r="AI558" s="3">
        <f ca="1">IFERROR(__xludf.DUMMYFUNCTION("""COMPUTED_VALUE"""),4.52)</f>
        <v>4.5199999999999996</v>
      </c>
      <c r="AJ558" s="3">
        <f ca="1">IFERROR(__xludf.DUMMYFUNCTION("""COMPUTED_VALUE"""),269)</f>
        <v>269</v>
      </c>
      <c r="AK558" s="3">
        <f ca="1">IFERROR(__xludf.DUMMYFUNCTION("""COMPUTED_VALUE"""),895)</f>
        <v>895</v>
      </c>
      <c r="AL558" s="3">
        <f ca="1">IFERROR(__xludf.DUMMYFUNCTION("""COMPUTED_VALUE"""),23)</f>
        <v>23</v>
      </c>
    </row>
    <row r="559" spans="1:38" ht="13">
      <c r="A559" s="3">
        <f ca="1">IFERROR(__xludf.DUMMYFUNCTION("""COMPUTED_VALUE"""),77)</f>
        <v>77</v>
      </c>
      <c r="B559" s="3"/>
      <c r="C559" s="3">
        <f ca="1">IFERROR(__xludf.DUMMYFUNCTION("""COMPUTED_VALUE"""),4050)</f>
        <v>4050</v>
      </c>
      <c r="D559" s="3" t="str">
        <f ca="1">IFERROR(__xludf.DUMMYFUNCTION("""COMPUTED_VALUE"""),"Doorlanta")</f>
        <v>Doorlanta</v>
      </c>
      <c r="E559" s="3" t="str">
        <f ca="1">IFERROR(__xludf.DUMMYFUNCTION("""COMPUTED_VALUE"""),"Galaxy A")</f>
        <v>Galaxy A</v>
      </c>
      <c r="F559" s="3" t="str">
        <f ca="1">IFERROR(__xludf.DUMMYFUNCTION("""COMPUTED_VALUE"""),"Josh")</f>
        <v>Josh</v>
      </c>
      <c r="G559" s="3">
        <f ca="1">IFERROR(__xludf.DUMMYFUNCTION("""COMPUTED_VALUE"""),0)</f>
        <v>0</v>
      </c>
      <c r="H559" s="3" t="str">
        <f ca="1">IFERROR(__xludf.DUMMYFUNCTION("""COMPUTED_VALUE"""),"car")</f>
        <v>car</v>
      </c>
      <c r="I559" s="3" t="str">
        <f ca="1">IFERROR(__xludf.DUMMYFUNCTION("""COMPUTED_VALUE"""),"2055-06-01T23:17:47.573563Z")</f>
        <v>2055-06-01T23:17:47.573563Z</v>
      </c>
      <c r="J559" s="3" t="str">
        <f ca="1">IFERROR(__xludf.DUMMYFUNCTION("""COMPUTED_VALUE"""),"2055-06-02T00:02:47.641Z")</f>
        <v>2055-06-02T00:02:47.641Z</v>
      </c>
      <c r="K559" s="3" t="str">
        <f ca="1">IFERROR(__xludf.DUMMYFUNCTION("""COMPUTED_VALUE"""),"2055-06-01T23:53:26.641Z")</f>
        <v>2055-06-01T23:53:26.641Z</v>
      </c>
      <c r="L559" s="3">
        <f ca="1">IFERROR(__xludf.DUMMYFUNCTION("""COMPUTED_VALUE"""),1)</f>
        <v>1</v>
      </c>
      <c r="M559" s="3">
        <f ca="1">IFERROR(__xludf.DUMMYFUNCTION("""COMPUTED_VALUE"""),0)</f>
        <v>0</v>
      </c>
      <c r="N559" s="3" t="str">
        <f ca="1">IFERROR(__xludf.DUMMYFUNCTION("""COMPUTED_VALUE"""),"2055-06-01T23:40:39.998272Z")</f>
        <v>2055-06-01T23:40:39.998272Z</v>
      </c>
      <c r="O559" s="3" t="str">
        <f ca="1">IFERROR(__xludf.DUMMYFUNCTION("""COMPUTED_VALUE"""),"2055-06-02T00:01:04.803425Z")</f>
        <v>2055-06-02T00:01:04.803425Z</v>
      </c>
      <c r="P559" s="3" t="str">
        <f ca="1">IFERROR(__xludf.DUMMYFUNCTION("""COMPUTED_VALUE"""),"2055-06-01T23:18:07.408867Z")</f>
        <v>2055-06-01T23:18:07.408867Z</v>
      </c>
      <c r="Q559" s="3">
        <f ca="1">IFERROR(__xludf.DUMMYFUNCTION("""COMPUTED_VALUE"""),0)</f>
        <v>0</v>
      </c>
      <c r="R559" s="3" t="str">
        <f ca="1">IFERROR(__xludf.DUMMYFUNCTION("""COMPUTED_VALUE"""),"2055-06-01T23:18:21.280806Z")</f>
        <v>2055-06-01T23:18:21.280806Z</v>
      </c>
      <c r="S559" s="3" t="str">
        <f ca="1">IFERROR(__xludf.DUMMYFUNCTION("""COMPUTED_VALUE"""),"2055-06-01T23:37:15.415355Z")</f>
        <v>2055-06-01T23:37:15.415355Z</v>
      </c>
      <c r="T559" s="3"/>
      <c r="U559" s="4">
        <f ca="1">IFERROR(__xludf.DUMMYFUNCTION("""COMPUTED_VALUE"""),56766)</f>
        <v>56766</v>
      </c>
      <c r="V559" s="3">
        <f ca="1">IFERROR(__xludf.DUMMYFUNCTION("""COMPUTED_VALUE"""),4.6)</f>
        <v>4.5999999999999996</v>
      </c>
      <c r="W559" s="3">
        <f ca="1">IFERROR(__xludf.DUMMYFUNCTION("""COMPUTED_VALUE"""),2500)</f>
        <v>2500</v>
      </c>
      <c r="X559" s="3">
        <f ca="1">IFERROR(__xludf.DUMMYFUNCTION("""COMPUTED_VALUE"""),2563)</f>
        <v>2563</v>
      </c>
      <c r="Y559" s="3">
        <f ca="1">IFERROR(__xludf.DUMMYFUNCTION("""COMPUTED_VALUE"""),1134)</f>
        <v>1134</v>
      </c>
      <c r="Z559" s="3">
        <f ca="1">IFERROR(__xludf.DUMMYFUNCTION("""COMPUTED_VALUE"""),204)</f>
        <v>204</v>
      </c>
      <c r="AA559" s="3">
        <f ca="1">IFERROR(__xludf.DUMMYFUNCTION("""COMPUTED_VALUE"""),1225)</f>
        <v>1225</v>
      </c>
      <c r="AB559" s="3">
        <f ca="1">IFERROR(__xludf.DUMMYFUNCTION("""COMPUTED_VALUE"""),0)</f>
        <v>0</v>
      </c>
      <c r="AC559" s="3">
        <f ca="1">IFERROR(__xludf.DUMMYFUNCTION("""COMPUTED_VALUE"""),2)</f>
        <v>2</v>
      </c>
      <c r="AD559" s="3" t="str">
        <f ca="1">IFERROR(__xludf.DUMMYFUNCTION("""COMPUTED_VALUE"""),"late")</f>
        <v>late</v>
      </c>
      <c r="AE559" s="3" t="str">
        <f ca="1">IFERROR(__xludf.DUMMYFUNCTION("""COMPUTED_VALUE"""),"2055-06-01T19:40:39.998272Z")</f>
        <v>2055-06-01T19:40:39.998272Z</v>
      </c>
      <c r="AF559" s="3" t="str">
        <f ca="1">IFERROR(__xludf.DUMMYFUNCTION("""COMPUTED_VALUE"""),"2055-06-01T20:01:04.803425Z")</f>
        <v>2055-06-01T20:01:04.803425Z</v>
      </c>
      <c r="AG559" s="3" t="str">
        <f ca="1">IFERROR(__xludf.DUMMYFUNCTION("""COMPUTED_VALUE"""),"2055-06-01T19:18:07.408867Z")</f>
        <v>2055-06-01T19:18:07.408867Z</v>
      </c>
      <c r="AH559" s="3" t="str">
        <f ca="1">IFERROR(__xludf.DUMMYFUNCTION("""COMPUTED_VALUE"""),"2055-06-01T19:37:15.415355Z")</f>
        <v>2055-06-01T19:37:15.415355Z</v>
      </c>
      <c r="AI559" s="3">
        <f ca="1">IFERROR(__xludf.DUMMYFUNCTION("""COMPUTED_VALUE"""),4.77)</f>
        <v>4.7699999999999996</v>
      </c>
      <c r="AJ559" s="3">
        <f ca="1">IFERROR(__xludf.DUMMYFUNCTION("""COMPUTED_VALUE"""),426)</f>
        <v>426</v>
      </c>
      <c r="AK559" s="3">
        <f ca="1">IFERROR(__xludf.DUMMYFUNCTION("""COMPUTED_VALUE"""),1226)</f>
        <v>1226</v>
      </c>
      <c r="AL559" s="3">
        <f ca="1">IFERROR(__xludf.DUMMYFUNCTION("""COMPUTED_VALUE"""),85)</f>
        <v>85</v>
      </c>
    </row>
    <row r="560" spans="1:38" ht="13">
      <c r="A560" s="3">
        <f ca="1">IFERROR(__xludf.DUMMYFUNCTION("""COMPUTED_VALUE"""),25)</f>
        <v>25</v>
      </c>
      <c r="B560" s="3">
        <f ca="1">IFERROR(__xludf.DUMMYFUNCTION("""COMPUTED_VALUE"""),5)</f>
        <v>5</v>
      </c>
      <c r="C560" s="3">
        <f ca="1">IFERROR(__xludf.DUMMYFUNCTION("""COMPUTED_VALUE"""),4050)</f>
        <v>4050</v>
      </c>
      <c r="D560" s="3" t="str">
        <f ca="1">IFERROR(__xludf.DUMMYFUNCTION("""COMPUTED_VALUE"""),"Doorlanta")</f>
        <v>Doorlanta</v>
      </c>
      <c r="E560" s="3" t="str">
        <f ca="1">IFERROR(__xludf.DUMMYFUNCTION("""COMPUTED_VALUE"""),"Galaxy A")</f>
        <v>Galaxy A</v>
      </c>
      <c r="F560" s="3" t="str">
        <f ca="1">IFERROR(__xludf.DUMMYFUNCTION("""COMPUTED_VALUE"""),"Katelynn")</f>
        <v>Katelynn</v>
      </c>
      <c r="G560" s="3">
        <f ca="1">IFERROR(__xludf.DUMMYFUNCTION("""COMPUTED_VALUE"""),0)</f>
        <v>0</v>
      </c>
      <c r="H560" s="3" t="str">
        <f ca="1">IFERROR(__xludf.DUMMYFUNCTION("""COMPUTED_VALUE"""),"car")</f>
        <v>car</v>
      </c>
      <c r="I560" s="3" t="str">
        <f ca="1">IFERROR(__xludf.DUMMYFUNCTION("""COMPUTED_VALUE"""),"2055-06-01T17:21:50.589708Z")</f>
        <v>2055-06-01T17:21:50.589708Z</v>
      </c>
      <c r="J560" s="3" t="str">
        <f ca="1">IFERROR(__xludf.DUMMYFUNCTION("""COMPUTED_VALUE"""),"2055-06-01T18:16:50.687Z")</f>
        <v>2055-06-01T18:16:50.687Z</v>
      </c>
      <c r="K560" s="3" t="str">
        <f ca="1">IFERROR(__xludf.DUMMYFUNCTION("""COMPUTED_VALUE"""),"2055-06-01T17:48:51.687Z")</f>
        <v>2055-06-01T17:48:51.687Z</v>
      </c>
      <c r="L560" s="3">
        <f ca="1">IFERROR(__xludf.DUMMYFUNCTION("""COMPUTED_VALUE"""),1)</f>
        <v>1</v>
      </c>
      <c r="M560" s="3">
        <f ca="1">IFERROR(__xludf.DUMMYFUNCTION("""COMPUTED_VALUE"""),0)</f>
        <v>0</v>
      </c>
      <c r="N560" s="3" t="str">
        <f ca="1">IFERROR(__xludf.DUMMYFUNCTION("""COMPUTED_VALUE"""),"2055-06-01T17:41:53.02338Z")</f>
        <v>2055-06-01T17:41:53.02338Z</v>
      </c>
      <c r="O560" s="3" t="str">
        <f ca="1">IFERROR(__xludf.DUMMYFUNCTION("""COMPUTED_VALUE"""),"2055-06-01T17:50:42.450676Z")</f>
        <v>2055-06-01T17:50:42.450676Z</v>
      </c>
      <c r="P560" s="3" t="str">
        <f ca="1">IFERROR(__xludf.DUMMYFUNCTION("""COMPUTED_VALUE"""),"2055-06-01T17:23:07.264541Z")</f>
        <v>2055-06-01T17:23:07.264541Z</v>
      </c>
      <c r="Q560" s="3">
        <f ca="1">IFERROR(__xludf.DUMMYFUNCTION("""COMPUTED_VALUE"""),0)</f>
        <v>0</v>
      </c>
      <c r="R560" s="3" t="str">
        <f ca="1">IFERROR(__xludf.DUMMYFUNCTION("""COMPUTED_VALUE"""),"2055-06-01T17:23:37.026678Z")</f>
        <v>2055-06-01T17:23:37.026678Z</v>
      </c>
      <c r="S560" s="3" t="str">
        <f ca="1">IFERROR(__xludf.DUMMYFUNCTION("""COMPUTED_VALUE"""),"2055-06-01T17:42:43.040628Z")</f>
        <v>2055-06-01T17:42:43.040628Z</v>
      </c>
      <c r="T560" s="3"/>
      <c r="U560" s="4">
        <f ca="1">IFERROR(__xludf.DUMMYFUNCTION("""COMPUTED_VALUE"""),56766)</f>
        <v>56766</v>
      </c>
      <c r="V560" s="3">
        <f ca="1">IFERROR(__xludf.DUMMYFUNCTION("""COMPUTED_VALUE"""),4.5)</f>
        <v>4.5</v>
      </c>
      <c r="W560" s="3">
        <f ca="1">IFERROR(__xludf.DUMMYFUNCTION("""COMPUTED_VALUE"""),2500)</f>
        <v>2500</v>
      </c>
      <c r="X560" s="3">
        <f ca="1">IFERROR(__xludf.DUMMYFUNCTION("""COMPUTED_VALUE"""),1625)</f>
        <v>1625</v>
      </c>
      <c r="Y560" s="3">
        <f ca="1">IFERROR(__xludf.DUMMYFUNCTION("""COMPUTED_VALUE"""),1146)</f>
        <v>1146</v>
      </c>
      <c r="Z560" s="3"/>
      <c r="AA560" s="3">
        <f ca="1">IFERROR(__xludf.DUMMYFUNCTION("""COMPUTED_VALUE"""),529)</f>
        <v>529</v>
      </c>
      <c r="AB560" s="3">
        <f ca="1">IFERROR(__xludf.DUMMYFUNCTION("""COMPUTED_VALUE"""),0)</f>
        <v>0</v>
      </c>
      <c r="AC560" s="3">
        <f ca="1">IFERROR(__xludf.DUMMYFUNCTION("""COMPUTED_VALUE"""),2)</f>
        <v>2</v>
      </c>
      <c r="AD560" s="3" t="str">
        <f ca="1">IFERROR(__xludf.DUMMYFUNCTION("""COMPUTED_VALUE"""),"late")</f>
        <v>late</v>
      </c>
      <c r="AE560" s="3" t="str">
        <f ca="1">IFERROR(__xludf.DUMMYFUNCTION("""COMPUTED_VALUE"""),"2055-06-01T13:41:53.02338Z")</f>
        <v>2055-06-01T13:41:53.02338Z</v>
      </c>
      <c r="AF560" s="3" t="str">
        <f ca="1">IFERROR(__xludf.DUMMYFUNCTION("""COMPUTED_VALUE"""),"2055-06-01T13:50:42.450676Z")</f>
        <v>2055-06-01T13:50:42.450676Z</v>
      </c>
      <c r="AG560" s="3" t="str">
        <f ca="1">IFERROR(__xludf.DUMMYFUNCTION("""COMPUTED_VALUE"""),"2055-06-01T13:23:07.264541Z")</f>
        <v>2055-06-01T13:23:07.264541Z</v>
      </c>
      <c r="AH560" s="3" t="str">
        <f ca="1">IFERROR(__xludf.DUMMYFUNCTION("""COMPUTED_VALUE"""),"2055-06-01T13:42:43.040628Z")</f>
        <v>2055-06-01T13:42:43.040628Z</v>
      </c>
      <c r="AI560" s="3">
        <f ca="1">IFERROR(__xludf.DUMMYFUNCTION("""COMPUTED_VALUE"""),4.7)</f>
        <v>4.7</v>
      </c>
      <c r="AJ560" s="3">
        <f ca="1">IFERROR(__xludf.DUMMYFUNCTION("""COMPUTED_VALUE"""),1261)</f>
        <v>1261</v>
      </c>
      <c r="AK560" s="3">
        <f ca="1">IFERROR(__xludf.DUMMYFUNCTION("""COMPUTED_VALUE"""),3264)</f>
        <v>3264</v>
      </c>
      <c r="AL560" s="3">
        <f ca="1">IFERROR(__xludf.DUMMYFUNCTION("""COMPUTED_VALUE"""),232)</f>
        <v>232</v>
      </c>
    </row>
    <row r="561" spans="1:38" ht="13">
      <c r="A561" s="3">
        <f ca="1">IFERROR(__xludf.DUMMYFUNCTION("""COMPUTED_VALUE"""),667)</f>
        <v>667</v>
      </c>
      <c r="B561" s="3">
        <f ca="1">IFERROR(__xludf.DUMMYFUNCTION("""COMPUTED_VALUE"""),5)</f>
        <v>5</v>
      </c>
      <c r="C561" s="3">
        <f ca="1">IFERROR(__xludf.DUMMYFUNCTION("""COMPUTED_VALUE"""),4050)</f>
        <v>4050</v>
      </c>
      <c r="D561" s="3" t="str">
        <f ca="1">IFERROR(__xludf.DUMMYFUNCTION("""COMPUTED_VALUE"""),"Doorlanta")</f>
        <v>Doorlanta</v>
      </c>
      <c r="E561" s="3" t="str">
        <f ca="1">IFERROR(__xludf.DUMMYFUNCTION("""COMPUTED_VALUE"""),"Galaxy A")</f>
        <v>Galaxy A</v>
      </c>
      <c r="F561" s="3" t="str">
        <f ca="1">IFERROR(__xludf.DUMMYFUNCTION("""COMPUTED_VALUE"""),"Hanna")</f>
        <v>Hanna</v>
      </c>
      <c r="G561" s="3">
        <f ca="1">IFERROR(__xludf.DUMMYFUNCTION("""COMPUTED_VALUE"""),0)</f>
        <v>0</v>
      </c>
      <c r="H561" s="3" t="str">
        <f ca="1">IFERROR(__xludf.DUMMYFUNCTION("""COMPUTED_VALUE"""),"car")</f>
        <v>car</v>
      </c>
      <c r="I561" s="3" t="str">
        <f ca="1">IFERROR(__xludf.DUMMYFUNCTION("""COMPUTED_VALUE"""),"2055-06-05T23:08:44.673791Z")</f>
        <v>2055-06-05T23:08:44.673791Z</v>
      </c>
      <c r="J561" s="3" t="str">
        <f ca="1">IFERROR(__xludf.DUMMYFUNCTION("""COMPUTED_VALUE"""),"2055-06-06T00:14:09.742Z")</f>
        <v>2055-06-06T00:14:09.742Z</v>
      </c>
      <c r="K561" s="3" t="str">
        <f ca="1">IFERROR(__xludf.DUMMYFUNCTION("""COMPUTED_VALUE"""),"2055-06-05T23:49:28.742Z")</f>
        <v>2055-06-05T23:49:28.742Z</v>
      </c>
      <c r="L561" s="3">
        <f ca="1">IFERROR(__xludf.DUMMYFUNCTION("""COMPUTED_VALUE"""),1)</f>
        <v>1</v>
      </c>
      <c r="M561" s="3">
        <f ca="1">IFERROR(__xludf.DUMMYFUNCTION("""COMPUTED_VALUE"""),0)</f>
        <v>0</v>
      </c>
      <c r="N561" s="3" t="str">
        <f ca="1">IFERROR(__xludf.DUMMYFUNCTION("""COMPUTED_VALUE"""),"2055-06-05T23:54:19.730841Z")</f>
        <v>2055-06-05T23:54:19.730841Z</v>
      </c>
      <c r="O561" s="3" t="str">
        <f ca="1">IFERROR(__xludf.DUMMYFUNCTION("""COMPUTED_VALUE"""),"2055-06-06T00:07:23.966876Z")</f>
        <v>2055-06-06T00:07:23.966876Z</v>
      </c>
      <c r="P561" s="3" t="str">
        <f ca="1">IFERROR(__xludf.DUMMYFUNCTION("""COMPUTED_VALUE"""),"2055-06-05T23:14:07.30987Z")</f>
        <v>2055-06-05T23:14:07.30987Z</v>
      </c>
      <c r="Q561" s="3">
        <f ca="1">IFERROR(__xludf.DUMMYFUNCTION("""COMPUTED_VALUE"""),0)</f>
        <v>0</v>
      </c>
      <c r="R561" s="3" t="str">
        <f ca="1">IFERROR(__xludf.DUMMYFUNCTION("""COMPUTED_VALUE"""),"2055-06-05T23:15:15.090441Z")</f>
        <v>2055-06-05T23:15:15.090441Z</v>
      </c>
      <c r="S561" s="3" t="str">
        <f ca="1">IFERROR(__xludf.DUMMYFUNCTION("""COMPUTED_VALUE"""),"2055-06-05T23:53:13.676465Z")</f>
        <v>2055-06-05T23:53:13.676465Z</v>
      </c>
      <c r="T561" s="3"/>
      <c r="U561" s="4">
        <f ca="1">IFERROR(__xludf.DUMMYFUNCTION("""COMPUTED_VALUE"""),56770)</f>
        <v>56770</v>
      </c>
      <c r="V561" s="3">
        <f ca="1">IFERROR(__xludf.DUMMYFUNCTION("""COMPUTED_VALUE"""),4.6)</f>
        <v>4.5999999999999996</v>
      </c>
      <c r="W561" s="3">
        <f ca="1">IFERROR(__xludf.DUMMYFUNCTION("""COMPUTED_VALUE"""),2500)</f>
        <v>2500</v>
      </c>
      <c r="X561" s="3">
        <f ca="1">IFERROR(__xludf.DUMMYFUNCTION("""COMPUTED_VALUE"""),3128)</f>
        <v>3128</v>
      </c>
      <c r="Y561" s="3">
        <f ca="1">IFERROR(__xludf.DUMMYFUNCTION("""COMPUTED_VALUE"""),2278)</f>
        <v>2278</v>
      </c>
      <c r="Z561" s="3">
        <f ca="1">IFERROR(__xludf.DUMMYFUNCTION("""COMPUTED_VALUE"""),66)</f>
        <v>66</v>
      </c>
      <c r="AA561" s="3">
        <f ca="1">IFERROR(__xludf.DUMMYFUNCTION("""COMPUTED_VALUE"""),784)</f>
        <v>784</v>
      </c>
      <c r="AB561" s="3">
        <f ca="1">IFERROR(__xludf.DUMMYFUNCTION("""COMPUTED_VALUE"""),1)</f>
        <v>1</v>
      </c>
      <c r="AC561" s="3">
        <f ca="1">IFERROR(__xludf.DUMMYFUNCTION("""COMPUTED_VALUE"""),2)</f>
        <v>2</v>
      </c>
      <c r="AD561" s="3"/>
      <c r="AE561" s="3" t="str">
        <f ca="1">IFERROR(__xludf.DUMMYFUNCTION("""COMPUTED_VALUE"""),"2055-06-05T19:54:19.730841Z")</f>
        <v>2055-06-05T19:54:19.730841Z</v>
      </c>
      <c r="AF561" s="3" t="str">
        <f ca="1">IFERROR(__xludf.DUMMYFUNCTION("""COMPUTED_VALUE"""),"2055-06-05T20:07:23.966876Z")</f>
        <v>2055-06-05T20:07:23.966876Z</v>
      </c>
      <c r="AG561" s="3" t="str">
        <f ca="1">IFERROR(__xludf.DUMMYFUNCTION("""COMPUTED_VALUE"""),"2055-06-05T19:14:07.30987Z")</f>
        <v>2055-06-05T19:14:07.30987Z</v>
      </c>
      <c r="AH561" s="3" t="str">
        <f ca="1">IFERROR(__xludf.DUMMYFUNCTION("""COMPUTED_VALUE"""),"2055-06-05T19:53:13.676465Z")</f>
        <v>2055-06-05T19:53:13.676465Z</v>
      </c>
      <c r="AI561" s="3">
        <f ca="1">IFERROR(__xludf.DUMMYFUNCTION("""COMPUTED_VALUE"""),4.79)</f>
        <v>4.79</v>
      </c>
      <c r="AJ561" s="3">
        <f ca="1">IFERROR(__xludf.DUMMYFUNCTION("""COMPUTED_VALUE"""),1007)</f>
        <v>1007</v>
      </c>
      <c r="AK561" s="3">
        <f ca="1">IFERROR(__xludf.DUMMYFUNCTION("""COMPUTED_VALUE"""),2899)</f>
        <v>2899</v>
      </c>
      <c r="AL561" s="3">
        <f ca="1">IFERROR(__xludf.DUMMYFUNCTION("""COMPUTED_VALUE"""),1301)</f>
        <v>1301</v>
      </c>
    </row>
    <row r="562" spans="1:38" ht="13">
      <c r="A562" s="3">
        <f ca="1">IFERROR(__xludf.DUMMYFUNCTION("""COMPUTED_VALUE"""),567)</f>
        <v>567</v>
      </c>
      <c r="B562" s="3"/>
      <c r="C562" s="3">
        <f ca="1">IFERROR(__xludf.DUMMYFUNCTION("""COMPUTED_VALUE"""),4001)</f>
        <v>4001</v>
      </c>
      <c r="D562" s="3" t="str">
        <f ca="1">IFERROR(__xludf.DUMMYFUNCTION("""COMPUTED_VALUE"""),"Dashattan")</f>
        <v>Dashattan</v>
      </c>
      <c r="E562" s="3" t="str">
        <f ca="1">IFERROR(__xludf.DUMMYFUNCTION("""COMPUTED_VALUE"""),"Galaxy A")</f>
        <v>Galaxy A</v>
      </c>
      <c r="F562" s="3" t="str">
        <f ca="1">IFERROR(__xludf.DUMMYFUNCTION("""COMPUTED_VALUE"""),"KC")</f>
        <v>KC</v>
      </c>
      <c r="G562" s="3">
        <f ca="1">IFERROR(__xludf.DUMMYFUNCTION("""COMPUTED_VALUE"""),0)</f>
        <v>0</v>
      </c>
      <c r="H562" s="3" t="str">
        <f ca="1">IFERROR(__xludf.DUMMYFUNCTION("""COMPUTED_VALUE"""),"car")</f>
        <v>car</v>
      </c>
      <c r="I562" s="3" t="str">
        <f ca="1">IFERROR(__xludf.DUMMYFUNCTION("""COMPUTED_VALUE"""),"2055-06-05T16:44:19.425004Z")</f>
        <v>2055-06-05T16:44:19.425004Z</v>
      </c>
      <c r="J562" s="3" t="str">
        <f ca="1">IFERROR(__xludf.DUMMYFUNCTION("""COMPUTED_VALUE"""),"2055-06-05T17:59:16.485Z")</f>
        <v>2055-06-05T17:59:16.485Z</v>
      </c>
      <c r="K562" s="3" t="str">
        <f ca="1">IFERROR(__xludf.DUMMYFUNCTION("""COMPUTED_VALUE"""),"2055-06-05T17:37:22.485Z")</f>
        <v>2055-06-05T17:37:22.485Z</v>
      </c>
      <c r="L562" s="3">
        <f ca="1">IFERROR(__xludf.DUMMYFUNCTION("""COMPUTED_VALUE"""),1)</f>
        <v>1</v>
      </c>
      <c r="M562" s="3">
        <f ca="1">IFERROR(__xludf.DUMMYFUNCTION("""COMPUTED_VALUE"""),0)</f>
        <v>0</v>
      </c>
      <c r="N562" s="3" t="str">
        <f ca="1">IFERROR(__xludf.DUMMYFUNCTION("""COMPUTED_VALUE"""),"2055-06-05T17:08:46.850005Z")</f>
        <v>2055-06-05T17:08:46.850005Z</v>
      </c>
      <c r="O562" s="3" t="str">
        <f ca="1">IFERROR(__xludf.DUMMYFUNCTION("""COMPUTED_VALUE"""),"2055-06-05T17:14:44.491394Z")</f>
        <v>2055-06-05T17:14:44.491394Z</v>
      </c>
      <c r="P562" s="3" t="str">
        <f ca="1">IFERROR(__xludf.DUMMYFUNCTION("""COMPUTED_VALUE"""),"2055-06-05T16:53:54.955682Z")</f>
        <v>2055-06-05T16:53:54.955682Z</v>
      </c>
      <c r="Q562" s="3">
        <f ca="1">IFERROR(__xludf.DUMMYFUNCTION("""COMPUTED_VALUE"""),0)</f>
        <v>0</v>
      </c>
      <c r="R562" s="3" t="str">
        <f ca="1">IFERROR(__xludf.DUMMYFUNCTION("""COMPUTED_VALUE"""),"2055-06-05T16:55:04.263751Z")</f>
        <v>2055-06-05T16:55:04.263751Z</v>
      </c>
      <c r="S562" s="3" t="str">
        <f ca="1">IFERROR(__xludf.DUMMYFUNCTION("""COMPUTED_VALUE"""),"2055-06-05T17:05:42.56699Z")</f>
        <v>2055-06-05T17:05:42.56699Z</v>
      </c>
      <c r="T562" s="3"/>
      <c r="U562" s="4">
        <f ca="1">IFERROR(__xludf.DUMMYFUNCTION("""COMPUTED_VALUE"""),56770)</f>
        <v>56770</v>
      </c>
      <c r="V562" s="3">
        <f ca="1">IFERROR(__xludf.DUMMYFUNCTION("""COMPUTED_VALUE"""),4.4)</f>
        <v>4.4000000000000004</v>
      </c>
      <c r="W562" s="3">
        <f ca="1">IFERROR(__xludf.DUMMYFUNCTION("""COMPUTED_VALUE"""),2500)</f>
        <v>2500</v>
      </c>
      <c r="X562" s="3">
        <f ca="1">IFERROR(__xludf.DUMMYFUNCTION("""COMPUTED_VALUE"""),1180)</f>
        <v>1180</v>
      </c>
      <c r="Y562" s="3">
        <f ca="1">IFERROR(__xludf.DUMMYFUNCTION("""COMPUTED_VALUE"""),638)</f>
        <v>638</v>
      </c>
      <c r="Z562" s="3">
        <f ca="1">IFERROR(__xludf.DUMMYFUNCTION("""COMPUTED_VALUE"""),184)</f>
        <v>184</v>
      </c>
      <c r="AA562" s="3">
        <f ca="1">IFERROR(__xludf.DUMMYFUNCTION("""COMPUTED_VALUE"""),358)</f>
        <v>358</v>
      </c>
      <c r="AB562" s="3">
        <f ca="1">IFERROR(__xludf.DUMMYFUNCTION("""COMPUTED_VALUE"""),0)</f>
        <v>0</v>
      </c>
      <c r="AC562" s="3">
        <f ca="1">IFERROR(__xludf.DUMMYFUNCTION("""COMPUTED_VALUE"""),2)</f>
        <v>2</v>
      </c>
      <c r="AD562" s="3" t="str">
        <f ca="1">IFERROR(__xludf.DUMMYFUNCTION("""COMPUTED_VALUE"""),"early")</f>
        <v>early</v>
      </c>
      <c r="AE562" s="3" t="str">
        <f ca="1">IFERROR(__xludf.DUMMYFUNCTION("""COMPUTED_VALUE"""),"2055-06-05T13:08:46.850005Z")</f>
        <v>2055-06-05T13:08:46.850005Z</v>
      </c>
      <c r="AF562" s="3" t="str">
        <f ca="1">IFERROR(__xludf.DUMMYFUNCTION("""COMPUTED_VALUE"""),"2055-06-05T13:14:44.491394Z")</f>
        <v>2055-06-05T13:14:44.491394Z</v>
      </c>
      <c r="AG562" s="3" t="str">
        <f ca="1">IFERROR(__xludf.DUMMYFUNCTION("""COMPUTED_VALUE"""),"2055-06-05T12:53:54.955682Z")</f>
        <v>2055-06-05T12:53:54.955682Z</v>
      </c>
      <c r="AH562" s="3" t="str">
        <f ca="1">IFERROR(__xludf.DUMMYFUNCTION("""COMPUTED_VALUE"""),"2055-06-05T13:05:42.56699Z")</f>
        <v>2055-06-05T13:05:42.56699Z</v>
      </c>
      <c r="AI562" s="3">
        <f ca="1">IFERROR(__xludf.DUMMYFUNCTION("""COMPUTED_VALUE"""),4.54)</f>
        <v>4.54</v>
      </c>
      <c r="AJ562" s="3">
        <f ca="1">IFERROR(__xludf.DUMMYFUNCTION("""COMPUTED_VALUE"""),2229)</f>
        <v>2229</v>
      </c>
      <c r="AK562" s="3">
        <f ca="1">IFERROR(__xludf.DUMMYFUNCTION("""COMPUTED_VALUE"""),6580)</f>
        <v>6580</v>
      </c>
      <c r="AL562" s="3"/>
    </row>
    <row r="563" spans="1:38" ht="13">
      <c r="A563" s="3">
        <f ca="1">IFERROR(__xludf.DUMMYFUNCTION("""COMPUTED_VALUE"""),54)</f>
        <v>54</v>
      </c>
      <c r="B563" s="3"/>
      <c r="C563" s="3">
        <f ca="1">IFERROR(__xludf.DUMMYFUNCTION("""COMPUTED_VALUE"""),4050)</f>
        <v>4050</v>
      </c>
      <c r="D563" s="3" t="str">
        <f ca="1">IFERROR(__xludf.DUMMYFUNCTION("""COMPUTED_VALUE"""),"Doorlanta")</f>
        <v>Doorlanta</v>
      </c>
      <c r="E563" s="3" t="str">
        <f ca="1">IFERROR(__xludf.DUMMYFUNCTION("""COMPUTED_VALUE"""),"Galaxy A")</f>
        <v>Galaxy A</v>
      </c>
      <c r="F563" s="3" t="str">
        <f ca="1">IFERROR(__xludf.DUMMYFUNCTION("""COMPUTED_VALUE"""),"Hanna")</f>
        <v>Hanna</v>
      </c>
      <c r="G563" s="3">
        <f ca="1">IFERROR(__xludf.DUMMYFUNCTION("""COMPUTED_VALUE"""),0)</f>
        <v>0</v>
      </c>
      <c r="H563" s="3" t="str">
        <f ca="1">IFERROR(__xludf.DUMMYFUNCTION("""COMPUTED_VALUE"""),"car")</f>
        <v>car</v>
      </c>
      <c r="I563" s="3" t="str">
        <f ca="1">IFERROR(__xludf.DUMMYFUNCTION("""COMPUTED_VALUE"""),"2055-06-01T22:00:54.521765Z")</f>
        <v>2055-06-01T22:00:54.521765Z</v>
      </c>
      <c r="J563" s="3" t="str">
        <f ca="1">IFERROR(__xludf.DUMMYFUNCTION("""COMPUTED_VALUE"""),"2055-06-01T22:59:40.578Z")</f>
        <v>2055-06-01T22:59:40.578Z</v>
      </c>
      <c r="K563" s="3" t="str">
        <f ca="1">IFERROR(__xludf.DUMMYFUNCTION("""COMPUTED_VALUE"""),"2055-06-01T22:37:46.578Z")</f>
        <v>2055-06-01T22:37:46.578Z</v>
      </c>
      <c r="L563" s="3">
        <f ca="1">IFERROR(__xludf.DUMMYFUNCTION("""COMPUTED_VALUE"""),1)</f>
        <v>1</v>
      </c>
      <c r="M563" s="3">
        <f ca="1">IFERROR(__xludf.DUMMYFUNCTION("""COMPUTED_VALUE"""),0)</f>
        <v>0</v>
      </c>
      <c r="N563" s="3" t="str">
        <f ca="1">IFERROR(__xludf.DUMMYFUNCTION("""COMPUTED_VALUE"""),"2055-06-01T22:21:10.97776Z")</f>
        <v>2055-06-01T22:21:10.97776Z</v>
      </c>
      <c r="O563" s="3" t="str">
        <f ca="1">IFERROR(__xludf.DUMMYFUNCTION("""COMPUTED_VALUE"""),"2055-06-01T22:56:00.386461Z")</f>
        <v>2055-06-01T22:56:00.386461Z</v>
      </c>
      <c r="P563" s="3" t="str">
        <f ca="1">IFERROR(__xludf.DUMMYFUNCTION("""COMPUTED_VALUE"""),"2055-06-01T22:02:07.370214Z")</f>
        <v>2055-06-01T22:02:07.370214Z</v>
      </c>
      <c r="Q563" s="3">
        <f ca="1">IFERROR(__xludf.DUMMYFUNCTION("""COMPUTED_VALUE"""),0)</f>
        <v>0</v>
      </c>
      <c r="R563" s="3" t="str">
        <f ca="1">IFERROR(__xludf.DUMMYFUNCTION("""COMPUTED_VALUE"""),"2055-06-01T22:02:16.245133Z")</f>
        <v>2055-06-01T22:02:16.245133Z</v>
      </c>
      <c r="S563" s="3" t="str">
        <f ca="1">IFERROR(__xludf.DUMMYFUNCTION("""COMPUTED_VALUE"""),"2055-06-01T22:22:32.435739Z")</f>
        <v>2055-06-01T22:22:32.435739Z</v>
      </c>
      <c r="T563" s="3"/>
      <c r="U563" s="4">
        <f ca="1">IFERROR(__xludf.DUMMYFUNCTION("""COMPUTED_VALUE"""),56766)</f>
        <v>56766</v>
      </c>
      <c r="V563" s="3">
        <f ca="1">IFERROR(__xludf.DUMMYFUNCTION("""COMPUTED_VALUE"""),4.5)</f>
        <v>4.5</v>
      </c>
      <c r="W563" s="3">
        <f ca="1">IFERROR(__xludf.DUMMYFUNCTION("""COMPUTED_VALUE"""),2000)</f>
        <v>2000</v>
      </c>
      <c r="X563" s="3">
        <f ca="1">IFERROR(__xludf.DUMMYFUNCTION("""COMPUTED_VALUE"""),3224)</f>
        <v>3224</v>
      </c>
      <c r="Y563" s="3">
        <f ca="1">IFERROR(__xludf.DUMMYFUNCTION("""COMPUTED_VALUE"""),1216)</f>
        <v>1216</v>
      </c>
      <c r="Z563" s="3"/>
      <c r="AA563" s="3">
        <f ca="1">IFERROR(__xludf.DUMMYFUNCTION("""COMPUTED_VALUE"""),2090)</f>
        <v>2090</v>
      </c>
      <c r="AB563" s="3">
        <f ca="1">IFERROR(__xludf.DUMMYFUNCTION("""COMPUTED_VALUE"""),0)</f>
        <v>0</v>
      </c>
      <c r="AC563" s="3">
        <f ca="1">IFERROR(__xludf.DUMMYFUNCTION("""COMPUTED_VALUE"""),2)</f>
        <v>2</v>
      </c>
      <c r="AD563" s="3" t="str">
        <f ca="1">IFERROR(__xludf.DUMMYFUNCTION("""COMPUTED_VALUE"""),"late")</f>
        <v>late</v>
      </c>
      <c r="AE563" s="3" t="str">
        <f ca="1">IFERROR(__xludf.DUMMYFUNCTION("""COMPUTED_VALUE"""),"2055-06-01T18:21:10.97776Z")</f>
        <v>2055-06-01T18:21:10.97776Z</v>
      </c>
      <c r="AF563" s="3" t="str">
        <f ca="1">IFERROR(__xludf.DUMMYFUNCTION("""COMPUTED_VALUE"""),"2055-06-01T18:56:00.386461Z")</f>
        <v>2055-06-01T18:56:00.386461Z</v>
      </c>
      <c r="AG563" s="3" t="str">
        <f ca="1">IFERROR(__xludf.DUMMYFUNCTION("""COMPUTED_VALUE"""),"2055-06-01T18:02:07.370214Z")</f>
        <v>2055-06-01T18:02:07.370214Z</v>
      </c>
      <c r="AH563" s="3" t="str">
        <f ca="1">IFERROR(__xludf.DUMMYFUNCTION("""COMPUTED_VALUE"""),"2055-06-01T18:22:32.435739Z")</f>
        <v>2055-06-01T18:22:32.435739Z</v>
      </c>
      <c r="AI563" s="3">
        <f ca="1">IFERROR(__xludf.DUMMYFUNCTION("""COMPUTED_VALUE"""),4.79)</f>
        <v>4.79</v>
      </c>
      <c r="AJ563" s="3">
        <f ca="1">IFERROR(__xludf.DUMMYFUNCTION("""COMPUTED_VALUE"""),1007)</f>
        <v>1007</v>
      </c>
      <c r="AK563" s="3">
        <f ca="1">IFERROR(__xludf.DUMMYFUNCTION("""COMPUTED_VALUE"""),2899)</f>
        <v>2899</v>
      </c>
      <c r="AL563" s="3">
        <f ca="1">IFERROR(__xludf.DUMMYFUNCTION("""COMPUTED_VALUE"""),1301)</f>
        <v>1301</v>
      </c>
    </row>
    <row r="564" spans="1:38" ht="13">
      <c r="A564" s="3">
        <f ca="1">IFERROR(__xludf.DUMMYFUNCTION("""COMPUTED_VALUE"""),105)</f>
        <v>105</v>
      </c>
      <c r="B564" s="3"/>
      <c r="C564" s="3">
        <f ca="1">IFERROR(__xludf.DUMMYFUNCTION("""COMPUTED_VALUE"""),4001)</f>
        <v>4001</v>
      </c>
      <c r="D564" s="3" t="str">
        <f ca="1">IFERROR(__xludf.DUMMYFUNCTION("""COMPUTED_VALUE"""),"Dashattan")</f>
        <v>Dashattan</v>
      </c>
      <c r="E564" s="3" t="str">
        <f ca="1">IFERROR(__xludf.DUMMYFUNCTION("""COMPUTED_VALUE"""),"Galaxy A")</f>
        <v>Galaxy A</v>
      </c>
      <c r="F564" s="3" t="str">
        <f ca="1">IFERROR(__xludf.DUMMYFUNCTION("""COMPUTED_VALUE"""),"J")</f>
        <v>J</v>
      </c>
      <c r="G564" s="3">
        <f ca="1">IFERROR(__xludf.DUMMYFUNCTION("""COMPUTED_VALUE"""),0)</f>
        <v>0</v>
      </c>
      <c r="H564" s="3" t="str">
        <f ca="1">IFERROR(__xludf.DUMMYFUNCTION("""COMPUTED_VALUE"""),"bicycle")</f>
        <v>bicycle</v>
      </c>
      <c r="I564" s="3" t="str">
        <f ca="1">IFERROR(__xludf.DUMMYFUNCTION("""COMPUTED_VALUE"""),"2055-06-02T01:26:37.279587Z")</f>
        <v>2055-06-02T01:26:37.279587Z</v>
      </c>
      <c r="J564" s="3" t="str">
        <f ca="1">IFERROR(__xludf.DUMMYFUNCTION("""COMPUTED_VALUE"""),"2055-06-02T02:12:22.343Z")</f>
        <v>2055-06-02T02:12:22.343Z</v>
      </c>
      <c r="K564" s="3" t="str">
        <f ca="1">IFERROR(__xludf.DUMMYFUNCTION("""COMPUTED_VALUE"""),"2055-06-02T02:02:43.343Z")</f>
        <v>2055-06-02T02:02:43.343Z</v>
      </c>
      <c r="L564" s="3">
        <f ca="1">IFERROR(__xludf.DUMMYFUNCTION("""COMPUTED_VALUE"""),1)</f>
        <v>1</v>
      </c>
      <c r="M564" s="3">
        <f ca="1">IFERROR(__xludf.DUMMYFUNCTION("""COMPUTED_VALUE"""),0)</f>
        <v>0</v>
      </c>
      <c r="N564" s="3" t="str">
        <f ca="1">IFERROR(__xludf.DUMMYFUNCTION("""COMPUTED_VALUE"""),"2055-06-02T02:02:36.020104Z")</f>
        <v>2055-06-02T02:02:36.020104Z</v>
      </c>
      <c r="O564" s="3" t="str">
        <f ca="1">IFERROR(__xludf.DUMMYFUNCTION("""COMPUTED_VALUE"""),"2055-06-02T02:18:32.94662Z")</f>
        <v>2055-06-02T02:18:32.94662Z</v>
      </c>
      <c r="P564" s="3" t="str">
        <f ca="1">IFERROR(__xludf.DUMMYFUNCTION("""COMPUTED_VALUE"""),"2055-06-02T01:32:54.598043Z")</f>
        <v>2055-06-02T01:32:54.598043Z</v>
      </c>
      <c r="Q564" s="3">
        <f ca="1">IFERROR(__xludf.DUMMYFUNCTION("""COMPUTED_VALUE"""),0)</f>
        <v>0</v>
      </c>
      <c r="R564" s="3" t="str">
        <f ca="1">IFERROR(__xludf.DUMMYFUNCTION("""COMPUTED_VALUE"""),"2055-06-02T01:33:32.379713Z")</f>
        <v>2055-06-02T01:33:32.379713Z</v>
      </c>
      <c r="S564" s="3" t="str">
        <f ca="1">IFERROR(__xludf.DUMMYFUNCTION("""COMPUTED_VALUE"""),"2055-06-02T01:46:23.853866Z")</f>
        <v>2055-06-02T01:46:23.853866Z</v>
      </c>
      <c r="T564" s="3"/>
      <c r="U564" s="4">
        <f ca="1">IFERROR(__xludf.DUMMYFUNCTION("""COMPUTED_VALUE"""),56766)</f>
        <v>56766</v>
      </c>
      <c r="V564" s="3">
        <f ca="1">IFERROR(__xludf.DUMMYFUNCTION("""COMPUTED_VALUE"""),3.741889628)</f>
        <v>3.741889628</v>
      </c>
      <c r="W564" s="3">
        <f ca="1">IFERROR(__xludf.DUMMYFUNCTION("""COMPUTED_VALUE"""),2000)</f>
        <v>2000</v>
      </c>
      <c r="X564" s="3">
        <f ca="1">IFERROR(__xludf.DUMMYFUNCTION("""COMPUTED_VALUE"""),2700)</f>
        <v>2700</v>
      </c>
      <c r="Y564" s="3">
        <f ca="1">IFERROR(__xludf.DUMMYFUNCTION("""COMPUTED_VALUE"""),771)</f>
        <v>771</v>
      </c>
      <c r="Z564" s="3">
        <f ca="1">IFERROR(__xludf.DUMMYFUNCTION("""COMPUTED_VALUE"""),973)</f>
        <v>973</v>
      </c>
      <c r="AA564" s="3">
        <f ca="1">IFERROR(__xludf.DUMMYFUNCTION("""COMPUTED_VALUE"""),956)</f>
        <v>956</v>
      </c>
      <c r="AB564" s="3">
        <f ca="1">IFERROR(__xludf.DUMMYFUNCTION("""COMPUTED_VALUE"""),0)</f>
        <v>0</v>
      </c>
      <c r="AC564" s="3">
        <f ca="1">IFERROR(__xludf.DUMMYFUNCTION("""COMPUTED_VALUE"""),4)</f>
        <v>4</v>
      </c>
      <c r="AD564" s="3" t="str">
        <f ca="1">IFERROR(__xludf.DUMMYFUNCTION("""COMPUTED_VALUE"""),"early")</f>
        <v>early</v>
      </c>
      <c r="AE564" s="3" t="str">
        <f ca="1">IFERROR(__xludf.DUMMYFUNCTION("""COMPUTED_VALUE"""),"2055-06-01T22:02:36.020104Z")</f>
        <v>2055-06-01T22:02:36.020104Z</v>
      </c>
      <c r="AF564" s="3" t="str">
        <f ca="1">IFERROR(__xludf.DUMMYFUNCTION("""COMPUTED_VALUE"""),"2055-06-01T22:18:32.94662Z")</f>
        <v>2055-06-01T22:18:32.94662Z</v>
      </c>
      <c r="AG564" s="3" t="str">
        <f ca="1">IFERROR(__xludf.DUMMYFUNCTION("""COMPUTED_VALUE"""),"2055-06-01T21:32:54.598043Z")</f>
        <v>2055-06-01T21:32:54.598043Z</v>
      </c>
      <c r="AH564" s="3" t="str">
        <f ca="1">IFERROR(__xludf.DUMMYFUNCTION("""COMPUTED_VALUE"""),"2055-06-01T21:46:23.853866Z")</f>
        <v>2055-06-01T21:46:23.853866Z</v>
      </c>
      <c r="AI564" s="3">
        <f ca="1">IFERROR(__xludf.DUMMYFUNCTION("""COMPUTED_VALUE"""),4.6)</f>
        <v>4.5999999999999996</v>
      </c>
      <c r="AJ564" s="3">
        <f ca="1">IFERROR(__xludf.DUMMYFUNCTION("""COMPUTED_VALUE"""),292)</f>
        <v>292</v>
      </c>
      <c r="AK564" s="3">
        <f ca="1">IFERROR(__xludf.DUMMYFUNCTION("""COMPUTED_VALUE"""),1027)</f>
        <v>1027</v>
      </c>
      <c r="AL564" s="3">
        <f ca="1">IFERROR(__xludf.DUMMYFUNCTION("""COMPUTED_VALUE"""),26)</f>
        <v>26</v>
      </c>
    </row>
    <row r="565" spans="1:38" ht="13">
      <c r="A565" s="3">
        <f ca="1">IFERROR(__xludf.DUMMYFUNCTION("""COMPUTED_VALUE"""),436)</f>
        <v>436</v>
      </c>
      <c r="B565" s="3">
        <f ca="1">IFERROR(__xludf.DUMMYFUNCTION("""COMPUTED_VALUE"""),2)</f>
        <v>2</v>
      </c>
      <c r="C565" s="3">
        <f ca="1">IFERROR(__xludf.DUMMYFUNCTION("""COMPUTED_VALUE"""),4050)</f>
        <v>4050</v>
      </c>
      <c r="D565" s="3" t="str">
        <f ca="1">IFERROR(__xludf.DUMMYFUNCTION("""COMPUTED_VALUE"""),"Doorlanta")</f>
        <v>Doorlanta</v>
      </c>
      <c r="E565" s="3" t="str">
        <f ca="1">IFERROR(__xludf.DUMMYFUNCTION("""COMPUTED_VALUE"""),"Galaxy A")</f>
        <v>Galaxy A</v>
      </c>
      <c r="F565" s="3" t="str">
        <f ca="1">IFERROR(__xludf.DUMMYFUNCTION("""COMPUTED_VALUE"""),"Abhai")</f>
        <v>Abhai</v>
      </c>
      <c r="G565" s="3">
        <f ca="1">IFERROR(__xludf.DUMMYFUNCTION("""COMPUTED_VALUE"""),0)</f>
        <v>0</v>
      </c>
      <c r="H565" s="3" t="str">
        <f ca="1">IFERROR(__xludf.DUMMYFUNCTION("""COMPUTED_VALUE"""),"car")</f>
        <v>car</v>
      </c>
      <c r="I565" s="3" t="str">
        <f ca="1">IFERROR(__xludf.DUMMYFUNCTION("""COMPUTED_VALUE"""),"2055-06-04T20:04:00.039256Z")</f>
        <v>2055-06-04T20:04:00.039256Z</v>
      </c>
      <c r="J565" s="3" t="str">
        <f ca="1">IFERROR(__xludf.DUMMYFUNCTION("""COMPUTED_VALUE"""),"2055-06-04T20:59:00.137Z")</f>
        <v>2055-06-04T20:59:00.137Z</v>
      </c>
      <c r="K565" s="3" t="str">
        <f ca="1">IFERROR(__xludf.DUMMYFUNCTION("""COMPUTED_VALUE"""),"2055-06-04T20:38:09.137Z")</f>
        <v>2055-06-04T20:38:09.137Z</v>
      </c>
      <c r="L565" s="3">
        <f ca="1">IFERROR(__xludf.DUMMYFUNCTION("""COMPUTED_VALUE"""),1)</f>
        <v>1</v>
      </c>
      <c r="M565" s="3">
        <f ca="1">IFERROR(__xludf.DUMMYFUNCTION("""COMPUTED_VALUE"""),0)</f>
        <v>0</v>
      </c>
      <c r="N565" s="3" t="str">
        <f ca="1">IFERROR(__xludf.DUMMYFUNCTION("""COMPUTED_VALUE"""),"2055-06-04T20:28:18.274274Z")</f>
        <v>2055-06-04T20:28:18.274274Z</v>
      </c>
      <c r="O565" s="3" t="str">
        <f ca="1">IFERROR(__xludf.DUMMYFUNCTION("""COMPUTED_VALUE"""),"2055-06-04T20:38:08.93503Z")</f>
        <v>2055-06-04T20:38:08.93503Z</v>
      </c>
      <c r="P565" s="3" t="str">
        <f ca="1">IFERROR(__xludf.DUMMYFUNCTION("""COMPUTED_VALUE"""),"2055-06-04T20:11:47.327237Z")</f>
        <v>2055-06-04T20:11:47.327237Z</v>
      </c>
      <c r="Q565" s="3">
        <f ca="1">IFERROR(__xludf.DUMMYFUNCTION("""COMPUTED_VALUE"""),0)</f>
        <v>0</v>
      </c>
      <c r="R565" s="3" t="str">
        <f ca="1">IFERROR(__xludf.DUMMYFUNCTION("""COMPUTED_VALUE"""),"2055-06-04T20:11:50.221781Z")</f>
        <v>2055-06-04T20:11:50.221781Z</v>
      </c>
      <c r="S565" s="3" t="str">
        <f ca="1">IFERROR(__xludf.DUMMYFUNCTION("""COMPUTED_VALUE"""),"2055-06-04T20:15:57.092853Z")</f>
        <v>2055-06-04T20:15:57.092853Z</v>
      </c>
      <c r="T565" s="3"/>
      <c r="U565" s="4">
        <f ca="1">IFERROR(__xludf.DUMMYFUNCTION("""COMPUTED_VALUE"""),56769)</f>
        <v>56769</v>
      </c>
      <c r="V565" s="3">
        <f ca="1">IFERROR(__xludf.DUMMYFUNCTION("""COMPUTED_VALUE"""),3.023383337)</f>
        <v>3.0233833369999998</v>
      </c>
      <c r="W565" s="3">
        <f ca="1">IFERROR(__xludf.DUMMYFUNCTION("""COMPUTED_VALUE"""),2000)</f>
        <v>2000</v>
      </c>
      <c r="X565" s="3">
        <f ca="1">IFERROR(__xludf.DUMMYFUNCTION("""COMPUTED_VALUE"""),1578)</f>
        <v>1578</v>
      </c>
      <c r="Y565" s="3">
        <f ca="1">IFERROR(__xludf.DUMMYFUNCTION("""COMPUTED_VALUE"""),247)</f>
        <v>247</v>
      </c>
      <c r="Z565" s="3">
        <f ca="1">IFERROR(__xludf.DUMMYFUNCTION("""COMPUTED_VALUE"""),741)</f>
        <v>741</v>
      </c>
      <c r="AA565" s="3">
        <f ca="1">IFERROR(__xludf.DUMMYFUNCTION("""COMPUTED_VALUE"""),590)</f>
        <v>590</v>
      </c>
      <c r="AB565" s="3">
        <f ca="1">IFERROR(__xludf.DUMMYFUNCTION("""COMPUTED_VALUE"""),0)</f>
        <v>0</v>
      </c>
      <c r="AC565" s="3">
        <f ca="1">IFERROR(__xludf.DUMMYFUNCTION("""COMPUTED_VALUE"""),5)</f>
        <v>5</v>
      </c>
      <c r="AD565" s="3" t="str">
        <f ca="1">IFERROR(__xludf.DUMMYFUNCTION("""COMPUTED_VALUE"""),"on time")</f>
        <v>on time</v>
      </c>
      <c r="AE565" s="3" t="str">
        <f ca="1">IFERROR(__xludf.DUMMYFUNCTION("""COMPUTED_VALUE"""),"2055-06-04T16:28:18.274274Z")</f>
        <v>2055-06-04T16:28:18.274274Z</v>
      </c>
      <c r="AF565" s="3" t="str">
        <f ca="1">IFERROR(__xludf.DUMMYFUNCTION("""COMPUTED_VALUE"""),"2055-06-04T16:38:08.93503Z")</f>
        <v>2055-06-04T16:38:08.93503Z</v>
      </c>
      <c r="AG565" s="3" t="str">
        <f ca="1">IFERROR(__xludf.DUMMYFUNCTION("""COMPUTED_VALUE"""),"2055-06-04T16:11:47.327237Z")</f>
        <v>2055-06-04T16:11:47.327237Z</v>
      </c>
      <c r="AH565" s="3" t="str">
        <f ca="1">IFERROR(__xludf.DUMMYFUNCTION("""COMPUTED_VALUE"""),"2055-06-04T16:15:57.092853Z")</f>
        <v>2055-06-04T16:15:57.092853Z</v>
      </c>
      <c r="AI565" s="3">
        <f ca="1">IFERROR(__xludf.DUMMYFUNCTION("""COMPUTED_VALUE"""),4.56)</f>
        <v>4.5599999999999996</v>
      </c>
      <c r="AJ565" s="3">
        <f ca="1">IFERROR(__xludf.DUMMYFUNCTION("""COMPUTED_VALUE"""),344)</f>
        <v>344</v>
      </c>
      <c r="AK565" s="3">
        <f ca="1">IFERROR(__xludf.DUMMYFUNCTION("""COMPUTED_VALUE"""),947)</f>
        <v>947</v>
      </c>
      <c r="AL565" s="3">
        <f ca="1">IFERROR(__xludf.DUMMYFUNCTION("""COMPUTED_VALUE"""),22)</f>
        <v>22</v>
      </c>
    </row>
    <row r="566" spans="1:38" ht="13">
      <c r="A566" s="3">
        <f ca="1">IFERROR(__xludf.DUMMYFUNCTION("""COMPUTED_VALUE"""),757)</f>
        <v>757</v>
      </c>
      <c r="B566" s="3">
        <f ca="1">IFERROR(__xludf.DUMMYFUNCTION("""COMPUTED_VALUE"""),5)</f>
        <v>5</v>
      </c>
      <c r="C566" s="3">
        <f ca="1">IFERROR(__xludf.DUMMYFUNCTION("""COMPUTED_VALUE"""),4050)</f>
        <v>4050</v>
      </c>
      <c r="D566" s="3" t="str">
        <f ca="1">IFERROR(__xludf.DUMMYFUNCTION("""COMPUTED_VALUE"""),"Doorlanta")</f>
        <v>Doorlanta</v>
      </c>
      <c r="E566" s="3" t="str">
        <f ca="1">IFERROR(__xludf.DUMMYFUNCTION("""COMPUTED_VALUE"""),"Galaxy A")</f>
        <v>Galaxy A</v>
      </c>
      <c r="F566" s="3" t="str">
        <f ca="1">IFERROR(__xludf.DUMMYFUNCTION("""COMPUTED_VALUE"""),"Jagar")</f>
        <v>Jagar</v>
      </c>
      <c r="G566" s="3">
        <f ca="1">IFERROR(__xludf.DUMMYFUNCTION("""COMPUTED_VALUE"""),0)</f>
        <v>0</v>
      </c>
      <c r="H566" s="3" t="str">
        <f ca="1">IFERROR(__xludf.DUMMYFUNCTION("""COMPUTED_VALUE"""),"car")</f>
        <v>car</v>
      </c>
      <c r="I566" s="3" t="str">
        <f ca="1">IFERROR(__xludf.DUMMYFUNCTION("""COMPUTED_VALUE"""),"2055-06-06T19:10:09.858304Z")</f>
        <v>2055-06-06T19:10:09.858304Z</v>
      </c>
      <c r="J566" s="3" t="str">
        <f ca="1">IFERROR(__xludf.DUMMYFUNCTION("""COMPUTED_VALUE"""),"2055-06-06T21:30:00Z")</f>
        <v>2055-06-06T21:30:00Z</v>
      </c>
      <c r="K566" s="3" t="str">
        <f ca="1">IFERROR(__xludf.DUMMYFUNCTION("""COMPUTED_VALUE"""),"2055-06-06T21:30:00Z")</f>
        <v>2055-06-06T21:30:00Z</v>
      </c>
      <c r="L566" s="3">
        <f ca="1">IFERROR(__xludf.DUMMYFUNCTION("""COMPUTED_VALUE"""),0)</f>
        <v>0</v>
      </c>
      <c r="M566" s="3">
        <f ca="1">IFERROR(__xludf.DUMMYFUNCTION("""COMPUTED_VALUE"""),0)</f>
        <v>0</v>
      </c>
      <c r="N566" s="3" t="str">
        <f ca="1">IFERROR(__xludf.DUMMYFUNCTION("""COMPUTED_VALUE"""),"2055-06-06T21:08:51.513049Z")</f>
        <v>2055-06-06T21:08:51.513049Z</v>
      </c>
      <c r="O566" s="3" t="str">
        <f ca="1">IFERROR(__xludf.DUMMYFUNCTION("""COMPUTED_VALUE"""),"2055-06-06T21:13:17.30206Z")</f>
        <v>2055-06-06T21:13:17.30206Z</v>
      </c>
      <c r="P566" s="3" t="str">
        <f ca="1">IFERROR(__xludf.DUMMYFUNCTION("""COMPUTED_VALUE"""),"2055-06-06T20:47:07.26875Z")</f>
        <v>2055-06-06T20:47:07.26875Z</v>
      </c>
      <c r="Q566" s="3">
        <f ca="1">IFERROR(__xludf.DUMMYFUNCTION("""COMPUTED_VALUE"""),0)</f>
        <v>0</v>
      </c>
      <c r="R566" s="3" t="str">
        <f ca="1">IFERROR(__xludf.DUMMYFUNCTION("""COMPUTED_VALUE"""),"2055-06-06T20:47:14.017232Z")</f>
        <v>2055-06-06T20:47:14.017232Z</v>
      </c>
      <c r="S566" s="3" t="str">
        <f ca="1">IFERROR(__xludf.DUMMYFUNCTION("""COMPUTED_VALUE"""),"2055-06-06T20:58:16.327246Z")</f>
        <v>2055-06-06T20:58:16.327246Z</v>
      </c>
      <c r="T566" s="3"/>
      <c r="U566" s="4">
        <f ca="1">IFERROR(__xludf.DUMMYFUNCTION("""COMPUTED_VALUE"""),56771)</f>
        <v>56771</v>
      </c>
      <c r="V566" s="3">
        <f ca="1">IFERROR(__xludf.DUMMYFUNCTION("""COMPUTED_VALUE"""),4.6)</f>
        <v>4.5999999999999996</v>
      </c>
      <c r="W566" s="3">
        <f ca="1">IFERROR(__xludf.DUMMYFUNCTION("""COMPUTED_VALUE"""),2000)</f>
        <v>2000</v>
      </c>
      <c r="X566" s="3">
        <f ca="1">IFERROR(__xludf.DUMMYFUNCTION("""COMPUTED_VALUE"""),1563)</f>
        <v>1563</v>
      </c>
      <c r="Y566" s="3">
        <f ca="1">IFERROR(__xludf.DUMMYFUNCTION("""COMPUTED_VALUE"""),662)</f>
        <v>662</v>
      </c>
      <c r="Z566" s="3">
        <f ca="1">IFERROR(__xludf.DUMMYFUNCTION("""COMPUTED_VALUE"""),635)</f>
        <v>635</v>
      </c>
      <c r="AA566" s="3">
        <f ca="1">IFERROR(__xludf.DUMMYFUNCTION("""COMPUTED_VALUE"""),266)</f>
        <v>266</v>
      </c>
      <c r="AB566" s="3">
        <f ca="1">IFERROR(__xludf.DUMMYFUNCTION("""COMPUTED_VALUE"""),0)</f>
        <v>0</v>
      </c>
      <c r="AC566" s="3">
        <f ca="1">IFERROR(__xludf.DUMMYFUNCTION("""COMPUTED_VALUE"""),2)</f>
        <v>2</v>
      </c>
      <c r="AD566" s="3" t="str">
        <f ca="1">IFERROR(__xludf.DUMMYFUNCTION("""COMPUTED_VALUE"""),"late")</f>
        <v>late</v>
      </c>
      <c r="AE566" s="3" t="str">
        <f ca="1">IFERROR(__xludf.DUMMYFUNCTION("""COMPUTED_VALUE"""),"2055-06-06T17:08:51.513049Z")</f>
        <v>2055-06-06T17:08:51.513049Z</v>
      </c>
      <c r="AF566" s="3" t="str">
        <f ca="1">IFERROR(__xludf.DUMMYFUNCTION("""COMPUTED_VALUE"""),"2055-06-06T17:13:17.30206Z")</f>
        <v>2055-06-06T17:13:17.30206Z</v>
      </c>
      <c r="AG566" s="3" t="str">
        <f ca="1">IFERROR(__xludf.DUMMYFUNCTION("""COMPUTED_VALUE"""),"2055-06-06T16:47:07.26875Z")</f>
        <v>2055-06-06T16:47:07.26875Z</v>
      </c>
      <c r="AH566" s="3" t="str">
        <f ca="1">IFERROR(__xludf.DUMMYFUNCTION("""COMPUTED_VALUE"""),"2055-06-06T16:58:16.327246Z")</f>
        <v>2055-06-06T16:58:16.327246Z</v>
      </c>
      <c r="AI566" s="3">
        <f ca="1">IFERROR(__xludf.DUMMYFUNCTION("""COMPUTED_VALUE"""),4.89)</f>
        <v>4.8899999999999997</v>
      </c>
      <c r="AJ566" s="3">
        <f ca="1">IFERROR(__xludf.DUMMYFUNCTION("""COMPUTED_VALUE"""),1778)</f>
        <v>1778</v>
      </c>
      <c r="AK566" s="3">
        <f ca="1">IFERROR(__xludf.DUMMYFUNCTION("""COMPUTED_VALUE"""),5138)</f>
        <v>5138</v>
      </c>
      <c r="AL566" s="3">
        <f ca="1">IFERROR(__xludf.DUMMYFUNCTION("""COMPUTED_VALUE"""),314)</f>
        <v>314</v>
      </c>
    </row>
    <row r="567" spans="1:38" ht="13">
      <c r="A567" s="3">
        <f ca="1">IFERROR(__xludf.DUMMYFUNCTION("""COMPUTED_VALUE"""),129)</f>
        <v>129</v>
      </c>
      <c r="B567" s="3"/>
      <c r="C567" s="3">
        <f ca="1">IFERROR(__xludf.DUMMYFUNCTION("""COMPUTED_VALUE"""),4050)</f>
        <v>4050</v>
      </c>
      <c r="D567" s="3" t="str">
        <f ca="1">IFERROR(__xludf.DUMMYFUNCTION("""COMPUTED_VALUE"""),"Doorlanta")</f>
        <v>Doorlanta</v>
      </c>
      <c r="E567" s="3" t="str">
        <f ca="1">IFERROR(__xludf.DUMMYFUNCTION("""COMPUTED_VALUE"""),"Galaxy A")</f>
        <v>Galaxy A</v>
      </c>
      <c r="F567" s="3" t="str">
        <f ca="1">IFERROR(__xludf.DUMMYFUNCTION("""COMPUTED_VALUE"""),"Jagar")</f>
        <v>Jagar</v>
      </c>
      <c r="G567" s="3">
        <f ca="1">IFERROR(__xludf.DUMMYFUNCTION("""COMPUTED_VALUE"""),0)</f>
        <v>0</v>
      </c>
      <c r="H567" s="3" t="str">
        <f ca="1">IFERROR(__xludf.DUMMYFUNCTION("""COMPUTED_VALUE"""),"car")</f>
        <v>car</v>
      </c>
      <c r="I567" s="3" t="str">
        <f ca="1">IFERROR(__xludf.DUMMYFUNCTION("""COMPUTED_VALUE"""),"2055-06-02T15:50:12.222713Z")</f>
        <v>2055-06-02T15:50:12.222713Z</v>
      </c>
      <c r="J567" s="3" t="str">
        <f ca="1">IFERROR(__xludf.DUMMYFUNCTION("""COMPUTED_VALUE"""),"2055-06-02T16:36:17.353Z")</f>
        <v>2055-06-02T16:36:17.353Z</v>
      </c>
      <c r="K567" s="3" t="str">
        <f ca="1">IFERROR(__xludf.DUMMYFUNCTION("""COMPUTED_VALUE"""),"2055-06-02T16:26:38.353Z")</f>
        <v>2055-06-02T16:26:38.353Z</v>
      </c>
      <c r="L567" s="3">
        <f ca="1">IFERROR(__xludf.DUMMYFUNCTION("""COMPUTED_VALUE"""),1)</f>
        <v>1</v>
      </c>
      <c r="M567" s="3">
        <f ca="1">IFERROR(__xludf.DUMMYFUNCTION("""COMPUTED_VALUE"""),0)</f>
        <v>0</v>
      </c>
      <c r="N567" s="3" t="str">
        <f ca="1">IFERROR(__xludf.DUMMYFUNCTION("""COMPUTED_VALUE"""),"2055-06-02T16:22:00.216484Z")</f>
        <v>2055-06-02T16:22:00.216484Z</v>
      </c>
      <c r="O567" s="3" t="str">
        <f ca="1">IFERROR(__xludf.DUMMYFUNCTION("""COMPUTED_VALUE"""),"2055-06-02T16:31:49.768743Z")</f>
        <v>2055-06-02T16:31:49.768743Z</v>
      </c>
      <c r="P567" s="3" t="str">
        <f ca="1">IFERROR(__xludf.DUMMYFUNCTION("""COMPUTED_VALUE"""),"2055-06-02T15:50:27.361657Z")</f>
        <v>2055-06-02T15:50:27.361657Z</v>
      </c>
      <c r="Q567" s="3">
        <f ca="1">IFERROR(__xludf.DUMMYFUNCTION("""COMPUTED_VALUE"""),0)</f>
        <v>0</v>
      </c>
      <c r="R567" s="3" t="str">
        <f ca="1">IFERROR(__xludf.DUMMYFUNCTION("""COMPUTED_VALUE"""),"2055-06-02T15:51:03.552569Z")</f>
        <v>2055-06-02T15:51:03.552569Z</v>
      </c>
      <c r="S567" s="3" t="str">
        <f ca="1">IFERROR(__xludf.DUMMYFUNCTION("""COMPUTED_VALUE"""),"2055-06-02T15:59:42.299906Z")</f>
        <v>2055-06-02T15:59:42.299906Z</v>
      </c>
      <c r="T567" s="3"/>
      <c r="U567" s="4">
        <f ca="1">IFERROR(__xludf.DUMMYFUNCTION("""COMPUTED_VALUE"""),56767)</f>
        <v>56767</v>
      </c>
      <c r="V567" s="3">
        <f ca="1">IFERROR(__xludf.DUMMYFUNCTION("""COMPUTED_VALUE"""),3.995599356)</f>
        <v>3.995599356</v>
      </c>
      <c r="W567" s="3">
        <f ca="1">IFERROR(__xludf.DUMMYFUNCTION("""COMPUTED_VALUE"""),2000)</f>
        <v>2000</v>
      </c>
      <c r="X567" s="3">
        <f ca="1">IFERROR(__xludf.DUMMYFUNCTION("""COMPUTED_VALUE"""),2446)</f>
        <v>2446</v>
      </c>
      <c r="Y567" s="3">
        <f ca="1">IFERROR(__xludf.DUMMYFUNCTION("""COMPUTED_VALUE"""),519)</f>
        <v>519</v>
      </c>
      <c r="Z567" s="3">
        <f ca="1">IFERROR(__xludf.DUMMYFUNCTION("""COMPUTED_VALUE"""),1338)</f>
        <v>1338</v>
      </c>
      <c r="AA567" s="3">
        <f ca="1">IFERROR(__xludf.DUMMYFUNCTION("""COMPUTED_VALUE"""),589)</f>
        <v>589</v>
      </c>
      <c r="AB567" s="3">
        <f ca="1">IFERROR(__xludf.DUMMYFUNCTION("""COMPUTED_VALUE"""),0)</f>
        <v>0</v>
      </c>
      <c r="AC567" s="3">
        <f ca="1">IFERROR(__xludf.DUMMYFUNCTION("""COMPUTED_VALUE"""),3)</f>
        <v>3</v>
      </c>
      <c r="AD567" s="3" t="str">
        <f ca="1">IFERROR(__xludf.DUMMYFUNCTION("""COMPUTED_VALUE"""),"early")</f>
        <v>early</v>
      </c>
      <c r="AE567" s="3" t="str">
        <f ca="1">IFERROR(__xludf.DUMMYFUNCTION("""COMPUTED_VALUE"""),"2055-06-02T12:22:00.216484Z")</f>
        <v>2055-06-02T12:22:00.216484Z</v>
      </c>
      <c r="AF567" s="3" t="str">
        <f ca="1">IFERROR(__xludf.DUMMYFUNCTION("""COMPUTED_VALUE"""),"2055-06-02T12:31:49.768743Z")</f>
        <v>2055-06-02T12:31:49.768743Z</v>
      </c>
      <c r="AG567" s="3" t="str">
        <f ca="1">IFERROR(__xludf.DUMMYFUNCTION("""COMPUTED_VALUE"""),"2055-06-02T11:50:27.361657Z")</f>
        <v>2055-06-02T11:50:27.361657Z</v>
      </c>
      <c r="AH567" s="3" t="str">
        <f ca="1">IFERROR(__xludf.DUMMYFUNCTION("""COMPUTED_VALUE"""),"2055-06-02T11:59:42.299906Z")</f>
        <v>2055-06-02T11:59:42.299906Z</v>
      </c>
      <c r="AI567" s="3">
        <f ca="1">IFERROR(__xludf.DUMMYFUNCTION("""COMPUTED_VALUE"""),4.89)</f>
        <v>4.8899999999999997</v>
      </c>
      <c r="AJ567" s="3">
        <f ca="1">IFERROR(__xludf.DUMMYFUNCTION("""COMPUTED_VALUE"""),1778)</f>
        <v>1778</v>
      </c>
      <c r="AK567" s="3">
        <f ca="1">IFERROR(__xludf.DUMMYFUNCTION("""COMPUTED_VALUE"""),5138)</f>
        <v>5138</v>
      </c>
      <c r="AL567" s="3">
        <f ca="1">IFERROR(__xludf.DUMMYFUNCTION("""COMPUTED_VALUE"""),314)</f>
        <v>314</v>
      </c>
    </row>
    <row r="568" spans="1:38" ht="13">
      <c r="A568" s="3">
        <f ca="1">IFERROR(__xludf.DUMMYFUNCTION("""COMPUTED_VALUE"""),522)</f>
        <v>522</v>
      </c>
      <c r="B568" s="3">
        <f ca="1">IFERROR(__xludf.DUMMYFUNCTION("""COMPUTED_VALUE"""),5)</f>
        <v>5</v>
      </c>
      <c r="C568" s="3">
        <f ca="1">IFERROR(__xludf.DUMMYFUNCTION("""COMPUTED_VALUE"""),4050)</f>
        <v>4050</v>
      </c>
      <c r="D568" s="3" t="str">
        <f ca="1">IFERROR(__xludf.DUMMYFUNCTION("""COMPUTED_VALUE"""),"Doorlanta")</f>
        <v>Doorlanta</v>
      </c>
      <c r="E568" s="3" t="str">
        <f ca="1">IFERROR(__xludf.DUMMYFUNCTION("""COMPUTED_VALUE"""),"Galaxy A")</f>
        <v>Galaxy A</v>
      </c>
      <c r="F568" s="3" t="str">
        <f ca="1">IFERROR(__xludf.DUMMYFUNCTION("""COMPUTED_VALUE"""),"Cate")</f>
        <v>Cate</v>
      </c>
      <c r="G568" s="3">
        <f ca="1">IFERROR(__xludf.DUMMYFUNCTION("""COMPUTED_VALUE"""),0)</f>
        <v>0</v>
      </c>
      <c r="H568" s="3" t="str">
        <f ca="1">IFERROR(__xludf.DUMMYFUNCTION("""COMPUTED_VALUE"""),"car")</f>
        <v>car</v>
      </c>
      <c r="I568" s="3" t="str">
        <f ca="1">IFERROR(__xludf.DUMMYFUNCTION("""COMPUTED_VALUE"""),"2055-06-05T01:09:16.522756Z")</f>
        <v>2055-06-05T01:09:16.522756Z</v>
      </c>
      <c r="J568" s="3" t="str">
        <f ca="1">IFERROR(__xludf.DUMMYFUNCTION("""COMPUTED_VALUE"""),"2055-06-05T02:05:22.593Z")</f>
        <v>2055-06-05T02:05:22.593Z</v>
      </c>
      <c r="K568" s="3" t="str">
        <f ca="1">IFERROR(__xludf.DUMMYFUNCTION("""COMPUTED_VALUE"""),"2055-06-05T01:45:43.593Z")</f>
        <v>2055-06-05T01:45:43.593Z</v>
      </c>
      <c r="L568" s="3">
        <f ca="1">IFERROR(__xludf.DUMMYFUNCTION("""COMPUTED_VALUE"""),1)</f>
        <v>1</v>
      </c>
      <c r="M568" s="3">
        <f ca="1">IFERROR(__xludf.DUMMYFUNCTION("""COMPUTED_VALUE"""),0)</f>
        <v>0</v>
      </c>
      <c r="N568" s="3" t="str">
        <f ca="1">IFERROR(__xludf.DUMMYFUNCTION("""COMPUTED_VALUE"""),"2055-06-05T01:29:01.687689Z")</f>
        <v>2055-06-05T01:29:01.687689Z</v>
      </c>
      <c r="O568" s="3" t="str">
        <f ca="1">IFERROR(__xludf.DUMMYFUNCTION("""COMPUTED_VALUE"""),"2055-06-05T01:43:24.392836Z")</f>
        <v>2055-06-05T01:43:24.392836Z</v>
      </c>
      <c r="P568" s="3" t="str">
        <f ca="1">IFERROR(__xludf.DUMMYFUNCTION("""COMPUTED_VALUE"""),"2055-06-05T01:11:07.539248Z")</f>
        <v>2055-06-05T01:11:07.539248Z</v>
      </c>
      <c r="Q568" s="3">
        <f ca="1">IFERROR(__xludf.DUMMYFUNCTION("""COMPUTED_VALUE"""),0)</f>
        <v>0</v>
      </c>
      <c r="R568" s="3" t="str">
        <f ca="1">IFERROR(__xludf.DUMMYFUNCTION("""COMPUTED_VALUE"""),"2055-06-05T01:11:10.974473Z")</f>
        <v>2055-06-05T01:11:10.974473Z</v>
      </c>
      <c r="S568" s="3" t="str">
        <f ca="1">IFERROR(__xludf.DUMMYFUNCTION("""COMPUTED_VALUE"""),"2055-06-05T01:21:51.483159Z")</f>
        <v>2055-06-05T01:21:51.483159Z</v>
      </c>
      <c r="T568" s="3"/>
      <c r="U568" s="4">
        <f ca="1">IFERROR(__xludf.DUMMYFUNCTION("""COMPUTED_VALUE"""),56769)</f>
        <v>56769</v>
      </c>
      <c r="V568" s="3">
        <f ca="1">IFERROR(__xludf.DUMMYFUNCTION("""COMPUTED_VALUE"""),4.8)</f>
        <v>4.8</v>
      </c>
      <c r="W568" s="3">
        <f ca="1">IFERROR(__xludf.DUMMYFUNCTION("""COMPUTED_VALUE"""),2000)</f>
        <v>2000</v>
      </c>
      <c r="X568" s="3">
        <f ca="1">IFERROR(__xludf.DUMMYFUNCTION("""COMPUTED_VALUE"""),1934)</f>
        <v>1934</v>
      </c>
      <c r="Y568" s="3">
        <f ca="1">IFERROR(__xludf.DUMMYFUNCTION("""COMPUTED_VALUE"""),641)</f>
        <v>641</v>
      </c>
      <c r="Z568" s="3">
        <f ca="1">IFERROR(__xludf.DUMMYFUNCTION("""COMPUTED_VALUE"""),430)</f>
        <v>430</v>
      </c>
      <c r="AA568" s="3">
        <f ca="1">IFERROR(__xludf.DUMMYFUNCTION("""COMPUTED_VALUE"""),863)</f>
        <v>863</v>
      </c>
      <c r="AB568" s="3">
        <f ca="1">IFERROR(__xludf.DUMMYFUNCTION("""COMPUTED_VALUE"""),0)</f>
        <v>0</v>
      </c>
      <c r="AC568" s="3">
        <f ca="1">IFERROR(__xludf.DUMMYFUNCTION("""COMPUTED_VALUE"""),2)</f>
        <v>2</v>
      </c>
      <c r="AD568" s="3" t="str">
        <f ca="1">IFERROR(__xludf.DUMMYFUNCTION("""COMPUTED_VALUE"""),"on time")</f>
        <v>on time</v>
      </c>
      <c r="AE568" s="3" t="str">
        <f ca="1">IFERROR(__xludf.DUMMYFUNCTION("""COMPUTED_VALUE"""),"2055-06-04T21:29:01.687689Z")</f>
        <v>2055-06-04T21:29:01.687689Z</v>
      </c>
      <c r="AF568" s="3" t="str">
        <f ca="1">IFERROR(__xludf.DUMMYFUNCTION("""COMPUTED_VALUE"""),"2055-06-04T21:43:24.392836Z")</f>
        <v>2055-06-04T21:43:24.392836Z</v>
      </c>
      <c r="AG568" s="3" t="str">
        <f ca="1">IFERROR(__xludf.DUMMYFUNCTION("""COMPUTED_VALUE"""),"2055-06-04T21:11:07.539248Z")</f>
        <v>2055-06-04T21:11:07.539248Z</v>
      </c>
      <c r="AH568" s="3" t="str">
        <f ca="1">IFERROR(__xludf.DUMMYFUNCTION("""COMPUTED_VALUE"""),"2055-06-04T21:21:51.483159Z")</f>
        <v>2055-06-04T21:21:51.483159Z</v>
      </c>
      <c r="AI568" s="3">
        <f ca="1">IFERROR(__xludf.DUMMYFUNCTION("""COMPUTED_VALUE"""),4.49)</f>
        <v>4.49</v>
      </c>
      <c r="AJ568" s="3">
        <f ca="1">IFERROR(__xludf.DUMMYFUNCTION("""COMPUTED_VALUE"""),2315)</f>
        <v>2315</v>
      </c>
      <c r="AK568" s="3">
        <f ca="1">IFERROR(__xludf.DUMMYFUNCTION("""COMPUTED_VALUE"""),7039)</f>
        <v>7039</v>
      </c>
      <c r="AL568" s="3">
        <f ca="1">IFERROR(__xludf.DUMMYFUNCTION("""COMPUTED_VALUE"""),763)</f>
        <v>763</v>
      </c>
    </row>
    <row r="569" spans="1:38" ht="13">
      <c r="A569" s="3">
        <f ca="1">IFERROR(__xludf.DUMMYFUNCTION("""COMPUTED_VALUE"""),1016)</f>
        <v>1016</v>
      </c>
      <c r="B569" s="3">
        <f ca="1">IFERROR(__xludf.DUMMYFUNCTION("""COMPUTED_VALUE"""),5)</f>
        <v>5</v>
      </c>
      <c r="C569" s="3">
        <f ca="1">IFERROR(__xludf.DUMMYFUNCTION("""COMPUTED_VALUE"""),4001)</f>
        <v>4001</v>
      </c>
      <c r="D569" s="3" t="str">
        <f ca="1">IFERROR(__xludf.DUMMYFUNCTION("""COMPUTED_VALUE"""),"Dashattan")</f>
        <v>Dashattan</v>
      </c>
      <c r="E569" s="3" t="str">
        <f ca="1">IFERROR(__xludf.DUMMYFUNCTION("""COMPUTED_VALUE"""),"Galaxy A")</f>
        <v>Galaxy A</v>
      </c>
      <c r="F569" s="3" t="str">
        <f ca="1">IFERROR(__xludf.DUMMYFUNCTION("""COMPUTED_VALUE"""),"Bret")</f>
        <v>Bret</v>
      </c>
      <c r="G569" s="3">
        <f ca="1">IFERROR(__xludf.DUMMYFUNCTION("""COMPUTED_VALUE"""),0)</f>
        <v>0</v>
      </c>
      <c r="H569" s="3" t="str">
        <f ca="1">IFERROR(__xludf.DUMMYFUNCTION("""COMPUTED_VALUE"""),"car")</f>
        <v>car</v>
      </c>
      <c r="I569" s="3" t="str">
        <f ca="1">IFERROR(__xludf.DUMMYFUNCTION("""COMPUTED_VALUE"""),"2055-06-09T15:10:25.238465Z")</f>
        <v>2055-06-09T15:10:25.238465Z</v>
      </c>
      <c r="J569" s="3" t="str">
        <f ca="1">IFERROR(__xludf.DUMMYFUNCTION("""COMPUTED_VALUE"""),"2055-06-09T16:09:11.298Z")</f>
        <v>2055-06-09T16:09:11.298Z</v>
      </c>
      <c r="K569" s="3" t="str">
        <f ca="1">IFERROR(__xludf.DUMMYFUNCTION("""COMPUTED_VALUE"""),"2055-06-09T15:59:32.298Z")</f>
        <v>2055-06-09T15:59:32.298Z</v>
      </c>
      <c r="L569" s="3">
        <f ca="1">IFERROR(__xludf.DUMMYFUNCTION("""COMPUTED_VALUE"""),1)</f>
        <v>1</v>
      </c>
      <c r="M569" s="3">
        <f ca="1">IFERROR(__xludf.DUMMYFUNCTION("""COMPUTED_VALUE"""),0)</f>
        <v>0</v>
      </c>
      <c r="N569" s="3" t="str">
        <f ca="1">IFERROR(__xludf.DUMMYFUNCTION("""COMPUTED_VALUE"""),"2055-06-09T15:51:07.176169Z")</f>
        <v>2055-06-09T15:51:07.176169Z</v>
      </c>
      <c r="O569" s="3" t="str">
        <f ca="1">IFERROR(__xludf.DUMMYFUNCTION("""COMPUTED_VALUE"""),"2055-06-09T16:08:32.976835Z")</f>
        <v>2055-06-09T16:08:32.976835Z</v>
      </c>
      <c r="P569" s="3" t="str">
        <f ca="1">IFERROR(__xludf.DUMMYFUNCTION("""COMPUTED_VALUE"""),"2055-06-09T15:14:14.067406Z")</f>
        <v>2055-06-09T15:14:14.067406Z</v>
      </c>
      <c r="Q569" s="3">
        <f ca="1">IFERROR(__xludf.DUMMYFUNCTION("""COMPUTED_VALUE"""),0)</f>
        <v>0</v>
      </c>
      <c r="R569" s="3" t="str">
        <f ca="1">IFERROR(__xludf.DUMMYFUNCTION("""COMPUTED_VALUE"""),"2055-06-09T15:14:40.496482Z")</f>
        <v>2055-06-09T15:14:40.496482Z</v>
      </c>
      <c r="S569" s="3" t="str">
        <f ca="1">IFERROR(__xludf.DUMMYFUNCTION("""COMPUTED_VALUE"""),"2055-06-09T15:43:43.084213Z")</f>
        <v>2055-06-09T15:43:43.084213Z</v>
      </c>
      <c r="T569" s="3"/>
      <c r="U569" s="4">
        <f ca="1">IFERROR(__xludf.DUMMYFUNCTION("""COMPUTED_VALUE"""),56774)</f>
        <v>56774</v>
      </c>
      <c r="V569" s="3">
        <f ca="1">IFERROR(__xludf.DUMMYFUNCTION("""COMPUTED_VALUE"""),4.4)</f>
        <v>4.4000000000000004</v>
      </c>
      <c r="W569" s="3">
        <f ca="1">IFERROR(__xludf.DUMMYFUNCTION("""COMPUTED_VALUE"""),2000)</f>
        <v>2000</v>
      </c>
      <c r="X569" s="3">
        <f ca="1">IFERROR(__xludf.DUMMYFUNCTION("""COMPUTED_VALUE"""),3232)</f>
        <v>3232</v>
      </c>
      <c r="Y569" s="3">
        <f ca="1">IFERROR(__xludf.DUMMYFUNCTION("""COMPUTED_VALUE"""),1743)</f>
        <v>1743</v>
      </c>
      <c r="Z569" s="3">
        <f ca="1">IFERROR(__xludf.DUMMYFUNCTION("""COMPUTED_VALUE"""),444)</f>
        <v>444</v>
      </c>
      <c r="AA569" s="3">
        <f ca="1">IFERROR(__xludf.DUMMYFUNCTION("""COMPUTED_VALUE"""),1045)</f>
        <v>1045</v>
      </c>
      <c r="AB569" s="3">
        <f ca="1">IFERROR(__xludf.DUMMYFUNCTION("""COMPUTED_VALUE"""),1)</f>
        <v>1</v>
      </c>
      <c r="AC569" s="3">
        <f ca="1">IFERROR(__xludf.DUMMYFUNCTION("""COMPUTED_VALUE"""),2)</f>
        <v>2</v>
      </c>
      <c r="AD569" s="3"/>
      <c r="AE569" s="3" t="str">
        <f ca="1">IFERROR(__xludf.DUMMYFUNCTION("""COMPUTED_VALUE"""),"2055-06-09T11:51:07.176169Z")</f>
        <v>2055-06-09T11:51:07.176169Z</v>
      </c>
      <c r="AF569" s="3" t="str">
        <f ca="1">IFERROR(__xludf.DUMMYFUNCTION("""COMPUTED_VALUE"""),"2055-06-09T12:08:32.976835Z")</f>
        <v>2055-06-09T12:08:32.976835Z</v>
      </c>
      <c r="AG569" s="3" t="str">
        <f ca="1">IFERROR(__xludf.DUMMYFUNCTION("""COMPUTED_VALUE"""),"2055-06-09T11:14:14.067406Z")</f>
        <v>2055-06-09T11:14:14.067406Z</v>
      </c>
      <c r="AH569" s="3" t="str">
        <f ca="1">IFERROR(__xludf.DUMMYFUNCTION("""COMPUTED_VALUE"""),"2055-06-09T11:43:43.084213Z")</f>
        <v>2055-06-09T11:43:43.084213Z</v>
      </c>
      <c r="AI569" s="3">
        <f ca="1">IFERROR(__xludf.DUMMYFUNCTION("""COMPUTED_VALUE"""),3.82)</f>
        <v>3.82</v>
      </c>
      <c r="AJ569" s="3">
        <f ca="1">IFERROR(__xludf.DUMMYFUNCTION("""COMPUTED_VALUE"""),174)</f>
        <v>174</v>
      </c>
      <c r="AK569" s="3">
        <f ca="1">IFERROR(__xludf.DUMMYFUNCTION("""COMPUTED_VALUE"""),773)</f>
        <v>773</v>
      </c>
      <c r="AL569" s="3"/>
    </row>
    <row r="570" spans="1:38" ht="13">
      <c r="A570" s="3">
        <f ca="1">IFERROR(__xludf.DUMMYFUNCTION("""COMPUTED_VALUE"""),1486)</f>
        <v>1486</v>
      </c>
      <c r="B570" s="3">
        <f ca="1">IFERROR(__xludf.DUMMYFUNCTION("""COMPUTED_VALUE"""),3)</f>
        <v>3</v>
      </c>
      <c r="C570" s="3">
        <f ca="1">IFERROR(__xludf.DUMMYFUNCTION("""COMPUTED_VALUE"""),4001)</f>
        <v>4001</v>
      </c>
      <c r="D570" s="3" t="str">
        <f ca="1">IFERROR(__xludf.DUMMYFUNCTION("""COMPUTED_VALUE"""),"Dashattan")</f>
        <v>Dashattan</v>
      </c>
      <c r="E570" s="3" t="str">
        <f ca="1">IFERROR(__xludf.DUMMYFUNCTION("""COMPUTED_VALUE"""),"Galaxy A")</f>
        <v>Galaxy A</v>
      </c>
      <c r="F570" s="3" t="str">
        <f ca="1">IFERROR(__xludf.DUMMYFUNCTION("""COMPUTED_VALUE"""),"Ron")</f>
        <v>Ron</v>
      </c>
      <c r="G570" s="3">
        <f ca="1">IFERROR(__xludf.DUMMYFUNCTION("""COMPUTED_VALUE"""),0)</f>
        <v>0</v>
      </c>
      <c r="H570" s="3" t="str">
        <f ca="1">IFERROR(__xludf.DUMMYFUNCTION("""COMPUTED_VALUE"""),"bicycle")</f>
        <v>bicycle</v>
      </c>
      <c r="I570" s="3" t="str">
        <f ca="1">IFERROR(__xludf.DUMMYFUNCTION("""COMPUTED_VALUE"""),"2055-06-12T22:55:03.842233Z")</f>
        <v>2055-06-12T22:55:03.842233Z</v>
      </c>
      <c r="J570" s="3" t="str">
        <f ca="1">IFERROR(__xludf.DUMMYFUNCTION("""COMPUTED_VALUE"""),"2055-06-13T00:10:05.911Z")</f>
        <v>2055-06-13T00:10:05.911Z</v>
      </c>
      <c r="K570" s="3" t="str">
        <f ca="1">IFERROR(__xludf.DUMMYFUNCTION("""COMPUTED_VALUE"""),"2055-06-13T00:10:05.911Z")</f>
        <v>2055-06-13T00:10:05.911Z</v>
      </c>
      <c r="L570" s="3">
        <f ca="1">IFERROR(__xludf.DUMMYFUNCTION("""COMPUTED_VALUE"""),0)</f>
        <v>0</v>
      </c>
      <c r="M570" s="3">
        <f ca="1">IFERROR(__xludf.DUMMYFUNCTION("""COMPUTED_VALUE"""),0)</f>
        <v>0</v>
      </c>
      <c r="N570" s="3" t="str">
        <f ca="1">IFERROR(__xludf.DUMMYFUNCTION("""COMPUTED_VALUE"""),"2055-06-12T23:41:42.91348Z")</f>
        <v>2055-06-12T23:41:42.91348Z</v>
      </c>
      <c r="O570" s="3" t="str">
        <f ca="1">IFERROR(__xludf.DUMMYFUNCTION("""COMPUTED_VALUE"""),"2055-06-12T23:53:13.956268Z")</f>
        <v>2055-06-12T23:53:13.956268Z</v>
      </c>
      <c r="P570" s="3" t="str">
        <f ca="1">IFERROR(__xludf.DUMMYFUNCTION("""COMPUTED_VALUE"""),"2055-06-12T23:01:16.253517Z")</f>
        <v>2055-06-12T23:01:16.253517Z</v>
      </c>
      <c r="Q570" s="3">
        <f ca="1">IFERROR(__xludf.DUMMYFUNCTION("""COMPUTED_VALUE"""),0)</f>
        <v>0</v>
      </c>
      <c r="R570" s="3" t="str">
        <f ca="1">IFERROR(__xludf.DUMMYFUNCTION("""COMPUTED_VALUE"""),"2055-06-12T23:01:53.239892Z")</f>
        <v>2055-06-12T23:01:53.239892Z</v>
      </c>
      <c r="S570" s="3" t="str">
        <f ca="1">IFERROR(__xludf.DUMMYFUNCTION("""COMPUTED_VALUE"""),"2055-06-12T23:32:30.821767Z")</f>
        <v>2055-06-12T23:32:30.821767Z</v>
      </c>
      <c r="T570" s="3"/>
      <c r="U570" s="4">
        <f ca="1">IFERROR(__xludf.DUMMYFUNCTION("""COMPUTED_VALUE"""),56777)</f>
        <v>56777</v>
      </c>
      <c r="V570" s="3">
        <f ca="1">IFERROR(__xludf.DUMMYFUNCTION("""COMPUTED_VALUE"""),4.3)</f>
        <v>4.3</v>
      </c>
      <c r="W570" s="3">
        <f ca="1">IFERROR(__xludf.DUMMYFUNCTION("""COMPUTED_VALUE"""),2000)</f>
        <v>2000</v>
      </c>
      <c r="X570" s="3">
        <f ca="1">IFERROR(__xludf.DUMMYFUNCTION("""COMPUTED_VALUE"""),3080)</f>
        <v>3080</v>
      </c>
      <c r="Y570" s="3">
        <f ca="1">IFERROR(__xludf.DUMMYFUNCTION("""COMPUTED_VALUE"""),1837)</f>
        <v>1837</v>
      </c>
      <c r="Z570" s="3">
        <f ca="1">IFERROR(__xludf.DUMMYFUNCTION("""COMPUTED_VALUE"""),552)</f>
        <v>552</v>
      </c>
      <c r="AA570" s="3">
        <f ca="1">IFERROR(__xludf.DUMMYFUNCTION("""COMPUTED_VALUE"""),691)</f>
        <v>691</v>
      </c>
      <c r="AB570" s="3">
        <f ca="1">IFERROR(__xludf.DUMMYFUNCTION("""COMPUTED_VALUE"""),0)</f>
        <v>0</v>
      </c>
      <c r="AC570" s="3">
        <f ca="1">IFERROR(__xludf.DUMMYFUNCTION("""COMPUTED_VALUE"""),2)</f>
        <v>2</v>
      </c>
      <c r="AD570" s="3" t="str">
        <f ca="1">IFERROR(__xludf.DUMMYFUNCTION("""COMPUTED_VALUE"""),"late")</f>
        <v>late</v>
      </c>
      <c r="AE570" s="3" t="str">
        <f ca="1">IFERROR(__xludf.DUMMYFUNCTION("""COMPUTED_VALUE"""),"2055-06-12T19:41:42.91348Z")</f>
        <v>2055-06-12T19:41:42.91348Z</v>
      </c>
      <c r="AF570" s="3" t="str">
        <f ca="1">IFERROR(__xludf.DUMMYFUNCTION("""COMPUTED_VALUE"""),"2055-06-12T19:53:13.956268Z")</f>
        <v>2055-06-12T19:53:13.956268Z</v>
      </c>
      <c r="AG570" s="3" t="str">
        <f ca="1">IFERROR(__xludf.DUMMYFUNCTION("""COMPUTED_VALUE"""),"2055-06-12T19:01:16.253517Z")</f>
        <v>2055-06-12T19:01:16.253517Z</v>
      </c>
      <c r="AH570" s="3" t="str">
        <f ca="1">IFERROR(__xludf.DUMMYFUNCTION("""COMPUTED_VALUE"""),"2055-06-12T19:32:30.821767Z")</f>
        <v>2055-06-12T19:32:30.821767Z</v>
      </c>
      <c r="AI570" s="3">
        <f ca="1">IFERROR(__xludf.DUMMYFUNCTION("""COMPUTED_VALUE"""),4.56)</f>
        <v>4.5599999999999996</v>
      </c>
      <c r="AJ570" s="3">
        <f ca="1">IFERROR(__xludf.DUMMYFUNCTION("""COMPUTED_VALUE"""),765)</f>
        <v>765</v>
      </c>
      <c r="AK570" s="3">
        <f ca="1">IFERROR(__xludf.DUMMYFUNCTION("""COMPUTED_VALUE"""),2618)</f>
        <v>2618</v>
      </c>
      <c r="AL570" s="3"/>
    </row>
    <row r="571" spans="1:38" ht="13">
      <c r="A571" s="3">
        <f ca="1">IFERROR(__xludf.DUMMYFUNCTION("""COMPUTED_VALUE"""),538)</f>
        <v>538</v>
      </c>
      <c r="B571" s="3">
        <f ca="1">IFERROR(__xludf.DUMMYFUNCTION("""COMPUTED_VALUE"""),5)</f>
        <v>5</v>
      </c>
      <c r="C571" s="3">
        <f ca="1">IFERROR(__xludf.DUMMYFUNCTION("""COMPUTED_VALUE"""),4050)</f>
        <v>4050</v>
      </c>
      <c r="D571" s="3" t="str">
        <f ca="1">IFERROR(__xludf.DUMMYFUNCTION("""COMPUTED_VALUE"""),"Doorlanta")</f>
        <v>Doorlanta</v>
      </c>
      <c r="E571" s="3" t="str">
        <f ca="1">IFERROR(__xludf.DUMMYFUNCTION("""COMPUTED_VALUE"""),"Galaxy A")</f>
        <v>Galaxy A</v>
      </c>
      <c r="F571" s="3" t="str">
        <f ca="1">IFERROR(__xludf.DUMMYFUNCTION("""COMPUTED_VALUE"""),"Codee")</f>
        <v>Codee</v>
      </c>
      <c r="G571" s="3">
        <f ca="1">IFERROR(__xludf.DUMMYFUNCTION("""COMPUTED_VALUE"""),0)</f>
        <v>0</v>
      </c>
      <c r="H571" s="3" t="str">
        <f ca="1">IFERROR(__xludf.DUMMYFUNCTION("""COMPUTED_VALUE"""),"car")</f>
        <v>car</v>
      </c>
      <c r="I571" s="3" t="str">
        <f ca="1">IFERROR(__xludf.DUMMYFUNCTION("""COMPUTED_VALUE"""),"2055-06-05T13:28:59.313061Z")</f>
        <v>2055-06-05T13:28:59.313061Z</v>
      </c>
      <c r="J571" s="3" t="str">
        <f ca="1">IFERROR(__xludf.DUMMYFUNCTION("""COMPUTED_VALUE"""),"2055-06-05T14:26:34.388Z")</f>
        <v>2055-06-05T14:26:34.388Z</v>
      </c>
      <c r="K571" s="3" t="str">
        <f ca="1">IFERROR(__xludf.DUMMYFUNCTION("""COMPUTED_VALUE"""),"2055-06-05T14:07:41.388Z")</f>
        <v>2055-06-05T14:07:41.388Z</v>
      </c>
      <c r="L571" s="3">
        <f ca="1">IFERROR(__xludf.DUMMYFUNCTION("""COMPUTED_VALUE"""),1)</f>
        <v>1</v>
      </c>
      <c r="M571" s="3">
        <f ca="1">IFERROR(__xludf.DUMMYFUNCTION("""COMPUTED_VALUE"""),0)</f>
        <v>0</v>
      </c>
      <c r="N571" s="3" t="str">
        <f ca="1">IFERROR(__xludf.DUMMYFUNCTION("""COMPUTED_VALUE"""),"2055-06-05T13:57:40.251503Z")</f>
        <v>2055-06-05T13:57:40.251503Z</v>
      </c>
      <c r="O571" s="3" t="str">
        <f ca="1">IFERROR(__xludf.DUMMYFUNCTION("""COMPUTED_VALUE"""),"2055-06-05T14:08:00.741369Z")</f>
        <v>2055-06-05T14:08:00.741369Z</v>
      </c>
      <c r="P571" s="3" t="str">
        <f ca="1">IFERROR(__xludf.DUMMYFUNCTION("""COMPUTED_VALUE"""),"2055-06-05T13:36:07.470495Z")</f>
        <v>2055-06-05T13:36:07.470495Z</v>
      </c>
      <c r="Q571" s="3">
        <f ca="1">IFERROR(__xludf.DUMMYFUNCTION("""COMPUTED_VALUE"""),0)</f>
        <v>0</v>
      </c>
      <c r="R571" s="3" t="str">
        <f ca="1">IFERROR(__xludf.DUMMYFUNCTION("""COMPUTED_VALUE"""),"2055-06-05T13:36:23.897377Z")</f>
        <v>2055-06-05T13:36:23.897377Z</v>
      </c>
      <c r="S571" s="3" t="str">
        <f ca="1">IFERROR(__xludf.DUMMYFUNCTION("""COMPUTED_VALUE"""),"2055-06-05T13:55:57.502671Z")</f>
        <v>2055-06-05T13:55:57.502671Z</v>
      </c>
      <c r="T571" s="3"/>
      <c r="U571" s="4">
        <f ca="1">IFERROR(__xludf.DUMMYFUNCTION("""COMPUTED_VALUE"""),56770)</f>
        <v>56770</v>
      </c>
      <c r="V571" s="3">
        <f ca="1">IFERROR(__xludf.DUMMYFUNCTION("""COMPUTED_VALUE"""),4.7)</f>
        <v>4.7</v>
      </c>
      <c r="W571" s="3">
        <f ca="1">IFERROR(__xludf.DUMMYFUNCTION("""COMPUTED_VALUE"""),2000)</f>
        <v>2000</v>
      </c>
      <c r="X571" s="3">
        <f ca="1">IFERROR(__xludf.DUMMYFUNCTION("""COMPUTED_VALUE"""),1897)</f>
        <v>1897</v>
      </c>
      <c r="Y571" s="3">
        <f ca="1">IFERROR(__xludf.DUMMYFUNCTION("""COMPUTED_VALUE"""),1174)</f>
        <v>1174</v>
      </c>
      <c r="Z571" s="3">
        <f ca="1">IFERROR(__xludf.DUMMYFUNCTION("""COMPUTED_VALUE"""),103)</f>
        <v>103</v>
      </c>
      <c r="AA571" s="3">
        <f ca="1">IFERROR(__xludf.DUMMYFUNCTION("""COMPUTED_VALUE"""),620)</f>
        <v>620</v>
      </c>
      <c r="AB571" s="3">
        <f ca="1">IFERROR(__xludf.DUMMYFUNCTION("""COMPUTED_VALUE"""),0)</f>
        <v>0</v>
      </c>
      <c r="AC571" s="3">
        <f ca="1">IFERROR(__xludf.DUMMYFUNCTION("""COMPUTED_VALUE"""),2)</f>
        <v>2</v>
      </c>
      <c r="AD571" s="3" t="str">
        <f ca="1">IFERROR(__xludf.DUMMYFUNCTION("""COMPUTED_VALUE"""),"late")</f>
        <v>late</v>
      </c>
      <c r="AE571" s="3" t="str">
        <f ca="1">IFERROR(__xludf.DUMMYFUNCTION("""COMPUTED_VALUE"""),"2055-06-05T09:57:40.251503Z")</f>
        <v>2055-06-05T09:57:40.251503Z</v>
      </c>
      <c r="AF571" s="3" t="str">
        <f ca="1">IFERROR(__xludf.DUMMYFUNCTION("""COMPUTED_VALUE"""),"2055-06-05T10:08:00.741369Z")</f>
        <v>2055-06-05T10:08:00.741369Z</v>
      </c>
      <c r="AG571" s="3" t="str">
        <f ca="1">IFERROR(__xludf.DUMMYFUNCTION("""COMPUTED_VALUE"""),"2055-06-05T09:36:07.470495Z")</f>
        <v>2055-06-05T09:36:07.470495Z</v>
      </c>
      <c r="AH571" s="3" t="str">
        <f ca="1">IFERROR(__xludf.DUMMYFUNCTION("""COMPUTED_VALUE"""),"2055-06-05T09:55:57.502671Z")</f>
        <v>2055-06-05T09:55:57.502671Z</v>
      </c>
      <c r="AI571" s="3">
        <f ca="1">IFERROR(__xludf.DUMMYFUNCTION("""COMPUTED_VALUE"""),4.367088608)</f>
        <v>4.3670886080000004</v>
      </c>
      <c r="AJ571" s="3">
        <f ca="1">IFERROR(__xludf.DUMMYFUNCTION("""COMPUTED_VALUE"""),59)</f>
        <v>59</v>
      </c>
      <c r="AK571" s="3">
        <f ca="1">IFERROR(__xludf.DUMMYFUNCTION("""COMPUTED_VALUE"""),198)</f>
        <v>198</v>
      </c>
      <c r="AL571" s="3">
        <f ca="1">IFERROR(__xludf.DUMMYFUNCTION("""COMPUTED_VALUE"""),42)</f>
        <v>42</v>
      </c>
    </row>
    <row r="572" spans="1:38" ht="13">
      <c r="A572" s="3">
        <f ca="1">IFERROR(__xludf.DUMMYFUNCTION("""COMPUTED_VALUE"""),700)</f>
        <v>700</v>
      </c>
      <c r="B572" s="3">
        <f ca="1">IFERROR(__xludf.DUMMYFUNCTION("""COMPUTED_VALUE"""),5)</f>
        <v>5</v>
      </c>
      <c r="C572" s="3">
        <f ca="1">IFERROR(__xludf.DUMMYFUNCTION("""COMPUTED_VALUE"""),4050)</f>
        <v>4050</v>
      </c>
      <c r="D572" s="3" t="str">
        <f ca="1">IFERROR(__xludf.DUMMYFUNCTION("""COMPUTED_VALUE"""),"Doorlanta")</f>
        <v>Doorlanta</v>
      </c>
      <c r="E572" s="3" t="str">
        <f ca="1">IFERROR(__xludf.DUMMYFUNCTION("""COMPUTED_VALUE"""),"Galaxy A")</f>
        <v>Galaxy A</v>
      </c>
      <c r="F572" s="3" t="str">
        <f ca="1">IFERROR(__xludf.DUMMYFUNCTION("""COMPUTED_VALUE"""),"Cate")</f>
        <v>Cate</v>
      </c>
      <c r="G572" s="3">
        <f ca="1">IFERROR(__xludf.DUMMYFUNCTION("""COMPUTED_VALUE"""),0)</f>
        <v>0</v>
      </c>
      <c r="H572" s="3" t="str">
        <f ca="1">IFERROR(__xludf.DUMMYFUNCTION("""COMPUTED_VALUE"""),"car")</f>
        <v>car</v>
      </c>
      <c r="I572" s="3" t="str">
        <f ca="1">IFERROR(__xludf.DUMMYFUNCTION("""COMPUTED_VALUE"""),"2055-06-06T00:17:43.084768Z")</f>
        <v>2055-06-06T00:17:43.084768Z</v>
      </c>
      <c r="J572" s="3" t="str">
        <f ca="1">IFERROR(__xludf.DUMMYFUNCTION("""COMPUTED_VALUE"""),"2055-06-06T01:26:24.211Z")</f>
        <v>2055-06-06T01:26:24.211Z</v>
      </c>
      <c r="K572" s="3" t="str">
        <f ca="1">IFERROR(__xludf.DUMMYFUNCTION("""COMPUTED_VALUE"""),"2055-06-06T01:14:30.211Z")</f>
        <v>2055-06-06T01:14:30.211Z</v>
      </c>
      <c r="L572" s="3">
        <f ca="1">IFERROR(__xludf.DUMMYFUNCTION("""COMPUTED_VALUE"""),1)</f>
        <v>1</v>
      </c>
      <c r="M572" s="3">
        <f ca="1">IFERROR(__xludf.DUMMYFUNCTION("""COMPUTED_VALUE"""),0)</f>
        <v>0</v>
      </c>
      <c r="N572" s="3" t="str">
        <f ca="1">IFERROR(__xludf.DUMMYFUNCTION("""COMPUTED_VALUE"""),"2055-06-06T01:51:13.038549Z")</f>
        <v>2055-06-06T01:51:13.038549Z</v>
      </c>
      <c r="O572" s="3" t="str">
        <f ca="1">IFERROR(__xludf.DUMMYFUNCTION("""COMPUTED_VALUE"""),"2055-06-06T02:10:31.028034Z")</f>
        <v>2055-06-06T02:10:31.028034Z</v>
      </c>
      <c r="P572" s="3" t="str">
        <f ca="1">IFERROR(__xludf.DUMMYFUNCTION("""COMPUTED_VALUE"""),"2055-06-06T01:26:47.308558Z")</f>
        <v>2055-06-06T01:26:47.308558Z</v>
      </c>
      <c r="Q572" s="3">
        <f ca="1">IFERROR(__xludf.DUMMYFUNCTION("""COMPUTED_VALUE"""),0)</f>
        <v>0</v>
      </c>
      <c r="R572" s="3" t="str">
        <f ca="1">IFERROR(__xludf.DUMMYFUNCTION("""COMPUTED_VALUE"""),"2055-06-06T01:26:51.508324Z")</f>
        <v>2055-06-06T01:26:51.508324Z</v>
      </c>
      <c r="S572" s="3"/>
      <c r="T572" s="3"/>
      <c r="U572" s="4">
        <f ca="1">IFERROR(__xludf.DUMMYFUNCTION("""COMPUTED_VALUE"""),56770)</f>
        <v>56770</v>
      </c>
      <c r="V572" s="3">
        <f ca="1">IFERROR(__xludf.DUMMYFUNCTION("""COMPUTED_VALUE"""),4.6)</f>
        <v>4.5999999999999996</v>
      </c>
      <c r="W572" s="3">
        <f ca="1">IFERROR(__xludf.DUMMYFUNCTION("""COMPUTED_VALUE"""),2000)</f>
        <v>2000</v>
      </c>
      <c r="X572" s="3">
        <f ca="1">IFERROR(__xludf.DUMMYFUNCTION("""COMPUTED_VALUE"""),2620)</f>
        <v>2620</v>
      </c>
      <c r="Y572" s="3"/>
      <c r="Z572" s="3"/>
      <c r="AA572" s="3">
        <f ca="1">IFERROR(__xludf.DUMMYFUNCTION("""COMPUTED_VALUE"""),1158)</f>
        <v>1158</v>
      </c>
      <c r="AB572" s="3">
        <f ca="1">IFERROR(__xludf.DUMMYFUNCTION("""COMPUTED_VALUE"""),0)</f>
        <v>0</v>
      </c>
      <c r="AC572" s="3">
        <f ca="1">IFERROR(__xludf.DUMMYFUNCTION("""COMPUTED_VALUE"""),9)</f>
        <v>9</v>
      </c>
      <c r="AD572" s="3"/>
      <c r="AE572" s="3" t="str">
        <f ca="1">IFERROR(__xludf.DUMMYFUNCTION("""COMPUTED_VALUE"""),"2055-06-05T21:51:13.038549Z")</f>
        <v>2055-06-05T21:51:13.038549Z</v>
      </c>
      <c r="AF572" s="3" t="str">
        <f ca="1">IFERROR(__xludf.DUMMYFUNCTION("""COMPUTED_VALUE"""),"2055-06-05T22:10:31.028034Z")</f>
        <v>2055-06-05T22:10:31.028034Z</v>
      </c>
      <c r="AG572" s="3" t="str">
        <f ca="1">IFERROR(__xludf.DUMMYFUNCTION("""COMPUTED_VALUE"""),"2055-06-05T21:26:47.308558Z")</f>
        <v>2055-06-05T21:26:47.308558Z</v>
      </c>
      <c r="AH572" s="3"/>
      <c r="AI572" s="3">
        <f ca="1">IFERROR(__xludf.DUMMYFUNCTION("""COMPUTED_VALUE"""),4.49)</f>
        <v>4.49</v>
      </c>
      <c r="AJ572" s="3">
        <f ca="1">IFERROR(__xludf.DUMMYFUNCTION("""COMPUTED_VALUE"""),2315)</f>
        <v>2315</v>
      </c>
      <c r="AK572" s="3">
        <f ca="1">IFERROR(__xludf.DUMMYFUNCTION("""COMPUTED_VALUE"""),7039)</f>
        <v>7039</v>
      </c>
      <c r="AL572" s="3">
        <f ca="1">IFERROR(__xludf.DUMMYFUNCTION("""COMPUTED_VALUE"""),763)</f>
        <v>763</v>
      </c>
    </row>
    <row r="573" spans="1:38" ht="13">
      <c r="A573" s="3">
        <f ca="1">IFERROR(__xludf.DUMMYFUNCTION("""COMPUTED_VALUE"""),269)</f>
        <v>269</v>
      </c>
      <c r="B573" s="3">
        <f ca="1">IFERROR(__xludf.DUMMYFUNCTION("""COMPUTED_VALUE"""),4)</f>
        <v>4</v>
      </c>
      <c r="C573" s="3">
        <f ca="1">IFERROR(__xludf.DUMMYFUNCTION("""COMPUTED_VALUE"""),4001)</f>
        <v>4001</v>
      </c>
      <c r="D573" s="3" t="str">
        <f ca="1">IFERROR(__xludf.DUMMYFUNCTION("""COMPUTED_VALUE"""),"Dashattan")</f>
        <v>Dashattan</v>
      </c>
      <c r="E573" s="3" t="str">
        <f ca="1">IFERROR(__xludf.DUMMYFUNCTION("""COMPUTED_VALUE"""),"Galaxy A")</f>
        <v>Galaxy A</v>
      </c>
      <c r="F573" s="3" t="str">
        <f ca="1">IFERROR(__xludf.DUMMYFUNCTION("""COMPUTED_VALUE"""),"KC")</f>
        <v>KC</v>
      </c>
      <c r="G573" s="3">
        <f ca="1">IFERROR(__xludf.DUMMYFUNCTION("""COMPUTED_VALUE"""),0)</f>
        <v>0</v>
      </c>
      <c r="H573" s="3" t="str">
        <f ca="1">IFERROR(__xludf.DUMMYFUNCTION("""COMPUTED_VALUE"""),"car")</f>
        <v>car</v>
      </c>
      <c r="I573" s="3" t="str">
        <f ca="1">IFERROR(__xludf.DUMMYFUNCTION("""COMPUTED_VALUE"""),"2055-06-03T15:40:24.827926Z")</f>
        <v>2055-06-03T15:40:24.827926Z</v>
      </c>
      <c r="J573" s="3" t="str">
        <f ca="1">IFERROR(__xludf.DUMMYFUNCTION("""COMPUTED_VALUE"""),"2055-06-03T16:19:50.922Z")</f>
        <v>2055-06-03T16:19:50.922Z</v>
      </c>
      <c r="K573" s="3" t="str">
        <f ca="1">IFERROR(__xludf.DUMMYFUNCTION("""COMPUTED_VALUE"""),"2055-06-03T16:15:57.922Z")</f>
        <v>2055-06-03T16:15:57.922Z</v>
      </c>
      <c r="L573" s="3">
        <f ca="1">IFERROR(__xludf.DUMMYFUNCTION("""COMPUTED_VALUE"""),1)</f>
        <v>1</v>
      </c>
      <c r="M573" s="3">
        <f ca="1">IFERROR(__xludf.DUMMYFUNCTION("""COMPUTED_VALUE"""),0)</f>
        <v>0</v>
      </c>
      <c r="N573" s="3" t="str">
        <f ca="1">IFERROR(__xludf.DUMMYFUNCTION("""COMPUTED_VALUE"""),"2055-06-03T15:59:03.026375Z")</f>
        <v>2055-06-03T15:59:03.026375Z</v>
      </c>
      <c r="O573" s="3" t="str">
        <f ca="1">IFERROR(__xludf.DUMMYFUNCTION("""COMPUTED_VALUE"""),"2055-06-03T16:12:46.346389Z")</f>
        <v>2055-06-03T16:12:46.346389Z</v>
      </c>
      <c r="P573" s="3" t="str">
        <f ca="1">IFERROR(__xludf.DUMMYFUNCTION("""COMPUTED_VALUE"""),"2055-06-03T15:40:34.13835Z")</f>
        <v>2055-06-03T15:40:34.13835Z</v>
      </c>
      <c r="Q573" s="3">
        <f ca="1">IFERROR(__xludf.DUMMYFUNCTION("""COMPUTED_VALUE"""),0)</f>
        <v>0</v>
      </c>
      <c r="R573" s="3" t="str">
        <f ca="1">IFERROR(__xludf.DUMMYFUNCTION("""COMPUTED_VALUE"""),"2055-06-03T15:40:44.057779Z")</f>
        <v>2055-06-03T15:40:44.057779Z</v>
      </c>
      <c r="S573" s="3" t="str">
        <f ca="1">IFERROR(__xludf.DUMMYFUNCTION("""COMPUTED_VALUE"""),"2055-06-03T15:51:30.377423Z")</f>
        <v>2055-06-03T15:51:30.377423Z</v>
      </c>
      <c r="T573" s="3"/>
      <c r="U573" s="4">
        <f ca="1">IFERROR(__xludf.DUMMYFUNCTION("""COMPUTED_VALUE"""),56768)</f>
        <v>56768</v>
      </c>
      <c r="V573" s="3">
        <f ca="1">IFERROR(__xludf.DUMMYFUNCTION("""COMPUTED_VALUE"""),4.3)</f>
        <v>4.3</v>
      </c>
      <c r="W573" s="3">
        <f ca="1">IFERROR(__xludf.DUMMYFUNCTION("""COMPUTED_VALUE"""),2000)</f>
        <v>2000</v>
      </c>
      <c r="X573" s="3">
        <f ca="1">IFERROR(__xludf.DUMMYFUNCTION("""COMPUTED_VALUE"""),1922)</f>
        <v>1922</v>
      </c>
      <c r="Y573" s="3">
        <f ca="1">IFERROR(__xludf.DUMMYFUNCTION("""COMPUTED_VALUE"""),646)</f>
        <v>646</v>
      </c>
      <c r="Z573" s="3">
        <f ca="1">IFERROR(__xludf.DUMMYFUNCTION("""COMPUTED_VALUE"""),453)</f>
        <v>453</v>
      </c>
      <c r="AA573" s="3">
        <f ca="1">IFERROR(__xludf.DUMMYFUNCTION("""COMPUTED_VALUE"""),823)</f>
        <v>823</v>
      </c>
      <c r="AB573" s="3">
        <f ca="1">IFERROR(__xludf.DUMMYFUNCTION("""COMPUTED_VALUE"""),1)</f>
        <v>1</v>
      </c>
      <c r="AC573" s="3">
        <f ca="1">IFERROR(__xludf.DUMMYFUNCTION("""COMPUTED_VALUE"""),2)</f>
        <v>2</v>
      </c>
      <c r="AD573" s="3"/>
      <c r="AE573" s="3" t="str">
        <f ca="1">IFERROR(__xludf.DUMMYFUNCTION("""COMPUTED_VALUE"""),"2055-06-03T11:59:03.026375Z")</f>
        <v>2055-06-03T11:59:03.026375Z</v>
      </c>
      <c r="AF573" s="3" t="str">
        <f ca="1">IFERROR(__xludf.DUMMYFUNCTION("""COMPUTED_VALUE"""),"2055-06-03T12:12:46.346389Z")</f>
        <v>2055-06-03T12:12:46.346389Z</v>
      </c>
      <c r="AG573" s="3" t="str">
        <f ca="1">IFERROR(__xludf.DUMMYFUNCTION("""COMPUTED_VALUE"""),"2055-06-03T11:40:34.13835Z")</f>
        <v>2055-06-03T11:40:34.13835Z</v>
      </c>
      <c r="AH573" s="3" t="str">
        <f ca="1">IFERROR(__xludf.DUMMYFUNCTION("""COMPUTED_VALUE"""),"2055-06-03T11:51:30.377423Z")</f>
        <v>2055-06-03T11:51:30.377423Z</v>
      </c>
      <c r="AI573" s="3">
        <f ca="1">IFERROR(__xludf.DUMMYFUNCTION("""COMPUTED_VALUE"""),4.54)</f>
        <v>4.54</v>
      </c>
      <c r="AJ573" s="3">
        <f ca="1">IFERROR(__xludf.DUMMYFUNCTION("""COMPUTED_VALUE"""),2229)</f>
        <v>2229</v>
      </c>
      <c r="AK573" s="3">
        <f ca="1">IFERROR(__xludf.DUMMYFUNCTION("""COMPUTED_VALUE"""),6580)</f>
        <v>6580</v>
      </c>
      <c r="AL573" s="3"/>
    </row>
    <row r="574" spans="1:38" ht="13">
      <c r="A574" s="3">
        <f ca="1">IFERROR(__xludf.DUMMYFUNCTION("""COMPUTED_VALUE"""),471)</f>
        <v>471</v>
      </c>
      <c r="B574" s="3"/>
      <c r="C574" s="3">
        <f ca="1">IFERROR(__xludf.DUMMYFUNCTION("""COMPUTED_VALUE"""),4050)</f>
        <v>4050</v>
      </c>
      <c r="D574" s="3" t="str">
        <f ca="1">IFERROR(__xludf.DUMMYFUNCTION("""COMPUTED_VALUE"""),"Doorlanta")</f>
        <v>Doorlanta</v>
      </c>
      <c r="E574" s="3" t="str">
        <f ca="1">IFERROR(__xludf.DUMMYFUNCTION("""COMPUTED_VALUE"""),"Galaxy A")</f>
        <v>Galaxy A</v>
      </c>
      <c r="F574" s="3" t="str">
        <f ca="1">IFERROR(__xludf.DUMMYFUNCTION("""COMPUTED_VALUE"""),"Erinn")</f>
        <v>Erinn</v>
      </c>
      <c r="G574" s="3">
        <f ca="1">IFERROR(__xludf.DUMMYFUNCTION("""COMPUTED_VALUE"""),0)</f>
        <v>0</v>
      </c>
      <c r="H574" s="3" t="str">
        <f ca="1">IFERROR(__xludf.DUMMYFUNCTION("""COMPUTED_VALUE"""),"car")</f>
        <v>car</v>
      </c>
      <c r="I574" s="3" t="str">
        <f ca="1">IFERROR(__xludf.DUMMYFUNCTION("""COMPUTED_VALUE"""),"2055-06-04T22:40:50.12152Z")</f>
        <v>2055-06-04T22:40:50.12152Z</v>
      </c>
      <c r="J574" s="3" t="str">
        <f ca="1">IFERROR(__xludf.DUMMYFUNCTION("""COMPUTED_VALUE"""),"2055-06-04T23:25:50.19Z")</f>
        <v>2055-06-04T23:25:50.19Z</v>
      </c>
      <c r="K574" s="3" t="str">
        <f ca="1">IFERROR(__xludf.DUMMYFUNCTION("""COMPUTED_VALUE"""),"2055-06-04T23:20:07.19Z")</f>
        <v>2055-06-04T23:20:07.19Z</v>
      </c>
      <c r="L574" s="3">
        <f ca="1">IFERROR(__xludf.DUMMYFUNCTION("""COMPUTED_VALUE"""),1)</f>
        <v>1</v>
      </c>
      <c r="M574" s="3">
        <f ca="1">IFERROR(__xludf.DUMMYFUNCTION("""COMPUTED_VALUE"""),0)</f>
        <v>0</v>
      </c>
      <c r="N574" s="3" t="str">
        <f ca="1">IFERROR(__xludf.DUMMYFUNCTION("""COMPUTED_VALUE"""),"2055-06-04T23:21:41.281921Z")</f>
        <v>2055-06-04T23:21:41.281921Z</v>
      </c>
      <c r="O574" s="3" t="str">
        <f ca="1">IFERROR(__xludf.DUMMYFUNCTION("""COMPUTED_VALUE"""),"2055-06-04T23:33:00.032765Z")</f>
        <v>2055-06-04T23:33:00.032765Z</v>
      </c>
      <c r="P574" s="3" t="str">
        <f ca="1">IFERROR(__xludf.DUMMYFUNCTION("""COMPUTED_VALUE"""),"2055-06-04T22:50:07.614644Z")</f>
        <v>2055-06-04T22:50:07.614644Z</v>
      </c>
      <c r="Q574" s="3">
        <f ca="1">IFERROR(__xludf.DUMMYFUNCTION("""COMPUTED_VALUE"""),0)</f>
        <v>0</v>
      </c>
      <c r="R574" s="3" t="str">
        <f ca="1">IFERROR(__xludf.DUMMYFUNCTION("""COMPUTED_VALUE"""),"2055-06-04T22:50:14.610395Z")</f>
        <v>2055-06-04T22:50:14.610395Z</v>
      </c>
      <c r="S574" s="3" t="str">
        <f ca="1">IFERROR(__xludf.DUMMYFUNCTION("""COMPUTED_VALUE"""),"2055-06-04T22:58:09.935097Z")</f>
        <v>2055-06-04T22:58:09.935097Z</v>
      </c>
      <c r="T574" s="3"/>
      <c r="U574" s="4">
        <f ca="1">IFERROR(__xludf.DUMMYFUNCTION("""COMPUTED_VALUE"""),56769)</f>
        <v>56769</v>
      </c>
      <c r="V574" s="3">
        <f ca="1">IFERROR(__xludf.DUMMYFUNCTION("""COMPUTED_VALUE"""),4.7)</f>
        <v>4.7</v>
      </c>
      <c r="W574" s="3">
        <f ca="1">IFERROR(__xludf.DUMMYFUNCTION("""COMPUTED_VALUE"""),2000)</f>
        <v>2000</v>
      </c>
      <c r="X574" s="3">
        <f ca="1">IFERROR(__xludf.DUMMYFUNCTION("""COMPUTED_VALUE"""),2566)</f>
        <v>2566</v>
      </c>
      <c r="Y574" s="3">
        <f ca="1">IFERROR(__xludf.DUMMYFUNCTION("""COMPUTED_VALUE"""),475)</f>
        <v>475</v>
      </c>
      <c r="Z574" s="3">
        <f ca="1">IFERROR(__xludf.DUMMYFUNCTION("""COMPUTED_VALUE"""),1412)</f>
        <v>1412</v>
      </c>
      <c r="AA574" s="3">
        <f ca="1">IFERROR(__xludf.DUMMYFUNCTION("""COMPUTED_VALUE"""),679)</f>
        <v>679</v>
      </c>
      <c r="AB574" s="3">
        <f ca="1">IFERROR(__xludf.DUMMYFUNCTION("""COMPUTED_VALUE"""),0)</f>
        <v>0</v>
      </c>
      <c r="AC574" s="3">
        <f ca="1">IFERROR(__xludf.DUMMYFUNCTION("""COMPUTED_VALUE"""),4)</f>
        <v>4</v>
      </c>
      <c r="AD574" s="3" t="str">
        <f ca="1">IFERROR(__xludf.DUMMYFUNCTION("""COMPUTED_VALUE"""),"early")</f>
        <v>early</v>
      </c>
      <c r="AE574" s="3" t="str">
        <f ca="1">IFERROR(__xludf.DUMMYFUNCTION("""COMPUTED_VALUE"""),"2055-06-04T19:21:41.281921Z")</f>
        <v>2055-06-04T19:21:41.281921Z</v>
      </c>
      <c r="AF574" s="3" t="str">
        <f ca="1">IFERROR(__xludf.DUMMYFUNCTION("""COMPUTED_VALUE"""),"2055-06-04T19:33:00.032765Z")</f>
        <v>2055-06-04T19:33:00.032765Z</v>
      </c>
      <c r="AG574" s="3" t="str">
        <f ca="1">IFERROR(__xludf.DUMMYFUNCTION("""COMPUTED_VALUE"""),"2055-06-04T18:50:07.614644Z")</f>
        <v>2055-06-04T18:50:07.614644Z</v>
      </c>
      <c r="AH574" s="3" t="str">
        <f ca="1">IFERROR(__xludf.DUMMYFUNCTION("""COMPUTED_VALUE"""),"2055-06-04T18:58:09.935097Z")</f>
        <v>2055-06-04T18:58:09.935097Z</v>
      </c>
      <c r="AI574" s="3">
        <f ca="1">IFERROR(__xludf.DUMMYFUNCTION("""COMPUTED_VALUE"""),4.376470588)</f>
        <v>4.3764705880000001</v>
      </c>
      <c r="AJ574" s="3">
        <f ca="1">IFERROR(__xludf.DUMMYFUNCTION("""COMPUTED_VALUE"""),62)</f>
        <v>62</v>
      </c>
      <c r="AK574" s="3">
        <f ca="1">IFERROR(__xludf.DUMMYFUNCTION("""COMPUTED_VALUE"""),219)</f>
        <v>219</v>
      </c>
      <c r="AL574" s="3">
        <f ca="1">IFERROR(__xludf.DUMMYFUNCTION("""COMPUTED_VALUE"""),113)</f>
        <v>113</v>
      </c>
    </row>
    <row r="575" spans="1:38" ht="13">
      <c r="A575" s="3">
        <f ca="1">IFERROR(__xludf.DUMMYFUNCTION("""COMPUTED_VALUE"""),389)</f>
        <v>389</v>
      </c>
      <c r="B575" s="3"/>
      <c r="C575" s="3">
        <f ca="1">IFERROR(__xludf.DUMMYFUNCTION("""COMPUTED_VALUE"""),4050)</f>
        <v>4050</v>
      </c>
      <c r="D575" s="3" t="str">
        <f ca="1">IFERROR(__xludf.DUMMYFUNCTION("""COMPUTED_VALUE"""),"Doorlanta")</f>
        <v>Doorlanta</v>
      </c>
      <c r="E575" s="3" t="str">
        <f ca="1">IFERROR(__xludf.DUMMYFUNCTION("""COMPUTED_VALUE"""),"Galaxy A")</f>
        <v>Galaxy A</v>
      </c>
      <c r="F575" s="3" t="str">
        <f ca="1">IFERROR(__xludf.DUMMYFUNCTION("""COMPUTED_VALUE"""),"Cate")</f>
        <v>Cate</v>
      </c>
      <c r="G575" s="3">
        <f ca="1">IFERROR(__xludf.DUMMYFUNCTION("""COMPUTED_VALUE"""),0)</f>
        <v>0</v>
      </c>
      <c r="H575" s="3" t="str">
        <f ca="1">IFERROR(__xludf.DUMMYFUNCTION("""COMPUTED_VALUE"""),"car")</f>
        <v>car</v>
      </c>
      <c r="I575" s="3" t="str">
        <f ca="1">IFERROR(__xludf.DUMMYFUNCTION("""COMPUTED_VALUE"""),"2055-06-04T01:07:58.655225Z")</f>
        <v>2055-06-04T01:07:58.655225Z</v>
      </c>
      <c r="J575" s="3" t="str">
        <f ca="1">IFERROR(__xludf.DUMMYFUNCTION("""COMPUTED_VALUE"""),"2055-06-04T02:02:58.736Z")</f>
        <v>2055-06-04T02:02:58.736Z</v>
      </c>
      <c r="K575" s="3" t="str">
        <f ca="1">IFERROR(__xludf.DUMMYFUNCTION("""COMPUTED_VALUE"""),"2055-06-04T01:41:27.736Z")</f>
        <v>2055-06-04T01:41:27.736Z</v>
      </c>
      <c r="L575" s="3">
        <f ca="1">IFERROR(__xludf.DUMMYFUNCTION("""COMPUTED_VALUE"""),1)</f>
        <v>1</v>
      </c>
      <c r="M575" s="3">
        <f ca="1">IFERROR(__xludf.DUMMYFUNCTION("""COMPUTED_VALUE"""),0)</f>
        <v>0</v>
      </c>
      <c r="N575" s="3" t="str">
        <f ca="1">IFERROR(__xludf.DUMMYFUNCTION("""COMPUTED_VALUE"""),"2055-06-04T01:26:13.438865Z")</f>
        <v>2055-06-04T01:26:13.438865Z</v>
      </c>
      <c r="O575" s="3" t="str">
        <f ca="1">IFERROR(__xludf.DUMMYFUNCTION("""COMPUTED_VALUE"""),"2055-06-04T01:38:34.321518Z")</f>
        <v>2055-06-04T01:38:34.321518Z</v>
      </c>
      <c r="P575" s="3" t="str">
        <f ca="1">IFERROR(__xludf.DUMMYFUNCTION("""COMPUTED_VALUE"""),"2055-06-04T01:08:07.280054Z")</f>
        <v>2055-06-04T01:08:07.280054Z</v>
      </c>
      <c r="Q575" s="3">
        <f ca="1">IFERROR(__xludf.DUMMYFUNCTION("""COMPUTED_VALUE"""),0)</f>
        <v>0</v>
      </c>
      <c r="R575" s="3" t="str">
        <f ca="1">IFERROR(__xludf.DUMMYFUNCTION("""COMPUTED_VALUE"""),"2055-06-04T01:08:12.872496Z")</f>
        <v>2055-06-04T01:08:12.872496Z</v>
      </c>
      <c r="S575" s="3"/>
      <c r="T575" s="3"/>
      <c r="U575" s="4">
        <f ca="1">IFERROR(__xludf.DUMMYFUNCTION("""COMPUTED_VALUE"""),56768)</f>
        <v>56768</v>
      </c>
      <c r="V575" s="3">
        <f ca="1">IFERROR(__xludf.DUMMYFUNCTION("""COMPUTED_VALUE"""),4.6)</f>
        <v>4.5999999999999996</v>
      </c>
      <c r="W575" s="3">
        <f ca="1">IFERROR(__xludf.DUMMYFUNCTION("""COMPUTED_VALUE"""),2000)</f>
        <v>2000</v>
      </c>
      <c r="X575" s="3">
        <f ca="1">IFERROR(__xludf.DUMMYFUNCTION("""COMPUTED_VALUE"""),1822)</f>
        <v>1822</v>
      </c>
      <c r="Y575" s="3"/>
      <c r="Z575" s="3"/>
      <c r="AA575" s="3">
        <f ca="1">IFERROR(__xludf.DUMMYFUNCTION("""COMPUTED_VALUE"""),741)</f>
        <v>741</v>
      </c>
      <c r="AB575" s="3">
        <f ca="1">IFERROR(__xludf.DUMMYFUNCTION("""COMPUTED_VALUE"""),0)</f>
        <v>0</v>
      </c>
      <c r="AC575" s="3">
        <f ca="1">IFERROR(__xludf.DUMMYFUNCTION("""COMPUTED_VALUE"""),4)</f>
        <v>4</v>
      </c>
      <c r="AD575" s="3"/>
      <c r="AE575" s="3" t="str">
        <f ca="1">IFERROR(__xludf.DUMMYFUNCTION("""COMPUTED_VALUE"""),"2055-06-03T21:26:13.438865Z")</f>
        <v>2055-06-03T21:26:13.438865Z</v>
      </c>
      <c r="AF575" s="3" t="str">
        <f ca="1">IFERROR(__xludf.DUMMYFUNCTION("""COMPUTED_VALUE"""),"2055-06-03T21:38:34.321518Z")</f>
        <v>2055-06-03T21:38:34.321518Z</v>
      </c>
      <c r="AG575" s="3" t="str">
        <f ca="1">IFERROR(__xludf.DUMMYFUNCTION("""COMPUTED_VALUE"""),"2055-06-03T21:08:07.280054Z")</f>
        <v>2055-06-03T21:08:07.280054Z</v>
      </c>
      <c r="AH575" s="3"/>
      <c r="AI575" s="3">
        <f ca="1">IFERROR(__xludf.DUMMYFUNCTION("""COMPUTED_VALUE"""),4.49)</f>
        <v>4.49</v>
      </c>
      <c r="AJ575" s="3">
        <f ca="1">IFERROR(__xludf.DUMMYFUNCTION("""COMPUTED_VALUE"""),2315)</f>
        <v>2315</v>
      </c>
      <c r="AK575" s="3">
        <f ca="1">IFERROR(__xludf.DUMMYFUNCTION("""COMPUTED_VALUE"""),7039)</f>
        <v>7039</v>
      </c>
      <c r="AL575" s="3">
        <f ca="1">IFERROR(__xludf.DUMMYFUNCTION("""COMPUTED_VALUE"""),763)</f>
        <v>763</v>
      </c>
    </row>
    <row r="576" spans="1:38" ht="13">
      <c r="A576" s="3">
        <f ca="1">IFERROR(__xludf.DUMMYFUNCTION("""COMPUTED_VALUE"""),227)</f>
        <v>227</v>
      </c>
      <c r="B576" s="3"/>
      <c r="C576" s="3">
        <f ca="1">IFERROR(__xludf.DUMMYFUNCTION("""COMPUTED_VALUE"""),4001)</f>
        <v>4001</v>
      </c>
      <c r="D576" s="3" t="str">
        <f ca="1">IFERROR(__xludf.DUMMYFUNCTION("""COMPUTED_VALUE"""),"Dashattan")</f>
        <v>Dashattan</v>
      </c>
      <c r="E576" s="3" t="str">
        <f ca="1">IFERROR(__xludf.DUMMYFUNCTION("""COMPUTED_VALUE"""),"Galaxy A")</f>
        <v>Galaxy A</v>
      </c>
      <c r="F576" s="3" t="str">
        <f ca="1">IFERROR(__xludf.DUMMYFUNCTION("""COMPUTED_VALUE"""),"KC")</f>
        <v>KC</v>
      </c>
      <c r="G576" s="3">
        <f ca="1">IFERROR(__xludf.DUMMYFUNCTION("""COMPUTED_VALUE"""),0)</f>
        <v>0</v>
      </c>
      <c r="H576" s="3" t="str">
        <f ca="1">IFERROR(__xludf.DUMMYFUNCTION("""COMPUTED_VALUE"""),"car")</f>
        <v>car</v>
      </c>
      <c r="I576" s="3" t="str">
        <f ca="1">IFERROR(__xludf.DUMMYFUNCTION("""COMPUTED_VALUE"""),"2055-06-03T00:36:46.584173Z")</f>
        <v>2055-06-03T00:36:46.584173Z</v>
      </c>
      <c r="J576" s="3" t="str">
        <f ca="1">IFERROR(__xludf.DUMMYFUNCTION("""COMPUTED_VALUE"""),"2055-06-03T01:29:21.674Z")</f>
        <v>2055-06-03T01:29:21.674Z</v>
      </c>
      <c r="K576" s="3" t="str">
        <f ca="1">IFERROR(__xludf.DUMMYFUNCTION("""COMPUTED_VALUE"""),"2055-06-03T01:14:14.674Z")</f>
        <v>2055-06-03T01:14:14.674Z</v>
      </c>
      <c r="L576" s="3">
        <f ca="1">IFERROR(__xludf.DUMMYFUNCTION("""COMPUTED_VALUE"""),1)</f>
        <v>1</v>
      </c>
      <c r="M576" s="3">
        <f ca="1">IFERROR(__xludf.DUMMYFUNCTION("""COMPUTED_VALUE"""),0)</f>
        <v>0</v>
      </c>
      <c r="N576" s="3" t="str">
        <f ca="1">IFERROR(__xludf.DUMMYFUNCTION("""COMPUTED_VALUE"""),"2055-06-03T00:53:01.457627Z")</f>
        <v>2055-06-03T00:53:01.457627Z</v>
      </c>
      <c r="O576" s="3" t="str">
        <f ca="1">IFERROR(__xludf.DUMMYFUNCTION("""COMPUTED_VALUE"""),"2055-06-03T01:06:32.675673Z")</f>
        <v>2055-06-03T01:06:32.675673Z</v>
      </c>
      <c r="P576" s="3" t="str">
        <f ca="1">IFERROR(__xludf.DUMMYFUNCTION("""COMPUTED_VALUE"""),"2055-06-03T00:42:34.810849Z")</f>
        <v>2055-06-03T00:42:34.810849Z</v>
      </c>
      <c r="Q576" s="3">
        <f ca="1">IFERROR(__xludf.DUMMYFUNCTION("""COMPUTED_VALUE"""),0)</f>
        <v>0</v>
      </c>
      <c r="R576" s="3" t="str">
        <f ca="1">IFERROR(__xludf.DUMMYFUNCTION("""COMPUTED_VALUE"""),"2055-06-03T00:42:43.258834Z")</f>
        <v>2055-06-03T00:42:43.258834Z</v>
      </c>
      <c r="S576" s="3" t="str">
        <f ca="1">IFERROR(__xludf.DUMMYFUNCTION("""COMPUTED_VALUE"""),"2055-06-03T00:48:22.953551Z")</f>
        <v>2055-06-03T00:48:22.953551Z</v>
      </c>
      <c r="T576" s="3"/>
      <c r="U576" s="4">
        <f ca="1">IFERROR(__xludf.DUMMYFUNCTION("""COMPUTED_VALUE"""),56767)</f>
        <v>56767</v>
      </c>
      <c r="V576" s="3">
        <f ca="1">IFERROR(__xludf.DUMMYFUNCTION("""COMPUTED_VALUE"""),4.5)</f>
        <v>4.5</v>
      </c>
      <c r="W576" s="3">
        <f ca="1">IFERROR(__xludf.DUMMYFUNCTION("""COMPUTED_VALUE"""),2000)</f>
        <v>2000</v>
      </c>
      <c r="X576" s="3">
        <f ca="1">IFERROR(__xludf.DUMMYFUNCTION("""COMPUTED_VALUE"""),1429)</f>
        <v>1429</v>
      </c>
      <c r="Y576" s="3">
        <f ca="1">IFERROR(__xludf.DUMMYFUNCTION("""COMPUTED_VALUE"""),339)</f>
        <v>339</v>
      </c>
      <c r="Z576" s="3">
        <f ca="1">IFERROR(__xludf.DUMMYFUNCTION("""COMPUTED_VALUE"""),279)</f>
        <v>279</v>
      </c>
      <c r="AA576" s="3">
        <f ca="1">IFERROR(__xludf.DUMMYFUNCTION("""COMPUTED_VALUE"""),811)</f>
        <v>811</v>
      </c>
      <c r="AB576" s="3">
        <f ca="1">IFERROR(__xludf.DUMMYFUNCTION("""COMPUTED_VALUE"""),0)</f>
        <v>0</v>
      </c>
      <c r="AC576" s="3">
        <f ca="1">IFERROR(__xludf.DUMMYFUNCTION("""COMPUTED_VALUE"""),1)</f>
        <v>1</v>
      </c>
      <c r="AD576" s="3" t="str">
        <f ca="1">IFERROR(__xludf.DUMMYFUNCTION("""COMPUTED_VALUE"""),"on time")</f>
        <v>on time</v>
      </c>
      <c r="AE576" s="3" t="str">
        <f ca="1">IFERROR(__xludf.DUMMYFUNCTION("""COMPUTED_VALUE"""),"2055-06-02T20:53:01.457627Z")</f>
        <v>2055-06-02T20:53:01.457627Z</v>
      </c>
      <c r="AF576" s="3" t="str">
        <f ca="1">IFERROR(__xludf.DUMMYFUNCTION("""COMPUTED_VALUE"""),"2055-06-02T21:06:32.675673Z")</f>
        <v>2055-06-02T21:06:32.675673Z</v>
      </c>
      <c r="AG576" s="3" t="str">
        <f ca="1">IFERROR(__xludf.DUMMYFUNCTION("""COMPUTED_VALUE"""),"2055-06-02T20:42:34.810849Z")</f>
        <v>2055-06-02T20:42:34.810849Z</v>
      </c>
      <c r="AH576" s="3" t="str">
        <f ca="1">IFERROR(__xludf.DUMMYFUNCTION("""COMPUTED_VALUE"""),"2055-06-02T20:48:22.953551Z")</f>
        <v>2055-06-02T20:48:22.953551Z</v>
      </c>
      <c r="AI576" s="3">
        <f ca="1">IFERROR(__xludf.DUMMYFUNCTION("""COMPUTED_VALUE"""),4.54)</f>
        <v>4.54</v>
      </c>
      <c r="AJ576" s="3">
        <f ca="1">IFERROR(__xludf.DUMMYFUNCTION("""COMPUTED_VALUE"""),2229)</f>
        <v>2229</v>
      </c>
      <c r="AK576" s="3">
        <f ca="1">IFERROR(__xludf.DUMMYFUNCTION("""COMPUTED_VALUE"""),6580)</f>
        <v>6580</v>
      </c>
      <c r="AL576" s="3"/>
    </row>
    <row r="577" spans="1:38" ht="13">
      <c r="A577" s="3">
        <f ca="1">IFERROR(__xludf.DUMMYFUNCTION("""COMPUTED_VALUE"""),250)</f>
        <v>250</v>
      </c>
      <c r="B577" s="3"/>
      <c r="C577" s="3">
        <f ca="1">IFERROR(__xludf.DUMMYFUNCTION("""COMPUTED_VALUE"""),4001)</f>
        <v>4001</v>
      </c>
      <c r="D577" s="3" t="str">
        <f ca="1">IFERROR(__xludf.DUMMYFUNCTION("""COMPUTED_VALUE"""),"Dashattan")</f>
        <v>Dashattan</v>
      </c>
      <c r="E577" s="3" t="str">
        <f ca="1">IFERROR(__xludf.DUMMYFUNCTION("""COMPUTED_VALUE"""),"Galaxy A")</f>
        <v>Galaxy A</v>
      </c>
      <c r="F577" s="3" t="str">
        <f ca="1">IFERROR(__xludf.DUMMYFUNCTION("""COMPUTED_VALUE"""),"Ron")</f>
        <v>Ron</v>
      </c>
      <c r="G577" s="3">
        <f ca="1">IFERROR(__xludf.DUMMYFUNCTION("""COMPUTED_VALUE"""),0)</f>
        <v>0</v>
      </c>
      <c r="H577" s="3" t="str">
        <f ca="1">IFERROR(__xludf.DUMMYFUNCTION("""COMPUTED_VALUE"""),"bicycle")</f>
        <v>bicycle</v>
      </c>
      <c r="I577" s="3" t="str">
        <f ca="1">IFERROR(__xludf.DUMMYFUNCTION("""COMPUTED_VALUE"""),"2055-06-03T02:20:23.582069Z")</f>
        <v>2055-06-03T02:20:23.582069Z</v>
      </c>
      <c r="J577" s="3" t="str">
        <f ca="1">IFERROR(__xludf.DUMMYFUNCTION("""COMPUTED_VALUE"""),"2055-06-03T03:14:19.64Z")</f>
        <v>2055-06-03T03:14:19.64Z</v>
      </c>
      <c r="K577" s="3" t="str">
        <f ca="1">IFERROR(__xludf.DUMMYFUNCTION("""COMPUTED_VALUE"""),"2055-06-03T02:52:25.64Z")</f>
        <v>2055-06-03T02:52:25.64Z</v>
      </c>
      <c r="L577" s="3">
        <f ca="1">IFERROR(__xludf.DUMMYFUNCTION("""COMPUTED_VALUE"""),1)</f>
        <v>1</v>
      </c>
      <c r="M577" s="3">
        <f ca="1">IFERROR(__xludf.DUMMYFUNCTION("""COMPUTED_VALUE"""),0)</f>
        <v>0</v>
      </c>
      <c r="N577" s="3" t="str">
        <f ca="1">IFERROR(__xludf.DUMMYFUNCTION("""COMPUTED_VALUE"""),"2055-06-03T03:04:36.259329Z")</f>
        <v>2055-06-03T03:04:36.259329Z</v>
      </c>
      <c r="O577" s="3" t="str">
        <f ca="1">IFERROR(__xludf.DUMMYFUNCTION("""COMPUTED_VALUE"""),"2055-06-03T03:09:01.103151Z")</f>
        <v>2055-06-03T03:09:01.103151Z</v>
      </c>
      <c r="P577" s="3" t="str">
        <f ca="1">IFERROR(__xludf.DUMMYFUNCTION("""COMPUTED_VALUE"""),"2055-06-03T02:26:34.209495Z")</f>
        <v>2055-06-03T02:26:34.209495Z</v>
      </c>
      <c r="Q577" s="3">
        <f ca="1">IFERROR(__xludf.DUMMYFUNCTION("""COMPUTED_VALUE"""),0)</f>
        <v>0</v>
      </c>
      <c r="R577" s="3" t="str">
        <f ca="1">IFERROR(__xludf.DUMMYFUNCTION("""COMPUTED_VALUE"""),"2055-06-03T02:27:02.972655Z")</f>
        <v>2055-06-03T02:27:02.972655Z</v>
      </c>
      <c r="S577" s="3" t="str">
        <f ca="1">IFERROR(__xludf.DUMMYFUNCTION("""COMPUTED_VALUE"""),"2055-06-03T02:31:01.819847Z")</f>
        <v>2055-06-03T02:31:01.819847Z</v>
      </c>
      <c r="T577" s="3"/>
      <c r="U577" s="4">
        <f ca="1">IFERROR(__xludf.DUMMYFUNCTION("""COMPUTED_VALUE"""),56767)</f>
        <v>56767</v>
      </c>
      <c r="V577" s="3">
        <f ca="1">IFERROR(__xludf.DUMMYFUNCTION("""COMPUTED_VALUE"""),4.4)</f>
        <v>4.4000000000000004</v>
      </c>
      <c r="W577" s="3">
        <f ca="1">IFERROR(__xludf.DUMMYFUNCTION("""COMPUTED_VALUE"""),2000)</f>
        <v>2000</v>
      </c>
      <c r="X577" s="3">
        <f ca="1">IFERROR(__xludf.DUMMYFUNCTION("""COMPUTED_VALUE"""),2519)</f>
        <v>2519</v>
      </c>
      <c r="Y577" s="3">
        <f ca="1">IFERROR(__xludf.DUMMYFUNCTION("""COMPUTED_VALUE"""),239)</f>
        <v>239</v>
      </c>
      <c r="Z577" s="3">
        <f ca="1">IFERROR(__xludf.DUMMYFUNCTION("""COMPUTED_VALUE"""),2015)</f>
        <v>2015</v>
      </c>
      <c r="AA577" s="3">
        <f ca="1">IFERROR(__xludf.DUMMYFUNCTION("""COMPUTED_VALUE"""),265)</f>
        <v>265</v>
      </c>
      <c r="AB577" s="3">
        <f ca="1">IFERROR(__xludf.DUMMYFUNCTION("""COMPUTED_VALUE"""),0)</f>
        <v>0</v>
      </c>
      <c r="AC577" s="3">
        <f ca="1">IFERROR(__xludf.DUMMYFUNCTION("""COMPUTED_VALUE"""),3)</f>
        <v>3</v>
      </c>
      <c r="AD577" s="3"/>
      <c r="AE577" s="3" t="str">
        <f ca="1">IFERROR(__xludf.DUMMYFUNCTION("""COMPUTED_VALUE"""),"2055-06-02T23:04:36.259329Z")</f>
        <v>2055-06-02T23:04:36.259329Z</v>
      </c>
      <c r="AF577" s="3" t="str">
        <f ca="1">IFERROR(__xludf.DUMMYFUNCTION("""COMPUTED_VALUE"""),"2055-06-02T23:09:01.103151Z")</f>
        <v>2055-06-02T23:09:01.103151Z</v>
      </c>
      <c r="AG577" s="3" t="str">
        <f ca="1">IFERROR(__xludf.DUMMYFUNCTION("""COMPUTED_VALUE"""),"2055-06-02T22:26:34.209495Z")</f>
        <v>2055-06-02T22:26:34.209495Z</v>
      </c>
      <c r="AH577" s="3" t="str">
        <f ca="1">IFERROR(__xludf.DUMMYFUNCTION("""COMPUTED_VALUE"""),"2055-06-02T22:31:01.819847Z")</f>
        <v>2055-06-02T22:31:01.819847Z</v>
      </c>
      <c r="AI577" s="3">
        <f ca="1">IFERROR(__xludf.DUMMYFUNCTION("""COMPUTED_VALUE"""),4.56)</f>
        <v>4.5599999999999996</v>
      </c>
      <c r="AJ577" s="3">
        <f ca="1">IFERROR(__xludf.DUMMYFUNCTION("""COMPUTED_VALUE"""),765)</f>
        <v>765</v>
      </c>
      <c r="AK577" s="3">
        <f ca="1">IFERROR(__xludf.DUMMYFUNCTION("""COMPUTED_VALUE"""),2618)</f>
        <v>2618</v>
      </c>
      <c r="AL577" s="3"/>
    </row>
    <row r="578" spans="1:38" ht="13">
      <c r="A578" s="3">
        <f ca="1">IFERROR(__xludf.DUMMYFUNCTION("""COMPUTED_VALUE"""),281)</f>
        <v>281</v>
      </c>
      <c r="B578" s="3"/>
      <c r="C578" s="3">
        <f ca="1">IFERROR(__xludf.DUMMYFUNCTION("""COMPUTED_VALUE"""),4001)</f>
        <v>4001</v>
      </c>
      <c r="D578" s="3" t="str">
        <f ca="1">IFERROR(__xludf.DUMMYFUNCTION("""COMPUTED_VALUE"""),"Dashattan")</f>
        <v>Dashattan</v>
      </c>
      <c r="E578" s="3" t="str">
        <f ca="1">IFERROR(__xludf.DUMMYFUNCTION("""COMPUTED_VALUE"""),"Galaxy A")</f>
        <v>Galaxy A</v>
      </c>
      <c r="F578" s="3" t="str">
        <f ca="1">IFERROR(__xludf.DUMMYFUNCTION("""COMPUTED_VALUE"""),"Rojan")</f>
        <v>Rojan</v>
      </c>
      <c r="G578" s="3">
        <f ca="1">IFERROR(__xludf.DUMMYFUNCTION("""COMPUTED_VALUE"""),0)</f>
        <v>0</v>
      </c>
      <c r="H578" s="3" t="str">
        <f ca="1">IFERROR(__xludf.DUMMYFUNCTION("""COMPUTED_VALUE"""),"bicycle")</f>
        <v>bicycle</v>
      </c>
      <c r="I578" s="3" t="str">
        <f ca="1">IFERROR(__xludf.DUMMYFUNCTION("""COMPUTED_VALUE"""),"2055-06-03T16:08:23.103481Z")</f>
        <v>2055-06-03T16:08:23.103481Z</v>
      </c>
      <c r="J578" s="3" t="str">
        <f ca="1">IFERROR(__xludf.DUMMYFUNCTION("""COMPUTED_VALUE"""),"2055-06-03T18:45:00Z")</f>
        <v>2055-06-03T18:45:00Z</v>
      </c>
      <c r="K578" s="3" t="str">
        <f ca="1">IFERROR(__xludf.DUMMYFUNCTION("""COMPUTED_VALUE"""),"2055-06-03T18:45:00Z")</f>
        <v>2055-06-03T18:45:00Z</v>
      </c>
      <c r="L578" s="3">
        <f ca="1">IFERROR(__xludf.DUMMYFUNCTION("""COMPUTED_VALUE"""),0)</f>
        <v>0</v>
      </c>
      <c r="M578" s="3">
        <f ca="1">IFERROR(__xludf.DUMMYFUNCTION("""COMPUTED_VALUE"""),0)</f>
        <v>0</v>
      </c>
      <c r="N578" s="3" t="str">
        <f ca="1">IFERROR(__xludf.DUMMYFUNCTION("""COMPUTED_VALUE"""),"2055-06-03T17:52:56.933698Z")</f>
        <v>2055-06-03T17:52:56.933698Z</v>
      </c>
      <c r="O578" s="3" t="str">
        <f ca="1">IFERROR(__xludf.DUMMYFUNCTION("""COMPUTED_VALUE"""),"2055-06-03T18:00:56.967638Z")</f>
        <v>2055-06-03T18:00:56.967638Z</v>
      </c>
      <c r="P578" s="3" t="str">
        <f ca="1">IFERROR(__xludf.DUMMYFUNCTION("""COMPUTED_VALUE"""),"2055-06-03T17:45:14.553338Z")</f>
        <v>2055-06-03T17:45:14.553338Z</v>
      </c>
      <c r="Q578" s="3">
        <f ca="1">IFERROR(__xludf.DUMMYFUNCTION("""COMPUTED_VALUE"""),0)</f>
        <v>0</v>
      </c>
      <c r="R578" s="3" t="str">
        <f ca="1">IFERROR(__xludf.DUMMYFUNCTION("""COMPUTED_VALUE"""),"2055-06-03T17:46:10.549756Z")</f>
        <v>2055-06-03T17:46:10.549756Z</v>
      </c>
      <c r="S578" s="3" t="str">
        <f ca="1">IFERROR(__xludf.DUMMYFUNCTION("""COMPUTED_VALUE"""),"2055-06-03T17:55:14.182351Z")</f>
        <v>2055-06-03T17:55:14.182351Z</v>
      </c>
      <c r="T578" s="3"/>
      <c r="U578" s="4">
        <f ca="1">IFERROR(__xludf.DUMMYFUNCTION("""COMPUTED_VALUE"""),56768)</f>
        <v>56768</v>
      </c>
      <c r="V578" s="3">
        <f ca="1">IFERROR(__xludf.DUMMYFUNCTION("""COMPUTED_VALUE"""),5)</f>
        <v>5</v>
      </c>
      <c r="W578" s="3">
        <f ca="1">IFERROR(__xludf.DUMMYFUNCTION("""COMPUTED_VALUE"""),2000)</f>
        <v>2000</v>
      </c>
      <c r="X578" s="3">
        <f ca="1">IFERROR(__xludf.DUMMYFUNCTION("""COMPUTED_VALUE"""),886)</f>
        <v>886</v>
      </c>
      <c r="Y578" s="3">
        <f ca="1">IFERROR(__xludf.DUMMYFUNCTION("""COMPUTED_VALUE"""),544)</f>
        <v>544</v>
      </c>
      <c r="Z578" s="3"/>
      <c r="AA578" s="3">
        <f ca="1">IFERROR(__xludf.DUMMYFUNCTION("""COMPUTED_VALUE"""),480)</f>
        <v>480</v>
      </c>
      <c r="AB578" s="3">
        <f ca="1">IFERROR(__xludf.DUMMYFUNCTION("""COMPUTED_VALUE"""),0)</f>
        <v>0</v>
      </c>
      <c r="AC578" s="3">
        <f ca="1">IFERROR(__xludf.DUMMYFUNCTION("""COMPUTED_VALUE"""),1)</f>
        <v>1</v>
      </c>
      <c r="AD578" s="3" t="str">
        <f ca="1">IFERROR(__xludf.DUMMYFUNCTION("""COMPUTED_VALUE"""),"on time")</f>
        <v>on time</v>
      </c>
      <c r="AE578" s="3" t="str">
        <f ca="1">IFERROR(__xludf.DUMMYFUNCTION("""COMPUTED_VALUE"""),"2055-06-03T13:52:56.933698Z")</f>
        <v>2055-06-03T13:52:56.933698Z</v>
      </c>
      <c r="AF578" s="3" t="str">
        <f ca="1">IFERROR(__xludf.DUMMYFUNCTION("""COMPUTED_VALUE"""),"2055-06-03T14:00:56.967638Z")</f>
        <v>2055-06-03T14:00:56.967638Z</v>
      </c>
      <c r="AG578" s="3" t="str">
        <f ca="1">IFERROR(__xludf.DUMMYFUNCTION("""COMPUTED_VALUE"""),"2055-06-03T13:45:14.553338Z")</f>
        <v>2055-06-03T13:45:14.553338Z</v>
      </c>
      <c r="AH578" s="3" t="str">
        <f ca="1">IFERROR(__xludf.DUMMYFUNCTION("""COMPUTED_VALUE"""),"2055-06-03T13:55:14.182351Z")</f>
        <v>2055-06-03T13:55:14.182351Z</v>
      </c>
      <c r="AI578" s="3">
        <f ca="1">IFERROR(__xludf.DUMMYFUNCTION("""COMPUTED_VALUE"""),4.58)</f>
        <v>4.58</v>
      </c>
      <c r="AJ578" s="3">
        <f ca="1">IFERROR(__xludf.DUMMYFUNCTION("""COMPUTED_VALUE"""),254)</f>
        <v>254</v>
      </c>
      <c r="AK578" s="3">
        <f ca="1">IFERROR(__xludf.DUMMYFUNCTION("""COMPUTED_VALUE"""),788)</f>
        <v>788</v>
      </c>
      <c r="AL578" s="3">
        <f ca="1">IFERROR(__xludf.DUMMYFUNCTION("""COMPUTED_VALUE"""),9)</f>
        <v>9</v>
      </c>
    </row>
    <row r="579" spans="1:38" ht="13">
      <c r="A579" s="3">
        <f ca="1">IFERROR(__xludf.DUMMYFUNCTION("""COMPUTED_VALUE"""),329)</f>
        <v>329</v>
      </c>
      <c r="B579" s="3"/>
      <c r="C579" s="3">
        <f ca="1">IFERROR(__xludf.DUMMYFUNCTION("""COMPUTED_VALUE"""),4001)</f>
        <v>4001</v>
      </c>
      <c r="D579" s="3" t="str">
        <f ca="1">IFERROR(__xludf.DUMMYFUNCTION("""COMPUTED_VALUE"""),"Dashattan")</f>
        <v>Dashattan</v>
      </c>
      <c r="E579" s="3" t="str">
        <f ca="1">IFERROR(__xludf.DUMMYFUNCTION("""COMPUTED_VALUE"""),"Galaxy A")</f>
        <v>Galaxy A</v>
      </c>
      <c r="F579" s="3" t="str">
        <f ca="1">IFERROR(__xludf.DUMMYFUNCTION("""COMPUTED_VALUE"""),"Samm")</f>
        <v>Samm</v>
      </c>
      <c r="G579" s="3">
        <f ca="1">IFERROR(__xludf.DUMMYFUNCTION("""COMPUTED_VALUE"""),0)</f>
        <v>0</v>
      </c>
      <c r="H579" s="3" t="str">
        <f ca="1">IFERROR(__xludf.DUMMYFUNCTION("""COMPUTED_VALUE"""),"car")</f>
        <v>car</v>
      </c>
      <c r="I579" s="3" t="str">
        <f ca="1">IFERROR(__xludf.DUMMYFUNCTION("""COMPUTED_VALUE"""),"2055-06-03T20:49:36.156021Z")</f>
        <v>2055-06-03T20:49:36.156021Z</v>
      </c>
      <c r="J579" s="3" t="str">
        <f ca="1">IFERROR(__xludf.DUMMYFUNCTION("""COMPUTED_VALUE"""),"2055-06-03T21:41:49.219Z")</f>
        <v>2055-06-03T21:41:49.219Z</v>
      </c>
      <c r="K579" s="3" t="str">
        <f ca="1">IFERROR(__xludf.DUMMYFUNCTION("""COMPUTED_VALUE"""),"2055-06-03T21:22:56.219Z")</f>
        <v>2055-06-03T21:22:56.219Z</v>
      </c>
      <c r="L579" s="3">
        <f ca="1">IFERROR(__xludf.DUMMYFUNCTION("""COMPUTED_VALUE"""),1)</f>
        <v>1</v>
      </c>
      <c r="M579" s="3">
        <f ca="1">IFERROR(__xludf.DUMMYFUNCTION("""COMPUTED_VALUE"""),0)</f>
        <v>0</v>
      </c>
      <c r="N579" s="3" t="str">
        <f ca="1">IFERROR(__xludf.DUMMYFUNCTION("""COMPUTED_VALUE"""),"2055-06-03T21:22:16.120261Z")</f>
        <v>2055-06-03T21:22:16.120261Z</v>
      </c>
      <c r="O579" s="3" t="str">
        <f ca="1">IFERROR(__xludf.DUMMYFUNCTION("""COMPUTED_VALUE"""),"2055-06-03T21:44:27.288361Z")</f>
        <v>2055-06-03T21:44:27.288361Z</v>
      </c>
      <c r="P579" s="3" t="str">
        <f ca="1">IFERROR(__xludf.DUMMYFUNCTION("""COMPUTED_VALUE"""),"2055-06-03T20:55:54.176478Z")</f>
        <v>2055-06-03T20:55:54.176478Z</v>
      </c>
      <c r="Q579" s="3">
        <f ca="1">IFERROR(__xludf.DUMMYFUNCTION("""COMPUTED_VALUE"""),0)</f>
        <v>0</v>
      </c>
      <c r="R579" s="3" t="str">
        <f ca="1">IFERROR(__xludf.DUMMYFUNCTION("""COMPUTED_VALUE"""),"2055-06-03T20:56:01.615054Z")</f>
        <v>2055-06-03T20:56:01.615054Z</v>
      </c>
      <c r="S579" s="3" t="str">
        <f ca="1">IFERROR(__xludf.DUMMYFUNCTION("""COMPUTED_VALUE"""),"2055-06-03T21:00:26.266619Z")</f>
        <v>2055-06-03T21:00:26.266619Z</v>
      </c>
      <c r="T579" s="3"/>
      <c r="U579" s="4">
        <f ca="1">IFERROR(__xludf.DUMMYFUNCTION("""COMPUTED_VALUE"""),56768)</f>
        <v>56768</v>
      </c>
      <c r="V579" s="3">
        <f ca="1">IFERROR(__xludf.DUMMYFUNCTION("""COMPUTED_VALUE"""),4.259101099)</f>
        <v>4.2591010989999996</v>
      </c>
      <c r="W579" s="3">
        <f ca="1">IFERROR(__xludf.DUMMYFUNCTION("""COMPUTED_VALUE"""),2000)</f>
        <v>2000</v>
      </c>
      <c r="X579" s="3">
        <f ca="1">IFERROR(__xludf.DUMMYFUNCTION("""COMPUTED_VALUE"""),2906)</f>
        <v>2906</v>
      </c>
      <c r="Y579" s="3">
        <f ca="1">IFERROR(__xludf.DUMMYFUNCTION("""COMPUTED_VALUE"""),265)</f>
        <v>265</v>
      </c>
      <c r="Z579" s="3">
        <f ca="1">IFERROR(__xludf.DUMMYFUNCTION("""COMPUTED_VALUE"""),1310)</f>
        <v>1310</v>
      </c>
      <c r="AA579" s="3">
        <f ca="1">IFERROR(__xludf.DUMMYFUNCTION("""COMPUTED_VALUE"""),1331)</f>
        <v>1331</v>
      </c>
      <c r="AB579" s="3">
        <f ca="1">IFERROR(__xludf.DUMMYFUNCTION("""COMPUTED_VALUE"""),0)</f>
        <v>0</v>
      </c>
      <c r="AC579" s="3">
        <f ca="1">IFERROR(__xludf.DUMMYFUNCTION("""COMPUTED_VALUE"""),2)</f>
        <v>2</v>
      </c>
      <c r="AD579" s="3" t="str">
        <f ca="1">IFERROR(__xludf.DUMMYFUNCTION("""COMPUTED_VALUE"""),"early")</f>
        <v>early</v>
      </c>
      <c r="AE579" s="3" t="str">
        <f ca="1">IFERROR(__xludf.DUMMYFUNCTION("""COMPUTED_VALUE"""),"2055-06-03T17:22:16.120261Z")</f>
        <v>2055-06-03T17:22:16.120261Z</v>
      </c>
      <c r="AF579" s="3" t="str">
        <f ca="1">IFERROR(__xludf.DUMMYFUNCTION("""COMPUTED_VALUE"""),"2055-06-03T17:44:27.288361Z")</f>
        <v>2055-06-03T17:44:27.288361Z</v>
      </c>
      <c r="AG579" s="3" t="str">
        <f ca="1">IFERROR(__xludf.DUMMYFUNCTION("""COMPUTED_VALUE"""),"2055-06-03T16:55:54.176478Z")</f>
        <v>2055-06-03T16:55:54.176478Z</v>
      </c>
      <c r="AH579" s="3" t="str">
        <f ca="1">IFERROR(__xludf.DUMMYFUNCTION("""COMPUTED_VALUE"""),"2055-06-03T17:00:26.266619Z")</f>
        <v>2055-06-03T17:00:26.266619Z</v>
      </c>
      <c r="AI579" s="3">
        <f ca="1">IFERROR(__xludf.DUMMYFUNCTION("""COMPUTED_VALUE"""),4.03)</f>
        <v>4.03</v>
      </c>
      <c r="AJ579" s="3">
        <f ca="1">IFERROR(__xludf.DUMMYFUNCTION("""COMPUTED_VALUE"""),505)</f>
        <v>505</v>
      </c>
      <c r="AK579" s="3">
        <f ca="1">IFERROR(__xludf.DUMMYFUNCTION("""COMPUTED_VALUE"""),1721)</f>
        <v>1721</v>
      </c>
      <c r="AL579" s="3">
        <f ca="1">IFERROR(__xludf.DUMMYFUNCTION("""COMPUTED_VALUE"""),457)</f>
        <v>457</v>
      </c>
    </row>
    <row r="580" spans="1:38" ht="13">
      <c r="A580" s="3">
        <f ca="1">IFERROR(__xludf.DUMMYFUNCTION("""COMPUTED_VALUE"""),437)</f>
        <v>437</v>
      </c>
      <c r="B580" s="3">
        <f ca="1">IFERROR(__xludf.DUMMYFUNCTION("""COMPUTED_VALUE"""),3)</f>
        <v>3</v>
      </c>
      <c r="C580" s="3">
        <f ca="1">IFERROR(__xludf.DUMMYFUNCTION("""COMPUTED_VALUE"""),4050)</f>
        <v>4050</v>
      </c>
      <c r="D580" s="3" t="str">
        <f ca="1">IFERROR(__xludf.DUMMYFUNCTION("""COMPUTED_VALUE"""),"Doorlanta")</f>
        <v>Doorlanta</v>
      </c>
      <c r="E580" s="3" t="str">
        <f ca="1">IFERROR(__xludf.DUMMYFUNCTION("""COMPUTED_VALUE"""),"Galaxy A")</f>
        <v>Galaxy A</v>
      </c>
      <c r="F580" s="3" t="str">
        <f ca="1">IFERROR(__xludf.DUMMYFUNCTION("""COMPUTED_VALUE"""),"Hanna")</f>
        <v>Hanna</v>
      </c>
      <c r="G580" s="3">
        <f ca="1">IFERROR(__xludf.DUMMYFUNCTION("""COMPUTED_VALUE"""),0)</f>
        <v>0</v>
      </c>
      <c r="H580" s="3" t="str">
        <f ca="1">IFERROR(__xludf.DUMMYFUNCTION("""COMPUTED_VALUE"""),"car")</f>
        <v>car</v>
      </c>
      <c r="I580" s="3" t="str">
        <f ca="1">IFERROR(__xludf.DUMMYFUNCTION("""COMPUTED_VALUE"""),"2055-06-04T20:15:08.83627Z")</f>
        <v>2055-06-04T20:15:08.83627Z</v>
      </c>
      <c r="J580" s="3" t="str">
        <f ca="1">IFERROR(__xludf.DUMMYFUNCTION("""COMPUTED_VALUE"""),"2055-06-04T21:00:08.915Z")</f>
        <v>2055-06-04T21:00:08.915Z</v>
      </c>
      <c r="K580" s="3" t="str">
        <f ca="1">IFERROR(__xludf.DUMMYFUNCTION("""COMPUTED_VALUE"""),"2055-06-04T20:48:41.915Z")</f>
        <v>2055-06-04T20:48:41.915Z</v>
      </c>
      <c r="L580" s="3">
        <f ca="1">IFERROR(__xludf.DUMMYFUNCTION("""COMPUTED_VALUE"""),1)</f>
        <v>1</v>
      </c>
      <c r="M580" s="3">
        <f ca="1">IFERROR(__xludf.DUMMYFUNCTION("""COMPUTED_VALUE"""),0)</f>
        <v>0</v>
      </c>
      <c r="N580" s="3" t="str">
        <f ca="1">IFERROR(__xludf.DUMMYFUNCTION("""COMPUTED_VALUE"""),"2055-06-04T21:05:41.706667Z")</f>
        <v>2055-06-04T21:05:41.706667Z</v>
      </c>
      <c r="O580" s="3" t="str">
        <f ca="1">IFERROR(__xludf.DUMMYFUNCTION("""COMPUTED_VALUE"""),"2055-06-04T21:36:11.786641Z")</f>
        <v>2055-06-04T21:36:11.786641Z</v>
      </c>
      <c r="P580" s="3" t="str">
        <f ca="1">IFERROR(__xludf.DUMMYFUNCTION("""COMPUTED_VALUE"""),"2055-06-04T20:19:47.354736Z")</f>
        <v>2055-06-04T20:19:47.354736Z</v>
      </c>
      <c r="Q580" s="3">
        <f ca="1">IFERROR(__xludf.DUMMYFUNCTION("""COMPUTED_VALUE"""),0)</f>
        <v>0</v>
      </c>
      <c r="R580" s="3" t="str">
        <f ca="1">IFERROR(__xludf.DUMMYFUNCTION("""COMPUTED_VALUE"""),"2055-06-04T20:19:53.850849Z")</f>
        <v>2055-06-04T20:19:53.850849Z</v>
      </c>
      <c r="S580" s="3" t="str">
        <f ca="1">IFERROR(__xludf.DUMMYFUNCTION("""COMPUTED_VALUE"""),"2055-06-04T20:23:22.550805Z")</f>
        <v>2055-06-04T20:23:22.550805Z</v>
      </c>
      <c r="T580" s="3"/>
      <c r="U580" s="4">
        <f ca="1">IFERROR(__xludf.DUMMYFUNCTION("""COMPUTED_VALUE"""),56769)</f>
        <v>56769</v>
      </c>
      <c r="V580" s="3">
        <f ca="1">IFERROR(__xludf.DUMMYFUNCTION("""COMPUTED_VALUE"""),4.7)</f>
        <v>4.7</v>
      </c>
      <c r="W580" s="3">
        <f ca="1">IFERROR(__xludf.DUMMYFUNCTION("""COMPUTED_VALUE"""),2000)</f>
        <v>2000</v>
      </c>
      <c r="X580" s="3">
        <f ca="1">IFERROR(__xludf.DUMMYFUNCTION("""COMPUTED_VALUE"""),4578)</f>
        <v>4578</v>
      </c>
      <c r="Y580" s="3">
        <f ca="1">IFERROR(__xludf.DUMMYFUNCTION("""COMPUTED_VALUE"""),209)</f>
        <v>209</v>
      </c>
      <c r="Z580" s="3">
        <f ca="1">IFERROR(__xludf.DUMMYFUNCTION("""COMPUTED_VALUE"""),2539)</f>
        <v>2539</v>
      </c>
      <c r="AA580" s="3">
        <f ca="1">IFERROR(__xludf.DUMMYFUNCTION("""COMPUTED_VALUE"""),1830)</f>
        <v>1830</v>
      </c>
      <c r="AB580" s="3">
        <f ca="1">IFERROR(__xludf.DUMMYFUNCTION("""COMPUTED_VALUE"""),0)</f>
        <v>0</v>
      </c>
      <c r="AC580" s="3">
        <f ca="1">IFERROR(__xludf.DUMMYFUNCTION("""COMPUTED_VALUE"""),4)</f>
        <v>4</v>
      </c>
      <c r="AD580" s="3" t="str">
        <f ca="1">IFERROR(__xludf.DUMMYFUNCTION("""COMPUTED_VALUE"""),"on time")</f>
        <v>on time</v>
      </c>
      <c r="AE580" s="3" t="str">
        <f ca="1">IFERROR(__xludf.DUMMYFUNCTION("""COMPUTED_VALUE"""),"2055-06-04T17:05:41.706667Z")</f>
        <v>2055-06-04T17:05:41.706667Z</v>
      </c>
      <c r="AF580" s="3" t="str">
        <f ca="1">IFERROR(__xludf.DUMMYFUNCTION("""COMPUTED_VALUE"""),"2055-06-04T17:36:11.786641Z")</f>
        <v>2055-06-04T17:36:11.786641Z</v>
      </c>
      <c r="AG580" s="3" t="str">
        <f ca="1">IFERROR(__xludf.DUMMYFUNCTION("""COMPUTED_VALUE"""),"2055-06-04T16:19:47.354736Z")</f>
        <v>2055-06-04T16:19:47.354736Z</v>
      </c>
      <c r="AH580" s="3" t="str">
        <f ca="1">IFERROR(__xludf.DUMMYFUNCTION("""COMPUTED_VALUE"""),"2055-06-04T16:23:22.550805Z")</f>
        <v>2055-06-04T16:23:22.550805Z</v>
      </c>
      <c r="AI580" s="3">
        <f ca="1">IFERROR(__xludf.DUMMYFUNCTION("""COMPUTED_VALUE"""),4.79)</f>
        <v>4.79</v>
      </c>
      <c r="AJ580" s="3">
        <f ca="1">IFERROR(__xludf.DUMMYFUNCTION("""COMPUTED_VALUE"""),1007)</f>
        <v>1007</v>
      </c>
      <c r="AK580" s="3">
        <f ca="1">IFERROR(__xludf.DUMMYFUNCTION("""COMPUTED_VALUE"""),2899)</f>
        <v>2899</v>
      </c>
      <c r="AL580" s="3">
        <f ca="1">IFERROR(__xludf.DUMMYFUNCTION("""COMPUTED_VALUE"""),1301)</f>
        <v>1301</v>
      </c>
    </row>
    <row r="581" spans="1:38" ht="13">
      <c r="A581" s="3">
        <f ca="1">IFERROR(__xludf.DUMMYFUNCTION("""COMPUTED_VALUE"""),628)</f>
        <v>628</v>
      </c>
      <c r="B581" s="3">
        <f ca="1">IFERROR(__xludf.DUMMYFUNCTION("""COMPUTED_VALUE"""),5)</f>
        <v>5</v>
      </c>
      <c r="C581" s="3">
        <f ca="1">IFERROR(__xludf.DUMMYFUNCTION("""COMPUTED_VALUE"""),4050)</f>
        <v>4050</v>
      </c>
      <c r="D581" s="3" t="str">
        <f ca="1">IFERROR(__xludf.DUMMYFUNCTION("""COMPUTED_VALUE"""),"Doorlanta")</f>
        <v>Doorlanta</v>
      </c>
      <c r="E581" s="3" t="str">
        <f ca="1">IFERROR(__xludf.DUMMYFUNCTION("""COMPUTED_VALUE"""),"Galaxy A")</f>
        <v>Galaxy A</v>
      </c>
      <c r="F581" s="3" t="str">
        <f ca="1">IFERROR(__xludf.DUMMYFUNCTION("""COMPUTED_VALUE"""),"Anisha")</f>
        <v>Anisha</v>
      </c>
      <c r="G581" s="3">
        <f ca="1">IFERROR(__xludf.DUMMYFUNCTION("""COMPUTED_VALUE"""),0)</f>
        <v>0</v>
      </c>
      <c r="H581" s="3" t="str">
        <f ca="1">IFERROR(__xludf.DUMMYFUNCTION("""COMPUTED_VALUE"""),"car")</f>
        <v>car</v>
      </c>
      <c r="I581" s="3" t="str">
        <f ca="1">IFERROR(__xludf.DUMMYFUNCTION("""COMPUTED_VALUE"""),"2055-06-05T21:45:05.556441Z")</f>
        <v>2055-06-05T21:45:05.556441Z</v>
      </c>
      <c r="J581" s="3" t="str">
        <f ca="1">IFERROR(__xludf.DUMMYFUNCTION("""COMPUTED_VALUE"""),"2055-06-05T22:37:23.63Z")</f>
        <v>2055-06-05T22:37:23.63Z</v>
      </c>
      <c r="K581" s="3" t="str">
        <f ca="1">IFERROR(__xludf.DUMMYFUNCTION("""COMPUTED_VALUE"""),"2055-06-05T22:29:05.63Z")</f>
        <v>2055-06-05T22:29:05.63Z</v>
      </c>
      <c r="L581" s="3">
        <f ca="1">IFERROR(__xludf.DUMMYFUNCTION("""COMPUTED_VALUE"""),1)</f>
        <v>1</v>
      </c>
      <c r="M581" s="3">
        <f ca="1">IFERROR(__xludf.DUMMYFUNCTION("""COMPUTED_VALUE"""),0)</f>
        <v>0</v>
      </c>
      <c r="N581" s="3" t="str">
        <f ca="1">IFERROR(__xludf.DUMMYFUNCTION("""COMPUTED_VALUE"""),"2055-06-05T22:01:55.588395Z")</f>
        <v>2055-06-05T22:01:55.588395Z</v>
      </c>
      <c r="O581" s="3" t="str">
        <f ca="1">IFERROR(__xludf.DUMMYFUNCTION("""COMPUTED_VALUE"""),"2055-06-05T22:15:51.808486Z")</f>
        <v>2055-06-05T22:15:51.808486Z</v>
      </c>
      <c r="P581" s="3" t="str">
        <f ca="1">IFERROR(__xludf.DUMMYFUNCTION("""COMPUTED_VALUE"""),"2055-06-05T21:45:27.356736Z")</f>
        <v>2055-06-05T21:45:27.356736Z</v>
      </c>
      <c r="Q581" s="3">
        <f ca="1">IFERROR(__xludf.DUMMYFUNCTION("""COMPUTED_VALUE"""),0)</f>
        <v>0</v>
      </c>
      <c r="R581" s="3" t="str">
        <f ca="1">IFERROR(__xludf.DUMMYFUNCTION("""COMPUTED_VALUE"""),"2055-06-05T21:45:39.121839Z")</f>
        <v>2055-06-05T21:45:39.121839Z</v>
      </c>
      <c r="S581" s="3" t="str">
        <f ca="1">IFERROR(__xludf.DUMMYFUNCTION("""COMPUTED_VALUE"""),"2055-06-05T22:01:46.572086Z")</f>
        <v>2055-06-05T22:01:46.572086Z</v>
      </c>
      <c r="T581" s="3"/>
      <c r="U581" s="4">
        <f ca="1">IFERROR(__xludf.DUMMYFUNCTION("""COMPUTED_VALUE"""),56770)</f>
        <v>56770</v>
      </c>
      <c r="V581" s="3">
        <f ca="1">IFERROR(__xludf.DUMMYFUNCTION("""COMPUTED_VALUE"""),4.5)</f>
        <v>4.5</v>
      </c>
      <c r="W581" s="3">
        <f ca="1">IFERROR(__xludf.DUMMYFUNCTION("""COMPUTED_VALUE"""),2000)</f>
        <v>2000</v>
      </c>
      <c r="X581" s="3">
        <f ca="1">IFERROR(__xludf.DUMMYFUNCTION("""COMPUTED_VALUE"""),1812)</f>
        <v>1812</v>
      </c>
      <c r="Y581" s="3">
        <f ca="1">IFERROR(__xludf.DUMMYFUNCTION("""COMPUTED_VALUE"""),967)</f>
        <v>967</v>
      </c>
      <c r="Z581" s="3">
        <f ca="1">IFERROR(__xludf.DUMMYFUNCTION("""COMPUTED_VALUE"""),9)</f>
        <v>9</v>
      </c>
      <c r="AA581" s="3">
        <f ca="1">IFERROR(__xludf.DUMMYFUNCTION("""COMPUTED_VALUE"""),836)</f>
        <v>836</v>
      </c>
      <c r="AB581" s="3">
        <f ca="1">IFERROR(__xludf.DUMMYFUNCTION("""COMPUTED_VALUE"""),0)</f>
        <v>0</v>
      </c>
      <c r="AC581" s="3">
        <f ca="1">IFERROR(__xludf.DUMMYFUNCTION("""COMPUTED_VALUE"""),2)</f>
        <v>2</v>
      </c>
      <c r="AD581" s="3" t="str">
        <f ca="1">IFERROR(__xludf.DUMMYFUNCTION("""COMPUTED_VALUE"""),"late")</f>
        <v>late</v>
      </c>
      <c r="AE581" s="3" t="str">
        <f ca="1">IFERROR(__xludf.DUMMYFUNCTION("""COMPUTED_VALUE"""),"2055-06-05T18:01:55.588395Z")</f>
        <v>2055-06-05T18:01:55.588395Z</v>
      </c>
      <c r="AF581" s="3" t="str">
        <f ca="1">IFERROR(__xludf.DUMMYFUNCTION("""COMPUTED_VALUE"""),"2055-06-05T18:15:51.808486Z")</f>
        <v>2055-06-05T18:15:51.808486Z</v>
      </c>
      <c r="AG581" s="3" t="str">
        <f ca="1">IFERROR(__xludf.DUMMYFUNCTION("""COMPUTED_VALUE"""),"2055-06-05T17:45:27.356736Z")</f>
        <v>2055-06-05T17:45:27.356736Z</v>
      </c>
      <c r="AH581" s="3" t="str">
        <f ca="1">IFERROR(__xludf.DUMMYFUNCTION("""COMPUTED_VALUE"""),"2055-06-05T18:01:46.572086Z")</f>
        <v>2055-06-05T18:01:46.572086Z</v>
      </c>
      <c r="AI581" s="3">
        <f ca="1">IFERROR(__xludf.DUMMYFUNCTION("""COMPUTED_VALUE"""),4.7)</f>
        <v>4.7</v>
      </c>
      <c r="AJ581" s="3">
        <f ca="1">IFERROR(__xludf.DUMMYFUNCTION("""COMPUTED_VALUE"""),272)</f>
        <v>272</v>
      </c>
      <c r="AK581" s="3">
        <f ca="1">IFERROR(__xludf.DUMMYFUNCTION("""COMPUTED_VALUE"""),931)</f>
        <v>931</v>
      </c>
      <c r="AL581" s="3">
        <f ca="1">IFERROR(__xludf.DUMMYFUNCTION("""COMPUTED_VALUE"""),144)</f>
        <v>144</v>
      </c>
    </row>
    <row r="582" spans="1:38" ht="13">
      <c r="A582" s="3">
        <f ca="1">IFERROR(__xludf.DUMMYFUNCTION("""COMPUTED_VALUE"""),717)</f>
        <v>717</v>
      </c>
      <c r="B582" s="3"/>
      <c r="C582" s="3">
        <f ca="1">IFERROR(__xludf.DUMMYFUNCTION("""COMPUTED_VALUE"""),4050)</f>
        <v>4050</v>
      </c>
      <c r="D582" s="3" t="str">
        <f ca="1">IFERROR(__xludf.DUMMYFUNCTION("""COMPUTED_VALUE"""),"Doorlanta")</f>
        <v>Doorlanta</v>
      </c>
      <c r="E582" s="3" t="str">
        <f ca="1">IFERROR(__xludf.DUMMYFUNCTION("""COMPUTED_VALUE"""),"Galaxy A")</f>
        <v>Galaxy A</v>
      </c>
      <c r="F582" s="3" t="str">
        <f ca="1">IFERROR(__xludf.DUMMYFUNCTION("""COMPUTED_VALUE"""),"Ajay")</f>
        <v>Ajay</v>
      </c>
      <c r="G582" s="3">
        <f ca="1">IFERROR(__xludf.DUMMYFUNCTION("""COMPUTED_VALUE"""),0)</f>
        <v>0</v>
      </c>
      <c r="H582" s="3" t="str">
        <f ca="1">IFERROR(__xludf.DUMMYFUNCTION("""COMPUTED_VALUE"""),"car")</f>
        <v>car</v>
      </c>
      <c r="I582" s="3" t="str">
        <f ca="1">IFERROR(__xludf.DUMMYFUNCTION("""COMPUTED_VALUE"""),"2055-06-06T01:25:50.381423Z")</f>
        <v>2055-06-06T01:25:50.381423Z</v>
      </c>
      <c r="J582" s="3" t="str">
        <f ca="1">IFERROR(__xludf.DUMMYFUNCTION("""COMPUTED_VALUE"""),"2055-06-06T02:23:21.456Z")</f>
        <v>2055-06-06T02:23:21.456Z</v>
      </c>
      <c r="K582" s="3" t="str">
        <f ca="1">IFERROR(__xludf.DUMMYFUNCTION("""COMPUTED_VALUE"""),"2055-06-06T02:03:42.456Z")</f>
        <v>2055-06-06T02:03:42.456Z</v>
      </c>
      <c r="L582" s="3">
        <f ca="1">IFERROR(__xludf.DUMMYFUNCTION("""COMPUTED_VALUE"""),1)</f>
        <v>1</v>
      </c>
      <c r="M582" s="3">
        <f ca="1">IFERROR(__xludf.DUMMYFUNCTION("""COMPUTED_VALUE"""),0)</f>
        <v>0</v>
      </c>
      <c r="N582" s="3" t="str">
        <f ca="1">IFERROR(__xludf.DUMMYFUNCTION("""COMPUTED_VALUE"""),"2055-06-06T02:03:45.078872Z")</f>
        <v>2055-06-06T02:03:45.078872Z</v>
      </c>
      <c r="O582" s="3" t="str">
        <f ca="1">IFERROR(__xludf.DUMMYFUNCTION("""COMPUTED_VALUE"""),"2055-06-06T02:16:26.24417Z")</f>
        <v>2055-06-06T02:16:26.24417Z</v>
      </c>
      <c r="P582" s="3" t="str">
        <f ca="1">IFERROR(__xludf.DUMMYFUNCTION("""COMPUTED_VALUE"""),"2055-06-06T01:28:27.386752Z")</f>
        <v>2055-06-06T01:28:27.386752Z</v>
      </c>
      <c r="Q582" s="3">
        <f ca="1">IFERROR(__xludf.DUMMYFUNCTION("""COMPUTED_VALUE"""),0)</f>
        <v>0</v>
      </c>
      <c r="R582" s="3" t="str">
        <f ca="1">IFERROR(__xludf.DUMMYFUNCTION("""COMPUTED_VALUE"""),"2055-06-06T01:28:32.363528Z")</f>
        <v>2055-06-06T01:28:32.363528Z</v>
      </c>
      <c r="S582" s="3" t="str">
        <f ca="1">IFERROR(__xludf.DUMMYFUNCTION("""COMPUTED_VALUE"""),"2055-06-06T01:36:16.468295Z")</f>
        <v>2055-06-06T01:36:16.468295Z</v>
      </c>
      <c r="T582" s="3"/>
      <c r="U582" s="4">
        <f ca="1">IFERROR(__xludf.DUMMYFUNCTION("""COMPUTED_VALUE"""),56770)</f>
        <v>56770</v>
      </c>
      <c r="V582" s="3">
        <f ca="1">IFERROR(__xludf.DUMMYFUNCTION("""COMPUTED_VALUE"""),4.6)</f>
        <v>4.5999999999999996</v>
      </c>
      <c r="W582" s="3">
        <f ca="1">IFERROR(__xludf.DUMMYFUNCTION("""COMPUTED_VALUE"""),2000)</f>
        <v>2000</v>
      </c>
      <c r="X582" s="3">
        <f ca="1">IFERROR(__xludf.DUMMYFUNCTION("""COMPUTED_VALUE"""),2874)</f>
        <v>2874</v>
      </c>
      <c r="Y582" s="3">
        <f ca="1">IFERROR(__xludf.DUMMYFUNCTION("""COMPUTED_VALUE"""),464)</f>
        <v>464</v>
      </c>
      <c r="Z582" s="3">
        <f ca="1">IFERROR(__xludf.DUMMYFUNCTION("""COMPUTED_VALUE"""),1649)</f>
        <v>1649</v>
      </c>
      <c r="AA582" s="3">
        <f ca="1">IFERROR(__xludf.DUMMYFUNCTION("""COMPUTED_VALUE"""),761)</f>
        <v>761</v>
      </c>
      <c r="AB582" s="3">
        <f ca="1">IFERROR(__xludf.DUMMYFUNCTION("""COMPUTED_VALUE"""),0)</f>
        <v>0</v>
      </c>
      <c r="AC582" s="3">
        <f ca="1">IFERROR(__xludf.DUMMYFUNCTION("""COMPUTED_VALUE"""),3)</f>
        <v>3</v>
      </c>
      <c r="AD582" s="3" t="str">
        <f ca="1">IFERROR(__xludf.DUMMYFUNCTION("""COMPUTED_VALUE"""),"early")</f>
        <v>early</v>
      </c>
      <c r="AE582" s="3" t="str">
        <f ca="1">IFERROR(__xludf.DUMMYFUNCTION("""COMPUTED_VALUE"""),"2055-06-05T22:03:45.078872Z")</f>
        <v>2055-06-05T22:03:45.078872Z</v>
      </c>
      <c r="AF582" s="3" t="str">
        <f ca="1">IFERROR(__xludf.DUMMYFUNCTION("""COMPUTED_VALUE"""),"2055-06-05T22:16:26.24417Z")</f>
        <v>2055-06-05T22:16:26.24417Z</v>
      </c>
      <c r="AG582" s="3" t="str">
        <f ca="1">IFERROR(__xludf.DUMMYFUNCTION("""COMPUTED_VALUE"""),"2055-06-05T21:28:27.386752Z")</f>
        <v>2055-06-05T21:28:27.386752Z</v>
      </c>
      <c r="AH582" s="3" t="str">
        <f ca="1">IFERROR(__xludf.DUMMYFUNCTION("""COMPUTED_VALUE"""),"2055-06-05T21:36:16.468295Z")</f>
        <v>2055-06-05T21:36:16.468295Z</v>
      </c>
      <c r="AI582" s="3">
        <f ca="1">IFERROR(__xludf.DUMMYFUNCTION("""COMPUTED_VALUE"""),4.57)</f>
        <v>4.57</v>
      </c>
      <c r="AJ582" s="3">
        <f ca="1">IFERROR(__xludf.DUMMYFUNCTION("""COMPUTED_VALUE"""),234)</f>
        <v>234</v>
      </c>
      <c r="AK582" s="3">
        <f ca="1">IFERROR(__xludf.DUMMYFUNCTION("""COMPUTED_VALUE"""),726)</f>
        <v>726</v>
      </c>
      <c r="AL582" s="3">
        <f ca="1">IFERROR(__xludf.DUMMYFUNCTION("""COMPUTED_VALUE"""),99)</f>
        <v>99</v>
      </c>
    </row>
    <row r="583" spans="1:38" ht="13">
      <c r="A583" s="3">
        <f ca="1">IFERROR(__xludf.DUMMYFUNCTION("""COMPUTED_VALUE"""),878)</f>
        <v>878</v>
      </c>
      <c r="B583" s="3">
        <f ca="1">IFERROR(__xludf.DUMMYFUNCTION("""COMPUTED_VALUE"""),5)</f>
        <v>5</v>
      </c>
      <c r="C583" s="3">
        <f ca="1">IFERROR(__xludf.DUMMYFUNCTION("""COMPUTED_VALUE"""),4050)</f>
        <v>4050</v>
      </c>
      <c r="D583" s="3" t="str">
        <f ca="1">IFERROR(__xludf.DUMMYFUNCTION("""COMPUTED_VALUE"""),"Doorlanta")</f>
        <v>Doorlanta</v>
      </c>
      <c r="E583" s="3" t="str">
        <f ca="1">IFERROR(__xludf.DUMMYFUNCTION("""COMPUTED_VALUE"""),"Galaxy A")</f>
        <v>Galaxy A</v>
      </c>
      <c r="F583" s="3" t="str">
        <f ca="1">IFERROR(__xludf.DUMMYFUNCTION("""COMPUTED_VALUE"""),"Jagar")</f>
        <v>Jagar</v>
      </c>
      <c r="G583" s="3">
        <f ca="1">IFERROR(__xludf.DUMMYFUNCTION("""COMPUTED_VALUE"""),0)</f>
        <v>0</v>
      </c>
      <c r="H583" s="3" t="str">
        <f ca="1">IFERROR(__xludf.DUMMYFUNCTION("""COMPUTED_VALUE"""),"car")</f>
        <v>car</v>
      </c>
      <c r="I583" s="3" t="str">
        <f ca="1">IFERROR(__xludf.DUMMYFUNCTION("""COMPUTED_VALUE"""),"2055-06-07T22:03:10.513362Z")</f>
        <v>2055-06-07T22:03:10.513362Z</v>
      </c>
      <c r="J583" s="3" t="str">
        <f ca="1">IFERROR(__xludf.DUMMYFUNCTION("""COMPUTED_VALUE"""),"2055-06-07T22:58:10.592Z")</f>
        <v>2055-06-07T22:58:10.592Z</v>
      </c>
      <c r="K583" s="3" t="str">
        <f ca="1">IFERROR(__xludf.DUMMYFUNCTION("""COMPUTED_VALUE"""),"2055-06-07T22:34:17.592Z")</f>
        <v>2055-06-07T22:34:17.592Z</v>
      </c>
      <c r="L583" s="3">
        <f ca="1">IFERROR(__xludf.DUMMYFUNCTION("""COMPUTED_VALUE"""),1)</f>
        <v>1</v>
      </c>
      <c r="M583" s="3">
        <f ca="1">IFERROR(__xludf.DUMMYFUNCTION("""COMPUTED_VALUE"""),0)</f>
        <v>0</v>
      </c>
      <c r="N583" s="3" t="str">
        <f ca="1">IFERROR(__xludf.DUMMYFUNCTION("""COMPUTED_VALUE"""),"2055-06-07T22:53:31.326828Z")</f>
        <v>2055-06-07T22:53:31.326828Z</v>
      </c>
      <c r="O583" s="3" t="str">
        <f ca="1">IFERROR(__xludf.DUMMYFUNCTION("""COMPUTED_VALUE"""),"2055-06-07T22:57:35.416362Z")</f>
        <v>2055-06-07T22:57:35.416362Z</v>
      </c>
      <c r="P583" s="3" t="str">
        <f ca="1">IFERROR(__xludf.DUMMYFUNCTION("""COMPUTED_VALUE"""),"2055-06-07T22:03:27.340061Z")</f>
        <v>2055-06-07T22:03:27.340061Z</v>
      </c>
      <c r="Q583" s="3">
        <f ca="1">IFERROR(__xludf.DUMMYFUNCTION("""COMPUTED_VALUE"""),0)</f>
        <v>0</v>
      </c>
      <c r="R583" s="3" t="str">
        <f ca="1">IFERROR(__xludf.DUMMYFUNCTION("""COMPUTED_VALUE"""),"2055-06-07T22:05:04.876911Z")</f>
        <v>2055-06-07T22:05:04.876911Z</v>
      </c>
      <c r="S583" s="3" t="str">
        <f ca="1">IFERROR(__xludf.DUMMYFUNCTION("""COMPUTED_VALUE"""),"2055-06-07T22:11:44.361863Z")</f>
        <v>2055-06-07T22:11:44.361863Z</v>
      </c>
      <c r="T583" s="3"/>
      <c r="U583" s="4">
        <f ca="1">IFERROR(__xludf.DUMMYFUNCTION("""COMPUTED_VALUE"""),56772)</f>
        <v>56772</v>
      </c>
      <c r="V583" s="3">
        <f ca="1">IFERROR(__xludf.DUMMYFUNCTION("""COMPUTED_VALUE"""),4.6)</f>
        <v>4.5999999999999996</v>
      </c>
      <c r="W583" s="3">
        <f ca="1">IFERROR(__xludf.DUMMYFUNCTION("""COMPUTED_VALUE"""),2000)</f>
        <v>2000</v>
      </c>
      <c r="X583" s="3">
        <f ca="1">IFERROR(__xludf.DUMMYFUNCTION("""COMPUTED_VALUE"""),3151)</f>
        <v>3151</v>
      </c>
      <c r="Y583" s="3">
        <f ca="1">IFERROR(__xludf.DUMMYFUNCTION("""COMPUTED_VALUE"""),400)</f>
        <v>400</v>
      </c>
      <c r="Z583" s="3">
        <f ca="1">IFERROR(__xludf.DUMMYFUNCTION("""COMPUTED_VALUE"""),2507)</f>
        <v>2507</v>
      </c>
      <c r="AA583" s="3">
        <f ca="1">IFERROR(__xludf.DUMMYFUNCTION("""COMPUTED_VALUE"""),244)</f>
        <v>244</v>
      </c>
      <c r="AB583" s="3">
        <f ca="1">IFERROR(__xludf.DUMMYFUNCTION("""COMPUTED_VALUE"""),0)</f>
        <v>0</v>
      </c>
      <c r="AC583" s="3">
        <f ca="1">IFERROR(__xludf.DUMMYFUNCTION("""COMPUTED_VALUE"""),1)</f>
        <v>1</v>
      </c>
      <c r="AD583" s="3"/>
      <c r="AE583" s="3" t="str">
        <f ca="1">IFERROR(__xludf.DUMMYFUNCTION("""COMPUTED_VALUE"""),"2055-06-07T18:53:31.326828Z")</f>
        <v>2055-06-07T18:53:31.326828Z</v>
      </c>
      <c r="AF583" s="3" t="str">
        <f ca="1">IFERROR(__xludf.DUMMYFUNCTION("""COMPUTED_VALUE"""),"2055-06-07T18:57:35.416362Z")</f>
        <v>2055-06-07T18:57:35.416362Z</v>
      </c>
      <c r="AG583" s="3" t="str">
        <f ca="1">IFERROR(__xludf.DUMMYFUNCTION("""COMPUTED_VALUE"""),"2055-06-07T18:03:27.340061Z")</f>
        <v>2055-06-07T18:03:27.340061Z</v>
      </c>
      <c r="AH583" s="3" t="str">
        <f ca="1">IFERROR(__xludf.DUMMYFUNCTION("""COMPUTED_VALUE"""),"2055-06-07T18:11:44.361863Z")</f>
        <v>2055-06-07T18:11:44.361863Z</v>
      </c>
      <c r="AI583" s="3">
        <f ca="1">IFERROR(__xludf.DUMMYFUNCTION("""COMPUTED_VALUE"""),4.89)</f>
        <v>4.8899999999999997</v>
      </c>
      <c r="AJ583" s="3">
        <f ca="1">IFERROR(__xludf.DUMMYFUNCTION("""COMPUTED_VALUE"""),1778)</f>
        <v>1778</v>
      </c>
      <c r="AK583" s="3">
        <f ca="1">IFERROR(__xludf.DUMMYFUNCTION("""COMPUTED_VALUE"""),5138)</f>
        <v>5138</v>
      </c>
      <c r="AL583" s="3">
        <f ca="1">IFERROR(__xludf.DUMMYFUNCTION("""COMPUTED_VALUE"""),314)</f>
        <v>314</v>
      </c>
    </row>
    <row r="584" spans="1:38" ht="13">
      <c r="A584" s="3">
        <f ca="1">IFERROR(__xludf.DUMMYFUNCTION("""COMPUTED_VALUE"""),984)</f>
        <v>984</v>
      </c>
      <c r="B584" s="3"/>
      <c r="C584" s="3">
        <f ca="1">IFERROR(__xludf.DUMMYFUNCTION("""COMPUTED_VALUE"""),4001)</f>
        <v>4001</v>
      </c>
      <c r="D584" s="3" t="str">
        <f ca="1">IFERROR(__xludf.DUMMYFUNCTION("""COMPUTED_VALUE"""),"Dashattan")</f>
        <v>Dashattan</v>
      </c>
      <c r="E584" s="3" t="str">
        <f ca="1">IFERROR(__xludf.DUMMYFUNCTION("""COMPUTED_VALUE"""),"Galaxy A")</f>
        <v>Galaxy A</v>
      </c>
      <c r="F584" s="3" t="str">
        <f ca="1">IFERROR(__xludf.DUMMYFUNCTION("""COMPUTED_VALUE"""),"KC")</f>
        <v>KC</v>
      </c>
      <c r="G584" s="3">
        <f ca="1">IFERROR(__xludf.DUMMYFUNCTION("""COMPUTED_VALUE"""),0)</f>
        <v>0</v>
      </c>
      <c r="H584" s="3" t="str">
        <f ca="1">IFERROR(__xludf.DUMMYFUNCTION("""COMPUTED_VALUE"""),"car")</f>
        <v>car</v>
      </c>
      <c r="I584" s="3" t="str">
        <f ca="1">IFERROR(__xludf.DUMMYFUNCTION("""COMPUTED_VALUE"""),"2055-06-08T23:04:40.879305Z")</f>
        <v>2055-06-08T23:04:40.879305Z</v>
      </c>
      <c r="J584" s="3" t="str">
        <f ca="1">IFERROR(__xludf.DUMMYFUNCTION("""COMPUTED_VALUE"""),"2055-06-08T23:58:39.937Z")</f>
        <v>2055-06-08T23:58:39.937Z</v>
      </c>
      <c r="K584" s="3" t="str">
        <f ca="1">IFERROR(__xludf.DUMMYFUNCTION("""COMPUTED_VALUE"""),"2055-06-08T23:39:00.937Z")</f>
        <v>2055-06-08T23:39:00.937Z</v>
      </c>
      <c r="L584" s="3">
        <f ca="1">IFERROR(__xludf.DUMMYFUNCTION("""COMPUTED_VALUE"""),1)</f>
        <v>1</v>
      </c>
      <c r="M584" s="3">
        <f ca="1">IFERROR(__xludf.DUMMYFUNCTION("""COMPUTED_VALUE"""),0)</f>
        <v>0</v>
      </c>
      <c r="N584" s="3" t="str">
        <f ca="1">IFERROR(__xludf.DUMMYFUNCTION("""COMPUTED_VALUE"""),"2055-06-08T23:24:57.835737Z")</f>
        <v>2055-06-08T23:24:57.835737Z</v>
      </c>
      <c r="O584" s="3" t="str">
        <f ca="1">IFERROR(__xludf.DUMMYFUNCTION("""COMPUTED_VALUE"""),"2055-06-08T23:34:29.561631Z")</f>
        <v>2055-06-08T23:34:29.561631Z</v>
      </c>
      <c r="P584" s="3" t="str">
        <f ca="1">IFERROR(__xludf.DUMMYFUNCTION("""COMPUTED_VALUE"""),"2055-06-08T23:12:34.822801Z")</f>
        <v>2055-06-08T23:12:34.822801Z</v>
      </c>
      <c r="Q584" s="3">
        <f ca="1">IFERROR(__xludf.DUMMYFUNCTION("""COMPUTED_VALUE"""),0)</f>
        <v>0</v>
      </c>
      <c r="R584" s="3" t="str">
        <f ca="1">IFERROR(__xludf.DUMMYFUNCTION("""COMPUTED_VALUE"""),"2055-06-08T23:12:59.290997Z")</f>
        <v>2055-06-08T23:12:59.290997Z</v>
      </c>
      <c r="S584" s="3" t="str">
        <f ca="1">IFERROR(__xludf.DUMMYFUNCTION("""COMPUTED_VALUE"""),"2055-06-08T23:20:02.882213Z")</f>
        <v>2055-06-08T23:20:02.882213Z</v>
      </c>
      <c r="T584" s="3"/>
      <c r="U584" s="4">
        <f ca="1">IFERROR(__xludf.DUMMYFUNCTION("""COMPUTED_VALUE"""),56773)</f>
        <v>56773</v>
      </c>
      <c r="V584" s="3">
        <f ca="1">IFERROR(__xludf.DUMMYFUNCTION("""COMPUTED_VALUE"""),4.1)</f>
        <v>4.0999999999999996</v>
      </c>
      <c r="W584" s="3">
        <f ca="1">IFERROR(__xludf.DUMMYFUNCTION("""COMPUTED_VALUE"""),2000)</f>
        <v>2000</v>
      </c>
      <c r="X584" s="3">
        <f ca="1">IFERROR(__xludf.DUMMYFUNCTION("""COMPUTED_VALUE"""),1290)</f>
        <v>1290</v>
      </c>
      <c r="Y584" s="3">
        <f ca="1">IFERROR(__xludf.DUMMYFUNCTION("""COMPUTED_VALUE"""),423)</f>
        <v>423</v>
      </c>
      <c r="Z584" s="3">
        <f ca="1">IFERROR(__xludf.DUMMYFUNCTION("""COMPUTED_VALUE"""),295)</f>
        <v>295</v>
      </c>
      <c r="AA584" s="3">
        <f ca="1">IFERROR(__xludf.DUMMYFUNCTION("""COMPUTED_VALUE"""),572)</f>
        <v>572</v>
      </c>
      <c r="AB584" s="3">
        <f ca="1">IFERROR(__xludf.DUMMYFUNCTION("""COMPUTED_VALUE"""),0)</f>
        <v>0</v>
      </c>
      <c r="AC584" s="3">
        <f ca="1">IFERROR(__xludf.DUMMYFUNCTION("""COMPUTED_VALUE"""),2)</f>
        <v>2</v>
      </c>
      <c r="AD584" s="3" t="str">
        <f ca="1">IFERROR(__xludf.DUMMYFUNCTION("""COMPUTED_VALUE"""),"on time")</f>
        <v>on time</v>
      </c>
      <c r="AE584" s="3" t="str">
        <f ca="1">IFERROR(__xludf.DUMMYFUNCTION("""COMPUTED_VALUE"""),"2055-06-08T19:24:57.835737Z")</f>
        <v>2055-06-08T19:24:57.835737Z</v>
      </c>
      <c r="AF584" s="3" t="str">
        <f ca="1">IFERROR(__xludf.DUMMYFUNCTION("""COMPUTED_VALUE"""),"2055-06-08T19:34:29.561631Z")</f>
        <v>2055-06-08T19:34:29.561631Z</v>
      </c>
      <c r="AG584" s="3" t="str">
        <f ca="1">IFERROR(__xludf.DUMMYFUNCTION("""COMPUTED_VALUE"""),"2055-06-08T19:12:34.822801Z")</f>
        <v>2055-06-08T19:12:34.822801Z</v>
      </c>
      <c r="AH584" s="3" t="str">
        <f ca="1">IFERROR(__xludf.DUMMYFUNCTION("""COMPUTED_VALUE"""),"2055-06-08T19:20:02.882213Z")</f>
        <v>2055-06-08T19:20:02.882213Z</v>
      </c>
      <c r="AI584" s="3">
        <f ca="1">IFERROR(__xludf.DUMMYFUNCTION("""COMPUTED_VALUE"""),4.54)</f>
        <v>4.54</v>
      </c>
      <c r="AJ584" s="3">
        <f ca="1">IFERROR(__xludf.DUMMYFUNCTION("""COMPUTED_VALUE"""),2229)</f>
        <v>2229</v>
      </c>
      <c r="AK584" s="3">
        <f ca="1">IFERROR(__xludf.DUMMYFUNCTION("""COMPUTED_VALUE"""),6580)</f>
        <v>6580</v>
      </c>
      <c r="AL584" s="3"/>
    </row>
    <row r="585" spans="1:38" ht="13">
      <c r="A585" s="3">
        <f ca="1">IFERROR(__xludf.DUMMYFUNCTION("""COMPUTED_VALUE"""),1380)</f>
        <v>1380</v>
      </c>
      <c r="B585" s="3"/>
      <c r="C585" s="3">
        <f ca="1">IFERROR(__xludf.DUMMYFUNCTION("""COMPUTED_VALUE"""),4001)</f>
        <v>4001</v>
      </c>
      <c r="D585" s="3" t="str">
        <f ca="1">IFERROR(__xludf.DUMMYFUNCTION("""COMPUTED_VALUE"""),"Dashattan")</f>
        <v>Dashattan</v>
      </c>
      <c r="E585" s="3" t="str">
        <f ca="1">IFERROR(__xludf.DUMMYFUNCTION("""COMPUTED_VALUE"""),"Galaxy A")</f>
        <v>Galaxy A</v>
      </c>
      <c r="F585" s="3" t="str">
        <f ca="1">IFERROR(__xludf.DUMMYFUNCTION("""COMPUTED_VALUE"""),"Rojan")</f>
        <v>Rojan</v>
      </c>
      <c r="G585" s="3">
        <f ca="1">IFERROR(__xludf.DUMMYFUNCTION("""COMPUTED_VALUE"""),0)</f>
        <v>0</v>
      </c>
      <c r="H585" s="3" t="str">
        <f ca="1">IFERROR(__xludf.DUMMYFUNCTION("""COMPUTED_VALUE"""),"bicycle")</f>
        <v>bicycle</v>
      </c>
      <c r="I585" s="3" t="str">
        <f ca="1">IFERROR(__xludf.DUMMYFUNCTION("""COMPUTED_VALUE"""),"2055-06-12T02:59:50.184011Z")</f>
        <v>2055-06-12T02:59:50.184011Z</v>
      </c>
      <c r="J585" s="3" t="str">
        <f ca="1">IFERROR(__xludf.DUMMYFUNCTION("""COMPUTED_VALUE"""),"2055-06-12T03:45:26.243Z")</f>
        <v>2055-06-12T03:45:26.243Z</v>
      </c>
      <c r="K585" s="3" t="str">
        <f ca="1">IFERROR(__xludf.DUMMYFUNCTION("""COMPUTED_VALUE"""),"2055-06-12T03:31:33.243Z")</f>
        <v>2055-06-12T03:31:33.243Z</v>
      </c>
      <c r="L585" s="3">
        <f ca="1">IFERROR(__xludf.DUMMYFUNCTION("""COMPUTED_VALUE"""),1)</f>
        <v>1</v>
      </c>
      <c r="M585" s="3">
        <f ca="1">IFERROR(__xludf.DUMMYFUNCTION("""COMPUTED_VALUE"""),0)</f>
        <v>0</v>
      </c>
      <c r="N585" s="3" t="str">
        <f ca="1">IFERROR(__xludf.DUMMYFUNCTION("""COMPUTED_VALUE"""),"2055-06-12T03:19:48.078281Z")</f>
        <v>2055-06-12T03:19:48.078281Z</v>
      </c>
      <c r="O585" s="3" t="str">
        <f ca="1">IFERROR(__xludf.DUMMYFUNCTION("""COMPUTED_VALUE"""),"2055-06-12T03:30:25.160835Z")</f>
        <v>2055-06-12T03:30:25.160835Z</v>
      </c>
      <c r="P585" s="3" t="str">
        <f ca="1">IFERROR(__xludf.DUMMYFUNCTION("""COMPUTED_VALUE"""),"2055-06-12T03:02:14.16622Z")</f>
        <v>2055-06-12T03:02:14.16622Z</v>
      </c>
      <c r="Q585" s="3">
        <f ca="1">IFERROR(__xludf.DUMMYFUNCTION("""COMPUTED_VALUE"""),0)</f>
        <v>0</v>
      </c>
      <c r="R585" s="3" t="str">
        <f ca="1">IFERROR(__xludf.DUMMYFUNCTION("""COMPUTED_VALUE"""),"2055-06-12T03:02:33.178013Z")</f>
        <v>2055-06-12T03:02:33.178013Z</v>
      </c>
      <c r="S585" s="3" t="str">
        <f ca="1">IFERROR(__xludf.DUMMYFUNCTION("""COMPUTED_VALUE"""),"2055-06-12T03:11:09.285215Z")</f>
        <v>2055-06-12T03:11:09.285215Z</v>
      </c>
      <c r="T585" s="3"/>
      <c r="U585" s="4">
        <f ca="1">IFERROR(__xludf.DUMMYFUNCTION("""COMPUTED_VALUE"""),56776)</f>
        <v>56776</v>
      </c>
      <c r="V585" s="3">
        <f ca="1">IFERROR(__xludf.DUMMYFUNCTION("""COMPUTED_VALUE"""),4.5)</f>
        <v>4.5</v>
      </c>
      <c r="W585" s="3">
        <f ca="1">IFERROR(__xludf.DUMMYFUNCTION("""COMPUTED_VALUE"""),2000)</f>
        <v>2000</v>
      </c>
      <c r="X585" s="3">
        <f ca="1">IFERROR(__xludf.DUMMYFUNCTION("""COMPUTED_VALUE"""),1672)</f>
        <v>1672</v>
      </c>
      <c r="Y585" s="3">
        <f ca="1">IFERROR(__xludf.DUMMYFUNCTION("""COMPUTED_VALUE"""),516)</f>
        <v>516</v>
      </c>
      <c r="Z585" s="3">
        <f ca="1">IFERROR(__xludf.DUMMYFUNCTION("""COMPUTED_VALUE"""),519)</f>
        <v>519</v>
      </c>
      <c r="AA585" s="3">
        <f ca="1">IFERROR(__xludf.DUMMYFUNCTION("""COMPUTED_VALUE"""),637)</f>
        <v>637</v>
      </c>
      <c r="AB585" s="3">
        <f ca="1">IFERROR(__xludf.DUMMYFUNCTION("""COMPUTED_VALUE"""),0)</f>
        <v>0</v>
      </c>
      <c r="AC585" s="3">
        <f ca="1">IFERROR(__xludf.DUMMYFUNCTION("""COMPUTED_VALUE"""),3)</f>
        <v>3</v>
      </c>
      <c r="AD585" s="3" t="str">
        <f ca="1">IFERROR(__xludf.DUMMYFUNCTION("""COMPUTED_VALUE"""),"early")</f>
        <v>early</v>
      </c>
      <c r="AE585" s="3" t="str">
        <f ca="1">IFERROR(__xludf.DUMMYFUNCTION("""COMPUTED_VALUE"""),"2055-06-11T23:19:48.078281Z")</f>
        <v>2055-06-11T23:19:48.078281Z</v>
      </c>
      <c r="AF585" s="3" t="str">
        <f ca="1">IFERROR(__xludf.DUMMYFUNCTION("""COMPUTED_VALUE"""),"2055-06-11T23:30:25.160835Z")</f>
        <v>2055-06-11T23:30:25.160835Z</v>
      </c>
      <c r="AG585" s="3" t="str">
        <f ca="1">IFERROR(__xludf.DUMMYFUNCTION("""COMPUTED_VALUE"""),"2055-06-11T23:02:14.16622Z")</f>
        <v>2055-06-11T23:02:14.16622Z</v>
      </c>
      <c r="AH585" s="3" t="str">
        <f ca="1">IFERROR(__xludf.DUMMYFUNCTION("""COMPUTED_VALUE"""),"2055-06-11T23:11:09.285215Z")</f>
        <v>2055-06-11T23:11:09.285215Z</v>
      </c>
      <c r="AI585" s="3">
        <f ca="1">IFERROR(__xludf.DUMMYFUNCTION("""COMPUTED_VALUE"""),4.58)</f>
        <v>4.58</v>
      </c>
      <c r="AJ585" s="3">
        <f ca="1">IFERROR(__xludf.DUMMYFUNCTION("""COMPUTED_VALUE"""),254)</f>
        <v>254</v>
      </c>
      <c r="AK585" s="3">
        <f ca="1">IFERROR(__xludf.DUMMYFUNCTION("""COMPUTED_VALUE"""),788)</f>
        <v>788</v>
      </c>
      <c r="AL585" s="3">
        <f ca="1">IFERROR(__xludf.DUMMYFUNCTION("""COMPUTED_VALUE"""),9)</f>
        <v>9</v>
      </c>
    </row>
    <row r="586" spans="1:38" ht="13">
      <c r="A586" s="3">
        <f ca="1">IFERROR(__xludf.DUMMYFUNCTION("""COMPUTED_VALUE"""),1452)</f>
        <v>1452</v>
      </c>
      <c r="B586" s="3"/>
      <c r="C586" s="3">
        <f ca="1">IFERROR(__xludf.DUMMYFUNCTION("""COMPUTED_VALUE"""),4001)</f>
        <v>4001</v>
      </c>
      <c r="D586" s="3" t="str">
        <f ca="1">IFERROR(__xludf.DUMMYFUNCTION("""COMPUTED_VALUE"""),"Dashattan")</f>
        <v>Dashattan</v>
      </c>
      <c r="E586" s="3" t="str">
        <f ca="1">IFERROR(__xludf.DUMMYFUNCTION("""COMPUTED_VALUE"""),"Galaxy A")</f>
        <v>Galaxy A</v>
      </c>
      <c r="F586" s="3" t="str">
        <f ca="1">IFERROR(__xludf.DUMMYFUNCTION("""COMPUTED_VALUE"""),"Etan")</f>
        <v>Etan</v>
      </c>
      <c r="G586" s="3">
        <f ca="1">IFERROR(__xludf.DUMMYFUNCTION("""COMPUTED_VALUE"""),0)</f>
        <v>0</v>
      </c>
      <c r="H586" s="3" t="str">
        <f ca="1">IFERROR(__xludf.DUMMYFUNCTION("""COMPUTED_VALUE"""),"bicycle")</f>
        <v>bicycle</v>
      </c>
      <c r="I586" s="3" t="str">
        <f ca="1">IFERROR(__xludf.DUMMYFUNCTION("""COMPUTED_VALUE"""),"2055-06-12T21:16:42.86081Z")</f>
        <v>2055-06-12T21:16:42.86081Z</v>
      </c>
      <c r="J586" s="3" t="str">
        <f ca="1">IFERROR(__xludf.DUMMYFUNCTION("""COMPUTED_VALUE"""),"2055-06-12T22:05:21.918Z")</f>
        <v>2055-06-12T22:05:21.918Z</v>
      </c>
      <c r="K586" s="3" t="str">
        <f ca="1">IFERROR(__xludf.DUMMYFUNCTION("""COMPUTED_VALUE"""),"2055-06-12T21:46:28.918Z")</f>
        <v>2055-06-12T21:46:28.918Z</v>
      </c>
      <c r="L586" s="3">
        <f ca="1">IFERROR(__xludf.DUMMYFUNCTION("""COMPUTED_VALUE"""),1)</f>
        <v>1</v>
      </c>
      <c r="M586" s="3">
        <f ca="1">IFERROR(__xludf.DUMMYFUNCTION("""COMPUTED_VALUE"""),0)</f>
        <v>0</v>
      </c>
      <c r="N586" s="3" t="str">
        <f ca="1">IFERROR(__xludf.DUMMYFUNCTION("""COMPUTED_VALUE"""),"2055-06-12T21:30:47.645629Z")</f>
        <v>2055-06-12T21:30:47.645629Z</v>
      </c>
      <c r="O586" s="3" t="str">
        <f ca="1">IFERROR(__xludf.DUMMYFUNCTION("""COMPUTED_VALUE"""),"2055-06-12T21:56:18.699022Z")</f>
        <v>2055-06-12T21:56:18.699022Z</v>
      </c>
      <c r="P586" s="3" t="str">
        <f ca="1">IFERROR(__xludf.DUMMYFUNCTION("""COMPUTED_VALUE"""),"2055-06-12T21:24:14.267946Z")</f>
        <v>2055-06-12T21:24:14.267946Z</v>
      </c>
      <c r="Q586" s="3">
        <f ca="1">IFERROR(__xludf.DUMMYFUNCTION("""COMPUTED_VALUE"""),0)</f>
        <v>0</v>
      </c>
      <c r="R586" s="3" t="str">
        <f ca="1">IFERROR(__xludf.DUMMYFUNCTION("""COMPUTED_VALUE"""),"2055-06-12T21:24:19.98923Z")</f>
        <v>2055-06-12T21:24:19.98923Z</v>
      </c>
      <c r="S586" s="3" t="str">
        <f ca="1">IFERROR(__xludf.DUMMYFUNCTION("""COMPUTED_VALUE"""),"2055-06-12T21:27:36.414152Z")</f>
        <v>2055-06-12T21:27:36.414152Z</v>
      </c>
      <c r="T586" s="3"/>
      <c r="U586" s="4">
        <f ca="1">IFERROR(__xludf.DUMMYFUNCTION("""COMPUTED_VALUE"""),56777)</f>
        <v>56777</v>
      </c>
      <c r="V586" s="3">
        <f ca="1">IFERROR(__xludf.DUMMYFUNCTION("""COMPUTED_VALUE"""),3.41345816)</f>
        <v>3.4134581599999998</v>
      </c>
      <c r="W586" s="3">
        <f ca="1">IFERROR(__xludf.DUMMYFUNCTION("""COMPUTED_VALUE"""),2000)</f>
        <v>2000</v>
      </c>
      <c r="X586" s="3">
        <f ca="1">IFERROR(__xludf.DUMMYFUNCTION("""COMPUTED_VALUE"""),1919)</f>
        <v>1919</v>
      </c>
      <c r="Y586" s="3">
        <f ca="1">IFERROR(__xludf.DUMMYFUNCTION("""COMPUTED_VALUE"""),197)</f>
        <v>197</v>
      </c>
      <c r="Z586" s="3">
        <f ca="1">IFERROR(__xludf.DUMMYFUNCTION("""COMPUTED_VALUE"""),191)</f>
        <v>191</v>
      </c>
      <c r="AA586" s="3">
        <f ca="1">IFERROR(__xludf.DUMMYFUNCTION("""COMPUTED_VALUE"""),1531)</f>
        <v>1531</v>
      </c>
      <c r="AB586" s="3">
        <f ca="1">IFERROR(__xludf.DUMMYFUNCTION("""COMPUTED_VALUE"""),0)</f>
        <v>0</v>
      </c>
      <c r="AC586" s="3">
        <f ca="1">IFERROR(__xludf.DUMMYFUNCTION("""COMPUTED_VALUE"""),2)</f>
        <v>2</v>
      </c>
      <c r="AD586" s="3" t="str">
        <f ca="1">IFERROR(__xludf.DUMMYFUNCTION("""COMPUTED_VALUE"""),"on time")</f>
        <v>on time</v>
      </c>
      <c r="AE586" s="3" t="str">
        <f ca="1">IFERROR(__xludf.DUMMYFUNCTION("""COMPUTED_VALUE"""),"2055-06-12T17:30:47.645629Z")</f>
        <v>2055-06-12T17:30:47.645629Z</v>
      </c>
      <c r="AF586" s="3" t="str">
        <f ca="1">IFERROR(__xludf.DUMMYFUNCTION("""COMPUTED_VALUE"""),"2055-06-12T17:56:18.699022Z")</f>
        <v>2055-06-12T17:56:18.699022Z</v>
      </c>
      <c r="AG586" s="3" t="str">
        <f ca="1">IFERROR(__xludf.DUMMYFUNCTION("""COMPUTED_VALUE"""),"2055-06-12T17:24:14.267946Z")</f>
        <v>2055-06-12T17:24:14.267946Z</v>
      </c>
      <c r="AH586" s="3" t="str">
        <f ca="1">IFERROR(__xludf.DUMMYFUNCTION("""COMPUTED_VALUE"""),"2055-06-12T17:27:36.414152Z")</f>
        <v>2055-06-12T17:27:36.414152Z</v>
      </c>
      <c r="AI586" s="3">
        <f ca="1">IFERROR(__xludf.DUMMYFUNCTION("""COMPUTED_VALUE"""),4.35106383)</f>
        <v>4.3510638300000002</v>
      </c>
      <c r="AJ586" s="3">
        <f ca="1">IFERROR(__xludf.DUMMYFUNCTION("""COMPUTED_VALUE"""),62)</f>
        <v>62</v>
      </c>
      <c r="AK586" s="3">
        <f ca="1">IFERROR(__xludf.DUMMYFUNCTION("""COMPUTED_VALUE"""),228)</f>
        <v>228</v>
      </c>
      <c r="AL586" s="3"/>
    </row>
    <row r="587" spans="1:38" ht="13">
      <c r="A587" s="3">
        <f ca="1">IFERROR(__xludf.DUMMYFUNCTION("""COMPUTED_VALUE"""),1465)</f>
        <v>1465</v>
      </c>
      <c r="B587" s="3"/>
      <c r="C587" s="3">
        <f ca="1">IFERROR(__xludf.DUMMYFUNCTION("""COMPUTED_VALUE"""),4001)</f>
        <v>4001</v>
      </c>
      <c r="D587" s="3" t="str">
        <f ca="1">IFERROR(__xludf.DUMMYFUNCTION("""COMPUTED_VALUE"""),"Dashattan")</f>
        <v>Dashattan</v>
      </c>
      <c r="E587" s="3" t="str">
        <f ca="1">IFERROR(__xludf.DUMMYFUNCTION("""COMPUTED_VALUE"""),"Galaxy A")</f>
        <v>Galaxy A</v>
      </c>
      <c r="F587" s="3" t="str">
        <f ca="1">IFERROR(__xludf.DUMMYFUNCTION("""COMPUTED_VALUE"""),"Rojan")</f>
        <v>Rojan</v>
      </c>
      <c r="G587" s="3">
        <f ca="1">IFERROR(__xludf.DUMMYFUNCTION("""COMPUTED_VALUE"""),0)</f>
        <v>0</v>
      </c>
      <c r="H587" s="3" t="str">
        <f ca="1">IFERROR(__xludf.DUMMYFUNCTION("""COMPUTED_VALUE"""),"bicycle")</f>
        <v>bicycle</v>
      </c>
      <c r="I587" s="3" t="str">
        <f ca="1">IFERROR(__xludf.DUMMYFUNCTION("""COMPUTED_VALUE"""),"2055-06-12T21:44:57.496465Z")</f>
        <v>2055-06-12T21:44:57.496465Z</v>
      </c>
      <c r="J587" s="3" t="str">
        <f ca="1">IFERROR(__xludf.DUMMYFUNCTION("""COMPUTED_VALUE"""),"2055-06-12T22:31:10.55Z")</f>
        <v>2055-06-12T22:31:10.55Z</v>
      </c>
      <c r="K587" s="3" t="str">
        <f ca="1">IFERROR(__xludf.DUMMYFUNCTION("""COMPUTED_VALUE"""),"2055-06-12T22:12:17.55Z")</f>
        <v>2055-06-12T22:12:17.55Z</v>
      </c>
      <c r="L587" s="3">
        <f ca="1">IFERROR(__xludf.DUMMYFUNCTION("""COMPUTED_VALUE"""),1)</f>
        <v>1</v>
      </c>
      <c r="M587" s="3">
        <f ca="1">IFERROR(__xludf.DUMMYFUNCTION("""COMPUTED_VALUE"""),0)</f>
        <v>0</v>
      </c>
      <c r="N587" s="3" t="str">
        <f ca="1">IFERROR(__xludf.DUMMYFUNCTION("""COMPUTED_VALUE"""),"2055-06-12T21:58:18.95181Z")</f>
        <v>2055-06-12T21:58:18.95181Z</v>
      </c>
      <c r="O587" s="3" t="str">
        <f ca="1">IFERROR(__xludf.DUMMYFUNCTION("""COMPUTED_VALUE"""),"2055-06-12T22:10:37.710749Z")</f>
        <v>2055-06-12T22:10:37.710749Z</v>
      </c>
      <c r="P587" s="3" t="str">
        <f ca="1">IFERROR(__xludf.DUMMYFUNCTION("""COMPUTED_VALUE"""),"2055-06-12T21:48:34.706995Z")</f>
        <v>2055-06-12T21:48:34.706995Z</v>
      </c>
      <c r="Q587" s="3">
        <f ca="1">IFERROR(__xludf.DUMMYFUNCTION("""COMPUTED_VALUE"""),0)</f>
        <v>0</v>
      </c>
      <c r="R587" s="3" t="str">
        <f ca="1">IFERROR(__xludf.DUMMYFUNCTION("""COMPUTED_VALUE"""),"2055-06-12T21:48:52.38122Z")</f>
        <v>2055-06-12T21:48:52.38122Z</v>
      </c>
      <c r="S587" s="3" t="str">
        <f ca="1">IFERROR(__xludf.DUMMYFUNCTION("""COMPUTED_VALUE"""),"2055-06-12T21:56:17.071458Z")</f>
        <v>2055-06-12T21:56:17.071458Z</v>
      </c>
      <c r="T587" s="3"/>
      <c r="U587" s="4">
        <f ca="1">IFERROR(__xludf.DUMMYFUNCTION("""COMPUTED_VALUE"""),56777)</f>
        <v>56777</v>
      </c>
      <c r="V587" s="3">
        <f ca="1">IFERROR(__xludf.DUMMYFUNCTION("""COMPUTED_VALUE"""),4.5)</f>
        <v>4.5</v>
      </c>
      <c r="W587" s="3">
        <f ca="1">IFERROR(__xludf.DUMMYFUNCTION("""COMPUTED_VALUE"""),2000)</f>
        <v>2000</v>
      </c>
      <c r="X587" s="3">
        <f ca="1">IFERROR(__xludf.DUMMYFUNCTION("""COMPUTED_VALUE"""),1305)</f>
        <v>1305</v>
      </c>
      <c r="Y587" s="3">
        <f ca="1">IFERROR(__xludf.DUMMYFUNCTION("""COMPUTED_VALUE"""),445)</f>
        <v>445</v>
      </c>
      <c r="Z587" s="3">
        <f ca="1">IFERROR(__xludf.DUMMYFUNCTION("""COMPUTED_VALUE"""),121)</f>
        <v>121</v>
      </c>
      <c r="AA587" s="3">
        <f ca="1">IFERROR(__xludf.DUMMYFUNCTION("""COMPUTED_VALUE"""),739)</f>
        <v>739</v>
      </c>
      <c r="AB587" s="3">
        <f ca="1">IFERROR(__xludf.DUMMYFUNCTION("""COMPUTED_VALUE"""),0)</f>
        <v>0</v>
      </c>
      <c r="AC587" s="3">
        <f ca="1">IFERROR(__xludf.DUMMYFUNCTION("""COMPUTED_VALUE"""),2)</f>
        <v>2</v>
      </c>
      <c r="AD587" s="3" t="str">
        <f ca="1">IFERROR(__xludf.DUMMYFUNCTION("""COMPUTED_VALUE"""),"on time")</f>
        <v>on time</v>
      </c>
      <c r="AE587" s="3" t="str">
        <f ca="1">IFERROR(__xludf.DUMMYFUNCTION("""COMPUTED_VALUE"""),"2055-06-12T17:58:18.95181Z")</f>
        <v>2055-06-12T17:58:18.95181Z</v>
      </c>
      <c r="AF587" s="3" t="str">
        <f ca="1">IFERROR(__xludf.DUMMYFUNCTION("""COMPUTED_VALUE"""),"2055-06-12T18:10:37.710749Z")</f>
        <v>2055-06-12T18:10:37.710749Z</v>
      </c>
      <c r="AG587" s="3" t="str">
        <f ca="1">IFERROR(__xludf.DUMMYFUNCTION("""COMPUTED_VALUE"""),"2055-06-12T17:48:34.706995Z")</f>
        <v>2055-06-12T17:48:34.706995Z</v>
      </c>
      <c r="AH587" s="3" t="str">
        <f ca="1">IFERROR(__xludf.DUMMYFUNCTION("""COMPUTED_VALUE"""),"2055-06-12T17:56:17.071458Z")</f>
        <v>2055-06-12T17:56:17.071458Z</v>
      </c>
      <c r="AI587" s="3">
        <f ca="1">IFERROR(__xludf.DUMMYFUNCTION("""COMPUTED_VALUE"""),4.58)</f>
        <v>4.58</v>
      </c>
      <c r="AJ587" s="3">
        <f ca="1">IFERROR(__xludf.DUMMYFUNCTION("""COMPUTED_VALUE"""),254)</f>
        <v>254</v>
      </c>
      <c r="AK587" s="3">
        <f ca="1">IFERROR(__xludf.DUMMYFUNCTION("""COMPUTED_VALUE"""),788)</f>
        <v>788</v>
      </c>
      <c r="AL587" s="3">
        <f ca="1">IFERROR(__xludf.DUMMYFUNCTION("""COMPUTED_VALUE"""),9)</f>
        <v>9</v>
      </c>
    </row>
    <row r="588" spans="1:38" ht="13">
      <c r="A588" s="3">
        <f ca="1">IFERROR(__xludf.DUMMYFUNCTION("""COMPUTED_VALUE"""),308)</f>
        <v>308</v>
      </c>
      <c r="B588" s="3"/>
      <c r="C588" s="3">
        <f ca="1">IFERROR(__xludf.DUMMYFUNCTION("""COMPUTED_VALUE"""),4001)</f>
        <v>4001</v>
      </c>
      <c r="D588" s="3" t="str">
        <f ca="1">IFERROR(__xludf.DUMMYFUNCTION("""COMPUTED_VALUE"""),"Dashattan")</f>
        <v>Dashattan</v>
      </c>
      <c r="E588" s="3" t="str">
        <f ca="1">IFERROR(__xludf.DUMMYFUNCTION("""COMPUTED_VALUE"""),"Galaxy A")</f>
        <v>Galaxy A</v>
      </c>
      <c r="F588" s="3" t="str">
        <f ca="1">IFERROR(__xludf.DUMMYFUNCTION("""COMPUTED_VALUE"""),"KC")</f>
        <v>KC</v>
      </c>
      <c r="G588" s="3">
        <f ca="1">IFERROR(__xludf.DUMMYFUNCTION("""COMPUTED_VALUE"""),0)</f>
        <v>0</v>
      </c>
      <c r="H588" s="3" t="str">
        <f ca="1">IFERROR(__xludf.DUMMYFUNCTION("""COMPUTED_VALUE"""),"car")</f>
        <v>car</v>
      </c>
      <c r="I588" s="3" t="str">
        <f ca="1">IFERROR(__xludf.DUMMYFUNCTION("""COMPUTED_VALUE"""),"2055-06-03T18:08:19.84354Z")</f>
        <v>2055-06-03T18:08:19.84354Z</v>
      </c>
      <c r="J588" s="3" t="str">
        <f ca="1">IFERROR(__xludf.DUMMYFUNCTION("""COMPUTED_VALUE"""),"2055-06-03T19:22:14.935Z")</f>
        <v>2055-06-03T19:22:14.935Z</v>
      </c>
      <c r="K588" s="3" t="str">
        <f ca="1">IFERROR(__xludf.DUMMYFUNCTION("""COMPUTED_VALUE"""),"2055-06-03T19:02:07.935Z")</f>
        <v>2055-06-03T19:02:07.935Z</v>
      </c>
      <c r="L588" s="3">
        <f ca="1">IFERROR(__xludf.DUMMYFUNCTION("""COMPUTED_VALUE"""),1)</f>
        <v>1</v>
      </c>
      <c r="M588" s="3">
        <f ca="1">IFERROR(__xludf.DUMMYFUNCTION("""COMPUTED_VALUE"""),1)</f>
        <v>1</v>
      </c>
      <c r="N588" s="3" t="str">
        <f ca="1">IFERROR(__xludf.DUMMYFUNCTION("""COMPUTED_VALUE"""),"2055-06-03T18:59:01.446189Z")</f>
        <v>2055-06-03T18:59:01.446189Z</v>
      </c>
      <c r="O588" s="3" t="str">
        <f ca="1">IFERROR(__xludf.DUMMYFUNCTION("""COMPUTED_VALUE"""),"2055-06-03T19:54:26.807368Z")</f>
        <v>2055-06-03T19:54:26.807368Z</v>
      </c>
      <c r="P588" s="3" t="str">
        <f ca="1">IFERROR(__xludf.DUMMYFUNCTION("""COMPUTED_VALUE"""),"2055-06-03T18:17:34.283952Z")</f>
        <v>2055-06-03T18:17:34.283952Z</v>
      </c>
      <c r="Q588" s="3">
        <f ca="1">IFERROR(__xludf.DUMMYFUNCTION("""COMPUTED_VALUE"""),0)</f>
        <v>0</v>
      </c>
      <c r="R588" s="3" t="str">
        <f ca="1">IFERROR(__xludf.DUMMYFUNCTION("""COMPUTED_VALUE"""),"2055-06-03T18:17:43.863767Z")</f>
        <v>2055-06-03T18:17:43.863767Z</v>
      </c>
      <c r="S588" s="3" t="str">
        <f ca="1">IFERROR(__xludf.DUMMYFUNCTION("""COMPUTED_VALUE"""),"2055-06-03T18:25:16.518252Z")</f>
        <v>2055-06-03T18:25:16.518252Z</v>
      </c>
      <c r="T588" s="3"/>
      <c r="U588" s="4">
        <f ca="1">IFERROR(__xludf.DUMMYFUNCTION("""COMPUTED_VALUE"""),56768)</f>
        <v>56768</v>
      </c>
      <c r="V588" s="3">
        <f ca="1">IFERROR(__xludf.DUMMYFUNCTION("""COMPUTED_VALUE"""),4.4)</f>
        <v>4.4000000000000004</v>
      </c>
      <c r="W588" s="3">
        <f ca="1">IFERROR(__xludf.DUMMYFUNCTION("""COMPUTED_VALUE"""),2000)</f>
        <v>2000</v>
      </c>
      <c r="X588" s="3">
        <f ca="1">IFERROR(__xludf.DUMMYFUNCTION("""COMPUTED_VALUE"""),5803)</f>
        <v>5803</v>
      </c>
      <c r="Y588" s="3">
        <f ca="1">IFERROR(__xludf.DUMMYFUNCTION("""COMPUTED_VALUE"""),453)</f>
        <v>453</v>
      </c>
      <c r="Z588" s="3">
        <f ca="1">IFERROR(__xludf.DUMMYFUNCTION("""COMPUTED_VALUE"""),2025)</f>
        <v>2025</v>
      </c>
      <c r="AA588" s="3">
        <f ca="1">IFERROR(__xludf.DUMMYFUNCTION("""COMPUTED_VALUE"""),3325)</f>
        <v>3325</v>
      </c>
      <c r="AB588" s="3">
        <f ca="1">IFERROR(__xludf.DUMMYFUNCTION("""COMPUTED_VALUE"""),1)</f>
        <v>1</v>
      </c>
      <c r="AC588" s="3">
        <f ca="1">IFERROR(__xludf.DUMMYFUNCTION("""COMPUTED_VALUE"""),2)</f>
        <v>2</v>
      </c>
      <c r="AD588" s="3"/>
      <c r="AE588" s="3" t="str">
        <f ca="1">IFERROR(__xludf.DUMMYFUNCTION("""COMPUTED_VALUE"""),"2055-06-03T14:59:01.446189Z")</f>
        <v>2055-06-03T14:59:01.446189Z</v>
      </c>
      <c r="AF588" s="3" t="str">
        <f ca="1">IFERROR(__xludf.DUMMYFUNCTION("""COMPUTED_VALUE"""),"2055-06-03T15:54:26.807368Z")</f>
        <v>2055-06-03T15:54:26.807368Z</v>
      </c>
      <c r="AG588" s="3" t="str">
        <f ca="1">IFERROR(__xludf.DUMMYFUNCTION("""COMPUTED_VALUE"""),"2055-06-03T14:17:34.283952Z")</f>
        <v>2055-06-03T14:17:34.283952Z</v>
      </c>
      <c r="AH588" s="3" t="str">
        <f ca="1">IFERROR(__xludf.DUMMYFUNCTION("""COMPUTED_VALUE"""),"2055-06-03T14:25:16.518252Z")</f>
        <v>2055-06-03T14:25:16.518252Z</v>
      </c>
      <c r="AI588" s="3">
        <f ca="1">IFERROR(__xludf.DUMMYFUNCTION("""COMPUTED_VALUE"""),4.54)</f>
        <v>4.54</v>
      </c>
      <c r="AJ588" s="3">
        <f ca="1">IFERROR(__xludf.DUMMYFUNCTION("""COMPUTED_VALUE"""),2229)</f>
        <v>2229</v>
      </c>
      <c r="AK588" s="3">
        <f ca="1">IFERROR(__xludf.DUMMYFUNCTION("""COMPUTED_VALUE"""),6580)</f>
        <v>6580</v>
      </c>
      <c r="AL588" s="3"/>
    </row>
    <row r="589" spans="1:38" ht="13">
      <c r="A589" s="3">
        <f ca="1">IFERROR(__xludf.DUMMYFUNCTION("""COMPUTED_VALUE"""),791)</f>
        <v>791</v>
      </c>
      <c r="B589" s="3"/>
      <c r="C589" s="3">
        <f ca="1">IFERROR(__xludf.DUMMYFUNCTION("""COMPUTED_VALUE"""),4050)</f>
        <v>4050</v>
      </c>
      <c r="D589" s="3" t="str">
        <f ca="1">IFERROR(__xludf.DUMMYFUNCTION("""COMPUTED_VALUE"""),"Doorlanta")</f>
        <v>Doorlanta</v>
      </c>
      <c r="E589" s="3" t="str">
        <f ca="1">IFERROR(__xludf.DUMMYFUNCTION("""COMPUTED_VALUE"""),"Galaxy A")</f>
        <v>Galaxy A</v>
      </c>
      <c r="F589" s="3" t="str">
        <f ca="1">IFERROR(__xludf.DUMMYFUNCTION("""COMPUTED_VALUE"""),"Drew")</f>
        <v>Drew</v>
      </c>
      <c r="G589" s="3">
        <f ca="1">IFERROR(__xludf.DUMMYFUNCTION("""COMPUTED_VALUE"""),0)</f>
        <v>0</v>
      </c>
      <c r="H589" s="3" t="str">
        <f ca="1">IFERROR(__xludf.DUMMYFUNCTION("""COMPUTED_VALUE"""),"car")</f>
        <v>car</v>
      </c>
      <c r="I589" s="3" t="str">
        <f ca="1">IFERROR(__xludf.DUMMYFUNCTION("""COMPUTED_VALUE"""),"2055-06-06T23:23:59.961298Z")</f>
        <v>2055-06-06T23:23:59.961298Z</v>
      </c>
      <c r="J589" s="3" t="str">
        <f ca="1">IFERROR(__xludf.DUMMYFUNCTION("""COMPUTED_VALUE"""),"2055-06-07T00:19:00.123Z")</f>
        <v>2055-06-07T00:19:00.123Z</v>
      </c>
      <c r="K589" s="3" t="str">
        <f ca="1">IFERROR(__xludf.DUMMYFUNCTION("""COMPUTED_VALUE"""),"2055-06-06T23:55:35.123Z")</f>
        <v>2055-06-06T23:55:35.123Z</v>
      </c>
      <c r="L589" s="3">
        <f ca="1">IFERROR(__xludf.DUMMYFUNCTION("""COMPUTED_VALUE"""),1)</f>
        <v>1</v>
      </c>
      <c r="M589" s="3">
        <f ca="1">IFERROR(__xludf.DUMMYFUNCTION("""COMPUTED_VALUE"""),0)</f>
        <v>0</v>
      </c>
      <c r="N589" s="3" t="str">
        <f ca="1">IFERROR(__xludf.DUMMYFUNCTION("""COMPUTED_VALUE"""),"2055-06-06T23:40:02.794979Z")</f>
        <v>2055-06-06T23:40:02.794979Z</v>
      </c>
      <c r="O589" s="3" t="str">
        <f ca="1">IFERROR(__xludf.DUMMYFUNCTION("""COMPUTED_VALUE"""),"2055-06-06T23:55:05.714272Z")</f>
        <v>2055-06-06T23:55:05.714272Z</v>
      </c>
      <c r="P589" s="3" t="str">
        <f ca="1">IFERROR(__xludf.DUMMYFUNCTION("""COMPUTED_VALUE"""),"2055-06-06T23:24:07.411788Z")</f>
        <v>2055-06-06T23:24:07.411788Z</v>
      </c>
      <c r="Q589" s="3">
        <f ca="1">IFERROR(__xludf.DUMMYFUNCTION("""COMPUTED_VALUE"""),0)</f>
        <v>0</v>
      </c>
      <c r="R589" s="3" t="str">
        <f ca="1">IFERROR(__xludf.DUMMYFUNCTION("""COMPUTED_VALUE"""),"2055-06-06T23:24:14.86688Z")</f>
        <v>2055-06-06T23:24:14.86688Z</v>
      </c>
      <c r="S589" s="3" t="str">
        <f ca="1">IFERROR(__xludf.DUMMYFUNCTION("""COMPUTED_VALUE"""),"2055-06-06T23:32:40.412898Z")</f>
        <v>2055-06-06T23:32:40.412898Z</v>
      </c>
      <c r="T589" s="3"/>
      <c r="U589" s="4">
        <f ca="1">IFERROR(__xludf.DUMMYFUNCTION("""COMPUTED_VALUE"""),56771)</f>
        <v>56771</v>
      </c>
      <c r="V589" s="3">
        <f ca="1">IFERROR(__xludf.DUMMYFUNCTION("""COMPUTED_VALUE"""),4.5)</f>
        <v>4.5</v>
      </c>
      <c r="W589" s="3">
        <f ca="1">IFERROR(__xludf.DUMMYFUNCTION("""COMPUTED_VALUE"""),2000)</f>
        <v>2000</v>
      </c>
      <c r="X589" s="3">
        <f ca="1">IFERROR(__xludf.DUMMYFUNCTION("""COMPUTED_VALUE"""),1851)</f>
        <v>1851</v>
      </c>
      <c r="Y589" s="3">
        <f ca="1">IFERROR(__xludf.DUMMYFUNCTION("""COMPUTED_VALUE"""),506)</f>
        <v>506</v>
      </c>
      <c r="Z589" s="3">
        <f ca="1">IFERROR(__xludf.DUMMYFUNCTION("""COMPUTED_VALUE"""),442)</f>
        <v>442</v>
      </c>
      <c r="AA589" s="3">
        <f ca="1">IFERROR(__xludf.DUMMYFUNCTION("""COMPUTED_VALUE"""),903)</f>
        <v>903</v>
      </c>
      <c r="AB589" s="3">
        <f ca="1">IFERROR(__xludf.DUMMYFUNCTION("""COMPUTED_VALUE"""),0)</f>
        <v>0</v>
      </c>
      <c r="AC589" s="3">
        <f ca="1">IFERROR(__xludf.DUMMYFUNCTION("""COMPUTED_VALUE"""),3)</f>
        <v>3</v>
      </c>
      <c r="AD589" s="3" t="str">
        <f ca="1">IFERROR(__xludf.DUMMYFUNCTION("""COMPUTED_VALUE"""),"on time")</f>
        <v>on time</v>
      </c>
      <c r="AE589" s="3" t="str">
        <f ca="1">IFERROR(__xludf.DUMMYFUNCTION("""COMPUTED_VALUE"""),"2055-06-06T19:40:02.794979Z")</f>
        <v>2055-06-06T19:40:02.794979Z</v>
      </c>
      <c r="AF589" s="3" t="str">
        <f ca="1">IFERROR(__xludf.DUMMYFUNCTION("""COMPUTED_VALUE"""),"2055-06-06T19:55:05.714272Z")</f>
        <v>2055-06-06T19:55:05.714272Z</v>
      </c>
      <c r="AG589" s="3" t="str">
        <f ca="1">IFERROR(__xludf.DUMMYFUNCTION("""COMPUTED_VALUE"""),"2055-06-06T19:24:07.411788Z")</f>
        <v>2055-06-06T19:24:07.411788Z</v>
      </c>
      <c r="AH589" s="3" t="str">
        <f ca="1">IFERROR(__xludf.DUMMYFUNCTION("""COMPUTED_VALUE"""),"2055-06-06T19:32:40.412898Z")</f>
        <v>2055-06-06T19:32:40.412898Z</v>
      </c>
      <c r="AI589" s="3">
        <f ca="1">IFERROR(__xludf.DUMMYFUNCTION("""COMPUTED_VALUE"""),4.79)</f>
        <v>4.79</v>
      </c>
      <c r="AJ589" s="3">
        <f ca="1">IFERROR(__xludf.DUMMYFUNCTION("""COMPUTED_VALUE"""),213)</f>
        <v>213</v>
      </c>
      <c r="AK589" s="3">
        <f ca="1">IFERROR(__xludf.DUMMYFUNCTION("""COMPUTED_VALUE"""),611)</f>
        <v>611</v>
      </c>
      <c r="AL589" s="3">
        <f ca="1">IFERROR(__xludf.DUMMYFUNCTION("""COMPUTED_VALUE"""),122)</f>
        <v>122</v>
      </c>
    </row>
    <row r="590" spans="1:38" ht="13">
      <c r="A590" s="3">
        <f ca="1">IFERROR(__xludf.DUMMYFUNCTION("""COMPUTED_VALUE"""),290)</f>
        <v>290</v>
      </c>
      <c r="B590" s="3">
        <f ca="1">IFERROR(__xludf.DUMMYFUNCTION("""COMPUTED_VALUE"""),5)</f>
        <v>5</v>
      </c>
      <c r="C590" s="3">
        <f ca="1">IFERROR(__xludf.DUMMYFUNCTION("""COMPUTED_VALUE"""),4001)</f>
        <v>4001</v>
      </c>
      <c r="D590" s="3" t="str">
        <f ca="1">IFERROR(__xludf.DUMMYFUNCTION("""COMPUTED_VALUE"""),"Dashattan")</f>
        <v>Dashattan</v>
      </c>
      <c r="E590" s="3" t="str">
        <f ca="1">IFERROR(__xludf.DUMMYFUNCTION("""COMPUTED_VALUE"""),"Galaxy A")</f>
        <v>Galaxy A</v>
      </c>
      <c r="F590" s="3" t="str">
        <f ca="1">IFERROR(__xludf.DUMMYFUNCTION("""COMPUTED_VALUE"""),"Samm")</f>
        <v>Samm</v>
      </c>
      <c r="G590" s="3">
        <f ca="1">IFERROR(__xludf.DUMMYFUNCTION("""COMPUTED_VALUE"""),0)</f>
        <v>0</v>
      </c>
      <c r="H590" s="3" t="str">
        <f ca="1">IFERROR(__xludf.DUMMYFUNCTION("""COMPUTED_VALUE"""),"car")</f>
        <v>car</v>
      </c>
      <c r="I590" s="3" t="str">
        <f ca="1">IFERROR(__xludf.DUMMYFUNCTION("""COMPUTED_VALUE"""),"2055-06-03T16:57:10.839934Z")</f>
        <v>2055-06-03T16:57:10.839934Z</v>
      </c>
      <c r="J590" s="3" t="str">
        <f ca="1">IFERROR(__xludf.DUMMYFUNCTION("""COMPUTED_VALUE"""),"2055-06-03T17:33:18.892Z")</f>
        <v>2055-06-03T17:33:18.892Z</v>
      </c>
      <c r="K590" s="3" t="str">
        <f ca="1">IFERROR(__xludf.DUMMYFUNCTION("""COMPUTED_VALUE"""),"2055-06-03T17:29:25.892Z")</f>
        <v>2055-06-03T17:29:25.892Z</v>
      </c>
      <c r="L590" s="3">
        <f ca="1">IFERROR(__xludf.DUMMYFUNCTION("""COMPUTED_VALUE"""),1)</f>
        <v>1</v>
      </c>
      <c r="M590" s="3">
        <f ca="1">IFERROR(__xludf.DUMMYFUNCTION("""COMPUTED_VALUE"""),0)</f>
        <v>0</v>
      </c>
      <c r="N590" s="3" t="str">
        <f ca="1">IFERROR(__xludf.DUMMYFUNCTION("""COMPUTED_VALUE"""),"2055-06-03T17:26:53.661489Z")</f>
        <v>2055-06-03T17:26:53.661489Z</v>
      </c>
      <c r="O590" s="3" t="str">
        <f ca="1">IFERROR(__xludf.DUMMYFUNCTION("""COMPUTED_VALUE"""),"2055-06-03T17:33:53.741352Z")</f>
        <v>2055-06-03T17:33:53.741352Z</v>
      </c>
      <c r="P590" s="3" t="str">
        <f ca="1">IFERROR(__xludf.DUMMYFUNCTION("""COMPUTED_VALUE"""),"2055-06-03T17:03:14.564812Z")</f>
        <v>2055-06-03T17:03:14.564812Z</v>
      </c>
      <c r="Q590" s="3">
        <f ca="1">IFERROR(__xludf.DUMMYFUNCTION("""COMPUTED_VALUE"""),0)</f>
        <v>0</v>
      </c>
      <c r="R590" s="3" t="str">
        <f ca="1">IFERROR(__xludf.DUMMYFUNCTION("""COMPUTED_VALUE"""),"2055-06-03T17:04:53.093596Z")</f>
        <v>2055-06-03T17:04:53.093596Z</v>
      </c>
      <c r="S590" s="3" t="str">
        <f ca="1">IFERROR(__xludf.DUMMYFUNCTION("""COMPUTED_VALUE"""),"2055-06-03T17:03:22.298948Z")</f>
        <v>2055-06-03T17:03:22.298948Z</v>
      </c>
      <c r="T590" s="3"/>
      <c r="U590" s="4">
        <f ca="1">IFERROR(__xludf.DUMMYFUNCTION("""COMPUTED_VALUE"""),56768)</f>
        <v>56768</v>
      </c>
      <c r="V590" s="3">
        <f ca="1">IFERROR(__xludf.DUMMYFUNCTION("""COMPUTED_VALUE"""),4.3)</f>
        <v>4.3</v>
      </c>
      <c r="W590" s="3">
        <f ca="1">IFERROR(__xludf.DUMMYFUNCTION("""COMPUTED_VALUE"""),2000)</f>
        <v>2000</v>
      </c>
      <c r="X590" s="3">
        <f ca="1">IFERROR(__xludf.DUMMYFUNCTION("""COMPUTED_VALUE"""),1740)</f>
        <v>1740</v>
      </c>
      <c r="Y590" s="3"/>
      <c r="Z590" s="3">
        <f ca="1">IFERROR(__xludf.DUMMYFUNCTION("""COMPUTED_VALUE"""),1411)</f>
        <v>1411</v>
      </c>
      <c r="AA590" s="3">
        <f ca="1">IFERROR(__xludf.DUMMYFUNCTION("""COMPUTED_VALUE"""),420)</f>
        <v>420</v>
      </c>
      <c r="AB590" s="3">
        <f ca="1">IFERROR(__xludf.DUMMYFUNCTION("""COMPUTED_VALUE"""),0)</f>
        <v>0</v>
      </c>
      <c r="AC590" s="3">
        <f ca="1">IFERROR(__xludf.DUMMYFUNCTION("""COMPUTED_VALUE"""),3)</f>
        <v>3</v>
      </c>
      <c r="AD590" s="3" t="str">
        <f ca="1">IFERROR(__xludf.DUMMYFUNCTION("""COMPUTED_VALUE"""),"early")</f>
        <v>early</v>
      </c>
      <c r="AE590" s="3" t="str">
        <f ca="1">IFERROR(__xludf.DUMMYFUNCTION("""COMPUTED_VALUE"""),"2055-06-03T13:26:53.661489Z")</f>
        <v>2055-06-03T13:26:53.661489Z</v>
      </c>
      <c r="AF590" s="3" t="str">
        <f ca="1">IFERROR(__xludf.DUMMYFUNCTION("""COMPUTED_VALUE"""),"2055-06-03T13:33:53.741352Z")</f>
        <v>2055-06-03T13:33:53.741352Z</v>
      </c>
      <c r="AG590" s="3" t="str">
        <f ca="1">IFERROR(__xludf.DUMMYFUNCTION("""COMPUTED_VALUE"""),"2055-06-03T13:03:14.564812Z")</f>
        <v>2055-06-03T13:03:14.564812Z</v>
      </c>
      <c r="AH590" s="3" t="str">
        <f ca="1">IFERROR(__xludf.DUMMYFUNCTION("""COMPUTED_VALUE"""),"2055-06-03T13:03:22.298948Z")</f>
        <v>2055-06-03T13:03:22.298948Z</v>
      </c>
      <c r="AI590" s="3">
        <f ca="1">IFERROR(__xludf.DUMMYFUNCTION("""COMPUTED_VALUE"""),4.03)</f>
        <v>4.03</v>
      </c>
      <c r="AJ590" s="3">
        <f ca="1">IFERROR(__xludf.DUMMYFUNCTION("""COMPUTED_VALUE"""),505)</f>
        <v>505</v>
      </c>
      <c r="AK590" s="3">
        <f ca="1">IFERROR(__xludf.DUMMYFUNCTION("""COMPUTED_VALUE"""),1721)</f>
        <v>1721</v>
      </c>
      <c r="AL590" s="3">
        <f ca="1">IFERROR(__xludf.DUMMYFUNCTION("""COMPUTED_VALUE"""),457)</f>
        <v>457</v>
      </c>
    </row>
    <row r="591" spans="1:38" ht="13">
      <c r="A591" s="3">
        <f ca="1">IFERROR(__xludf.DUMMYFUNCTION("""COMPUTED_VALUE"""),494)</f>
        <v>494</v>
      </c>
      <c r="B591" s="3">
        <f ca="1">IFERROR(__xludf.DUMMYFUNCTION("""COMPUTED_VALUE"""),5)</f>
        <v>5</v>
      </c>
      <c r="C591" s="3">
        <f ca="1">IFERROR(__xludf.DUMMYFUNCTION("""COMPUTED_VALUE"""),4050)</f>
        <v>4050</v>
      </c>
      <c r="D591" s="3" t="str">
        <f ca="1">IFERROR(__xludf.DUMMYFUNCTION("""COMPUTED_VALUE"""),"Doorlanta")</f>
        <v>Doorlanta</v>
      </c>
      <c r="E591" s="3" t="str">
        <f ca="1">IFERROR(__xludf.DUMMYFUNCTION("""COMPUTED_VALUE"""),"Galaxy A")</f>
        <v>Galaxy A</v>
      </c>
      <c r="F591" s="3" t="str">
        <f ca="1">IFERROR(__xludf.DUMMYFUNCTION("""COMPUTED_VALUE"""),"Cate")</f>
        <v>Cate</v>
      </c>
      <c r="G591" s="3">
        <f ca="1">IFERROR(__xludf.DUMMYFUNCTION("""COMPUTED_VALUE"""),0)</f>
        <v>0</v>
      </c>
      <c r="H591" s="3" t="str">
        <f ca="1">IFERROR(__xludf.DUMMYFUNCTION("""COMPUTED_VALUE"""),"car")</f>
        <v>car</v>
      </c>
      <c r="I591" s="3" t="str">
        <f ca="1">IFERROR(__xludf.DUMMYFUNCTION("""COMPUTED_VALUE"""),"2055-06-04T23:43:15.07902Z")</f>
        <v>2055-06-04T23:43:15.07902Z</v>
      </c>
      <c r="J591" s="3" t="str">
        <f ca="1">IFERROR(__xludf.DUMMYFUNCTION("""COMPUTED_VALUE"""),"2055-06-05T00:35:31.151Z")</f>
        <v>2055-06-05T00:35:31.151Z</v>
      </c>
      <c r="K591" s="3" t="str">
        <f ca="1">IFERROR(__xludf.DUMMYFUNCTION("""COMPUTED_VALUE"""),"2055-06-05T00:20:52.151Z")</f>
        <v>2055-06-05T00:20:52.151Z</v>
      </c>
      <c r="L591" s="3">
        <f ca="1">IFERROR(__xludf.DUMMYFUNCTION("""COMPUTED_VALUE"""),1)</f>
        <v>1</v>
      </c>
      <c r="M591" s="3">
        <f ca="1">IFERROR(__xludf.DUMMYFUNCTION("""COMPUTED_VALUE"""),0)</f>
        <v>0</v>
      </c>
      <c r="N591" s="3" t="str">
        <f ca="1">IFERROR(__xludf.DUMMYFUNCTION("""COMPUTED_VALUE"""),"2055-06-05T00:00:30.743559Z")</f>
        <v>2055-06-05T00:00:30.743559Z</v>
      </c>
      <c r="O591" s="3" t="str">
        <f ca="1">IFERROR(__xludf.DUMMYFUNCTION("""COMPUTED_VALUE"""),"2055-06-05T00:19:00.714016Z")</f>
        <v>2055-06-05T00:19:00.714016Z</v>
      </c>
      <c r="P591" s="3" t="str">
        <f ca="1">IFERROR(__xludf.DUMMYFUNCTION("""COMPUTED_VALUE"""),"2055-06-04T23:43:27.585846Z")</f>
        <v>2055-06-04T23:43:27.585846Z</v>
      </c>
      <c r="Q591" s="3">
        <f ca="1">IFERROR(__xludf.DUMMYFUNCTION("""COMPUTED_VALUE"""),0)</f>
        <v>0</v>
      </c>
      <c r="R591" s="3" t="str">
        <f ca="1">IFERROR(__xludf.DUMMYFUNCTION("""COMPUTED_VALUE"""),"2055-06-04T23:43:30.876065Z")</f>
        <v>2055-06-04T23:43:30.876065Z</v>
      </c>
      <c r="S591" s="3" t="str">
        <f ca="1">IFERROR(__xludf.DUMMYFUNCTION("""COMPUTED_VALUE"""),"2055-06-04T23:53:10.924311Z")</f>
        <v>2055-06-04T23:53:10.924311Z</v>
      </c>
      <c r="T591" s="3"/>
      <c r="U591" s="4">
        <f ca="1">IFERROR(__xludf.DUMMYFUNCTION("""COMPUTED_VALUE"""),56769)</f>
        <v>56769</v>
      </c>
      <c r="V591" s="3">
        <f ca="1">IFERROR(__xludf.DUMMYFUNCTION("""COMPUTED_VALUE"""),3.224125063)</f>
        <v>3.2241250629999998</v>
      </c>
      <c r="W591" s="3">
        <f ca="1">IFERROR(__xludf.DUMMYFUNCTION("""COMPUTED_VALUE"""),2000)</f>
        <v>2000</v>
      </c>
      <c r="X591" s="3">
        <f ca="1">IFERROR(__xludf.DUMMYFUNCTION("""COMPUTED_VALUE"""),2130)</f>
        <v>2130</v>
      </c>
      <c r="Y591" s="3">
        <f ca="1">IFERROR(__xludf.DUMMYFUNCTION("""COMPUTED_VALUE"""),580)</f>
        <v>580</v>
      </c>
      <c r="Z591" s="3">
        <f ca="1">IFERROR(__xludf.DUMMYFUNCTION("""COMPUTED_VALUE"""),440)</f>
        <v>440</v>
      </c>
      <c r="AA591" s="3">
        <f ca="1">IFERROR(__xludf.DUMMYFUNCTION("""COMPUTED_VALUE"""),1110)</f>
        <v>1110</v>
      </c>
      <c r="AB591" s="3">
        <f ca="1">IFERROR(__xludf.DUMMYFUNCTION("""COMPUTED_VALUE"""),0)</f>
        <v>0</v>
      </c>
      <c r="AC591" s="3">
        <f ca="1">IFERROR(__xludf.DUMMYFUNCTION("""COMPUTED_VALUE"""),2)</f>
        <v>2</v>
      </c>
      <c r="AD591" s="3" t="str">
        <f ca="1">IFERROR(__xludf.DUMMYFUNCTION("""COMPUTED_VALUE"""),"early")</f>
        <v>early</v>
      </c>
      <c r="AE591" s="3" t="str">
        <f ca="1">IFERROR(__xludf.DUMMYFUNCTION("""COMPUTED_VALUE"""),"2055-06-04T20:00:30.743559Z")</f>
        <v>2055-06-04T20:00:30.743559Z</v>
      </c>
      <c r="AF591" s="3" t="str">
        <f ca="1">IFERROR(__xludf.DUMMYFUNCTION("""COMPUTED_VALUE"""),"2055-06-04T20:19:00.714016Z")</f>
        <v>2055-06-04T20:19:00.714016Z</v>
      </c>
      <c r="AG591" s="3" t="str">
        <f ca="1">IFERROR(__xludf.DUMMYFUNCTION("""COMPUTED_VALUE"""),"2055-06-04T19:43:27.585846Z")</f>
        <v>2055-06-04T19:43:27.585846Z</v>
      </c>
      <c r="AH591" s="3" t="str">
        <f ca="1">IFERROR(__xludf.DUMMYFUNCTION("""COMPUTED_VALUE"""),"2055-06-04T19:53:10.924311Z")</f>
        <v>2055-06-04T19:53:10.924311Z</v>
      </c>
      <c r="AI591" s="3">
        <f ca="1">IFERROR(__xludf.DUMMYFUNCTION("""COMPUTED_VALUE"""),4.49)</f>
        <v>4.49</v>
      </c>
      <c r="AJ591" s="3">
        <f ca="1">IFERROR(__xludf.DUMMYFUNCTION("""COMPUTED_VALUE"""),2315)</f>
        <v>2315</v>
      </c>
      <c r="AK591" s="3">
        <f ca="1">IFERROR(__xludf.DUMMYFUNCTION("""COMPUTED_VALUE"""),7039)</f>
        <v>7039</v>
      </c>
      <c r="AL591" s="3">
        <f ca="1">IFERROR(__xludf.DUMMYFUNCTION("""COMPUTED_VALUE"""),763)</f>
        <v>763</v>
      </c>
    </row>
    <row r="592" spans="1:38" ht="13">
      <c r="A592" s="3">
        <f ca="1">IFERROR(__xludf.DUMMYFUNCTION("""COMPUTED_VALUE"""),746)</f>
        <v>746</v>
      </c>
      <c r="B592" s="3">
        <f ca="1">IFERROR(__xludf.DUMMYFUNCTION("""COMPUTED_VALUE"""),5)</f>
        <v>5</v>
      </c>
      <c r="C592" s="3">
        <f ca="1">IFERROR(__xludf.DUMMYFUNCTION("""COMPUTED_VALUE"""),4050)</f>
        <v>4050</v>
      </c>
      <c r="D592" s="3" t="str">
        <f ca="1">IFERROR(__xludf.DUMMYFUNCTION("""COMPUTED_VALUE"""),"Doorlanta")</f>
        <v>Doorlanta</v>
      </c>
      <c r="E592" s="3" t="str">
        <f ca="1">IFERROR(__xludf.DUMMYFUNCTION("""COMPUTED_VALUE"""),"Galaxy A")</f>
        <v>Galaxy A</v>
      </c>
      <c r="F592" s="3" t="str">
        <f ca="1">IFERROR(__xludf.DUMMYFUNCTION("""COMPUTED_VALUE"""),"Hanna")</f>
        <v>Hanna</v>
      </c>
      <c r="G592" s="3">
        <f ca="1">IFERROR(__xludf.DUMMYFUNCTION("""COMPUTED_VALUE"""),0)</f>
        <v>0</v>
      </c>
      <c r="H592" s="3" t="str">
        <f ca="1">IFERROR(__xludf.DUMMYFUNCTION("""COMPUTED_VALUE"""),"car")</f>
        <v>car</v>
      </c>
      <c r="I592" s="3" t="str">
        <f ca="1">IFERROR(__xludf.DUMMYFUNCTION("""COMPUTED_VALUE"""),"2055-06-06T16:54:09.481038Z")</f>
        <v>2055-06-06T16:54:09.481038Z</v>
      </c>
      <c r="J592" s="3" t="str">
        <f ca="1">IFERROR(__xludf.DUMMYFUNCTION("""COMPUTED_VALUE"""),"2055-06-06T18:00:35.576Z")</f>
        <v>2055-06-06T18:00:35.576Z</v>
      </c>
      <c r="K592" s="3" t="str">
        <f ca="1">IFERROR(__xludf.DUMMYFUNCTION("""COMPUTED_VALUE"""),"2055-06-06T17:38:41.576Z")</f>
        <v>2055-06-06T17:38:41.576Z</v>
      </c>
      <c r="L592" s="3">
        <f ca="1">IFERROR(__xludf.DUMMYFUNCTION("""COMPUTED_VALUE"""),1)</f>
        <v>1</v>
      </c>
      <c r="M592" s="3">
        <f ca="1">IFERROR(__xludf.DUMMYFUNCTION("""COMPUTED_VALUE"""),0)</f>
        <v>0</v>
      </c>
      <c r="N592" s="3" t="str">
        <f ca="1">IFERROR(__xludf.DUMMYFUNCTION("""COMPUTED_VALUE"""),"2055-06-06T17:54:58.612571Z")</f>
        <v>2055-06-06T17:54:58.612571Z</v>
      </c>
      <c r="O592" s="3" t="str">
        <f ca="1">IFERROR(__xludf.DUMMYFUNCTION("""COMPUTED_VALUE"""),"2055-06-06T18:08:56.168764Z")</f>
        <v>2055-06-06T18:08:56.168764Z</v>
      </c>
      <c r="P592" s="3" t="str">
        <f ca="1">IFERROR(__xludf.DUMMYFUNCTION("""COMPUTED_VALUE"""),"2055-06-06T17:13:47.284457Z")</f>
        <v>2055-06-06T17:13:47.284457Z</v>
      </c>
      <c r="Q592" s="3">
        <f ca="1">IFERROR(__xludf.DUMMYFUNCTION("""COMPUTED_VALUE"""),0)</f>
        <v>0</v>
      </c>
      <c r="R592" s="3" t="str">
        <f ca="1">IFERROR(__xludf.DUMMYFUNCTION("""COMPUTED_VALUE"""),"2055-06-06T17:13:52.038609Z")</f>
        <v>2055-06-06T17:13:52.038609Z</v>
      </c>
      <c r="S592" s="3" t="str">
        <f ca="1">IFERROR(__xludf.DUMMYFUNCTION("""COMPUTED_VALUE"""),"2055-06-06T17:44:06.358561Z")</f>
        <v>2055-06-06T17:44:06.358561Z</v>
      </c>
      <c r="T592" s="3"/>
      <c r="U592" s="4">
        <f ca="1">IFERROR(__xludf.DUMMYFUNCTION("""COMPUTED_VALUE"""),56771)</f>
        <v>56771</v>
      </c>
      <c r="V592" s="3">
        <f ca="1">IFERROR(__xludf.DUMMYFUNCTION("""COMPUTED_VALUE"""),3.140122815)</f>
        <v>3.1401228149999998</v>
      </c>
      <c r="W592" s="3">
        <f ca="1">IFERROR(__xludf.DUMMYFUNCTION("""COMPUTED_VALUE"""),2000)</f>
        <v>2000</v>
      </c>
      <c r="X592" s="3">
        <f ca="1">IFERROR(__xludf.DUMMYFUNCTION("""COMPUTED_VALUE"""),3304)</f>
        <v>3304</v>
      </c>
      <c r="Y592" s="3">
        <f ca="1">IFERROR(__xludf.DUMMYFUNCTION("""COMPUTED_VALUE"""),1814)</f>
        <v>1814</v>
      </c>
      <c r="Z592" s="3">
        <f ca="1">IFERROR(__xludf.DUMMYFUNCTION("""COMPUTED_VALUE"""),652)</f>
        <v>652</v>
      </c>
      <c r="AA592" s="3">
        <f ca="1">IFERROR(__xludf.DUMMYFUNCTION("""COMPUTED_VALUE"""),838)</f>
        <v>838</v>
      </c>
      <c r="AB592" s="3">
        <f ca="1">IFERROR(__xludf.DUMMYFUNCTION("""COMPUTED_VALUE"""),0)</f>
        <v>0</v>
      </c>
      <c r="AC592" s="3">
        <f ca="1">IFERROR(__xludf.DUMMYFUNCTION("""COMPUTED_VALUE"""),10)</f>
        <v>10</v>
      </c>
      <c r="AD592" s="3" t="str">
        <f ca="1">IFERROR(__xludf.DUMMYFUNCTION("""COMPUTED_VALUE"""),"on time")</f>
        <v>on time</v>
      </c>
      <c r="AE592" s="3" t="str">
        <f ca="1">IFERROR(__xludf.DUMMYFUNCTION("""COMPUTED_VALUE"""),"2055-06-06T13:54:58.612571Z")</f>
        <v>2055-06-06T13:54:58.612571Z</v>
      </c>
      <c r="AF592" s="3" t="str">
        <f ca="1">IFERROR(__xludf.DUMMYFUNCTION("""COMPUTED_VALUE"""),"2055-06-06T14:08:56.168764Z")</f>
        <v>2055-06-06T14:08:56.168764Z</v>
      </c>
      <c r="AG592" s="3" t="str">
        <f ca="1">IFERROR(__xludf.DUMMYFUNCTION("""COMPUTED_VALUE"""),"2055-06-06T13:13:47.284457Z")</f>
        <v>2055-06-06T13:13:47.284457Z</v>
      </c>
      <c r="AH592" s="3" t="str">
        <f ca="1">IFERROR(__xludf.DUMMYFUNCTION("""COMPUTED_VALUE"""),"2055-06-06T13:44:06.358561Z")</f>
        <v>2055-06-06T13:44:06.358561Z</v>
      </c>
      <c r="AI592" s="3">
        <f ca="1">IFERROR(__xludf.DUMMYFUNCTION("""COMPUTED_VALUE"""),4.79)</f>
        <v>4.79</v>
      </c>
      <c r="AJ592" s="3">
        <f ca="1">IFERROR(__xludf.DUMMYFUNCTION("""COMPUTED_VALUE"""),1007)</f>
        <v>1007</v>
      </c>
      <c r="AK592" s="3">
        <f ca="1">IFERROR(__xludf.DUMMYFUNCTION("""COMPUTED_VALUE"""),2899)</f>
        <v>2899</v>
      </c>
      <c r="AL592" s="3">
        <f ca="1">IFERROR(__xludf.DUMMYFUNCTION("""COMPUTED_VALUE"""),1301)</f>
        <v>1301</v>
      </c>
    </row>
    <row r="593" spans="1:38" ht="13">
      <c r="A593" s="3">
        <f ca="1">IFERROR(__xludf.DUMMYFUNCTION("""COMPUTED_VALUE"""),912)</f>
        <v>912</v>
      </c>
      <c r="B593" s="3">
        <f ca="1">IFERROR(__xludf.DUMMYFUNCTION("""COMPUTED_VALUE"""),5)</f>
        <v>5</v>
      </c>
      <c r="C593" s="3">
        <f ca="1">IFERROR(__xludf.DUMMYFUNCTION("""COMPUTED_VALUE"""),4050)</f>
        <v>4050</v>
      </c>
      <c r="D593" s="3" t="str">
        <f ca="1">IFERROR(__xludf.DUMMYFUNCTION("""COMPUTED_VALUE"""),"Doorlanta")</f>
        <v>Doorlanta</v>
      </c>
      <c r="E593" s="3" t="str">
        <f ca="1">IFERROR(__xludf.DUMMYFUNCTION("""COMPUTED_VALUE"""),"Galaxy A")</f>
        <v>Galaxy A</v>
      </c>
      <c r="F593" s="3" t="str">
        <f ca="1">IFERROR(__xludf.DUMMYFUNCTION("""COMPUTED_VALUE"""),"Cate")</f>
        <v>Cate</v>
      </c>
      <c r="G593" s="3">
        <f ca="1">IFERROR(__xludf.DUMMYFUNCTION("""COMPUTED_VALUE"""),0)</f>
        <v>0</v>
      </c>
      <c r="H593" s="3" t="str">
        <f ca="1">IFERROR(__xludf.DUMMYFUNCTION("""COMPUTED_VALUE"""),"car")</f>
        <v>car</v>
      </c>
      <c r="I593" s="3" t="str">
        <f ca="1">IFERROR(__xludf.DUMMYFUNCTION("""COMPUTED_VALUE"""),"2055-06-08T01:25:19.348335Z")</f>
        <v>2055-06-08T01:25:19.348335Z</v>
      </c>
      <c r="J593" s="3" t="str">
        <f ca="1">IFERROR(__xludf.DUMMYFUNCTION("""COMPUTED_VALUE"""),"2055-06-08T02:15:19.725Z")</f>
        <v>2055-06-08T02:15:19.725Z</v>
      </c>
      <c r="K593" s="3" t="str">
        <f ca="1">IFERROR(__xludf.DUMMYFUNCTION("""COMPUTED_VALUE"""),"2055-06-08T01:52:34.725Z")</f>
        <v>2055-06-08T01:52:34.725Z</v>
      </c>
      <c r="L593" s="3">
        <f ca="1">IFERROR(__xludf.DUMMYFUNCTION("""COMPUTED_VALUE"""),1)</f>
        <v>1</v>
      </c>
      <c r="M593" s="3">
        <f ca="1">IFERROR(__xludf.DUMMYFUNCTION("""COMPUTED_VALUE"""),0)</f>
        <v>0</v>
      </c>
      <c r="N593" s="3" t="str">
        <f ca="1">IFERROR(__xludf.DUMMYFUNCTION("""COMPUTED_VALUE"""),"2055-06-08T01:37:51.143887Z")</f>
        <v>2055-06-08T01:37:51.143887Z</v>
      </c>
      <c r="O593" s="3" t="str">
        <f ca="1">IFERROR(__xludf.DUMMYFUNCTION("""COMPUTED_VALUE"""),"2055-06-08T01:45:22.73563Z")</f>
        <v>2055-06-08T01:45:22.73563Z</v>
      </c>
      <c r="P593" s="3" t="str">
        <f ca="1">IFERROR(__xludf.DUMMYFUNCTION("""COMPUTED_VALUE"""),"2055-06-08T01:25:27.343154Z")</f>
        <v>2055-06-08T01:25:27.343154Z</v>
      </c>
      <c r="Q593" s="3">
        <f ca="1">IFERROR(__xludf.DUMMYFUNCTION("""COMPUTED_VALUE"""),0)</f>
        <v>0</v>
      </c>
      <c r="R593" s="3" t="str">
        <f ca="1">IFERROR(__xludf.DUMMYFUNCTION("""COMPUTED_VALUE"""),"2055-06-08T01:25:34.358467Z")</f>
        <v>2055-06-08T01:25:34.358467Z</v>
      </c>
      <c r="S593" s="3" t="str">
        <f ca="1">IFERROR(__xludf.DUMMYFUNCTION("""COMPUTED_VALUE"""),"2055-06-08T01:30:52.332836Z")</f>
        <v>2055-06-08T01:30:52.332836Z</v>
      </c>
      <c r="T593" s="3"/>
      <c r="U593" s="4">
        <f ca="1">IFERROR(__xludf.DUMMYFUNCTION("""COMPUTED_VALUE"""),56772)</f>
        <v>56772</v>
      </c>
      <c r="V593" s="3">
        <f ca="1">IFERROR(__xludf.DUMMYFUNCTION("""COMPUTED_VALUE"""),4.8)</f>
        <v>4.8</v>
      </c>
      <c r="W593" s="3">
        <f ca="1">IFERROR(__xludf.DUMMYFUNCTION("""COMPUTED_VALUE"""),2000)</f>
        <v>2000</v>
      </c>
      <c r="X593" s="3">
        <f ca="1">IFERROR(__xludf.DUMMYFUNCTION("""COMPUTED_VALUE"""),1188)</f>
        <v>1188</v>
      </c>
      <c r="Y593" s="3">
        <f ca="1">IFERROR(__xludf.DUMMYFUNCTION("""COMPUTED_VALUE"""),318)</f>
        <v>318</v>
      </c>
      <c r="Z593" s="3">
        <f ca="1">IFERROR(__xludf.DUMMYFUNCTION("""COMPUTED_VALUE"""),419)</f>
        <v>419</v>
      </c>
      <c r="AA593" s="3">
        <f ca="1">IFERROR(__xludf.DUMMYFUNCTION("""COMPUTED_VALUE"""),451)</f>
        <v>451</v>
      </c>
      <c r="AB593" s="3">
        <f ca="1">IFERROR(__xludf.DUMMYFUNCTION("""COMPUTED_VALUE"""),0)</f>
        <v>0</v>
      </c>
      <c r="AC593" s="3">
        <f ca="1">IFERROR(__xludf.DUMMYFUNCTION("""COMPUTED_VALUE"""),4)</f>
        <v>4</v>
      </c>
      <c r="AD593" s="3" t="str">
        <f ca="1">IFERROR(__xludf.DUMMYFUNCTION("""COMPUTED_VALUE"""),"early")</f>
        <v>early</v>
      </c>
      <c r="AE593" s="3" t="str">
        <f ca="1">IFERROR(__xludf.DUMMYFUNCTION("""COMPUTED_VALUE"""),"2055-06-07T21:37:51.143887Z")</f>
        <v>2055-06-07T21:37:51.143887Z</v>
      </c>
      <c r="AF593" s="3" t="str">
        <f ca="1">IFERROR(__xludf.DUMMYFUNCTION("""COMPUTED_VALUE"""),"2055-06-07T21:45:22.73563Z")</f>
        <v>2055-06-07T21:45:22.73563Z</v>
      </c>
      <c r="AG593" s="3" t="str">
        <f ca="1">IFERROR(__xludf.DUMMYFUNCTION("""COMPUTED_VALUE"""),"2055-06-07T21:25:27.343154Z")</f>
        <v>2055-06-07T21:25:27.343154Z</v>
      </c>
      <c r="AH593" s="3" t="str">
        <f ca="1">IFERROR(__xludf.DUMMYFUNCTION("""COMPUTED_VALUE"""),"2055-06-07T21:30:52.332836Z")</f>
        <v>2055-06-07T21:30:52.332836Z</v>
      </c>
      <c r="AI593" s="3">
        <f ca="1">IFERROR(__xludf.DUMMYFUNCTION("""COMPUTED_VALUE"""),4.49)</f>
        <v>4.49</v>
      </c>
      <c r="AJ593" s="3">
        <f ca="1">IFERROR(__xludf.DUMMYFUNCTION("""COMPUTED_VALUE"""),2315)</f>
        <v>2315</v>
      </c>
      <c r="AK593" s="3">
        <f ca="1">IFERROR(__xludf.DUMMYFUNCTION("""COMPUTED_VALUE"""),7039)</f>
        <v>7039</v>
      </c>
      <c r="AL593" s="3">
        <f ca="1">IFERROR(__xludf.DUMMYFUNCTION("""COMPUTED_VALUE"""),763)</f>
        <v>763</v>
      </c>
    </row>
    <row r="594" spans="1:38" ht="13">
      <c r="A594" s="3">
        <f ca="1">IFERROR(__xludf.DUMMYFUNCTION("""COMPUTED_VALUE"""),106)</f>
        <v>106</v>
      </c>
      <c r="B594" s="3"/>
      <c r="C594" s="3">
        <f ca="1">IFERROR(__xludf.DUMMYFUNCTION("""COMPUTED_VALUE"""),4001)</f>
        <v>4001</v>
      </c>
      <c r="D594" s="3" t="str">
        <f ca="1">IFERROR(__xludf.DUMMYFUNCTION("""COMPUTED_VALUE"""),"Dashattan")</f>
        <v>Dashattan</v>
      </c>
      <c r="E594" s="3" t="str">
        <f ca="1">IFERROR(__xludf.DUMMYFUNCTION("""COMPUTED_VALUE"""),"Galaxy A")</f>
        <v>Galaxy A</v>
      </c>
      <c r="F594" s="3" t="str">
        <f ca="1">IFERROR(__xludf.DUMMYFUNCTION("""COMPUTED_VALUE"""),"Ron")</f>
        <v>Ron</v>
      </c>
      <c r="G594" s="3">
        <f ca="1">IFERROR(__xludf.DUMMYFUNCTION("""COMPUTED_VALUE"""),0)</f>
        <v>0</v>
      </c>
      <c r="H594" s="3" t="str">
        <f ca="1">IFERROR(__xludf.DUMMYFUNCTION("""COMPUTED_VALUE"""),"bicycle")</f>
        <v>bicycle</v>
      </c>
      <c r="I594" s="3" t="str">
        <f ca="1">IFERROR(__xludf.DUMMYFUNCTION("""COMPUTED_VALUE"""),"2055-06-02T01:34:10.768073Z")</f>
        <v>2055-06-02T01:34:10.768073Z</v>
      </c>
      <c r="J594" s="3" t="str">
        <f ca="1">IFERROR(__xludf.DUMMYFUNCTION("""COMPUTED_VALUE"""),"2055-06-02T02:26:09.821Z")</f>
        <v>2055-06-02T02:26:09.821Z</v>
      </c>
      <c r="K594" s="3" t="str">
        <f ca="1">IFERROR(__xludf.DUMMYFUNCTION("""COMPUTED_VALUE"""),"2055-06-02T02:06:30.821Z")</f>
        <v>2055-06-02T02:06:30.821Z</v>
      </c>
      <c r="L594" s="3">
        <f ca="1">IFERROR(__xludf.DUMMYFUNCTION("""COMPUTED_VALUE"""),1)</f>
        <v>1</v>
      </c>
      <c r="M594" s="3">
        <f ca="1">IFERROR(__xludf.DUMMYFUNCTION("""COMPUTED_VALUE"""),0)</f>
        <v>0</v>
      </c>
      <c r="N594" s="3" t="str">
        <f ca="1">IFERROR(__xludf.DUMMYFUNCTION("""COMPUTED_VALUE"""),"2055-06-02T01:50:23.131292Z")</f>
        <v>2055-06-02T01:50:23.131292Z</v>
      </c>
      <c r="O594" s="3" t="str">
        <f ca="1">IFERROR(__xludf.DUMMYFUNCTION("""COMPUTED_VALUE"""),"2055-06-02T02:16:45.846477Z")</f>
        <v>2055-06-02T02:16:45.846477Z</v>
      </c>
      <c r="P594" s="3" t="str">
        <f ca="1">IFERROR(__xludf.DUMMYFUNCTION("""COMPUTED_VALUE"""),"2055-06-02T01:41:34.277188Z")</f>
        <v>2055-06-02T01:41:34.277188Z</v>
      </c>
      <c r="Q594" s="3">
        <f ca="1">IFERROR(__xludf.DUMMYFUNCTION("""COMPUTED_VALUE"""),0)</f>
        <v>0</v>
      </c>
      <c r="R594" s="3" t="str">
        <f ca="1">IFERROR(__xludf.DUMMYFUNCTION("""COMPUTED_VALUE"""),"2055-06-02T01:41:37.228905Z")</f>
        <v>2055-06-02T01:41:37.228905Z</v>
      </c>
      <c r="S594" s="3" t="str">
        <f ca="1">IFERROR(__xludf.DUMMYFUNCTION("""COMPUTED_VALUE"""),"2055-06-02T01:47:28.406176Z")</f>
        <v>2055-06-02T01:47:28.406176Z</v>
      </c>
      <c r="T594" s="3"/>
      <c r="U594" s="4">
        <f ca="1">IFERROR(__xludf.DUMMYFUNCTION("""COMPUTED_VALUE"""),56766)</f>
        <v>56766</v>
      </c>
      <c r="V594" s="3">
        <f ca="1">IFERROR(__xludf.DUMMYFUNCTION("""COMPUTED_VALUE"""),3.49339893)</f>
        <v>3.4933989300000001</v>
      </c>
      <c r="W594" s="3">
        <f ca="1">IFERROR(__xludf.DUMMYFUNCTION("""COMPUTED_VALUE"""),2000)</f>
        <v>2000</v>
      </c>
      <c r="X594" s="3">
        <f ca="1">IFERROR(__xludf.DUMMYFUNCTION("""COMPUTED_VALUE"""),2108)</f>
        <v>2108</v>
      </c>
      <c r="Y594" s="3">
        <f ca="1">IFERROR(__xludf.DUMMYFUNCTION("""COMPUTED_VALUE"""),351)</f>
        <v>351</v>
      </c>
      <c r="Z594" s="3">
        <f ca="1">IFERROR(__xludf.DUMMYFUNCTION("""COMPUTED_VALUE"""),175)</f>
        <v>175</v>
      </c>
      <c r="AA594" s="3">
        <f ca="1">IFERROR(__xludf.DUMMYFUNCTION("""COMPUTED_VALUE"""),1582)</f>
        <v>1582</v>
      </c>
      <c r="AB594" s="3">
        <f ca="1">IFERROR(__xludf.DUMMYFUNCTION("""COMPUTED_VALUE"""),0)</f>
        <v>0</v>
      </c>
      <c r="AC594" s="3">
        <f ca="1">IFERROR(__xludf.DUMMYFUNCTION("""COMPUTED_VALUE"""),2)</f>
        <v>2</v>
      </c>
      <c r="AD594" s="3" t="str">
        <f ca="1">IFERROR(__xludf.DUMMYFUNCTION("""COMPUTED_VALUE"""),"late")</f>
        <v>late</v>
      </c>
      <c r="AE594" s="3" t="str">
        <f ca="1">IFERROR(__xludf.DUMMYFUNCTION("""COMPUTED_VALUE"""),"2055-06-01T21:50:23.131292Z")</f>
        <v>2055-06-01T21:50:23.131292Z</v>
      </c>
      <c r="AF594" s="3" t="str">
        <f ca="1">IFERROR(__xludf.DUMMYFUNCTION("""COMPUTED_VALUE"""),"2055-06-01T22:16:45.846477Z")</f>
        <v>2055-06-01T22:16:45.846477Z</v>
      </c>
      <c r="AG594" s="3" t="str">
        <f ca="1">IFERROR(__xludf.DUMMYFUNCTION("""COMPUTED_VALUE"""),"2055-06-01T21:41:34.277188Z")</f>
        <v>2055-06-01T21:41:34.277188Z</v>
      </c>
      <c r="AH594" s="3" t="str">
        <f ca="1">IFERROR(__xludf.DUMMYFUNCTION("""COMPUTED_VALUE"""),"2055-06-01T21:47:28.406176Z")</f>
        <v>2055-06-01T21:47:28.406176Z</v>
      </c>
      <c r="AI594" s="3">
        <f ca="1">IFERROR(__xludf.DUMMYFUNCTION("""COMPUTED_VALUE"""),4.56)</f>
        <v>4.5599999999999996</v>
      </c>
      <c r="AJ594" s="3">
        <f ca="1">IFERROR(__xludf.DUMMYFUNCTION("""COMPUTED_VALUE"""),765)</f>
        <v>765</v>
      </c>
      <c r="AK594" s="3">
        <f ca="1">IFERROR(__xludf.DUMMYFUNCTION("""COMPUTED_VALUE"""),2618)</f>
        <v>2618</v>
      </c>
      <c r="AL594" s="3"/>
    </row>
    <row r="595" spans="1:38" ht="13">
      <c r="A595" s="3">
        <f ca="1">IFERROR(__xludf.DUMMYFUNCTION("""COMPUTED_VALUE"""),108)</f>
        <v>108</v>
      </c>
      <c r="B595" s="3">
        <f ca="1">IFERROR(__xludf.DUMMYFUNCTION("""COMPUTED_VALUE"""),5)</f>
        <v>5</v>
      </c>
      <c r="C595" s="3">
        <f ca="1">IFERROR(__xludf.DUMMYFUNCTION("""COMPUTED_VALUE"""),4050)</f>
        <v>4050</v>
      </c>
      <c r="D595" s="3" t="str">
        <f ca="1">IFERROR(__xludf.DUMMYFUNCTION("""COMPUTED_VALUE"""),"Doorlanta")</f>
        <v>Doorlanta</v>
      </c>
      <c r="E595" s="3" t="str">
        <f ca="1">IFERROR(__xludf.DUMMYFUNCTION("""COMPUTED_VALUE"""),"Galaxy A")</f>
        <v>Galaxy A</v>
      </c>
      <c r="F595" s="3" t="str">
        <f ca="1">IFERROR(__xludf.DUMMYFUNCTION("""COMPUTED_VALUE"""),"Katelynn")</f>
        <v>Katelynn</v>
      </c>
      <c r="G595" s="3">
        <f ca="1">IFERROR(__xludf.DUMMYFUNCTION("""COMPUTED_VALUE"""),0)</f>
        <v>0</v>
      </c>
      <c r="H595" s="3" t="str">
        <f ca="1">IFERROR(__xludf.DUMMYFUNCTION("""COMPUTED_VALUE"""),"car")</f>
        <v>car</v>
      </c>
      <c r="I595" s="3" t="str">
        <f ca="1">IFERROR(__xludf.DUMMYFUNCTION("""COMPUTED_VALUE"""),"2055-06-02T01:39:23.983335Z")</f>
        <v>2055-06-02T01:39:23.983335Z</v>
      </c>
      <c r="J595" s="3" t="str">
        <f ca="1">IFERROR(__xludf.DUMMYFUNCTION("""COMPUTED_VALUE"""),"2055-06-02T02:34:24.048Z")</f>
        <v>2055-06-02T02:34:24.048Z</v>
      </c>
      <c r="K595" s="3" t="str">
        <f ca="1">IFERROR(__xludf.DUMMYFUNCTION("""COMPUTED_VALUE"""),"2055-06-02T02:10:16.048Z")</f>
        <v>2055-06-02T02:10:16.048Z</v>
      </c>
      <c r="L595" s="3">
        <f ca="1">IFERROR(__xludf.DUMMYFUNCTION("""COMPUTED_VALUE"""),1)</f>
        <v>1</v>
      </c>
      <c r="M595" s="3">
        <f ca="1">IFERROR(__xludf.DUMMYFUNCTION("""COMPUTED_VALUE"""),0)</f>
        <v>0</v>
      </c>
      <c r="N595" s="3" t="str">
        <f ca="1">IFERROR(__xludf.DUMMYFUNCTION("""COMPUTED_VALUE"""),"2055-06-02T02:01:36.440228Z")</f>
        <v>2055-06-02T02:01:36.440228Z</v>
      </c>
      <c r="O595" s="3" t="str">
        <f ca="1">IFERROR(__xludf.DUMMYFUNCTION("""COMPUTED_VALUE"""),"2055-06-02T02:11:36.795547Z")</f>
        <v>2055-06-02T02:11:36.795547Z</v>
      </c>
      <c r="P595" s="3" t="str">
        <f ca="1">IFERROR(__xludf.DUMMYFUNCTION("""COMPUTED_VALUE"""),"2055-06-02T01:39:47.254794Z")</f>
        <v>2055-06-02T01:39:47.254794Z</v>
      </c>
      <c r="Q595" s="3">
        <f ca="1">IFERROR(__xludf.DUMMYFUNCTION("""COMPUTED_VALUE"""),0)</f>
        <v>0</v>
      </c>
      <c r="R595" s="3" t="str">
        <f ca="1">IFERROR(__xludf.DUMMYFUNCTION("""COMPUTED_VALUE"""),"2055-06-02T01:40:00.093773Z")</f>
        <v>2055-06-02T01:40:00.093773Z</v>
      </c>
      <c r="S595" s="3" t="str">
        <f ca="1">IFERROR(__xludf.DUMMYFUNCTION("""COMPUTED_VALUE"""),"2055-06-02T01:55:59.318196Z")</f>
        <v>2055-06-02T01:55:59.318196Z</v>
      </c>
      <c r="T595" s="3"/>
      <c r="U595" s="4">
        <f ca="1">IFERROR(__xludf.DUMMYFUNCTION("""COMPUTED_VALUE"""),56766)</f>
        <v>56766</v>
      </c>
      <c r="V595" s="3">
        <f ca="1">IFERROR(__xludf.DUMMYFUNCTION("""COMPUTED_VALUE"""),4.6)</f>
        <v>4.5999999999999996</v>
      </c>
      <c r="W595" s="3">
        <f ca="1">IFERROR(__xludf.DUMMYFUNCTION("""COMPUTED_VALUE"""),2000)</f>
        <v>2000</v>
      </c>
      <c r="X595" s="3">
        <f ca="1">IFERROR(__xludf.DUMMYFUNCTION("""COMPUTED_VALUE"""),1896)</f>
        <v>1896</v>
      </c>
      <c r="Y595" s="3">
        <f ca="1">IFERROR(__xludf.DUMMYFUNCTION("""COMPUTED_VALUE"""),959)</f>
        <v>959</v>
      </c>
      <c r="Z595" s="3">
        <f ca="1">IFERROR(__xludf.DUMMYFUNCTION("""COMPUTED_VALUE"""),337)</f>
        <v>337</v>
      </c>
      <c r="AA595" s="3">
        <f ca="1">IFERROR(__xludf.DUMMYFUNCTION("""COMPUTED_VALUE"""),600)</f>
        <v>600</v>
      </c>
      <c r="AB595" s="3">
        <f ca="1">IFERROR(__xludf.DUMMYFUNCTION("""COMPUTED_VALUE"""),0)</f>
        <v>0</v>
      </c>
      <c r="AC595" s="3">
        <f ca="1">IFERROR(__xludf.DUMMYFUNCTION("""COMPUTED_VALUE"""),3)</f>
        <v>3</v>
      </c>
      <c r="AD595" s="3" t="str">
        <f ca="1">IFERROR(__xludf.DUMMYFUNCTION("""COMPUTED_VALUE"""),"on time")</f>
        <v>on time</v>
      </c>
      <c r="AE595" s="3" t="str">
        <f ca="1">IFERROR(__xludf.DUMMYFUNCTION("""COMPUTED_VALUE"""),"2055-06-01T22:01:36.440228Z")</f>
        <v>2055-06-01T22:01:36.440228Z</v>
      </c>
      <c r="AF595" s="3" t="str">
        <f ca="1">IFERROR(__xludf.DUMMYFUNCTION("""COMPUTED_VALUE"""),"2055-06-01T22:11:36.795547Z")</f>
        <v>2055-06-01T22:11:36.795547Z</v>
      </c>
      <c r="AG595" s="3" t="str">
        <f ca="1">IFERROR(__xludf.DUMMYFUNCTION("""COMPUTED_VALUE"""),"2055-06-01T21:39:47.254794Z")</f>
        <v>2055-06-01T21:39:47.254794Z</v>
      </c>
      <c r="AH595" s="3" t="str">
        <f ca="1">IFERROR(__xludf.DUMMYFUNCTION("""COMPUTED_VALUE"""),"2055-06-01T21:55:59.318196Z")</f>
        <v>2055-06-01T21:55:59.318196Z</v>
      </c>
      <c r="AI595" s="3">
        <f ca="1">IFERROR(__xludf.DUMMYFUNCTION("""COMPUTED_VALUE"""),4.7)</f>
        <v>4.7</v>
      </c>
      <c r="AJ595" s="3">
        <f ca="1">IFERROR(__xludf.DUMMYFUNCTION("""COMPUTED_VALUE"""),1261)</f>
        <v>1261</v>
      </c>
      <c r="AK595" s="3">
        <f ca="1">IFERROR(__xludf.DUMMYFUNCTION("""COMPUTED_VALUE"""),3264)</f>
        <v>3264</v>
      </c>
      <c r="AL595" s="3">
        <f ca="1">IFERROR(__xludf.DUMMYFUNCTION("""COMPUTED_VALUE"""),232)</f>
        <v>232</v>
      </c>
    </row>
    <row r="596" spans="1:38" ht="13">
      <c r="A596" s="3">
        <f ca="1">IFERROR(__xludf.DUMMYFUNCTION("""COMPUTED_VALUE"""),305)</f>
        <v>305</v>
      </c>
      <c r="B596" s="3"/>
      <c r="C596" s="3">
        <f ca="1">IFERROR(__xludf.DUMMYFUNCTION("""COMPUTED_VALUE"""),4001)</f>
        <v>4001</v>
      </c>
      <c r="D596" s="3" t="str">
        <f ca="1">IFERROR(__xludf.DUMMYFUNCTION("""COMPUTED_VALUE"""),"Dashattan")</f>
        <v>Dashattan</v>
      </c>
      <c r="E596" s="3" t="str">
        <f ca="1">IFERROR(__xludf.DUMMYFUNCTION("""COMPUTED_VALUE"""),"Galaxy A")</f>
        <v>Galaxy A</v>
      </c>
      <c r="F596" s="3" t="str">
        <f ca="1">IFERROR(__xludf.DUMMYFUNCTION("""COMPUTED_VALUE"""),"Rojan")</f>
        <v>Rojan</v>
      </c>
      <c r="G596" s="3">
        <f ca="1">IFERROR(__xludf.DUMMYFUNCTION("""COMPUTED_VALUE"""),0)</f>
        <v>0</v>
      </c>
      <c r="H596" s="3" t="str">
        <f ca="1">IFERROR(__xludf.DUMMYFUNCTION("""COMPUTED_VALUE"""),"bicycle")</f>
        <v>bicycle</v>
      </c>
      <c r="I596" s="3" t="str">
        <f ca="1">IFERROR(__xludf.DUMMYFUNCTION("""COMPUTED_VALUE"""),"2055-06-03T18:00:55.799272Z")</f>
        <v>2055-06-03T18:00:55.799272Z</v>
      </c>
      <c r="J596" s="3" t="str">
        <f ca="1">IFERROR(__xludf.DUMMYFUNCTION("""COMPUTED_VALUE"""),"2055-06-03T18:38:06.87Z")</f>
        <v>2055-06-03T18:38:06.87Z</v>
      </c>
      <c r="K596" s="3" t="str">
        <f ca="1">IFERROR(__xludf.DUMMYFUNCTION("""COMPUTED_VALUE"""),"2055-06-03T18:31:12.87Z")</f>
        <v>2055-06-03T18:31:12.87Z</v>
      </c>
      <c r="L596" s="3">
        <f ca="1">IFERROR(__xludf.DUMMYFUNCTION("""COMPUTED_VALUE"""),1)</f>
        <v>1</v>
      </c>
      <c r="M596" s="3">
        <f ca="1">IFERROR(__xludf.DUMMYFUNCTION("""COMPUTED_VALUE"""),0)</f>
        <v>0</v>
      </c>
      <c r="N596" s="3" t="str">
        <f ca="1">IFERROR(__xludf.DUMMYFUNCTION("""COMPUTED_VALUE"""),"2055-06-03T18:13:21.85707Z")</f>
        <v>2055-06-03T18:13:21.85707Z</v>
      </c>
      <c r="O596" s="3" t="str">
        <f ca="1">IFERROR(__xludf.DUMMYFUNCTION("""COMPUTED_VALUE"""),"2055-06-03T18:21:12.19907Z")</f>
        <v>2055-06-03T18:21:12.19907Z</v>
      </c>
      <c r="P596" s="3" t="str">
        <f ca="1">IFERROR(__xludf.DUMMYFUNCTION("""COMPUTED_VALUE"""),"2055-06-03T18:06:34.368238Z")</f>
        <v>2055-06-03T18:06:34.368238Z</v>
      </c>
      <c r="Q596" s="3">
        <f ca="1">IFERROR(__xludf.DUMMYFUNCTION("""COMPUTED_VALUE"""),0)</f>
        <v>0</v>
      </c>
      <c r="R596" s="3" t="str">
        <f ca="1">IFERROR(__xludf.DUMMYFUNCTION("""COMPUTED_VALUE"""),"2055-06-03T18:06:52.300346Z")</f>
        <v>2055-06-03T18:06:52.300346Z</v>
      </c>
      <c r="S596" s="3" t="str">
        <f ca="1">IFERROR(__xludf.DUMMYFUNCTION("""COMPUTED_VALUE"""),"2055-06-03T18:09:09.24282Z")</f>
        <v>2055-06-03T18:09:09.24282Z</v>
      </c>
      <c r="T596" s="3"/>
      <c r="U596" s="4">
        <f ca="1">IFERROR(__xludf.DUMMYFUNCTION("""COMPUTED_VALUE"""),56768)</f>
        <v>56768</v>
      </c>
      <c r="V596" s="3">
        <f ca="1">IFERROR(__xludf.DUMMYFUNCTION("""COMPUTED_VALUE"""),4.6)</f>
        <v>4.5999999999999996</v>
      </c>
      <c r="W596" s="3">
        <f ca="1">IFERROR(__xludf.DUMMYFUNCTION("""COMPUTED_VALUE"""),2000)</f>
        <v>2000</v>
      </c>
      <c r="X596" s="3">
        <f ca="1">IFERROR(__xludf.DUMMYFUNCTION("""COMPUTED_VALUE"""),860)</f>
        <v>860</v>
      </c>
      <c r="Y596" s="3">
        <f ca="1">IFERROR(__xludf.DUMMYFUNCTION("""COMPUTED_VALUE"""),137)</f>
        <v>137</v>
      </c>
      <c r="Z596" s="3">
        <f ca="1">IFERROR(__xludf.DUMMYFUNCTION("""COMPUTED_VALUE"""),252)</f>
        <v>252</v>
      </c>
      <c r="AA596" s="3">
        <f ca="1">IFERROR(__xludf.DUMMYFUNCTION("""COMPUTED_VALUE"""),471)</f>
        <v>471</v>
      </c>
      <c r="AB596" s="3">
        <f ca="1">IFERROR(__xludf.DUMMYFUNCTION("""COMPUTED_VALUE"""),0)</f>
        <v>0</v>
      </c>
      <c r="AC596" s="3">
        <f ca="1">IFERROR(__xludf.DUMMYFUNCTION("""COMPUTED_VALUE"""),2)</f>
        <v>2</v>
      </c>
      <c r="AD596" s="3" t="str">
        <f ca="1">IFERROR(__xludf.DUMMYFUNCTION("""COMPUTED_VALUE"""),"early")</f>
        <v>early</v>
      </c>
      <c r="AE596" s="3" t="str">
        <f ca="1">IFERROR(__xludf.DUMMYFUNCTION("""COMPUTED_VALUE"""),"2055-06-03T14:13:21.85707Z")</f>
        <v>2055-06-03T14:13:21.85707Z</v>
      </c>
      <c r="AF596" s="3" t="str">
        <f ca="1">IFERROR(__xludf.DUMMYFUNCTION("""COMPUTED_VALUE"""),"2055-06-03T14:21:12.19907Z")</f>
        <v>2055-06-03T14:21:12.19907Z</v>
      </c>
      <c r="AG596" s="3" t="str">
        <f ca="1">IFERROR(__xludf.DUMMYFUNCTION("""COMPUTED_VALUE"""),"2055-06-03T14:06:34.368238Z")</f>
        <v>2055-06-03T14:06:34.368238Z</v>
      </c>
      <c r="AH596" s="3" t="str">
        <f ca="1">IFERROR(__xludf.DUMMYFUNCTION("""COMPUTED_VALUE"""),"2055-06-03T14:09:09.24282Z")</f>
        <v>2055-06-03T14:09:09.24282Z</v>
      </c>
      <c r="AI596" s="3">
        <f ca="1">IFERROR(__xludf.DUMMYFUNCTION("""COMPUTED_VALUE"""),4.58)</f>
        <v>4.58</v>
      </c>
      <c r="AJ596" s="3">
        <f ca="1">IFERROR(__xludf.DUMMYFUNCTION("""COMPUTED_VALUE"""),254)</f>
        <v>254</v>
      </c>
      <c r="AK596" s="3">
        <f ca="1">IFERROR(__xludf.DUMMYFUNCTION("""COMPUTED_VALUE"""),788)</f>
        <v>788</v>
      </c>
      <c r="AL596" s="3">
        <f ca="1">IFERROR(__xludf.DUMMYFUNCTION("""COMPUTED_VALUE"""),9)</f>
        <v>9</v>
      </c>
    </row>
    <row r="597" spans="1:38" ht="13">
      <c r="A597" s="3">
        <f ca="1">IFERROR(__xludf.DUMMYFUNCTION("""COMPUTED_VALUE"""),649)</f>
        <v>649</v>
      </c>
      <c r="B597" s="3">
        <f ca="1">IFERROR(__xludf.DUMMYFUNCTION("""COMPUTED_VALUE"""),1)</f>
        <v>1</v>
      </c>
      <c r="C597" s="3">
        <f ca="1">IFERROR(__xludf.DUMMYFUNCTION("""COMPUTED_VALUE"""),4050)</f>
        <v>4050</v>
      </c>
      <c r="D597" s="3" t="str">
        <f ca="1">IFERROR(__xludf.DUMMYFUNCTION("""COMPUTED_VALUE"""),"Doorlanta")</f>
        <v>Doorlanta</v>
      </c>
      <c r="E597" s="3" t="str">
        <f ca="1">IFERROR(__xludf.DUMMYFUNCTION("""COMPUTED_VALUE"""),"Galaxy A")</f>
        <v>Galaxy A</v>
      </c>
      <c r="F597" s="3" t="str">
        <f ca="1">IFERROR(__xludf.DUMMYFUNCTION("""COMPUTED_VALUE"""),"Cate")</f>
        <v>Cate</v>
      </c>
      <c r="G597" s="3">
        <f ca="1">IFERROR(__xludf.DUMMYFUNCTION("""COMPUTED_VALUE"""),0)</f>
        <v>0</v>
      </c>
      <c r="H597" s="3" t="str">
        <f ca="1">IFERROR(__xludf.DUMMYFUNCTION("""COMPUTED_VALUE"""),"car")</f>
        <v>car</v>
      </c>
      <c r="I597" s="3" t="str">
        <f ca="1">IFERROR(__xludf.DUMMYFUNCTION("""COMPUTED_VALUE"""),"2055-06-05T22:25:01.959721Z")</f>
        <v>2055-06-05T22:25:01.959721Z</v>
      </c>
      <c r="J597" s="3" t="str">
        <f ca="1">IFERROR(__xludf.DUMMYFUNCTION("""COMPUTED_VALUE"""),"2055-06-05T23:23:36.04Z")</f>
        <v>2055-06-05T23:23:36.04Z</v>
      </c>
      <c r="K597" s="3" t="str">
        <f ca="1">IFERROR(__xludf.DUMMYFUNCTION("""COMPUTED_VALUE"""),"2055-06-05T23:01:42.04Z")</f>
        <v>2055-06-05T23:01:42.04Z</v>
      </c>
      <c r="L597" s="3">
        <f ca="1">IFERROR(__xludf.DUMMYFUNCTION("""COMPUTED_VALUE"""),1)</f>
        <v>1</v>
      </c>
      <c r="M597" s="3">
        <f ca="1">IFERROR(__xludf.DUMMYFUNCTION("""COMPUTED_VALUE"""),0)</f>
        <v>0</v>
      </c>
      <c r="N597" s="3" t="str">
        <f ca="1">IFERROR(__xludf.DUMMYFUNCTION("""COMPUTED_VALUE"""),"2055-06-05T23:01:03.438176Z")</f>
        <v>2055-06-05T23:01:03.438176Z</v>
      </c>
      <c r="O597" s="3" t="str">
        <f ca="1">IFERROR(__xludf.DUMMYFUNCTION("""COMPUTED_VALUE"""),"2055-06-05T23:11:55.006379Z")</f>
        <v>2055-06-05T23:11:55.006379Z</v>
      </c>
      <c r="P597" s="3" t="str">
        <f ca="1">IFERROR(__xludf.DUMMYFUNCTION("""COMPUTED_VALUE"""),"2055-06-05T22:36:27.543397Z")</f>
        <v>2055-06-05T22:36:27.543397Z</v>
      </c>
      <c r="Q597" s="3">
        <f ca="1">IFERROR(__xludf.DUMMYFUNCTION("""COMPUTED_VALUE"""),0)</f>
        <v>0</v>
      </c>
      <c r="R597" s="3" t="str">
        <f ca="1">IFERROR(__xludf.DUMMYFUNCTION("""COMPUTED_VALUE"""),"2055-06-05T22:36:38.993847Z")</f>
        <v>2055-06-05T22:36:38.993847Z</v>
      </c>
      <c r="S597" s="3"/>
      <c r="T597" s="3"/>
      <c r="U597" s="4">
        <f ca="1">IFERROR(__xludf.DUMMYFUNCTION("""COMPUTED_VALUE"""),56770)</f>
        <v>56770</v>
      </c>
      <c r="V597" s="3">
        <f ca="1">IFERROR(__xludf.DUMMYFUNCTION("""COMPUTED_VALUE"""),4.5)</f>
        <v>4.5</v>
      </c>
      <c r="W597" s="3">
        <f ca="1">IFERROR(__xludf.DUMMYFUNCTION("""COMPUTED_VALUE"""),2000)</f>
        <v>2000</v>
      </c>
      <c r="X597" s="3">
        <f ca="1">IFERROR(__xludf.DUMMYFUNCTION("""COMPUTED_VALUE"""),2117)</f>
        <v>2117</v>
      </c>
      <c r="Y597" s="3"/>
      <c r="Z597" s="3"/>
      <c r="AA597" s="3">
        <f ca="1">IFERROR(__xludf.DUMMYFUNCTION("""COMPUTED_VALUE"""),652)</f>
        <v>652</v>
      </c>
      <c r="AB597" s="3">
        <f ca="1">IFERROR(__xludf.DUMMYFUNCTION("""COMPUTED_VALUE"""),1)</f>
        <v>1</v>
      </c>
      <c r="AC597" s="3">
        <f ca="1">IFERROR(__xludf.DUMMYFUNCTION("""COMPUTED_VALUE"""),1)</f>
        <v>1</v>
      </c>
      <c r="AD597" s="3"/>
      <c r="AE597" s="3" t="str">
        <f ca="1">IFERROR(__xludf.DUMMYFUNCTION("""COMPUTED_VALUE"""),"2055-06-05T19:01:03.438176Z")</f>
        <v>2055-06-05T19:01:03.438176Z</v>
      </c>
      <c r="AF597" s="3" t="str">
        <f ca="1">IFERROR(__xludf.DUMMYFUNCTION("""COMPUTED_VALUE"""),"2055-06-05T19:11:55.006379Z")</f>
        <v>2055-06-05T19:11:55.006379Z</v>
      </c>
      <c r="AG597" s="3" t="str">
        <f ca="1">IFERROR(__xludf.DUMMYFUNCTION("""COMPUTED_VALUE"""),"2055-06-05T18:36:27.543397Z")</f>
        <v>2055-06-05T18:36:27.543397Z</v>
      </c>
      <c r="AH597" s="3"/>
      <c r="AI597" s="3">
        <f ca="1">IFERROR(__xludf.DUMMYFUNCTION("""COMPUTED_VALUE"""),4.49)</f>
        <v>4.49</v>
      </c>
      <c r="AJ597" s="3">
        <f ca="1">IFERROR(__xludf.DUMMYFUNCTION("""COMPUTED_VALUE"""),2315)</f>
        <v>2315</v>
      </c>
      <c r="AK597" s="3">
        <f ca="1">IFERROR(__xludf.DUMMYFUNCTION("""COMPUTED_VALUE"""),7039)</f>
        <v>7039</v>
      </c>
      <c r="AL597" s="3">
        <f ca="1">IFERROR(__xludf.DUMMYFUNCTION("""COMPUTED_VALUE"""),763)</f>
        <v>763</v>
      </c>
    </row>
    <row r="598" spans="1:38" ht="13">
      <c r="A598" s="3">
        <f ca="1">IFERROR(__xludf.DUMMYFUNCTION("""COMPUTED_VALUE"""),679)</f>
        <v>679</v>
      </c>
      <c r="B598" s="3"/>
      <c r="C598" s="3">
        <f ca="1">IFERROR(__xludf.DUMMYFUNCTION("""COMPUTED_VALUE"""),4050)</f>
        <v>4050</v>
      </c>
      <c r="D598" s="3" t="str">
        <f ca="1">IFERROR(__xludf.DUMMYFUNCTION("""COMPUTED_VALUE"""),"Doorlanta")</f>
        <v>Doorlanta</v>
      </c>
      <c r="E598" s="3" t="str">
        <f ca="1">IFERROR(__xludf.DUMMYFUNCTION("""COMPUTED_VALUE"""),"Galaxy A")</f>
        <v>Galaxy A</v>
      </c>
      <c r="F598" s="3" t="str">
        <f ca="1">IFERROR(__xludf.DUMMYFUNCTION("""COMPUTED_VALUE"""),"Elon")</f>
        <v>Elon</v>
      </c>
      <c r="G598" s="3">
        <f ca="1">IFERROR(__xludf.DUMMYFUNCTION("""COMPUTED_VALUE"""),0)</f>
        <v>0</v>
      </c>
      <c r="H598" s="3" t="str">
        <f ca="1">IFERROR(__xludf.DUMMYFUNCTION("""COMPUTED_VALUE"""),"car")</f>
        <v>car</v>
      </c>
      <c r="I598" s="3" t="str">
        <f ca="1">IFERROR(__xludf.DUMMYFUNCTION("""COMPUTED_VALUE"""),"2055-06-05T23:33:02.633377Z")</f>
        <v>2055-06-05T23:33:02.633377Z</v>
      </c>
      <c r="J598" s="3" t="str">
        <f ca="1">IFERROR(__xludf.DUMMYFUNCTION("""COMPUTED_VALUE"""),"2055-06-06T00:31:18.744Z")</f>
        <v>2055-06-06T00:31:18.744Z</v>
      </c>
      <c r="K598" s="3" t="str">
        <f ca="1">IFERROR(__xludf.DUMMYFUNCTION("""COMPUTED_VALUE"""),"2055-06-06T00:11:11.744Z")</f>
        <v>2055-06-06T00:11:11.744Z</v>
      </c>
      <c r="L598" s="3">
        <f ca="1">IFERROR(__xludf.DUMMYFUNCTION("""COMPUTED_VALUE"""),1)</f>
        <v>1</v>
      </c>
      <c r="M598" s="3">
        <f ca="1">IFERROR(__xludf.DUMMYFUNCTION("""COMPUTED_VALUE"""),0)</f>
        <v>0</v>
      </c>
      <c r="N598" s="3" t="str">
        <f ca="1">IFERROR(__xludf.DUMMYFUNCTION("""COMPUTED_VALUE"""),"2055-06-06T00:08:48.011504Z")</f>
        <v>2055-06-06T00:08:48.011504Z</v>
      </c>
      <c r="O598" s="3" t="str">
        <f ca="1">IFERROR(__xludf.DUMMYFUNCTION("""COMPUTED_VALUE"""),"2055-06-06T00:18:47.946815Z")</f>
        <v>2055-06-06T00:18:47.946815Z</v>
      </c>
      <c r="P598" s="3" t="str">
        <f ca="1">IFERROR(__xludf.DUMMYFUNCTION("""COMPUTED_VALUE"""),"2055-06-05T23:49:47.380499Z")</f>
        <v>2055-06-05T23:49:47.380499Z</v>
      </c>
      <c r="Q598" s="3">
        <f ca="1">IFERROR(__xludf.DUMMYFUNCTION("""COMPUTED_VALUE"""),0)</f>
        <v>0</v>
      </c>
      <c r="R598" s="3" t="str">
        <f ca="1">IFERROR(__xludf.DUMMYFUNCTION("""COMPUTED_VALUE"""),"2055-06-05T23:49:50.886679Z")</f>
        <v>2055-06-05T23:49:50.886679Z</v>
      </c>
      <c r="S598" s="3" t="str">
        <f ca="1">IFERROR(__xludf.DUMMYFUNCTION("""COMPUTED_VALUE"""),"2055-06-06T00:06:40.03194Z")</f>
        <v>2055-06-06T00:06:40.03194Z</v>
      </c>
      <c r="T598" s="3"/>
      <c r="U598" s="4">
        <f ca="1">IFERROR(__xludf.DUMMYFUNCTION("""COMPUTED_VALUE"""),56770)</f>
        <v>56770</v>
      </c>
      <c r="V598" s="3">
        <f ca="1">IFERROR(__xludf.DUMMYFUNCTION("""COMPUTED_VALUE"""),3.853649317)</f>
        <v>3.8536493169999999</v>
      </c>
      <c r="W598" s="3">
        <f ca="1">IFERROR(__xludf.DUMMYFUNCTION("""COMPUTED_VALUE"""),2000)</f>
        <v>2000</v>
      </c>
      <c r="X598" s="3">
        <f ca="1">IFERROR(__xludf.DUMMYFUNCTION("""COMPUTED_VALUE"""),1737)</f>
        <v>1737</v>
      </c>
      <c r="Y598" s="3">
        <f ca="1">IFERROR(__xludf.DUMMYFUNCTION("""COMPUTED_VALUE"""),1010)</f>
        <v>1010</v>
      </c>
      <c r="Z598" s="3">
        <f ca="1">IFERROR(__xludf.DUMMYFUNCTION("""COMPUTED_VALUE"""),128)</f>
        <v>128</v>
      </c>
      <c r="AA598" s="3">
        <f ca="1">IFERROR(__xludf.DUMMYFUNCTION("""COMPUTED_VALUE"""),599)</f>
        <v>599</v>
      </c>
      <c r="AB598" s="3">
        <f ca="1">IFERROR(__xludf.DUMMYFUNCTION("""COMPUTED_VALUE"""),0)</f>
        <v>0</v>
      </c>
      <c r="AC598" s="3">
        <f ca="1">IFERROR(__xludf.DUMMYFUNCTION("""COMPUTED_VALUE"""),3)</f>
        <v>3</v>
      </c>
      <c r="AD598" s="3" t="str">
        <f ca="1">IFERROR(__xludf.DUMMYFUNCTION("""COMPUTED_VALUE"""),"late")</f>
        <v>late</v>
      </c>
      <c r="AE598" s="3" t="str">
        <f ca="1">IFERROR(__xludf.DUMMYFUNCTION("""COMPUTED_VALUE"""),"2055-06-05T20:08:48.011504Z")</f>
        <v>2055-06-05T20:08:48.011504Z</v>
      </c>
      <c r="AF598" s="3" t="str">
        <f ca="1">IFERROR(__xludf.DUMMYFUNCTION("""COMPUTED_VALUE"""),"2055-06-05T20:18:47.946815Z")</f>
        <v>2055-06-05T20:18:47.946815Z</v>
      </c>
      <c r="AG598" s="3" t="str">
        <f ca="1">IFERROR(__xludf.DUMMYFUNCTION("""COMPUTED_VALUE"""),"2055-06-05T19:49:47.380499Z")</f>
        <v>2055-06-05T19:49:47.380499Z</v>
      </c>
      <c r="AH598" s="3" t="str">
        <f ca="1">IFERROR(__xludf.DUMMYFUNCTION("""COMPUTED_VALUE"""),"2055-06-05T20:06:40.03194Z")</f>
        <v>2055-06-05T20:06:40.03194Z</v>
      </c>
      <c r="AI598" s="3">
        <f ca="1">IFERROR(__xludf.DUMMYFUNCTION("""COMPUTED_VALUE"""),4.62)</f>
        <v>4.62</v>
      </c>
      <c r="AJ598" s="3">
        <f ca="1">IFERROR(__xludf.DUMMYFUNCTION("""COMPUTED_VALUE"""),259)</f>
        <v>259</v>
      </c>
      <c r="AK598" s="3">
        <f ca="1">IFERROR(__xludf.DUMMYFUNCTION("""COMPUTED_VALUE"""),604)</f>
        <v>604</v>
      </c>
      <c r="AL598" s="3">
        <f ca="1">IFERROR(__xludf.DUMMYFUNCTION("""COMPUTED_VALUE"""),21)</f>
        <v>21</v>
      </c>
    </row>
    <row r="599" spans="1:38" ht="13">
      <c r="A599" s="3">
        <f ca="1">IFERROR(__xludf.DUMMYFUNCTION("""COMPUTED_VALUE"""),215)</f>
        <v>215</v>
      </c>
      <c r="B599" s="3"/>
      <c r="C599" s="3">
        <f ca="1">IFERROR(__xludf.DUMMYFUNCTION("""COMPUTED_VALUE"""),4001)</f>
        <v>4001</v>
      </c>
      <c r="D599" s="3" t="str">
        <f ca="1">IFERROR(__xludf.DUMMYFUNCTION("""COMPUTED_VALUE"""),"Dashattan")</f>
        <v>Dashattan</v>
      </c>
      <c r="E599" s="3" t="str">
        <f ca="1">IFERROR(__xludf.DUMMYFUNCTION("""COMPUTED_VALUE"""),"Galaxy A")</f>
        <v>Galaxy A</v>
      </c>
      <c r="F599" s="3" t="str">
        <f ca="1">IFERROR(__xludf.DUMMYFUNCTION("""COMPUTED_VALUE"""),"KC")</f>
        <v>KC</v>
      </c>
      <c r="G599" s="3">
        <f ca="1">IFERROR(__xludf.DUMMYFUNCTION("""COMPUTED_VALUE"""),0)</f>
        <v>0</v>
      </c>
      <c r="H599" s="3" t="str">
        <f ca="1">IFERROR(__xludf.DUMMYFUNCTION("""COMPUTED_VALUE"""),"car")</f>
        <v>car</v>
      </c>
      <c r="I599" s="3" t="str">
        <f ca="1">IFERROR(__xludf.DUMMYFUNCTION("""COMPUTED_VALUE"""),"2055-06-02T23:58:33.590705Z")</f>
        <v>2055-06-02T23:58:33.590705Z</v>
      </c>
      <c r="J599" s="3" t="str">
        <f ca="1">IFERROR(__xludf.DUMMYFUNCTION("""COMPUTED_VALUE"""),"2055-06-03T00:46:13.653Z")</f>
        <v>2055-06-03T00:46:13.653Z</v>
      </c>
      <c r="K599" s="3" t="str">
        <f ca="1">IFERROR(__xludf.DUMMYFUNCTION("""COMPUTED_VALUE"""),"2055-06-03T00:31:06.653Z")</f>
        <v>2055-06-03T00:31:06.653Z</v>
      </c>
      <c r="L599" s="3">
        <f ca="1">IFERROR(__xludf.DUMMYFUNCTION("""COMPUTED_VALUE"""),1)</f>
        <v>1</v>
      </c>
      <c r="M599" s="3">
        <f ca="1">IFERROR(__xludf.DUMMYFUNCTION("""COMPUTED_VALUE"""),0)</f>
        <v>0</v>
      </c>
      <c r="N599" s="3" t="str">
        <f ca="1">IFERROR(__xludf.DUMMYFUNCTION("""COMPUTED_VALUE"""),"2055-06-03T00:25:45.614834Z")</f>
        <v>2055-06-03T00:25:45.614834Z</v>
      </c>
      <c r="O599" s="3" t="str">
        <f ca="1">IFERROR(__xludf.DUMMYFUNCTION("""COMPUTED_VALUE"""),"2055-06-03T00:40:47.885896Z")</f>
        <v>2055-06-03T00:40:47.885896Z</v>
      </c>
      <c r="P599" s="3" t="str">
        <f ca="1">IFERROR(__xludf.DUMMYFUNCTION("""COMPUTED_VALUE"""),"2055-06-03T00:01:55.285562Z")</f>
        <v>2055-06-03T00:01:55.285562Z</v>
      </c>
      <c r="Q599" s="3">
        <f ca="1">IFERROR(__xludf.DUMMYFUNCTION("""COMPUTED_VALUE"""),0)</f>
        <v>0</v>
      </c>
      <c r="R599" s="3" t="str">
        <f ca="1">IFERROR(__xludf.DUMMYFUNCTION("""COMPUTED_VALUE"""),"2055-06-03T00:02:03.514809Z")</f>
        <v>2055-06-03T00:02:03.514809Z</v>
      </c>
      <c r="S599" s="3" t="str">
        <f ca="1">IFERROR(__xludf.DUMMYFUNCTION("""COMPUTED_VALUE"""),"2055-06-03T00:11:18.454761Z")</f>
        <v>2055-06-03T00:11:18.454761Z</v>
      </c>
      <c r="T599" s="3"/>
      <c r="U599" s="4">
        <f ca="1">IFERROR(__xludf.DUMMYFUNCTION("""COMPUTED_VALUE"""),56767)</f>
        <v>56767</v>
      </c>
      <c r="V599" s="3">
        <f ca="1">IFERROR(__xludf.DUMMYFUNCTION("""COMPUTED_VALUE"""),4.342339894)</f>
        <v>4.3423398940000002</v>
      </c>
      <c r="W599" s="3">
        <f ca="1">IFERROR(__xludf.DUMMYFUNCTION("""COMPUTED_VALUE"""),2000)</f>
        <v>2000</v>
      </c>
      <c r="X599" s="3">
        <f ca="1">IFERROR(__xludf.DUMMYFUNCTION("""COMPUTED_VALUE"""),2324)</f>
        <v>2324</v>
      </c>
      <c r="Y599" s="3">
        <f ca="1">IFERROR(__xludf.DUMMYFUNCTION("""COMPUTED_VALUE"""),555)</f>
        <v>555</v>
      </c>
      <c r="Z599" s="3">
        <f ca="1">IFERROR(__xludf.DUMMYFUNCTION("""COMPUTED_VALUE"""),867)</f>
        <v>867</v>
      </c>
      <c r="AA599" s="3">
        <f ca="1">IFERROR(__xludf.DUMMYFUNCTION("""COMPUTED_VALUE"""),902)</f>
        <v>902</v>
      </c>
      <c r="AB599" s="3">
        <f ca="1">IFERROR(__xludf.DUMMYFUNCTION("""COMPUTED_VALUE"""),0)</f>
        <v>0</v>
      </c>
      <c r="AC599" s="3">
        <f ca="1">IFERROR(__xludf.DUMMYFUNCTION("""COMPUTED_VALUE"""),2)</f>
        <v>2</v>
      </c>
      <c r="AD599" s="3" t="str">
        <f ca="1">IFERROR(__xludf.DUMMYFUNCTION("""COMPUTED_VALUE"""),"on time")</f>
        <v>on time</v>
      </c>
      <c r="AE599" s="3" t="str">
        <f ca="1">IFERROR(__xludf.DUMMYFUNCTION("""COMPUTED_VALUE"""),"2055-06-02T20:25:45.614834Z")</f>
        <v>2055-06-02T20:25:45.614834Z</v>
      </c>
      <c r="AF599" s="3" t="str">
        <f ca="1">IFERROR(__xludf.DUMMYFUNCTION("""COMPUTED_VALUE"""),"2055-06-02T20:40:47.885896Z")</f>
        <v>2055-06-02T20:40:47.885896Z</v>
      </c>
      <c r="AG599" s="3" t="str">
        <f ca="1">IFERROR(__xludf.DUMMYFUNCTION("""COMPUTED_VALUE"""),"2055-06-02T20:01:55.285562Z")</f>
        <v>2055-06-02T20:01:55.285562Z</v>
      </c>
      <c r="AH599" s="3" t="str">
        <f ca="1">IFERROR(__xludf.DUMMYFUNCTION("""COMPUTED_VALUE"""),"2055-06-02T20:11:18.454761Z")</f>
        <v>2055-06-02T20:11:18.454761Z</v>
      </c>
      <c r="AI599" s="3">
        <f ca="1">IFERROR(__xludf.DUMMYFUNCTION("""COMPUTED_VALUE"""),4.54)</f>
        <v>4.54</v>
      </c>
      <c r="AJ599" s="3">
        <f ca="1">IFERROR(__xludf.DUMMYFUNCTION("""COMPUTED_VALUE"""),2229)</f>
        <v>2229</v>
      </c>
      <c r="AK599" s="3">
        <f ca="1">IFERROR(__xludf.DUMMYFUNCTION("""COMPUTED_VALUE"""),6580)</f>
        <v>6580</v>
      </c>
      <c r="AL599" s="3"/>
    </row>
    <row r="600" spans="1:38" ht="13">
      <c r="A600" s="3">
        <f ca="1">IFERROR(__xludf.DUMMYFUNCTION("""COMPUTED_VALUE"""),351)</f>
        <v>351</v>
      </c>
      <c r="B600" s="3"/>
      <c r="C600" s="3">
        <f ca="1">IFERROR(__xludf.DUMMYFUNCTION("""COMPUTED_VALUE"""),4001)</f>
        <v>4001</v>
      </c>
      <c r="D600" s="3" t="str">
        <f ca="1">IFERROR(__xludf.DUMMYFUNCTION("""COMPUTED_VALUE"""),"Dashattan")</f>
        <v>Dashattan</v>
      </c>
      <c r="E600" s="3" t="str">
        <f ca="1">IFERROR(__xludf.DUMMYFUNCTION("""COMPUTED_VALUE"""),"Galaxy A")</f>
        <v>Galaxy A</v>
      </c>
      <c r="F600" s="3" t="str">
        <f ca="1">IFERROR(__xludf.DUMMYFUNCTION("""COMPUTED_VALUE"""),"Samm")</f>
        <v>Samm</v>
      </c>
      <c r="G600" s="3">
        <f ca="1">IFERROR(__xludf.DUMMYFUNCTION("""COMPUTED_VALUE"""),0)</f>
        <v>0</v>
      </c>
      <c r="H600" s="3" t="str">
        <f ca="1">IFERROR(__xludf.DUMMYFUNCTION("""COMPUTED_VALUE"""),"car")</f>
        <v>car</v>
      </c>
      <c r="I600" s="3" t="str">
        <f ca="1">IFERROR(__xludf.DUMMYFUNCTION("""COMPUTED_VALUE"""),"2055-06-03T22:38:11.903198Z")</f>
        <v>2055-06-03T22:38:11.903198Z</v>
      </c>
      <c r="J600" s="3" t="str">
        <f ca="1">IFERROR(__xludf.DUMMYFUNCTION("""COMPUTED_VALUE"""),"2055-06-03T23:26:48.956Z")</f>
        <v>2055-06-03T23:26:48.956Z</v>
      </c>
      <c r="K600" s="3" t="str">
        <f ca="1">IFERROR(__xludf.DUMMYFUNCTION("""COMPUTED_VALUE"""),"2055-06-03T23:07:55.956Z")</f>
        <v>2055-06-03T23:07:55.956Z</v>
      </c>
      <c r="L600" s="3">
        <f ca="1">IFERROR(__xludf.DUMMYFUNCTION("""COMPUTED_VALUE"""),1)</f>
        <v>1</v>
      </c>
      <c r="M600" s="3">
        <f ca="1">IFERROR(__xludf.DUMMYFUNCTION("""COMPUTED_VALUE"""),0)</f>
        <v>0</v>
      </c>
      <c r="N600" s="3" t="str">
        <f ca="1">IFERROR(__xludf.DUMMYFUNCTION("""COMPUTED_VALUE"""),"2055-06-03T23:00:55.818996Z")</f>
        <v>2055-06-03T23:00:55.818996Z</v>
      </c>
      <c r="O600" s="3" t="str">
        <f ca="1">IFERROR(__xludf.DUMMYFUNCTION("""COMPUTED_VALUE"""),"2055-06-03T23:11:40.77838Z")</f>
        <v>2055-06-03T23:11:40.77838Z</v>
      </c>
      <c r="P600" s="3" t="str">
        <f ca="1">IFERROR(__xludf.DUMMYFUNCTION("""COMPUTED_VALUE"""),"2055-06-03T22:39:34.942523Z")</f>
        <v>2055-06-03T22:39:34.942523Z</v>
      </c>
      <c r="Q600" s="3">
        <f ca="1">IFERROR(__xludf.DUMMYFUNCTION("""COMPUTED_VALUE"""),0)</f>
        <v>0</v>
      </c>
      <c r="R600" s="3" t="str">
        <f ca="1">IFERROR(__xludf.DUMMYFUNCTION("""COMPUTED_VALUE"""),"2055-06-03T22:39:43.585757Z")</f>
        <v>2055-06-03T22:39:43.585757Z</v>
      </c>
      <c r="S600" s="3" t="str">
        <f ca="1">IFERROR(__xludf.DUMMYFUNCTION("""COMPUTED_VALUE"""),"2055-06-03T22:59:11.309544Z")</f>
        <v>2055-06-03T22:59:11.309544Z</v>
      </c>
      <c r="T600" s="3"/>
      <c r="U600" s="4">
        <f ca="1">IFERROR(__xludf.DUMMYFUNCTION("""COMPUTED_VALUE"""),56768)</f>
        <v>56768</v>
      </c>
      <c r="V600" s="3">
        <f ca="1">IFERROR(__xludf.DUMMYFUNCTION("""COMPUTED_VALUE"""),4.6)</f>
        <v>4.5999999999999996</v>
      </c>
      <c r="W600" s="3">
        <f ca="1">IFERROR(__xludf.DUMMYFUNCTION("""COMPUTED_VALUE"""),2000)</f>
        <v>2000</v>
      </c>
      <c r="X600" s="3">
        <f ca="1">IFERROR(__xludf.DUMMYFUNCTION("""COMPUTED_VALUE"""),1917)</f>
        <v>1917</v>
      </c>
      <c r="Y600" s="3">
        <f ca="1">IFERROR(__xludf.DUMMYFUNCTION("""COMPUTED_VALUE"""),1168)</f>
        <v>1168</v>
      </c>
      <c r="Z600" s="3">
        <f ca="1">IFERROR(__xludf.DUMMYFUNCTION("""COMPUTED_VALUE"""),104)</f>
        <v>104</v>
      </c>
      <c r="AA600" s="3">
        <f ca="1">IFERROR(__xludf.DUMMYFUNCTION("""COMPUTED_VALUE"""),645)</f>
        <v>645</v>
      </c>
      <c r="AB600" s="3">
        <f ca="1">IFERROR(__xludf.DUMMYFUNCTION("""COMPUTED_VALUE"""),0)</f>
        <v>0</v>
      </c>
      <c r="AC600" s="3">
        <f ca="1">IFERROR(__xludf.DUMMYFUNCTION("""COMPUTED_VALUE"""),2)</f>
        <v>2</v>
      </c>
      <c r="AD600" s="3" t="str">
        <f ca="1">IFERROR(__xludf.DUMMYFUNCTION("""COMPUTED_VALUE"""),"late")</f>
        <v>late</v>
      </c>
      <c r="AE600" s="3" t="str">
        <f ca="1">IFERROR(__xludf.DUMMYFUNCTION("""COMPUTED_VALUE"""),"2055-06-03T19:00:55.818996Z")</f>
        <v>2055-06-03T19:00:55.818996Z</v>
      </c>
      <c r="AF600" s="3" t="str">
        <f ca="1">IFERROR(__xludf.DUMMYFUNCTION("""COMPUTED_VALUE"""),"2055-06-03T19:11:40.77838Z")</f>
        <v>2055-06-03T19:11:40.77838Z</v>
      </c>
      <c r="AG600" s="3" t="str">
        <f ca="1">IFERROR(__xludf.DUMMYFUNCTION("""COMPUTED_VALUE"""),"2055-06-03T18:39:34.942523Z")</f>
        <v>2055-06-03T18:39:34.942523Z</v>
      </c>
      <c r="AH600" s="3" t="str">
        <f ca="1">IFERROR(__xludf.DUMMYFUNCTION("""COMPUTED_VALUE"""),"2055-06-03T18:59:11.309544Z")</f>
        <v>2055-06-03T18:59:11.309544Z</v>
      </c>
      <c r="AI600" s="3">
        <f ca="1">IFERROR(__xludf.DUMMYFUNCTION("""COMPUTED_VALUE"""),4.03)</f>
        <v>4.03</v>
      </c>
      <c r="AJ600" s="3">
        <f ca="1">IFERROR(__xludf.DUMMYFUNCTION("""COMPUTED_VALUE"""),505)</f>
        <v>505</v>
      </c>
      <c r="AK600" s="3">
        <f ca="1">IFERROR(__xludf.DUMMYFUNCTION("""COMPUTED_VALUE"""),1721)</f>
        <v>1721</v>
      </c>
      <c r="AL600" s="3">
        <f ca="1">IFERROR(__xludf.DUMMYFUNCTION("""COMPUTED_VALUE"""),457)</f>
        <v>457</v>
      </c>
    </row>
    <row r="601" spans="1:38" ht="13">
      <c r="A601" s="3">
        <f ca="1">IFERROR(__xludf.DUMMYFUNCTION("""COMPUTED_VALUE"""),534)</f>
        <v>534</v>
      </c>
      <c r="B601" s="3"/>
      <c r="C601" s="3">
        <f ca="1">IFERROR(__xludf.DUMMYFUNCTION("""COMPUTED_VALUE"""),4050)</f>
        <v>4050</v>
      </c>
      <c r="D601" s="3" t="str">
        <f ca="1">IFERROR(__xludf.DUMMYFUNCTION("""COMPUTED_VALUE"""),"Doorlanta")</f>
        <v>Doorlanta</v>
      </c>
      <c r="E601" s="3" t="str">
        <f ca="1">IFERROR(__xludf.DUMMYFUNCTION("""COMPUTED_VALUE"""),"Galaxy A")</f>
        <v>Galaxy A</v>
      </c>
      <c r="F601" s="3" t="str">
        <f ca="1">IFERROR(__xludf.DUMMYFUNCTION("""COMPUTED_VALUE"""),"Cate")</f>
        <v>Cate</v>
      </c>
      <c r="G601" s="3">
        <f ca="1">IFERROR(__xludf.DUMMYFUNCTION("""COMPUTED_VALUE"""),0)</f>
        <v>0</v>
      </c>
      <c r="H601" s="3" t="str">
        <f ca="1">IFERROR(__xludf.DUMMYFUNCTION("""COMPUTED_VALUE"""),"car")</f>
        <v>car</v>
      </c>
      <c r="I601" s="3" t="str">
        <f ca="1">IFERROR(__xludf.DUMMYFUNCTION("""COMPUTED_VALUE"""),"2055-06-05T01:57:02.480566Z")</f>
        <v>2055-06-05T01:57:02.480566Z</v>
      </c>
      <c r="J601" s="3" t="str">
        <f ca="1">IFERROR(__xludf.DUMMYFUNCTION("""COMPUTED_VALUE"""),"2055-06-05T02:45:35.562Z")</f>
        <v>2055-06-05T02:45:35.562Z</v>
      </c>
      <c r="K601" s="3" t="str">
        <f ca="1">IFERROR(__xludf.DUMMYFUNCTION("""COMPUTED_VALUE"""),"2055-06-05T02:36:42.562Z")</f>
        <v>2055-06-05T02:36:42.562Z</v>
      </c>
      <c r="L601" s="3">
        <f ca="1">IFERROR(__xludf.DUMMYFUNCTION("""COMPUTED_VALUE"""),1)</f>
        <v>1</v>
      </c>
      <c r="M601" s="3">
        <f ca="1">IFERROR(__xludf.DUMMYFUNCTION("""COMPUTED_VALUE"""),0)</f>
        <v>0</v>
      </c>
      <c r="N601" s="3" t="str">
        <f ca="1">IFERROR(__xludf.DUMMYFUNCTION("""COMPUTED_VALUE"""),"2055-06-05T02:37:14.873218Z")</f>
        <v>2055-06-05T02:37:14.873218Z</v>
      </c>
      <c r="O601" s="3" t="str">
        <f ca="1">IFERROR(__xludf.DUMMYFUNCTION("""COMPUTED_VALUE"""),"2055-06-05T02:50:27.418755Z")</f>
        <v>2055-06-05T02:50:27.418755Z</v>
      </c>
      <c r="P601" s="3" t="str">
        <f ca="1">IFERROR(__xludf.DUMMYFUNCTION("""COMPUTED_VALUE"""),"2055-06-05T02:23:07.31305Z")</f>
        <v>2055-06-05T02:23:07.31305Z</v>
      </c>
      <c r="Q601" s="3">
        <f ca="1">IFERROR(__xludf.DUMMYFUNCTION("""COMPUTED_VALUE"""),0)</f>
        <v>0</v>
      </c>
      <c r="R601" s="3" t="str">
        <f ca="1">IFERROR(__xludf.DUMMYFUNCTION("""COMPUTED_VALUE"""),"2055-06-05T02:23:11.189576Z")</f>
        <v>2055-06-05T02:23:11.189576Z</v>
      </c>
      <c r="S601" s="3"/>
      <c r="T601" s="3"/>
      <c r="U601" s="4">
        <f ca="1">IFERROR(__xludf.DUMMYFUNCTION("""COMPUTED_VALUE"""),56769)</f>
        <v>56769</v>
      </c>
      <c r="V601" s="3">
        <f ca="1">IFERROR(__xludf.DUMMYFUNCTION("""COMPUTED_VALUE"""),3.501498169)</f>
        <v>3.501498169</v>
      </c>
      <c r="W601" s="3">
        <f ca="1">IFERROR(__xludf.DUMMYFUNCTION("""COMPUTED_VALUE"""),2000)</f>
        <v>2000</v>
      </c>
      <c r="X601" s="3">
        <f ca="1">IFERROR(__xludf.DUMMYFUNCTION("""COMPUTED_VALUE"""),1636)</f>
        <v>1636</v>
      </c>
      <c r="Y601" s="3"/>
      <c r="Z601" s="3"/>
      <c r="AA601" s="3">
        <f ca="1">IFERROR(__xludf.DUMMYFUNCTION("""COMPUTED_VALUE"""),793)</f>
        <v>793</v>
      </c>
      <c r="AB601" s="3">
        <f ca="1">IFERROR(__xludf.DUMMYFUNCTION("""COMPUTED_VALUE"""),0)</f>
        <v>0</v>
      </c>
      <c r="AC601" s="3">
        <f ca="1">IFERROR(__xludf.DUMMYFUNCTION("""COMPUTED_VALUE"""),2)</f>
        <v>2</v>
      </c>
      <c r="AD601" s="3"/>
      <c r="AE601" s="3" t="str">
        <f ca="1">IFERROR(__xludf.DUMMYFUNCTION("""COMPUTED_VALUE"""),"2055-06-04T22:37:14.873218Z")</f>
        <v>2055-06-04T22:37:14.873218Z</v>
      </c>
      <c r="AF601" s="3" t="str">
        <f ca="1">IFERROR(__xludf.DUMMYFUNCTION("""COMPUTED_VALUE"""),"2055-06-04T22:50:27.418755Z")</f>
        <v>2055-06-04T22:50:27.418755Z</v>
      </c>
      <c r="AG601" s="3" t="str">
        <f ca="1">IFERROR(__xludf.DUMMYFUNCTION("""COMPUTED_VALUE"""),"2055-06-04T22:23:07.31305Z")</f>
        <v>2055-06-04T22:23:07.31305Z</v>
      </c>
      <c r="AH601" s="3"/>
      <c r="AI601" s="3">
        <f ca="1">IFERROR(__xludf.DUMMYFUNCTION("""COMPUTED_VALUE"""),4.49)</f>
        <v>4.49</v>
      </c>
      <c r="AJ601" s="3">
        <f ca="1">IFERROR(__xludf.DUMMYFUNCTION("""COMPUTED_VALUE"""),2315)</f>
        <v>2315</v>
      </c>
      <c r="AK601" s="3">
        <f ca="1">IFERROR(__xludf.DUMMYFUNCTION("""COMPUTED_VALUE"""),7039)</f>
        <v>7039</v>
      </c>
      <c r="AL601" s="3">
        <f ca="1">IFERROR(__xludf.DUMMYFUNCTION("""COMPUTED_VALUE"""),763)</f>
        <v>763</v>
      </c>
    </row>
    <row r="602" spans="1:38" ht="13">
      <c r="A602" s="3">
        <f ca="1">IFERROR(__xludf.DUMMYFUNCTION("""COMPUTED_VALUE"""),531)</f>
        <v>531</v>
      </c>
      <c r="B602" s="3"/>
      <c r="C602" s="3">
        <f ca="1">IFERROR(__xludf.DUMMYFUNCTION("""COMPUTED_VALUE"""),4001)</f>
        <v>4001</v>
      </c>
      <c r="D602" s="3" t="str">
        <f ca="1">IFERROR(__xludf.DUMMYFUNCTION("""COMPUTED_VALUE"""),"Dashattan")</f>
        <v>Dashattan</v>
      </c>
      <c r="E602" s="3" t="str">
        <f ca="1">IFERROR(__xludf.DUMMYFUNCTION("""COMPUTED_VALUE"""),"Galaxy A")</f>
        <v>Galaxy A</v>
      </c>
      <c r="F602" s="3" t="str">
        <f ca="1">IFERROR(__xludf.DUMMYFUNCTION("""COMPUTED_VALUE"""),"Ron")</f>
        <v>Ron</v>
      </c>
      <c r="G602" s="3">
        <f ca="1">IFERROR(__xludf.DUMMYFUNCTION("""COMPUTED_VALUE"""),0)</f>
        <v>0</v>
      </c>
      <c r="H602" s="3" t="str">
        <f ca="1">IFERROR(__xludf.DUMMYFUNCTION("""COMPUTED_VALUE"""),"bicycle")</f>
        <v>bicycle</v>
      </c>
      <c r="I602" s="3" t="str">
        <f ca="1">IFERROR(__xludf.DUMMYFUNCTION("""COMPUTED_VALUE"""),"2055-06-05T01:41:46.598847Z")</f>
        <v>2055-06-05T01:41:46.598847Z</v>
      </c>
      <c r="J602" s="3" t="str">
        <f ca="1">IFERROR(__xludf.DUMMYFUNCTION("""COMPUTED_VALUE"""),"2055-06-05T02:37:53.261Z")</f>
        <v>2055-06-05T02:37:53.261Z</v>
      </c>
      <c r="K602" s="3" t="str">
        <f ca="1">IFERROR(__xludf.DUMMYFUNCTION("""COMPUTED_VALUE"""),"2055-06-05T02:27:46.261Z")</f>
        <v>2055-06-05T02:27:46.261Z</v>
      </c>
      <c r="L602" s="3">
        <f ca="1">IFERROR(__xludf.DUMMYFUNCTION("""COMPUTED_VALUE"""),1)</f>
        <v>1</v>
      </c>
      <c r="M602" s="3">
        <f ca="1">IFERROR(__xludf.DUMMYFUNCTION("""COMPUTED_VALUE"""),0)</f>
        <v>0</v>
      </c>
      <c r="N602" s="3" t="str">
        <f ca="1">IFERROR(__xludf.DUMMYFUNCTION("""COMPUTED_VALUE"""),"2055-06-05T02:35:31.963272Z")</f>
        <v>2055-06-05T02:35:31.963272Z</v>
      </c>
      <c r="O602" s="3" t="str">
        <f ca="1">IFERROR(__xludf.DUMMYFUNCTION("""COMPUTED_VALUE"""),"2055-06-05T02:37:13.144317Z")</f>
        <v>2055-06-05T02:37:13.144317Z</v>
      </c>
      <c r="P602" s="3" t="str">
        <f ca="1">IFERROR(__xludf.DUMMYFUNCTION("""COMPUTED_VALUE"""),"2055-06-05T01:54:54.301905Z")</f>
        <v>2055-06-05T01:54:54.301905Z</v>
      </c>
      <c r="Q602" s="3">
        <f ca="1">IFERROR(__xludf.DUMMYFUNCTION("""COMPUTED_VALUE"""),0)</f>
        <v>0</v>
      </c>
      <c r="R602" s="3" t="str">
        <f ca="1">IFERROR(__xludf.DUMMYFUNCTION("""COMPUTED_VALUE"""),"2055-06-05T01:55:09.345693Z")</f>
        <v>2055-06-05T01:55:09.345693Z</v>
      </c>
      <c r="S602" s="3" t="str">
        <f ca="1">IFERROR(__xludf.DUMMYFUNCTION("""COMPUTED_VALUE"""),"2055-06-05T02:10:45.350263Z")</f>
        <v>2055-06-05T02:10:45.350263Z</v>
      </c>
      <c r="T602" s="3"/>
      <c r="U602" s="4">
        <f ca="1">IFERROR(__xludf.DUMMYFUNCTION("""COMPUTED_VALUE"""),56769)</f>
        <v>56769</v>
      </c>
      <c r="V602" s="3">
        <f ca="1">IFERROR(__xludf.DUMMYFUNCTION("""COMPUTED_VALUE"""),4.3)</f>
        <v>4.3</v>
      </c>
      <c r="W602" s="3">
        <f ca="1">IFERROR(__xludf.DUMMYFUNCTION("""COMPUTED_VALUE"""),2000)</f>
        <v>2000</v>
      </c>
      <c r="X602" s="3">
        <f ca="1">IFERROR(__xludf.DUMMYFUNCTION("""COMPUTED_VALUE"""),2524)</f>
        <v>2524</v>
      </c>
      <c r="Y602" s="3">
        <f ca="1">IFERROR(__xludf.DUMMYFUNCTION("""COMPUTED_VALUE"""),936)</f>
        <v>936</v>
      </c>
      <c r="Z602" s="3">
        <f ca="1">IFERROR(__xludf.DUMMYFUNCTION("""COMPUTED_VALUE"""),1486)</f>
        <v>1486</v>
      </c>
      <c r="AA602" s="3">
        <f ca="1">IFERROR(__xludf.DUMMYFUNCTION("""COMPUTED_VALUE"""),102)</f>
        <v>102</v>
      </c>
      <c r="AB602" s="3">
        <f ca="1">IFERROR(__xludf.DUMMYFUNCTION("""COMPUTED_VALUE"""),0)</f>
        <v>0</v>
      </c>
      <c r="AC602" s="3">
        <f ca="1">IFERROR(__xludf.DUMMYFUNCTION("""COMPUTED_VALUE"""),3)</f>
        <v>3</v>
      </c>
      <c r="AD602" s="3" t="str">
        <f ca="1">IFERROR(__xludf.DUMMYFUNCTION("""COMPUTED_VALUE"""),"early")</f>
        <v>early</v>
      </c>
      <c r="AE602" s="3" t="str">
        <f ca="1">IFERROR(__xludf.DUMMYFUNCTION("""COMPUTED_VALUE"""),"2055-06-04T22:35:31.963272Z")</f>
        <v>2055-06-04T22:35:31.963272Z</v>
      </c>
      <c r="AF602" s="3" t="str">
        <f ca="1">IFERROR(__xludf.DUMMYFUNCTION("""COMPUTED_VALUE"""),"2055-06-04T22:37:13.144317Z")</f>
        <v>2055-06-04T22:37:13.144317Z</v>
      </c>
      <c r="AG602" s="3" t="str">
        <f ca="1">IFERROR(__xludf.DUMMYFUNCTION("""COMPUTED_VALUE"""),"2055-06-04T21:54:54.301905Z")</f>
        <v>2055-06-04T21:54:54.301905Z</v>
      </c>
      <c r="AH602" s="3" t="str">
        <f ca="1">IFERROR(__xludf.DUMMYFUNCTION("""COMPUTED_VALUE"""),"2055-06-04T22:10:45.350263Z")</f>
        <v>2055-06-04T22:10:45.350263Z</v>
      </c>
      <c r="AI602" s="3">
        <f ca="1">IFERROR(__xludf.DUMMYFUNCTION("""COMPUTED_VALUE"""),4.56)</f>
        <v>4.5599999999999996</v>
      </c>
      <c r="AJ602" s="3">
        <f ca="1">IFERROR(__xludf.DUMMYFUNCTION("""COMPUTED_VALUE"""),765)</f>
        <v>765</v>
      </c>
      <c r="AK602" s="3">
        <f ca="1">IFERROR(__xludf.DUMMYFUNCTION("""COMPUTED_VALUE"""),2618)</f>
        <v>2618</v>
      </c>
      <c r="AL602" s="3"/>
    </row>
    <row r="603" spans="1:38" ht="13">
      <c r="A603" s="3">
        <f ca="1">IFERROR(__xludf.DUMMYFUNCTION("""COMPUTED_VALUE"""),1267)</f>
        <v>1267</v>
      </c>
      <c r="B603" s="3"/>
      <c r="C603" s="3">
        <f ca="1">IFERROR(__xludf.DUMMYFUNCTION("""COMPUTED_VALUE"""),4001)</f>
        <v>4001</v>
      </c>
      <c r="D603" s="3" t="str">
        <f ca="1">IFERROR(__xludf.DUMMYFUNCTION("""COMPUTED_VALUE"""),"Dashattan")</f>
        <v>Dashattan</v>
      </c>
      <c r="E603" s="3" t="str">
        <f ca="1">IFERROR(__xludf.DUMMYFUNCTION("""COMPUTED_VALUE"""),"Galaxy A")</f>
        <v>Galaxy A</v>
      </c>
      <c r="F603" s="3" t="str">
        <f ca="1">IFERROR(__xludf.DUMMYFUNCTION("""COMPUTED_VALUE"""),"Arya")</f>
        <v>Arya</v>
      </c>
      <c r="G603" s="3">
        <f ca="1">IFERROR(__xludf.DUMMYFUNCTION("""COMPUTED_VALUE"""),0)</f>
        <v>0</v>
      </c>
      <c r="H603" s="3" t="str">
        <f ca="1">IFERROR(__xludf.DUMMYFUNCTION("""COMPUTED_VALUE"""),"bicycle")</f>
        <v>bicycle</v>
      </c>
      <c r="I603" s="3" t="str">
        <f ca="1">IFERROR(__xludf.DUMMYFUNCTION("""COMPUTED_VALUE"""),"2055-06-11T17:06:24.465261Z")</f>
        <v>2055-06-11T17:06:24.465261Z</v>
      </c>
      <c r="J603" s="3" t="str">
        <f ca="1">IFERROR(__xludf.DUMMYFUNCTION("""COMPUTED_VALUE"""),"2055-06-11T18:03:11.514Z")</f>
        <v>2055-06-11T18:03:11.514Z</v>
      </c>
      <c r="K603" s="3" t="str">
        <f ca="1">IFERROR(__xludf.DUMMYFUNCTION("""COMPUTED_VALUE"""),"2055-06-11T17:53:04.514Z")</f>
        <v>2055-06-11T17:53:04.514Z</v>
      </c>
      <c r="L603" s="3">
        <f ca="1">IFERROR(__xludf.DUMMYFUNCTION("""COMPUTED_VALUE"""),1)</f>
        <v>1</v>
      </c>
      <c r="M603" s="3">
        <f ca="1">IFERROR(__xludf.DUMMYFUNCTION("""COMPUTED_VALUE"""),0)</f>
        <v>0</v>
      </c>
      <c r="N603" s="3" t="str">
        <f ca="1">IFERROR(__xludf.DUMMYFUNCTION("""COMPUTED_VALUE"""),"2055-06-11T17:32:01.848406Z")</f>
        <v>2055-06-11T17:32:01.848406Z</v>
      </c>
      <c r="O603" s="3" t="str">
        <f ca="1">IFERROR(__xludf.DUMMYFUNCTION("""COMPUTED_VALUE"""),"2055-06-11T17:52:26.294458Z")</f>
        <v>2055-06-11T17:52:26.294458Z</v>
      </c>
      <c r="P603" s="3" t="str">
        <f ca="1">IFERROR(__xludf.DUMMYFUNCTION("""COMPUTED_VALUE"""),"2055-06-11T17:09:54.308547Z")</f>
        <v>2055-06-11T17:09:54.308547Z</v>
      </c>
      <c r="Q603" s="3">
        <f ca="1">IFERROR(__xludf.DUMMYFUNCTION("""COMPUTED_VALUE"""),0)</f>
        <v>0</v>
      </c>
      <c r="R603" s="3" t="str">
        <f ca="1">IFERROR(__xludf.DUMMYFUNCTION("""COMPUTED_VALUE"""),"2055-06-11T17:10:09.42822Z")</f>
        <v>2055-06-11T17:10:09.42822Z</v>
      </c>
      <c r="S603" s="3" t="str">
        <f ca="1">IFERROR(__xludf.DUMMYFUNCTION("""COMPUTED_VALUE"""),"2055-06-11T17:41:49.393Z")</f>
        <v>2055-06-11T17:41:49.393Z</v>
      </c>
      <c r="T603" s="3"/>
      <c r="U603" s="4">
        <f ca="1">IFERROR(__xludf.DUMMYFUNCTION("""COMPUTED_VALUE"""),56776)</f>
        <v>56776</v>
      </c>
      <c r="V603" s="3">
        <f ca="1">IFERROR(__xludf.DUMMYFUNCTION("""COMPUTED_VALUE"""),4.3)</f>
        <v>4.3</v>
      </c>
      <c r="W603" s="3">
        <f ca="1">IFERROR(__xludf.DUMMYFUNCTION("""COMPUTED_VALUE"""),2000)</f>
        <v>2000</v>
      </c>
      <c r="X603" s="3">
        <f ca="1">IFERROR(__xludf.DUMMYFUNCTION("""COMPUTED_VALUE"""),2537)</f>
        <v>2537</v>
      </c>
      <c r="Y603" s="3">
        <f ca="1">IFERROR(__xludf.DUMMYFUNCTION("""COMPUTED_VALUE"""),1900)</f>
        <v>1900</v>
      </c>
      <c r="Z603" s="3"/>
      <c r="AA603" s="3">
        <f ca="1">IFERROR(__xludf.DUMMYFUNCTION("""COMPUTED_VALUE"""),1225)</f>
        <v>1225</v>
      </c>
      <c r="AB603" s="3">
        <f ca="1">IFERROR(__xludf.DUMMYFUNCTION("""COMPUTED_VALUE"""),1)</f>
        <v>1</v>
      </c>
      <c r="AC603" s="3">
        <f ca="1">IFERROR(__xludf.DUMMYFUNCTION("""COMPUTED_VALUE"""),4)</f>
        <v>4</v>
      </c>
      <c r="AD603" s="3"/>
      <c r="AE603" s="3" t="str">
        <f ca="1">IFERROR(__xludf.DUMMYFUNCTION("""COMPUTED_VALUE"""),"2055-06-11T13:32:01.848406Z")</f>
        <v>2055-06-11T13:32:01.848406Z</v>
      </c>
      <c r="AF603" s="3" t="str">
        <f ca="1">IFERROR(__xludf.DUMMYFUNCTION("""COMPUTED_VALUE"""),"2055-06-11T13:52:26.294458Z")</f>
        <v>2055-06-11T13:52:26.294458Z</v>
      </c>
      <c r="AG603" s="3" t="str">
        <f ca="1">IFERROR(__xludf.DUMMYFUNCTION("""COMPUTED_VALUE"""),"2055-06-11T13:09:54.308547Z")</f>
        <v>2055-06-11T13:09:54.308547Z</v>
      </c>
      <c r="AH603" s="3" t="str">
        <f ca="1">IFERROR(__xludf.DUMMYFUNCTION("""COMPUTED_VALUE"""),"2055-06-11T13:41:49.393Z")</f>
        <v>2055-06-11T13:41:49.393Z</v>
      </c>
      <c r="AI603" s="3">
        <f ca="1">IFERROR(__xludf.DUMMYFUNCTION("""COMPUTED_VALUE"""),4.17)</f>
        <v>4.17</v>
      </c>
      <c r="AJ603" s="3">
        <f ca="1">IFERROR(__xludf.DUMMYFUNCTION("""COMPUTED_VALUE"""),457)</f>
        <v>457</v>
      </c>
      <c r="AK603" s="3">
        <f ca="1">IFERROR(__xludf.DUMMYFUNCTION("""COMPUTED_VALUE"""),1599)</f>
        <v>1599</v>
      </c>
      <c r="AL603" s="3"/>
    </row>
    <row r="604" spans="1:38" ht="13">
      <c r="A604" s="3">
        <f ca="1">IFERROR(__xludf.DUMMYFUNCTION("""COMPUTED_VALUE"""),676)</f>
        <v>676</v>
      </c>
      <c r="B604" s="3"/>
      <c r="C604" s="3">
        <f ca="1">IFERROR(__xludf.DUMMYFUNCTION("""COMPUTED_VALUE"""),4050)</f>
        <v>4050</v>
      </c>
      <c r="D604" s="3" t="str">
        <f ca="1">IFERROR(__xludf.DUMMYFUNCTION("""COMPUTED_VALUE"""),"Doorlanta")</f>
        <v>Doorlanta</v>
      </c>
      <c r="E604" s="3" t="str">
        <f ca="1">IFERROR(__xludf.DUMMYFUNCTION("""COMPUTED_VALUE"""),"Galaxy A")</f>
        <v>Galaxy A</v>
      </c>
      <c r="F604" s="3" t="str">
        <f ca="1">IFERROR(__xludf.DUMMYFUNCTION("""COMPUTED_VALUE"""),"Elon")</f>
        <v>Elon</v>
      </c>
      <c r="G604" s="3">
        <f ca="1">IFERROR(__xludf.DUMMYFUNCTION("""COMPUTED_VALUE"""),0)</f>
        <v>0</v>
      </c>
      <c r="H604" s="3" t="str">
        <f ca="1">IFERROR(__xludf.DUMMYFUNCTION("""COMPUTED_VALUE"""),"car")</f>
        <v>car</v>
      </c>
      <c r="I604" s="3" t="str">
        <f ca="1">IFERROR(__xludf.DUMMYFUNCTION("""COMPUTED_VALUE"""),"2055-06-05T23:23:25.102303Z")</f>
        <v>2055-06-05T23:23:25.102303Z</v>
      </c>
      <c r="J604" s="3" t="str">
        <f ca="1">IFERROR(__xludf.DUMMYFUNCTION("""COMPUTED_VALUE"""),"2055-06-06T00:18:25.758Z")</f>
        <v>2055-06-06T00:18:25.758Z</v>
      </c>
      <c r="K604" s="3" t="str">
        <f ca="1">IFERROR(__xludf.DUMMYFUNCTION("""COMPUTED_VALUE"""),"2055-06-05T23:53:20.758Z")</f>
        <v>2055-06-05T23:53:20.758Z</v>
      </c>
      <c r="L604" s="3">
        <f ca="1">IFERROR(__xludf.DUMMYFUNCTION("""COMPUTED_VALUE"""),1)</f>
        <v>1</v>
      </c>
      <c r="M604" s="3">
        <f ca="1">IFERROR(__xludf.DUMMYFUNCTION("""COMPUTED_VALUE"""),0)</f>
        <v>0</v>
      </c>
      <c r="N604" s="3" t="str">
        <f ca="1">IFERROR(__xludf.DUMMYFUNCTION("""COMPUTED_VALUE"""),"2055-06-05T23:49:31.415288Z")</f>
        <v>2055-06-05T23:49:31.415288Z</v>
      </c>
      <c r="O604" s="3" t="str">
        <f ca="1">IFERROR(__xludf.DUMMYFUNCTION("""COMPUTED_VALUE"""),"2055-06-05T23:49:41.981148Z")</f>
        <v>2055-06-05T23:49:41.981148Z</v>
      </c>
      <c r="P604" s="3" t="str">
        <f ca="1">IFERROR(__xludf.DUMMYFUNCTION("""COMPUTED_VALUE"""),"2055-06-05T23:35:47.723604Z")</f>
        <v>2055-06-05T23:35:47.723604Z</v>
      </c>
      <c r="Q604" s="3">
        <f ca="1">IFERROR(__xludf.DUMMYFUNCTION("""COMPUTED_VALUE"""),0)</f>
        <v>0</v>
      </c>
      <c r="R604" s="3" t="str">
        <f ca="1">IFERROR(__xludf.DUMMYFUNCTION("""COMPUTED_VALUE"""),"2055-06-05T23:35:56.748268Z")</f>
        <v>2055-06-05T23:35:56.748268Z</v>
      </c>
      <c r="S604" s="3" t="str">
        <f ca="1">IFERROR(__xludf.DUMMYFUNCTION("""COMPUTED_VALUE"""),"2055-06-05T23:44:36.257857Z")</f>
        <v>2055-06-05T23:44:36.257857Z</v>
      </c>
      <c r="T604" s="3"/>
      <c r="U604" s="4">
        <f ca="1">IFERROR(__xludf.DUMMYFUNCTION("""COMPUTED_VALUE"""),56770)</f>
        <v>56770</v>
      </c>
      <c r="V604" s="3">
        <f ca="1">IFERROR(__xludf.DUMMYFUNCTION("""COMPUTED_VALUE"""),4.6)</f>
        <v>4.5999999999999996</v>
      </c>
      <c r="W604" s="3">
        <f ca="1">IFERROR(__xludf.DUMMYFUNCTION("""COMPUTED_VALUE"""),2000)</f>
        <v>2000</v>
      </c>
      <c r="X604" s="3">
        <f ca="1">IFERROR(__xludf.DUMMYFUNCTION("""COMPUTED_VALUE"""),825)</f>
        <v>825</v>
      </c>
      <c r="Y604" s="3">
        <f ca="1">IFERROR(__xludf.DUMMYFUNCTION("""COMPUTED_VALUE"""),520)</f>
        <v>520</v>
      </c>
      <c r="Z604" s="3">
        <f ca="1">IFERROR(__xludf.DUMMYFUNCTION("""COMPUTED_VALUE"""),295)</f>
        <v>295</v>
      </c>
      <c r="AA604" s="3">
        <f ca="1">IFERROR(__xludf.DUMMYFUNCTION("""COMPUTED_VALUE"""),10)</f>
        <v>10</v>
      </c>
      <c r="AB604" s="3">
        <f ca="1">IFERROR(__xludf.DUMMYFUNCTION("""COMPUTED_VALUE"""),0)</f>
        <v>0</v>
      </c>
      <c r="AC604" s="3">
        <f ca="1">IFERROR(__xludf.DUMMYFUNCTION("""COMPUTED_VALUE"""),1)</f>
        <v>1</v>
      </c>
      <c r="AD604" s="3" t="str">
        <f ca="1">IFERROR(__xludf.DUMMYFUNCTION("""COMPUTED_VALUE"""),"late")</f>
        <v>late</v>
      </c>
      <c r="AE604" s="3" t="str">
        <f ca="1">IFERROR(__xludf.DUMMYFUNCTION("""COMPUTED_VALUE"""),"2055-06-05T19:49:31.415288Z")</f>
        <v>2055-06-05T19:49:31.415288Z</v>
      </c>
      <c r="AF604" s="3" t="str">
        <f ca="1">IFERROR(__xludf.DUMMYFUNCTION("""COMPUTED_VALUE"""),"2055-06-05T19:49:41.981148Z")</f>
        <v>2055-06-05T19:49:41.981148Z</v>
      </c>
      <c r="AG604" s="3" t="str">
        <f ca="1">IFERROR(__xludf.DUMMYFUNCTION("""COMPUTED_VALUE"""),"2055-06-05T19:35:47.723604Z")</f>
        <v>2055-06-05T19:35:47.723604Z</v>
      </c>
      <c r="AH604" s="3" t="str">
        <f ca="1">IFERROR(__xludf.DUMMYFUNCTION("""COMPUTED_VALUE"""),"2055-06-05T19:44:36.257857Z")</f>
        <v>2055-06-05T19:44:36.257857Z</v>
      </c>
      <c r="AI604" s="3">
        <f ca="1">IFERROR(__xludf.DUMMYFUNCTION("""COMPUTED_VALUE"""),4.62)</f>
        <v>4.62</v>
      </c>
      <c r="AJ604" s="3">
        <f ca="1">IFERROR(__xludf.DUMMYFUNCTION("""COMPUTED_VALUE"""),259)</f>
        <v>259</v>
      </c>
      <c r="AK604" s="3">
        <f ca="1">IFERROR(__xludf.DUMMYFUNCTION("""COMPUTED_VALUE"""),604)</f>
        <v>604</v>
      </c>
      <c r="AL604" s="3">
        <f ca="1">IFERROR(__xludf.DUMMYFUNCTION("""COMPUTED_VALUE"""),21)</f>
        <v>21</v>
      </c>
    </row>
    <row r="605" spans="1:38" ht="13">
      <c r="A605" s="3">
        <f ca="1">IFERROR(__xludf.DUMMYFUNCTION("""COMPUTED_VALUE"""),1291)</f>
        <v>1291</v>
      </c>
      <c r="B605" s="3"/>
      <c r="C605" s="3">
        <f ca="1">IFERROR(__xludf.DUMMYFUNCTION("""COMPUTED_VALUE"""),4001)</f>
        <v>4001</v>
      </c>
      <c r="D605" s="3" t="str">
        <f ca="1">IFERROR(__xludf.DUMMYFUNCTION("""COMPUTED_VALUE"""),"Dashattan")</f>
        <v>Dashattan</v>
      </c>
      <c r="E605" s="3" t="str">
        <f ca="1">IFERROR(__xludf.DUMMYFUNCTION("""COMPUTED_VALUE"""),"Galaxy A")</f>
        <v>Galaxy A</v>
      </c>
      <c r="F605" s="3" t="str">
        <f ca="1">IFERROR(__xludf.DUMMYFUNCTION("""COMPUTED_VALUE"""),"J")</f>
        <v>J</v>
      </c>
      <c r="G605" s="3">
        <f ca="1">IFERROR(__xludf.DUMMYFUNCTION("""COMPUTED_VALUE"""),0)</f>
        <v>0</v>
      </c>
      <c r="H605" s="3" t="str">
        <f ca="1">IFERROR(__xludf.DUMMYFUNCTION("""COMPUTED_VALUE"""),"bicycle")</f>
        <v>bicycle</v>
      </c>
      <c r="I605" s="3" t="str">
        <f ca="1">IFERROR(__xludf.DUMMYFUNCTION("""COMPUTED_VALUE"""),"2055-06-11T19:57:15.950491Z")</f>
        <v>2055-06-11T19:57:15.950491Z</v>
      </c>
      <c r="J605" s="3" t="str">
        <f ca="1">IFERROR(__xludf.DUMMYFUNCTION("""COMPUTED_VALUE"""),"2055-06-11T21:11:10.131Z")</f>
        <v>2055-06-11T21:11:10.131Z</v>
      </c>
      <c r="K605" s="3" t="str">
        <f ca="1">IFERROR(__xludf.DUMMYFUNCTION("""COMPUTED_VALUE"""),"2055-06-11T20:51:03.131Z")</f>
        <v>2055-06-11T20:51:03.131Z</v>
      </c>
      <c r="L605" s="3">
        <f ca="1">IFERROR(__xludf.DUMMYFUNCTION("""COMPUTED_VALUE"""),1)</f>
        <v>1</v>
      </c>
      <c r="M605" s="3">
        <f ca="1">IFERROR(__xludf.DUMMYFUNCTION("""COMPUTED_VALUE"""),0)</f>
        <v>0</v>
      </c>
      <c r="N605" s="3" t="str">
        <f ca="1">IFERROR(__xludf.DUMMYFUNCTION("""COMPUTED_VALUE"""),"2055-06-11T21:11:44.95898Z")</f>
        <v>2055-06-11T21:11:44.95898Z</v>
      </c>
      <c r="O605" s="3" t="str">
        <f ca="1">IFERROR(__xludf.DUMMYFUNCTION("""COMPUTED_VALUE"""),"2055-06-11T21:11:52.562735Z")</f>
        <v>2055-06-11T21:11:52.562735Z</v>
      </c>
      <c r="P605" s="3" t="str">
        <f ca="1">IFERROR(__xludf.DUMMYFUNCTION("""COMPUTED_VALUE"""),"2055-06-11T20:10:34.194143Z")</f>
        <v>2055-06-11T20:10:34.194143Z</v>
      </c>
      <c r="Q605" s="3">
        <f ca="1">IFERROR(__xludf.DUMMYFUNCTION("""COMPUTED_VALUE"""),0)</f>
        <v>0</v>
      </c>
      <c r="R605" s="3" t="str">
        <f ca="1">IFERROR(__xludf.DUMMYFUNCTION("""COMPUTED_VALUE"""),"2055-06-11T20:10:38.590407Z")</f>
        <v>2055-06-11T20:10:38.590407Z</v>
      </c>
      <c r="S605" s="3" t="str">
        <f ca="1">IFERROR(__xludf.DUMMYFUNCTION("""COMPUTED_VALUE"""),"2055-06-11T20:29:30.253414Z")</f>
        <v>2055-06-11T20:29:30.253414Z</v>
      </c>
      <c r="T605" s="3"/>
      <c r="U605" s="4">
        <f ca="1">IFERROR(__xludf.DUMMYFUNCTION("""COMPUTED_VALUE"""),56776)</f>
        <v>56776</v>
      </c>
      <c r="V605" s="3">
        <f ca="1">IFERROR(__xludf.DUMMYFUNCTION("""COMPUTED_VALUE"""),4.3)</f>
        <v>4.3</v>
      </c>
      <c r="W605" s="3">
        <f ca="1">IFERROR(__xludf.DUMMYFUNCTION("""COMPUTED_VALUE"""),2000)</f>
        <v>2000</v>
      </c>
      <c r="X605" s="3">
        <f ca="1">IFERROR(__xludf.DUMMYFUNCTION("""COMPUTED_VALUE"""),3674)</f>
        <v>3674</v>
      </c>
      <c r="Y605" s="3">
        <f ca="1">IFERROR(__xludf.DUMMYFUNCTION("""COMPUTED_VALUE"""),1132)</f>
        <v>1132</v>
      </c>
      <c r="Z605" s="3">
        <f ca="1">IFERROR(__xludf.DUMMYFUNCTION("""COMPUTED_VALUE"""),2534)</f>
        <v>2534</v>
      </c>
      <c r="AA605" s="3">
        <f ca="1">IFERROR(__xludf.DUMMYFUNCTION("""COMPUTED_VALUE"""),8)</f>
        <v>8</v>
      </c>
      <c r="AB605" s="3">
        <f ca="1">IFERROR(__xludf.DUMMYFUNCTION("""COMPUTED_VALUE"""),0)</f>
        <v>0</v>
      </c>
      <c r="AC605" s="3">
        <f ca="1">IFERROR(__xludf.DUMMYFUNCTION("""COMPUTED_VALUE"""),2)</f>
        <v>2</v>
      </c>
      <c r="AD605" s="3" t="str">
        <f ca="1">IFERROR(__xludf.DUMMYFUNCTION("""COMPUTED_VALUE"""),"early")</f>
        <v>early</v>
      </c>
      <c r="AE605" s="3" t="str">
        <f ca="1">IFERROR(__xludf.DUMMYFUNCTION("""COMPUTED_VALUE"""),"2055-06-11T17:11:44.95898Z")</f>
        <v>2055-06-11T17:11:44.95898Z</v>
      </c>
      <c r="AF605" s="3" t="str">
        <f ca="1">IFERROR(__xludf.DUMMYFUNCTION("""COMPUTED_VALUE"""),"2055-06-11T17:11:52.562735Z")</f>
        <v>2055-06-11T17:11:52.562735Z</v>
      </c>
      <c r="AG605" s="3" t="str">
        <f ca="1">IFERROR(__xludf.DUMMYFUNCTION("""COMPUTED_VALUE"""),"2055-06-11T16:10:34.194143Z")</f>
        <v>2055-06-11T16:10:34.194143Z</v>
      </c>
      <c r="AH605" s="3" t="str">
        <f ca="1">IFERROR(__xludf.DUMMYFUNCTION("""COMPUTED_VALUE"""),"2055-06-11T16:29:30.253414Z")</f>
        <v>2055-06-11T16:29:30.253414Z</v>
      </c>
      <c r="AI605" s="3">
        <f ca="1">IFERROR(__xludf.DUMMYFUNCTION("""COMPUTED_VALUE"""),4.6)</f>
        <v>4.5999999999999996</v>
      </c>
      <c r="AJ605" s="3">
        <f ca="1">IFERROR(__xludf.DUMMYFUNCTION("""COMPUTED_VALUE"""),292)</f>
        <v>292</v>
      </c>
      <c r="AK605" s="3">
        <f ca="1">IFERROR(__xludf.DUMMYFUNCTION("""COMPUTED_VALUE"""),1027)</f>
        <v>1027</v>
      </c>
      <c r="AL605" s="3">
        <f ca="1">IFERROR(__xludf.DUMMYFUNCTION("""COMPUTED_VALUE"""),26)</f>
        <v>26</v>
      </c>
    </row>
    <row r="606" spans="1:38" ht="13">
      <c r="A606" s="3">
        <f ca="1">IFERROR(__xludf.DUMMYFUNCTION("""COMPUTED_VALUE"""),26)</f>
        <v>26</v>
      </c>
      <c r="B606" s="3"/>
      <c r="C606" s="3">
        <f ca="1">IFERROR(__xludf.DUMMYFUNCTION("""COMPUTED_VALUE"""),4050)</f>
        <v>4050</v>
      </c>
      <c r="D606" s="3" t="str">
        <f ca="1">IFERROR(__xludf.DUMMYFUNCTION("""COMPUTED_VALUE"""),"Doorlanta")</f>
        <v>Doorlanta</v>
      </c>
      <c r="E606" s="3" t="str">
        <f ca="1">IFERROR(__xludf.DUMMYFUNCTION("""COMPUTED_VALUE"""),"Galaxy A")</f>
        <v>Galaxy A</v>
      </c>
      <c r="F606" s="3" t="str">
        <f ca="1">IFERROR(__xludf.DUMMYFUNCTION("""COMPUTED_VALUE"""),"Sal")</f>
        <v>Sal</v>
      </c>
      <c r="G606" s="3">
        <f ca="1">IFERROR(__xludf.DUMMYFUNCTION("""COMPUTED_VALUE"""),0)</f>
        <v>0</v>
      </c>
      <c r="H606" s="3" t="str">
        <f ca="1">IFERROR(__xludf.DUMMYFUNCTION("""COMPUTED_VALUE"""),"car")</f>
        <v>car</v>
      </c>
      <c r="I606" s="3" t="str">
        <f ca="1">IFERROR(__xludf.DUMMYFUNCTION("""COMPUTED_VALUE"""),"2055-06-01T17:45:09.810607Z")</f>
        <v>2055-06-01T17:45:09.810607Z</v>
      </c>
      <c r="J606" s="3" t="str">
        <f ca="1">IFERROR(__xludf.DUMMYFUNCTION("""COMPUTED_VALUE"""),"2055-06-01T19:11:47.876Z")</f>
        <v>2055-06-01T19:11:47.876Z</v>
      </c>
      <c r="K606" s="3" t="str">
        <f ca="1">IFERROR(__xludf.DUMMYFUNCTION("""COMPUTED_VALUE"""),"2055-06-01T18:43:34.876Z")</f>
        <v>2055-06-01T18:43:34.876Z</v>
      </c>
      <c r="L606" s="3">
        <f ca="1">IFERROR(__xludf.DUMMYFUNCTION("""COMPUTED_VALUE"""),1)</f>
        <v>1</v>
      </c>
      <c r="M606" s="3">
        <f ca="1">IFERROR(__xludf.DUMMYFUNCTION("""COMPUTED_VALUE"""),0)</f>
        <v>0</v>
      </c>
      <c r="N606" s="3" t="str">
        <f ca="1">IFERROR(__xludf.DUMMYFUNCTION("""COMPUTED_VALUE"""),"2055-06-01T18:33:01.073587Z")</f>
        <v>2055-06-01T18:33:01.073587Z</v>
      </c>
      <c r="O606" s="3" t="str">
        <f ca="1">IFERROR(__xludf.DUMMYFUNCTION("""COMPUTED_VALUE"""),"2055-06-01T18:46:42.327509Z")</f>
        <v>2055-06-01T18:46:42.327509Z</v>
      </c>
      <c r="P606" s="3" t="str">
        <f ca="1">IFERROR(__xludf.DUMMYFUNCTION("""COMPUTED_VALUE"""),"2055-06-01T18:04:07.2566Z")</f>
        <v>2055-06-01T18:04:07.2566Z</v>
      </c>
      <c r="Q606" s="3">
        <f ca="1">IFERROR(__xludf.DUMMYFUNCTION("""COMPUTED_VALUE"""),0)</f>
        <v>0</v>
      </c>
      <c r="R606" s="3" t="str">
        <f ca="1">IFERROR(__xludf.DUMMYFUNCTION("""COMPUTED_VALUE"""),"2055-06-01T18:04:17.744029Z")</f>
        <v>2055-06-01T18:04:17.744029Z</v>
      </c>
      <c r="S606" s="3" t="str">
        <f ca="1">IFERROR(__xludf.DUMMYFUNCTION("""COMPUTED_VALUE"""),"2055-06-01T18:30:51.258315Z")</f>
        <v>2055-06-01T18:30:51.258315Z</v>
      </c>
      <c r="T606" s="3"/>
      <c r="U606" s="4">
        <f ca="1">IFERROR(__xludf.DUMMYFUNCTION("""COMPUTED_VALUE"""),56766)</f>
        <v>56766</v>
      </c>
      <c r="V606" s="3">
        <f ca="1">IFERROR(__xludf.DUMMYFUNCTION("""COMPUTED_VALUE"""),4.6)</f>
        <v>4.5999999999999996</v>
      </c>
      <c r="W606" s="3">
        <f ca="1">IFERROR(__xludf.DUMMYFUNCTION("""COMPUTED_VALUE"""),2000)</f>
        <v>2000</v>
      </c>
      <c r="X606" s="3">
        <f ca="1">IFERROR(__xludf.DUMMYFUNCTION("""COMPUTED_VALUE"""),2545)</f>
        <v>2545</v>
      </c>
      <c r="Y606" s="3">
        <f ca="1">IFERROR(__xludf.DUMMYFUNCTION("""COMPUTED_VALUE"""),1594)</f>
        <v>1594</v>
      </c>
      <c r="Z606" s="3">
        <f ca="1">IFERROR(__xludf.DUMMYFUNCTION("""COMPUTED_VALUE"""),130)</f>
        <v>130</v>
      </c>
      <c r="AA606" s="3">
        <f ca="1">IFERROR(__xludf.DUMMYFUNCTION("""COMPUTED_VALUE"""),821)</f>
        <v>821</v>
      </c>
      <c r="AB606" s="3">
        <f ca="1">IFERROR(__xludf.DUMMYFUNCTION("""COMPUTED_VALUE"""),0)</f>
        <v>0</v>
      </c>
      <c r="AC606" s="3">
        <f ca="1">IFERROR(__xludf.DUMMYFUNCTION("""COMPUTED_VALUE"""),4)</f>
        <v>4</v>
      </c>
      <c r="AD606" s="3" t="str">
        <f ca="1">IFERROR(__xludf.DUMMYFUNCTION("""COMPUTED_VALUE"""),"late")</f>
        <v>late</v>
      </c>
      <c r="AE606" s="3" t="str">
        <f ca="1">IFERROR(__xludf.DUMMYFUNCTION("""COMPUTED_VALUE"""),"2055-06-01T14:33:01.073587Z")</f>
        <v>2055-06-01T14:33:01.073587Z</v>
      </c>
      <c r="AF606" s="3" t="str">
        <f ca="1">IFERROR(__xludf.DUMMYFUNCTION("""COMPUTED_VALUE"""),"2055-06-01T14:46:42.327509Z")</f>
        <v>2055-06-01T14:46:42.327509Z</v>
      </c>
      <c r="AG606" s="3" t="str">
        <f ca="1">IFERROR(__xludf.DUMMYFUNCTION("""COMPUTED_VALUE"""),"2055-06-01T14:04:07.2566Z")</f>
        <v>2055-06-01T14:04:07.2566Z</v>
      </c>
      <c r="AH606" s="3" t="str">
        <f ca="1">IFERROR(__xludf.DUMMYFUNCTION("""COMPUTED_VALUE"""),"2055-06-01T14:30:51.258315Z")</f>
        <v>2055-06-01T14:30:51.258315Z</v>
      </c>
      <c r="AI606" s="3">
        <f ca="1">IFERROR(__xludf.DUMMYFUNCTION("""COMPUTED_VALUE"""),4.46)</f>
        <v>4.46</v>
      </c>
      <c r="AJ606" s="3">
        <f ca="1">IFERROR(__xludf.DUMMYFUNCTION("""COMPUTED_VALUE"""),349)</f>
        <v>349</v>
      </c>
      <c r="AK606" s="3">
        <f ca="1">IFERROR(__xludf.DUMMYFUNCTION("""COMPUTED_VALUE"""),779)</f>
        <v>779</v>
      </c>
      <c r="AL606" s="3"/>
    </row>
    <row r="607" spans="1:38" ht="13">
      <c r="A607" s="3">
        <f ca="1">IFERROR(__xludf.DUMMYFUNCTION("""COMPUTED_VALUE"""),1334)</f>
        <v>1334</v>
      </c>
      <c r="B607" s="3">
        <f ca="1">IFERROR(__xludf.DUMMYFUNCTION("""COMPUTED_VALUE"""),5)</f>
        <v>5</v>
      </c>
      <c r="C607" s="3">
        <f ca="1">IFERROR(__xludf.DUMMYFUNCTION("""COMPUTED_VALUE"""),4001)</f>
        <v>4001</v>
      </c>
      <c r="D607" s="3" t="str">
        <f ca="1">IFERROR(__xludf.DUMMYFUNCTION("""COMPUTED_VALUE"""),"Dashattan")</f>
        <v>Dashattan</v>
      </c>
      <c r="E607" s="3" t="str">
        <f ca="1">IFERROR(__xludf.DUMMYFUNCTION("""COMPUTED_VALUE"""),"Galaxy A")</f>
        <v>Galaxy A</v>
      </c>
      <c r="F607" s="3" t="str">
        <f ca="1">IFERROR(__xludf.DUMMYFUNCTION("""COMPUTED_VALUE"""),"Arya")</f>
        <v>Arya</v>
      </c>
      <c r="G607" s="3">
        <f ca="1">IFERROR(__xludf.DUMMYFUNCTION("""COMPUTED_VALUE"""),0)</f>
        <v>0</v>
      </c>
      <c r="H607" s="3" t="str">
        <f ca="1">IFERROR(__xludf.DUMMYFUNCTION("""COMPUTED_VALUE"""),"bicycle")</f>
        <v>bicycle</v>
      </c>
      <c r="I607" s="3" t="str">
        <f ca="1">IFERROR(__xludf.DUMMYFUNCTION("""COMPUTED_VALUE"""),"2055-06-11T23:05:00.670874Z")</f>
        <v>2055-06-11T23:05:00.670874Z</v>
      </c>
      <c r="J607" s="3" t="str">
        <f ca="1">IFERROR(__xludf.DUMMYFUNCTION("""COMPUTED_VALUE"""),"2055-06-12T00:08:29.724Z")</f>
        <v>2055-06-12T00:08:29.724Z</v>
      </c>
      <c r="K607" s="3" t="str">
        <f ca="1">IFERROR(__xludf.DUMMYFUNCTION("""COMPUTED_VALUE"""),"2055-06-11T23:48:22.724Z")</f>
        <v>2055-06-11T23:48:22.724Z</v>
      </c>
      <c r="L607" s="3">
        <f ca="1">IFERROR(__xludf.DUMMYFUNCTION("""COMPUTED_VALUE"""),1)</f>
        <v>1</v>
      </c>
      <c r="M607" s="3">
        <f ca="1">IFERROR(__xludf.DUMMYFUNCTION("""COMPUTED_VALUE"""),0)</f>
        <v>0</v>
      </c>
      <c r="N607" s="3" t="str">
        <f ca="1">IFERROR(__xludf.DUMMYFUNCTION("""COMPUTED_VALUE"""),"2055-06-11T23:45:42.058508Z")</f>
        <v>2055-06-11T23:45:42.058508Z</v>
      </c>
      <c r="O607" s="3" t="str">
        <f ca="1">IFERROR(__xludf.DUMMYFUNCTION("""COMPUTED_VALUE"""),"2055-06-11T23:53:06.00531Z")</f>
        <v>2055-06-11T23:53:06.00531Z</v>
      </c>
      <c r="P607" s="3" t="str">
        <f ca="1">IFERROR(__xludf.DUMMYFUNCTION("""COMPUTED_VALUE"""),"2055-06-11T23:05:14.816924Z")</f>
        <v>2055-06-11T23:05:14.816924Z</v>
      </c>
      <c r="Q607" s="3">
        <f ca="1">IFERROR(__xludf.DUMMYFUNCTION("""COMPUTED_VALUE"""),0)</f>
        <v>0</v>
      </c>
      <c r="R607" s="3" t="str">
        <f ca="1">IFERROR(__xludf.DUMMYFUNCTION("""COMPUTED_VALUE"""),"2055-06-11T23:05:54.609236Z")</f>
        <v>2055-06-11T23:05:54.609236Z</v>
      </c>
      <c r="S607" s="3" t="str">
        <f ca="1">IFERROR(__xludf.DUMMYFUNCTION("""COMPUTED_VALUE"""),"2055-06-11T23:37:46.524961Z")</f>
        <v>2055-06-11T23:37:46.524961Z</v>
      </c>
      <c r="T607" s="3"/>
      <c r="U607" s="4">
        <f ca="1">IFERROR(__xludf.DUMMYFUNCTION("""COMPUTED_VALUE"""),56776)</f>
        <v>56776</v>
      </c>
      <c r="V607" s="3">
        <f ca="1">IFERROR(__xludf.DUMMYFUNCTION("""COMPUTED_VALUE"""),4.4)</f>
        <v>4.4000000000000004</v>
      </c>
      <c r="W607" s="3">
        <f ca="1">IFERROR(__xludf.DUMMYFUNCTION("""COMPUTED_VALUE"""),2000)</f>
        <v>2000</v>
      </c>
      <c r="X607" s="3">
        <f ca="1">IFERROR(__xludf.DUMMYFUNCTION("""COMPUTED_VALUE"""),2832)</f>
        <v>2832</v>
      </c>
      <c r="Y607" s="3">
        <f ca="1">IFERROR(__xludf.DUMMYFUNCTION("""COMPUTED_VALUE"""),1912)</f>
        <v>1912</v>
      </c>
      <c r="Z607" s="3">
        <f ca="1">IFERROR(__xludf.DUMMYFUNCTION("""COMPUTED_VALUE"""),476)</f>
        <v>476</v>
      </c>
      <c r="AA607" s="3">
        <f ca="1">IFERROR(__xludf.DUMMYFUNCTION("""COMPUTED_VALUE"""),444)</f>
        <v>444</v>
      </c>
      <c r="AB607" s="3">
        <f ca="1">IFERROR(__xludf.DUMMYFUNCTION("""COMPUTED_VALUE"""),0)</f>
        <v>0</v>
      </c>
      <c r="AC607" s="3">
        <f ca="1">IFERROR(__xludf.DUMMYFUNCTION("""COMPUTED_VALUE"""),4)</f>
        <v>4</v>
      </c>
      <c r="AD607" s="3"/>
      <c r="AE607" s="3" t="str">
        <f ca="1">IFERROR(__xludf.DUMMYFUNCTION("""COMPUTED_VALUE"""),"2055-06-11T19:45:42.058508Z")</f>
        <v>2055-06-11T19:45:42.058508Z</v>
      </c>
      <c r="AF607" s="3" t="str">
        <f ca="1">IFERROR(__xludf.DUMMYFUNCTION("""COMPUTED_VALUE"""),"2055-06-11T19:53:06.00531Z")</f>
        <v>2055-06-11T19:53:06.00531Z</v>
      </c>
      <c r="AG607" s="3" t="str">
        <f ca="1">IFERROR(__xludf.DUMMYFUNCTION("""COMPUTED_VALUE"""),"2055-06-11T19:05:14.816924Z")</f>
        <v>2055-06-11T19:05:14.816924Z</v>
      </c>
      <c r="AH607" s="3" t="str">
        <f ca="1">IFERROR(__xludf.DUMMYFUNCTION("""COMPUTED_VALUE"""),"2055-06-11T19:37:46.524961Z")</f>
        <v>2055-06-11T19:37:46.524961Z</v>
      </c>
      <c r="AI607" s="3">
        <f ca="1">IFERROR(__xludf.DUMMYFUNCTION("""COMPUTED_VALUE"""),4.17)</f>
        <v>4.17</v>
      </c>
      <c r="AJ607" s="3">
        <f ca="1">IFERROR(__xludf.DUMMYFUNCTION("""COMPUTED_VALUE"""),457)</f>
        <v>457</v>
      </c>
      <c r="AK607" s="3">
        <f ca="1">IFERROR(__xludf.DUMMYFUNCTION("""COMPUTED_VALUE"""),1599)</f>
        <v>1599</v>
      </c>
      <c r="AL607" s="3"/>
    </row>
    <row r="608" spans="1:38" ht="13">
      <c r="A608" s="3">
        <f ca="1">IFERROR(__xludf.DUMMYFUNCTION("""COMPUTED_VALUE"""),504)</f>
        <v>504</v>
      </c>
      <c r="B608" s="3">
        <f ca="1">IFERROR(__xludf.DUMMYFUNCTION("""COMPUTED_VALUE"""),5)</f>
        <v>5</v>
      </c>
      <c r="C608" s="3">
        <f ca="1">IFERROR(__xludf.DUMMYFUNCTION("""COMPUTED_VALUE"""),4050)</f>
        <v>4050</v>
      </c>
      <c r="D608" s="3" t="str">
        <f ca="1">IFERROR(__xludf.DUMMYFUNCTION("""COMPUTED_VALUE"""),"Doorlanta")</f>
        <v>Doorlanta</v>
      </c>
      <c r="E608" s="3" t="str">
        <f ca="1">IFERROR(__xludf.DUMMYFUNCTION("""COMPUTED_VALUE"""),"Galaxy A")</f>
        <v>Galaxy A</v>
      </c>
      <c r="F608" s="3" t="str">
        <f ca="1">IFERROR(__xludf.DUMMYFUNCTION("""COMPUTED_VALUE"""),"Abhai")</f>
        <v>Abhai</v>
      </c>
      <c r="G608" s="3">
        <f ca="1">IFERROR(__xludf.DUMMYFUNCTION("""COMPUTED_VALUE"""),0)</f>
        <v>0</v>
      </c>
      <c r="H608" s="3" t="str">
        <f ca="1">IFERROR(__xludf.DUMMYFUNCTION("""COMPUTED_VALUE"""),"car")</f>
        <v>car</v>
      </c>
      <c r="I608" s="3" t="str">
        <f ca="1">IFERROR(__xludf.DUMMYFUNCTION("""COMPUTED_VALUE"""),"2055-06-05T00:09:43.956985Z")</f>
        <v>2055-06-05T00:09:43.956985Z</v>
      </c>
      <c r="J608" s="3" t="str">
        <f ca="1">IFERROR(__xludf.DUMMYFUNCTION("""COMPUTED_VALUE"""),"2055-06-05T01:12:26.026Z")</f>
        <v>2055-06-05T01:12:26.026Z</v>
      </c>
      <c r="K608" s="3" t="str">
        <f ca="1">IFERROR(__xludf.DUMMYFUNCTION("""COMPUTED_VALUE"""),"2055-06-05T01:07:47.026Z")</f>
        <v>2055-06-05T01:07:47.026Z</v>
      </c>
      <c r="L608" s="3">
        <f ca="1">IFERROR(__xludf.DUMMYFUNCTION("""COMPUTED_VALUE"""),1)</f>
        <v>1</v>
      </c>
      <c r="M608" s="3">
        <f ca="1">IFERROR(__xludf.DUMMYFUNCTION("""COMPUTED_VALUE"""),0)</f>
        <v>0</v>
      </c>
      <c r="N608" s="3" t="str">
        <f ca="1">IFERROR(__xludf.DUMMYFUNCTION("""COMPUTED_VALUE"""),"2055-06-05T00:36:20.913655Z")</f>
        <v>2055-06-05T00:36:20.913655Z</v>
      </c>
      <c r="O608" s="3" t="str">
        <f ca="1">IFERROR(__xludf.DUMMYFUNCTION("""COMPUTED_VALUE"""),"2055-06-05T00:50:49.926122Z")</f>
        <v>2055-06-05T00:50:49.926122Z</v>
      </c>
      <c r="P608" s="3" t="str">
        <f ca="1">IFERROR(__xludf.DUMMYFUNCTION("""COMPUTED_VALUE"""),"2055-06-05T00:09:47.838414Z")</f>
        <v>2055-06-05T00:09:47.838414Z</v>
      </c>
      <c r="Q608" s="3">
        <f ca="1">IFERROR(__xludf.DUMMYFUNCTION("""COMPUTED_VALUE"""),0)</f>
        <v>0</v>
      </c>
      <c r="R608" s="3" t="str">
        <f ca="1">IFERROR(__xludf.DUMMYFUNCTION("""COMPUTED_VALUE"""),"2055-06-05T00:09:51.225238Z")</f>
        <v>2055-06-05T00:09:51.225238Z</v>
      </c>
      <c r="S608" s="3" t="str">
        <f ca="1">IFERROR(__xludf.DUMMYFUNCTION("""COMPUTED_VALUE"""),"2055-06-05T00:17:42.220066Z")</f>
        <v>2055-06-05T00:17:42.220066Z</v>
      </c>
      <c r="T608" s="3"/>
      <c r="U608" s="4">
        <f ca="1">IFERROR(__xludf.DUMMYFUNCTION("""COMPUTED_VALUE"""),56769)</f>
        <v>56769</v>
      </c>
      <c r="V608" s="3">
        <f ca="1">IFERROR(__xludf.DUMMYFUNCTION("""COMPUTED_VALUE"""),4.4)</f>
        <v>4.4000000000000004</v>
      </c>
      <c r="W608" s="3">
        <f ca="1">IFERROR(__xludf.DUMMYFUNCTION("""COMPUTED_VALUE"""),2000)</f>
        <v>2000</v>
      </c>
      <c r="X608" s="3">
        <f ca="1">IFERROR(__xludf.DUMMYFUNCTION("""COMPUTED_VALUE"""),2458)</f>
        <v>2458</v>
      </c>
      <c r="Y608" s="3">
        <f ca="1">IFERROR(__xludf.DUMMYFUNCTION("""COMPUTED_VALUE"""),471)</f>
        <v>471</v>
      </c>
      <c r="Z608" s="3">
        <f ca="1">IFERROR(__xludf.DUMMYFUNCTION("""COMPUTED_VALUE"""),1118)</f>
        <v>1118</v>
      </c>
      <c r="AA608" s="3">
        <f ca="1">IFERROR(__xludf.DUMMYFUNCTION("""COMPUTED_VALUE"""),869)</f>
        <v>869</v>
      </c>
      <c r="AB608" s="3">
        <f ca="1">IFERROR(__xludf.DUMMYFUNCTION("""COMPUTED_VALUE"""),0)</f>
        <v>0</v>
      </c>
      <c r="AC608" s="3">
        <f ca="1">IFERROR(__xludf.DUMMYFUNCTION("""COMPUTED_VALUE"""),2)</f>
        <v>2</v>
      </c>
      <c r="AD608" s="3" t="str">
        <f ca="1">IFERROR(__xludf.DUMMYFUNCTION("""COMPUTED_VALUE"""),"early")</f>
        <v>early</v>
      </c>
      <c r="AE608" s="3" t="str">
        <f ca="1">IFERROR(__xludf.DUMMYFUNCTION("""COMPUTED_VALUE"""),"2055-06-04T20:36:20.913655Z")</f>
        <v>2055-06-04T20:36:20.913655Z</v>
      </c>
      <c r="AF608" s="3" t="str">
        <f ca="1">IFERROR(__xludf.DUMMYFUNCTION("""COMPUTED_VALUE"""),"2055-06-04T20:50:49.926122Z")</f>
        <v>2055-06-04T20:50:49.926122Z</v>
      </c>
      <c r="AG608" s="3" t="str">
        <f ca="1">IFERROR(__xludf.DUMMYFUNCTION("""COMPUTED_VALUE"""),"2055-06-04T20:09:47.838414Z")</f>
        <v>2055-06-04T20:09:47.838414Z</v>
      </c>
      <c r="AH608" s="3" t="str">
        <f ca="1">IFERROR(__xludf.DUMMYFUNCTION("""COMPUTED_VALUE"""),"2055-06-04T20:17:42.220066Z")</f>
        <v>2055-06-04T20:17:42.220066Z</v>
      </c>
      <c r="AI608" s="3">
        <f ca="1">IFERROR(__xludf.DUMMYFUNCTION("""COMPUTED_VALUE"""),4.56)</f>
        <v>4.5599999999999996</v>
      </c>
      <c r="AJ608" s="3">
        <f ca="1">IFERROR(__xludf.DUMMYFUNCTION("""COMPUTED_VALUE"""),344)</f>
        <v>344</v>
      </c>
      <c r="AK608" s="3">
        <f ca="1">IFERROR(__xludf.DUMMYFUNCTION("""COMPUTED_VALUE"""),947)</f>
        <v>947</v>
      </c>
      <c r="AL608" s="3">
        <f ca="1">IFERROR(__xludf.DUMMYFUNCTION("""COMPUTED_VALUE"""),22)</f>
        <v>22</v>
      </c>
    </row>
    <row r="609" spans="1:38" ht="13">
      <c r="A609" s="3">
        <f ca="1">IFERROR(__xludf.DUMMYFUNCTION("""COMPUTED_VALUE"""),301)</f>
        <v>301</v>
      </c>
      <c r="B609" s="3"/>
      <c r="C609" s="3">
        <f ca="1">IFERROR(__xludf.DUMMYFUNCTION("""COMPUTED_VALUE"""),4050)</f>
        <v>4050</v>
      </c>
      <c r="D609" s="3" t="str">
        <f ca="1">IFERROR(__xludf.DUMMYFUNCTION("""COMPUTED_VALUE"""),"Doorlanta")</f>
        <v>Doorlanta</v>
      </c>
      <c r="E609" s="3" t="str">
        <f ca="1">IFERROR(__xludf.DUMMYFUNCTION("""COMPUTED_VALUE"""),"Galaxy A")</f>
        <v>Galaxy A</v>
      </c>
      <c r="F609" s="3" t="str">
        <f ca="1">IFERROR(__xludf.DUMMYFUNCTION("""COMPUTED_VALUE"""),"Hanna")</f>
        <v>Hanna</v>
      </c>
      <c r="G609" s="3">
        <f ca="1">IFERROR(__xludf.DUMMYFUNCTION("""COMPUTED_VALUE"""),0)</f>
        <v>0</v>
      </c>
      <c r="H609" s="3" t="str">
        <f ca="1">IFERROR(__xludf.DUMMYFUNCTION("""COMPUTED_VALUE"""),"car")</f>
        <v>car</v>
      </c>
      <c r="I609" s="3" t="str">
        <f ca="1">IFERROR(__xludf.DUMMYFUNCTION("""COMPUTED_VALUE"""),"2055-06-03T17:34:22.647281Z")</f>
        <v>2055-06-03T17:34:22.647281Z</v>
      </c>
      <c r="J609" s="3" t="str">
        <f ca="1">IFERROR(__xludf.DUMMYFUNCTION("""COMPUTED_VALUE"""),"2055-06-03T18:54:20.717Z")</f>
        <v>2055-06-03T18:54:20.717Z</v>
      </c>
      <c r="K609" s="3" t="str">
        <f ca="1">IFERROR(__xludf.DUMMYFUNCTION("""COMPUTED_VALUE"""),"2055-06-03T18:26:07.717Z")</f>
        <v>2055-06-03T18:26:07.717Z</v>
      </c>
      <c r="L609" s="3">
        <f ca="1">IFERROR(__xludf.DUMMYFUNCTION("""COMPUTED_VALUE"""),1)</f>
        <v>1</v>
      </c>
      <c r="M609" s="3">
        <f ca="1">IFERROR(__xludf.DUMMYFUNCTION("""COMPUTED_VALUE"""),0)</f>
        <v>0</v>
      </c>
      <c r="N609" s="3" t="str">
        <f ca="1">IFERROR(__xludf.DUMMYFUNCTION("""COMPUTED_VALUE"""),"2055-06-03T18:10:47.998588Z")</f>
        <v>2055-06-03T18:10:47.998588Z</v>
      </c>
      <c r="O609" s="3" t="str">
        <f ca="1">IFERROR(__xludf.DUMMYFUNCTION("""COMPUTED_VALUE"""),"2055-06-03T18:19:25.793749Z")</f>
        <v>2055-06-03T18:19:25.793749Z</v>
      </c>
      <c r="P609" s="3" t="str">
        <f ca="1">IFERROR(__xludf.DUMMYFUNCTION("""COMPUTED_VALUE"""),"2055-06-03T17:43:36.18844Z")</f>
        <v>2055-06-03T17:43:36.18844Z</v>
      </c>
      <c r="Q609" s="3">
        <f ca="1">IFERROR(__xludf.DUMMYFUNCTION("""COMPUTED_VALUE"""),1)</f>
        <v>1</v>
      </c>
      <c r="R609" s="3" t="str">
        <f ca="1">IFERROR(__xludf.DUMMYFUNCTION("""COMPUTED_VALUE"""),"2055-06-03T17:43:47.681197Z")</f>
        <v>2055-06-03T17:43:47.681197Z</v>
      </c>
      <c r="S609" s="3" t="str">
        <f ca="1">IFERROR(__xludf.DUMMYFUNCTION("""COMPUTED_VALUE"""),"2055-06-03T18:04:56.427103Z")</f>
        <v>2055-06-03T18:04:56.427103Z</v>
      </c>
      <c r="T609" s="3"/>
      <c r="U609" s="4">
        <f ca="1">IFERROR(__xludf.DUMMYFUNCTION("""COMPUTED_VALUE"""),56768)</f>
        <v>56768</v>
      </c>
      <c r="V609" s="3">
        <f ca="1">IFERROR(__xludf.DUMMYFUNCTION("""COMPUTED_VALUE"""),3.080187843)</f>
        <v>3.080187843</v>
      </c>
      <c r="W609" s="3">
        <f ca="1">IFERROR(__xludf.DUMMYFUNCTION("""COMPUTED_VALUE"""),2000)</f>
        <v>2000</v>
      </c>
      <c r="X609" s="3">
        <f ca="1">IFERROR(__xludf.DUMMYFUNCTION("""COMPUTED_VALUE"""),2138)</f>
        <v>2138</v>
      </c>
      <c r="Y609" s="3">
        <f ca="1">IFERROR(__xludf.DUMMYFUNCTION("""COMPUTED_VALUE"""),1269)</f>
        <v>1269</v>
      </c>
      <c r="Z609" s="3">
        <f ca="1">IFERROR(__xludf.DUMMYFUNCTION("""COMPUTED_VALUE"""),351)</f>
        <v>351</v>
      </c>
      <c r="AA609" s="3">
        <f ca="1">IFERROR(__xludf.DUMMYFUNCTION("""COMPUTED_VALUE"""),518)</f>
        <v>518</v>
      </c>
      <c r="AB609" s="3">
        <f ca="1">IFERROR(__xludf.DUMMYFUNCTION("""COMPUTED_VALUE"""),1)</f>
        <v>1</v>
      </c>
      <c r="AC609" s="3">
        <f ca="1">IFERROR(__xludf.DUMMYFUNCTION("""COMPUTED_VALUE"""),4)</f>
        <v>4</v>
      </c>
      <c r="AD609" s="3"/>
      <c r="AE609" s="3" t="str">
        <f ca="1">IFERROR(__xludf.DUMMYFUNCTION("""COMPUTED_VALUE"""),"2055-06-03T14:10:47.998588Z")</f>
        <v>2055-06-03T14:10:47.998588Z</v>
      </c>
      <c r="AF609" s="3" t="str">
        <f ca="1">IFERROR(__xludf.DUMMYFUNCTION("""COMPUTED_VALUE"""),"2055-06-03T14:19:25.793749Z")</f>
        <v>2055-06-03T14:19:25.793749Z</v>
      </c>
      <c r="AG609" s="3" t="str">
        <f ca="1">IFERROR(__xludf.DUMMYFUNCTION("""COMPUTED_VALUE"""),"2055-06-03T13:43:36.18844Z")</f>
        <v>2055-06-03T13:43:36.18844Z</v>
      </c>
      <c r="AH609" s="3" t="str">
        <f ca="1">IFERROR(__xludf.DUMMYFUNCTION("""COMPUTED_VALUE"""),"2055-06-03T14:04:56.427103Z")</f>
        <v>2055-06-03T14:04:56.427103Z</v>
      </c>
      <c r="AI609" s="3">
        <f ca="1">IFERROR(__xludf.DUMMYFUNCTION("""COMPUTED_VALUE"""),4.79)</f>
        <v>4.79</v>
      </c>
      <c r="AJ609" s="3">
        <f ca="1">IFERROR(__xludf.DUMMYFUNCTION("""COMPUTED_VALUE"""),1007)</f>
        <v>1007</v>
      </c>
      <c r="AK609" s="3">
        <f ca="1">IFERROR(__xludf.DUMMYFUNCTION("""COMPUTED_VALUE"""),2899)</f>
        <v>2899</v>
      </c>
      <c r="AL609" s="3">
        <f ca="1">IFERROR(__xludf.DUMMYFUNCTION("""COMPUTED_VALUE"""),1301)</f>
        <v>1301</v>
      </c>
    </row>
    <row r="610" spans="1:38" ht="13">
      <c r="A610" s="3">
        <f ca="1">IFERROR(__xludf.DUMMYFUNCTION("""COMPUTED_VALUE"""),1282)</f>
        <v>1282</v>
      </c>
      <c r="B610" s="3">
        <f ca="1">IFERROR(__xludf.DUMMYFUNCTION("""COMPUTED_VALUE"""),5)</f>
        <v>5</v>
      </c>
      <c r="C610" s="3">
        <f ca="1">IFERROR(__xludf.DUMMYFUNCTION("""COMPUTED_VALUE"""),4001)</f>
        <v>4001</v>
      </c>
      <c r="D610" s="3" t="str">
        <f ca="1">IFERROR(__xludf.DUMMYFUNCTION("""COMPUTED_VALUE"""),"Dashattan")</f>
        <v>Dashattan</v>
      </c>
      <c r="E610" s="3" t="str">
        <f ca="1">IFERROR(__xludf.DUMMYFUNCTION("""COMPUTED_VALUE"""),"Galaxy A")</f>
        <v>Galaxy A</v>
      </c>
      <c r="F610" s="3" t="str">
        <f ca="1">IFERROR(__xludf.DUMMYFUNCTION("""COMPUTED_VALUE"""),"KC")</f>
        <v>KC</v>
      </c>
      <c r="G610" s="3">
        <f ca="1">IFERROR(__xludf.DUMMYFUNCTION("""COMPUTED_VALUE"""),0)</f>
        <v>0</v>
      </c>
      <c r="H610" s="3" t="str">
        <f ca="1">IFERROR(__xludf.DUMMYFUNCTION("""COMPUTED_VALUE"""),"car")</f>
        <v>car</v>
      </c>
      <c r="I610" s="3" t="str">
        <f ca="1">IFERROR(__xludf.DUMMYFUNCTION("""COMPUTED_VALUE"""),"2055-06-11T18:58:44.804013Z")</f>
        <v>2055-06-11T18:58:44.804013Z</v>
      </c>
      <c r="J610" s="3" t="str">
        <f ca="1">IFERROR(__xludf.DUMMYFUNCTION("""COMPUTED_VALUE"""),"2055-06-11T19:56:59.859Z")</f>
        <v>2055-06-11T19:56:59.859Z</v>
      </c>
      <c r="K610" s="3" t="str">
        <f ca="1">IFERROR(__xludf.DUMMYFUNCTION("""COMPUTED_VALUE"""),"2055-06-11T19:50:05.859Z")</f>
        <v>2055-06-11T19:50:05.859Z</v>
      </c>
      <c r="L610" s="3">
        <f ca="1">IFERROR(__xludf.DUMMYFUNCTION("""COMPUTED_VALUE"""),1)</f>
        <v>1</v>
      </c>
      <c r="M610" s="3">
        <f ca="1">IFERROR(__xludf.DUMMYFUNCTION("""COMPUTED_VALUE"""),0)</f>
        <v>0</v>
      </c>
      <c r="N610" s="3" t="str">
        <f ca="1">IFERROR(__xludf.DUMMYFUNCTION("""COMPUTED_VALUE"""),"2055-06-11T19:40:27.261448Z")</f>
        <v>2055-06-11T19:40:27.261448Z</v>
      </c>
      <c r="O610" s="3" t="str">
        <f ca="1">IFERROR(__xludf.DUMMYFUNCTION("""COMPUTED_VALUE"""),"2055-06-11T19:50:41.544864Z")</f>
        <v>2055-06-11T19:50:41.544864Z</v>
      </c>
      <c r="P610" s="3" t="str">
        <f ca="1">IFERROR(__xludf.DUMMYFUNCTION("""COMPUTED_VALUE"""),"2055-06-11T19:23:14.314168Z")</f>
        <v>2055-06-11T19:23:14.314168Z</v>
      </c>
      <c r="Q610" s="3">
        <f ca="1">IFERROR(__xludf.DUMMYFUNCTION("""COMPUTED_VALUE"""),0)</f>
        <v>0</v>
      </c>
      <c r="R610" s="3" t="str">
        <f ca="1">IFERROR(__xludf.DUMMYFUNCTION("""COMPUTED_VALUE"""),"2055-06-11T19:23:34.047189Z")</f>
        <v>2055-06-11T19:23:34.047189Z</v>
      </c>
      <c r="S610" s="3" t="str">
        <f ca="1">IFERROR(__xludf.DUMMYFUNCTION("""COMPUTED_VALUE"""),"2055-06-11T19:33:27.189533Z")</f>
        <v>2055-06-11T19:33:27.189533Z</v>
      </c>
      <c r="T610" s="3"/>
      <c r="U610" s="4">
        <f ca="1">IFERROR(__xludf.DUMMYFUNCTION("""COMPUTED_VALUE"""),56776)</f>
        <v>56776</v>
      </c>
      <c r="V610" s="3">
        <f ca="1">IFERROR(__xludf.DUMMYFUNCTION("""COMPUTED_VALUE"""),3.687174243)</f>
        <v>3.6871742429999999</v>
      </c>
      <c r="W610" s="3">
        <f ca="1">IFERROR(__xludf.DUMMYFUNCTION("""COMPUTED_VALUE"""),2000)</f>
        <v>2000</v>
      </c>
      <c r="X610" s="3">
        <f ca="1">IFERROR(__xludf.DUMMYFUNCTION("""COMPUTED_VALUE"""),1627)</f>
        <v>1627</v>
      </c>
      <c r="Y610" s="3">
        <f ca="1">IFERROR(__xludf.DUMMYFUNCTION("""COMPUTED_VALUE"""),593)</f>
        <v>593</v>
      </c>
      <c r="Z610" s="3">
        <f ca="1">IFERROR(__xludf.DUMMYFUNCTION("""COMPUTED_VALUE"""),420)</f>
        <v>420</v>
      </c>
      <c r="AA610" s="3">
        <f ca="1">IFERROR(__xludf.DUMMYFUNCTION("""COMPUTED_VALUE"""),614)</f>
        <v>614</v>
      </c>
      <c r="AB610" s="3">
        <f ca="1">IFERROR(__xludf.DUMMYFUNCTION("""COMPUTED_VALUE"""),0)</f>
        <v>0</v>
      </c>
      <c r="AC610" s="3">
        <f ca="1">IFERROR(__xludf.DUMMYFUNCTION("""COMPUTED_VALUE"""),2)</f>
        <v>2</v>
      </c>
      <c r="AD610" s="3" t="str">
        <f ca="1">IFERROR(__xludf.DUMMYFUNCTION("""COMPUTED_VALUE"""),"early")</f>
        <v>early</v>
      </c>
      <c r="AE610" s="3" t="str">
        <f ca="1">IFERROR(__xludf.DUMMYFUNCTION("""COMPUTED_VALUE"""),"2055-06-11T15:40:27.261448Z")</f>
        <v>2055-06-11T15:40:27.261448Z</v>
      </c>
      <c r="AF610" s="3" t="str">
        <f ca="1">IFERROR(__xludf.DUMMYFUNCTION("""COMPUTED_VALUE"""),"2055-06-11T15:50:41.544864Z")</f>
        <v>2055-06-11T15:50:41.544864Z</v>
      </c>
      <c r="AG610" s="3" t="str">
        <f ca="1">IFERROR(__xludf.DUMMYFUNCTION("""COMPUTED_VALUE"""),"2055-06-11T15:23:14.314168Z")</f>
        <v>2055-06-11T15:23:14.314168Z</v>
      </c>
      <c r="AH610" s="3" t="str">
        <f ca="1">IFERROR(__xludf.DUMMYFUNCTION("""COMPUTED_VALUE"""),"2055-06-11T15:33:27.189533Z")</f>
        <v>2055-06-11T15:33:27.189533Z</v>
      </c>
      <c r="AI610" s="3">
        <f ca="1">IFERROR(__xludf.DUMMYFUNCTION("""COMPUTED_VALUE"""),4.54)</f>
        <v>4.54</v>
      </c>
      <c r="AJ610" s="3">
        <f ca="1">IFERROR(__xludf.DUMMYFUNCTION("""COMPUTED_VALUE"""),2229)</f>
        <v>2229</v>
      </c>
      <c r="AK610" s="3">
        <f ca="1">IFERROR(__xludf.DUMMYFUNCTION("""COMPUTED_VALUE"""),6580)</f>
        <v>6580</v>
      </c>
      <c r="AL610" s="3"/>
    </row>
    <row r="611" spans="1:38" ht="13">
      <c r="A611" s="3">
        <f ca="1">IFERROR(__xludf.DUMMYFUNCTION("""COMPUTED_VALUE"""),56)</f>
        <v>56</v>
      </c>
      <c r="B611" s="3">
        <f ca="1">IFERROR(__xludf.DUMMYFUNCTION("""COMPUTED_VALUE"""),5)</f>
        <v>5</v>
      </c>
      <c r="C611" s="3">
        <f ca="1">IFERROR(__xludf.DUMMYFUNCTION("""COMPUTED_VALUE"""),4050)</f>
        <v>4050</v>
      </c>
      <c r="D611" s="3" t="str">
        <f ca="1">IFERROR(__xludf.DUMMYFUNCTION("""COMPUTED_VALUE"""),"Doorlanta")</f>
        <v>Doorlanta</v>
      </c>
      <c r="E611" s="3" t="str">
        <f ca="1">IFERROR(__xludf.DUMMYFUNCTION("""COMPUTED_VALUE"""),"Galaxy A")</f>
        <v>Galaxy A</v>
      </c>
      <c r="F611" s="3" t="str">
        <f ca="1">IFERROR(__xludf.DUMMYFUNCTION("""COMPUTED_VALUE"""),"Andy")</f>
        <v>Andy</v>
      </c>
      <c r="G611" s="3">
        <f ca="1">IFERROR(__xludf.DUMMYFUNCTION("""COMPUTED_VALUE"""),0)</f>
        <v>0</v>
      </c>
      <c r="H611" s="3" t="str">
        <f ca="1">IFERROR(__xludf.DUMMYFUNCTION("""COMPUTED_VALUE"""),"car")</f>
        <v>car</v>
      </c>
      <c r="I611" s="3" t="str">
        <f ca="1">IFERROR(__xludf.DUMMYFUNCTION("""COMPUTED_VALUE"""),"2055-06-01T22:04:56.309398Z")</f>
        <v>2055-06-01T22:04:56.309398Z</v>
      </c>
      <c r="J611" s="3" t="str">
        <f ca="1">IFERROR(__xludf.DUMMYFUNCTION("""COMPUTED_VALUE"""),"2055-06-01T22:59:56.384Z")</f>
        <v>2055-06-01T22:59:56.384Z</v>
      </c>
      <c r="K611" s="3" t="str">
        <f ca="1">IFERROR(__xludf.DUMMYFUNCTION("""COMPUTED_VALUE"""),"2055-06-01T22:32:18.384Z")</f>
        <v>2055-06-01T22:32:18.384Z</v>
      </c>
      <c r="L611" s="3">
        <f ca="1">IFERROR(__xludf.DUMMYFUNCTION("""COMPUTED_VALUE"""),1)</f>
        <v>1</v>
      </c>
      <c r="M611" s="3">
        <f ca="1">IFERROR(__xludf.DUMMYFUNCTION("""COMPUTED_VALUE"""),0)</f>
        <v>0</v>
      </c>
      <c r="N611" s="3" t="str">
        <f ca="1">IFERROR(__xludf.DUMMYFUNCTION("""COMPUTED_VALUE"""),"2055-06-01T22:29:34.405437Z")</f>
        <v>2055-06-01T22:29:34.405437Z</v>
      </c>
      <c r="O611" s="3" t="str">
        <f ca="1">IFERROR(__xludf.DUMMYFUNCTION("""COMPUTED_VALUE"""),"2055-06-01T22:39:37.505762Z")</f>
        <v>2055-06-01T22:39:37.505762Z</v>
      </c>
      <c r="P611" s="3" t="str">
        <f ca="1">IFERROR(__xludf.DUMMYFUNCTION("""COMPUTED_VALUE"""),"2055-06-01T22:05:07.537427Z")</f>
        <v>2055-06-01T22:05:07.537427Z</v>
      </c>
      <c r="Q611" s="3">
        <f ca="1">IFERROR(__xludf.DUMMYFUNCTION("""COMPUTED_VALUE"""),0)</f>
        <v>0</v>
      </c>
      <c r="R611" s="3" t="str">
        <f ca="1">IFERROR(__xludf.DUMMYFUNCTION("""COMPUTED_VALUE"""),"2055-06-01T22:05:48.860682Z")</f>
        <v>2055-06-01T22:05:48.860682Z</v>
      </c>
      <c r="S611" s="3" t="str">
        <f ca="1">IFERROR(__xludf.DUMMYFUNCTION("""COMPUTED_VALUE"""),"2055-06-01T22:14:39.260701Z")</f>
        <v>2055-06-01T22:14:39.260701Z</v>
      </c>
      <c r="T611" s="3"/>
      <c r="U611" s="4">
        <f ca="1">IFERROR(__xludf.DUMMYFUNCTION("""COMPUTED_VALUE"""),56766)</f>
        <v>56766</v>
      </c>
      <c r="V611" s="3">
        <f ca="1">IFERROR(__xludf.DUMMYFUNCTION("""COMPUTED_VALUE"""),4.7)</f>
        <v>4.7</v>
      </c>
      <c r="W611" s="3">
        <f ca="1">IFERROR(__xludf.DUMMYFUNCTION("""COMPUTED_VALUE"""),2000)</f>
        <v>2000</v>
      </c>
      <c r="X611" s="3">
        <f ca="1">IFERROR(__xludf.DUMMYFUNCTION("""COMPUTED_VALUE"""),2029)</f>
        <v>2029</v>
      </c>
      <c r="Y611" s="3">
        <f ca="1">IFERROR(__xludf.DUMMYFUNCTION("""COMPUTED_VALUE"""),531)</f>
        <v>531</v>
      </c>
      <c r="Z611" s="3">
        <f ca="1">IFERROR(__xludf.DUMMYFUNCTION("""COMPUTED_VALUE"""),895)</f>
        <v>895</v>
      </c>
      <c r="AA611" s="3">
        <f ca="1">IFERROR(__xludf.DUMMYFUNCTION("""COMPUTED_VALUE"""),603)</f>
        <v>603</v>
      </c>
      <c r="AB611" s="3">
        <f ca="1">IFERROR(__xludf.DUMMYFUNCTION("""COMPUTED_VALUE"""),0)</f>
        <v>0</v>
      </c>
      <c r="AC611" s="3">
        <f ca="1">IFERROR(__xludf.DUMMYFUNCTION("""COMPUTED_VALUE"""),2)</f>
        <v>2</v>
      </c>
      <c r="AD611" s="3" t="str">
        <f ca="1">IFERROR(__xludf.DUMMYFUNCTION("""COMPUTED_VALUE"""),"on time")</f>
        <v>on time</v>
      </c>
      <c r="AE611" s="3" t="str">
        <f ca="1">IFERROR(__xludf.DUMMYFUNCTION("""COMPUTED_VALUE"""),"2055-06-01T18:29:34.405437Z")</f>
        <v>2055-06-01T18:29:34.405437Z</v>
      </c>
      <c r="AF611" s="3" t="str">
        <f ca="1">IFERROR(__xludf.DUMMYFUNCTION("""COMPUTED_VALUE"""),"2055-06-01T18:39:37.505762Z")</f>
        <v>2055-06-01T18:39:37.505762Z</v>
      </c>
      <c r="AG611" s="3" t="str">
        <f ca="1">IFERROR(__xludf.DUMMYFUNCTION("""COMPUTED_VALUE"""),"2055-06-01T18:05:07.537427Z")</f>
        <v>2055-06-01T18:05:07.537427Z</v>
      </c>
      <c r="AH611" s="3" t="str">
        <f ca="1">IFERROR(__xludf.DUMMYFUNCTION("""COMPUTED_VALUE"""),"2055-06-01T18:14:39.260701Z")</f>
        <v>2055-06-01T18:14:39.260701Z</v>
      </c>
      <c r="AI611" s="3">
        <f ca="1">IFERROR(__xludf.DUMMYFUNCTION("""COMPUTED_VALUE"""),4.5)</f>
        <v>4.5</v>
      </c>
      <c r="AJ611" s="3">
        <f ca="1">IFERROR(__xludf.DUMMYFUNCTION("""COMPUTED_VALUE"""),55)</f>
        <v>55</v>
      </c>
      <c r="AK611" s="3">
        <f ca="1">IFERROR(__xludf.DUMMYFUNCTION("""COMPUTED_VALUE"""),211)</f>
        <v>211</v>
      </c>
      <c r="AL611" s="3">
        <f ca="1">IFERROR(__xludf.DUMMYFUNCTION("""COMPUTED_VALUE"""),6)</f>
        <v>6</v>
      </c>
    </row>
    <row r="612" spans="1:38" ht="13">
      <c r="A612" s="3">
        <f ca="1">IFERROR(__xludf.DUMMYFUNCTION("""COMPUTED_VALUE"""),118)</f>
        <v>118</v>
      </c>
      <c r="B612" s="3"/>
      <c r="C612" s="3">
        <f ca="1">IFERROR(__xludf.DUMMYFUNCTION("""COMPUTED_VALUE"""),4050)</f>
        <v>4050</v>
      </c>
      <c r="D612" s="3" t="str">
        <f ca="1">IFERROR(__xludf.DUMMYFUNCTION("""COMPUTED_VALUE"""),"Doorlanta")</f>
        <v>Doorlanta</v>
      </c>
      <c r="E612" s="3" t="str">
        <f ca="1">IFERROR(__xludf.DUMMYFUNCTION("""COMPUTED_VALUE"""),"Galaxy A")</f>
        <v>Galaxy A</v>
      </c>
      <c r="F612" s="3" t="str">
        <f ca="1">IFERROR(__xludf.DUMMYFUNCTION("""COMPUTED_VALUE"""),"Matthew")</f>
        <v>Matthew</v>
      </c>
      <c r="G612" s="3">
        <f ca="1">IFERROR(__xludf.DUMMYFUNCTION("""COMPUTED_VALUE"""),1)</f>
        <v>1</v>
      </c>
      <c r="H612" s="3" t="str">
        <f ca="1">IFERROR(__xludf.DUMMYFUNCTION("""COMPUTED_VALUE"""),"car")</f>
        <v>car</v>
      </c>
      <c r="I612" s="3" t="str">
        <f ca="1">IFERROR(__xludf.DUMMYFUNCTION("""COMPUTED_VALUE"""),"2055-06-02T15:11:58.281893Z")</f>
        <v>2055-06-02T15:11:58.281893Z</v>
      </c>
      <c r="J612" s="3" t="str">
        <f ca="1">IFERROR(__xludf.DUMMYFUNCTION("""COMPUTED_VALUE"""),"2055-06-02T16:06:58.391Z")</f>
        <v>2055-06-02T16:06:58.391Z</v>
      </c>
      <c r="K612" s="3" t="str">
        <f ca="1">IFERROR(__xludf.DUMMYFUNCTION("""COMPUTED_VALUE"""),"2055-06-02T15:42:27.391Z")</f>
        <v>2055-06-02T15:42:27.391Z</v>
      </c>
      <c r="L612" s="3">
        <f ca="1">IFERROR(__xludf.DUMMYFUNCTION("""COMPUTED_VALUE"""),1)</f>
        <v>1</v>
      </c>
      <c r="M612" s="3">
        <f ca="1">IFERROR(__xludf.DUMMYFUNCTION("""COMPUTED_VALUE"""),0)</f>
        <v>0</v>
      </c>
      <c r="N612" s="3" t="str">
        <f ca="1">IFERROR(__xludf.DUMMYFUNCTION("""COMPUTED_VALUE"""),"2055-06-02T15:39:27.224568Z")</f>
        <v>2055-06-02T15:39:27.224568Z</v>
      </c>
      <c r="O612" s="3" t="str">
        <f ca="1">IFERROR(__xludf.DUMMYFUNCTION("""COMPUTED_VALUE"""),"2055-06-02T16:12:42.717772Z")</f>
        <v>2055-06-02T16:12:42.717772Z</v>
      </c>
      <c r="P612" s="3" t="str">
        <f ca="1">IFERROR(__xludf.DUMMYFUNCTION("""COMPUTED_VALUE"""),"2055-06-02T15:12:07.241588Z")</f>
        <v>2055-06-02T15:12:07.241588Z</v>
      </c>
      <c r="Q612" s="3">
        <f ca="1">IFERROR(__xludf.DUMMYFUNCTION("""COMPUTED_VALUE"""),0)</f>
        <v>0</v>
      </c>
      <c r="R612" s="3" t="str">
        <f ca="1">IFERROR(__xludf.DUMMYFUNCTION("""COMPUTED_VALUE"""),"2055-06-02T15:12:36.755982Z")</f>
        <v>2055-06-02T15:12:36.755982Z</v>
      </c>
      <c r="S612" s="3" t="str">
        <f ca="1">IFERROR(__xludf.DUMMYFUNCTION("""COMPUTED_VALUE"""),"2055-06-02T15:15:29.640941Z")</f>
        <v>2055-06-02T15:15:29.640941Z</v>
      </c>
      <c r="T612" s="3"/>
      <c r="U612" s="4">
        <f ca="1">IFERROR(__xludf.DUMMYFUNCTION("""COMPUTED_VALUE"""),56767)</f>
        <v>56767</v>
      </c>
      <c r="V612" s="3">
        <f ca="1">IFERROR(__xludf.DUMMYFUNCTION("""COMPUTED_VALUE"""),4.1)</f>
        <v>4.0999999999999996</v>
      </c>
      <c r="W612" s="3">
        <f ca="1">IFERROR(__xludf.DUMMYFUNCTION("""COMPUTED_VALUE"""),2000)</f>
        <v>2000</v>
      </c>
      <c r="X612" s="3">
        <f ca="1">IFERROR(__xludf.DUMMYFUNCTION("""COMPUTED_VALUE"""),3606)</f>
        <v>3606</v>
      </c>
      <c r="Y612" s="3">
        <f ca="1">IFERROR(__xludf.DUMMYFUNCTION("""COMPUTED_VALUE"""),173)</f>
        <v>173</v>
      </c>
      <c r="Z612" s="3">
        <f ca="1">IFERROR(__xludf.DUMMYFUNCTION("""COMPUTED_VALUE"""),1438)</f>
        <v>1438</v>
      </c>
      <c r="AA612" s="3">
        <f ca="1">IFERROR(__xludf.DUMMYFUNCTION("""COMPUTED_VALUE"""),1995)</f>
        <v>1995</v>
      </c>
      <c r="AB612" s="3">
        <f ca="1">IFERROR(__xludf.DUMMYFUNCTION("""COMPUTED_VALUE"""),0)</f>
        <v>0</v>
      </c>
      <c r="AC612" s="3">
        <f ca="1">IFERROR(__xludf.DUMMYFUNCTION("""COMPUTED_VALUE"""),2)</f>
        <v>2</v>
      </c>
      <c r="AD612" s="3" t="str">
        <f ca="1">IFERROR(__xludf.DUMMYFUNCTION("""COMPUTED_VALUE"""),"early")</f>
        <v>early</v>
      </c>
      <c r="AE612" s="3" t="str">
        <f ca="1">IFERROR(__xludf.DUMMYFUNCTION("""COMPUTED_VALUE"""),"2055-06-02T11:39:27.224568Z")</f>
        <v>2055-06-02T11:39:27.224568Z</v>
      </c>
      <c r="AF612" s="3" t="str">
        <f ca="1">IFERROR(__xludf.DUMMYFUNCTION("""COMPUTED_VALUE"""),"2055-06-02T12:12:42.717772Z")</f>
        <v>2055-06-02T12:12:42.717772Z</v>
      </c>
      <c r="AG612" s="3" t="str">
        <f ca="1">IFERROR(__xludf.DUMMYFUNCTION("""COMPUTED_VALUE"""),"2055-06-02T11:12:07.241588Z")</f>
        <v>2055-06-02T11:12:07.241588Z</v>
      </c>
      <c r="AH612" s="3" t="str">
        <f ca="1">IFERROR(__xludf.DUMMYFUNCTION("""COMPUTED_VALUE"""),"2055-06-02T11:15:29.640941Z")</f>
        <v>2055-06-02T11:15:29.640941Z</v>
      </c>
      <c r="AI612" s="3">
        <f ca="1">IFERROR(__xludf.DUMMYFUNCTION("""COMPUTED_VALUE"""),4.411111111)</f>
        <v>4.4111111110000003</v>
      </c>
      <c r="AJ612" s="3">
        <f ca="1">IFERROR(__xludf.DUMMYFUNCTION("""COMPUTED_VALUE"""),68)</f>
        <v>68</v>
      </c>
      <c r="AK612" s="3">
        <f ca="1">IFERROR(__xludf.DUMMYFUNCTION("""COMPUTED_VALUE"""),223)</f>
        <v>223</v>
      </c>
      <c r="AL612" s="3">
        <f ca="1">IFERROR(__xludf.DUMMYFUNCTION("""COMPUTED_VALUE"""),118)</f>
        <v>118</v>
      </c>
    </row>
    <row r="613" spans="1:38" ht="13">
      <c r="A613" s="3">
        <f ca="1">IFERROR(__xludf.DUMMYFUNCTION("""COMPUTED_VALUE"""),397)</f>
        <v>397</v>
      </c>
      <c r="B613" s="3">
        <f ca="1">IFERROR(__xludf.DUMMYFUNCTION("""COMPUTED_VALUE"""),5)</f>
        <v>5</v>
      </c>
      <c r="C613" s="3">
        <f ca="1">IFERROR(__xludf.DUMMYFUNCTION("""COMPUTED_VALUE"""),4001)</f>
        <v>4001</v>
      </c>
      <c r="D613" s="3" t="str">
        <f ca="1">IFERROR(__xludf.DUMMYFUNCTION("""COMPUTED_VALUE"""),"Dashattan")</f>
        <v>Dashattan</v>
      </c>
      <c r="E613" s="3" t="str">
        <f ca="1">IFERROR(__xludf.DUMMYFUNCTION("""COMPUTED_VALUE"""),"Galaxy A")</f>
        <v>Galaxy A</v>
      </c>
      <c r="F613" s="3" t="str">
        <f ca="1">IFERROR(__xludf.DUMMYFUNCTION("""COMPUTED_VALUE"""),"Samm")</f>
        <v>Samm</v>
      </c>
      <c r="G613" s="3">
        <f ca="1">IFERROR(__xludf.DUMMYFUNCTION("""COMPUTED_VALUE"""),0)</f>
        <v>0</v>
      </c>
      <c r="H613" s="3" t="str">
        <f ca="1">IFERROR(__xludf.DUMMYFUNCTION("""COMPUTED_VALUE"""),"car")</f>
        <v>car</v>
      </c>
      <c r="I613" s="3" t="str">
        <f ca="1">IFERROR(__xludf.DUMMYFUNCTION("""COMPUTED_VALUE"""),"2055-06-04T13:02:26.698354Z")</f>
        <v>2055-06-04T13:02:26.698354Z</v>
      </c>
      <c r="J613" s="3" t="str">
        <f ca="1">IFERROR(__xludf.DUMMYFUNCTION("""COMPUTED_VALUE"""),"2055-06-04T13:50:04.981Z")</f>
        <v>2055-06-04T13:50:04.981Z</v>
      </c>
      <c r="K613" s="3" t="str">
        <f ca="1">IFERROR(__xludf.DUMMYFUNCTION("""COMPUTED_VALUE"""),"2055-06-04T13:34:57.981Z")</f>
        <v>2055-06-04T13:34:57.981Z</v>
      </c>
      <c r="L613" s="3">
        <f ca="1">IFERROR(__xludf.DUMMYFUNCTION("""COMPUTED_VALUE"""),1)</f>
        <v>1</v>
      </c>
      <c r="M613" s="3">
        <f ca="1">IFERROR(__xludf.DUMMYFUNCTION("""COMPUTED_VALUE"""),0)</f>
        <v>0</v>
      </c>
      <c r="N613" s="3" t="str">
        <f ca="1">IFERROR(__xludf.DUMMYFUNCTION("""COMPUTED_VALUE"""),"2055-06-04T13:24:19.845025Z")</f>
        <v>2055-06-04T13:24:19.845025Z</v>
      </c>
      <c r="O613" s="3" t="str">
        <f ca="1">IFERROR(__xludf.DUMMYFUNCTION("""COMPUTED_VALUE"""),"2055-06-04T13:32:07.012851Z")</f>
        <v>2055-06-04T13:32:07.012851Z</v>
      </c>
      <c r="P613" s="3" t="str">
        <f ca="1">IFERROR(__xludf.DUMMYFUNCTION("""COMPUTED_VALUE"""),"2055-06-04T13:08:54.052141Z")</f>
        <v>2055-06-04T13:08:54.052141Z</v>
      </c>
      <c r="Q613" s="3">
        <f ca="1">IFERROR(__xludf.DUMMYFUNCTION("""COMPUTED_VALUE"""),0)</f>
        <v>0</v>
      </c>
      <c r="R613" s="3" t="str">
        <f ca="1">IFERROR(__xludf.DUMMYFUNCTION("""COMPUTED_VALUE"""),"2055-06-04T13:08:58.261904Z")</f>
        <v>2055-06-04T13:08:58.261904Z</v>
      </c>
      <c r="S613" s="3" t="str">
        <f ca="1">IFERROR(__xludf.DUMMYFUNCTION("""COMPUTED_VALUE"""),"2055-06-04T13:17:33.244388Z")</f>
        <v>2055-06-04T13:17:33.244388Z</v>
      </c>
      <c r="T613" s="3"/>
      <c r="U613" s="4">
        <f ca="1">IFERROR(__xludf.DUMMYFUNCTION("""COMPUTED_VALUE"""),56769)</f>
        <v>56769</v>
      </c>
      <c r="V613" s="3">
        <f ca="1">IFERROR(__xludf.DUMMYFUNCTION("""COMPUTED_VALUE"""),4.3)</f>
        <v>4.3</v>
      </c>
      <c r="W613" s="3">
        <f ca="1">IFERROR(__xludf.DUMMYFUNCTION("""COMPUTED_VALUE"""),2000)</f>
        <v>2000</v>
      </c>
      <c r="X613" s="3">
        <f ca="1">IFERROR(__xludf.DUMMYFUNCTION("""COMPUTED_VALUE"""),1389)</f>
        <v>1389</v>
      </c>
      <c r="Y613" s="3">
        <f ca="1">IFERROR(__xludf.DUMMYFUNCTION("""COMPUTED_VALUE"""),515)</f>
        <v>515</v>
      </c>
      <c r="Z613" s="3">
        <f ca="1">IFERROR(__xludf.DUMMYFUNCTION("""COMPUTED_VALUE"""),406)</f>
        <v>406</v>
      </c>
      <c r="AA613" s="3">
        <f ca="1">IFERROR(__xludf.DUMMYFUNCTION("""COMPUTED_VALUE"""),468)</f>
        <v>468</v>
      </c>
      <c r="AB613" s="3">
        <f ca="1">IFERROR(__xludf.DUMMYFUNCTION("""COMPUTED_VALUE"""),0)</f>
        <v>0</v>
      </c>
      <c r="AC613" s="3">
        <f ca="1">IFERROR(__xludf.DUMMYFUNCTION("""COMPUTED_VALUE"""),2)</f>
        <v>2</v>
      </c>
      <c r="AD613" s="3" t="str">
        <f ca="1">IFERROR(__xludf.DUMMYFUNCTION("""COMPUTED_VALUE"""),"on time")</f>
        <v>on time</v>
      </c>
      <c r="AE613" s="3" t="str">
        <f ca="1">IFERROR(__xludf.DUMMYFUNCTION("""COMPUTED_VALUE"""),"2055-06-04T09:24:19.845025Z")</f>
        <v>2055-06-04T09:24:19.845025Z</v>
      </c>
      <c r="AF613" s="3" t="str">
        <f ca="1">IFERROR(__xludf.DUMMYFUNCTION("""COMPUTED_VALUE"""),"2055-06-04T09:32:07.012851Z")</f>
        <v>2055-06-04T09:32:07.012851Z</v>
      </c>
      <c r="AG613" s="3" t="str">
        <f ca="1">IFERROR(__xludf.DUMMYFUNCTION("""COMPUTED_VALUE"""),"2055-06-04T09:08:54.052141Z")</f>
        <v>2055-06-04T09:08:54.052141Z</v>
      </c>
      <c r="AH613" s="3" t="str">
        <f ca="1">IFERROR(__xludf.DUMMYFUNCTION("""COMPUTED_VALUE"""),"2055-06-04T09:17:33.244388Z")</f>
        <v>2055-06-04T09:17:33.244388Z</v>
      </c>
      <c r="AI613" s="3">
        <f ca="1">IFERROR(__xludf.DUMMYFUNCTION("""COMPUTED_VALUE"""),4.03)</f>
        <v>4.03</v>
      </c>
      <c r="AJ613" s="3">
        <f ca="1">IFERROR(__xludf.DUMMYFUNCTION("""COMPUTED_VALUE"""),505)</f>
        <v>505</v>
      </c>
      <c r="AK613" s="3">
        <f ca="1">IFERROR(__xludf.DUMMYFUNCTION("""COMPUTED_VALUE"""),1721)</f>
        <v>1721</v>
      </c>
      <c r="AL613" s="3">
        <f ca="1">IFERROR(__xludf.DUMMYFUNCTION("""COMPUTED_VALUE"""),457)</f>
        <v>457</v>
      </c>
    </row>
    <row r="614" spans="1:38" ht="13">
      <c r="A614" s="3">
        <f ca="1">IFERROR(__xludf.DUMMYFUNCTION("""COMPUTED_VALUE"""),536)</f>
        <v>536</v>
      </c>
      <c r="B614" s="3"/>
      <c r="C614" s="3">
        <f ca="1">IFERROR(__xludf.DUMMYFUNCTION("""COMPUTED_VALUE"""),4001)</f>
        <v>4001</v>
      </c>
      <c r="D614" s="3" t="str">
        <f ca="1">IFERROR(__xludf.DUMMYFUNCTION("""COMPUTED_VALUE"""),"Dashattan")</f>
        <v>Dashattan</v>
      </c>
      <c r="E614" s="3" t="str">
        <f ca="1">IFERROR(__xludf.DUMMYFUNCTION("""COMPUTED_VALUE"""),"Galaxy A")</f>
        <v>Galaxy A</v>
      </c>
      <c r="F614" s="3" t="str">
        <f ca="1">IFERROR(__xludf.DUMMYFUNCTION("""COMPUTED_VALUE"""),"KC")</f>
        <v>KC</v>
      </c>
      <c r="G614" s="3">
        <f ca="1">IFERROR(__xludf.DUMMYFUNCTION("""COMPUTED_VALUE"""),0)</f>
        <v>0</v>
      </c>
      <c r="H614" s="3" t="str">
        <f ca="1">IFERROR(__xludf.DUMMYFUNCTION("""COMPUTED_VALUE"""),"car")</f>
        <v>car</v>
      </c>
      <c r="I614" s="3" t="str">
        <f ca="1">IFERROR(__xludf.DUMMYFUNCTION("""COMPUTED_VALUE"""),"2055-06-05T13:07:46.720889Z")</f>
        <v>2055-06-05T13:07:46.720889Z</v>
      </c>
      <c r="J614" s="3" t="str">
        <f ca="1">IFERROR(__xludf.DUMMYFUNCTION("""COMPUTED_VALUE"""),"2055-06-05T13:45:52.804Z")</f>
        <v>2055-06-05T13:45:52.804Z</v>
      </c>
      <c r="K614" s="3" t="str">
        <f ca="1">IFERROR(__xludf.DUMMYFUNCTION("""COMPUTED_VALUE"""),"2055-06-05T13:35:13.804Z")</f>
        <v>2055-06-05T13:35:13.804Z</v>
      </c>
      <c r="L614" s="3">
        <f ca="1">IFERROR(__xludf.DUMMYFUNCTION("""COMPUTED_VALUE"""),1)</f>
        <v>1</v>
      </c>
      <c r="M614" s="3">
        <f ca="1">IFERROR(__xludf.DUMMYFUNCTION("""COMPUTED_VALUE"""),0)</f>
        <v>0</v>
      </c>
      <c r="N614" s="3" t="str">
        <f ca="1">IFERROR(__xludf.DUMMYFUNCTION("""COMPUTED_VALUE"""),"2055-06-05T13:29:12.234553Z")</f>
        <v>2055-06-05T13:29:12.234553Z</v>
      </c>
      <c r="O614" s="3" t="str">
        <f ca="1">IFERROR(__xludf.DUMMYFUNCTION("""COMPUTED_VALUE"""),"2055-06-05T13:38:29.775146Z")</f>
        <v>2055-06-05T13:38:29.775146Z</v>
      </c>
      <c r="P614" s="3" t="str">
        <f ca="1">IFERROR(__xludf.DUMMYFUNCTION("""COMPUTED_VALUE"""),"2055-06-05T13:09:34.088678Z")</f>
        <v>2055-06-05T13:09:34.088678Z</v>
      </c>
      <c r="Q614" s="3">
        <f ca="1">IFERROR(__xludf.DUMMYFUNCTION("""COMPUTED_VALUE"""),0)</f>
        <v>0</v>
      </c>
      <c r="R614" s="3" t="str">
        <f ca="1">IFERROR(__xludf.DUMMYFUNCTION("""COMPUTED_VALUE"""),"2055-06-05T13:09:50.192034Z")</f>
        <v>2055-06-05T13:09:50.192034Z</v>
      </c>
      <c r="S614" s="3" t="str">
        <f ca="1">IFERROR(__xludf.DUMMYFUNCTION("""COMPUTED_VALUE"""),"2055-06-05T13:24:35.314991Z")</f>
        <v>2055-06-05T13:24:35.314991Z</v>
      </c>
      <c r="T614" s="3"/>
      <c r="U614" s="4">
        <f ca="1">IFERROR(__xludf.DUMMYFUNCTION("""COMPUTED_VALUE"""),56770)</f>
        <v>56770</v>
      </c>
      <c r="V614" s="3">
        <f ca="1">IFERROR(__xludf.DUMMYFUNCTION("""COMPUTED_VALUE"""),4.3)</f>
        <v>4.3</v>
      </c>
      <c r="W614" s="3">
        <f ca="1">IFERROR(__xludf.DUMMYFUNCTION("""COMPUTED_VALUE"""),2000)</f>
        <v>2000</v>
      </c>
      <c r="X614" s="3">
        <f ca="1">IFERROR(__xludf.DUMMYFUNCTION("""COMPUTED_VALUE"""),1719)</f>
        <v>1719</v>
      </c>
      <c r="Y614" s="3">
        <f ca="1">IFERROR(__xludf.DUMMYFUNCTION("""COMPUTED_VALUE"""),885)</f>
        <v>885</v>
      </c>
      <c r="Z614" s="3">
        <f ca="1">IFERROR(__xludf.DUMMYFUNCTION("""COMPUTED_VALUE"""),277)</f>
        <v>277</v>
      </c>
      <c r="AA614" s="3">
        <f ca="1">IFERROR(__xludf.DUMMYFUNCTION("""COMPUTED_VALUE"""),557)</f>
        <v>557</v>
      </c>
      <c r="AB614" s="3">
        <f ca="1">IFERROR(__xludf.DUMMYFUNCTION("""COMPUTED_VALUE"""),0)</f>
        <v>0</v>
      </c>
      <c r="AC614" s="3">
        <f ca="1">IFERROR(__xludf.DUMMYFUNCTION("""COMPUTED_VALUE"""),2)</f>
        <v>2</v>
      </c>
      <c r="AD614" s="3" t="str">
        <f ca="1">IFERROR(__xludf.DUMMYFUNCTION("""COMPUTED_VALUE"""),"late")</f>
        <v>late</v>
      </c>
      <c r="AE614" s="3" t="str">
        <f ca="1">IFERROR(__xludf.DUMMYFUNCTION("""COMPUTED_VALUE"""),"2055-06-05T09:29:12.234553Z")</f>
        <v>2055-06-05T09:29:12.234553Z</v>
      </c>
      <c r="AF614" s="3" t="str">
        <f ca="1">IFERROR(__xludf.DUMMYFUNCTION("""COMPUTED_VALUE"""),"2055-06-05T09:38:29.775146Z")</f>
        <v>2055-06-05T09:38:29.775146Z</v>
      </c>
      <c r="AG614" s="3" t="str">
        <f ca="1">IFERROR(__xludf.DUMMYFUNCTION("""COMPUTED_VALUE"""),"2055-06-05T09:09:34.088678Z")</f>
        <v>2055-06-05T09:09:34.088678Z</v>
      </c>
      <c r="AH614" s="3" t="str">
        <f ca="1">IFERROR(__xludf.DUMMYFUNCTION("""COMPUTED_VALUE"""),"2055-06-05T09:24:35.314991Z")</f>
        <v>2055-06-05T09:24:35.314991Z</v>
      </c>
      <c r="AI614" s="3">
        <f ca="1">IFERROR(__xludf.DUMMYFUNCTION("""COMPUTED_VALUE"""),4.54)</f>
        <v>4.54</v>
      </c>
      <c r="AJ614" s="3">
        <f ca="1">IFERROR(__xludf.DUMMYFUNCTION("""COMPUTED_VALUE"""),2229)</f>
        <v>2229</v>
      </c>
      <c r="AK614" s="3">
        <f ca="1">IFERROR(__xludf.DUMMYFUNCTION("""COMPUTED_VALUE"""),6580)</f>
        <v>6580</v>
      </c>
      <c r="AL614" s="3"/>
    </row>
    <row r="615" spans="1:38" ht="13">
      <c r="A615" s="3">
        <f ca="1">IFERROR(__xludf.DUMMYFUNCTION("""COMPUTED_VALUE"""),677)</f>
        <v>677</v>
      </c>
      <c r="B615" s="3"/>
      <c r="C615" s="3">
        <f ca="1">IFERROR(__xludf.DUMMYFUNCTION("""COMPUTED_VALUE"""),4050)</f>
        <v>4050</v>
      </c>
      <c r="D615" s="3" t="str">
        <f ca="1">IFERROR(__xludf.DUMMYFUNCTION("""COMPUTED_VALUE"""),"Doorlanta")</f>
        <v>Doorlanta</v>
      </c>
      <c r="E615" s="3" t="str">
        <f ca="1">IFERROR(__xludf.DUMMYFUNCTION("""COMPUTED_VALUE"""),"Galaxy A")</f>
        <v>Galaxy A</v>
      </c>
      <c r="F615" s="3" t="str">
        <f ca="1">IFERROR(__xludf.DUMMYFUNCTION("""COMPUTED_VALUE"""),"Merissa")</f>
        <v>Merissa</v>
      </c>
      <c r="G615" s="3">
        <f ca="1">IFERROR(__xludf.DUMMYFUNCTION("""COMPUTED_VALUE"""),0)</f>
        <v>0</v>
      </c>
      <c r="H615" s="3" t="str">
        <f ca="1">IFERROR(__xludf.DUMMYFUNCTION("""COMPUTED_VALUE"""),"car")</f>
        <v>car</v>
      </c>
      <c r="I615" s="3" t="str">
        <f ca="1">IFERROR(__xludf.DUMMYFUNCTION("""COMPUTED_VALUE"""),"2055-06-05T23:28:47.580779Z")</f>
        <v>2055-06-05T23:28:47.580779Z</v>
      </c>
      <c r="J615" s="3" t="str">
        <f ca="1">IFERROR(__xludf.DUMMYFUNCTION("""COMPUTED_VALUE"""),"2055-06-06T00:23:22.652Z")</f>
        <v>2055-06-06T00:23:22.652Z</v>
      </c>
      <c r="K615" s="3" t="str">
        <f ca="1">IFERROR(__xludf.DUMMYFUNCTION("""COMPUTED_VALUE"""),"2055-06-06T00:13:43.652Z")</f>
        <v>2055-06-06T00:13:43.652Z</v>
      </c>
      <c r="L615" s="3">
        <f ca="1">IFERROR(__xludf.DUMMYFUNCTION("""COMPUTED_VALUE"""),1)</f>
        <v>1</v>
      </c>
      <c r="M615" s="3">
        <f ca="1">IFERROR(__xludf.DUMMYFUNCTION("""COMPUTED_VALUE"""),0)</f>
        <v>0</v>
      </c>
      <c r="N615" s="3" t="str">
        <f ca="1">IFERROR(__xludf.DUMMYFUNCTION("""COMPUTED_VALUE"""),"2055-06-06T00:38:38.14168Z")</f>
        <v>2055-06-06T00:38:38.14168Z</v>
      </c>
      <c r="O615" s="3" t="str">
        <f ca="1">IFERROR(__xludf.DUMMYFUNCTION("""COMPUTED_VALUE"""),"2055-06-06T01:19:17.815023Z")</f>
        <v>2055-06-06T01:19:17.815023Z</v>
      </c>
      <c r="P615" s="3" t="str">
        <f ca="1">IFERROR(__xludf.DUMMYFUNCTION("""COMPUTED_VALUE"""),"2055-06-05T23:44:07.558373Z")</f>
        <v>2055-06-05T23:44:07.558373Z</v>
      </c>
      <c r="Q615" s="3">
        <f ca="1">IFERROR(__xludf.DUMMYFUNCTION("""COMPUTED_VALUE"""),0)</f>
        <v>0</v>
      </c>
      <c r="R615" s="3" t="str">
        <f ca="1">IFERROR(__xludf.DUMMYFUNCTION("""COMPUTED_VALUE"""),"2055-06-05T23:44:22.225141Z")</f>
        <v>2055-06-05T23:44:22.225141Z</v>
      </c>
      <c r="S615" s="3" t="str">
        <f ca="1">IFERROR(__xludf.DUMMYFUNCTION("""COMPUTED_VALUE"""),"2055-06-05T23:53:50.226746Z")</f>
        <v>2055-06-05T23:53:50.226746Z</v>
      </c>
      <c r="T615" s="3"/>
      <c r="U615" s="4">
        <f ca="1">IFERROR(__xludf.DUMMYFUNCTION("""COMPUTED_VALUE"""),56770)</f>
        <v>56770</v>
      </c>
      <c r="V615" s="3">
        <f ca="1">IFERROR(__xludf.DUMMYFUNCTION("""COMPUTED_VALUE"""),4.3)</f>
        <v>4.3</v>
      </c>
      <c r="W615" s="3">
        <f ca="1">IFERROR(__xludf.DUMMYFUNCTION("""COMPUTED_VALUE"""),2000)</f>
        <v>2000</v>
      </c>
      <c r="X615" s="3">
        <f ca="1">IFERROR(__xludf.DUMMYFUNCTION("""COMPUTED_VALUE"""),5695)</f>
        <v>5695</v>
      </c>
      <c r="Y615" s="3">
        <f ca="1">IFERROR(__xludf.DUMMYFUNCTION("""COMPUTED_VALUE"""),568)</f>
        <v>568</v>
      </c>
      <c r="Z615" s="3">
        <f ca="1">IFERROR(__xludf.DUMMYFUNCTION("""COMPUTED_VALUE"""),2688)</f>
        <v>2688</v>
      </c>
      <c r="AA615" s="3">
        <f ca="1">IFERROR(__xludf.DUMMYFUNCTION("""COMPUTED_VALUE"""),2439)</f>
        <v>2439</v>
      </c>
      <c r="AB615" s="3">
        <f ca="1">IFERROR(__xludf.DUMMYFUNCTION("""COMPUTED_VALUE"""),1)</f>
        <v>1</v>
      </c>
      <c r="AC615" s="3">
        <f ca="1">IFERROR(__xludf.DUMMYFUNCTION("""COMPUTED_VALUE"""),1)</f>
        <v>1</v>
      </c>
      <c r="AD615" s="3"/>
      <c r="AE615" s="3" t="str">
        <f ca="1">IFERROR(__xludf.DUMMYFUNCTION("""COMPUTED_VALUE"""),"2055-06-05T20:38:38.14168Z")</f>
        <v>2055-06-05T20:38:38.14168Z</v>
      </c>
      <c r="AF615" s="3" t="str">
        <f ca="1">IFERROR(__xludf.DUMMYFUNCTION("""COMPUTED_VALUE"""),"2055-06-05T21:19:17.815023Z")</f>
        <v>2055-06-05T21:19:17.815023Z</v>
      </c>
      <c r="AG615" s="3" t="str">
        <f ca="1">IFERROR(__xludf.DUMMYFUNCTION("""COMPUTED_VALUE"""),"2055-06-05T19:44:07.558373Z")</f>
        <v>2055-06-05T19:44:07.558373Z</v>
      </c>
      <c r="AH615" s="3" t="str">
        <f ca="1">IFERROR(__xludf.DUMMYFUNCTION("""COMPUTED_VALUE"""),"2055-06-05T19:53:50.226746Z")</f>
        <v>2055-06-05T19:53:50.226746Z</v>
      </c>
      <c r="AI615" s="3">
        <f ca="1">IFERROR(__xludf.DUMMYFUNCTION("""COMPUTED_VALUE"""),4.58)</f>
        <v>4.58</v>
      </c>
      <c r="AJ615" s="3">
        <f ca="1">IFERROR(__xludf.DUMMYFUNCTION("""COMPUTED_VALUE"""),679)</f>
        <v>679</v>
      </c>
      <c r="AK615" s="3">
        <f ca="1">IFERROR(__xludf.DUMMYFUNCTION("""COMPUTED_VALUE"""),2371)</f>
        <v>2371</v>
      </c>
      <c r="AL615" s="3">
        <f ca="1">IFERROR(__xludf.DUMMYFUNCTION("""COMPUTED_VALUE"""),1830)</f>
        <v>1830</v>
      </c>
    </row>
    <row r="616" spans="1:38" ht="13">
      <c r="A616" s="3">
        <f ca="1">IFERROR(__xludf.DUMMYFUNCTION("""COMPUTED_VALUE"""),720)</f>
        <v>720</v>
      </c>
      <c r="B616" s="3">
        <f ca="1">IFERROR(__xludf.DUMMYFUNCTION("""COMPUTED_VALUE"""),5)</f>
        <v>5</v>
      </c>
      <c r="C616" s="3">
        <f ca="1">IFERROR(__xludf.DUMMYFUNCTION("""COMPUTED_VALUE"""),4001)</f>
        <v>4001</v>
      </c>
      <c r="D616" s="3" t="str">
        <f ca="1">IFERROR(__xludf.DUMMYFUNCTION("""COMPUTED_VALUE"""),"Dashattan")</f>
        <v>Dashattan</v>
      </c>
      <c r="E616" s="3" t="str">
        <f ca="1">IFERROR(__xludf.DUMMYFUNCTION("""COMPUTED_VALUE"""),"Galaxy A")</f>
        <v>Galaxy A</v>
      </c>
      <c r="F616" s="3" t="str">
        <f ca="1">IFERROR(__xludf.DUMMYFUNCTION("""COMPUTED_VALUE"""),"KC")</f>
        <v>KC</v>
      </c>
      <c r="G616" s="3">
        <f ca="1">IFERROR(__xludf.DUMMYFUNCTION("""COMPUTED_VALUE"""),0)</f>
        <v>0</v>
      </c>
      <c r="H616" s="3" t="str">
        <f ca="1">IFERROR(__xludf.DUMMYFUNCTION("""COMPUTED_VALUE"""),"car")</f>
        <v>car</v>
      </c>
      <c r="I616" s="3" t="str">
        <f ca="1">IFERROR(__xludf.DUMMYFUNCTION("""COMPUTED_VALUE"""),"2055-06-06T01:38:40.667814Z")</f>
        <v>2055-06-06T01:38:40.667814Z</v>
      </c>
      <c r="J616" s="3" t="str">
        <f ca="1">IFERROR(__xludf.DUMMYFUNCTION("""COMPUTED_VALUE"""),"2055-06-06T02:38:04.721Z")</f>
        <v>2055-06-06T02:38:04.721Z</v>
      </c>
      <c r="K616" s="3" t="str">
        <f ca="1">IFERROR(__xludf.DUMMYFUNCTION("""COMPUTED_VALUE"""),"2055-06-06T02:13:23.721Z")</f>
        <v>2055-06-06T02:13:23.721Z</v>
      </c>
      <c r="L616" s="3">
        <f ca="1">IFERROR(__xludf.DUMMYFUNCTION("""COMPUTED_VALUE"""),1)</f>
        <v>1</v>
      </c>
      <c r="M616" s="3">
        <f ca="1">IFERROR(__xludf.DUMMYFUNCTION("""COMPUTED_VALUE"""),0)</f>
        <v>0</v>
      </c>
      <c r="N616" s="3" t="str">
        <f ca="1">IFERROR(__xludf.DUMMYFUNCTION("""COMPUTED_VALUE"""),"2055-06-06T01:56:06.47022Z")</f>
        <v>2055-06-06T01:56:06.47022Z</v>
      </c>
      <c r="O616" s="3" t="str">
        <f ca="1">IFERROR(__xludf.DUMMYFUNCTION("""COMPUTED_VALUE"""),"2055-06-06T02:01:51.772556Z")</f>
        <v>2055-06-06T02:01:51.772556Z</v>
      </c>
      <c r="P616" s="3" t="str">
        <f ca="1">IFERROR(__xludf.DUMMYFUNCTION("""COMPUTED_VALUE"""),"2055-06-06T01:41:34.121364Z")</f>
        <v>2055-06-06T01:41:34.121364Z</v>
      </c>
      <c r="Q616" s="3">
        <f ca="1">IFERROR(__xludf.DUMMYFUNCTION("""COMPUTED_VALUE"""),0)</f>
        <v>0</v>
      </c>
      <c r="R616" s="3" t="str">
        <f ca="1">IFERROR(__xludf.DUMMYFUNCTION("""COMPUTED_VALUE"""),"2055-06-06T01:41:44.204861Z")</f>
        <v>2055-06-06T01:41:44.204861Z</v>
      </c>
      <c r="S616" s="3" t="str">
        <f ca="1">IFERROR(__xludf.DUMMYFUNCTION("""COMPUTED_VALUE"""),"2055-06-06T01:48:24.764233Z")</f>
        <v>2055-06-06T01:48:24.764233Z</v>
      </c>
      <c r="T616" s="3"/>
      <c r="U616" s="4">
        <f ca="1">IFERROR(__xludf.DUMMYFUNCTION("""COMPUTED_VALUE"""),56770)</f>
        <v>56770</v>
      </c>
      <c r="V616" s="3">
        <f ca="1">IFERROR(__xludf.DUMMYFUNCTION("""COMPUTED_VALUE"""),4.6)</f>
        <v>4.5999999999999996</v>
      </c>
      <c r="W616" s="3">
        <f ca="1">IFERROR(__xludf.DUMMYFUNCTION("""COMPUTED_VALUE"""),2000)</f>
        <v>2000</v>
      </c>
      <c r="X616" s="3">
        <f ca="1">IFERROR(__xludf.DUMMYFUNCTION("""COMPUTED_VALUE"""),1207)</f>
        <v>1207</v>
      </c>
      <c r="Y616" s="3">
        <f ca="1">IFERROR(__xludf.DUMMYFUNCTION("""COMPUTED_VALUE"""),400)</f>
        <v>400</v>
      </c>
      <c r="Z616" s="3">
        <f ca="1">IFERROR(__xludf.DUMMYFUNCTION("""COMPUTED_VALUE"""),462)</f>
        <v>462</v>
      </c>
      <c r="AA616" s="3">
        <f ca="1">IFERROR(__xludf.DUMMYFUNCTION("""COMPUTED_VALUE"""),345)</f>
        <v>345</v>
      </c>
      <c r="AB616" s="3">
        <f ca="1">IFERROR(__xludf.DUMMYFUNCTION("""COMPUTED_VALUE"""),1)</f>
        <v>1</v>
      </c>
      <c r="AC616" s="3">
        <f ca="1">IFERROR(__xludf.DUMMYFUNCTION("""COMPUTED_VALUE"""),2)</f>
        <v>2</v>
      </c>
      <c r="AD616" s="3"/>
      <c r="AE616" s="3" t="str">
        <f ca="1">IFERROR(__xludf.DUMMYFUNCTION("""COMPUTED_VALUE"""),"2055-06-05T21:56:06.47022Z")</f>
        <v>2055-06-05T21:56:06.47022Z</v>
      </c>
      <c r="AF616" s="3" t="str">
        <f ca="1">IFERROR(__xludf.DUMMYFUNCTION("""COMPUTED_VALUE"""),"2055-06-05T22:01:51.772556Z")</f>
        <v>2055-06-05T22:01:51.772556Z</v>
      </c>
      <c r="AG616" s="3" t="str">
        <f ca="1">IFERROR(__xludf.DUMMYFUNCTION("""COMPUTED_VALUE"""),"2055-06-05T21:41:34.121364Z")</f>
        <v>2055-06-05T21:41:34.121364Z</v>
      </c>
      <c r="AH616" s="3" t="str">
        <f ca="1">IFERROR(__xludf.DUMMYFUNCTION("""COMPUTED_VALUE"""),"2055-06-05T21:48:24.764233Z")</f>
        <v>2055-06-05T21:48:24.764233Z</v>
      </c>
      <c r="AI616" s="3">
        <f ca="1">IFERROR(__xludf.DUMMYFUNCTION("""COMPUTED_VALUE"""),4.54)</f>
        <v>4.54</v>
      </c>
      <c r="AJ616" s="3">
        <f ca="1">IFERROR(__xludf.DUMMYFUNCTION("""COMPUTED_VALUE"""),2229)</f>
        <v>2229</v>
      </c>
      <c r="AK616" s="3">
        <f ca="1">IFERROR(__xludf.DUMMYFUNCTION("""COMPUTED_VALUE"""),6580)</f>
        <v>6580</v>
      </c>
      <c r="AL616" s="3"/>
    </row>
    <row r="617" spans="1:38" ht="13">
      <c r="A617" s="3">
        <f ca="1">IFERROR(__xludf.DUMMYFUNCTION("""COMPUTED_VALUE"""),807)</f>
        <v>807</v>
      </c>
      <c r="B617" s="3"/>
      <c r="C617" s="3">
        <f ca="1">IFERROR(__xludf.DUMMYFUNCTION("""COMPUTED_VALUE"""),4050)</f>
        <v>4050</v>
      </c>
      <c r="D617" s="3" t="str">
        <f ca="1">IFERROR(__xludf.DUMMYFUNCTION("""COMPUTED_VALUE"""),"Doorlanta")</f>
        <v>Doorlanta</v>
      </c>
      <c r="E617" s="3" t="str">
        <f ca="1">IFERROR(__xludf.DUMMYFUNCTION("""COMPUTED_VALUE"""),"Galaxy A")</f>
        <v>Galaxy A</v>
      </c>
      <c r="F617" s="3" t="str">
        <f ca="1">IFERROR(__xludf.DUMMYFUNCTION("""COMPUTED_VALUE"""),"Drew")</f>
        <v>Drew</v>
      </c>
      <c r="G617" s="3">
        <f ca="1">IFERROR(__xludf.DUMMYFUNCTION("""COMPUTED_VALUE"""),0)</f>
        <v>0</v>
      </c>
      <c r="H617" s="3" t="str">
        <f ca="1">IFERROR(__xludf.DUMMYFUNCTION("""COMPUTED_VALUE"""),"car")</f>
        <v>car</v>
      </c>
      <c r="I617" s="3" t="str">
        <f ca="1">IFERROR(__xludf.DUMMYFUNCTION("""COMPUTED_VALUE"""),"2055-06-07T00:32:21.223214Z")</f>
        <v>2055-06-07T00:32:21.223214Z</v>
      </c>
      <c r="J617" s="3" t="str">
        <f ca="1">IFERROR(__xludf.DUMMYFUNCTION("""COMPUTED_VALUE"""),"2055-06-07T01:27:21.287Z")</f>
        <v>2055-06-07T01:27:21.287Z</v>
      </c>
      <c r="K617" s="3" t="str">
        <f ca="1">IFERROR(__xludf.DUMMYFUNCTION("""COMPUTED_VALUE"""),"2055-06-07T01:02:08.287Z")</f>
        <v>2055-06-07T01:02:08.287Z</v>
      </c>
      <c r="L617" s="3">
        <f ca="1">IFERROR(__xludf.DUMMYFUNCTION("""COMPUTED_VALUE"""),1)</f>
        <v>1</v>
      </c>
      <c r="M617" s="3">
        <f ca="1">IFERROR(__xludf.DUMMYFUNCTION("""COMPUTED_VALUE"""),0)</f>
        <v>0</v>
      </c>
      <c r="N617" s="3" t="str">
        <f ca="1">IFERROR(__xludf.DUMMYFUNCTION("""COMPUTED_VALUE"""),"2055-06-07T00:50:56.611011Z")</f>
        <v>2055-06-07T00:50:56.611011Z</v>
      </c>
      <c r="O617" s="3" t="str">
        <f ca="1">IFERROR(__xludf.DUMMYFUNCTION("""COMPUTED_VALUE"""),"2055-06-07T01:05:41.319543Z")</f>
        <v>2055-06-07T01:05:41.319543Z</v>
      </c>
      <c r="P617" s="3" t="str">
        <f ca="1">IFERROR(__xludf.DUMMYFUNCTION("""COMPUTED_VALUE"""),"2055-06-07T00:38:27.321611Z")</f>
        <v>2055-06-07T00:38:27.321611Z</v>
      </c>
      <c r="Q617" s="3">
        <f ca="1">IFERROR(__xludf.DUMMYFUNCTION("""COMPUTED_VALUE"""),0)</f>
        <v>0</v>
      </c>
      <c r="R617" s="3" t="str">
        <f ca="1">IFERROR(__xludf.DUMMYFUNCTION("""COMPUTED_VALUE"""),"2055-06-07T00:38:33.566201Z")</f>
        <v>2055-06-07T00:38:33.566201Z</v>
      </c>
      <c r="S617" s="3" t="str">
        <f ca="1">IFERROR(__xludf.DUMMYFUNCTION("""COMPUTED_VALUE"""),"2055-06-07T00:45:21.337071Z")</f>
        <v>2055-06-07T00:45:21.337071Z</v>
      </c>
      <c r="T617" s="3"/>
      <c r="U617" s="4">
        <f ca="1">IFERROR(__xludf.DUMMYFUNCTION("""COMPUTED_VALUE"""),56771)</f>
        <v>56771</v>
      </c>
      <c r="V617" s="3">
        <f ca="1">IFERROR(__xludf.DUMMYFUNCTION("""COMPUTED_VALUE"""),4.8)</f>
        <v>4.8</v>
      </c>
      <c r="W617" s="3">
        <f ca="1">IFERROR(__xludf.DUMMYFUNCTION("""COMPUTED_VALUE"""),2000)</f>
        <v>2000</v>
      </c>
      <c r="X617" s="3">
        <f ca="1">IFERROR(__xludf.DUMMYFUNCTION("""COMPUTED_VALUE"""),1628)</f>
        <v>1628</v>
      </c>
      <c r="Y617" s="3">
        <f ca="1">IFERROR(__xludf.DUMMYFUNCTION("""COMPUTED_VALUE"""),408)</f>
        <v>408</v>
      </c>
      <c r="Z617" s="3">
        <f ca="1">IFERROR(__xludf.DUMMYFUNCTION("""COMPUTED_VALUE"""),335)</f>
        <v>335</v>
      </c>
      <c r="AA617" s="3">
        <f ca="1">IFERROR(__xludf.DUMMYFUNCTION("""COMPUTED_VALUE"""),885)</f>
        <v>885</v>
      </c>
      <c r="AB617" s="3">
        <f ca="1">IFERROR(__xludf.DUMMYFUNCTION("""COMPUTED_VALUE"""),0)</f>
        <v>0</v>
      </c>
      <c r="AC617" s="3">
        <f ca="1">IFERROR(__xludf.DUMMYFUNCTION("""COMPUTED_VALUE"""),3)</f>
        <v>3</v>
      </c>
      <c r="AD617" s="3" t="str">
        <f ca="1">IFERROR(__xludf.DUMMYFUNCTION("""COMPUTED_VALUE"""),"on time")</f>
        <v>on time</v>
      </c>
      <c r="AE617" s="3" t="str">
        <f ca="1">IFERROR(__xludf.DUMMYFUNCTION("""COMPUTED_VALUE"""),"2055-06-06T20:50:56.611011Z")</f>
        <v>2055-06-06T20:50:56.611011Z</v>
      </c>
      <c r="AF617" s="3" t="str">
        <f ca="1">IFERROR(__xludf.DUMMYFUNCTION("""COMPUTED_VALUE"""),"2055-06-06T21:05:41.319543Z")</f>
        <v>2055-06-06T21:05:41.319543Z</v>
      </c>
      <c r="AG617" s="3" t="str">
        <f ca="1">IFERROR(__xludf.DUMMYFUNCTION("""COMPUTED_VALUE"""),"2055-06-06T20:38:27.321611Z")</f>
        <v>2055-06-06T20:38:27.321611Z</v>
      </c>
      <c r="AH617" s="3" t="str">
        <f ca="1">IFERROR(__xludf.DUMMYFUNCTION("""COMPUTED_VALUE"""),"2055-06-06T20:45:21.337071Z")</f>
        <v>2055-06-06T20:45:21.337071Z</v>
      </c>
      <c r="AI617" s="3">
        <f ca="1">IFERROR(__xludf.DUMMYFUNCTION("""COMPUTED_VALUE"""),4.79)</f>
        <v>4.79</v>
      </c>
      <c r="AJ617" s="3">
        <f ca="1">IFERROR(__xludf.DUMMYFUNCTION("""COMPUTED_VALUE"""),213)</f>
        <v>213</v>
      </c>
      <c r="AK617" s="3">
        <f ca="1">IFERROR(__xludf.DUMMYFUNCTION("""COMPUTED_VALUE"""),611)</f>
        <v>611</v>
      </c>
      <c r="AL617" s="3">
        <f ca="1">IFERROR(__xludf.DUMMYFUNCTION("""COMPUTED_VALUE"""),122)</f>
        <v>122</v>
      </c>
    </row>
    <row r="618" spans="1:38" ht="13">
      <c r="A618" s="3">
        <f ca="1">IFERROR(__xludf.DUMMYFUNCTION("""COMPUTED_VALUE"""),899)</f>
        <v>899</v>
      </c>
      <c r="B618" s="3">
        <f ca="1">IFERROR(__xludf.DUMMYFUNCTION("""COMPUTED_VALUE"""),5)</f>
        <v>5</v>
      </c>
      <c r="C618" s="3">
        <f ca="1">IFERROR(__xludf.DUMMYFUNCTION("""COMPUTED_VALUE"""),4050)</f>
        <v>4050</v>
      </c>
      <c r="D618" s="3" t="str">
        <f ca="1">IFERROR(__xludf.DUMMYFUNCTION("""COMPUTED_VALUE"""),"Doorlanta")</f>
        <v>Doorlanta</v>
      </c>
      <c r="E618" s="3" t="str">
        <f ca="1">IFERROR(__xludf.DUMMYFUNCTION("""COMPUTED_VALUE"""),"Galaxy A")</f>
        <v>Galaxy A</v>
      </c>
      <c r="F618" s="3" t="str">
        <f ca="1">IFERROR(__xludf.DUMMYFUNCTION("""COMPUTED_VALUE"""),"Cate")</f>
        <v>Cate</v>
      </c>
      <c r="G618" s="3">
        <f ca="1">IFERROR(__xludf.DUMMYFUNCTION("""COMPUTED_VALUE"""),0)</f>
        <v>0</v>
      </c>
      <c r="H618" s="3" t="str">
        <f ca="1">IFERROR(__xludf.DUMMYFUNCTION("""COMPUTED_VALUE"""),"car")</f>
        <v>car</v>
      </c>
      <c r="I618" s="3" t="str">
        <f ca="1">IFERROR(__xludf.DUMMYFUNCTION("""COMPUTED_VALUE"""),"2055-06-08T00:03:13.581475Z")</f>
        <v>2055-06-08T00:03:13.581475Z</v>
      </c>
      <c r="J618" s="3" t="str">
        <f ca="1">IFERROR(__xludf.DUMMYFUNCTION("""COMPUTED_VALUE"""),"2055-06-08T01:03:21.634Z")</f>
        <v>2055-06-08T01:03:21.634Z</v>
      </c>
      <c r="K618" s="3" t="str">
        <f ca="1">IFERROR(__xludf.DUMMYFUNCTION("""COMPUTED_VALUE"""),"2055-06-08T00:43:14.634Z")</f>
        <v>2055-06-08T00:43:14.634Z</v>
      </c>
      <c r="L618" s="3">
        <f ca="1">IFERROR(__xludf.DUMMYFUNCTION("""COMPUTED_VALUE"""),1)</f>
        <v>1</v>
      </c>
      <c r="M618" s="3">
        <f ca="1">IFERROR(__xludf.DUMMYFUNCTION("""COMPUTED_VALUE"""),0)</f>
        <v>0</v>
      </c>
      <c r="N618" s="3" t="str">
        <f ca="1">IFERROR(__xludf.DUMMYFUNCTION("""COMPUTED_VALUE"""),"2055-06-08T00:16:36.101274Z")</f>
        <v>2055-06-08T00:16:36.101274Z</v>
      </c>
      <c r="O618" s="3" t="str">
        <f ca="1">IFERROR(__xludf.DUMMYFUNCTION("""COMPUTED_VALUE"""),"2055-06-08T00:31:00.826383Z")</f>
        <v>2055-06-08T00:31:00.826383Z</v>
      </c>
      <c r="P618" s="3" t="str">
        <f ca="1">IFERROR(__xludf.DUMMYFUNCTION("""COMPUTED_VALUE"""),"2055-06-08T00:06:07.421361Z")</f>
        <v>2055-06-08T00:06:07.421361Z</v>
      </c>
      <c r="Q618" s="3">
        <f ca="1">IFERROR(__xludf.DUMMYFUNCTION("""COMPUTED_VALUE"""),0)</f>
        <v>0</v>
      </c>
      <c r="R618" s="3" t="str">
        <f ca="1">IFERROR(__xludf.DUMMYFUNCTION("""COMPUTED_VALUE"""),"2055-06-08T00:06:22.035144Z")</f>
        <v>2055-06-08T00:06:22.035144Z</v>
      </c>
      <c r="S618" s="3"/>
      <c r="T618" s="3"/>
      <c r="U618" s="4">
        <f ca="1">IFERROR(__xludf.DUMMYFUNCTION("""COMPUTED_VALUE"""),56772)</f>
        <v>56772</v>
      </c>
      <c r="V618" s="3">
        <f ca="1">IFERROR(__xludf.DUMMYFUNCTION("""COMPUTED_VALUE"""),4.6)</f>
        <v>4.5999999999999996</v>
      </c>
      <c r="W618" s="3">
        <f ca="1">IFERROR(__xludf.DUMMYFUNCTION("""COMPUTED_VALUE"""),2000)</f>
        <v>2000</v>
      </c>
      <c r="X618" s="3">
        <f ca="1">IFERROR(__xludf.DUMMYFUNCTION("""COMPUTED_VALUE"""),1478)</f>
        <v>1478</v>
      </c>
      <c r="Y618" s="3"/>
      <c r="Z618" s="3"/>
      <c r="AA618" s="3">
        <f ca="1">IFERROR(__xludf.DUMMYFUNCTION("""COMPUTED_VALUE"""),864)</f>
        <v>864</v>
      </c>
      <c r="AB618" s="3">
        <f ca="1">IFERROR(__xludf.DUMMYFUNCTION("""COMPUTED_VALUE"""),0)</f>
        <v>0</v>
      </c>
      <c r="AC618" s="3">
        <f ca="1">IFERROR(__xludf.DUMMYFUNCTION("""COMPUTED_VALUE"""),3)</f>
        <v>3</v>
      </c>
      <c r="AD618" s="3"/>
      <c r="AE618" s="3" t="str">
        <f ca="1">IFERROR(__xludf.DUMMYFUNCTION("""COMPUTED_VALUE"""),"2055-06-07T20:16:36.101274Z")</f>
        <v>2055-06-07T20:16:36.101274Z</v>
      </c>
      <c r="AF618" s="3" t="str">
        <f ca="1">IFERROR(__xludf.DUMMYFUNCTION("""COMPUTED_VALUE"""),"2055-06-07T20:31:00.826383Z")</f>
        <v>2055-06-07T20:31:00.826383Z</v>
      </c>
      <c r="AG618" s="3" t="str">
        <f ca="1">IFERROR(__xludf.DUMMYFUNCTION("""COMPUTED_VALUE"""),"2055-06-07T20:06:07.421361Z")</f>
        <v>2055-06-07T20:06:07.421361Z</v>
      </c>
      <c r="AH618" s="3"/>
      <c r="AI618" s="3">
        <f ca="1">IFERROR(__xludf.DUMMYFUNCTION("""COMPUTED_VALUE"""),4.49)</f>
        <v>4.49</v>
      </c>
      <c r="AJ618" s="3">
        <f ca="1">IFERROR(__xludf.DUMMYFUNCTION("""COMPUTED_VALUE"""),2315)</f>
        <v>2315</v>
      </c>
      <c r="AK618" s="3">
        <f ca="1">IFERROR(__xludf.DUMMYFUNCTION("""COMPUTED_VALUE"""),7039)</f>
        <v>7039</v>
      </c>
      <c r="AL618" s="3">
        <f ca="1">IFERROR(__xludf.DUMMYFUNCTION("""COMPUTED_VALUE"""),763)</f>
        <v>763</v>
      </c>
    </row>
    <row r="619" spans="1:38" ht="13">
      <c r="A619" s="3">
        <f ca="1">IFERROR(__xludf.DUMMYFUNCTION("""COMPUTED_VALUE"""),1421)</f>
        <v>1421</v>
      </c>
      <c r="B619" s="3">
        <f ca="1">IFERROR(__xludf.DUMMYFUNCTION("""COMPUTED_VALUE"""),5)</f>
        <v>5</v>
      </c>
      <c r="C619" s="3">
        <f ca="1">IFERROR(__xludf.DUMMYFUNCTION("""COMPUTED_VALUE"""),4001)</f>
        <v>4001</v>
      </c>
      <c r="D619" s="3" t="str">
        <f ca="1">IFERROR(__xludf.DUMMYFUNCTION("""COMPUTED_VALUE"""),"Dashattan")</f>
        <v>Dashattan</v>
      </c>
      <c r="E619" s="3" t="str">
        <f ca="1">IFERROR(__xludf.DUMMYFUNCTION("""COMPUTED_VALUE"""),"Galaxy A")</f>
        <v>Galaxy A</v>
      </c>
      <c r="F619" s="3" t="str">
        <f ca="1">IFERROR(__xludf.DUMMYFUNCTION("""COMPUTED_VALUE"""),"Rojan")</f>
        <v>Rojan</v>
      </c>
      <c r="G619" s="3">
        <f ca="1">IFERROR(__xludf.DUMMYFUNCTION("""COMPUTED_VALUE"""),0)</f>
        <v>0</v>
      </c>
      <c r="H619" s="3" t="str">
        <f ca="1">IFERROR(__xludf.DUMMYFUNCTION("""COMPUTED_VALUE"""),"bicycle")</f>
        <v>bicycle</v>
      </c>
      <c r="I619" s="3" t="str">
        <f ca="1">IFERROR(__xludf.DUMMYFUNCTION("""COMPUTED_VALUE"""),"2055-06-12T17:54:06.816053Z")</f>
        <v>2055-06-12T17:54:06.816053Z</v>
      </c>
      <c r="J619" s="3" t="str">
        <f ca="1">IFERROR(__xludf.DUMMYFUNCTION("""COMPUTED_VALUE"""),"2055-06-12T18:44:55.877Z")</f>
        <v>2055-06-12T18:44:55.877Z</v>
      </c>
      <c r="K619" s="3" t="str">
        <f ca="1">IFERROR(__xludf.DUMMYFUNCTION("""COMPUTED_VALUE"""),"2055-06-12T18:25:16.877Z")</f>
        <v>2055-06-12T18:25:16.877Z</v>
      </c>
      <c r="L619" s="3">
        <f ca="1">IFERROR(__xludf.DUMMYFUNCTION("""COMPUTED_VALUE"""),1)</f>
        <v>1</v>
      </c>
      <c r="M619" s="3">
        <f ca="1">IFERROR(__xludf.DUMMYFUNCTION("""COMPUTED_VALUE"""),0)</f>
        <v>0</v>
      </c>
      <c r="N619" s="3" t="str">
        <f ca="1">IFERROR(__xludf.DUMMYFUNCTION("""COMPUTED_VALUE"""),"2055-06-12T18:09:45.737002Z")</f>
        <v>2055-06-12T18:09:45.737002Z</v>
      </c>
      <c r="O619" s="3" t="str">
        <f ca="1">IFERROR(__xludf.DUMMYFUNCTION("""COMPUTED_VALUE"""),"2055-06-12T18:15:27.69509Z")</f>
        <v>2055-06-12T18:15:27.69509Z</v>
      </c>
      <c r="P619" s="3" t="str">
        <f ca="1">IFERROR(__xludf.DUMMYFUNCTION("""COMPUTED_VALUE"""),"2055-06-12T17:58:54.403277Z")</f>
        <v>2055-06-12T17:58:54.403277Z</v>
      </c>
      <c r="Q619" s="3">
        <f ca="1">IFERROR(__xludf.DUMMYFUNCTION("""COMPUTED_VALUE"""),0)</f>
        <v>0</v>
      </c>
      <c r="R619" s="3" t="str">
        <f ca="1">IFERROR(__xludf.DUMMYFUNCTION("""COMPUTED_VALUE"""),"2055-06-12T17:59:03.133642Z")</f>
        <v>2055-06-12T17:59:03.133642Z</v>
      </c>
      <c r="S619" s="3" t="str">
        <f ca="1">IFERROR(__xludf.DUMMYFUNCTION("""COMPUTED_VALUE"""),"2055-06-12T18:04:57.550297Z")</f>
        <v>2055-06-12T18:04:57.550297Z</v>
      </c>
      <c r="T619" s="3"/>
      <c r="U619" s="4">
        <f ca="1">IFERROR(__xludf.DUMMYFUNCTION("""COMPUTED_VALUE"""),56777)</f>
        <v>56777</v>
      </c>
      <c r="V619" s="3">
        <f ca="1">IFERROR(__xludf.DUMMYFUNCTION("""COMPUTED_VALUE"""),4.2)</f>
        <v>4.2</v>
      </c>
      <c r="W619" s="3">
        <f ca="1">IFERROR(__xludf.DUMMYFUNCTION("""COMPUTED_VALUE"""),2000)</f>
        <v>2000</v>
      </c>
      <c r="X619" s="3">
        <f ca="1">IFERROR(__xludf.DUMMYFUNCTION("""COMPUTED_VALUE"""),984)</f>
        <v>984</v>
      </c>
      <c r="Y619" s="3">
        <f ca="1">IFERROR(__xludf.DUMMYFUNCTION("""COMPUTED_VALUE"""),354)</f>
        <v>354</v>
      </c>
      <c r="Z619" s="3">
        <f ca="1">IFERROR(__xludf.DUMMYFUNCTION("""COMPUTED_VALUE"""),288)</f>
        <v>288</v>
      </c>
      <c r="AA619" s="3">
        <f ca="1">IFERROR(__xludf.DUMMYFUNCTION("""COMPUTED_VALUE"""),342)</f>
        <v>342</v>
      </c>
      <c r="AB619" s="3">
        <f ca="1">IFERROR(__xludf.DUMMYFUNCTION("""COMPUTED_VALUE"""),0)</f>
        <v>0</v>
      </c>
      <c r="AC619" s="3">
        <f ca="1">IFERROR(__xludf.DUMMYFUNCTION("""COMPUTED_VALUE"""),1)</f>
        <v>1</v>
      </c>
      <c r="AD619" s="3" t="str">
        <f ca="1">IFERROR(__xludf.DUMMYFUNCTION("""COMPUTED_VALUE"""),"early")</f>
        <v>early</v>
      </c>
      <c r="AE619" s="3" t="str">
        <f ca="1">IFERROR(__xludf.DUMMYFUNCTION("""COMPUTED_VALUE"""),"2055-06-12T14:09:45.737002Z")</f>
        <v>2055-06-12T14:09:45.737002Z</v>
      </c>
      <c r="AF619" s="3" t="str">
        <f ca="1">IFERROR(__xludf.DUMMYFUNCTION("""COMPUTED_VALUE"""),"2055-06-12T14:15:27.69509Z")</f>
        <v>2055-06-12T14:15:27.69509Z</v>
      </c>
      <c r="AG619" s="3" t="str">
        <f ca="1">IFERROR(__xludf.DUMMYFUNCTION("""COMPUTED_VALUE"""),"2055-06-12T13:58:54.403277Z")</f>
        <v>2055-06-12T13:58:54.403277Z</v>
      </c>
      <c r="AH619" s="3" t="str">
        <f ca="1">IFERROR(__xludf.DUMMYFUNCTION("""COMPUTED_VALUE"""),"2055-06-12T14:04:57.550297Z")</f>
        <v>2055-06-12T14:04:57.550297Z</v>
      </c>
      <c r="AI619" s="3">
        <f ca="1">IFERROR(__xludf.DUMMYFUNCTION("""COMPUTED_VALUE"""),4.58)</f>
        <v>4.58</v>
      </c>
      <c r="AJ619" s="3">
        <f ca="1">IFERROR(__xludf.DUMMYFUNCTION("""COMPUTED_VALUE"""),254)</f>
        <v>254</v>
      </c>
      <c r="AK619" s="3">
        <f ca="1">IFERROR(__xludf.DUMMYFUNCTION("""COMPUTED_VALUE"""),788)</f>
        <v>788</v>
      </c>
      <c r="AL619" s="3">
        <f ca="1">IFERROR(__xludf.DUMMYFUNCTION("""COMPUTED_VALUE"""),9)</f>
        <v>9</v>
      </c>
    </row>
    <row r="620" spans="1:38" ht="13">
      <c r="A620" s="3">
        <f ca="1">IFERROR(__xludf.DUMMYFUNCTION("""COMPUTED_VALUE"""),1554)</f>
        <v>1554</v>
      </c>
      <c r="B620" s="3"/>
      <c r="C620" s="3">
        <f ca="1">IFERROR(__xludf.DUMMYFUNCTION("""COMPUTED_VALUE"""),4001)</f>
        <v>4001</v>
      </c>
      <c r="D620" s="3" t="str">
        <f ca="1">IFERROR(__xludf.DUMMYFUNCTION("""COMPUTED_VALUE"""),"Dashattan")</f>
        <v>Dashattan</v>
      </c>
      <c r="E620" s="3" t="str">
        <f ca="1">IFERROR(__xludf.DUMMYFUNCTION("""COMPUTED_VALUE"""),"Galaxy A")</f>
        <v>Galaxy A</v>
      </c>
      <c r="F620" s="3" t="str">
        <f ca="1">IFERROR(__xludf.DUMMYFUNCTION("""COMPUTED_VALUE"""),"Dave")</f>
        <v>Dave</v>
      </c>
      <c r="G620" s="3">
        <f ca="1">IFERROR(__xludf.DUMMYFUNCTION("""COMPUTED_VALUE"""),1)</f>
        <v>1</v>
      </c>
      <c r="H620" s="3" t="str">
        <f ca="1">IFERROR(__xludf.DUMMYFUNCTION("""COMPUTED_VALUE"""),"bicycle")</f>
        <v>bicycle</v>
      </c>
      <c r="I620" s="3" t="str">
        <f ca="1">IFERROR(__xludf.DUMMYFUNCTION("""COMPUTED_VALUE"""),"2055-06-13T15:02:41.456683Z")</f>
        <v>2055-06-13T15:02:41.456683Z</v>
      </c>
      <c r="J620" s="3" t="str">
        <f ca="1">IFERROR(__xludf.DUMMYFUNCTION("""COMPUTED_VALUE"""),"2055-06-13T15:53:45.526Z")</f>
        <v>2055-06-13T15:53:45.526Z</v>
      </c>
      <c r="K620" s="3" t="str">
        <f ca="1">IFERROR(__xludf.DUMMYFUNCTION("""COMPUTED_VALUE"""),"2055-06-13T15:34:06.526Z")</f>
        <v>2055-06-13T15:34:06.526Z</v>
      </c>
      <c r="L620" s="3">
        <f ca="1">IFERROR(__xludf.DUMMYFUNCTION("""COMPUTED_VALUE"""),1)</f>
        <v>1</v>
      </c>
      <c r="M620" s="3">
        <f ca="1">IFERROR(__xludf.DUMMYFUNCTION("""COMPUTED_VALUE"""),0)</f>
        <v>0</v>
      </c>
      <c r="N620" s="3" t="str">
        <f ca="1">IFERROR(__xludf.DUMMYFUNCTION("""COMPUTED_VALUE"""),"2055-06-13T15:43:14.676402Z")</f>
        <v>2055-06-13T15:43:14.676402Z</v>
      </c>
      <c r="O620" s="3" t="str">
        <f ca="1">IFERROR(__xludf.DUMMYFUNCTION("""COMPUTED_VALUE"""),"2055-06-13T16:05:59.470647Z")</f>
        <v>2055-06-13T16:05:59.470647Z</v>
      </c>
      <c r="P620" s="3" t="str">
        <f ca="1">IFERROR(__xludf.DUMMYFUNCTION("""COMPUTED_VALUE"""),"2055-06-13T15:15:34.246143Z")</f>
        <v>2055-06-13T15:15:34.246143Z</v>
      </c>
      <c r="Q620" s="3">
        <f ca="1">IFERROR(__xludf.DUMMYFUNCTION("""COMPUTED_VALUE"""),0)</f>
        <v>0</v>
      </c>
      <c r="R620" s="3" t="str">
        <f ca="1">IFERROR(__xludf.DUMMYFUNCTION("""COMPUTED_VALUE"""),"2055-06-13T15:15:38.90438Z")</f>
        <v>2055-06-13T15:15:38.90438Z</v>
      </c>
      <c r="S620" s="3" t="str">
        <f ca="1">IFERROR(__xludf.DUMMYFUNCTION("""COMPUTED_VALUE"""),"2055-06-13T15:39:46.27188Z")</f>
        <v>2055-06-13T15:39:46.27188Z</v>
      </c>
      <c r="T620" s="3"/>
      <c r="U620" s="4">
        <f ca="1">IFERROR(__xludf.DUMMYFUNCTION("""COMPUTED_VALUE"""),56778)</f>
        <v>56778</v>
      </c>
      <c r="V620" s="3">
        <f ca="1">IFERROR(__xludf.DUMMYFUNCTION("""COMPUTED_VALUE"""),4.4)</f>
        <v>4.4000000000000004</v>
      </c>
      <c r="W620" s="3">
        <f ca="1">IFERROR(__xludf.DUMMYFUNCTION("""COMPUTED_VALUE"""),2000)</f>
        <v>2000</v>
      </c>
      <c r="X620" s="3">
        <f ca="1">IFERROR(__xludf.DUMMYFUNCTION("""COMPUTED_VALUE"""),3021)</f>
        <v>3021</v>
      </c>
      <c r="Y620" s="3">
        <f ca="1">IFERROR(__xludf.DUMMYFUNCTION("""COMPUTED_VALUE"""),1448)</f>
        <v>1448</v>
      </c>
      <c r="Z620" s="3">
        <f ca="1">IFERROR(__xludf.DUMMYFUNCTION("""COMPUTED_VALUE"""),208)</f>
        <v>208</v>
      </c>
      <c r="AA620" s="3">
        <f ca="1">IFERROR(__xludf.DUMMYFUNCTION("""COMPUTED_VALUE"""),1365)</f>
        <v>1365</v>
      </c>
      <c r="AB620" s="3">
        <f ca="1">IFERROR(__xludf.DUMMYFUNCTION("""COMPUTED_VALUE"""),0)</f>
        <v>0</v>
      </c>
      <c r="AC620" s="3">
        <f ca="1">IFERROR(__xludf.DUMMYFUNCTION("""COMPUTED_VALUE"""),3)</f>
        <v>3</v>
      </c>
      <c r="AD620" s="3" t="str">
        <f ca="1">IFERROR(__xludf.DUMMYFUNCTION("""COMPUTED_VALUE"""),"late")</f>
        <v>late</v>
      </c>
      <c r="AE620" s="3" t="str">
        <f ca="1">IFERROR(__xludf.DUMMYFUNCTION("""COMPUTED_VALUE"""),"2055-06-13T11:43:14.676402Z")</f>
        <v>2055-06-13T11:43:14.676402Z</v>
      </c>
      <c r="AF620" s="3" t="str">
        <f ca="1">IFERROR(__xludf.DUMMYFUNCTION("""COMPUTED_VALUE"""),"2055-06-13T12:05:59.470647Z")</f>
        <v>2055-06-13T12:05:59.470647Z</v>
      </c>
      <c r="AG620" s="3" t="str">
        <f ca="1">IFERROR(__xludf.DUMMYFUNCTION("""COMPUTED_VALUE"""),"2055-06-13T11:15:34.246143Z")</f>
        <v>2055-06-13T11:15:34.246143Z</v>
      </c>
      <c r="AH620" s="3" t="str">
        <f ca="1">IFERROR(__xludf.DUMMYFUNCTION("""COMPUTED_VALUE"""),"2055-06-13T11:39:46.27188Z")</f>
        <v>2055-06-13T11:39:46.27188Z</v>
      </c>
      <c r="AI620" s="3">
        <f ca="1">IFERROR(__xludf.DUMMYFUNCTION("""COMPUTED_VALUE"""),4.537037037)</f>
        <v>4.5370370370000002</v>
      </c>
      <c r="AJ620" s="3">
        <f ca="1">IFERROR(__xludf.DUMMYFUNCTION("""COMPUTED_VALUE"""),43)</f>
        <v>43</v>
      </c>
      <c r="AK620" s="3">
        <f ca="1">IFERROR(__xludf.DUMMYFUNCTION("""COMPUTED_VALUE"""),142)</f>
        <v>142</v>
      </c>
      <c r="AL620" s="3">
        <f ca="1">IFERROR(__xludf.DUMMYFUNCTION("""COMPUTED_VALUE"""),11)</f>
        <v>11</v>
      </c>
    </row>
    <row r="621" spans="1:38" ht="13">
      <c r="A621" s="3">
        <f ca="1">IFERROR(__xludf.DUMMYFUNCTION("""COMPUTED_VALUE"""),344)</f>
        <v>344</v>
      </c>
      <c r="B621" s="3"/>
      <c r="C621" s="3">
        <f ca="1">IFERROR(__xludf.DUMMYFUNCTION("""COMPUTED_VALUE"""),4050)</f>
        <v>4050</v>
      </c>
      <c r="D621" s="3" t="str">
        <f ca="1">IFERROR(__xludf.DUMMYFUNCTION("""COMPUTED_VALUE"""),"Doorlanta")</f>
        <v>Doorlanta</v>
      </c>
      <c r="E621" s="3" t="str">
        <f ca="1">IFERROR(__xludf.DUMMYFUNCTION("""COMPUTED_VALUE"""),"Galaxy A")</f>
        <v>Galaxy A</v>
      </c>
      <c r="F621" s="3" t="str">
        <f ca="1">IFERROR(__xludf.DUMMYFUNCTION("""COMPUTED_VALUE"""),"Josh")</f>
        <v>Josh</v>
      </c>
      <c r="G621" s="3">
        <f ca="1">IFERROR(__xludf.DUMMYFUNCTION("""COMPUTED_VALUE"""),0)</f>
        <v>0</v>
      </c>
      <c r="H621" s="3" t="str">
        <f ca="1">IFERROR(__xludf.DUMMYFUNCTION("""COMPUTED_VALUE"""),"car")</f>
        <v>car</v>
      </c>
      <c r="I621" s="3" t="str">
        <f ca="1">IFERROR(__xludf.DUMMYFUNCTION("""COMPUTED_VALUE"""),"2055-06-03T22:13:11.644998Z")</f>
        <v>2055-06-03T22:13:11.644998Z</v>
      </c>
      <c r="J621" s="3" t="str">
        <f ca="1">IFERROR(__xludf.DUMMYFUNCTION("""COMPUTED_VALUE"""),"2055-06-03T23:10:59.735Z")</f>
        <v>2055-06-03T23:10:59.735Z</v>
      </c>
      <c r="K621" s="3" t="str">
        <f ca="1">IFERROR(__xludf.DUMMYFUNCTION("""COMPUTED_VALUE"""),"2055-06-03T22:50:52.735Z")</f>
        <v>2055-06-03T22:50:52.735Z</v>
      </c>
      <c r="L621" s="3">
        <f ca="1">IFERROR(__xludf.DUMMYFUNCTION("""COMPUTED_VALUE"""),1)</f>
        <v>1</v>
      </c>
      <c r="M621" s="3">
        <f ca="1">IFERROR(__xludf.DUMMYFUNCTION("""COMPUTED_VALUE"""),0)</f>
        <v>0</v>
      </c>
      <c r="N621" s="3" t="str">
        <f ca="1">IFERROR(__xludf.DUMMYFUNCTION("""COMPUTED_VALUE"""),"2055-06-03T22:45:44.876155Z")</f>
        <v>2055-06-03T22:45:44.876155Z</v>
      </c>
      <c r="O621" s="3" t="str">
        <f ca="1">IFERROR(__xludf.DUMMYFUNCTION("""COMPUTED_VALUE"""),"2055-06-03T23:02:48.833206Z")</f>
        <v>2055-06-03T23:02:48.833206Z</v>
      </c>
      <c r="P621" s="3" t="str">
        <f ca="1">IFERROR(__xludf.DUMMYFUNCTION("""COMPUTED_VALUE"""),"2055-06-03T22:15:47.348507Z")</f>
        <v>2055-06-03T22:15:47.348507Z</v>
      </c>
      <c r="Q621" s="3">
        <f ca="1">IFERROR(__xludf.DUMMYFUNCTION("""COMPUTED_VALUE"""),0)</f>
        <v>0</v>
      </c>
      <c r="R621" s="3" t="str">
        <f ca="1">IFERROR(__xludf.DUMMYFUNCTION("""COMPUTED_VALUE"""),"2055-06-03T22:15:51.392655Z")</f>
        <v>2055-06-03T22:15:51.392655Z</v>
      </c>
      <c r="S621" s="3" t="str">
        <f ca="1">IFERROR(__xludf.DUMMYFUNCTION("""COMPUTED_VALUE"""),"2055-06-03T22:44:45.64329Z")</f>
        <v>2055-06-03T22:44:45.64329Z</v>
      </c>
      <c r="T621" s="3"/>
      <c r="U621" s="4">
        <f ca="1">IFERROR(__xludf.DUMMYFUNCTION("""COMPUTED_VALUE"""),56768)</f>
        <v>56768</v>
      </c>
      <c r="V621" s="3">
        <f ca="1">IFERROR(__xludf.DUMMYFUNCTION("""COMPUTED_VALUE"""),4.7)</f>
        <v>4.7</v>
      </c>
      <c r="W621" s="3">
        <f ca="1">IFERROR(__xludf.DUMMYFUNCTION("""COMPUTED_VALUE"""),2000)</f>
        <v>2000</v>
      </c>
      <c r="X621" s="3">
        <f ca="1">IFERROR(__xludf.DUMMYFUNCTION("""COMPUTED_VALUE"""),2817)</f>
        <v>2817</v>
      </c>
      <c r="Y621" s="3">
        <f ca="1">IFERROR(__xludf.DUMMYFUNCTION("""COMPUTED_VALUE"""),1734)</f>
        <v>1734</v>
      </c>
      <c r="Z621" s="3">
        <f ca="1">IFERROR(__xludf.DUMMYFUNCTION("""COMPUTED_VALUE"""),59)</f>
        <v>59</v>
      </c>
      <c r="AA621" s="3">
        <f ca="1">IFERROR(__xludf.DUMMYFUNCTION("""COMPUTED_VALUE"""),1024)</f>
        <v>1024</v>
      </c>
      <c r="AB621" s="3">
        <f ca="1">IFERROR(__xludf.DUMMYFUNCTION("""COMPUTED_VALUE"""),0)</f>
        <v>0</v>
      </c>
      <c r="AC621" s="3">
        <f ca="1">IFERROR(__xludf.DUMMYFUNCTION("""COMPUTED_VALUE"""),5)</f>
        <v>5</v>
      </c>
      <c r="AD621" s="3" t="str">
        <f ca="1">IFERROR(__xludf.DUMMYFUNCTION("""COMPUTED_VALUE"""),"late")</f>
        <v>late</v>
      </c>
      <c r="AE621" s="3" t="str">
        <f ca="1">IFERROR(__xludf.DUMMYFUNCTION("""COMPUTED_VALUE"""),"2055-06-03T18:45:44.876155Z")</f>
        <v>2055-06-03T18:45:44.876155Z</v>
      </c>
      <c r="AF621" s="3" t="str">
        <f ca="1">IFERROR(__xludf.DUMMYFUNCTION("""COMPUTED_VALUE"""),"2055-06-03T19:02:48.833206Z")</f>
        <v>2055-06-03T19:02:48.833206Z</v>
      </c>
      <c r="AG621" s="3" t="str">
        <f ca="1">IFERROR(__xludf.DUMMYFUNCTION("""COMPUTED_VALUE"""),"2055-06-03T18:15:47.348507Z")</f>
        <v>2055-06-03T18:15:47.348507Z</v>
      </c>
      <c r="AH621" s="3" t="str">
        <f ca="1">IFERROR(__xludf.DUMMYFUNCTION("""COMPUTED_VALUE"""),"2055-06-03T18:44:45.64329Z")</f>
        <v>2055-06-03T18:44:45.64329Z</v>
      </c>
      <c r="AI621" s="3">
        <f ca="1">IFERROR(__xludf.DUMMYFUNCTION("""COMPUTED_VALUE"""),4.77)</f>
        <v>4.7699999999999996</v>
      </c>
      <c r="AJ621" s="3">
        <f ca="1">IFERROR(__xludf.DUMMYFUNCTION("""COMPUTED_VALUE"""),426)</f>
        <v>426</v>
      </c>
      <c r="AK621" s="3">
        <f ca="1">IFERROR(__xludf.DUMMYFUNCTION("""COMPUTED_VALUE"""),1226)</f>
        <v>1226</v>
      </c>
      <c r="AL621" s="3">
        <f ca="1">IFERROR(__xludf.DUMMYFUNCTION("""COMPUTED_VALUE"""),85)</f>
        <v>85</v>
      </c>
    </row>
    <row r="622" spans="1:38" ht="13">
      <c r="A622" s="3">
        <f ca="1">IFERROR(__xludf.DUMMYFUNCTION("""COMPUTED_VALUE"""),1118)</f>
        <v>1118</v>
      </c>
      <c r="B622" s="3">
        <f ca="1">IFERROR(__xludf.DUMMYFUNCTION("""COMPUTED_VALUE"""),5)</f>
        <v>5</v>
      </c>
      <c r="C622" s="3">
        <f ca="1">IFERROR(__xludf.DUMMYFUNCTION("""COMPUTED_VALUE"""),4001)</f>
        <v>4001</v>
      </c>
      <c r="D622" s="3" t="str">
        <f ca="1">IFERROR(__xludf.DUMMYFUNCTION("""COMPUTED_VALUE"""),"Dashattan")</f>
        <v>Dashattan</v>
      </c>
      <c r="E622" s="3" t="str">
        <f ca="1">IFERROR(__xludf.DUMMYFUNCTION("""COMPUTED_VALUE"""),"Galaxy A")</f>
        <v>Galaxy A</v>
      </c>
      <c r="F622" s="3" t="str">
        <f ca="1">IFERROR(__xludf.DUMMYFUNCTION("""COMPUTED_VALUE"""),"J")</f>
        <v>J</v>
      </c>
      <c r="G622" s="3">
        <f ca="1">IFERROR(__xludf.DUMMYFUNCTION("""COMPUTED_VALUE"""),0)</f>
        <v>0</v>
      </c>
      <c r="H622" s="3" t="str">
        <f ca="1">IFERROR(__xludf.DUMMYFUNCTION("""COMPUTED_VALUE"""),"bicycle")</f>
        <v>bicycle</v>
      </c>
      <c r="I622" s="3" t="str">
        <f ca="1">IFERROR(__xludf.DUMMYFUNCTION("""COMPUTED_VALUE"""),"2055-06-10T14:59:43.015372Z")</f>
        <v>2055-06-10T14:59:43.015372Z</v>
      </c>
      <c r="J622" s="3" t="str">
        <f ca="1">IFERROR(__xludf.DUMMYFUNCTION("""COMPUTED_VALUE"""),"2055-06-10T15:59:32.098Z")</f>
        <v>2055-06-10T15:59:32.098Z</v>
      </c>
      <c r="K622" s="3" t="str">
        <f ca="1">IFERROR(__xludf.DUMMYFUNCTION("""COMPUTED_VALUE"""),"2055-06-10T15:43:53.098Z")</f>
        <v>2055-06-10T15:43:53.098Z</v>
      </c>
      <c r="L622" s="3">
        <f ca="1">IFERROR(__xludf.DUMMYFUNCTION("""COMPUTED_VALUE"""),1)</f>
        <v>1</v>
      </c>
      <c r="M622" s="3">
        <f ca="1">IFERROR(__xludf.DUMMYFUNCTION("""COMPUTED_VALUE"""),0)</f>
        <v>0</v>
      </c>
      <c r="N622" s="3" t="str">
        <f ca="1">IFERROR(__xludf.DUMMYFUNCTION("""COMPUTED_VALUE"""),"2055-06-10T15:21:32.064772Z")</f>
        <v>2055-06-10T15:21:32.064772Z</v>
      </c>
      <c r="O622" s="3" t="str">
        <f ca="1">IFERROR(__xludf.DUMMYFUNCTION("""COMPUTED_VALUE"""),"2055-06-10T15:27:41.574772Z")</f>
        <v>2055-06-10T15:27:41.574772Z</v>
      </c>
      <c r="P622" s="3" t="str">
        <f ca="1">IFERROR(__xludf.DUMMYFUNCTION("""COMPUTED_VALUE"""),"2055-06-10T14:59:54.100427Z")</f>
        <v>2055-06-10T14:59:54.100427Z</v>
      </c>
      <c r="Q622" s="3">
        <f ca="1">IFERROR(__xludf.DUMMYFUNCTION("""COMPUTED_VALUE"""),0)</f>
        <v>0</v>
      </c>
      <c r="R622" s="3" t="str">
        <f ca="1">IFERROR(__xludf.DUMMYFUNCTION("""COMPUTED_VALUE"""),"2055-06-10T15:00:20.113607Z")</f>
        <v>2055-06-10T15:00:20.113607Z</v>
      </c>
      <c r="S622" s="3" t="str">
        <f ca="1">IFERROR(__xludf.DUMMYFUNCTION("""COMPUTED_VALUE"""),"2055-06-10T15:14:11.365872Z")</f>
        <v>2055-06-10T15:14:11.365872Z</v>
      </c>
      <c r="T622" s="3"/>
      <c r="U622" s="4">
        <f ca="1">IFERROR(__xludf.DUMMYFUNCTION("""COMPUTED_VALUE"""),56775)</f>
        <v>56775</v>
      </c>
      <c r="V622" s="3">
        <f ca="1">IFERROR(__xludf.DUMMYFUNCTION("""COMPUTED_VALUE"""),2.856812235)</f>
        <v>2.856812235</v>
      </c>
      <c r="W622" s="3">
        <f ca="1">IFERROR(__xludf.DUMMYFUNCTION("""COMPUTED_VALUE"""),2000)</f>
        <v>2000</v>
      </c>
      <c r="X622" s="3">
        <f ca="1">IFERROR(__xludf.DUMMYFUNCTION("""COMPUTED_VALUE"""),1641)</f>
        <v>1641</v>
      </c>
      <c r="Y622" s="3">
        <f ca="1">IFERROR(__xludf.DUMMYFUNCTION("""COMPUTED_VALUE"""),831)</f>
        <v>831</v>
      </c>
      <c r="Z622" s="3">
        <f ca="1">IFERROR(__xludf.DUMMYFUNCTION("""COMPUTED_VALUE"""),441)</f>
        <v>441</v>
      </c>
      <c r="AA622" s="3">
        <f ca="1">IFERROR(__xludf.DUMMYFUNCTION("""COMPUTED_VALUE"""),369)</f>
        <v>369</v>
      </c>
      <c r="AB622" s="3">
        <f ca="1">IFERROR(__xludf.DUMMYFUNCTION("""COMPUTED_VALUE"""),0)</f>
        <v>0</v>
      </c>
      <c r="AC622" s="3">
        <f ca="1">IFERROR(__xludf.DUMMYFUNCTION("""COMPUTED_VALUE"""),5)</f>
        <v>5</v>
      </c>
      <c r="AD622" s="3"/>
      <c r="AE622" s="3" t="str">
        <f ca="1">IFERROR(__xludf.DUMMYFUNCTION("""COMPUTED_VALUE"""),"2055-06-10T11:21:32.064772Z")</f>
        <v>2055-06-10T11:21:32.064772Z</v>
      </c>
      <c r="AF622" s="3" t="str">
        <f ca="1">IFERROR(__xludf.DUMMYFUNCTION("""COMPUTED_VALUE"""),"2055-06-10T11:27:41.574772Z")</f>
        <v>2055-06-10T11:27:41.574772Z</v>
      </c>
      <c r="AG622" s="3" t="str">
        <f ca="1">IFERROR(__xludf.DUMMYFUNCTION("""COMPUTED_VALUE"""),"2055-06-10T10:59:54.100427Z")</f>
        <v>2055-06-10T10:59:54.100427Z</v>
      </c>
      <c r="AH622" s="3" t="str">
        <f ca="1">IFERROR(__xludf.DUMMYFUNCTION("""COMPUTED_VALUE"""),"2055-06-10T11:14:11.365872Z")</f>
        <v>2055-06-10T11:14:11.365872Z</v>
      </c>
      <c r="AI622" s="3">
        <f ca="1">IFERROR(__xludf.DUMMYFUNCTION("""COMPUTED_VALUE"""),4.6)</f>
        <v>4.5999999999999996</v>
      </c>
      <c r="AJ622" s="3">
        <f ca="1">IFERROR(__xludf.DUMMYFUNCTION("""COMPUTED_VALUE"""),292)</f>
        <v>292</v>
      </c>
      <c r="AK622" s="3">
        <f ca="1">IFERROR(__xludf.DUMMYFUNCTION("""COMPUTED_VALUE"""),1027)</f>
        <v>1027</v>
      </c>
      <c r="AL622" s="3">
        <f ca="1">IFERROR(__xludf.DUMMYFUNCTION("""COMPUTED_VALUE"""),26)</f>
        <v>26</v>
      </c>
    </row>
    <row r="623" spans="1:38" ht="13">
      <c r="A623" s="3">
        <f ca="1">IFERROR(__xludf.DUMMYFUNCTION("""COMPUTED_VALUE"""),614)</f>
        <v>614</v>
      </c>
      <c r="B623" s="3"/>
      <c r="C623" s="3">
        <f ca="1">IFERROR(__xludf.DUMMYFUNCTION("""COMPUTED_VALUE"""),4050)</f>
        <v>4050</v>
      </c>
      <c r="D623" s="3" t="str">
        <f ca="1">IFERROR(__xludf.DUMMYFUNCTION("""COMPUTED_VALUE"""),"Doorlanta")</f>
        <v>Doorlanta</v>
      </c>
      <c r="E623" s="3" t="str">
        <f ca="1">IFERROR(__xludf.DUMMYFUNCTION("""COMPUTED_VALUE"""),"Galaxy A")</f>
        <v>Galaxy A</v>
      </c>
      <c r="F623" s="3" t="str">
        <f ca="1">IFERROR(__xludf.DUMMYFUNCTION("""COMPUTED_VALUE"""),"Elon")</f>
        <v>Elon</v>
      </c>
      <c r="G623" s="3">
        <f ca="1">IFERROR(__xludf.DUMMYFUNCTION("""COMPUTED_VALUE"""),0)</f>
        <v>0</v>
      </c>
      <c r="H623" s="3" t="str">
        <f ca="1">IFERROR(__xludf.DUMMYFUNCTION("""COMPUTED_VALUE"""),"car")</f>
        <v>car</v>
      </c>
      <c r="I623" s="3" t="str">
        <f ca="1">IFERROR(__xludf.DUMMYFUNCTION("""COMPUTED_VALUE"""),"2055-06-05T20:30:00.621524Z")</f>
        <v>2055-06-05T20:30:00.621524Z</v>
      </c>
      <c r="J623" s="3" t="str">
        <f ca="1">IFERROR(__xludf.DUMMYFUNCTION("""COMPUTED_VALUE"""),"2055-06-05T21:29:20.705Z")</f>
        <v>2055-06-05T21:29:20.705Z</v>
      </c>
      <c r="K623" s="3" t="str">
        <f ca="1">IFERROR(__xludf.DUMMYFUNCTION("""COMPUTED_VALUE"""),"2055-06-05T21:09:13.705Z")</f>
        <v>2055-06-05T21:09:13.705Z</v>
      </c>
      <c r="L623" s="3">
        <f ca="1">IFERROR(__xludf.DUMMYFUNCTION("""COMPUTED_VALUE"""),1)</f>
        <v>1</v>
      </c>
      <c r="M623" s="3">
        <f ca="1">IFERROR(__xludf.DUMMYFUNCTION("""COMPUTED_VALUE"""),0)</f>
        <v>0</v>
      </c>
      <c r="N623" s="3" t="str">
        <f ca="1">IFERROR(__xludf.DUMMYFUNCTION("""COMPUTED_VALUE"""),"2055-06-05T21:09:06.090962Z")</f>
        <v>2055-06-05T21:09:06.090962Z</v>
      </c>
      <c r="O623" s="3" t="str">
        <f ca="1">IFERROR(__xludf.DUMMYFUNCTION("""COMPUTED_VALUE"""),"2055-06-05T21:18:51.255671Z")</f>
        <v>2055-06-05T21:18:51.255671Z</v>
      </c>
      <c r="P623" s="3" t="str">
        <f ca="1">IFERROR(__xludf.DUMMYFUNCTION("""COMPUTED_VALUE"""),"2055-06-05T20:36:07.301595Z")</f>
        <v>2055-06-05T20:36:07.301595Z</v>
      </c>
      <c r="Q623" s="3">
        <f ca="1">IFERROR(__xludf.DUMMYFUNCTION("""COMPUTED_VALUE"""),0)</f>
        <v>0</v>
      </c>
      <c r="R623" s="3" t="str">
        <f ca="1">IFERROR(__xludf.DUMMYFUNCTION("""COMPUTED_VALUE"""),"2055-06-05T20:36:10.858011Z")</f>
        <v>2055-06-05T20:36:10.858011Z</v>
      </c>
      <c r="S623" s="3" t="str">
        <f ca="1">IFERROR(__xludf.DUMMYFUNCTION("""COMPUTED_VALUE"""),"2055-06-05T21:00:18.65834Z")</f>
        <v>2055-06-05T21:00:18.65834Z</v>
      </c>
      <c r="T623" s="3"/>
      <c r="U623" s="4">
        <f ca="1">IFERROR(__xludf.DUMMYFUNCTION("""COMPUTED_VALUE"""),56770)</f>
        <v>56770</v>
      </c>
      <c r="V623" s="3">
        <f ca="1">IFERROR(__xludf.DUMMYFUNCTION("""COMPUTED_VALUE"""),4.7)</f>
        <v>4.7</v>
      </c>
      <c r="W623" s="3">
        <f ca="1">IFERROR(__xludf.DUMMYFUNCTION("""COMPUTED_VALUE"""),2000)</f>
        <v>2000</v>
      </c>
      <c r="X623" s="3">
        <f ca="1">IFERROR(__xludf.DUMMYFUNCTION("""COMPUTED_VALUE"""),2561)</f>
        <v>2561</v>
      </c>
      <c r="Y623" s="3">
        <f ca="1">IFERROR(__xludf.DUMMYFUNCTION("""COMPUTED_VALUE"""),1448)</f>
        <v>1448</v>
      </c>
      <c r="Z623" s="3">
        <f ca="1">IFERROR(__xludf.DUMMYFUNCTION("""COMPUTED_VALUE"""),528)</f>
        <v>528</v>
      </c>
      <c r="AA623" s="3">
        <f ca="1">IFERROR(__xludf.DUMMYFUNCTION("""COMPUTED_VALUE"""),585)</f>
        <v>585</v>
      </c>
      <c r="AB623" s="3">
        <f ca="1">IFERROR(__xludf.DUMMYFUNCTION("""COMPUTED_VALUE"""),0)</f>
        <v>0</v>
      </c>
      <c r="AC623" s="3">
        <f ca="1">IFERROR(__xludf.DUMMYFUNCTION("""COMPUTED_VALUE"""),8)</f>
        <v>8</v>
      </c>
      <c r="AD623" s="3" t="str">
        <f ca="1">IFERROR(__xludf.DUMMYFUNCTION("""COMPUTED_VALUE"""),"late")</f>
        <v>late</v>
      </c>
      <c r="AE623" s="3" t="str">
        <f ca="1">IFERROR(__xludf.DUMMYFUNCTION("""COMPUTED_VALUE"""),"2055-06-05T17:09:06.090962Z")</f>
        <v>2055-06-05T17:09:06.090962Z</v>
      </c>
      <c r="AF623" s="3" t="str">
        <f ca="1">IFERROR(__xludf.DUMMYFUNCTION("""COMPUTED_VALUE"""),"2055-06-05T17:18:51.255671Z")</f>
        <v>2055-06-05T17:18:51.255671Z</v>
      </c>
      <c r="AG623" s="3" t="str">
        <f ca="1">IFERROR(__xludf.DUMMYFUNCTION("""COMPUTED_VALUE"""),"2055-06-05T16:36:07.301595Z")</f>
        <v>2055-06-05T16:36:07.301595Z</v>
      </c>
      <c r="AH623" s="3" t="str">
        <f ca="1">IFERROR(__xludf.DUMMYFUNCTION("""COMPUTED_VALUE"""),"2055-06-05T17:00:18.65834Z")</f>
        <v>2055-06-05T17:00:18.65834Z</v>
      </c>
      <c r="AI623" s="3">
        <f ca="1">IFERROR(__xludf.DUMMYFUNCTION("""COMPUTED_VALUE"""),4.62)</f>
        <v>4.62</v>
      </c>
      <c r="AJ623" s="3">
        <f ca="1">IFERROR(__xludf.DUMMYFUNCTION("""COMPUTED_VALUE"""),259)</f>
        <v>259</v>
      </c>
      <c r="AK623" s="3">
        <f ca="1">IFERROR(__xludf.DUMMYFUNCTION("""COMPUTED_VALUE"""),604)</f>
        <v>604</v>
      </c>
      <c r="AL623" s="3">
        <f ca="1">IFERROR(__xludf.DUMMYFUNCTION("""COMPUTED_VALUE"""),21)</f>
        <v>21</v>
      </c>
    </row>
    <row r="624" spans="1:38" ht="13">
      <c r="A624" s="3">
        <f ca="1">IFERROR(__xludf.DUMMYFUNCTION("""COMPUTED_VALUE"""),1111)</f>
        <v>1111</v>
      </c>
      <c r="B624" s="3">
        <f ca="1">IFERROR(__xludf.DUMMYFUNCTION("""COMPUTED_VALUE"""),5)</f>
        <v>5</v>
      </c>
      <c r="C624" s="3">
        <f ca="1">IFERROR(__xludf.DUMMYFUNCTION("""COMPUTED_VALUE"""),4001)</f>
        <v>4001</v>
      </c>
      <c r="D624" s="3" t="str">
        <f ca="1">IFERROR(__xludf.DUMMYFUNCTION("""COMPUTED_VALUE"""),"Dashattan")</f>
        <v>Dashattan</v>
      </c>
      <c r="E624" s="3" t="str">
        <f ca="1">IFERROR(__xludf.DUMMYFUNCTION("""COMPUTED_VALUE"""),"Galaxy A")</f>
        <v>Galaxy A</v>
      </c>
      <c r="F624" s="3" t="str">
        <f ca="1">IFERROR(__xludf.DUMMYFUNCTION("""COMPUTED_VALUE"""),"Mike")</f>
        <v>Mike</v>
      </c>
      <c r="G624" s="3">
        <f ca="1">IFERROR(__xludf.DUMMYFUNCTION("""COMPUTED_VALUE"""),1)</f>
        <v>1</v>
      </c>
      <c r="H624" s="3" t="str">
        <f ca="1">IFERROR(__xludf.DUMMYFUNCTION("""COMPUTED_VALUE"""),"bicycle")</f>
        <v>bicycle</v>
      </c>
      <c r="I624" s="3" t="str">
        <f ca="1">IFERROR(__xludf.DUMMYFUNCTION("""COMPUTED_VALUE"""),"2055-06-10T13:45:21.165371Z")</f>
        <v>2055-06-10T13:45:21.165371Z</v>
      </c>
      <c r="J624" s="3" t="str">
        <f ca="1">IFERROR(__xludf.DUMMYFUNCTION("""COMPUTED_VALUE"""),"2055-06-10T14:28:22.231Z")</f>
        <v>2055-06-10T14:28:22.231Z</v>
      </c>
      <c r="K624" s="3" t="str">
        <f ca="1">IFERROR(__xludf.DUMMYFUNCTION("""COMPUTED_VALUE"""),"2055-06-10T14:24:29.231Z")</f>
        <v>2055-06-10T14:24:29.231Z</v>
      </c>
      <c r="L624" s="3">
        <f ca="1">IFERROR(__xludf.DUMMYFUNCTION("""COMPUTED_VALUE"""),1)</f>
        <v>1</v>
      </c>
      <c r="M624" s="3">
        <f ca="1">IFERROR(__xludf.DUMMYFUNCTION("""COMPUTED_VALUE"""),0)</f>
        <v>0</v>
      </c>
      <c r="N624" s="3" t="str">
        <f ca="1">IFERROR(__xludf.DUMMYFUNCTION("""COMPUTED_VALUE"""),"2055-06-10T14:19:25.488757Z")</f>
        <v>2055-06-10T14:19:25.488757Z</v>
      </c>
      <c r="O624" s="3" t="str">
        <f ca="1">IFERROR(__xludf.DUMMYFUNCTION("""COMPUTED_VALUE"""),"2055-06-10T14:33:47.628192Z")</f>
        <v>2055-06-10T14:33:47.628192Z</v>
      </c>
      <c r="P624" s="3" t="str">
        <f ca="1">IFERROR(__xludf.DUMMYFUNCTION("""COMPUTED_VALUE"""),"2055-06-10T13:47:34.113192Z")</f>
        <v>2055-06-10T13:47:34.113192Z</v>
      </c>
      <c r="Q624" s="3">
        <f ca="1">IFERROR(__xludf.DUMMYFUNCTION("""COMPUTED_VALUE"""),0)</f>
        <v>0</v>
      </c>
      <c r="R624" s="3" t="str">
        <f ca="1">IFERROR(__xludf.DUMMYFUNCTION("""COMPUTED_VALUE"""),"2055-06-10T13:48:31.879682Z")</f>
        <v>2055-06-10T13:48:31.879682Z</v>
      </c>
      <c r="S624" s="3" t="str">
        <f ca="1">IFERROR(__xludf.DUMMYFUNCTION("""COMPUTED_VALUE"""),"2055-06-10T13:54:38.028421Z")</f>
        <v>2055-06-10T13:54:38.028421Z</v>
      </c>
      <c r="T624" s="3"/>
      <c r="U624" s="4">
        <f ca="1">IFERROR(__xludf.DUMMYFUNCTION("""COMPUTED_VALUE"""),56775)</f>
        <v>56775</v>
      </c>
      <c r="V624" s="3">
        <f ca="1">IFERROR(__xludf.DUMMYFUNCTION("""COMPUTED_VALUE"""),3.507386628)</f>
        <v>3.5073866279999999</v>
      </c>
      <c r="W624" s="3">
        <f ca="1">IFERROR(__xludf.DUMMYFUNCTION("""COMPUTED_VALUE"""),2000)</f>
        <v>2000</v>
      </c>
      <c r="X624" s="3">
        <f ca="1">IFERROR(__xludf.DUMMYFUNCTION("""COMPUTED_VALUE"""),2716)</f>
        <v>2716</v>
      </c>
      <c r="Y624" s="3">
        <f ca="1">IFERROR(__xludf.DUMMYFUNCTION("""COMPUTED_VALUE"""),367)</f>
        <v>367</v>
      </c>
      <c r="Z624" s="3">
        <f ca="1">IFERROR(__xludf.DUMMYFUNCTION("""COMPUTED_VALUE"""),1487)</f>
        <v>1487</v>
      </c>
      <c r="AA624" s="3">
        <f ca="1">IFERROR(__xludf.DUMMYFUNCTION("""COMPUTED_VALUE"""),862)</f>
        <v>862</v>
      </c>
      <c r="AB624" s="3">
        <f ca="1">IFERROR(__xludf.DUMMYFUNCTION("""COMPUTED_VALUE"""),0)</f>
        <v>0</v>
      </c>
      <c r="AC624" s="3">
        <f ca="1">IFERROR(__xludf.DUMMYFUNCTION("""COMPUTED_VALUE"""),2)</f>
        <v>2</v>
      </c>
      <c r="AD624" s="3"/>
      <c r="AE624" s="3" t="str">
        <f ca="1">IFERROR(__xludf.DUMMYFUNCTION("""COMPUTED_VALUE"""),"2055-06-10T10:19:25.488757Z")</f>
        <v>2055-06-10T10:19:25.488757Z</v>
      </c>
      <c r="AF624" s="3" t="str">
        <f ca="1">IFERROR(__xludf.DUMMYFUNCTION("""COMPUTED_VALUE"""),"2055-06-10T10:33:47.628192Z")</f>
        <v>2055-06-10T10:33:47.628192Z</v>
      </c>
      <c r="AG624" s="3" t="str">
        <f ca="1">IFERROR(__xludf.DUMMYFUNCTION("""COMPUTED_VALUE"""),"2055-06-10T09:47:34.113192Z")</f>
        <v>2055-06-10T09:47:34.113192Z</v>
      </c>
      <c r="AH624" s="3" t="str">
        <f ca="1">IFERROR(__xludf.DUMMYFUNCTION("""COMPUTED_VALUE"""),"2055-06-10T09:54:38.028421Z")</f>
        <v>2055-06-10T09:54:38.028421Z</v>
      </c>
      <c r="AI624" s="3">
        <f ca="1">IFERROR(__xludf.DUMMYFUNCTION("""COMPUTED_VALUE"""),4.63)</f>
        <v>4.63</v>
      </c>
      <c r="AJ624" s="3">
        <f ca="1">IFERROR(__xludf.DUMMYFUNCTION("""COMPUTED_VALUE"""),242)</f>
        <v>242</v>
      </c>
      <c r="AK624" s="3">
        <f ca="1">IFERROR(__xludf.DUMMYFUNCTION("""COMPUTED_VALUE"""),736)</f>
        <v>736</v>
      </c>
      <c r="AL624" s="3"/>
    </row>
    <row r="625" spans="1:38" ht="13">
      <c r="A625" s="3">
        <f ca="1">IFERROR(__xludf.DUMMYFUNCTION("""COMPUTED_VALUE"""),459)</f>
        <v>459</v>
      </c>
      <c r="B625" s="3">
        <f ca="1">IFERROR(__xludf.DUMMYFUNCTION("""COMPUTED_VALUE"""),5)</f>
        <v>5</v>
      </c>
      <c r="C625" s="3">
        <f ca="1">IFERROR(__xludf.DUMMYFUNCTION("""COMPUTED_VALUE"""),4050)</f>
        <v>4050</v>
      </c>
      <c r="D625" s="3" t="str">
        <f ca="1">IFERROR(__xludf.DUMMYFUNCTION("""COMPUTED_VALUE"""),"Doorlanta")</f>
        <v>Doorlanta</v>
      </c>
      <c r="E625" s="3" t="str">
        <f ca="1">IFERROR(__xludf.DUMMYFUNCTION("""COMPUTED_VALUE"""),"Galaxy A")</f>
        <v>Galaxy A</v>
      </c>
      <c r="F625" s="3" t="str">
        <f ca="1">IFERROR(__xludf.DUMMYFUNCTION("""COMPUTED_VALUE"""),"Erinn")</f>
        <v>Erinn</v>
      </c>
      <c r="G625" s="3">
        <f ca="1">IFERROR(__xludf.DUMMYFUNCTION("""COMPUTED_VALUE"""),0)</f>
        <v>0</v>
      </c>
      <c r="H625" s="3" t="str">
        <f ca="1">IFERROR(__xludf.DUMMYFUNCTION("""COMPUTED_VALUE"""),"car")</f>
        <v>car</v>
      </c>
      <c r="I625" s="3" t="str">
        <f ca="1">IFERROR(__xludf.DUMMYFUNCTION("""COMPUTED_VALUE"""),"2055-06-04T22:11:45.693596Z")</f>
        <v>2055-06-04T22:11:45.693596Z</v>
      </c>
      <c r="J625" s="3" t="str">
        <f ca="1">IFERROR(__xludf.DUMMYFUNCTION("""COMPUTED_VALUE"""),"2055-06-04T23:06:45.769Z")</f>
        <v>2055-06-04T23:06:45.769Z</v>
      </c>
      <c r="K625" s="3" t="str">
        <f ca="1">IFERROR(__xludf.DUMMYFUNCTION("""COMPUTED_VALUE"""),"2055-06-04T22:46:40.769Z")</f>
        <v>2055-06-04T22:46:40.769Z</v>
      </c>
      <c r="L625" s="3">
        <f ca="1">IFERROR(__xludf.DUMMYFUNCTION("""COMPUTED_VALUE"""),1)</f>
        <v>1</v>
      </c>
      <c r="M625" s="3">
        <f ca="1">IFERROR(__xludf.DUMMYFUNCTION("""COMPUTED_VALUE"""),0)</f>
        <v>0</v>
      </c>
      <c r="N625" s="3" t="str">
        <f ca="1">IFERROR(__xludf.DUMMYFUNCTION("""COMPUTED_VALUE"""),"2055-06-04T22:37:20.906553Z")</f>
        <v>2055-06-04T22:37:20.906553Z</v>
      </c>
      <c r="O625" s="3" t="str">
        <f ca="1">IFERROR(__xludf.DUMMYFUNCTION("""COMPUTED_VALUE"""),"2055-06-04T22:47:00.734969Z")</f>
        <v>2055-06-04T22:47:00.734969Z</v>
      </c>
      <c r="P625" s="3" t="str">
        <f ca="1">IFERROR(__xludf.DUMMYFUNCTION("""COMPUTED_VALUE"""),"2055-06-04T22:20:27.470918Z")</f>
        <v>2055-06-04T22:20:27.470918Z</v>
      </c>
      <c r="Q625" s="3">
        <f ca="1">IFERROR(__xludf.DUMMYFUNCTION("""COMPUTED_VALUE"""),0)</f>
        <v>0</v>
      </c>
      <c r="R625" s="3" t="str">
        <f ca="1">IFERROR(__xludf.DUMMYFUNCTION("""COMPUTED_VALUE"""),"2055-06-04T22:20:33.419426Z")</f>
        <v>2055-06-04T22:20:33.419426Z</v>
      </c>
      <c r="S625" s="3" t="str">
        <f ca="1">IFERROR(__xludf.DUMMYFUNCTION("""COMPUTED_VALUE"""),"2055-06-04T22:35:09.728897Z")</f>
        <v>2055-06-04T22:35:09.728897Z</v>
      </c>
      <c r="T625" s="3"/>
      <c r="U625" s="4">
        <f ca="1">IFERROR(__xludf.DUMMYFUNCTION("""COMPUTED_VALUE"""),56769)</f>
        <v>56769</v>
      </c>
      <c r="V625" s="3">
        <f ca="1">IFERROR(__xludf.DUMMYFUNCTION("""COMPUTED_VALUE"""),4.5)</f>
        <v>4.5</v>
      </c>
      <c r="W625" s="3">
        <f ca="1">IFERROR(__xludf.DUMMYFUNCTION("""COMPUTED_VALUE"""),2000)</f>
        <v>2000</v>
      </c>
      <c r="X625" s="3">
        <f ca="1">IFERROR(__xludf.DUMMYFUNCTION("""COMPUTED_VALUE"""),1587)</f>
        <v>1587</v>
      </c>
      <c r="Y625" s="3">
        <f ca="1">IFERROR(__xludf.DUMMYFUNCTION("""COMPUTED_VALUE"""),876)</f>
        <v>876</v>
      </c>
      <c r="Z625" s="3">
        <f ca="1">IFERROR(__xludf.DUMMYFUNCTION("""COMPUTED_VALUE"""),131)</f>
        <v>131</v>
      </c>
      <c r="AA625" s="3">
        <f ca="1">IFERROR(__xludf.DUMMYFUNCTION("""COMPUTED_VALUE"""),580)</f>
        <v>580</v>
      </c>
      <c r="AB625" s="3">
        <f ca="1">IFERROR(__xludf.DUMMYFUNCTION("""COMPUTED_VALUE"""),0)</f>
        <v>0</v>
      </c>
      <c r="AC625" s="3">
        <f ca="1">IFERROR(__xludf.DUMMYFUNCTION("""COMPUTED_VALUE"""),2)</f>
        <v>2</v>
      </c>
      <c r="AD625" s="3" t="str">
        <f ca="1">IFERROR(__xludf.DUMMYFUNCTION("""COMPUTED_VALUE"""),"late")</f>
        <v>late</v>
      </c>
      <c r="AE625" s="3" t="str">
        <f ca="1">IFERROR(__xludf.DUMMYFUNCTION("""COMPUTED_VALUE"""),"2055-06-04T18:37:20.906553Z")</f>
        <v>2055-06-04T18:37:20.906553Z</v>
      </c>
      <c r="AF625" s="3" t="str">
        <f ca="1">IFERROR(__xludf.DUMMYFUNCTION("""COMPUTED_VALUE"""),"2055-06-04T18:47:00.734969Z")</f>
        <v>2055-06-04T18:47:00.734969Z</v>
      </c>
      <c r="AG625" s="3" t="str">
        <f ca="1">IFERROR(__xludf.DUMMYFUNCTION("""COMPUTED_VALUE"""),"2055-06-04T18:20:27.470918Z")</f>
        <v>2055-06-04T18:20:27.470918Z</v>
      </c>
      <c r="AH625" s="3" t="str">
        <f ca="1">IFERROR(__xludf.DUMMYFUNCTION("""COMPUTED_VALUE"""),"2055-06-04T18:35:09.728897Z")</f>
        <v>2055-06-04T18:35:09.728897Z</v>
      </c>
      <c r="AI625" s="3">
        <f ca="1">IFERROR(__xludf.DUMMYFUNCTION("""COMPUTED_VALUE"""),4.376470588)</f>
        <v>4.3764705880000001</v>
      </c>
      <c r="AJ625" s="3">
        <f ca="1">IFERROR(__xludf.DUMMYFUNCTION("""COMPUTED_VALUE"""),62)</f>
        <v>62</v>
      </c>
      <c r="AK625" s="3">
        <f ca="1">IFERROR(__xludf.DUMMYFUNCTION("""COMPUTED_VALUE"""),219)</f>
        <v>219</v>
      </c>
      <c r="AL625" s="3">
        <f ca="1">IFERROR(__xludf.DUMMYFUNCTION("""COMPUTED_VALUE"""),113)</f>
        <v>113</v>
      </c>
    </row>
    <row r="626" spans="1:38" ht="13">
      <c r="A626" s="3">
        <f ca="1">IFERROR(__xludf.DUMMYFUNCTION("""COMPUTED_VALUE"""),469)</f>
        <v>469</v>
      </c>
      <c r="B626" s="3">
        <f ca="1">IFERROR(__xludf.DUMMYFUNCTION("""COMPUTED_VALUE"""),5)</f>
        <v>5</v>
      </c>
      <c r="C626" s="3">
        <f ca="1">IFERROR(__xludf.DUMMYFUNCTION("""COMPUTED_VALUE"""),4050)</f>
        <v>4050</v>
      </c>
      <c r="D626" s="3" t="str">
        <f ca="1">IFERROR(__xludf.DUMMYFUNCTION("""COMPUTED_VALUE"""),"Doorlanta")</f>
        <v>Doorlanta</v>
      </c>
      <c r="E626" s="3" t="str">
        <f ca="1">IFERROR(__xludf.DUMMYFUNCTION("""COMPUTED_VALUE"""),"Galaxy A")</f>
        <v>Galaxy A</v>
      </c>
      <c r="F626" s="3" t="str">
        <f ca="1">IFERROR(__xludf.DUMMYFUNCTION("""COMPUTED_VALUE"""),"Matthew")</f>
        <v>Matthew</v>
      </c>
      <c r="G626" s="3">
        <f ca="1">IFERROR(__xludf.DUMMYFUNCTION("""COMPUTED_VALUE"""),0)</f>
        <v>0</v>
      </c>
      <c r="H626" s="3" t="str">
        <f ca="1">IFERROR(__xludf.DUMMYFUNCTION("""COMPUTED_VALUE"""),"car")</f>
        <v>car</v>
      </c>
      <c r="I626" s="3" t="str">
        <f ca="1">IFERROR(__xludf.DUMMYFUNCTION("""COMPUTED_VALUE"""),"2055-06-04T22:38:10.5464Z")</f>
        <v>2055-06-04T22:38:10.5464Z</v>
      </c>
      <c r="J626" s="3" t="str">
        <f ca="1">IFERROR(__xludf.DUMMYFUNCTION("""COMPUTED_VALUE"""),"2055-06-04T23:38:07.602Z")</f>
        <v>2055-06-04T23:38:07.602Z</v>
      </c>
      <c r="K626" s="3" t="str">
        <f ca="1">IFERROR(__xludf.DUMMYFUNCTION("""COMPUTED_VALUE"""),"2055-06-04T23:18:00.602Z")</f>
        <v>2055-06-04T23:18:00.602Z</v>
      </c>
      <c r="L626" s="3">
        <f ca="1">IFERROR(__xludf.DUMMYFUNCTION("""COMPUTED_VALUE"""),1)</f>
        <v>1</v>
      </c>
      <c r="M626" s="3">
        <f ca="1">IFERROR(__xludf.DUMMYFUNCTION("""COMPUTED_VALUE"""),0)</f>
        <v>0</v>
      </c>
      <c r="N626" s="3" t="str">
        <f ca="1">IFERROR(__xludf.DUMMYFUNCTION("""COMPUTED_VALUE"""),"2055-06-04T23:10:04.204748Z")</f>
        <v>2055-06-04T23:10:04.204748Z</v>
      </c>
      <c r="O626" s="3" t="str">
        <f ca="1">IFERROR(__xludf.DUMMYFUNCTION("""COMPUTED_VALUE"""),"2055-06-04T23:26:10.825661Z")</f>
        <v>2055-06-04T23:26:10.825661Z</v>
      </c>
      <c r="P626" s="3" t="str">
        <f ca="1">IFERROR(__xludf.DUMMYFUNCTION("""COMPUTED_VALUE"""),"2055-06-04T22:59:27.39471Z")</f>
        <v>2055-06-04T22:59:27.39471Z</v>
      </c>
      <c r="Q626" s="3">
        <f ca="1">IFERROR(__xludf.DUMMYFUNCTION("""COMPUTED_VALUE"""),0)</f>
        <v>0</v>
      </c>
      <c r="R626" s="3" t="str">
        <f ca="1">IFERROR(__xludf.DUMMYFUNCTION("""COMPUTED_VALUE"""),"2055-06-04T22:59:31.925932Z")</f>
        <v>2055-06-04T22:59:31.925932Z</v>
      </c>
      <c r="S626" s="3" t="str">
        <f ca="1">IFERROR(__xludf.DUMMYFUNCTION("""COMPUTED_VALUE"""),"2055-06-04T23:06:59.125632Z")</f>
        <v>2055-06-04T23:06:59.125632Z</v>
      </c>
      <c r="T626" s="3"/>
      <c r="U626" s="4">
        <f ca="1">IFERROR(__xludf.DUMMYFUNCTION("""COMPUTED_VALUE"""),56769)</f>
        <v>56769</v>
      </c>
      <c r="V626" s="3">
        <f ca="1">IFERROR(__xludf.DUMMYFUNCTION("""COMPUTED_VALUE"""),4.6)</f>
        <v>4.5999999999999996</v>
      </c>
      <c r="W626" s="3">
        <f ca="1">IFERROR(__xludf.DUMMYFUNCTION("""COMPUTED_VALUE"""),2000)</f>
        <v>2000</v>
      </c>
      <c r="X626" s="3">
        <f ca="1">IFERROR(__xludf.DUMMYFUNCTION("""COMPUTED_VALUE"""),1599)</f>
        <v>1599</v>
      </c>
      <c r="Y626" s="3">
        <f ca="1">IFERROR(__xludf.DUMMYFUNCTION("""COMPUTED_VALUE"""),448)</f>
        <v>448</v>
      </c>
      <c r="Z626" s="3">
        <f ca="1">IFERROR(__xludf.DUMMYFUNCTION("""COMPUTED_VALUE"""),185)</f>
        <v>185</v>
      </c>
      <c r="AA626" s="3">
        <f ca="1">IFERROR(__xludf.DUMMYFUNCTION("""COMPUTED_VALUE"""),966)</f>
        <v>966</v>
      </c>
      <c r="AB626" s="3">
        <f ca="1">IFERROR(__xludf.DUMMYFUNCTION("""COMPUTED_VALUE"""),0)</f>
        <v>0</v>
      </c>
      <c r="AC626" s="3">
        <f ca="1">IFERROR(__xludf.DUMMYFUNCTION("""COMPUTED_VALUE"""),2)</f>
        <v>2</v>
      </c>
      <c r="AD626" s="3" t="str">
        <f ca="1">IFERROR(__xludf.DUMMYFUNCTION("""COMPUTED_VALUE"""),"late")</f>
        <v>late</v>
      </c>
      <c r="AE626" s="3" t="str">
        <f ca="1">IFERROR(__xludf.DUMMYFUNCTION("""COMPUTED_VALUE"""),"2055-06-04T19:10:04.204748Z")</f>
        <v>2055-06-04T19:10:04.204748Z</v>
      </c>
      <c r="AF626" s="3" t="str">
        <f ca="1">IFERROR(__xludf.DUMMYFUNCTION("""COMPUTED_VALUE"""),"2055-06-04T19:26:10.825661Z")</f>
        <v>2055-06-04T19:26:10.825661Z</v>
      </c>
      <c r="AG626" s="3" t="str">
        <f ca="1">IFERROR(__xludf.DUMMYFUNCTION("""COMPUTED_VALUE"""),"2055-06-04T18:59:27.39471Z")</f>
        <v>2055-06-04T18:59:27.39471Z</v>
      </c>
      <c r="AH626" s="3" t="str">
        <f ca="1">IFERROR(__xludf.DUMMYFUNCTION("""COMPUTED_VALUE"""),"2055-06-04T19:06:59.125632Z")</f>
        <v>2055-06-04T19:06:59.125632Z</v>
      </c>
      <c r="AI626" s="3">
        <f ca="1">IFERROR(__xludf.DUMMYFUNCTION("""COMPUTED_VALUE"""),4.411111111)</f>
        <v>4.4111111110000003</v>
      </c>
      <c r="AJ626" s="3">
        <f ca="1">IFERROR(__xludf.DUMMYFUNCTION("""COMPUTED_VALUE"""),68)</f>
        <v>68</v>
      </c>
      <c r="AK626" s="3">
        <f ca="1">IFERROR(__xludf.DUMMYFUNCTION("""COMPUTED_VALUE"""),223)</f>
        <v>223</v>
      </c>
      <c r="AL626" s="3">
        <f ca="1">IFERROR(__xludf.DUMMYFUNCTION("""COMPUTED_VALUE"""),118)</f>
        <v>118</v>
      </c>
    </row>
    <row r="627" spans="1:38" ht="13">
      <c r="A627" s="3">
        <f ca="1">IFERROR(__xludf.DUMMYFUNCTION("""COMPUTED_VALUE"""),863)</f>
        <v>863</v>
      </c>
      <c r="B627" s="3">
        <f ca="1">IFERROR(__xludf.DUMMYFUNCTION("""COMPUTED_VALUE"""),5)</f>
        <v>5</v>
      </c>
      <c r="C627" s="3">
        <f ca="1">IFERROR(__xludf.DUMMYFUNCTION("""COMPUTED_VALUE"""),4050)</f>
        <v>4050</v>
      </c>
      <c r="D627" s="3" t="str">
        <f ca="1">IFERROR(__xludf.DUMMYFUNCTION("""COMPUTED_VALUE"""),"Doorlanta")</f>
        <v>Doorlanta</v>
      </c>
      <c r="E627" s="3" t="str">
        <f ca="1">IFERROR(__xludf.DUMMYFUNCTION("""COMPUTED_VALUE"""),"Galaxy A")</f>
        <v>Galaxy A</v>
      </c>
      <c r="F627" s="3" t="str">
        <f ca="1">IFERROR(__xludf.DUMMYFUNCTION("""COMPUTED_VALUE"""),"Cate")</f>
        <v>Cate</v>
      </c>
      <c r="G627" s="3">
        <f ca="1">IFERROR(__xludf.DUMMYFUNCTION("""COMPUTED_VALUE"""),0)</f>
        <v>0</v>
      </c>
      <c r="H627" s="3" t="str">
        <f ca="1">IFERROR(__xludf.DUMMYFUNCTION("""COMPUTED_VALUE"""),"car")</f>
        <v>car</v>
      </c>
      <c r="I627" s="3" t="str">
        <f ca="1">IFERROR(__xludf.DUMMYFUNCTION("""COMPUTED_VALUE"""),"2055-06-07T19:00:01.000172Z")</f>
        <v>2055-06-07T19:00:01.000172Z</v>
      </c>
      <c r="J627" s="3" t="str">
        <f ca="1">IFERROR(__xludf.DUMMYFUNCTION("""COMPUTED_VALUE"""),"2055-06-07T20:16:00.084Z")</f>
        <v>2055-06-07T20:16:00.084Z</v>
      </c>
      <c r="K627" s="3" t="str">
        <f ca="1">IFERROR(__xludf.DUMMYFUNCTION("""COMPUTED_VALUE"""),"2055-06-07T19:55:53.084Z")</f>
        <v>2055-06-07T19:55:53.084Z</v>
      </c>
      <c r="L627" s="3">
        <f ca="1">IFERROR(__xludf.DUMMYFUNCTION("""COMPUTED_VALUE"""),1)</f>
        <v>1</v>
      </c>
      <c r="M627" s="3">
        <f ca="1">IFERROR(__xludf.DUMMYFUNCTION("""COMPUTED_VALUE"""),0)</f>
        <v>0</v>
      </c>
      <c r="N627" s="3" t="str">
        <f ca="1">IFERROR(__xludf.DUMMYFUNCTION("""COMPUTED_VALUE"""),"2055-06-07T19:35:06.740861Z")</f>
        <v>2055-06-07T19:35:06.740861Z</v>
      </c>
      <c r="O627" s="3" t="str">
        <f ca="1">IFERROR(__xludf.DUMMYFUNCTION("""COMPUTED_VALUE"""),"2055-06-07T19:45:46.841956Z")</f>
        <v>2055-06-07T19:45:46.841956Z</v>
      </c>
      <c r="P627" s="3" t="str">
        <f ca="1">IFERROR(__xludf.DUMMYFUNCTION("""COMPUTED_VALUE"""),"2055-06-07T19:02:07.429532Z")</f>
        <v>2055-06-07T19:02:07.429532Z</v>
      </c>
      <c r="Q627" s="3">
        <f ca="1">IFERROR(__xludf.DUMMYFUNCTION("""COMPUTED_VALUE"""),0)</f>
        <v>0</v>
      </c>
      <c r="R627" s="3" t="str">
        <f ca="1">IFERROR(__xludf.DUMMYFUNCTION("""COMPUTED_VALUE"""),"2055-06-07T19:02:17.787783Z")</f>
        <v>2055-06-07T19:02:17.787783Z</v>
      </c>
      <c r="S627" s="3"/>
      <c r="T627" s="3"/>
      <c r="U627" s="4">
        <f ca="1">IFERROR(__xludf.DUMMYFUNCTION("""COMPUTED_VALUE"""),56772)</f>
        <v>56772</v>
      </c>
      <c r="V627" s="3">
        <f ca="1">IFERROR(__xludf.DUMMYFUNCTION("""COMPUTED_VALUE"""),4.5)</f>
        <v>4.5</v>
      </c>
      <c r="W627" s="3">
        <f ca="1">IFERROR(__xludf.DUMMYFUNCTION("""COMPUTED_VALUE"""),2000)</f>
        <v>2000</v>
      </c>
      <c r="X627" s="3">
        <f ca="1">IFERROR(__xludf.DUMMYFUNCTION("""COMPUTED_VALUE"""),2609)</f>
        <v>2609</v>
      </c>
      <c r="Y627" s="3"/>
      <c r="Z627" s="3"/>
      <c r="AA627" s="3">
        <f ca="1">IFERROR(__xludf.DUMMYFUNCTION("""COMPUTED_VALUE"""),640)</f>
        <v>640</v>
      </c>
      <c r="AB627" s="3">
        <f ca="1">IFERROR(__xludf.DUMMYFUNCTION("""COMPUTED_VALUE"""),0)</f>
        <v>0</v>
      </c>
      <c r="AC627" s="3">
        <f ca="1">IFERROR(__xludf.DUMMYFUNCTION("""COMPUTED_VALUE"""),4)</f>
        <v>4</v>
      </c>
      <c r="AD627" s="3"/>
      <c r="AE627" s="3" t="str">
        <f ca="1">IFERROR(__xludf.DUMMYFUNCTION("""COMPUTED_VALUE"""),"2055-06-07T15:35:06.740861Z")</f>
        <v>2055-06-07T15:35:06.740861Z</v>
      </c>
      <c r="AF627" s="3" t="str">
        <f ca="1">IFERROR(__xludf.DUMMYFUNCTION("""COMPUTED_VALUE"""),"2055-06-07T15:45:46.841956Z")</f>
        <v>2055-06-07T15:45:46.841956Z</v>
      </c>
      <c r="AG627" s="3" t="str">
        <f ca="1">IFERROR(__xludf.DUMMYFUNCTION("""COMPUTED_VALUE"""),"2055-06-07T15:02:07.429532Z")</f>
        <v>2055-06-07T15:02:07.429532Z</v>
      </c>
      <c r="AH627" s="3"/>
      <c r="AI627" s="3">
        <f ca="1">IFERROR(__xludf.DUMMYFUNCTION("""COMPUTED_VALUE"""),4.49)</f>
        <v>4.49</v>
      </c>
      <c r="AJ627" s="3">
        <f ca="1">IFERROR(__xludf.DUMMYFUNCTION("""COMPUTED_VALUE"""),2315)</f>
        <v>2315</v>
      </c>
      <c r="AK627" s="3">
        <f ca="1">IFERROR(__xludf.DUMMYFUNCTION("""COMPUTED_VALUE"""),7039)</f>
        <v>7039</v>
      </c>
      <c r="AL627" s="3">
        <f ca="1">IFERROR(__xludf.DUMMYFUNCTION("""COMPUTED_VALUE"""),763)</f>
        <v>763</v>
      </c>
    </row>
    <row r="628" spans="1:38" ht="13">
      <c r="A628" s="3">
        <f ca="1">IFERROR(__xludf.DUMMYFUNCTION("""COMPUTED_VALUE"""),842)</f>
        <v>842</v>
      </c>
      <c r="B628" s="3">
        <f ca="1">IFERROR(__xludf.DUMMYFUNCTION("""COMPUTED_VALUE"""),5)</f>
        <v>5</v>
      </c>
      <c r="C628" s="3">
        <f ca="1">IFERROR(__xludf.DUMMYFUNCTION("""COMPUTED_VALUE"""),4050)</f>
        <v>4050</v>
      </c>
      <c r="D628" s="3" t="str">
        <f ca="1">IFERROR(__xludf.DUMMYFUNCTION("""COMPUTED_VALUE"""),"Doorlanta")</f>
        <v>Doorlanta</v>
      </c>
      <c r="E628" s="3" t="str">
        <f ca="1">IFERROR(__xludf.DUMMYFUNCTION("""COMPUTED_VALUE"""),"Galaxy A")</f>
        <v>Galaxy A</v>
      </c>
      <c r="F628" s="3" t="str">
        <f ca="1">IFERROR(__xludf.DUMMYFUNCTION("""COMPUTED_VALUE"""),"Eliot")</f>
        <v>Eliot</v>
      </c>
      <c r="G628" s="3">
        <f ca="1">IFERROR(__xludf.DUMMYFUNCTION("""COMPUTED_VALUE"""),0)</f>
        <v>0</v>
      </c>
      <c r="H628" s="3" t="str">
        <f ca="1">IFERROR(__xludf.DUMMYFUNCTION("""COMPUTED_VALUE"""),"car")</f>
        <v>car</v>
      </c>
      <c r="I628" s="3" t="str">
        <f ca="1">IFERROR(__xludf.DUMMYFUNCTION("""COMPUTED_VALUE"""),"2055-06-07T16:17:05.361172Z")</f>
        <v>2055-06-07T16:17:05.361172Z</v>
      </c>
      <c r="J628" s="3" t="str">
        <f ca="1">IFERROR(__xludf.DUMMYFUNCTION("""COMPUTED_VALUE"""),"2055-06-07T17:12:05.428Z")</f>
        <v>2055-06-07T17:12:05.428Z</v>
      </c>
      <c r="K628" s="3" t="str">
        <f ca="1">IFERROR(__xludf.DUMMYFUNCTION("""COMPUTED_VALUE"""),"2055-06-07T16:41:01.428Z")</f>
        <v>2055-06-07T16:41:01.428Z</v>
      </c>
      <c r="L628" s="3">
        <f ca="1">IFERROR(__xludf.DUMMYFUNCTION("""COMPUTED_VALUE"""),1)</f>
        <v>1</v>
      </c>
      <c r="M628" s="3">
        <f ca="1">IFERROR(__xludf.DUMMYFUNCTION("""COMPUTED_VALUE"""),0)</f>
        <v>0</v>
      </c>
      <c r="N628" s="3" t="str">
        <f ca="1">IFERROR(__xludf.DUMMYFUNCTION("""COMPUTED_VALUE"""),"2055-06-07T16:54:47.982182Z")</f>
        <v>2055-06-07T16:54:47.982182Z</v>
      </c>
      <c r="O628" s="3" t="str">
        <f ca="1">IFERROR(__xludf.DUMMYFUNCTION("""COMPUTED_VALUE"""),"2055-06-07T16:57:27.311376Z")</f>
        <v>2055-06-07T16:57:27.311376Z</v>
      </c>
      <c r="P628" s="3" t="str">
        <f ca="1">IFERROR(__xludf.DUMMYFUNCTION("""COMPUTED_VALUE"""),"2055-06-07T16:17:27.352626Z")</f>
        <v>2055-06-07T16:17:27.352626Z</v>
      </c>
      <c r="Q628" s="3">
        <f ca="1">IFERROR(__xludf.DUMMYFUNCTION("""COMPUTED_VALUE"""),0)</f>
        <v>0</v>
      </c>
      <c r="R628" s="3" t="str">
        <f ca="1">IFERROR(__xludf.DUMMYFUNCTION("""COMPUTED_VALUE"""),"2055-06-07T16:17:38.385117Z")</f>
        <v>2055-06-07T16:17:38.385117Z</v>
      </c>
      <c r="S628" s="3" t="str">
        <f ca="1">IFERROR(__xludf.DUMMYFUNCTION("""COMPUTED_VALUE"""),"2055-06-07T16:41:06.696707Z")</f>
        <v>2055-06-07T16:41:06.696707Z</v>
      </c>
      <c r="T628" s="3"/>
      <c r="U628" s="4">
        <f ca="1">IFERROR(__xludf.DUMMYFUNCTION("""COMPUTED_VALUE"""),56772)</f>
        <v>56772</v>
      </c>
      <c r="V628" s="3">
        <f ca="1">IFERROR(__xludf.DUMMYFUNCTION("""COMPUTED_VALUE"""),4.5)</f>
        <v>4.5</v>
      </c>
      <c r="W628" s="3">
        <f ca="1">IFERROR(__xludf.DUMMYFUNCTION("""COMPUTED_VALUE"""),2000)</f>
        <v>2000</v>
      </c>
      <c r="X628" s="3">
        <f ca="1">IFERROR(__xludf.DUMMYFUNCTION("""COMPUTED_VALUE"""),2389)</f>
        <v>2389</v>
      </c>
      <c r="Y628" s="3">
        <f ca="1">IFERROR(__xludf.DUMMYFUNCTION("""COMPUTED_VALUE"""),1408)</f>
        <v>1408</v>
      </c>
      <c r="Z628" s="3">
        <f ca="1">IFERROR(__xludf.DUMMYFUNCTION("""COMPUTED_VALUE"""),821)</f>
        <v>821</v>
      </c>
      <c r="AA628" s="3">
        <f ca="1">IFERROR(__xludf.DUMMYFUNCTION("""COMPUTED_VALUE"""),160)</f>
        <v>160</v>
      </c>
      <c r="AB628" s="3">
        <f ca="1">IFERROR(__xludf.DUMMYFUNCTION("""COMPUTED_VALUE"""),0)</f>
        <v>0</v>
      </c>
      <c r="AC628" s="3">
        <f ca="1">IFERROR(__xludf.DUMMYFUNCTION("""COMPUTED_VALUE"""),2)</f>
        <v>2</v>
      </c>
      <c r="AD628" s="3" t="str">
        <f ca="1">IFERROR(__xludf.DUMMYFUNCTION("""COMPUTED_VALUE"""),"late")</f>
        <v>late</v>
      </c>
      <c r="AE628" s="3" t="str">
        <f ca="1">IFERROR(__xludf.DUMMYFUNCTION("""COMPUTED_VALUE"""),"2055-06-07T12:54:47.982182Z")</f>
        <v>2055-06-07T12:54:47.982182Z</v>
      </c>
      <c r="AF628" s="3" t="str">
        <f ca="1">IFERROR(__xludf.DUMMYFUNCTION("""COMPUTED_VALUE"""),"2055-06-07T12:57:27.311376Z")</f>
        <v>2055-06-07T12:57:27.311376Z</v>
      </c>
      <c r="AG628" s="3" t="str">
        <f ca="1">IFERROR(__xludf.DUMMYFUNCTION("""COMPUTED_VALUE"""),"2055-06-07T12:17:27.352626Z")</f>
        <v>2055-06-07T12:17:27.352626Z</v>
      </c>
      <c r="AH628" s="3" t="str">
        <f ca="1">IFERROR(__xludf.DUMMYFUNCTION("""COMPUTED_VALUE"""),"2055-06-07T12:41:06.696707Z")</f>
        <v>2055-06-07T12:41:06.696707Z</v>
      </c>
      <c r="AI628" s="3">
        <f ca="1">IFERROR(__xludf.DUMMYFUNCTION("""COMPUTED_VALUE"""),4.571428571)</f>
        <v>4.5714285710000002</v>
      </c>
      <c r="AJ628" s="3">
        <f ca="1">IFERROR(__xludf.DUMMYFUNCTION("""COMPUTED_VALUE"""),77)</f>
        <v>77</v>
      </c>
      <c r="AK628" s="3">
        <f ca="1">IFERROR(__xludf.DUMMYFUNCTION("""COMPUTED_VALUE"""),206)</f>
        <v>206</v>
      </c>
      <c r="AL628" s="3">
        <f ca="1">IFERROR(__xludf.DUMMYFUNCTION("""COMPUTED_VALUE"""),11)</f>
        <v>11</v>
      </c>
    </row>
    <row r="629" spans="1:38" ht="13">
      <c r="A629" s="3">
        <f ca="1">IFERROR(__xludf.DUMMYFUNCTION("""COMPUTED_VALUE"""),369)</f>
        <v>369</v>
      </c>
      <c r="B629" s="3"/>
      <c r="C629" s="3">
        <f ca="1">IFERROR(__xludf.DUMMYFUNCTION("""COMPUTED_VALUE"""),4001)</f>
        <v>4001</v>
      </c>
      <c r="D629" s="3" t="str">
        <f ca="1">IFERROR(__xludf.DUMMYFUNCTION("""COMPUTED_VALUE"""),"Dashattan")</f>
        <v>Dashattan</v>
      </c>
      <c r="E629" s="3" t="str">
        <f ca="1">IFERROR(__xludf.DUMMYFUNCTION("""COMPUTED_VALUE"""),"Galaxy A")</f>
        <v>Galaxy A</v>
      </c>
      <c r="F629" s="3" t="str">
        <f ca="1">IFERROR(__xludf.DUMMYFUNCTION("""COMPUTED_VALUE"""),"Arya")</f>
        <v>Arya</v>
      </c>
      <c r="G629" s="3">
        <f ca="1">IFERROR(__xludf.DUMMYFUNCTION("""COMPUTED_VALUE"""),0)</f>
        <v>0</v>
      </c>
      <c r="H629" s="3" t="str">
        <f ca="1">IFERROR(__xludf.DUMMYFUNCTION("""COMPUTED_VALUE"""),"bicycle")</f>
        <v>bicycle</v>
      </c>
      <c r="I629" s="3" t="str">
        <f ca="1">IFERROR(__xludf.DUMMYFUNCTION("""COMPUTED_VALUE"""),"2055-06-03T23:51:06.922431Z")</f>
        <v>2055-06-03T23:51:06.922431Z</v>
      </c>
      <c r="J629" s="3" t="str">
        <f ca="1">IFERROR(__xludf.DUMMYFUNCTION("""COMPUTED_VALUE"""),"2055-06-04T00:48:40.984Z")</f>
        <v>2055-06-04T00:48:40.984Z</v>
      </c>
      <c r="K629" s="3" t="str">
        <f ca="1">IFERROR(__xludf.DUMMYFUNCTION("""COMPUTED_VALUE"""),"2055-06-04T00:29:01.984Z")</f>
        <v>2055-06-04T00:29:01.984Z</v>
      </c>
      <c r="L629" s="3">
        <f ca="1">IFERROR(__xludf.DUMMYFUNCTION("""COMPUTED_VALUE"""),1)</f>
        <v>1</v>
      </c>
      <c r="M629" s="3">
        <f ca="1">IFERROR(__xludf.DUMMYFUNCTION("""COMPUTED_VALUE"""),0)</f>
        <v>0</v>
      </c>
      <c r="N629" s="3" t="str">
        <f ca="1">IFERROR(__xludf.DUMMYFUNCTION("""COMPUTED_VALUE"""),"2055-06-04T00:15:32.114576Z")</f>
        <v>2055-06-04T00:15:32.114576Z</v>
      </c>
      <c r="O629" s="3" t="str">
        <f ca="1">IFERROR(__xludf.DUMMYFUNCTION("""COMPUTED_VALUE"""),"2055-06-04T00:28:40.491512Z")</f>
        <v>2055-06-04T00:28:40.491512Z</v>
      </c>
      <c r="P629" s="3" t="str">
        <f ca="1">IFERROR(__xludf.DUMMYFUNCTION("""COMPUTED_VALUE"""),"2055-06-03T23:51:15.333583Z")</f>
        <v>2055-06-03T23:51:15.333583Z</v>
      </c>
      <c r="Q629" s="3">
        <f ca="1">IFERROR(__xludf.DUMMYFUNCTION("""COMPUTED_VALUE"""),0)</f>
        <v>0</v>
      </c>
      <c r="R629" s="3" t="str">
        <f ca="1">IFERROR(__xludf.DUMMYFUNCTION("""COMPUTED_VALUE"""),"2055-06-03T23:51:37.131874Z")</f>
        <v>2055-06-03T23:51:37.131874Z</v>
      </c>
      <c r="S629" s="3"/>
      <c r="T629" s="3"/>
      <c r="U629" s="4">
        <f ca="1">IFERROR(__xludf.DUMMYFUNCTION("""COMPUTED_VALUE"""),56768)</f>
        <v>56768</v>
      </c>
      <c r="V629" s="3">
        <f ca="1">IFERROR(__xludf.DUMMYFUNCTION("""COMPUTED_VALUE"""),2.669104482)</f>
        <v>2.6691044819999998</v>
      </c>
      <c r="W629" s="3">
        <f ca="1">IFERROR(__xludf.DUMMYFUNCTION("""COMPUTED_VALUE"""),2000)</f>
        <v>2000</v>
      </c>
      <c r="X629" s="3">
        <f ca="1">IFERROR(__xludf.DUMMYFUNCTION("""COMPUTED_VALUE"""),2223)</f>
        <v>2223</v>
      </c>
      <c r="Y629" s="3"/>
      <c r="Z629" s="3"/>
      <c r="AA629" s="3">
        <f ca="1">IFERROR(__xludf.DUMMYFUNCTION("""COMPUTED_VALUE"""),788)</f>
        <v>788</v>
      </c>
      <c r="AB629" s="3">
        <f ca="1">IFERROR(__xludf.DUMMYFUNCTION("""COMPUTED_VALUE"""),0)</f>
        <v>0</v>
      </c>
      <c r="AC629" s="3">
        <f ca="1">IFERROR(__xludf.DUMMYFUNCTION("""COMPUTED_VALUE"""),6)</f>
        <v>6</v>
      </c>
      <c r="AD629" s="3"/>
      <c r="AE629" s="3" t="str">
        <f ca="1">IFERROR(__xludf.DUMMYFUNCTION("""COMPUTED_VALUE"""),"2055-06-03T20:15:32.114576Z")</f>
        <v>2055-06-03T20:15:32.114576Z</v>
      </c>
      <c r="AF629" s="3" t="str">
        <f ca="1">IFERROR(__xludf.DUMMYFUNCTION("""COMPUTED_VALUE"""),"2055-06-03T20:28:40.491512Z")</f>
        <v>2055-06-03T20:28:40.491512Z</v>
      </c>
      <c r="AG629" s="3" t="str">
        <f ca="1">IFERROR(__xludf.DUMMYFUNCTION("""COMPUTED_VALUE"""),"2055-06-03T19:51:15.333583Z")</f>
        <v>2055-06-03T19:51:15.333583Z</v>
      </c>
      <c r="AH629" s="3"/>
      <c r="AI629" s="3">
        <f ca="1">IFERROR(__xludf.DUMMYFUNCTION("""COMPUTED_VALUE"""),4.17)</f>
        <v>4.17</v>
      </c>
      <c r="AJ629" s="3">
        <f ca="1">IFERROR(__xludf.DUMMYFUNCTION("""COMPUTED_VALUE"""),457)</f>
        <v>457</v>
      </c>
      <c r="AK629" s="3">
        <f ca="1">IFERROR(__xludf.DUMMYFUNCTION("""COMPUTED_VALUE"""),1599)</f>
        <v>1599</v>
      </c>
      <c r="AL629" s="3"/>
    </row>
    <row r="630" spans="1:38" ht="13">
      <c r="A630" s="3">
        <f ca="1">IFERROR(__xludf.DUMMYFUNCTION("""COMPUTED_VALUE"""),200)</f>
        <v>200</v>
      </c>
      <c r="B630" s="3">
        <f ca="1">IFERROR(__xludf.DUMMYFUNCTION("""COMPUTED_VALUE"""),5)</f>
        <v>5</v>
      </c>
      <c r="C630" s="3">
        <f ca="1">IFERROR(__xludf.DUMMYFUNCTION("""COMPUTED_VALUE"""),4050)</f>
        <v>4050</v>
      </c>
      <c r="D630" s="3" t="str">
        <f ca="1">IFERROR(__xludf.DUMMYFUNCTION("""COMPUTED_VALUE"""),"Doorlanta")</f>
        <v>Doorlanta</v>
      </c>
      <c r="E630" s="3" t="str">
        <f ca="1">IFERROR(__xludf.DUMMYFUNCTION("""COMPUTED_VALUE"""),"Galaxy A")</f>
        <v>Galaxy A</v>
      </c>
      <c r="F630" s="3" t="str">
        <f ca="1">IFERROR(__xludf.DUMMYFUNCTION("""COMPUTED_VALUE"""),"Jagar")</f>
        <v>Jagar</v>
      </c>
      <c r="G630" s="3">
        <f ca="1">IFERROR(__xludf.DUMMYFUNCTION("""COMPUTED_VALUE"""),0)</f>
        <v>0</v>
      </c>
      <c r="H630" s="3" t="str">
        <f ca="1">IFERROR(__xludf.DUMMYFUNCTION("""COMPUTED_VALUE"""),"car")</f>
        <v>car</v>
      </c>
      <c r="I630" s="3" t="str">
        <f ca="1">IFERROR(__xludf.DUMMYFUNCTION("""COMPUTED_VALUE"""),"2055-06-02T23:07:03.492783Z")</f>
        <v>2055-06-02T23:07:03.492783Z</v>
      </c>
      <c r="J630" s="3" t="str">
        <f ca="1">IFERROR(__xludf.DUMMYFUNCTION("""COMPUTED_VALUE"""),"2055-06-02T23:49:58.53946Z")</f>
        <v>2055-06-02T23:49:58.53946Z</v>
      </c>
      <c r="K630" s="3" t="str">
        <f ca="1">IFERROR(__xludf.DUMMYFUNCTION("""COMPUTED_VALUE"""),"2055-06-02T23:50:58.53946Z")</f>
        <v>2055-06-02T23:50:58.53946Z</v>
      </c>
      <c r="L630" s="3">
        <f ca="1">IFERROR(__xludf.DUMMYFUNCTION("""COMPUTED_VALUE"""),1)</f>
        <v>1</v>
      </c>
      <c r="M630" s="3">
        <f ca="1">IFERROR(__xludf.DUMMYFUNCTION("""COMPUTED_VALUE"""),0)</f>
        <v>0</v>
      </c>
      <c r="N630" s="3" t="str">
        <f ca="1">IFERROR(__xludf.DUMMYFUNCTION("""COMPUTED_VALUE"""),"2055-06-02T23:18:50.154271Z")</f>
        <v>2055-06-02T23:18:50.154271Z</v>
      </c>
      <c r="O630" s="3" t="str">
        <f ca="1">IFERROR(__xludf.DUMMYFUNCTION("""COMPUTED_VALUE"""),"2055-06-02T23:29:34.358639Z")</f>
        <v>2055-06-02T23:29:34.358639Z</v>
      </c>
      <c r="P630" s="3" t="str">
        <f ca="1">IFERROR(__xludf.DUMMYFUNCTION("""COMPUTED_VALUE"""),"2055-06-02T23:11:07.432721Z")</f>
        <v>2055-06-02T23:11:07.432721Z</v>
      </c>
      <c r="Q630" s="3">
        <f ca="1">IFERROR(__xludf.DUMMYFUNCTION("""COMPUTED_VALUE"""),0)</f>
        <v>0</v>
      </c>
      <c r="R630" s="3" t="str">
        <f ca="1">IFERROR(__xludf.DUMMYFUNCTION("""COMPUTED_VALUE"""),"2055-06-02T23:12:37.158532Z")</f>
        <v>2055-06-02T23:12:37.158532Z</v>
      </c>
      <c r="S630" s="3" t="str">
        <f ca="1">IFERROR(__xludf.DUMMYFUNCTION("""COMPUTED_VALUE"""),"2055-06-02T23:16:13.44976Z")</f>
        <v>2055-06-02T23:16:13.44976Z</v>
      </c>
      <c r="T630" s="3"/>
      <c r="U630" s="4">
        <f ca="1">IFERROR(__xludf.DUMMYFUNCTION("""COMPUTED_VALUE"""),56767)</f>
        <v>56767</v>
      </c>
      <c r="V630" s="3">
        <f ca="1">IFERROR(__xludf.DUMMYFUNCTION("""COMPUTED_VALUE"""),4.6)</f>
        <v>4.5999999999999996</v>
      </c>
      <c r="W630" s="3">
        <f ca="1">IFERROR(__xludf.DUMMYFUNCTION("""COMPUTED_VALUE"""),2000)</f>
        <v>2000</v>
      </c>
      <c r="X630" s="3">
        <f ca="1">IFERROR(__xludf.DUMMYFUNCTION("""COMPUTED_VALUE"""),1017)</f>
        <v>1017</v>
      </c>
      <c r="Y630" s="3">
        <f ca="1">IFERROR(__xludf.DUMMYFUNCTION("""COMPUTED_VALUE"""),216)</f>
        <v>216</v>
      </c>
      <c r="Z630" s="3">
        <f ca="1">IFERROR(__xludf.DUMMYFUNCTION("""COMPUTED_VALUE"""),157)</f>
        <v>157</v>
      </c>
      <c r="AA630" s="3">
        <f ca="1">IFERROR(__xludf.DUMMYFUNCTION("""COMPUTED_VALUE"""),644)</f>
        <v>644</v>
      </c>
      <c r="AB630" s="3">
        <f ca="1">IFERROR(__xludf.DUMMYFUNCTION("""COMPUTED_VALUE"""),0)</f>
        <v>0</v>
      </c>
      <c r="AC630" s="3">
        <f ca="1">IFERROR(__xludf.DUMMYFUNCTION("""COMPUTED_VALUE"""),2)</f>
        <v>2</v>
      </c>
      <c r="AD630" s="3" t="str">
        <f ca="1">IFERROR(__xludf.DUMMYFUNCTION("""COMPUTED_VALUE"""),"on time")</f>
        <v>on time</v>
      </c>
      <c r="AE630" s="3" t="str">
        <f ca="1">IFERROR(__xludf.DUMMYFUNCTION("""COMPUTED_VALUE"""),"2055-06-02T19:18:50.154271Z")</f>
        <v>2055-06-02T19:18:50.154271Z</v>
      </c>
      <c r="AF630" s="3" t="str">
        <f ca="1">IFERROR(__xludf.DUMMYFUNCTION("""COMPUTED_VALUE"""),"2055-06-02T19:29:34.358639Z")</f>
        <v>2055-06-02T19:29:34.358639Z</v>
      </c>
      <c r="AG630" s="3" t="str">
        <f ca="1">IFERROR(__xludf.DUMMYFUNCTION("""COMPUTED_VALUE"""),"2055-06-02T19:11:07.432721Z")</f>
        <v>2055-06-02T19:11:07.432721Z</v>
      </c>
      <c r="AH630" s="3" t="str">
        <f ca="1">IFERROR(__xludf.DUMMYFUNCTION("""COMPUTED_VALUE"""),"2055-06-02T19:16:13.44976Z")</f>
        <v>2055-06-02T19:16:13.44976Z</v>
      </c>
      <c r="AI630" s="3">
        <f ca="1">IFERROR(__xludf.DUMMYFUNCTION("""COMPUTED_VALUE"""),4.89)</f>
        <v>4.8899999999999997</v>
      </c>
      <c r="AJ630" s="3">
        <f ca="1">IFERROR(__xludf.DUMMYFUNCTION("""COMPUTED_VALUE"""),1778)</f>
        <v>1778</v>
      </c>
      <c r="AK630" s="3">
        <f ca="1">IFERROR(__xludf.DUMMYFUNCTION("""COMPUTED_VALUE"""),5138)</f>
        <v>5138</v>
      </c>
      <c r="AL630" s="3">
        <f ca="1">IFERROR(__xludf.DUMMYFUNCTION("""COMPUTED_VALUE"""),314)</f>
        <v>314</v>
      </c>
    </row>
    <row r="631" spans="1:38" ht="13">
      <c r="A631" s="3">
        <f ca="1">IFERROR(__xludf.DUMMYFUNCTION("""COMPUTED_VALUE"""),300)</f>
        <v>300</v>
      </c>
      <c r="B631" s="3"/>
      <c r="C631" s="3">
        <f ca="1">IFERROR(__xludf.DUMMYFUNCTION("""COMPUTED_VALUE"""),4050)</f>
        <v>4050</v>
      </c>
      <c r="D631" s="3" t="str">
        <f ca="1">IFERROR(__xludf.DUMMYFUNCTION("""COMPUTED_VALUE"""),"Doorlanta")</f>
        <v>Doorlanta</v>
      </c>
      <c r="E631" s="3" t="str">
        <f ca="1">IFERROR(__xludf.DUMMYFUNCTION("""COMPUTED_VALUE"""),"Galaxy A")</f>
        <v>Galaxy A</v>
      </c>
      <c r="F631" s="3" t="str">
        <f ca="1">IFERROR(__xludf.DUMMYFUNCTION("""COMPUTED_VALUE"""),"Cate")</f>
        <v>Cate</v>
      </c>
      <c r="G631" s="3">
        <f ca="1">IFERROR(__xludf.DUMMYFUNCTION("""COMPUTED_VALUE"""),0)</f>
        <v>0</v>
      </c>
      <c r="H631" s="3" t="str">
        <f ca="1">IFERROR(__xludf.DUMMYFUNCTION("""COMPUTED_VALUE"""),"car")</f>
        <v>car</v>
      </c>
      <c r="I631" s="3" t="str">
        <f ca="1">IFERROR(__xludf.DUMMYFUNCTION("""COMPUTED_VALUE"""),"2055-06-03T17:32:29.430991Z")</f>
        <v>2055-06-03T17:32:29.430991Z</v>
      </c>
      <c r="J631" s="3" t="str">
        <f ca="1">IFERROR(__xludf.DUMMYFUNCTION("""COMPUTED_VALUE"""),"2055-06-03T18:21:04.509Z")</f>
        <v>2055-06-03T18:21:04.509Z</v>
      </c>
      <c r="K631" s="3" t="str">
        <f ca="1">IFERROR(__xludf.DUMMYFUNCTION("""COMPUTED_VALUE"""),"2055-06-03T18:12:11.509Z")</f>
        <v>2055-06-03T18:12:11.509Z</v>
      </c>
      <c r="L631" s="3">
        <f ca="1">IFERROR(__xludf.DUMMYFUNCTION("""COMPUTED_VALUE"""),1)</f>
        <v>1</v>
      </c>
      <c r="M631" s="3">
        <f ca="1">IFERROR(__xludf.DUMMYFUNCTION("""COMPUTED_VALUE"""),0)</f>
        <v>0</v>
      </c>
      <c r="N631" s="3" t="str">
        <f ca="1">IFERROR(__xludf.DUMMYFUNCTION("""COMPUTED_VALUE"""),"2055-06-03T18:05:14.779672Z")</f>
        <v>2055-06-03T18:05:14.779672Z</v>
      </c>
      <c r="O631" s="3" t="str">
        <f ca="1">IFERROR(__xludf.DUMMYFUNCTION("""COMPUTED_VALUE"""),"2055-06-03T18:23:42.740353Z")</f>
        <v>2055-06-03T18:23:42.740353Z</v>
      </c>
      <c r="P631" s="3" t="str">
        <f ca="1">IFERROR(__xludf.DUMMYFUNCTION("""COMPUTED_VALUE"""),"2055-06-03T17:32:47.370329Z")</f>
        <v>2055-06-03T17:32:47.370329Z</v>
      </c>
      <c r="Q631" s="3">
        <f ca="1">IFERROR(__xludf.DUMMYFUNCTION("""COMPUTED_VALUE"""),0)</f>
        <v>0</v>
      </c>
      <c r="R631" s="3" t="str">
        <f ca="1">IFERROR(__xludf.DUMMYFUNCTION("""COMPUTED_VALUE"""),"2055-06-03T17:32:50.798336Z")</f>
        <v>2055-06-03T17:32:50.798336Z</v>
      </c>
      <c r="S631" s="3" t="str">
        <f ca="1">IFERROR(__xludf.DUMMYFUNCTION("""COMPUTED_VALUE"""),"2055-06-03T17:59:29.137518Z")</f>
        <v>2055-06-03T17:59:29.137518Z</v>
      </c>
      <c r="T631" s="3"/>
      <c r="U631" s="4">
        <f ca="1">IFERROR(__xludf.DUMMYFUNCTION("""COMPUTED_VALUE"""),56768)</f>
        <v>56768</v>
      </c>
      <c r="V631" s="3">
        <f ca="1">IFERROR(__xludf.DUMMYFUNCTION("""COMPUTED_VALUE"""),4.5)</f>
        <v>4.5</v>
      </c>
      <c r="W631" s="3">
        <f ca="1">IFERROR(__xludf.DUMMYFUNCTION("""COMPUTED_VALUE"""),2000)</f>
        <v>2000</v>
      </c>
      <c r="X631" s="3">
        <f ca="1">IFERROR(__xludf.DUMMYFUNCTION("""COMPUTED_VALUE"""),3052)</f>
        <v>3052</v>
      </c>
      <c r="Y631" s="3">
        <f ca="1">IFERROR(__xludf.DUMMYFUNCTION("""COMPUTED_VALUE"""),1599)</f>
        <v>1599</v>
      </c>
      <c r="Z631" s="3">
        <f ca="1">IFERROR(__xludf.DUMMYFUNCTION("""COMPUTED_VALUE"""),345)</f>
        <v>345</v>
      </c>
      <c r="AA631" s="3">
        <f ca="1">IFERROR(__xludf.DUMMYFUNCTION("""COMPUTED_VALUE"""),1108)</f>
        <v>1108</v>
      </c>
      <c r="AB631" s="3">
        <f ca="1">IFERROR(__xludf.DUMMYFUNCTION("""COMPUTED_VALUE"""),0)</f>
        <v>0</v>
      </c>
      <c r="AC631" s="3">
        <f ca="1">IFERROR(__xludf.DUMMYFUNCTION("""COMPUTED_VALUE"""),4)</f>
        <v>4</v>
      </c>
      <c r="AD631" s="3" t="str">
        <f ca="1">IFERROR(__xludf.DUMMYFUNCTION("""COMPUTED_VALUE"""),"late")</f>
        <v>late</v>
      </c>
      <c r="AE631" s="3" t="str">
        <f ca="1">IFERROR(__xludf.DUMMYFUNCTION("""COMPUTED_VALUE"""),"2055-06-03T14:05:14.779672Z")</f>
        <v>2055-06-03T14:05:14.779672Z</v>
      </c>
      <c r="AF631" s="3" t="str">
        <f ca="1">IFERROR(__xludf.DUMMYFUNCTION("""COMPUTED_VALUE"""),"2055-06-03T14:23:42.740353Z")</f>
        <v>2055-06-03T14:23:42.740353Z</v>
      </c>
      <c r="AG631" s="3" t="str">
        <f ca="1">IFERROR(__xludf.DUMMYFUNCTION("""COMPUTED_VALUE"""),"2055-06-03T13:32:47.370329Z")</f>
        <v>2055-06-03T13:32:47.370329Z</v>
      </c>
      <c r="AH631" s="3" t="str">
        <f ca="1">IFERROR(__xludf.DUMMYFUNCTION("""COMPUTED_VALUE"""),"2055-06-03T13:59:29.137518Z")</f>
        <v>2055-06-03T13:59:29.137518Z</v>
      </c>
      <c r="AI631" s="3">
        <f ca="1">IFERROR(__xludf.DUMMYFUNCTION("""COMPUTED_VALUE"""),4.49)</f>
        <v>4.49</v>
      </c>
      <c r="AJ631" s="3">
        <f ca="1">IFERROR(__xludf.DUMMYFUNCTION("""COMPUTED_VALUE"""),2315)</f>
        <v>2315</v>
      </c>
      <c r="AK631" s="3">
        <f ca="1">IFERROR(__xludf.DUMMYFUNCTION("""COMPUTED_VALUE"""),7039)</f>
        <v>7039</v>
      </c>
      <c r="AL631" s="3">
        <f ca="1">IFERROR(__xludf.DUMMYFUNCTION("""COMPUTED_VALUE"""),763)</f>
        <v>763</v>
      </c>
    </row>
    <row r="632" spans="1:38" ht="13">
      <c r="A632" s="3">
        <f ca="1">IFERROR(__xludf.DUMMYFUNCTION("""COMPUTED_VALUE"""),539)</f>
        <v>539</v>
      </c>
      <c r="B632" s="3"/>
      <c r="C632" s="3">
        <f ca="1">IFERROR(__xludf.DUMMYFUNCTION("""COMPUTED_VALUE"""),4001)</f>
        <v>4001</v>
      </c>
      <c r="D632" s="3" t="str">
        <f ca="1">IFERROR(__xludf.DUMMYFUNCTION("""COMPUTED_VALUE"""),"Dashattan")</f>
        <v>Dashattan</v>
      </c>
      <c r="E632" s="3" t="str">
        <f ca="1">IFERROR(__xludf.DUMMYFUNCTION("""COMPUTED_VALUE"""),"Galaxy A")</f>
        <v>Galaxy A</v>
      </c>
      <c r="F632" s="3" t="str">
        <f ca="1">IFERROR(__xludf.DUMMYFUNCTION("""COMPUTED_VALUE"""),"Bret")</f>
        <v>Bret</v>
      </c>
      <c r="G632" s="3">
        <f ca="1">IFERROR(__xludf.DUMMYFUNCTION("""COMPUTED_VALUE"""),0)</f>
        <v>0</v>
      </c>
      <c r="H632" s="3" t="str">
        <f ca="1">IFERROR(__xludf.DUMMYFUNCTION("""COMPUTED_VALUE"""),"car")</f>
        <v>car</v>
      </c>
      <c r="I632" s="3" t="str">
        <f ca="1">IFERROR(__xludf.DUMMYFUNCTION("""COMPUTED_VALUE"""),"2055-06-05T13:44:00.001496Z")</f>
        <v>2055-06-05T13:44:00.001496Z</v>
      </c>
      <c r="J632" s="3" t="str">
        <f ca="1">IFERROR(__xludf.DUMMYFUNCTION("""COMPUTED_VALUE"""),"2055-06-05T14:16:07.226Z")</f>
        <v>2055-06-05T14:16:07.226Z</v>
      </c>
      <c r="K632" s="3" t="str">
        <f ca="1">IFERROR(__xludf.DUMMYFUNCTION("""COMPUTED_VALUE"""),"2055-06-05T14:05:28.226Z")</f>
        <v>2055-06-05T14:05:28.226Z</v>
      </c>
      <c r="L632" s="3">
        <f ca="1">IFERROR(__xludf.DUMMYFUNCTION("""COMPUTED_VALUE"""),1)</f>
        <v>1</v>
      </c>
      <c r="M632" s="3">
        <f ca="1">IFERROR(__xludf.DUMMYFUNCTION("""COMPUTED_VALUE"""),0)</f>
        <v>0</v>
      </c>
      <c r="N632" s="3" t="str">
        <f ca="1">IFERROR(__xludf.DUMMYFUNCTION("""COMPUTED_VALUE"""),"2055-06-05T14:28:29.166896Z")</f>
        <v>2055-06-05T14:28:29.166896Z</v>
      </c>
      <c r="O632" s="3" t="str">
        <f ca="1">IFERROR(__xludf.DUMMYFUNCTION("""COMPUTED_VALUE"""),"2055-06-05T14:28:48.399372Z")</f>
        <v>2055-06-05T14:28:48.399372Z</v>
      </c>
      <c r="P632" s="3" t="str">
        <f ca="1">IFERROR(__xludf.DUMMYFUNCTION("""COMPUTED_VALUE"""),"2055-06-05T13:52:14.075996Z")</f>
        <v>2055-06-05T13:52:14.075996Z</v>
      </c>
      <c r="Q632" s="3">
        <f ca="1">IFERROR(__xludf.DUMMYFUNCTION("""COMPUTED_VALUE"""),0)</f>
        <v>0</v>
      </c>
      <c r="R632" s="3" t="str">
        <f ca="1">IFERROR(__xludf.DUMMYFUNCTION("""COMPUTED_VALUE"""),"2055-06-05T13:52:18.297609Z")</f>
        <v>2055-06-05T13:52:18.297609Z</v>
      </c>
      <c r="S632" s="3" t="str">
        <f ca="1">IFERROR(__xludf.DUMMYFUNCTION("""COMPUTED_VALUE"""),"2055-06-05T13:58:54.276275Z")</f>
        <v>2055-06-05T13:58:54.276275Z</v>
      </c>
      <c r="T632" s="3"/>
      <c r="U632" s="4">
        <f ca="1">IFERROR(__xludf.DUMMYFUNCTION("""COMPUTED_VALUE"""),56770)</f>
        <v>56770</v>
      </c>
      <c r="V632" s="3">
        <f ca="1">IFERROR(__xludf.DUMMYFUNCTION("""COMPUTED_VALUE"""),4.5)</f>
        <v>4.5</v>
      </c>
      <c r="W632" s="3">
        <f ca="1">IFERROR(__xludf.DUMMYFUNCTION("""COMPUTED_VALUE"""),2000)</f>
        <v>2000</v>
      </c>
      <c r="X632" s="3">
        <f ca="1">IFERROR(__xludf.DUMMYFUNCTION("""COMPUTED_VALUE"""),2190)</f>
        <v>2190</v>
      </c>
      <c r="Y632" s="3">
        <f ca="1">IFERROR(__xludf.DUMMYFUNCTION("""COMPUTED_VALUE"""),396)</f>
        <v>396</v>
      </c>
      <c r="Z632" s="3">
        <f ca="1">IFERROR(__xludf.DUMMYFUNCTION("""COMPUTED_VALUE"""),1775)</f>
        <v>1775</v>
      </c>
      <c r="AA632" s="3">
        <f ca="1">IFERROR(__xludf.DUMMYFUNCTION("""COMPUTED_VALUE"""),19)</f>
        <v>19</v>
      </c>
      <c r="AB632" s="3">
        <f ca="1">IFERROR(__xludf.DUMMYFUNCTION("""COMPUTED_VALUE"""),0)</f>
        <v>0</v>
      </c>
      <c r="AC632" s="3">
        <f ca="1">IFERROR(__xludf.DUMMYFUNCTION("""COMPUTED_VALUE"""),6)</f>
        <v>6</v>
      </c>
      <c r="AD632" s="3" t="str">
        <f ca="1">IFERROR(__xludf.DUMMYFUNCTION("""COMPUTED_VALUE"""),"early")</f>
        <v>early</v>
      </c>
      <c r="AE632" s="3" t="str">
        <f ca="1">IFERROR(__xludf.DUMMYFUNCTION("""COMPUTED_VALUE"""),"2055-06-05T10:28:29.166896Z")</f>
        <v>2055-06-05T10:28:29.166896Z</v>
      </c>
      <c r="AF632" s="3" t="str">
        <f ca="1">IFERROR(__xludf.DUMMYFUNCTION("""COMPUTED_VALUE"""),"2055-06-05T10:28:48.399372Z")</f>
        <v>2055-06-05T10:28:48.399372Z</v>
      </c>
      <c r="AG632" s="3" t="str">
        <f ca="1">IFERROR(__xludf.DUMMYFUNCTION("""COMPUTED_VALUE"""),"2055-06-05T09:52:14.075996Z")</f>
        <v>2055-06-05T09:52:14.075996Z</v>
      </c>
      <c r="AH632" s="3" t="str">
        <f ca="1">IFERROR(__xludf.DUMMYFUNCTION("""COMPUTED_VALUE"""),"2055-06-05T09:58:54.276275Z")</f>
        <v>2055-06-05T09:58:54.276275Z</v>
      </c>
      <c r="AI632" s="3">
        <f ca="1">IFERROR(__xludf.DUMMYFUNCTION("""COMPUTED_VALUE"""),3.82)</f>
        <v>3.82</v>
      </c>
      <c r="AJ632" s="3">
        <f ca="1">IFERROR(__xludf.DUMMYFUNCTION("""COMPUTED_VALUE"""),174)</f>
        <v>174</v>
      </c>
      <c r="AK632" s="3">
        <f ca="1">IFERROR(__xludf.DUMMYFUNCTION("""COMPUTED_VALUE"""),773)</f>
        <v>773</v>
      </c>
      <c r="AL632" s="3"/>
    </row>
    <row r="633" spans="1:38" ht="13">
      <c r="A633" s="3">
        <f ca="1">IFERROR(__xludf.DUMMYFUNCTION("""COMPUTED_VALUE"""),847)</f>
        <v>847</v>
      </c>
      <c r="B633" s="3">
        <f ca="1">IFERROR(__xludf.DUMMYFUNCTION("""COMPUTED_VALUE"""),5)</f>
        <v>5</v>
      </c>
      <c r="C633" s="3">
        <f ca="1">IFERROR(__xludf.DUMMYFUNCTION("""COMPUTED_VALUE"""),4050)</f>
        <v>4050</v>
      </c>
      <c r="D633" s="3" t="str">
        <f ca="1">IFERROR(__xludf.DUMMYFUNCTION("""COMPUTED_VALUE"""),"Doorlanta")</f>
        <v>Doorlanta</v>
      </c>
      <c r="E633" s="3" t="str">
        <f ca="1">IFERROR(__xludf.DUMMYFUNCTION("""COMPUTED_VALUE"""),"Galaxy A")</f>
        <v>Galaxy A</v>
      </c>
      <c r="F633" s="3" t="str">
        <f ca="1">IFERROR(__xludf.DUMMYFUNCTION("""COMPUTED_VALUE"""),"Cate")</f>
        <v>Cate</v>
      </c>
      <c r="G633" s="3">
        <f ca="1">IFERROR(__xludf.DUMMYFUNCTION("""COMPUTED_VALUE"""),0)</f>
        <v>0</v>
      </c>
      <c r="H633" s="3" t="str">
        <f ca="1">IFERROR(__xludf.DUMMYFUNCTION("""COMPUTED_VALUE"""),"car")</f>
        <v>car</v>
      </c>
      <c r="I633" s="3" t="str">
        <f ca="1">IFERROR(__xludf.DUMMYFUNCTION("""COMPUTED_VALUE"""),"2055-06-07T16:43:16.630846Z")</f>
        <v>2055-06-07T16:43:16.630846Z</v>
      </c>
      <c r="J633" s="3" t="str">
        <f ca="1">IFERROR(__xludf.DUMMYFUNCTION("""COMPUTED_VALUE"""),"2055-06-07T17:38:16.759Z")</f>
        <v>2055-06-07T17:38:16.759Z</v>
      </c>
      <c r="K633" s="3" t="str">
        <f ca="1">IFERROR(__xludf.DUMMYFUNCTION("""COMPUTED_VALUE"""),"2055-06-07T17:22:04.759Z")</f>
        <v>2055-06-07T17:22:04.759Z</v>
      </c>
      <c r="L633" s="3">
        <f ca="1">IFERROR(__xludf.DUMMYFUNCTION("""COMPUTED_VALUE"""),1)</f>
        <v>1</v>
      </c>
      <c r="M633" s="3">
        <f ca="1">IFERROR(__xludf.DUMMYFUNCTION("""COMPUTED_VALUE"""),0)</f>
        <v>0</v>
      </c>
      <c r="N633" s="3" t="str">
        <f ca="1">IFERROR(__xludf.DUMMYFUNCTION("""COMPUTED_VALUE"""),"2055-06-07T16:58:12.512717Z")</f>
        <v>2055-06-07T16:58:12.512717Z</v>
      </c>
      <c r="O633" s="3" t="str">
        <f ca="1">IFERROR(__xludf.DUMMYFUNCTION("""COMPUTED_VALUE"""),"2055-06-07T17:16:15.463647Z")</f>
        <v>2055-06-07T17:16:15.463647Z</v>
      </c>
      <c r="P633" s="3" t="str">
        <f ca="1">IFERROR(__xludf.DUMMYFUNCTION("""COMPUTED_VALUE"""),"2055-06-07T16:43:27.288219Z")</f>
        <v>2055-06-07T16:43:27.288219Z</v>
      </c>
      <c r="Q633" s="3">
        <f ca="1">IFERROR(__xludf.DUMMYFUNCTION("""COMPUTED_VALUE"""),0)</f>
        <v>0</v>
      </c>
      <c r="R633" s="3" t="str">
        <f ca="1">IFERROR(__xludf.DUMMYFUNCTION("""COMPUTED_VALUE"""),"2055-06-07T16:43:32.772202Z")</f>
        <v>2055-06-07T16:43:32.772202Z</v>
      </c>
      <c r="S633" s="3" t="str">
        <f ca="1">IFERROR(__xludf.DUMMYFUNCTION("""COMPUTED_VALUE"""),"2055-06-07T16:54:44.788122Z")</f>
        <v>2055-06-07T16:54:44.788122Z</v>
      </c>
      <c r="T633" s="3"/>
      <c r="U633" s="4">
        <f ca="1">IFERROR(__xludf.DUMMYFUNCTION("""COMPUTED_VALUE"""),56772)</f>
        <v>56772</v>
      </c>
      <c r="V633" s="3">
        <f ca="1">IFERROR(__xludf.DUMMYFUNCTION("""COMPUTED_VALUE"""),4.7)</f>
        <v>4.7</v>
      </c>
      <c r="W633" s="3">
        <f ca="1">IFERROR(__xludf.DUMMYFUNCTION("""COMPUTED_VALUE"""),2000)</f>
        <v>2000</v>
      </c>
      <c r="X633" s="3">
        <f ca="1">IFERROR(__xludf.DUMMYFUNCTION("""COMPUTED_VALUE"""),1963)</f>
        <v>1963</v>
      </c>
      <c r="Y633" s="3">
        <f ca="1">IFERROR(__xludf.DUMMYFUNCTION("""COMPUTED_VALUE"""),672)</f>
        <v>672</v>
      </c>
      <c r="Z633" s="3">
        <f ca="1">IFERROR(__xludf.DUMMYFUNCTION("""COMPUTED_VALUE"""),208)</f>
        <v>208</v>
      </c>
      <c r="AA633" s="3">
        <f ca="1">IFERROR(__xludf.DUMMYFUNCTION("""COMPUTED_VALUE"""),1083)</f>
        <v>1083</v>
      </c>
      <c r="AB633" s="3">
        <f ca="1">IFERROR(__xludf.DUMMYFUNCTION("""COMPUTED_VALUE"""),0)</f>
        <v>0</v>
      </c>
      <c r="AC633" s="3">
        <f ca="1">IFERROR(__xludf.DUMMYFUNCTION("""COMPUTED_VALUE"""),1)</f>
        <v>1</v>
      </c>
      <c r="AD633" s="3" t="str">
        <f ca="1">IFERROR(__xludf.DUMMYFUNCTION("""COMPUTED_VALUE"""),"early")</f>
        <v>early</v>
      </c>
      <c r="AE633" s="3" t="str">
        <f ca="1">IFERROR(__xludf.DUMMYFUNCTION("""COMPUTED_VALUE"""),"2055-06-07T12:58:12.512717Z")</f>
        <v>2055-06-07T12:58:12.512717Z</v>
      </c>
      <c r="AF633" s="3" t="str">
        <f ca="1">IFERROR(__xludf.DUMMYFUNCTION("""COMPUTED_VALUE"""),"2055-06-07T13:16:15.463647Z")</f>
        <v>2055-06-07T13:16:15.463647Z</v>
      </c>
      <c r="AG633" s="3" t="str">
        <f ca="1">IFERROR(__xludf.DUMMYFUNCTION("""COMPUTED_VALUE"""),"2055-06-07T12:43:27.288219Z")</f>
        <v>2055-06-07T12:43:27.288219Z</v>
      </c>
      <c r="AH633" s="3" t="str">
        <f ca="1">IFERROR(__xludf.DUMMYFUNCTION("""COMPUTED_VALUE"""),"2055-06-07T12:54:44.788122Z")</f>
        <v>2055-06-07T12:54:44.788122Z</v>
      </c>
      <c r="AI633" s="3">
        <f ca="1">IFERROR(__xludf.DUMMYFUNCTION("""COMPUTED_VALUE"""),4.49)</f>
        <v>4.49</v>
      </c>
      <c r="AJ633" s="3">
        <f ca="1">IFERROR(__xludf.DUMMYFUNCTION("""COMPUTED_VALUE"""),2315)</f>
        <v>2315</v>
      </c>
      <c r="AK633" s="3">
        <f ca="1">IFERROR(__xludf.DUMMYFUNCTION("""COMPUTED_VALUE"""),7039)</f>
        <v>7039</v>
      </c>
      <c r="AL633" s="3">
        <f ca="1">IFERROR(__xludf.DUMMYFUNCTION("""COMPUTED_VALUE"""),763)</f>
        <v>763</v>
      </c>
    </row>
    <row r="634" spans="1:38" ht="13">
      <c r="A634" s="3">
        <f ca="1">IFERROR(__xludf.DUMMYFUNCTION("""COMPUTED_VALUE"""),125)</f>
        <v>125</v>
      </c>
      <c r="B634" s="3">
        <f ca="1">IFERROR(__xludf.DUMMYFUNCTION("""COMPUTED_VALUE"""),5)</f>
        <v>5</v>
      </c>
      <c r="C634" s="3">
        <f ca="1">IFERROR(__xludf.DUMMYFUNCTION("""COMPUTED_VALUE"""),4050)</f>
        <v>4050</v>
      </c>
      <c r="D634" s="3" t="str">
        <f ca="1">IFERROR(__xludf.DUMMYFUNCTION("""COMPUTED_VALUE"""),"Doorlanta")</f>
        <v>Doorlanta</v>
      </c>
      <c r="E634" s="3" t="str">
        <f ca="1">IFERROR(__xludf.DUMMYFUNCTION("""COMPUTED_VALUE"""),"Galaxy A")</f>
        <v>Galaxy A</v>
      </c>
      <c r="F634" s="3" t="str">
        <f ca="1">IFERROR(__xludf.DUMMYFUNCTION("""COMPUTED_VALUE"""),"Elon")</f>
        <v>Elon</v>
      </c>
      <c r="G634" s="3">
        <f ca="1">IFERROR(__xludf.DUMMYFUNCTION("""COMPUTED_VALUE"""),0)</f>
        <v>0</v>
      </c>
      <c r="H634" s="3" t="str">
        <f ca="1">IFERROR(__xludf.DUMMYFUNCTION("""COMPUTED_VALUE"""),"car")</f>
        <v>car</v>
      </c>
      <c r="I634" s="3" t="str">
        <f ca="1">IFERROR(__xludf.DUMMYFUNCTION("""COMPUTED_VALUE"""),"2055-06-02T15:29:54.253402Z")</f>
        <v>2055-06-02T15:29:54.253402Z</v>
      </c>
      <c r="J634" s="3" t="str">
        <f ca="1">IFERROR(__xludf.DUMMYFUNCTION("""COMPUTED_VALUE"""),"2055-06-02T16:27:56.381Z")</f>
        <v>2055-06-02T16:27:56.381Z</v>
      </c>
      <c r="K634" s="3" t="str">
        <f ca="1">IFERROR(__xludf.DUMMYFUNCTION("""COMPUTED_VALUE"""),"2055-06-02T16:09:03.381Z")</f>
        <v>2055-06-02T16:09:03.381Z</v>
      </c>
      <c r="L634" s="3">
        <f ca="1">IFERROR(__xludf.DUMMYFUNCTION("""COMPUTED_VALUE"""),1)</f>
        <v>1</v>
      </c>
      <c r="M634" s="3">
        <f ca="1">IFERROR(__xludf.DUMMYFUNCTION("""COMPUTED_VALUE"""),0)</f>
        <v>0</v>
      </c>
      <c r="N634" s="3" t="str">
        <f ca="1">IFERROR(__xludf.DUMMYFUNCTION("""COMPUTED_VALUE"""),"2055-06-02T15:52:07.365117Z")</f>
        <v>2055-06-02T15:52:07.365117Z</v>
      </c>
      <c r="O634" s="3" t="str">
        <f ca="1">IFERROR(__xludf.DUMMYFUNCTION("""COMPUTED_VALUE"""),"2055-06-02T16:13:14.942255Z")</f>
        <v>2055-06-02T16:13:14.942255Z</v>
      </c>
      <c r="P634" s="3" t="str">
        <f ca="1">IFERROR(__xludf.DUMMYFUNCTION("""COMPUTED_VALUE"""),"2055-06-02T15:30:07.452161Z")</f>
        <v>2055-06-02T15:30:07.452161Z</v>
      </c>
      <c r="Q634" s="3">
        <f ca="1">IFERROR(__xludf.DUMMYFUNCTION("""COMPUTED_VALUE"""),0)</f>
        <v>0</v>
      </c>
      <c r="R634" s="3" t="str">
        <f ca="1">IFERROR(__xludf.DUMMYFUNCTION("""COMPUTED_VALUE"""),"2055-06-02T15:30:22.436738Z")</f>
        <v>2055-06-02T15:30:22.436738Z</v>
      </c>
      <c r="S634" s="3" t="str">
        <f ca="1">IFERROR(__xludf.DUMMYFUNCTION("""COMPUTED_VALUE"""),"2055-06-02T15:50:46.694896Z")</f>
        <v>2055-06-02T15:50:46.694896Z</v>
      </c>
      <c r="T634" s="3"/>
      <c r="U634" s="4">
        <f ca="1">IFERROR(__xludf.DUMMYFUNCTION("""COMPUTED_VALUE"""),56767)</f>
        <v>56767</v>
      </c>
      <c r="V634" s="3">
        <f ca="1">IFERROR(__xludf.DUMMYFUNCTION("""COMPUTED_VALUE"""),4.7)</f>
        <v>4.7</v>
      </c>
      <c r="W634" s="3">
        <f ca="1">IFERROR(__xludf.DUMMYFUNCTION("""COMPUTED_VALUE"""),2000)</f>
        <v>2000</v>
      </c>
      <c r="X634" s="3">
        <f ca="1">IFERROR(__xludf.DUMMYFUNCTION("""COMPUTED_VALUE"""),2572)</f>
        <v>2572</v>
      </c>
      <c r="Y634" s="3">
        <f ca="1">IFERROR(__xludf.DUMMYFUNCTION("""COMPUTED_VALUE"""),1224)</f>
        <v>1224</v>
      </c>
      <c r="Z634" s="3">
        <f ca="1">IFERROR(__xludf.DUMMYFUNCTION("""COMPUTED_VALUE"""),81)</f>
        <v>81</v>
      </c>
      <c r="AA634" s="3">
        <f ca="1">IFERROR(__xludf.DUMMYFUNCTION("""COMPUTED_VALUE"""),1267)</f>
        <v>1267</v>
      </c>
      <c r="AB634" s="3">
        <f ca="1">IFERROR(__xludf.DUMMYFUNCTION("""COMPUTED_VALUE"""),0)</f>
        <v>0</v>
      </c>
      <c r="AC634" s="3">
        <f ca="1">IFERROR(__xludf.DUMMYFUNCTION("""COMPUTED_VALUE"""),2)</f>
        <v>2</v>
      </c>
      <c r="AD634" s="3" t="str">
        <f ca="1">IFERROR(__xludf.DUMMYFUNCTION("""COMPUTED_VALUE"""),"late")</f>
        <v>late</v>
      </c>
      <c r="AE634" s="3" t="str">
        <f ca="1">IFERROR(__xludf.DUMMYFUNCTION("""COMPUTED_VALUE"""),"2055-06-02T11:52:07.365117Z")</f>
        <v>2055-06-02T11:52:07.365117Z</v>
      </c>
      <c r="AF634" s="3" t="str">
        <f ca="1">IFERROR(__xludf.DUMMYFUNCTION("""COMPUTED_VALUE"""),"2055-06-02T12:13:14.942255Z")</f>
        <v>2055-06-02T12:13:14.942255Z</v>
      </c>
      <c r="AG634" s="3" t="str">
        <f ca="1">IFERROR(__xludf.DUMMYFUNCTION("""COMPUTED_VALUE"""),"2055-06-02T11:30:07.452161Z")</f>
        <v>2055-06-02T11:30:07.452161Z</v>
      </c>
      <c r="AH634" s="3" t="str">
        <f ca="1">IFERROR(__xludf.DUMMYFUNCTION("""COMPUTED_VALUE"""),"2055-06-02T11:50:46.694896Z")</f>
        <v>2055-06-02T11:50:46.694896Z</v>
      </c>
      <c r="AI634" s="3">
        <f ca="1">IFERROR(__xludf.DUMMYFUNCTION("""COMPUTED_VALUE"""),4.62)</f>
        <v>4.62</v>
      </c>
      <c r="AJ634" s="3">
        <f ca="1">IFERROR(__xludf.DUMMYFUNCTION("""COMPUTED_VALUE"""),259)</f>
        <v>259</v>
      </c>
      <c r="AK634" s="3">
        <f ca="1">IFERROR(__xludf.DUMMYFUNCTION("""COMPUTED_VALUE"""),604)</f>
        <v>604</v>
      </c>
      <c r="AL634" s="3">
        <f ca="1">IFERROR(__xludf.DUMMYFUNCTION("""COMPUTED_VALUE"""),21)</f>
        <v>21</v>
      </c>
    </row>
    <row r="635" spans="1:38" ht="13">
      <c r="A635" s="3">
        <f ca="1">IFERROR(__xludf.DUMMYFUNCTION("""COMPUTED_VALUE"""),423)</f>
        <v>423</v>
      </c>
      <c r="B635" s="3">
        <f ca="1">IFERROR(__xludf.DUMMYFUNCTION("""COMPUTED_VALUE"""),5)</f>
        <v>5</v>
      </c>
      <c r="C635" s="3">
        <f ca="1">IFERROR(__xludf.DUMMYFUNCTION("""COMPUTED_VALUE"""),4050)</f>
        <v>4050</v>
      </c>
      <c r="D635" s="3" t="str">
        <f ca="1">IFERROR(__xludf.DUMMYFUNCTION("""COMPUTED_VALUE"""),"Doorlanta")</f>
        <v>Doorlanta</v>
      </c>
      <c r="E635" s="3" t="str">
        <f ca="1">IFERROR(__xludf.DUMMYFUNCTION("""COMPUTED_VALUE"""),"Galaxy A")</f>
        <v>Galaxy A</v>
      </c>
      <c r="F635" s="3" t="str">
        <f ca="1">IFERROR(__xludf.DUMMYFUNCTION("""COMPUTED_VALUE"""),"Matthew")</f>
        <v>Matthew</v>
      </c>
      <c r="G635" s="3">
        <f ca="1">IFERROR(__xludf.DUMMYFUNCTION("""COMPUTED_VALUE"""),0)</f>
        <v>0</v>
      </c>
      <c r="H635" s="3" t="str">
        <f ca="1">IFERROR(__xludf.DUMMYFUNCTION("""COMPUTED_VALUE"""),"car")</f>
        <v>car</v>
      </c>
      <c r="I635" s="3" t="str">
        <f ca="1">IFERROR(__xludf.DUMMYFUNCTION("""COMPUTED_VALUE"""),"2055-06-04T17:29:24.625341Z")</f>
        <v>2055-06-04T17:29:24.625341Z</v>
      </c>
      <c r="J635" s="3" t="str">
        <f ca="1">IFERROR(__xludf.DUMMYFUNCTION("""COMPUTED_VALUE"""),"2055-06-04T18:09:24.704Z")</f>
        <v>2055-06-04T18:09:24.704Z</v>
      </c>
      <c r="K635" s="3" t="str">
        <f ca="1">IFERROR(__xludf.DUMMYFUNCTION("""COMPUTED_VALUE"""),"2055-06-04T17:59:00.704Z")</f>
        <v>2055-06-04T17:59:00.704Z</v>
      </c>
      <c r="L635" s="3">
        <f ca="1">IFERROR(__xludf.DUMMYFUNCTION("""COMPUTED_VALUE"""),1)</f>
        <v>1</v>
      </c>
      <c r="M635" s="3">
        <f ca="1">IFERROR(__xludf.DUMMYFUNCTION("""COMPUTED_VALUE"""),0)</f>
        <v>0</v>
      </c>
      <c r="N635" s="3" t="str">
        <f ca="1">IFERROR(__xludf.DUMMYFUNCTION("""COMPUTED_VALUE"""),"2055-06-04T17:57:04.540712Z")</f>
        <v>2055-06-04T17:57:04.540712Z</v>
      </c>
      <c r="O635" s="3" t="str">
        <f ca="1">IFERROR(__xludf.DUMMYFUNCTION("""COMPUTED_VALUE"""),"2055-06-04T18:07:35.097176Z")</f>
        <v>2055-06-04T18:07:35.097176Z</v>
      </c>
      <c r="P635" s="3" t="str">
        <f ca="1">IFERROR(__xludf.DUMMYFUNCTION("""COMPUTED_VALUE"""),"2055-06-04T17:39:47.350608Z")</f>
        <v>2055-06-04T17:39:47.350608Z</v>
      </c>
      <c r="Q635" s="3">
        <f ca="1">IFERROR(__xludf.DUMMYFUNCTION("""COMPUTED_VALUE"""),0)</f>
        <v>0</v>
      </c>
      <c r="R635" s="3" t="str">
        <f ca="1">IFERROR(__xludf.DUMMYFUNCTION("""COMPUTED_VALUE"""),"2055-06-04T17:40:15.075641Z")</f>
        <v>2055-06-04T17:40:15.075641Z</v>
      </c>
      <c r="S635" s="3" t="str">
        <f ca="1">IFERROR(__xludf.DUMMYFUNCTION("""COMPUTED_VALUE"""),"2055-06-04T17:52:47.802482Z")</f>
        <v>2055-06-04T17:52:47.802482Z</v>
      </c>
      <c r="T635" s="3"/>
      <c r="U635" s="4">
        <f ca="1">IFERROR(__xludf.DUMMYFUNCTION("""COMPUTED_VALUE"""),56769)</f>
        <v>56769</v>
      </c>
      <c r="V635" s="3">
        <f ca="1">IFERROR(__xludf.DUMMYFUNCTION("""COMPUTED_VALUE"""),3.266997924)</f>
        <v>3.266997924</v>
      </c>
      <c r="W635" s="3">
        <f ca="1">IFERROR(__xludf.DUMMYFUNCTION("""COMPUTED_VALUE"""),2000)</f>
        <v>2000</v>
      </c>
      <c r="X635" s="3">
        <f ca="1">IFERROR(__xludf.DUMMYFUNCTION("""COMPUTED_VALUE"""),1640)</f>
        <v>1640</v>
      </c>
      <c r="Y635" s="3">
        <f ca="1">IFERROR(__xludf.DUMMYFUNCTION("""COMPUTED_VALUE"""),752)</f>
        <v>752</v>
      </c>
      <c r="Z635" s="3">
        <f ca="1">IFERROR(__xludf.DUMMYFUNCTION("""COMPUTED_VALUE"""),257)</f>
        <v>257</v>
      </c>
      <c r="AA635" s="3">
        <f ca="1">IFERROR(__xludf.DUMMYFUNCTION("""COMPUTED_VALUE"""),631)</f>
        <v>631</v>
      </c>
      <c r="AB635" s="3">
        <f ca="1">IFERROR(__xludf.DUMMYFUNCTION("""COMPUTED_VALUE"""),0)</f>
        <v>0</v>
      </c>
      <c r="AC635" s="3">
        <f ca="1">IFERROR(__xludf.DUMMYFUNCTION("""COMPUTED_VALUE"""),3)</f>
        <v>3</v>
      </c>
      <c r="AD635" s="3" t="str">
        <f ca="1">IFERROR(__xludf.DUMMYFUNCTION("""COMPUTED_VALUE"""),"late")</f>
        <v>late</v>
      </c>
      <c r="AE635" s="3" t="str">
        <f ca="1">IFERROR(__xludf.DUMMYFUNCTION("""COMPUTED_VALUE"""),"2055-06-04T13:57:04.540712Z")</f>
        <v>2055-06-04T13:57:04.540712Z</v>
      </c>
      <c r="AF635" s="3" t="str">
        <f ca="1">IFERROR(__xludf.DUMMYFUNCTION("""COMPUTED_VALUE"""),"2055-06-04T14:07:35.097176Z")</f>
        <v>2055-06-04T14:07:35.097176Z</v>
      </c>
      <c r="AG635" s="3" t="str">
        <f ca="1">IFERROR(__xludf.DUMMYFUNCTION("""COMPUTED_VALUE"""),"2055-06-04T13:39:47.350608Z")</f>
        <v>2055-06-04T13:39:47.350608Z</v>
      </c>
      <c r="AH635" s="3" t="str">
        <f ca="1">IFERROR(__xludf.DUMMYFUNCTION("""COMPUTED_VALUE"""),"2055-06-04T13:52:47.802482Z")</f>
        <v>2055-06-04T13:52:47.802482Z</v>
      </c>
      <c r="AI635" s="3">
        <f ca="1">IFERROR(__xludf.DUMMYFUNCTION("""COMPUTED_VALUE"""),4.411111111)</f>
        <v>4.4111111110000003</v>
      </c>
      <c r="AJ635" s="3">
        <f ca="1">IFERROR(__xludf.DUMMYFUNCTION("""COMPUTED_VALUE"""),68)</f>
        <v>68</v>
      </c>
      <c r="AK635" s="3">
        <f ca="1">IFERROR(__xludf.DUMMYFUNCTION("""COMPUTED_VALUE"""),223)</f>
        <v>223</v>
      </c>
      <c r="AL635" s="3">
        <f ca="1">IFERROR(__xludf.DUMMYFUNCTION("""COMPUTED_VALUE"""),118)</f>
        <v>118</v>
      </c>
    </row>
    <row r="636" spans="1:38" ht="13">
      <c r="A636" s="3">
        <f ca="1">IFERROR(__xludf.DUMMYFUNCTION("""COMPUTED_VALUE"""),551)</f>
        <v>551</v>
      </c>
      <c r="B636" s="3">
        <f ca="1">IFERROR(__xludf.DUMMYFUNCTION("""COMPUTED_VALUE"""),1)</f>
        <v>1</v>
      </c>
      <c r="C636" s="3">
        <f ca="1">IFERROR(__xludf.DUMMYFUNCTION("""COMPUTED_VALUE"""),4001)</f>
        <v>4001</v>
      </c>
      <c r="D636" s="3" t="str">
        <f ca="1">IFERROR(__xludf.DUMMYFUNCTION("""COMPUTED_VALUE"""),"Dashattan")</f>
        <v>Dashattan</v>
      </c>
      <c r="E636" s="3" t="str">
        <f ca="1">IFERROR(__xludf.DUMMYFUNCTION("""COMPUTED_VALUE"""),"Galaxy A")</f>
        <v>Galaxy A</v>
      </c>
      <c r="F636" s="3" t="str">
        <f ca="1">IFERROR(__xludf.DUMMYFUNCTION("""COMPUTED_VALUE"""),"Samm")</f>
        <v>Samm</v>
      </c>
      <c r="G636" s="3">
        <f ca="1">IFERROR(__xludf.DUMMYFUNCTION("""COMPUTED_VALUE"""),0)</f>
        <v>0</v>
      </c>
      <c r="H636" s="3" t="str">
        <f ca="1">IFERROR(__xludf.DUMMYFUNCTION("""COMPUTED_VALUE"""),"car")</f>
        <v>car</v>
      </c>
      <c r="I636" s="3" t="str">
        <f ca="1">IFERROR(__xludf.DUMMYFUNCTION("""COMPUTED_VALUE"""),"2055-06-05T15:24:57.763091Z")</f>
        <v>2055-06-05T15:24:57.763091Z</v>
      </c>
      <c r="J636" s="3" t="str">
        <f ca="1">IFERROR(__xludf.DUMMYFUNCTION("""COMPUTED_VALUE"""),"2055-06-05T16:21:14.813Z")</f>
        <v>2055-06-05T16:21:14.813Z</v>
      </c>
      <c r="K636" s="3" t="str">
        <f ca="1">IFERROR(__xludf.DUMMYFUNCTION("""COMPUTED_VALUE"""),"2055-06-05T16:02:21.813Z")</f>
        <v>2055-06-05T16:02:21.813Z</v>
      </c>
      <c r="L636" s="3">
        <f ca="1">IFERROR(__xludf.DUMMYFUNCTION("""COMPUTED_VALUE"""),1)</f>
        <v>1</v>
      </c>
      <c r="M636" s="3">
        <f ca="1">IFERROR(__xludf.DUMMYFUNCTION("""COMPUTED_VALUE"""),0)</f>
        <v>0</v>
      </c>
      <c r="N636" s="3" t="str">
        <f ca="1">IFERROR(__xludf.DUMMYFUNCTION("""COMPUTED_VALUE"""),"2055-06-05T16:48:35.681118Z")</f>
        <v>2055-06-05T16:48:35.681118Z</v>
      </c>
      <c r="O636" s="3" t="str">
        <f ca="1">IFERROR(__xludf.DUMMYFUNCTION("""COMPUTED_VALUE"""),"2055-06-05T16:48:42.69982Z")</f>
        <v>2055-06-05T16:48:42.69982Z</v>
      </c>
      <c r="P636" s="3" t="str">
        <f ca="1">IFERROR(__xludf.DUMMYFUNCTION("""COMPUTED_VALUE"""),"2055-06-05T16:09:14.144923Z")</f>
        <v>2055-06-05T16:09:14.144923Z</v>
      </c>
      <c r="Q636" s="3">
        <f ca="1">IFERROR(__xludf.DUMMYFUNCTION("""COMPUTED_VALUE"""),0)</f>
        <v>0</v>
      </c>
      <c r="R636" s="3" t="str">
        <f ca="1">IFERROR(__xludf.DUMMYFUNCTION("""COMPUTED_VALUE"""),"2055-06-05T16:09:50.953204Z")</f>
        <v>2055-06-05T16:09:50.953204Z</v>
      </c>
      <c r="S636" s="3"/>
      <c r="T636" s="3"/>
      <c r="U636" s="4">
        <f ca="1">IFERROR(__xludf.DUMMYFUNCTION("""COMPUTED_VALUE"""),56770)</f>
        <v>56770</v>
      </c>
      <c r="V636" s="3">
        <f ca="1">IFERROR(__xludf.DUMMYFUNCTION("""COMPUTED_VALUE"""),4.5)</f>
        <v>4.5</v>
      </c>
      <c r="W636" s="3">
        <f ca="1">IFERROR(__xludf.DUMMYFUNCTION("""COMPUTED_VALUE"""),2000)</f>
        <v>2000</v>
      </c>
      <c r="X636" s="3">
        <f ca="1">IFERROR(__xludf.DUMMYFUNCTION("""COMPUTED_VALUE"""),2332)</f>
        <v>2332</v>
      </c>
      <c r="Y636" s="3"/>
      <c r="Z636" s="3"/>
      <c r="AA636" s="3">
        <f ca="1">IFERROR(__xludf.DUMMYFUNCTION("""COMPUTED_VALUE"""),7)</f>
        <v>7</v>
      </c>
      <c r="AB636" s="3">
        <f ca="1">IFERROR(__xludf.DUMMYFUNCTION("""COMPUTED_VALUE"""),0)</f>
        <v>0</v>
      </c>
      <c r="AC636" s="3">
        <f ca="1">IFERROR(__xludf.DUMMYFUNCTION("""COMPUTED_VALUE"""),2)</f>
        <v>2</v>
      </c>
      <c r="AD636" s="3"/>
      <c r="AE636" s="3" t="str">
        <f ca="1">IFERROR(__xludf.DUMMYFUNCTION("""COMPUTED_VALUE"""),"2055-06-05T12:48:35.681118Z")</f>
        <v>2055-06-05T12:48:35.681118Z</v>
      </c>
      <c r="AF636" s="3" t="str">
        <f ca="1">IFERROR(__xludf.DUMMYFUNCTION("""COMPUTED_VALUE"""),"2055-06-05T12:48:42.69982Z")</f>
        <v>2055-06-05T12:48:42.69982Z</v>
      </c>
      <c r="AG636" s="3" t="str">
        <f ca="1">IFERROR(__xludf.DUMMYFUNCTION("""COMPUTED_VALUE"""),"2055-06-05T12:09:14.144923Z")</f>
        <v>2055-06-05T12:09:14.144923Z</v>
      </c>
      <c r="AH636" s="3"/>
      <c r="AI636" s="3">
        <f ca="1">IFERROR(__xludf.DUMMYFUNCTION("""COMPUTED_VALUE"""),4.03)</f>
        <v>4.03</v>
      </c>
      <c r="AJ636" s="3">
        <f ca="1">IFERROR(__xludf.DUMMYFUNCTION("""COMPUTED_VALUE"""),505)</f>
        <v>505</v>
      </c>
      <c r="AK636" s="3">
        <f ca="1">IFERROR(__xludf.DUMMYFUNCTION("""COMPUTED_VALUE"""),1721)</f>
        <v>1721</v>
      </c>
      <c r="AL636" s="3">
        <f ca="1">IFERROR(__xludf.DUMMYFUNCTION("""COMPUTED_VALUE"""),457)</f>
        <v>457</v>
      </c>
    </row>
    <row r="637" spans="1:38" ht="13">
      <c r="A637" s="3">
        <f ca="1">IFERROR(__xludf.DUMMYFUNCTION("""COMPUTED_VALUE"""),1095)</f>
        <v>1095</v>
      </c>
      <c r="B637" s="3"/>
      <c r="C637" s="3">
        <f ca="1">IFERROR(__xludf.DUMMYFUNCTION("""COMPUTED_VALUE"""),4001)</f>
        <v>4001</v>
      </c>
      <c r="D637" s="3" t="str">
        <f ca="1">IFERROR(__xludf.DUMMYFUNCTION("""COMPUTED_VALUE"""),"Dashattan")</f>
        <v>Dashattan</v>
      </c>
      <c r="E637" s="3" t="str">
        <f ca="1">IFERROR(__xludf.DUMMYFUNCTION("""COMPUTED_VALUE"""),"Galaxy A")</f>
        <v>Galaxy A</v>
      </c>
      <c r="F637" s="3" t="str">
        <f ca="1">IFERROR(__xludf.DUMMYFUNCTION("""COMPUTED_VALUE"""),"Arya")</f>
        <v>Arya</v>
      </c>
      <c r="G637" s="3">
        <f ca="1">IFERROR(__xludf.DUMMYFUNCTION("""COMPUTED_VALUE"""),0)</f>
        <v>0</v>
      </c>
      <c r="H637" s="3" t="str">
        <f ca="1">IFERROR(__xludf.DUMMYFUNCTION("""COMPUTED_VALUE"""),"bicycle")</f>
        <v>bicycle</v>
      </c>
      <c r="I637" s="3" t="str">
        <f ca="1">IFERROR(__xludf.DUMMYFUNCTION("""COMPUTED_VALUE"""),"2055-06-10T00:23:25.821954Z")</f>
        <v>2055-06-10T00:23:25.821954Z</v>
      </c>
      <c r="J637" s="3" t="str">
        <f ca="1">IFERROR(__xludf.DUMMYFUNCTION("""COMPUTED_VALUE"""),"2055-06-10T01:21:12.863Z")</f>
        <v>2055-06-10T01:21:12.863Z</v>
      </c>
      <c r="K637" s="3" t="str">
        <f ca="1">IFERROR(__xludf.DUMMYFUNCTION("""COMPUTED_VALUE"""),"2055-06-10T00:59:18.863Z")</f>
        <v>2055-06-10T00:59:18.863Z</v>
      </c>
      <c r="L637" s="3">
        <f ca="1">IFERROR(__xludf.DUMMYFUNCTION("""COMPUTED_VALUE"""),1)</f>
        <v>1</v>
      </c>
      <c r="M637" s="3">
        <f ca="1">IFERROR(__xludf.DUMMYFUNCTION("""COMPUTED_VALUE"""),0)</f>
        <v>0</v>
      </c>
      <c r="N637" s="3" t="str">
        <f ca="1">IFERROR(__xludf.DUMMYFUNCTION("""COMPUTED_VALUE"""),"2055-06-10T01:08:03.890732Z")</f>
        <v>2055-06-10T01:08:03.890732Z</v>
      </c>
      <c r="O637" s="3" t="str">
        <f ca="1">IFERROR(__xludf.DUMMYFUNCTION("""COMPUTED_VALUE"""),"2055-06-10T01:22:16.665149Z")</f>
        <v>2055-06-10T01:22:16.665149Z</v>
      </c>
      <c r="P637" s="3" t="str">
        <f ca="1">IFERROR(__xludf.DUMMYFUNCTION("""COMPUTED_VALUE"""),"2055-06-10T00:27:15.138868Z")</f>
        <v>2055-06-10T00:27:15.138868Z</v>
      </c>
      <c r="Q637" s="3">
        <f ca="1">IFERROR(__xludf.DUMMYFUNCTION("""COMPUTED_VALUE"""),0)</f>
        <v>0</v>
      </c>
      <c r="R637" s="3" t="str">
        <f ca="1">IFERROR(__xludf.DUMMYFUNCTION("""COMPUTED_VALUE"""),"2055-06-10T00:27:27.338334Z")</f>
        <v>2055-06-10T00:27:27.338334Z</v>
      </c>
      <c r="S637" s="3" t="str">
        <f ca="1">IFERROR(__xludf.DUMMYFUNCTION("""COMPUTED_VALUE"""),"2055-06-10T01:00:02.912513Z")</f>
        <v>2055-06-10T01:00:02.912513Z</v>
      </c>
      <c r="T637" s="3"/>
      <c r="U637" s="4">
        <f ca="1">IFERROR(__xludf.DUMMYFUNCTION("""COMPUTED_VALUE"""),56774)</f>
        <v>56774</v>
      </c>
      <c r="V637" s="3">
        <f ca="1">IFERROR(__xludf.DUMMYFUNCTION("""COMPUTED_VALUE"""),4.3)</f>
        <v>4.3</v>
      </c>
      <c r="W637" s="3">
        <f ca="1">IFERROR(__xludf.DUMMYFUNCTION("""COMPUTED_VALUE"""),2000)</f>
        <v>2000</v>
      </c>
      <c r="X637" s="3">
        <f ca="1">IFERROR(__xludf.DUMMYFUNCTION("""COMPUTED_VALUE"""),3289)</f>
        <v>3289</v>
      </c>
      <c r="Y637" s="3">
        <f ca="1">IFERROR(__xludf.DUMMYFUNCTION("""COMPUTED_VALUE"""),1955)</f>
        <v>1955</v>
      </c>
      <c r="Z637" s="3">
        <f ca="1">IFERROR(__xludf.DUMMYFUNCTION("""COMPUTED_VALUE"""),481)</f>
        <v>481</v>
      </c>
      <c r="AA637" s="3">
        <f ca="1">IFERROR(__xludf.DUMMYFUNCTION("""COMPUTED_VALUE"""),853)</f>
        <v>853</v>
      </c>
      <c r="AB637" s="3">
        <f ca="1">IFERROR(__xludf.DUMMYFUNCTION("""COMPUTED_VALUE"""),0)</f>
        <v>0</v>
      </c>
      <c r="AC637" s="3">
        <f ca="1">IFERROR(__xludf.DUMMYFUNCTION("""COMPUTED_VALUE"""),1)</f>
        <v>1</v>
      </c>
      <c r="AD637" s="3" t="str">
        <f ca="1">IFERROR(__xludf.DUMMYFUNCTION("""COMPUTED_VALUE"""),"late")</f>
        <v>late</v>
      </c>
      <c r="AE637" s="3" t="str">
        <f ca="1">IFERROR(__xludf.DUMMYFUNCTION("""COMPUTED_VALUE"""),"2055-06-09T21:08:03.890732Z")</f>
        <v>2055-06-09T21:08:03.890732Z</v>
      </c>
      <c r="AF637" s="3" t="str">
        <f ca="1">IFERROR(__xludf.DUMMYFUNCTION("""COMPUTED_VALUE"""),"2055-06-09T21:22:16.665149Z")</f>
        <v>2055-06-09T21:22:16.665149Z</v>
      </c>
      <c r="AG637" s="3" t="str">
        <f ca="1">IFERROR(__xludf.DUMMYFUNCTION("""COMPUTED_VALUE"""),"2055-06-09T20:27:15.138868Z")</f>
        <v>2055-06-09T20:27:15.138868Z</v>
      </c>
      <c r="AH637" s="3" t="str">
        <f ca="1">IFERROR(__xludf.DUMMYFUNCTION("""COMPUTED_VALUE"""),"2055-06-09T21:00:02.912513Z")</f>
        <v>2055-06-09T21:00:02.912513Z</v>
      </c>
      <c r="AI637" s="3">
        <f ca="1">IFERROR(__xludf.DUMMYFUNCTION("""COMPUTED_VALUE"""),4.17)</f>
        <v>4.17</v>
      </c>
      <c r="AJ637" s="3">
        <f ca="1">IFERROR(__xludf.DUMMYFUNCTION("""COMPUTED_VALUE"""),457)</f>
        <v>457</v>
      </c>
      <c r="AK637" s="3">
        <f ca="1">IFERROR(__xludf.DUMMYFUNCTION("""COMPUTED_VALUE"""),1599)</f>
        <v>1599</v>
      </c>
      <c r="AL637" s="3"/>
    </row>
    <row r="638" spans="1:38" ht="13">
      <c r="A638" s="3">
        <f ca="1">IFERROR(__xludf.DUMMYFUNCTION("""COMPUTED_VALUE"""),1458)</f>
        <v>1458</v>
      </c>
      <c r="B638" s="3">
        <f ca="1">IFERROR(__xludf.DUMMYFUNCTION("""COMPUTED_VALUE"""),5)</f>
        <v>5</v>
      </c>
      <c r="C638" s="3">
        <f ca="1">IFERROR(__xludf.DUMMYFUNCTION("""COMPUTED_VALUE"""),4001)</f>
        <v>4001</v>
      </c>
      <c r="D638" s="3" t="str">
        <f ca="1">IFERROR(__xludf.DUMMYFUNCTION("""COMPUTED_VALUE"""),"Dashattan")</f>
        <v>Dashattan</v>
      </c>
      <c r="E638" s="3" t="str">
        <f ca="1">IFERROR(__xludf.DUMMYFUNCTION("""COMPUTED_VALUE"""),"Galaxy A")</f>
        <v>Galaxy A</v>
      </c>
      <c r="F638" s="3" t="str">
        <f ca="1">IFERROR(__xludf.DUMMYFUNCTION("""COMPUTED_VALUE"""),"Mike")</f>
        <v>Mike</v>
      </c>
      <c r="G638" s="3">
        <f ca="1">IFERROR(__xludf.DUMMYFUNCTION("""COMPUTED_VALUE"""),0)</f>
        <v>0</v>
      </c>
      <c r="H638" s="3" t="str">
        <f ca="1">IFERROR(__xludf.DUMMYFUNCTION("""COMPUTED_VALUE"""),"bicycle")</f>
        <v>bicycle</v>
      </c>
      <c r="I638" s="3" t="str">
        <f ca="1">IFERROR(__xludf.DUMMYFUNCTION("""COMPUTED_VALUE"""),"2055-06-12T21:34:03.408513Z")</f>
        <v>2055-06-12T21:34:03.408513Z</v>
      </c>
      <c r="J638" s="3" t="str">
        <f ca="1">IFERROR(__xludf.DUMMYFUNCTION("""COMPUTED_VALUE"""),"2055-06-12T22:19:51.479Z")</f>
        <v>2055-06-12T22:19:51.479Z</v>
      </c>
      <c r="K638" s="3" t="str">
        <f ca="1">IFERROR(__xludf.DUMMYFUNCTION("""COMPUTED_VALUE"""),"2055-06-12T22:00:58.479Z")</f>
        <v>2055-06-12T22:00:58.479Z</v>
      </c>
      <c r="L638" s="3">
        <f ca="1">IFERROR(__xludf.DUMMYFUNCTION("""COMPUTED_VALUE"""),1)</f>
        <v>1</v>
      </c>
      <c r="M638" s="3">
        <f ca="1">IFERROR(__xludf.DUMMYFUNCTION("""COMPUTED_VALUE"""),0)</f>
        <v>0</v>
      </c>
      <c r="N638" s="3" t="str">
        <f ca="1">IFERROR(__xludf.DUMMYFUNCTION("""COMPUTED_VALUE"""),"2055-06-12T21:49:53.150637Z")</f>
        <v>2055-06-12T21:49:53.150637Z</v>
      </c>
      <c r="O638" s="3" t="str">
        <f ca="1">IFERROR(__xludf.DUMMYFUNCTION("""COMPUTED_VALUE"""),"2055-06-12T22:01:21.73853Z")</f>
        <v>2055-06-12T22:01:21.73853Z</v>
      </c>
      <c r="P638" s="3" t="str">
        <f ca="1">IFERROR(__xludf.DUMMYFUNCTION("""COMPUTED_VALUE"""),"2055-06-12T21:38:54.492718Z")</f>
        <v>2055-06-12T21:38:54.492718Z</v>
      </c>
      <c r="Q638" s="3">
        <f ca="1">IFERROR(__xludf.DUMMYFUNCTION("""COMPUTED_VALUE"""),0)</f>
        <v>0</v>
      </c>
      <c r="R638" s="3" t="str">
        <f ca="1">IFERROR(__xludf.DUMMYFUNCTION("""COMPUTED_VALUE"""),"2055-06-12T21:39:08.985415Z")</f>
        <v>2055-06-12T21:39:08.985415Z</v>
      </c>
      <c r="S638" s="3" t="str">
        <f ca="1">IFERROR(__xludf.DUMMYFUNCTION("""COMPUTED_VALUE"""),"2055-06-12T21:47:03.23027Z")</f>
        <v>2055-06-12T21:47:03.23027Z</v>
      </c>
      <c r="T638" s="3"/>
      <c r="U638" s="4">
        <f ca="1">IFERROR(__xludf.DUMMYFUNCTION("""COMPUTED_VALUE"""),56777)</f>
        <v>56777</v>
      </c>
      <c r="V638" s="3">
        <f ca="1">IFERROR(__xludf.DUMMYFUNCTION("""COMPUTED_VALUE"""),3.488824911)</f>
        <v>3.488824911</v>
      </c>
      <c r="W638" s="3">
        <f ca="1">IFERROR(__xludf.DUMMYFUNCTION("""COMPUTED_VALUE"""),2000)</f>
        <v>2000</v>
      </c>
      <c r="X638" s="3">
        <f ca="1">IFERROR(__xludf.DUMMYFUNCTION("""COMPUTED_VALUE"""),1333)</f>
        <v>1333</v>
      </c>
      <c r="Y638" s="3">
        <f ca="1">IFERROR(__xludf.DUMMYFUNCTION("""COMPUTED_VALUE"""),475)</f>
        <v>475</v>
      </c>
      <c r="Z638" s="3">
        <f ca="1">IFERROR(__xludf.DUMMYFUNCTION("""COMPUTED_VALUE"""),170)</f>
        <v>170</v>
      </c>
      <c r="AA638" s="3">
        <f ca="1">IFERROR(__xludf.DUMMYFUNCTION("""COMPUTED_VALUE"""),688)</f>
        <v>688</v>
      </c>
      <c r="AB638" s="3">
        <f ca="1">IFERROR(__xludf.DUMMYFUNCTION("""COMPUTED_VALUE"""),0)</f>
        <v>0</v>
      </c>
      <c r="AC638" s="3">
        <f ca="1">IFERROR(__xludf.DUMMYFUNCTION("""COMPUTED_VALUE"""),3)</f>
        <v>3</v>
      </c>
      <c r="AD638" s="3" t="str">
        <f ca="1">IFERROR(__xludf.DUMMYFUNCTION("""COMPUTED_VALUE"""),"on time")</f>
        <v>on time</v>
      </c>
      <c r="AE638" s="3" t="str">
        <f ca="1">IFERROR(__xludf.DUMMYFUNCTION("""COMPUTED_VALUE"""),"2055-06-12T17:49:53.150637Z")</f>
        <v>2055-06-12T17:49:53.150637Z</v>
      </c>
      <c r="AF638" s="3" t="str">
        <f ca="1">IFERROR(__xludf.DUMMYFUNCTION("""COMPUTED_VALUE"""),"2055-06-12T18:01:21.73853Z")</f>
        <v>2055-06-12T18:01:21.73853Z</v>
      </c>
      <c r="AG638" s="3" t="str">
        <f ca="1">IFERROR(__xludf.DUMMYFUNCTION("""COMPUTED_VALUE"""),"2055-06-12T17:38:54.492718Z")</f>
        <v>2055-06-12T17:38:54.492718Z</v>
      </c>
      <c r="AH638" s="3" t="str">
        <f ca="1">IFERROR(__xludf.DUMMYFUNCTION("""COMPUTED_VALUE"""),"2055-06-12T17:47:03.23027Z")</f>
        <v>2055-06-12T17:47:03.23027Z</v>
      </c>
      <c r="AI638" s="3">
        <f ca="1">IFERROR(__xludf.DUMMYFUNCTION("""COMPUTED_VALUE"""),4.63)</f>
        <v>4.63</v>
      </c>
      <c r="AJ638" s="3">
        <f ca="1">IFERROR(__xludf.DUMMYFUNCTION("""COMPUTED_VALUE"""),242)</f>
        <v>242</v>
      </c>
      <c r="AK638" s="3">
        <f ca="1">IFERROR(__xludf.DUMMYFUNCTION("""COMPUTED_VALUE"""),736)</f>
        <v>736</v>
      </c>
      <c r="AL638" s="3"/>
    </row>
    <row r="639" spans="1:38" ht="13">
      <c r="A639" s="3">
        <f ca="1">IFERROR(__xludf.DUMMYFUNCTION("""COMPUTED_VALUE"""),62)</f>
        <v>62</v>
      </c>
      <c r="B639" s="3"/>
      <c r="C639" s="3">
        <f ca="1">IFERROR(__xludf.DUMMYFUNCTION("""COMPUTED_VALUE"""),4001)</f>
        <v>4001</v>
      </c>
      <c r="D639" s="3" t="str">
        <f ca="1">IFERROR(__xludf.DUMMYFUNCTION("""COMPUTED_VALUE"""),"Dashattan")</f>
        <v>Dashattan</v>
      </c>
      <c r="E639" s="3" t="str">
        <f ca="1">IFERROR(__xludf.DUMMYFUNCTION("""COMPUTED_VALUE"""),"Galaxy A")</f>
        <v>Galaxy A</v>
      </c>
      <c r="F639" s="3" t="str">
        <f ca="1">IFERROR(__xludf.DUMMYFUNCTION("""COMPUTED_VALUE"""),"Ron")</f>
        <v>Ron</v>
      </c>
      <c r="G639" s="3">
        <f ca="1">IFERROR(__xludf.DUMMYFUNCTION("""COMPUTED_VALUE"""),0)</f>
        <v>0</v>
      </c>
      <c r="H639" s="3" t="str">
        <f ca="1">IFERROR(__xludf.DUMMYFUNCTION("""COMPUTED_VALUE"""),"bicycle")</f>
        <v>bicycle</v>
      </c>
      <c r="I639" s="3" t="str">
        <f ca="1">IFERROR(__xludf.DUMMYFUNCTION("""COMPUTED_VALUE"""),"2055-06-01T22:24:19.251602Z")</f>
        <v>2055-06-01T22:24:19.251602Z</v>
      </c>
      <c r="J639" s="3" t="str">
        <f ca="1">IFERROR(__xludf.DUMMYFUNCTION("""COMPUTED_VALUE"""),"2055-06-01T23:35:08.326Z")</f>
        <v>2055-06-01T23:35:08.326Z</v>
      </c>
      <c r="K639" s="3" t="str">
        <f ca="1">IFERROR(__xludf.DUMMYFUNCTION("""COMPUTED_VALUE"""),"2055-06-01T23:13:14.326Z")</f>
        <v>2055-06-01T23:13:14.326Z</v>
      </c>
      <c r="L639" s="3">
        <f ca="1">IFERROR(__xludf.DUMMYFUNCTION("""COMPUTED_VALUE"""),1)</f>
        <v>1</v>
      </c>
      <c r="M639" s="3">
        <f ca="1">IFERROR(__xludf.DUMMYFUNCTION("""COMPUTED_VALUE"""),0)</f>
        <v>0</v>
      </c>
      <c r="N639" s="3" t="str">
        <f ca="1">IFERROR(__xludf.DUMMYFUNCTION("""COMPUTED_VALUE"""),"2055-06-01T22:56:54.429167Z")</f>
        <v>2055-06-01T22:56:54.429167Z</v>
      </c>
      <c r="O639" s="3" t="str">
        <f ca="1">IFERROR(__xludf.DUMMYFUNCTION("""COMPUTED_VALUE"""),"2055-06-01T23:10:46.883699Z")</f>
        <v>2055-06-01T23:10:46.883699Z</v>
      </c>
      <c r="P639" s="3" t="str">
        <f ca="1">IFERROR(__xludf.DUMMYFUNCTION("""COMPUTED_VALUE"""),"2055-06-01T22:28:14.982075Z")</f>
        <v>2055-06-01T22:28:14.982075Z</v>
      </c>
      <c r="Q639" s="3">
        <f ca="1">IFERROR(__xludf.DUMMYFUNCTION("""COMPUTED_VALUE"""),0)</f>
        <v>0</v>
      </c>
      <c r="R639" s="3" t="str">
        <f ca="1">IFERROR(__xludf.DUMMYFUNCTION("""COMPUTED_VALUE"""),"2055-06-01T22:28:39.128051Z")</f>
        <v>2055-06-01T22:28:39.128051Z</v>
      </c>
      <c r="S639" s="3" t="str">
        <f ca="1">IFERROR(__xludf.DUMMYFUNCTION("""COMPUTED_VALUE"""),"2055-06-01T23:02:25.032868Z")</f>
        <v>2055-06-01T23:02:25.032868Z</v>
      </c>
      <c r="T639" s="3"/>
      <c r="U639" s="4">
        <f ca="1">IFERROR(__xludf.DUMMYFUNCTION("""COMPUTED_VALUE"""),56766)</f>
        <v>56766</v>
      </c>
      <c r="V639" s="3">
        <f ca="1">IFERROR(__xludf.DUMMYFUNCTION("""COMPUTED_VALUE"""),4.3)</f>
        <v>4.3</v>
      </c>
      <c r="W639" s="3">
        <f ca="1">IFERROR(__xludf.DUMMYFUNCTION("""COMPUTED_VALUE"""),2000)</f>
        <v>2000</v>
      </c>
      <c r="X639" s="3">
        <f ca="1">IFERROR(__xludf.DUMMYFUNCTION("""COMPUTED_VALUE"""),2527)</f>
        <v>2527</v>
      </c>
      <c r="Y639" s="3">
        <f ca="1">IFERROR(__xludf.DUMMYFUNCTION("""COMPUTED_VALUE"""),2026)</f>
        <v>2026</v>
      </c>
      <c r="Z639" s="3"/>
      <c r="AA639" s="3">
        <f ca="1">IFERROR(__xludf.DUMMYFUNCTION("""COMPUTED_VALUE"""),832)</f>
        <v>832</v>
      </c>
      <c r="AB639" s="3">
        <f ca="1">IFERROR(__xludf.DUMMYFUNCTION("""COMPUTED_VALUE"""),0)</f>
        <v>0</v>
      </c>
      <c r="AC639" s="3">
        <f ca="1">IFERROR(__xludf.DUMMYFUNCTION("""COMPUTED_VALUE"""),1)</f>
        <v>1</v>
      </c>
      <c r="AD639" s="3" t="str">
        <f ca="1">IFERROR(__xludf.DUMMYFUNCTION("""COMPUTED_VALUE"""),"late")</f>
        <v>late</v>
      </c>
      <c r="AE639" s="3" t="str">
        <f ca="1">IFERROR(__xludf.DUMMYFUNCTION("""COMPUTED_VALUE"""),"2055-06-01T18:56:54.429167Z")</f>
        <v>2055-06-01T18:56:54.429167Z</v>
      </c>
      <c r="AF639" s="3" t="str">
        <f ca="1">IFERROR(__xludf.DUMMYFUNCTION("""COMPUTED_VALUE"""),"2055-06-01T19:10:46.883699Z")</f>
        <v>2055-06-01T19:10:46.883699Z</v>
      </c>
      <c r="AG639" s="3" t="str">
        <f ca="1">IFERROR(__xludf.DUMMYFUNCTION("""COMPUTED_VALUE"""),"2055-06-01T18:28:14.982075Z")</f>
        <v>2055-06-01T18:28:14.982075Z</v>
      </c>
      <c r="AH639" s="3" t="str">
        <f ca="1">IFERROR(__xludf.DUMMYFUNCTION("""COMPUTED_VALUE"""),"2055-06-01T19:02:25.032868Z")</f>
        <v>2055-06-01T19:02:25.032868Z</v>
      </c>
      <c r="AI639" s="3">
        <f ca="1">IFERROR(__xludf.DUMMYFUNCTION("""COMPUTED_VALUE"""),4.56)</f>
        <v>4.5599999999999996</v>
      </c>
      <c r="AJ639" s="3">
        <f ca="1">IFERROR(__xludf.DUMMYFUNCTION("""COMPUTED_VALUE"""),765)</f>
        <v>765</v>
      </c>
      <c r="AK639" s="3">
        <f ca="1">IFERROR(__xludf.DUMMYFUNCTION("""COMPUTED_VALUE"""),2618)</f>
        <v>2618</v>
      </c>
      <c r="AL639" s="3"/>
    </row>
    <row r="640" spans="1:38" ht="13">
      <c r="A640" s="3">
        <f ca="1">IFERROR(__xludf.DUMMYFUNCTION("""COMPUTED_VALUE"""),480)</f>
        <v>480</v>
      </c>
      <c r="B640" s="3"/>
      <c r="C640" s="3">
        <f ca="1">IFERROR(__xludf.DUMMYFUNCTION("""COMPUTED_VALUE"""),4001)</f>
        <v>4001</v>
      </c>
      <c r="D640" s="3" t="str">
        <f ca="1">IFERROR(__xludf.DUMMYFUNCTION("""COMPUTED_VALUE"""),"Dashattan")</f>
        <v>Dashattan</v>
      </c>
      <c r="E640" s="3" t="str">
        <f ca="1">IFERROR(__xludf.DUMMYFUNCTION("""COMPUTED_VALUE"""),"Galaxy A")</f>
        <v>Galaxy A</v>
      </c>
      <c r="F640" s="3" t="str">
        <f ca="1">IFERROR(__xludf.DUMMYFUNCTION("""COMPUTED_VALUE"""),"Ron")</f>
        <v>Ron</v>
      </c>
      <c r="G640" s="3">
        <f ca="1">IFERROR(__xludf.DUMMYFUNCTION("""COMPUTED_VALUE"""),0)</f>
        <v>0</v>
      </c>
      <c r="H640" s="3" t="str">
        <f ca="1">IFERROR(__xludf.DUMMYFUNCTION("""COMPUTED_VALUE"""),"bicycle")</f>
        <v>bicycle</v>
      </c>
      <c r="I640" s="3" t="str">
        <f ca="1">IFERROR(__xludf.DUMMYFUNCTION("""COMPUTED_VALUE"""),"2055-06-04T23:07:38.382556Z")</f>
        <v>2055-06-04T23:07:38.382556Z</v>
      </c>
      <c r="J640" s="3" t="str">
        <f ca="1">IFERROR(__xludf.DUMMYFUNCTION("""COMPUTED_VALUE"""),"2055-06-04T23:58:12.437Z")</f>
        <v>2055-06-04T23:58:12.437Z</v>
      </c>
      <c r="K640" s="3" t="str">
        <f ca="1">IFERROR(__xludf.DUMMYFUNCTION("""COMPUTED_VALUE"""),"2055-06-04T23:38:33.437Z")</f>
        <v>2055-06-04T23:38:33.437Z</v>
      </c>
      <c r="L640" s="3">
        <f ca="1">IFERROR(__xludf.DUMMYFUNCTION("""COMPUTED_VALUE"""),1)</f>
        <v>1</v>
      </c>
      <c r="M640" s="3">
        <f ca="1">IFERROR(__xludf.DUMMYFUNCTION("""COMPUTED_VALUE"""),0)</f>
        <v>0</v>
      </c>
      <c r="N640" s="3" t="str">
        <f ca="1">IFERROR(__xludf.DUMMYFUNCTION("""COMPUTED_VALUE"""),"2055-06-04T23:20:14.426581Z")</f>
        <v>2055-06-04T23:20:14.426581Z</v>
      </c>
      <c r="O640" s="3" t="str">
        <f ca="1">IFERROR(__xludf.DUMMYFUNCTION("""COMPUTED_VALUE"""),"2055-06-04T23:37:45.240376Z")</f>
        <v>2055-06-04T23:37:45.240376Z</v>
      </c>
      <c r="P640" s="3" t="str">
        <f ca="1">IFERROR(__xludf.DUMMYFUNCTION("""COMPUTED_VALUE"""),"2055-06-04T23:10:55.305063Z")</f>
        <v>2055-06-04T23:10:55.305063Z</v>
      </c>
      <c r="Q640" s="3">
        <f ca="1">IFERROR(__xludf.DUMMYFUNCTION("""COMPUTED_VALUE"""),0)</f>
        <v>0</v>
      </c>
      <c r="R640" s="3" t="str">
        <f ca="1">IFERROR(__xludf.DUMMYFUNCTION("""COMPUTED_VALUE"""),"2055-06-04T23:12:22.33676Z")</f>
        <v>2055-06-04T23:12:22.33676Z</v>
      </c>
      <c r="S640" s="3" t="str">
        <f ca="1">IFERROR(__xludf.DUMMYFUNCTION("""COMPUTED_VALUE"""),"2055-06-04T23:20:51.850216Z")</f>
        <v>2055-06-04T23:20:51.850216Z</v>
      </c>
      <c r="T640" s="3"/>
      <c r="U640" s="4">
        <f ca="1">IFERROR(__xludf.DUMMYFUNCTION("""COMPUTED_VALUE"""),56769)</f>
        <v>56769</v>
      </c>
      <c r="V640" s="3">
        <f ca="1">IFERROR(__xludf.DUMMYFUNCTION("""COMPUTED_VALUE"""),4.7)</f>
        <v>4.7</v>
      </c>
      <c r="W640" s="3">
        <f ca="1">IFERROR(__xludf.DUMMYFUNCTION("""COMPUTED_VALUE"""),2000)</f>
        <v>2000</v>
      </c>
      <c r="X640" s="3">
        <f ca="1">IFERROR(__xludf.DUMMYFUNCTION("""COMPUTED_VALUE"""),1523)</f>
        <v>1523</v>
      </c>
      <c r="Y640" s="3">
        <f ca="1">IFERROR(__xludf.DUMMYFUNCTION("""COMPUTED_VALUE"""),509)</f>
        <v>509</v>
      </c>
      <c r="Z640" s="3"/>
      <c r="AA640" s="3">
        <f ca="1">IFERROR(__xludf.DUMMYFUNCTION("""COMPUTED_VALUE"""),1051)</f>
        <v>1051</v>
      </c>
      <c r="AB640" s="3">
        <f ca="1">IFERROR(__xludf.DUMMYFUNCTION("""COMPUTED_VALUE"""),0)</f>
        <v>0</v>
      </c>
      <c r="AC640" s="3">
        <f ca="1">IFERROR(__xludf.DUMMYFUNCTION("""COMPUTED_VALUE"""),2)</f>
        <v>2</v>
      </c>
      <c r="AD640" s="3" t="str">
        <f ca="1">IFERROR(__xludf.DUMMYFUNCTION("""COMPUTED_VALUE"""),"on time")</f>
        <v>on time</v>
      </c>
      <c r="AE640" s="3" t="str">
        <f ca="1">IFERROR(__xludf.DUMMYFUNCTION("""COMPUTED_VALUE"""),"2055-06-04T19:20:14.426581Z")</f>
        <v>2055-06-04T19:20:14.426581Z</v>
      </c>
      <c r="AF640" s="3" t="str">
        <f ca="1">IFERROR(__xludf.DUMMYFUNCTION("""COMPUTED_VALUE"""),"2055-06-04T19:37:45.240376Z")</f>
        <v>2055-06-04T19:37:45.240376Z</v>
      </c>
      <c r="AG640" s="3" t="str">
        <f ca="1">IFERROR(__xludf.DUMMYFUNCTION("""COMPUTED_VALUE"""),"2055-06-04T19:10:55.305063Z")</f>
        <v>2055-06-04T19:10:55.305063Z</v>
      </c>
      <c r="AH640" s="3" t="str">
        <f ca="1">IFERROR(__xludf.DUMMYFUNCTION("""COMPUTED_VALUE"""),"2055-06-04T19:20:51.850216Z")</f>
        <v>2055-06-04T19:20:51.850216Z</v>
      </c>
      <c r="AI640" s="3">
        <f ca="1">IFERROR(__xludf.DUMMYFUNCTION("""COMPUTED_VALUE"""),4.56)</f>
        <v>4.5599999999999996</v>
      </c>
      <c r="AJ640" s="3">
        <f ca="1">IFERROR(__xludf.DUMMYFUNCTION("""COMPUTED_VALUE"""),765)</f>
        <v>765</v>
      </c>
      <c r="AK640" s="3">
        <f ca="1">IFERROR(__xludf.DUMMYFUNCTION("""COMPUTED_VALUE"""),2618)</f>
        <v>2618</v>
      </c>
      <c r="AL640" s="3"/>
    </row>
    <row r="641" spans="1:38" ht="13">
      <c r="A641" s="3">
        <f ca="1">IFERROR(__xludf.DUMMYFUNCTION("""COMPUTED_VALUE"""),761)</f>
        <v>761</v>
      </c>
      <c r="B641" s="3">
        <f ca="1">IFERROR(__xludf.DUMMYFUNCTION("""COMPUTED_VALUE"""),5)</f>
        <v>5</v>
      </c>
      <c r="C641" s="3">
        <f ca="1">IFERROR(__xludf.DUMMYFUNCTION("""COMPUTED_VALUE"""),4001)</f>
        <v>4001</v>
      </c>
      <c r="D641" s="3" t="str">
        <f ca="1">IFERROR(__xludf.DUMMYFUNCTION("""COMPUTED_VALUE"""),"Dashattan")</f>
        <v>Dashattan</v>
      </c>
      <c r="E641" s="3" t="str">
        <f ca="1">IFERROR(__xludf.DUMMYFUNCTION("""COMPUTED_VALUE"""),"Galaxy A")</f>
        <v>Galaxy A</v>
      </c>
      <c r="F641" s="3" t="str">
        <f ca="1">IFERROR(__xludf.DUMMYFUNCTION("""COMPUTED_VALUE"""),"Sean")</f>
        <v>Sean</v>
      </c>
      <c r="G641" s="3">
        <f ca="1">IFERROR(__xludf.DUMMYFUNCTION("""COMPUTED_VALUE"""),0)</f>
        <v>0</v>
      </c>
      <c r="H641" s="3" t="str">
        <f ca="1">IFERROR(__xludf.DUMMYFUNCTION("""COMPUTED_VALUE"""),"bicycle")</f>
        <v>bicycle</v>
      </c>
      <c r="I641" s="3" t="str">
        <f ca="1">IFERROR(__xludf.DUMMYFUNCTION("""COMPUTED_VALUE"""),"2055-06-06T20:32:07.71931Z")</f>
        <v>2055-06-06T20:32:07.71931Z</v>
      </c>
      <c r="J641" s="3" t="str">
        <f ca="1">IFERROR(__xludf.DUMMYFUNCTION("""COMPUTED_VALUE"""),"2055-06-06T21:24:56.782Z")</f>
        <v>2055-06-06T21:24:56.782Z</v>
      </c>
      <c r="K641" s="3" t="str">
        <f ca="1">IFERROR(__xludf.DUMMYFUNCTION("""COMPUTED_VALUE"""),"2055-06-06T21:04:49.782Z")</f>
        <v>2055-06-06T21:04:49.782Z</v>
      </c>
      <c r="L641" s="3">
        <f ca="1">IFERROR(__xludf.DUMMYFUNCTION("""COMPUTED_VALUE"""),1)</f>
        <v>1</v>
      </c>
      <c r="M641" s="3">
        <f ca="1">IFERROR(__xludf.DUMMYFUNCTION("""COMPUTED_VALUE"""),0)</f>
        <v>0</v>
      </c>
      <c r="N641" s="3" t="str">
        <f ca="1">IFERROR(__xludf.DUMMYFUNCTION("""COMPUTED_VALUE"""),"2055-06-06T20:52:28.360675Z")</f>
        <v>2055-06-06T20:52:28.360675Z</v>
      </c>
      <c r="O641" s="3" t="str">
        <f ca="1">IFERROR(__xludf.DUMMYFUNCTION("""COMPUTED_VALUE"""),"2055-06-06T20:57:33.651225Z")</f>
        <v>2055-06-06T20:57:33.651225Z</v>
      </c>
      <c r="P641" s="3" t="str">
        <f ca="1">IFERROR(__xludf.DUMMYFUNCTION("""COMPUTED_VALUE"""),"2055-06-06T20:36:14.045511Z")</f>
        <v>2055-06-06T20:36:14.045511Z</v>
      </c>
      <c r="Q641" s="3">
        <f ca="1">IFERROR(__xludf.DUMMYFUNCTION("""COMPUTED_VALUE"""),0)</f>
        <v>0</v>
      </c>
      <c r="R641" s="3" t="str">
        <f ca="1">IFERROR(__xludf.DUMMYFUNCTION("""COMPUTED_VALUE"""),"2055-06-06T20:36:28.921385Z")</f>
        <v>2055-06-06T20:36:28.921385Z</v>
      </c>
      <c r="S641" s="3" t="str">
        <f ca="1">IFERROR(__xludf.DUMMYFUNCTION("""COMPUTED_VALUE"""),"2055-06-06T20:41:55.643413Z")</f>
        <v>2055-06-06T20:41:55.643413Z</v>
      </c>
      <c r="T641" s="3"/>
      <c r="U641" s="4">
        <f ca="1">IFERROR(__xludf.DUMMYFUNCTION("""COMPUTED_VALUE"""),56771)</f>
        <v>56771</v>
      </c>
      <c r="V641" s="3">
        <f ca="1">IFERROR(__xludf.DUMMYFUNCTION("""COMPUTED_VALUE"""),3.652898022)</f>
        <v>3.652898022</v>
      </c>
      <c r="W641" s="3">
        <f ca="1">IFERROR(__xludf.DUMMYFUNCTION("""COMPUTED_VALUE"""),2000)</f>
        <v>2000</v>
      </c>
      <c r="X641" s="3">
        <f ca="1">IFERROR(__xludf.DUMMYFUNCTION("""COMPUTED_VALUE"""),1265)</f>
        <v>1265</v>
      </c>
      <c r="Y641" s="3">
        <f ca="1">IFERROR(__xludf.DUMMYFUNCTION("""COMPUTED_VALUE"""),327)</f>
        <v>327</v>
      </c>
      <c r="Z641" s="3">
        <f ca="1">IFERROR(__xludf.DUMMYFUNCTION("""COMPUTED_VALUE"""),633)</f>
        <v>633</v>
      </c>
      <c r="AA641" s="3">
        <f ca="1">IFERROR(__xludf.DUMMYFUNCTION("""COMPUTED_VALUE"""),305)</f>
        <v>305</v>
      </c>
      <c r="AB641" s="3">
        <f ca="1">IFERROR(__xludf.DUMMYFUNCTION("""COMPUTED_VALUE"""),0)</f>
        <v>0</v>
      </c>
      <c r="AC641" s="3">
        <f ca="1">IFERROR(__xludf.DUMMYFUNCTION("""COMPUTED_VALUE"""),2)</f>
        <v>2</v>
      </c>
      <c r="AD641" s="3" t="str">
        <f ca="1">IFERROR(__xludf.DUMMYFUNCTION("""COMPUTED_VALUE"""),"on time")</f>
        <v>on time</v>
      </c>
      <c r="AE641" s="3" t="str">
        <f ca="1">IFERROR(__xludf.DUMMYFUNCTION("""COMPUTED_VALUE"""),"2055-06-06T16:52:28.360675Z")</f>
        <v>2055-06-06T16:52:28.360675Z</v>
      </c>
      <c r="AF641" s="3" t="str">
        <f ca="1">IFERROR(__xludf.DUMMYFUNCTION("""COMPUTED_VALUE"""),"2055-06-06T16:57:33.651225Z")</f>
        <v>2055-06-06T16:57:33.651225Z</v>
      </c>
      <c r="AG641" s="3" t="str">
        <f ca="1">IFERROR(__xludf.DUMMYFUNCTION("""COMPUTED_VALUE"""),"2055-06-06T16:36:14.045511Z")</f>
        <v>2055-06-06T16:36:14.045511Z</v>
      </c>
      <c r="AH641" s="3" t="str">
        <f ca="1">IFERROR(__xludf.DUMMYFUNCTION("""COMPUTED_VALUE"""),"2055-06-06T16:41:55.643413Z")</f>
        <v>2055-06-06T16:41:55.643413Z</v>
      </c>
      <c r="AI641" s="3">
        <f ca="1">IFERROR(__xludf.DUMMYFUNCTION("""COMPUTED_VALUE"""),4.52)</f>
        <v>4.5199999999999996</v>
      </c>
      <c r="AJ641" s="3">
        <f ca="1">IFERROR(__xludf.DUMMYFUNCTION("""COMPUTED_VALUE"""),183)</f>
        <v>183</v>
      </c>
      <c r="AK641" s="3">
        <f ca="1">IFERROR(__xludf.DUMMYFUNCTION("""COMPUTED_VALUE"""),522)</f>
        <v>522</v>
      </c>
      <c r="AL641" s="3"/>
    </row>
    <row r="642" spans="1:38" ht="13">
      <c r="A642" s="3">
        <f ca="1">IFERROR(__xludf.DUMMYFUNCTION("""COMPUTED_VALUE"""),783)</f>
        <v>783</v>
      </c>
      <c r="B642" s="3">
        <f ca="1">IFERROR(__xludf.DUMMYFUNCTION("""COMPUTED_VALUE"""),5)</f>
        <v>5</v>
      </c>
      <c r="C642" s="3">
        <f ca="1">IFERROR(__xludf.DUMMYFUNCTION("""COMPUTED_VALUE"""),4001)</f>
        <v>4001</v>
      </c>
      <c r="D642" s="3" t="str">
        <f ca="1">IFERROR(__xludf.DUMMYFUNCTION("""COMPUTED_VALUE"""),"Dashattan")</f>
        <v>Dashattan</v>
      </c>
      <c r="E642" s="3" t="str">
        <f ca="1">IFERROR(__xludf.DUMMYFUNCTION("""COMPUTED_VALUE"""),"Galaxy A")</f>
        <v>Galaxy A</v>
      </c>
      <c r="F642" s="3" t="str">
        <f ca="1">IFERROR(__xludf.DUMMYFUNCTION("""COMPUTED_VALUE"""),"Sean")</f>
        <v>Sean</v>
      </c>
      <c r="G642" s="3">
        <f ca="1">IFERROR(__xludf.DUMMYFUNCTION("""COMPUTED_VALUE"""),0)</f>
        <v>0</v>
      </c>
      <c r="H642" s="3" t="str">
        <f ca="1">IFERROR(__xludf.DUMMYFUNCTION("""COMPUTED_VALUE"""),"bicycle")</f>
        <v>bicycle</v>
      </c>
      <c r="I642" s="3" t="str">
        <f ca="1">IFERROR(__xludf.DUMMYFUNCTION("""COMPUTED_VALUE"""),"2055-06-06T22:55:26.780105Z")</f>
        <v>2055-06-06T22:55:26.780105Z</v>
      </c>
      <c r="J642" s="3" t="str">
        <f ca="1">IFERROR(__xludf.DUMMYFUNCTION("""COMPUTED_VALUE"""),"2055-06-06T23:48:01.852Z")</f>
        <v>2055-06-06T23:48:01.852Z</v>
      </c>
      <c r="K642" s="3" t="str">
        <f ca="1">IFERROR(__xludf.DUMMYFUNCTION("""COMPUTED_VALUE"""),"2055-06-06T23:28:22.852Z")</f>
        <v>2055-06-06T23:28:22.852Z</v>
      </c>
      <c r="L642" s="3">
        <f ca="1">IFERROR(__xludf.DUMMYFUNCTION("""COMPUTED_VALUE"""),1)</f>
        <v>1</v>
      </c>
      <c r="M642" s="3">
        <f ca="1">IFERROR(__xludf.DUMMYFUNCTION("""COMPUTED_VALUE"""),0)</f>
        <v>0</v>
      </c>
      <c r="N642" s="3" t="str">
        <f ca="1">IFERROR(__xludf.DUMMYFUNCTION("""COMPUTED_VALUE"""),"2055-06-06T23:15:52.367878Z")</f>
        <v>2055-06-06T23:15:52.367878Z</v>
      </c>
      <c r="O642" s="3" t="str">
        <f ca="1">IFERROR(__xludf.DUMMYFUNCTION("""COMPUTED_VALUE"""),"2055-06-06T23:28:39.181849Z")</f>
        <v>2055-06-06T23:28:39.181849Z</v>
      </c>
      <c r="P642" s="3" t="str">
        <f ca="1">IFERROR(__xludf.DUMMYFUNCTION("""COMPUTED_VALUE"""),"2055-06-06T23:00:54.534103Z")</f>
        <v>2055-06-06T23:00:54.534103Z</v>
      </c>
      <c r="Q642" s="3">
        <f ca="1">IFERROR(__xludf.DUMMYFUNCTION("""COMPUTED_VALUE"""),0)</f>
        <v>0</v>
      </c>
      <c r="R642" s="3" t="str">
        <f ca="1">IFERROR(__xludf.DUMMYFUNCTION("""COMPUTED_VALUE"""),"2055-06-06T23:01:09.939065Z")</f>
        <v>2055-06-06T23:01:09.939065Z</v>
      </c>
      <c r="S642" s="3" t="str">
        <f ca="1">IFERROR(__xludf.DUMMYFUNCTION("""COMPUTED_VALUE"""),"2055-06-06T23:05:15.682137Z")</f>
        <v>2055-06-06T23:05:15.682137Z</v>
      </c>
      <c r="T642" s="3"/>
      <c r="U642" s="4">
        <f ca="1">IFERROR(__xludf.DUMMYFUNCTION("""COMPUTED_VALUE"""),56771)</f>
        <v>56771</v>
      </c>
      <c r="V642" s="3">
        <f ca="1">IFERROR(__xludf.DUMMYFUNCTION("""COMPUTED_VALUE"""),4.7)</f>
        <v>4.7</v>
      </c>
      <c r="W642" s="3">
        <f ca="1">IFERROR(__xludf.DUMMYFUNCTION("""COMPUTED_VALUE"""),2000)</f>
        <v>2000</v>
      </c>
      <c r="X642" s="3">
        <f ca="1">IFERROR(__xludf.DUMMYFUNCTION("""COMPUTED_VALUE"""),1650)</f>
        <v>1650</v>
      </c>
      <c r="Y642" s="3">
        <f ca="1">IFERROR(__xludf.DUMMYFUNCTION("""COMPUTED_VALUE"""),246)</f>
        <v>246</v>
      </c>
      <c r="Z642" s="3">
        <f ca="1">IFERROR(__xludf.DUMMYFUNCTION("""COMPUTED_VALUE"""),637)</f>
        <v>637</v>
      </c>
      <c r="AA642" s="3">
        <f ca="1">IFERROR(__xludf.DUMMYFUNCTION("""COMPUTED_VALUE"""),767)</f>
        <v>767</v>
      </c>
      <c r="AB642" s="3">
        <f ca="1">IFERROR(__xludf.DUMMYFUNCTION("""COMPUTED_VALUE"""),0)</f>
        <v>0</v>
      </c>
      <c r="AC642" s="3">
        <f ca="1">IFERROR(__xludf.DUMMYFUNCTION("""COMPUTED_VALUE"""),6)</f>
        <v>6</v>
      </c>
      <c r="AD642" s="3" t="str">
        <f ca="1">IFERROR(__xludf.DUMMYFUNCTION("""COMPUTED_VALUE"""),"on time")</f>
        <v>on time</v>
      </c>
      <c r="AE642" s="3" t="str">
        <f ca="1">IFERROR(__xludf.DUMMYFUNCTION("""COMPUTED_VALUE"""),"2055-06-06T19:15:52.367878Z")</f>
        <v>2055-06-06T19:15:52.367878Z</v>
      </c>
      <c r="AF642" s="3" t="str">
        <f ca="1">IFERROR(__xludf.DUMMYFUNCTION("""COMPUTED_VALUE"""),"2055-06-06T19:28:39.181849Z")</f>
        <v>2055-06-06T19:28:39.181849Z</v>
      </c>
      <c r="AG642" s="3" t="str">
        <f ca="1">IFERROR(__xludf.DUMMYFUNCTION("""COMPUTED_VALUE"""),"2055-06-06T19:00:54.534103Z")</f>
        <v>2055-06-06T19:00:54.534103Z</v>
      </c>
      <c r="AH642" s="3" t="str">
        <f ca="1">IFERROR(__xludf.DUMMYFUNCTION("""COMPUTED_VALUE"""),"2055-06-06T19:05:15.682137Z")</f>
        <v>2055-06-06T19:05:15.682137Z</v>
      </c>
      <c r="AI642" s="3">
        <f ca="1">IFERROR(__xludf.DUMMYFUNCTION("""COMPUTED_VALUE"""),4.52)</f>
        <v>4.5199999999999996</v>
      </c>
      <c r="AJ642" s="3">
        <f ca="1">IFERROR(__xludf.DUMMYFUNCTION("""COMPUTED_VALUE"""),183)</f>
        <v>183</v>
      </c>
      <c r="AK642" s="3">
        <f ca="1">IFERROR(__xludf.DUMMYFUNCTION("""COMPUTED_VALUE"""),522)</f>
        <v>522</v>
      </c>
      <c r="AL642" s="3"/>
    </row>
    <row r="643" spans="1:38" ht="13">
      <c r="A643" s="3">
        <f ca="1">IFERROR(__xludf.DUMMYFUNCTION("""COMPUTED_VALUE"""),860)</f>
        <v>860</v>
      </c>
      <c r="B643" s="3">
        <f ca="1">IFERROR(__xludf.DUMMYFUNCTION("""COMPUTED_VALUE"""),5)</f>
        <v>5</v>
      </c>
      <c r="C643" s="3">
        <f ca="1">IFERROR(__xludf.DUMMYFUNCTION("""COMPUTED_VALUE"""),4001)</f>
        <v>4001</v>
      </c>
      <c r="D643" s="3" t="str">
        <f ca="1">IFERROR(__xludf.DUMMYFUNCTION("""COMPUTED_VALUE"""),"Dashattan")</f>
        <v>Dashattan</v>
      </c>
      <c r="E643" s="3" t="str">
        <f ca="1">IFERROR(__xludf.DUMMYFUNCTION("""COMPUTED_VALUE"""),"Galaxy A")</f>
        <v>Galaxy A</v>
      </c>
      <c r="F643" s="3" t="str">
        <f ca="1">IFERROR(__xludf.DUMMYFUNCTION("""COMPUTED_VALUE"""),"Bret")</f>
        <v>Bret</v>
      </c>
      <c r="G643" s="3">
        <f ca="1">IFERROR(__xludf.DUMMYFUNCTION("""COMPUTED_VALUE"""),0)</f>
        <v>0</v>
      </c>
      <c r="H643" s="3" t="str">
        <f ca="1">IFERROR(__xludf.DUMMYFUNCTION("""COMPUTED_VALUE"""),"car")</f>
        <v>car</v>
      </c>
      <c r="I643" s="3" t="str">
        <f ca="1">IFERROR(__xludf.DUMMYFUNCTION("""COMPUTED_VALUE"""),"2055-06-07T18:05:45.373581Z")</f>
        <v>2055-06-07T18:05:45.373581Z</v>
      </c>
      <c r="J643" s="3" t="str">
        <f ca="1">IFERROR(__xludf.DUMMYFUNCTION("""COMPUTED_VALUE"""),"2055-06-07T18:54:47.434Z")</f>
        <v>2055-06-07T18:54:47.434Z</v>
      </c>
      <c r="K643" s="3" t="str">
        <f ca="1">IFERROR(__xludf.DUMMYFUNCTION("""COMPUTED_VALUE"""),"2055-06-07T18:46:29.434Z")</f>
        <v>2055-06-07T18:46:29.434Z</v>
      </c>
      <c r="L643" s="3">
        <f ca="1">IFERROR(__xludf.DUMMYFUNCTION("""COMPUTED_VALUE"""),1)</f>
        <v>1</v>
      </c>
      <c r="M643" s="3">
        <f ca="1">IFERROR(__xludf.DUMMYFUNCTION("""COMPUTED_VALUE"""),0)</f>
        <v>0</v>
      </c>
      <c r="N643" s="3" t="str">
        <f ca="1">IFERROR(__xludf.DUMMYFUNCTION("""COMPUTED_VALUE"""),"2055-06-07T19:07:55.986882Z")</f>
        <v>2055-06-07T19:07:55.986882Z</v>
      </c>
      <c r="O643" s="3" t="str">
        <f ca="1">IFERROR(__xludf.DUMMYFUNCTION("""COMPUTED_VALUE"""),"2055-06-07T19:32:41.188467Z")</f>
        <v>2055-06-07T19:32:41.188467Z</v>
      </c>
      <c r="P643" s="3" t="str">
        <f ca="1">IFERROR(__xludf.DUMMYFUNCTION("""COMPUTED_VALUE"""),"2055-06-07T18:18:14.184001Z")</f>
        <v>2055-06-07T18:18:14.184001Z</v>
      </c>
      <c r="Q643" s="3">
        <f ca="1">IFERROR(__xludf.DUMMYFUNCTION("""COMPUTED_VALUE"""),0)</f>
        <v>0</v>
      </c>
      <c r="R643" s="3" t="str">
        <f ca="1">IFERROR(__xludf.DUMMYFUNCTION("""COMPUTED_VALUE"""),"2055-06-07T18:18:28.024093Z")</f>
        <v>2055-06-07T18:18:28.024093Z</v>
      </c>
      <c r="S643" s="3" t="str">
        <f ca="1">IFERROR(__xludf.DUMMYFUNCTION("""COMPUTED_VALUE"""),"2055-06-07T19:01:06.521804Z")</f>
        <v>2055-06-07T19:01:06.521804Z</v>
      </c>
      <c r="T643" s="3"/>
      <c r="U643" s="4">
        <f ca="1">IFERROR(__xludf.DUMMYFUNCTION("""COMPUTED_VALUE"""),56772)</f>
        <v>56772</v>
      </c>
      <c r="V643" s="3">
        <f ca="1">IFERROR(__xludf.DUMMYFUNCTION("""COMPUTED_VALUE"""),4.5)</f>
        <v>4.5</v>
      </c>
      <c r="W643" s="3">
        <f ca="1">IFERROR(__xludf.DUMMYFUNCTION("""COMPUTED_VALUE"""),2000)</f>
        <v>2000</v>
      </c>
      <c r="X643" s="3">
        <f ca="1">IFERROR(__xludf.DUMMYFUNCTION("""COMPUTED_VALUE"""),4453)</f>
        <v>4453</v>
      </c>
      <c r="Y643" s="3">
        <f ca="1">IFERROR(__xludf.DUMMYFUNCTION("""COMPUTED_VALUE"""),2558)</f>
        <v>2558</v>
      </c>
      <c r="Z643" s="3">
        <f ca="1">IFERROR(__xludf.DUMMYFUNCTION("""COMPUTED_VALUE"""),409)</f>
        <v>409</v>
      </c>
      <c r="AA643" s="3">
        <f ca="1">IFERROR(__xludf.DUMMYFUNCTION("""COMPUTED_VALUE"""),1486)</f>
        <v>1486</v>
      </c>
      <c r="AB643" s="3">
        <f ca="1">IFERROR(__xludf.DUMMYFUNCTION("""COMPUTED_VALUE"""),1)</f>
        <v>1</v>
      </c>
      <c r="AC643" s="3">
        <f ca="1">IFERROR(__xludf.DUMMYFUNCTION("""COMPUTED_VALUE"""),1)</f>
        <v>1</v>
      </c>
      <c r="AD643" s="3"/>
      <c r="AE643" s="3" t="str">
        <f ca="1">IFERROR(__xludf.DUMMYFUNCTION("""COMPUTED_VALUE"""),"2055-06-07T15:07:55.986882Z")</f>
        <v>2055-06-07T15:07:55.986882Z</v>
      </c>
      <c r="AF643" s="3" t="str">
        <f ca="1">IFERROR(__xludf.DUMMYFUNCTION("""COMPUTED_VALUE"""),"2055-06-07T15:32:41.188467Z")</f>
        <v>2055-06-07T15:32:41.188467Z</v>
      </c>
      <c r="AG643" s="3" t="str">
        <f ca="1">IFERROR(__xludf.DUMMYFUNCTION("""COMPUTED_VALUE"""),"2055-06-07T14:18:14.184001Z")</f>
        <v>2055-06-07T14:18:14.184001Z</v>
      </c>
      <c r="AH643" s="3" t="str">
        <f ca="1">IFERROR(__xludf.DUMMYFUNCTION("""COMPUTED_VALUE"""),"2055-06-07T15:01:06.521804Z")</f>
        <v>2055-06-07T15:01:06.521804Z</v>
      </c>
      <c r="AI643" s="3">
        <f ca="1">IFERROR(__xludf.DUMMYFUNCTION("""COMPUTED_VALUE"""),3.82)</f>
        <v>3.82</v>
      </c>
      <c r="AJ643" s="3">
        <f ca="1">IFERROR(__xludf.DUMMYFUNCTION("""COMPUTED_VALUE"""),174)</f>
        <v>174</v>
      </c>
      <c r="AK643" s="3">
        <f ca="1">IFERROR(__xludf.DUMMYFUNCTION("""COMPUTED_VALUE"""),773)</f>
        <v>773</v>
      </c>
      <c r="AL643" s="3"/>
    </row>
    <row r="644" spans="1:38" ht="13">
      <c r="A644" s="3">
        <f ca="1">IFERROR(__xludf.DUMMYFUNCTION("""COMPUTED_VALUE"""),1013)</f>
        <v>1013</v>
      </c>
      <c r="B644" s="3"/>
      <c r="C644" s="3">
        <f ca="1">IFERROR(__xludf.DUMMYFUNCTION("""COMPUTED_VALUE"""),4001)</f>
        <v>4001</v>
      </c>
      <c r="D644" s="3" t="str">
        <f ca="1">IFERROR(__xludf.DUMMYFUNCTION("""COMPUTED_VALUE"""),"Dashattan")</f>
        <v>Dashattan</v>
      </c>
      <c r="E644" s="3" t="str">
        <f ca="1">IFERROR(__xludf.DUMMYFUNCTION("""COMPUTED_VALUE"""),"Galaxy A")</f>
        <v>Galaxy A</v>
      </c>
      <c r="F644" s="3" t="str">
        <f ca="1">IFERROR(__xludf.DUMMYFUNCTION("""COMPUTED_VALUE"""),"Sean")</f>
        <v>Sean</v>
      </c>
      <c r="G644" s="3">
        <f ca="1">IFERROR(__xludf.DUMMYFUNCTION("""COMPUTED_VALUE"""),0)</f>
        <v>0</v>
      </c>
      <c r="H644" s="3" t="str">
        <f ca="1">IFERROR(__xludf.DUMMYFUNCTION("""COMPUTED_VALUE"""),"bicycle")</f>
        <v>bicycle</v>
      </c>
      <c r="I644" s="3" t="str">
        <f ca="1">IFERROR(__xludf.DUMMYFUNCTION("""COMPUTED_VALUE"""),"2055-06-09T14:38:28.750157Z")</f>
        <v>2055-06-09T14:38:28.750157Z</v>
      </c>
      <c r="J644" s="3" t="str">
        <f ca="1">IFERROR(__xludf.DUMMYFUNCTION("""COMPUTED_VALUE"""),"2055-06-09T15:32:06.795Z")</f>
        <v>2055-06-09T15:32:06.795Z</v>
      </c>
      <c r="K644" s="3" t="str">
        <f ca="1">IFERROR(__xludf.DUMMYFUNCTION("""COMPUTED_VALUE"""),"2055-06-09T15:11:59.795Z")</f>
        <v>2055-06-09T15:11:59.795Z</v>
      </c>
      <c r="L644" s="3">
        <f ca="1">IFERROR(__xludf.DUMMYFUNCTION("""COMPUTED_VALUE"""),1)</f>
        <v>1</v>
      </c>
      <c r="M644" s="3">
        <f ca="1">IFERROR(__xludf.DUMMYFUNCTION("""COMPUTED_VALUE"""),0)</f>
        <v>0</v>
      </c>
      <c r="N644" s="3" t="str">
        <f ca="1">IFERROR(__xludf.DUMMYFUNCTION("""COMPUTED_VALUE"""),"2055-06-09T14:55:00.533683Z")</f>
        <v>2055-06-09T14:55:00.533683Z</v>
      </c>
      <c r="O644" s="3" t="str">
        <f ca="1">IFERROR(__xludf.DUMMYFUNCTION("""COMPUTED_VALUE"""),"2055-06-09T15:02:49.010091Z")</f>
        <v>2055-06-09T15:02:49.010091Z</v>
      </c>
      <c r="P644" s="3" t="str">
        <f ca="1">IFERROR(__xludf.DUMMYFUNCTION("""COMPUTED_VALUE"""),"2055-06-09T14:42:34.170493Z")</f>
        <v>2055-06-09T14:42:34.170493Z</v>
      </c>
      <c r="Q644" s="3">
        <f ca="1">IFERROR(__xludf.DUMMYFUNCTION("""COMPUTED_VALUE"""),0)</f>
        <v>0</v>
      </c>
      <c r="R644" s="3" t="str">
        <f ca="1">IFERROR(__xludf.DUMMYFUNCTION("""COMPUTED_VALUE"""),"2055-06-09T14:43:06.968054Z")</f>
        <v>2055-06-09T14:43:06.968054Z</v>
      </c>
      <c r="S644" s="3" t="str">
        <f ca="1">IFERROR(__xludf.DUMMYFUNCTION("""COMPUTED_VALUE"""),"2055-06-09T14:46:47.620786Z")</f>
        <v>2055-06-09T14:46:47.620786Z</v>
      </c>
      <c r="T644" s="3"/>
      <c r="U644" s="4">
        <f ca="1">IFERROR(__xludf.DUMMYFUNCTION("""COMPUTED_VALUE"""),56774)</f>
        <v>56774</v>
      </c>
      <c r="V644" s="3">
        <f ca="1">IFERROR(__xludf.DUMMYFUNCTION("""COMPUTED_VALUE"""),4.4)</f>
        <v>4.4000000000000004</v>
      </c>
      <c r="W644" s="3">
        <f ca="1">IFERROR(__xludf.DUMMYFUNCTION("""COMPUTED_VALUE"""),2000)</f>
        <v>2000</v>
      </c>
      <c r="X644" s="3">
        <f ca="1">IFERROR(__xludf.DUMMYFUNCTION("""COMPUTED_VALUE"""),1183)</f>
        <v>1183</v>
      </c>
      <c r="Y644" s="3">
        <f ca="1">IFERROR(__xludf.DUMMYFUNCTION("""COMPUTED_VALUE"""),221)</f>
        <v>221</v>
      </c>
      <c r="Z644" s="3">
        <f ca="1">IFERROR(__xludf.DUMMYFUNCTION("""COMPUTED_VALUE"""),493)</f>
        <v>493</v>
      </c>
      <c r="AA644" s="3">
        <f ca="1">IFERROR(__xludf.DUMMYFUNCTION("""COMPUTED_VALUE"""),469)</f>
        <v>469</v>
      </c>
      <c r="AB644" s="3">
        <f ca="1">IFERROR(__xludf.DUMMYFUNCTION("""COMPUTED_VALUE"""),0)</f>
        <v>0</v>
      </c>
      <c r="AC644" s="3">
        <f ca="1">IFERROR(__xludf.DUMMYFUNCTION("""COMPUTED_VALUE"""),2)</f>
        <v>2</v>
      </c>
      <c r="AD644" s="3" t="str">
        <f ca="1">IFERROR(__xludf.DUMMYFUNCTION("""COMPUTED_VALUE"""),"on time")</f>
        <v>on time</v>
      </c>
      <c r="AE644" s="3" t="str">
        <f ca="1">IFERROR(__xludf.DUMMYFUNCTION("""COMPUTED_VALUE"""),"2055-06-09T10:55:00.533683Z")</f>
        <v>2055-06-09T10:55:00.533683Z</v>
      </c>
      <c r="AF644" s="3" t="str">
        <f ca="1">IFERROR(__xludf.DUMMYFUNCTION("""COMPUTED_VALUE"""),"2055-06-09T11:02:49.010091Z")</f>
        <v>2055-06-09T11:02:49.010091Z</v>
      </c>
      <c r="AG644" s="3" t="str">
        <f ca="1">IFERROR(__xludf.DUMMYFUNCTION("""COMPUTED_VALUE"""),"2055-06-09T10:42:34.170493Z")</f>
        <v>2055-06-09T10:42:34.170493Z</v>
      </c>
      <c r="AH644" s="3" t="str">
        <f ca="1">IFERROR(__xludf.DUMMYFUNCTION("""COMPUTED_VALUE"""),"2055-06-09T10:46:47.620786Z")</f>
        <v>2055-06-09T10:46:47.620786Z</v>
      </c>
      <c r="AI644" s="3">
        <f ca="1">IFERROR(__xludf.DUMMYFUNCTION("""COMPUTED_VALUE"""),4.52)</f>
        <v>4.5199999999999996</v>
      </c>
      <c r="AJ644" s="3">
        <f ca="1">IFERROR(__xludf.DUMMYFUNCTION("""COMPUTED_VALUE"""),183)</f>
        <v>183</v>
      </c>
      <c r="AK644" s="3">
        <f ca="1">IFERROR(__xludf.DUMMYFUNCTION("""COMPUTED_VALUE"""),522)</f>
        <v>522</v>
      </c>
      <c r="AL644" s="3"/>
    </row>
    <row r="645" spans="1:38" ht="13">
      <c r="A645" s="3">
        <f ca="1">IFERROR(__xludf.DUMMYFUNCTION("""COMPUTED_VALUE"""),1561)</f>
        <v>1561</v>
      </c>
      <c r="B645" s="3">
        <f ca="1">IFERROR(__xludf.DUMMYFUNCTION("""COMPUTED_VALUE"""),5)</f>
        <v>5</v>
      </c>
      <c r="C645" s="3">
        <f ca="1">IFERROR(__xludf.DUMMYFUNCTION("""COMPUTED_VALUE"""),4001)</f>
        <v>4001</v>
      </c>
      <c r="D645" s="3" t="str">
        <f ca="1">IFERROR(__xludf.DUMMYFUNCTION("""COMPUTED_VALUE"""),"Dashattan")</f>
        <v>Dashattan</v>
      </c>
      <c r="E645" s="3" t="str">
        <f ca="1">IFERROR(__xludf.DUMMYFUNCTION("""COMPUTED_VALUE"""),"Galaxy A")</f>
        <v>Galaxy A</v>
      </c>
      <c r="F645" s="3" t="str">
        <f ca="1">IFERROR(__xludf.DUMMYFUNCTION("""COMPUTED_VALUE"""),"Cass")</f>
        <v>Cass</v>
      </c>
      <c r="G645" s="3">
        <f ca="1">IFERROR(__xludf.DUMMYFUNCTION("""COMPUTED_VALUE"""),0)</f>
        <v>0</v>
      </c>
      <c r="H645" s="3" t="str">
        <f ca="1">IFERROR(__xludf.DUMMYFUNCTION("""COMPUTED_VALUE"""),"bicycle")</f>
        <v>bicycle</v>
      </c>
      <c r="I645" s="3" t="str">
        <f ca="1">IFERROR(__xludf.DUMMYFUNCTION("""COMPUTED_VALUE"""),"2055-06-13T15:36:49.987996Z")</f>
        <v>2055-06-13T15:36:49.987996Z</v>
      </c>
      <c r="J645" s="3" t="str">
        <f ca="1">IFERROR(__xludf.DUMMYFUNCTION("""COMPUTED_VALUE"""),"2055-06-13T16:33:01.032Z")</f>
        <v>2055-06-13T16:33:01.032Z</v>
      </c>
      <c r="K645" s="3" t="str">
        <f ca="1">IFERROR(__xludf.DUMMYFUNCTION("""COMPUTED_VALUE"""),"2055-06-13T16:13:22.032Z")</f>
        <v>2055-06-13T16:13:22.032Z</v>
      </c>
      <c r="L645" s="3">
        <f ca="1">IFERROR(__xludf.DUMMYFUNCTION("""COMPUTED_VALUE"""),1)</f>
        <v>1</v>
      </c>
      <c r="M645" s="3">
        <f ca="1">IFERROR(__xludf.DUMMYFUNCTION("""COMPUTED_VALUE"""),0)</f>
        <v>0</v>
      </c>
      <c r="N645" s="3" t="str">
        <f ca="1">IFERROR(__xludf.DUMMYFUNCTION("""COMPUTED_VALUE"""),"2055-06-13T15:59:59.112009Z")</f>
        <v>2055-06-13T15:59:59.112009Z</v>
      </c>
      <c r="O645" s="3" t="str">
        <f ca="1">IFERROR(__xludf.DUMMYFUNCTION("""COMPUTED_VALUE"""),"2055-06-13T16:13:51.960821Z")</f>
        <v>2055-06-13T16:13:51.960821Z</v>
      </c>
      <c r="P645" s="3" t="str">
        <f ca="1">IFERROR(__xludf.DUMMYFUNCTION("""COMPUTED_VALUE"""),"2055-06-13T15:40:14.267755Z")</f>
        <v>2055-06-13T15:40:14.267755Z</v>
      </c>
      <c r="Q645" s="3">
        <f ca="1">IFERROR(__xludf.DUMMYFUNCTION("""COMPUTED_VALUE"""),0)</f>
        <v>0</v>
      </c>
      <c r="R645" s="3" t="str">
        <f ca="1">IFERROR(__xludf.DUMMYFUNCTION("""COMPUTED_VALUE"""),"2055-06-13T15:40:44.403157Z")</f>
        <v>2055-06-13T15:40:44.403157Z</v>
      </c>
      <c r="S645" s="3" t="str">
        <f ca="1">IFERROR(__xludf.DUMMYFUNCTION("""COMPUTED_VALUE"""),"2055-06-13T15:56:26.328609Z")</f>
        <v>2055-06-13T15:56:26.328609Z</v>
      </c>
      <c r="T645" s="3"/>
      <c r="U645" s="4">
        <f ca="1">IFERROR(__xludf.DUMMYFUNCTION("""COMPUTED_VALUE"""),56778)</f>
        <v>56778</v>
      </c>
      <c r="V645" s="3">
        <f ca="1">IFERROR(__xludf.DUMMYFUNCTION("""COMPUTED_VALUE"""),4.1)</f>
        <v>4.0999999999999996</v>
      </c>
      <c r="W645" s="3">
        <f ca="1">IFERROR(__xludf.DUMMYFUNCTION("""COMPUTED_VALUE"""),2000)</f>
        <v>2000</v>
      </c>
      <c r="X645" s="3">
        <f ca="1">IFERROR(__xludf.DUMMYFUNCTION("""COMPUTED_VALUE"""),1987)</f>
        <v>1987</v>
      </c>
      <c r="Y645" s="3">
        <f ca="1">IFERROR(__xludf.DUMMYFUNCTION("""COMPUTED_VALUE"""),942)</f>
        <v>942</v>
      </c>
      <c r="Z645" s="3">
        <f ca="1">IFERROR(__xludf.DUMMYFUNCTION("""COMPUTED_VALUE"""),213)</f>
        <v>213</v>
      </c>
      <c r="AA645" s="3">
        <f ca="1">IFERROR(__xludf.DUMMYFUNCTION("""COMPUTED_VALUE"""),832)</f>
        <v>832</v>
      </c>
      <c r="AB645" s="3">
        <f ca="1">IFERROR(__xludf.DUMMYFUNCTION("""COMPUTED_VALUE"""),0)</f>
        <v>0</v>
      </c>
      <c r="AC645" s="3">
        <f ca="1">IFERROR(__xludf.DUMMYFUNCTION("""COMPUTED_VALUE"""),1)</f>
        <v>1</v>
      </c>
      <c r="AD645" s="3" t="str">
        <f ca="1">IFERROR(__xludf.DUMMYFUNCTION("""COMPUTED_VALUE"""),"late")</f>
        <v>late</v>
      </c>
      <c r="AE645" s="3" t="str">
        <f ca="1">IFERROR(__xludf.DUMMYFUNCTION("""COMPUTED_VALUE"""),"2055-06-13T11:59:59.112009Z")</f>
        <v>2055-06-13T11:59:59.112009Z</v>
      </c>
      <c r="AF645" s="3" t="str">
        <f ca="1">IFERROR(__xludf.DUMMYFUNCTION("""COMPUTED_VALUE"""),"2055-06-13T12:13:51.960821Z")</f>
        <v>2055-06-13T12:13:51.960821Z</v>
      </c>
      <c r="AG645" s="3" t="str">
        <f ca="1">IFERROR(__xludf.DUMMYFUNCTION("""COMPUTED_VALUE"""),"2055-06-13T11:40:14.267755Z")</f>
        <v>2055-06-13T11:40:14.267755Z</v>
      </c>
      <c r="AH645" s="3" t="str">
        <f ca="1">IFERROR(__xludf.DUMMYFUNCTION("""COMPUTED_VALUE"""),"2055-06-13T11:56:26.328609Z")</f>
        <v>2055-06-13T11:56:26.328609Z</v>
      </c>
      <c r="AI645" s="3">
        <f ca="1">IFERROR(__xludf.DUMMYFUNCTION("""COMPUTED_VALUE"""),4.505263158)</f>
        <v>4.505263158</v>
      </c>
      <c r="AJ645" s="3">
        <f ca="1">IFERROR(__xludf.DUMMYFUNCTION("""COMPUTED_VALUE"""),79)</f>
        <v>79</v>
      </c>
      <c r="AK645" s="3">
        <f ca="1">IFERROR(__xludf.DUMMYFUNCTION("""COMPUTED_VALUE"""),248)</f>
        <v>248</v>
      </c>
      <c r="AL645" s="3">
        <f ca="1">IFERROR(__xludf.DUMMYFUNCTION("""COMPUTED_VALUE"""),2)</f>
        <v>2</v>
      </c>
    </row>
    <row r="646" spans="1:38" ht="13">
      <c r="A646" s="3">
        <f ca="1">IFERROR(__xludf.DUMMYFUNCTION("""COMPUTED_VALUE"""),759)</f>
        <v>759</v>
      </c>
      <c r="B646" s="3"/>
      <c r="C646" s="3">
        <f ca="1">IFERROR(__xludf.DUMMYFUNCTION("""COMPUTED_VALUE"""),4050)</f>
        <v>4050</v>
      </c>
      <c r="D646" s="3" t="str">
        <f ca="1">IFERROR(__xludf.DUMMYFUNCTION("""COMPUTED_VALUE"""),"Doorlanta")</f>
        <v>Doorlanta</v>
      </c>
      <c r="E646" s="3" t="str">
        <f ca="1">IFERROR(__xludf.DUMMYFUNCTION("""COMPUTED_VALUE"""),"Galaxy A")</f>
        <v>Galaxy A</v>
      </c>
      <c r="F646" s="3" t="str">
        <f ca="1">IFERROR(__xludf.DUMMYFUNCTION("""COMPUTED_VALUE"""),"Abhai")</f>
        <v>Abhai</v>
      </c>
      <c r="G646" s="3">
        <f ca="1">IFERROR(__xludf.DUMMYFUNCTION("""COMPUTED_VALUE"""),0)</f>
        <v>0</v>
      </c>
      <c r="H646" s="3" t="str">
        <f ca="1">IFERROR(__xludf.DUMMYFUNCTION("""COMPUTED_VALUE"""),"car")</f>
        <v>car</v>
      </c>
      <c r="I646" s="3" t="str">
        <f ca="1">IFERROR(__xludf.DUMMYFUNCTION("""COMPUTED_VALUE"""),"2055-06-06T19:33:40.932277Z")</f>
        <v>2055-06-06T19:33:40.932277Z</v>
      </c>
      <c r="J646" s="3" t="str">
        <f ca="1">IFERROR(__xludf.DUMMYFUNCTION("""COMPUTED_VALUE"""),"2055-06-06T20:28:41.009Z")</f>
        <v>2055-06-06T20:28:41.009Z</v>
      </c>
      <c r="K646" s="3" t="str">
        <f ca="1">IFERROR(__xludf.DUMMYFUNCTION("""COMPUTED_VALUE"""),"2055-06-06T20:04:10.009Z")</f>
        <v>2055-06-06T20:04:10.009Z</v>
      </c>
      <c r="L646" s="3">
        <f ca="1">IFERROR(__xludf.DUMMYFUNCTION("""COMPUTED_VALUE"""),1)</f>
        <v>1</v>
      </c>
      <c r="M646" s="3">
        <f ca="1">IFERROR(__xludf.DUMMYFUNCTION("""COMPUTED_VALUE"""),0)</f>
        <v>0</v>
      </c>
      <c r="N646" s="3" t="str">
        <f ca="1">IFERROR(__xludf.DUMMYFUNCTION("""COMPUTED_VALUE"""),"2055-06-06T20:09:12.950703Z")</f>
        <v>2055-06-06T20:09:12.950703Z</v>
      </c>
      <c r="O646" s="3" t="str">
        <f ca="1">IFERROR(__xludf.DUMMYFUNCTION("""COMPUTED_VALUE"""),"2055-06-06T20:22:56.082981Z")</f>
        <v>2055-06-06T20:22:56.082981Z</v>
      </c>
      <c r="P646" s="3" t="str">
        <f ca="1">IFERROR(__xludf.DUMMYFUNCTION("""COMPUTED_VALUE"""),"2055-06-06T19:33:47.305171Z")</f>
        <v>2055-06-06T19:33:47.305171Z</v>
      </c>
      <c r="Q646" s="3">
        <f ca="1">IFERROR(__xludf.DUMMYFUNCTION("""COMPUTED_VALUE"""),0)</f>
        <v>0</v>
      </c>
      <c r="R646" s="3" t="str">
        <f ca="1">IFERROR(__xludf.DUMMYFUNCTION("""COMPUTED_VALUE"""),"2055-06-06T19:33:50.871352Z")</f>
        <v>2055-06-06T19:33:50.871352Z</v>
      </c>
      <c r="S646" s="3"/>
      <c r="T646" s="3"/>
      <c r="U646" s="4">
        <f ca="1">IFERROR(__xludf.DUMMYFUNCTION("""COMPUTED_VALUE"""),56771)</f>
        <v>56771</v>
      </c>
      <c r="V646" s="3">
        <f ca="1">IFERROR(__xludf.DUMMYFUNCTION("""COMPUTED_VALUE"""),2.956580688)</f>
        <v>2.9565806879999998</v>
      </c>
      <c r="W646" s="3">
        <f ca="1">IFERROR(__xludf.DUMMYFUNCTION("""COMPUTED_VALUE"""),2000)</f>
        <v>2000</v>
      </c>
      <c r="X646" s="3">
        <f ca="1">IFERROR(__xludf.DUMMYFUNCTION("""COMPUTED_VALUE"""),2946)</f>
        <v>2946</v>
      </c>
      <c r="Y646" s="3"/>
      <c r="Z646" s="3"/>
      <c r="AA646" s="3">
        <f ca="1">IFERROR(__xludf.DUMMYFUNCTION("""COMPUTED_VALUE"""),824)</f>
        <v>824</v>
      </c>
      <c r="AB646" s="3">
        <f ca="1">IFERROR(__xludf.DUMMYFUNCTION("""COMPUTED_VALUE"""),0)</f>
        <v>0</v>
      </c>
      <c r="AC646" s="3">
        <f ca="1">IFERROR(__xludf.DUMMYFUNCTION("""COMPUTED_VALUE"""),1)</f>
        <v>1</v>
      </c>
      <c r="AD646" s="3"/>
      <c r="AE646" s="3" t="str">
        <f ca="1">IFERROR(__xludf.DUMMYFUNCTION("""COMPUTED_VALUE"""),"2055-06-06T16:09:12.950703Z")</f>
        <v>2055-06-06T16:09:12.950703Z</v>
      </c>
      <c r="AF646" s="3" t="str">
        <f ca="1">IFERROR(__xludf.DUMMYFUNCTION("""COMPUTED_VALUE"""),"2055-06-06T16:22:56.082981Z")</f>
        <v>2055-06-06T16:22:56.082981Z</v>
      </c>
      <c r="AG646" s="3" t="str">
        <f ca="1">IFERROR(__xludf.DUMMYFUNCTION("""COMPUTED_VALUE"""),"2055-06-06T15:33:47.305171Z")</f>
        <v>2055-06-06T15:33:47.305171Z</v>
      </c>
      <c r="AH646" s="3"/>
      <c r="AI646" s="3">
        <f ca="1">IFERROR(__xludf.DUMMYFUNCTION("""COMPUTED_VALUE"""),4.56)</f>
        <v>4.5599999999999996</v>
      </c>
      <c r="AJ646" s="3">
        <f ca="1">IFERROR(__xludf.DUMMYFUNCTION("""COMPUTED_VALUE"""),344)</f>
        <v>344</v>
      </c>
      <c r="AK646" s="3">
        <f ca="1">IFERROR(__xludf.DUMMYFUNCTION("""COMPUTED_VALUE"""),947)</f>
        <v>947</v>
      </c>
      <c r="AL646" s="3">
        <f ca="1">IFERROR(__xludf.DUMMYFUNCTION("""COMPUTED_VALUE"""),22)</f>
        <v>22</v>
      </c>
    </row>
    <row r="647" spans="1:38" ht="13">
      <c r="A647" s="3">
        <f ca="1">IFERROR(__xludf.DUMMYFUNCTION("""COMPUTED_VALUE"""),1430)</f>
        <v>1430</v>
      </c>
      <c r="B647" s="3"/>
      <c r="C647" s="3">
        <f ca="1">IFERROR(__xludf.DUMMYFUNCTION("""COMPUTED_VALUE"""),4001)</f>
        <v>4001</v>
      </c>
      <c r="D647" s="3" t="str">
        <f ca="1">IFERROR(__xludf.DUMMYFUNCTION("""COMPUTED_VALUE"""),"Dashattan")</f>
        <v>Dashattan</v>
      </c>
      <c r="E647" s="3" t="str">
        <f ca="1">IFERROR(__xludf.DUMMYFUNCTION("""COMPUTED_VALUE"""),"Galaxy A")</f>
        <v>Galaxy A</v>
      </c>
      <c r="F647" s="3" t="str">
        <f ca="1">IFERROR(__xludf.DUMMYFUNCTION("""COMPUTED_VALUE"""),"KC")</f>
        <v>KC</v>
      </c>
      <c r="G647" s="3">
        <f ca="1">IFERROR(__xludf.DUMMYFUNCTION("""COMPUTED_VALUE"""),0)</f>
        <v>0</v>
      </c>
      <c r="H647" s="3" t="str">
        <f ca="1">IFERROR(__xludf.DUMMYFUNCTION("""COMPUTED_VALUE"""),"car")</f>
        <v>car</v>
      </c>
      <c r="I647" s="3" t="str">
        <f ca="1">IFERROR(__xludf.DUMMYFUNCTION("""COMPUTED_VALUE"""),"2055-06-12T18:53:21.76106Z")</f>
        <v>2055-06-12T18:53:21.76106Z</v>
      </c>
      <c r="J647" s="3" t="str">
        <f ca="1">IFERROR(__xludf.DUMMYFUNCTION("""COMPUTED_VALUE"""),"2055-06-12T19:50:24.825Z")</f>
        <v>2055-06-12T19:50:24.825Z</v>
      </c>
      <c r="K647" s="3" t="str">
        <f ca="1">IFERROR(__xludf.DUMMYFUNCTION("""COMPUTED_VALUE"""),"2055-06-12T19:36:31.825Z")</f>
        <v>2055-06-12T19:36:31.825Z</v>
      </c>
      <c r="L647" s="3">
        <f ca="1">IFERROR(__xludf.DUMMYFUNCTION("""COMPUTED_VALUE"""),1)</f>
        <v>1</v>
      </c>
      <c r="M647" s="3">
        <f ca="1">IFERROR(__xludf.DUMMYFUNCTION("""COMPUTED_VALUE"""),0)</f>
        <v>0</v>
      </c>
      <c r="N647" s="3" t="str">
        <f ca="1">IFERROR(__xludf.DUMMYFUNCTION("""COMPUTED_VALUE"""),"2055-06-12T19:04:33.838232Z")</f>
        <v>2055-06-12T19:04:33.838232Z</v>
      </c>
      <c r="O647" s="3" t="str">
        <f ca="1">IFERROR(__xludf.DUMMYFUNCTION("""COMPUTED_VALUE"""),"2055-06-12T19:14:45.848946Z")</f>
        <v>2055-06-12T19:14:45.848946Z</v>
      </c>
      <c r="P647" s="3" t="str">
        <f ca="1">IFERROR(__xludf.DUMMYFUNCTION("""COMPUTED_VALUE"""),"2055-06-12T18:53:34.343032Z")</f>
        <v>2055-06-12T18:53:34.343032Z</v>
      </c>
      <c r="Q647" s="3">
        <f ca="1">IFERROR(__xludf.DUMMYFUNCTION("""COMPUTED_VALUE"""),0)</f>
        <v>0</v>
      </c>
      <c r="R647" s="3" t="str">
        <f ca="1">IFERROR(__xludf.DUMMYFUNCTION("""COMPUTED_VALUE"""),"2055-06-12T18:54:00.437261Z")</f>
        <v>2055-06-12T18:54:00.437261Z</v>
      </c>
      <c r="S647" s="3" t="str">
        <f ca="1">IFERROR(__xludf.DUMMYFUNCTION("""COMPUTED_VALUE"""),"2055-06-12T18:58:10.703674Z")</f>
        <v>2055-06-12T18:58:10.703674Z</v>
      </c>
      <c r="T647" s="3"/>
      <c r="U647" s="4">
        <f ca="1">IFERROR(__xludf.DUMMYFUNCTION("""COMPUTED_VALUE"""),56777)</f>
        <v>56777</v>
      </c>
      <c r="V647" s="3">
        <f ca="1">IFERROR(__xludf.DUMMYFUNCTION("""COMPUTED_VALUE"""),4.5)</f>
        <v>4.5</v>
      </c>
      <c r="W647" s="3">
        <f ca="1">IFERROR(__xludf.DUMMYFUNCTION("""COMPUTED_VALUE"""),2000)</f>
        <v>2000</v>
      </c>
      <c r="X647" s="3">
        <f ca="1">IFERROR(__xludf.DUMMYFUNCTION("""COMPUTED_VALUE"""),1245)</f>
        <v>1245</v>
      </c>
      <c r="Y647" s="3">
        <f ca="1">IFERROR(__xludf.DUMMYFUNCTION("""COMPUTED_VALUE"""),250)</f>
        <v>250</v>
      </c>
      <c r="Z647" s="3">
        <f ca="1">IFERROR(__xludf.DUMMYFUNCTION("""COMPUTED_VALUE"""),383)</f>
        <v>383</v>
      </c>
      <c r="AA647" s="3">
        <f ca="1">IFERROR(__xludf.DUMMYFUNCTION("""COMPUTED_VALUE"""),612)</f>
        <v>612</v>
      </c>
      <c r="AB647" s="3">
        <f ca="1">IFERROR(__xludf.DUMMYFUNCTION("""COMPUTED_VALUE"""),0)</f>
        <v>0</v>
      </c>
      <c r="AC647" s="3">
        <f ca="1">IFERROR(__xludf.DUMMYFUNCTION("""COMPUTED_VALUE"""),4)</f>
        <v>4</v>
      </c>
      <c r="AD647" s="3" t="str">
        <f ca="1">IFERROR(__xludf.DUMMYFUNCTION("""COMPUTED_VALUE"""),"early")</f>
        <v>early</v>
      </c>
      <c r="AE647" s="3" t="str">
        <f ca="1">IFERROR(__xludf.DUMMYFUNCTION("""COMPUTED_VALUE"""),"2055-06-12T15:04:33.838232Z")</f>
        <v>2055-06-12T15:04:33.838232Z</v>
      </c>
      <c r="AF647" s="3" t="str">
        <f ca="1">IFERROR(__xludf.DUMMYFUNCTION("""COMPUTED_VALUE"""),"2055-06-12T15:14:45.848946Z")</f>
        <v>2055-06-12T15:14:45.848946Z</v>
      </c>
      <c r="AG647" s="3" t="str">
        <f ca="1">IFERROR(__xludf.DUMMYFUNCTION("""COMPUTED_VALUE"""),"2055-06-12T14:53:34.343032Z")</f>
        <v>2055-06-12T14:53:34.343032Z</v>
      </c>
      <c r="AH647" s="3" t="str">
        <f ca="1">IFERROR(__xludf.DUMMYFUNCTION("""COMPUTED_VALUE"""),"2055-06-12T14:58:10.703674Z")</f>
        <v>2055-06-12T14:58:10.703674Z</v>
      </c>
      <c r="AI647" s="3">
        <f ca="1">IFERROR(__xludf.DUMMYFUNCTION("""COMPUTED_VALUE"""),4.54)</f>
        <v>4.54</v>
      </c>
      <c r="AJ647" s="3">
        <f ca="1">IFERROR(__xludf.DUMMYFUNCTION("""COMPUTED_VALUE"""),2229)</f>
        <v>2229</v>
      </c>
      <c r="AK647" s="3">
        <f ca="1">IFERROR(__xludf.DUMMYFUNCTION("""COMPUTED_VALUE"""),6580)</f>
        <v>6580</v>
      </c>
      <c r="AL647" s="3"/>
    </row>
    <row r="648" spans="1:38" ht="13">
      <c r="A648" s="3">
        <f ca="1">IFERROR(__xludf.DUMMYFUNCTION("""COMPUTED_VALUE"""),31)</f>
        <v>31</v>
      </c>
      <c r="B648" s="3"/>
      <c r="C648" s="3">
        <f ca="1">IFERROR(__xludf.DUMMYFUNCTION("""COMPUTED_VALUE"""),4050)</f>
        <v>4050</v>
      </c>
      <c r="D648" s="3" t="str">
        <f ca="1">IFERROR(__xludf.DUMMYFUNCTION("""COMPUTED_VALUE"""),"Doorlanta")</f>
        <v>Doorlanta</v>
      </c>
      <c r="E648" s="3" t="str">
        <f ca="1">IFERROR(__xludf.DUMMYFUNCTION("""COMPUTED_VALUE"""),"Galaxy A")</f>
        <v>Galaxy A</v>
      </c>
      <c r="F648" s="3" t="str">
        <f ca="1">IFERROR(__xludf.DUMMYFUNCTION("""COMPUTED_VALUE"""),"Jagar")</f>
        <v>Jagar</v>
      </c>
      <c r="G648" s="3">
        <f ca="1">IFERROR(__xludf.DUMMYFUNCTION("""COMPUTED_VALUE"""),0)</f>
        <v>0</v>
      </c>
      <c r="H648" s="3" t="str">
        <f ca="1">IFERROR(__xludf.DUMMYFUNCTION("""COMPUTED_VALUE"""),"car")</f>
        <v>car</v>
      </c>
      <c r="I648" s="3" t="str">
        <f ca="1">IFERROR(__xludf.DUMMYFUNCTION("""COMPUTED_VALUE"""),"2055-06-01T20:13:03.661398Z")</f>
        <v>2055-06-01T20:13:03.661398Z</v>
      </c>
      <c r="J648" s="3" t="str">
        <f ca="1">IFERROR(__xludf.DUMMYFUNCTION("""COMPUTED_VALUE"""),"2055-06-01T21:14:52.743Z")</f>
        <v>2055-06-01T21:14:52.743Z</v>
      </c>
      <c r="K648" s="3" t="str">
        <f ca="1">IFERROR(__xludf.DUMMYFUNCTION("""COMPUTED_VALUE"""),"2055-06-01T20:52:58.743Z")</f>
        <v>2055-06-01T20:52:58.743Z</v>
      </c>
      <c r="L648" s="3">
        <f ca="1">IFERROR(__xludf.DUMMYFUNCTION("""COMPUTED_VALUE"""),1)</f>
        <v>1</v>
      </c>
      <c r="M648" s="3">
        <f ca="1">IFERROR(__xludf.DUMMYFUNCTION("""COMPUTED_VALUE"""),0)</f>
        <v>0</v>
      </c>
      <c r="N648" s="3" t="str">
        <f ca="1">IFERROR(__xludf.DUMMYFUNCTION("""COMPUTED_VALUE"""),"2055-06-01T20:30:02.07545Z")</f>
        <v>2055-06-01T20:30:02.07545Z</v>
      </c>
      <c r="O648" s="3" t="str">
        <f ca="1">IFERROR(__xludf.DUMMYFUNCTION("""COMPUTED_VALUE"""),"2055-06-01T20:42:25.981588Z")</f>
        <v>2055-06-01T20:42:25.981588Z</v>
      </c>
      <c r="P648" s="3" t="str">
        <f ca="1">IFERROR(__xludf.DUMMYFUNCTION("""COMPUTED_VALUE"""),"2055-06-01T20:19:07.142661Z")</f>
        <v>2055-06-01T20:19:07.142661Z</v>
      </c>
      <c r="Q648" s="3">
        <f ca="1">IFERROR(__xludf.DUMMYFUNCTION("""COMPUTED_VALUE"""),1)</f>
        <v>1</v>
      </c>
      <c r="R648" s="3" t="str">
        <f ca="1">IFERROR(__xludf.DUMMYFUNCTION("""COMPUTED_VALUE"""),"2055-06-01T20:19:12.209333Z")</f>
        <v>2055-06-01T20:19:12.209333Z</v>
      </c>
      <c r="S648" s="3" t="str">
        <f ca="1">IFERROR(__xludf.DUMMYFUNCTION("""COMPUTED_VALUE"""),"2055-06-01T20:25:16.065262Z")</f>
        <v>2055-06-01T20:25:16.065262Z</v>
      </c>
      <c r="T648" s="3"/>
      <c r="U648" s="4">
        <f ca="1">IFERROR(__xludf.DUMMYFUNCTION("""COMPUTED_VALUE"""),56766)</f>
        <v>56766</v>
      </c>
      <c r="V648" s="3">
        <f ca="1">IFERROR(__xludf.DUMMYFUNCTION("""COMPUTED_VALUE"""),4.5)</f>
        <v>4.5</v>
      </c>
      <c r="W648" s="3">
        <f ca="1">IFERROR(__xludf.DUMMYFUNCTION("""COMPUTED_VALUE"""),2000)</f>
        <v>2000</v>
      </c>
      <c r="X648" s="3">
        <f ca="1">IFERROR(__xludf.DUMMYFUNCTION("""COMPUTED_VALUE"""),1393)</f>
        <v>1393</v>
      </c>
      <c r="Y648" s="3">
        <f ca="1">IFERROR(__xludf.DUMMYFUNCTION("""COMPUTED_VALUE"""),364)</f>
        <v>364</v>
      </c>
      <c r="Z648" s="3">
        <f ca="1">IFERROR(__xludf.DUMMYFUNCTION("""COMPUTED_VALUE"""),286)</f>
        <v>286</v>
      </c>
      <c r="AA648" s="3">
        <f ca="1">IFERROR(__xludf.DUMMYFUNCTION("""COMPUTED_VALUE"""),743)</f>
        <v>743</v>
      </c>
      <c r="AB648" s="3">
        <f ca="1">IFERROR(__xludf.DUMMYFUNCTION("""COMPUTED_VALUE"""),0)</f>
        <v>0</v>
      </c>
      <c r="AC648" s="3">
        <f ca="1">IFERROR(__xludf.DUMMYFUNCTION("""COMPUTED_VALUE"""),5)</f>
        <v>5</v>
      </c>
      <c r="AD648" s="3" t="str">
        <f ca="1">IFERROR(__xludf.DUMMYFUNCTION("""COMPUTED_VALUE"""),"on time")</f>
        <v>on time</v>
      </c>
      <c r="AE648" s="3" t="str">
        <f ca="1">IFERROR(__xludf.DUMMYFUNCTION("""COMPUTED_VALUE"""),"2055-06-01T16:30:02.07545Z")</f>
        <v>2055-06-01T16:30:02.07545Z</v>
      </c>
      <c r="AF648" s="3" t="str">
        <f ca="1">IFERROR(__xludf.DUMMYFUNCTION("""COMPUTED_VALUE"""),"2055-06-01T16:42:25.981588Z")</f>
        <v>2055-06-01T16:42:25.981588Z</v>
      </c>
      <c r="AG648" s="3" t="str">
        <f ca="1">IFERROR(__xludf.DUMMYFUNCTION("""COMPUTED_VALUE"""),"2055-06-01T16:19:07.142661Z")</f>
        <v>2055-06-01T16:19:07.142661Z</v>
      </c>
      <c r="AH648" s="3" t="str">
        <f ca="1">IFERROR(__xludf.DUMMYFUNCTION("""COMPUTED_VALUE"""),"2055-06-01T16:25:16.065262Z")</f>
        <v>2055-06-01T16:25:16.065262Z</v>
      </c>
      <c r="AI648" s="3">
        <f ca="1">IFERROR(__xludf.DUMMYFUNCTION("""COMPUTED_VALUE"""),4.89)</f>
        <v>4.8899999999999997</v>
      </c>
      <c r="AJ648" s="3">
        <f ca="1">IFERROR(__xludf.DUMMYFUNCTION("""COMPUTED_VALUE"""),1778)</f>
        <v>1778</v>
      </c>
      <c r="AK648" s="3">
        <f ca="1">IFERROR(__xludf.DUMMYFUNCTION("""COMPUTED_VALUE"""),5138)</f>
        <v>5138</v>
      </c>
      <c r="AL648" s="3">
        <f ca="1">IFERROR(__xludf.DUMMYFUNCTION("""COMPUTED_VALUE"""),314)</f>
        <v>314</v>
      </c>
    </row>
    <row r="649" spans="1:38" ht="13">
      <c r="A649" s="3">
        <f ca="1">IFERROR(__xludf.DUMMYFUNCTION("""COMPUTED_VALUE"""),50)</f>
        <v>50</v>
      </c>
      <c r="B649" s="3">
        <f ca="1">IFERROR(__xludf.DUMMYFUNCTION("""COMPUTED_VALUE"""),5)</f>
        <v>5</v>
      </c>
      <c r="C649" s="3">
        <f ca="1">IFERROR(__xludf.DUMMYFUNCTION("""COMPUTED_VALUE"""),4001)</f>
        <v>4001</v>
      </c>
      <c r="D649" s="3" t="str">
        <f ca="1">IFERROR(__xludf.DUMMYFUNCTION("""COMPUTED_VALUE"""),"Dashattan")</f>
        <v>Dashattan</v>
      </c>
      <c r="E649" s="3" t="str">
        <f ca="1">IFERROR(__xludf.DUMMYFUNCTION("""COMPUTED_VALUE"""),"Galaxy A")</f>
        <v>Galaxy A</v>
      </c>
      <c r="F649" s="3" t="str">
        <f ca="1">IFERROR(__xludf.DUMMYFUNCTION("""COMPUTED_VALUE"""),"J")</f>
        <v>J</v>
      </c>
      <c r="G649" s="3">
        <f ca="1">IFERROR(__xludf.DUMMYFUNCTION("""COMPUTED_VALUE"""),0)</f>
        <v>0</v>
      </c>
      <c r="H649" s="3" t="str">
        <f ca="1">IFERROR(__xludf.DUMMYFUNCTION("""COMPUTED_VALUE"""),"bicycle")</f>
        <v>bicycle</v>
      </c>
      <c r="I649" s="3" t="str">
        <f ca="1">IFERROR(__xludf.DUMMYFUNCTION("""COMPUTED_VALUE"""),"2055-06-01T21:53:32.03603Z")</f>
        <v>2055-06-01T21:53:32.03603Z</v>
      </c>
      <c r="J649" s="3" t="str">
        <f ca="1">IFERROR(__xludf.DUMMYFUNCTION("""COMPUTED_VALUE"""),"2055-06-01T22:48:40.1Z")</f>
        <v>2055-06-01T22:48:40.1Z</v>
      </c>
      <c r="K649" s="3" t="str">
        <f ca="1">IFERROR(__xludf.DUMMYFUNCTION("""COMPUTED_VALUE"""),"2055-06-01T22:28:33.1Z")</f>
        <v>2055-06-01T22:28:33.1Z</v>
      </c>
      <c r="L649" s="3">
        <f ca="1">IFERROR(__xludf.DUMMYFUNCTION("""COMPUTED_VALUE"""),1)</f>
        <v>1</v>
      </c>
      <c r="M649" s="3">
        <f ca="1">IFERROR(__xludf.DUMMYFUNCTION("""COMPUTED_VALUE"""),0)</f>
        <v>0</v>
      </c>
      <c r="N649" s="3" t="str">
        <f ca="1">IFERROR(__xludf.DUMMYFUNCTION("""COMPUTED_VALUE"""),"2055-06-01T22:18:24.098185Z")</f>
        <v>2055-06-01T22:18:24.098185Z</v>
      </c>
      <c r="O649" s="3" t="str">
        <f ca="1">IFERROR(__xludf.DUMMYFUNCTION("""COMPUTED_VALUE"""),"2055-06-01T22:37:42.08601Z")</f>
        <v>2055-06-01T22:37:42.08601Z</v>
      </c>
      <c r="P649" s="3" t="str">
        <f ca="1">IFERROR(__xludf.DUMMYFUNCTION("""COMPUTED_VALUE"""),"2055-06-01T22:09:14.50097Z")</f>
        <v>2055-06-01T22:09:14.50097Z</v>
      </c>
      <c r="Q649" s="3">
        <f ca="1">IFERROR(__xludf.DUMMYFUNCTION("""COMPUTED_VALUE"""),0)</f>
        <v>0</v>
      </c>
      <c r="R649" s="3" t="str">
        <f ca="1">IFERROR(__xludf.DUMMYFUNCTION("""COMPUTED_VALUE"""),"2055-06-01T22:09:18.175797Z")</f>
        <v>2055-06-01T22:09:18.175797Z</v>
      </c>
      <c r="S649" s="3" t="str">
        <f ca="1">IFERROR(__xludf.DUMMYFUNCTION("""COMPUTED_VALUE"""),"2055-06-01T22:20:41.977527Z")</f>
        <v>2055-06-01T22:20:41.977527Z</v>
      </c>
      <c r="T649" s="3"/>
      <c r="U649" s="4">
        <f ca="1">IFERROR(__xludf.DUMMYFUNCTION("""COMPUTED_VALUE"""),56766)</f>
        <v>56766</v>
      </c>
      <c r="V649" s="3">
        <f ca="1">IFERROR(__xludf.DUMMYFUNCTION("""COMPUTED_VALUE"""),2.971304843)</f>
        <v>2.971304843</v>
      </c>
      <c r="W649" s="3">
        <f ca="1">IFERROR(__xludf.DUMMYFUNCTION("""COMPUTED_VALUE"""),2000)</f>
        <v>2000</v>
      </c>
      <c r="X649" s="3">
        <f ca="1">IFERROR(__xludf.DUMMYFUNCTION("""COMPUTED_VALUE"""),1704)</f>
        <v>1704</v>
      </c>
      <c r="Y649" s="3">
        <f ca="1">IFERROR(__xludf.DUMMYFUNCTION("""COMPUTED_VALUE"""),683)</f>
        <v>683</v>
      </c>
      <c r="Z649" s="3"/>
      <c r="AA649" s="3">
        <f ca="1">IFERROR(__xludf.DUMMYFUNCTION("""COMPUTED_VALUE"""),1158)</f>
        <v>1158</v>
      </c>
      <c r="AB649" s="3">
        <f ca="1">IFERROR(__xludf.DUMMYFUNCTION("""COMPUTED_VALUE"""),0)</f>
        <v>0</v>
      </c>
      <c r="AC649" s="3">
        <f ca="1">IFERROR(__xludf.DUMMYFUNCTION("""COMPUTED_VALUE"""),1)</f>
        <v>1</v>
      </c>
      <c r="AD649" s="3" t="str">
        <f ca="1">IFERROR(__xludf.DUMMYFUNCTION("""COMPUTED_VALUE"""),"late")</f>
        <v>late</v>
      </c>
      <c r="AE649" s="3" t="str">
        <f ca="1">IFERROR(__xludf.DUMMYFUNCTION("""COMPUTED_VALUE"""),"2055-06-01T18:18:24.098185Z")</f>
        <v>2055-06-01T18:18:24.098185Z</v>
      </c>
      <c r="AF649" s="3" t="str">
        <f ca="1">IFERROR(__xludf.DUMMYFUNCTION("""COMPUTED_VALUE"""),"2055-06-01T18:37:42.08601Z")</f>
        <v>2055-06-01T18:37:42.08601Z</v>
      </c>
      <c r="AG649" s="3" t="str">
        <f ca="1">IFERROR(__xludf.DUMMYFUNCTION("""COMPUTED_VALUE"""),"2055-06-01T18:09:14.50097Z")</f>
        <v>2055-06-01T18:09:14.50097Z</v>
      </c>
      <c r="AH649" s="3" t="str">
        <f ca="1">IFERROR(__xludf.DUMMYFUNCTION("""COMPUTED_VALUE"""),"2055-06-01T18:20:41.977527Z")</f>
        <v>2055-06-01T18:20:41.977527Z</v>
      </c>
      <c r="AI649" s="3">
        <f ca="1">IFERROR(__xludf.DUMMYFUNCTION("""COMPUTED_VALUE"""),4.6)</f>
        <v>4.5999999999999996</v>
      </c>
      <c r="AJ649" s="3">
        <f ca="1">IFERROR(__xludf.DUMMYFUNCTION("""COMPUTED_VALUE"""),292)</f>
        <v>292</v>
      </c>
      <c r="AK649" s="3">
        <f ca="1">IFERROR(__xludf.DUMMYFUNCTION("""COMPUTED_VALUE"""),1027)</f>
        <v>1027</v>
      </c>
      <c r="AL649" s="3">
        <f ca="1">IFERROR(__xludf.DUMMYFUNCTION("""COMPUTED_VALUE"""),26)</f>
        <v>26</v>
      </c>
    </row>
    <row r="650" spans="1:38" ht="13">
      <c r="A650" s="3">
        <f ca="1">IFERROR(__xludf.DUMMYFUNCTION("""COMPUTED_VALUE"""),365)</f>
        <v>365</v>
      </c>
      <c r="B650" s="3">
        <f ca="1">IFERROR(__xludf.DUMMYFUNCTION("""COMPUTED_VALUE"""),5)</f>
        <v>5</v>
      </c>
      <c r="C650" s="3">
        <f ca="1">IFERROR(__xludf.DUMMYFUNCTION("""COMPUTED_VALUE"""),4001)</f>
        <v>4001</v>
      </c>
      <c r="D650" s="3" t="str">
        <f ca="1">IFERROR(__xludf.DUMMYFUNCTION("""COMPUTED_VALUE"""),"Dashattan")</f>
        <v>Dashattan</v>
      </c>
      <c r="E650" s="3" t="str">
        <f ca="1">IFERROR(__xludf.DUMMYFUNCTION("""COMPUTED_VALUE"""),"Galaxy A")</f>
        <v>Galaxy A</v>
      </c>
      <c r="F650" s="3" t="str">
        <f ca="1">IFERROR(__xludf.DUMMYFUNCTION("""COMPUTED_VALUE"""),"Zak")</f>
        <v>Zak</v>
      </c>
      <c r="G650" s="3">
        <f ca="1">IFERROR(__xludf.DUMMYFUNCTION("""COMPUTED_VALUE"""),0)</f>
        <v>0</v>
      </c>
      <c r="H650" s="3" t="str">
        <f ca="1">IFERROR(__xludf.DUMMYFUNCTION("""COMPUTED_VALUE"""),"bicycle")</f>
        <v>bicycle</v>
      </c>
      <c r="I650" s="3" t="str">
        <f ca="1">IFERROR(__xludf.DUMMYFUNCTION("""COMPUTED_VALUE"""),"2055-06-03T23:31:16.810041Z")</f>
        <v>2055-06-03T23:31:16.810041Z</v>
      </c>
      <c r="J650" s="3" t="str">
        <f ca="1">IFERROR(__xludf.DUMMYFUNCTION("""COMPUTED_VALUE"""),"2055-06-04T00:19:01.871Z")</f>
        <v>2055-06-04T00:19:01.871Z</v>
      </c>
      <c r="K650" s="3" t="str">
        <f ca="1">IFERROR(__xludf.DUMMYFUNCTION("""COMPUTED_VALUE"""),"2055-06-04T00:00:08.871Z")</f>
        <v>2055-06-04T00:00:08.871Z</v>
      </c>
      <c r="L650" s="3">
        <f ca="1">IFERROR(__xludf.DUMMYFUNCTION("""COMPUTED_VALUE"""),1)</f>
        <v>1</v>
      </c>
      <c r="M650" s="3">
        <f ca="1">IFERROR(__xludf.DUMMYFUNCTION("""COMPUTED_VALUE"""),0)</f>
        <v>0</v>
      </c>
      <c r="N650" s="3" t="str">
        <f ca="1">IFERROR(__xludf.DUMMYFUNCTION("""COMPUTED_VALUE"""),"2055-06-03T23:42:32.196531Z")</f>
        <v>2055-06-03T23:42:32.196531Z</v>
      </c>
      <c r="O650" s="3" t="str">
        <f ca="1">IFERROR(__xludf.DUMMYFUNCTION("""COMPUTED_VALUE"""),"2055-06-04T00:02:27.764568Z")</f>
        <v>2055-06-04T00:02:27.764568Z</v>
      </c>
      <c r="P650" s="3" t="str">
        <f ca="1">IFERROR(__xludf.DUMMYFUNCTION("""COMPUTED_VALUE"""),"2055-06-03T23:35:56.715772Z")</f>
        <v>2055-06-03T23:35:56.715772Z</v>
      </c>
      <c r="Q650" s="3">
        <f ca="1">IFERROR(__xludf.DUMMYFUNCTION("""COMPUTED_VALUE"""),0)</f>
        <v>0</v>
      </c>
      <c r="R650" s="3" t="str">
        <f ca="1">IFERROR(__xludf.DUMMYFUNCTION("""COMPUTED_VALUE"""),"2055-06-03T23:36:09.65326Z")</f>
        <v>2055-06-03T23:36:09.65326Z</v>
      </c>
      <c r="S650" s="3" t="str">
        <f ca="1">IFERROR(__xludf.DUMMYFUNCTION("""COMPUTED_VALUE"""),"2055-06-03T23:43:51.843692Z")</f>
        <v>2055-06-03T23:43:51.843692Z</v>
      </c>
      <c r="T650" s="3"/>
      <c r="U650" s="4">
        <f ca="1">IFERROR(__xludf.DUMMYFUNCTION("""COMPUTED_VALUE"""),56768)</f>
        <v>56768</v>
      </c>
      <c r="V650" s="3">
        <f ca="1">IFERROR(__xludf.DUMMYFUNCTION("""COMPUTED_VALUE"""),3.649797111)</f>
        <v>3.6497971109999998</v>
      </c>
      <c r="W650" s="3">
        <f ca="1">IFERROR(__xludf.DUMMYFUNCTION("""COMPUTED_VALUE"""),2000)</f>
        <v>2000</v>
      </c>
      <c r="X650" s="3">
        <f ca="1">IFERROR(__xludf.DUMMYFUNCTION("""COMPUTED_VALUE"""),1578)</f>
        <v>1578</v>
      </c>
      <c r="Y650" s="3">
        <f ca="1">IFERROR(__xludf.DUMMYFUNCTION("""COMPUTED_VALUE"""),462)</f>
        <v>462</v>
      </c>
      <c r="Z650" s="3"/>
      <c r="AA650" s="3">
        <f ca="1">IFERROR(__xludf.DUMMYFUNCTION("""COMPUTED_VALUE"""),1195)</f>
        <v>1195</v>
      </c>
      <c r="AB650" s="3">
        <f ca="1">IFERROR(__xludf.DUMMYFUNCTION("""COMPUTED_VALUE"""),0)</f>
        <v>0</v>
      </c>
      <c r="AC650" s="3">
        <f ca="1">IFERROR(__xludf.DUMMYFUNCTION("""COMPUTED_VALUE"""),2)</f>
        <v>2</v>
      </c>
      <c r="AD650" s="3" t="str">
        <f ca="1">IFERROR(__xludf.DUMMYFUNCTION("""COMPUTED_VALUE"""),"on time")</f>
        <v>on time</v>
      </c>
      <c r="AE650" s="3" t="str">
        <f ca="1">IFERROR(__xludf.DUMMYFUNCTION("""COMPUTED_VALUE"""),"2055-06-03T19:42:32.196531Z")</f>
        <v>2055-06-03T19:42:32.196531Z</v>
      </c>
      <c r="AF650" s="3" t="str">
        <f ca="1">IFERROR(__xludf.DUMMYFUNCTION("""COMPUTED_VALUE"""),"2055-06-03T20:02:27.764568Z")</f>
        <v>2055-06-03T20:02:27.764568Z</v>
      </c>
      <c r="AG650" s="3" t="str">
        <f ca="1">IFERROR(__xludf.DUMMYFUNCTION("""COMPUTED_VALUE"""),"2055-06-03T19:35:56.715772Z")</f>
        <v>2055-06-03T19:35:56.715772Z</v>
      </c>
      <c r="AH650" s="3" t="str">
        <f ca="1">IFERROR(__xludf.DUMMYFUNCTION("""COMPUTED_VALUE"""),"2055-06-03T19:43:51.843692Z")</f>
        <v>2055-06-03T19:43:51.843692Z</v>
      </c>
      <c r="AI650" s="3">
        <f ca="1">IFERROR(__xludf.DUMMYFUNCTION("""COMPUTED_VALUE"""),4.63)</f>
        <v>4.63</v>
      </c>
      <c r="AJ650" s="3">
        <f ca="1">IFERROR(__xludf.DUMMYFUNCTION("""COMPUTED_VALUE"""),265)</f>
        <v>265</v>
      </c>
      <c r="AK650" s="3">
        <f ca="1">IFERROR(__xludf.DUMMYFUNCTION("""COMPUTED_VALUE"""),905)</f>
        <v>905</v>
      </c>
      <c r="AL650" s="3">
        <f ca="1">IFERROR(__xludf.DUMMYFUNCTION("""COMPUTED_VALUE"""),77)</f>
        <v>77</v>
      </c>
    </row>
    <row r="651" spans="1:38" ht="13">
      <c r="A651" s="3">
        <f ca="1">IFERROR(__xludf.DUMMYFUNCTION("""COMPUTED_VALUE"""),756)</f>
        <v>756</v>
      </c>
      <c r="B651" s="3"/>
      <c r="C651" s="3">
        <f ca="1">IFERROR(__xludf.DUMMYFUNCTION("""COMPUTED_VALUE"""),4050)</f>
        <v>4050</v>
      </c>
      <c r="D651" s="3" t="str">
        <f ca="1">IFERROR(__xludf.DUMMYFUNCTION("""COMPUTED_VALUE"""),"Doorlanta")</f>
        <v>Doorlanta</v>
      </c>
      <c r="E651" s="3" t="str">
        <f ca="1">IFERROR(__xludf.DUMMYFUNCTION("""COMPUTED_VALUE"""),"Galaxy A")</f>
        <v>Galaxy A</v>
      </c>
      <c r="F651" s="3" t="str">
        <f ca="1">IFERROR(__xludf.DUMMYFUNCTION("""COMPUTED_VALUE"""),"Joe")</f>
        <v>Joe</v>
      </c>
      <c r="G651" s="3">
        <f ca="1">IFERROR(__xludf.DUMMYFUNCTION("""COMPUTED_VALUE"""),0)</f>
        <v>0</v>
      </c>
      <c r="H651" s="3" t="str">
        <f ca="1">IFERROR(__xludf.DUMMYFUNCTION("""COMPUTED_VALUE"""),"car")</f>
        <v>car</v>
      </c>
      <c r="I651" s="3" t="str">
        <f ca="1">IFERROR(__xludf.DUMMYFUNCTION("""COMPUTED_VALUE"""),"2055-06-06T19:03:23.867249Z")</f>
        <v>2055-06-06T19:03:23.867249Z</v>
      </c>
      <c r="J651" s="3" t="str">
        <f ca="1">IFERROR(__xludf.DUMMYFUNCTION("""COMPUTED_VALUE"""),"2055-06-06T20:13:44.931Z")</f>
        <v>2055-06-06T20:13:44.931Z</v>
      </c>
      <c r="K651" s="3" t="str">
        <f ca="1">IFERROR(__xludf.DUMMYFUNCTION("""COMPUTED_VALUE"""),"2055-06-06T19:55:31.931Z")</f>
        <v>2055-06-06T19:55:31.931Z</v>
      </c>
      <c r="L651" s="3">
        <f ca="1">IFERROR(__xludf.DUMMYFUNCTION("""COMPUTED_VALUE"""),1)</f>
        <v>1</v>
      </c>
      <c r="M651" s="3">
        <f ca="1">IFERROR(__xludf.DUMMYFUNCTION("""COMPUTED_VALUE"""),0)</f>
        <v>0</v>
      </c>
      <c r="N651" s="3" t="str">
        <f ca="1">IFERROR(__xludf.DUMMYFUNCTION("""COMPUTED_VALUE"""),"2055-06-06T19:49:16.068972Z")</f>
        <v>2055-06-06T19:49:16.068972Z</v>
      </c>
      <c r="O651" s="3" t="str">
        <f ca="1">IFERROR(__xludf.DUMMYFUNCTION("""COMPUTED_VALUE"""),"2055-06-06T20:08:29.504322Z")</f>
        <v>2055-06-06T20:08:29.504322Z</v>
      </c>
      <c r="P651" s="3" t="str">
        <f ca="1">IFERROR(__xludf.DUMMYFUNCTION("""COMPUTED_VALUE"""),"2055-06-06T19:05:27.288678Z")</f>
        <v>2055-06-06T19:05:27.288678Z</v>
      </c>
      <c r="Q651" s="3">
        <f ca="1">IFERROR(__xludf.DUMMYFUNCTION("""COMPUTED_VALUE"""),0)</f>
        <v>0</v>
      </c>
      <c r="R651" s="3" t="str">
        <f ca="1">IFERROR(__xludf.DUMMYFUNCTION("""COMPUTED_VALUE"""),"2055-06-06T19:05:49.058899Z")</f>
        <v>2055-06-06T19:05:49.058899Z</v>
      </c>
      <c r="S651" s="3" t="str">
        <f ca="1">IFERROR(__xludf.DUMMYFUNCTION("""COMPUTED_VALUE"""),"2055-06-06T19:45:36.614913Z")</f>
        <v>2055-06-06T19:45:36.614913Z</v>
      </c>
      <c r="T651" s="3"/>
      <c r="U651" s="4">
        <f ca="1">IFERROR(__xludf.DUMMYFUNCTION("""COMPUTED_VALUE"""),56771)</f>
        <v>56771</v>
      </c>
      <c r="V651" s="3">
        <f ca="1">IFERROR(__xludf.DUMMYFUNCTION("""COMPUTED_VALUE"""),4.8)</f>
        <v>4.8</v>
      </c>
      <c r="W651" s="3">
        <f ca="1">IFERROR(__xludf.DUMMYFUNCTION("""COMPUTED_VALUE"""),2000)</f>
        <v>2000</v>
      </c>
      <c r="X651" s="3">
        <f ca="1">IFERROR(__xludf.DUMMYFUNCTION("""COMPUTED_VALUE"""),3760)</f>
        <v>3760</v>
      </c>
      <c r="Y651" s="3">
        <f ca="1">IFERROR(__xludf.DUMMYFUNCTION("""COMPUTED_VALUE"""),2387)</f>
        <v>2387</v>
      </c>
      <c r="Z651" s="3">
        <f ca="1">IFERROR(__xludf.DUMMYFUNCTION("""COMPUTED_VALUE"""),220)</f>
        <v>220</v>
      </c>
      <c r="AA651" s="3">
        <f ca="1">IFERROR(__xludf.DUMMYFUNCTION("""COMPUTED_VALUE"""),1153)</f>
        <v>1153</v>
      </c>
      <c r="AB651" s="3">
        <f ca="1">IFERROR(__xludf.DUMMYFUNCTION("""COMPUTED_VALUE"""),0)</f>
        <v>0</v>
      </c>
      <c r="AC651" s="3">
        <f ca="1">IFERROR(__xludf.DUMMYFUNCTION("""COMPUTED_VALUE"""),2)</f>
        <v>2</v>
      </c>
      <c r="AD651" s="3" t="str">
        <f ca="1">IFERROR(__xludf.DUMMYFUNCTION("""COMPUTED_VALUE"""),"late")</f>
        <v>late</v>
      </c>
      <c r="AE651" s="3" t="str">
        <f ca="1">IFERROR(__xludf.DUMMYFUNCTION("""COMPUTED_VALUE"""),"2055-06-06T15:49:16.068972Z")</f>
        <v>2055-06-06T15:49:16.068972Z</v>
      </c>
      <c r="AF651" s="3" t="str">
        <f ca="1">IFERROR(__xludf.DUMMYFUNCTION("""COMPUTED_VALUE"""),"2055-06-06T16:08:29.504322Z")</f>
        <v>2055-06-06T16:08:29.504322Z</v>
      </c>
      <c r="AG651" s="3" t="str">
        <f ca="1">IFERROR(__xludf.DUMMYFUNCTION("""COMPUTED_VALUE"""),"2055-06-06T15:05:27.288678Z")</f>
        <v>2055-06-06T15:05:27.288678Z</v>
      </c>
      <c r="AH651" s="3" t="str">
        <f ca="1">IFERROR(__xludf.DUMMYFUNCTION("""COMPUTED_VALUE"""),"2055-06-06T15:45:36.614913Z")</f>
        <v>2055-06-06T15:45:36.614913Z</v>
      </c>
      <c r="AI651" s="3">
        <f ca="1">IFERROR(__xludf.DUMMYFUNCTION("""COMPUTED_VALUE"""),4.38)</f>
        <v>4.38</v>
      </c>
      <c r="AJ651" s="3">
        <f ca="1">IFERROR(__xludf.DUMMYFUNCTION("""COMPUTED_VALUE"""),196)</f>
        <v>196</v>
      </c>
      <c r="AK651" s="3">
        <f ca="1">IFERROR(__xludf.DUMMYFUNCTION("""COMPUTED_VALUE"""),626)</f>
        <v>626</v>
      </c>
      <c r="AL651" s="3"/>
    </row>
    <row r="652" spans="1:38" ht="13">
      <c r="A652" s="3">
        <f ca="1">IFERROR(__xludf.DUMMYFUNCTION("""COMPUTED_VALUE"""),260)</f>
        <v>260</v>
      </c>
      <c r="B652" s="3"/>
      <c r="C652" s="3">
        <f ca="1">IFERROR(__xludf.DUMMYFUNCTION("""COMPUTED_VALUE"""),4001)</f>
        <v>4001</v>
      </c>
      <c r="D652" s="3" t="str">
        <f ca="1">IFERROR(__xludf.DUMMYFUNCTION("""COMPUTED_VALUE"""),"Dashattan")</f>
        <v>Dashattan</v>
      </c>
      <c r="E652" s="3" t="str">
        <f ca="1">IFERROR(__xludf.DUMMYFUNCTION("""COMPUTED_VALUE"""),"Galaxy A")</f>
        <v>Galaxy A</v>
      </c>
      <c r="F652" s="3" t="str">
        <f ca="1">IFERROR(__xludf.DUMMYFUNCTION("""COMPUTED_VALUE"""),"Bunje")</f>
        <v>Bunje</v>
      </c>
      <c r="G652" s="3">
        <f ca="1">IFERROR(__xludf.DUMMYFUNCTION("""COMPUTED_VALUE"""),0)</f>
        <v>0</v>
      </c>
      <c r="H652" s="3" t="str">
        <f ca="1">IFERROR(__xludf.DUMMYFUNCTION("""COMPUTED_VALUE"""),"bicycle")</f>
        <v>bicycle</v>
      </c>
      <c r="I652" s="3" t="str">
        <f ca="1">IFERROR(__xludf.DUMMYFUNCTION("""COMPUTED_VALUE"""),"2055-06-03T14:49:16.086585Z")</f>
        <v>2055-06-03T14:49:16.086585Z</v>
      </c>
      <c r="J652" s="3" t="str">
        <f ca="1">IFERROR(__xludf.DUMMYFUNCTION("""COMPUTED_VALUE"""),"2055-06-03T16:15:00Z")</f>
        <v>2055-06-03T16:15:00Z</v>
      </c>
      <c r="K652" s="3" t="str">
        <f ca="1">IFERROR(__xludf.DUMMYFUNCTION("""COMPUTED_VALUE"""),"2055-06-03T16:15:00Z")</f>
        <v>2055-06-03T16:15:00Z</v>
      </c>
      <c r="L652" s="3">
        <f ca="1">IFERROR(__xludf.DUMMYFUNCTION("""COMPUTED_VALUE"""),0)</f>
        <v>0</v>
      </c>
      <c r="M652" s="3">
        <f ca="1">IFERROR(__xludf.DUMMYFUNCTION("""COMPUTED_VALUE"""),0)</f>
        <v>0</v>
      </c>
      <c r="N652" s="3" t="str">
        <f ca="1">IFERROR(__xludf.DUMMYFUNCTION("""COMPUTED_VALUE"""),"2055-06-03T15:55:02.169411Z")</f>
        <v>2055-06-03T15:55:02.169411Z</v>
      </c>
      <c r="O652" s="3" t="str">
        <f ca="1">IFERROR(__xludf.DUMMYFUNCTION("""COMPUTED_VALUE"""),"2055-06-03T16:16:59.657647Z")</f>
        <v>2055-06-03T16:16:59.657647Z</v>
      </c>
      <c r="P652" s="3" t="str">
        <f ca="1">IFERROR(__xludf.DUMMYFUNCTION("""COMPUTED_VALUE"""),"2055-06-03T15:23:54.303453Z")</f>
        <v>2055-06-03T15:23:54.303453Z</v>
      </c>
      <c r="Q652" s="3">
        <f ca="1">IFERROR(__xludf.DUMMYFUNCTION("""COMPUTED_VALUE"""),0)</f>
        <v>0</v>
      </c>
      <c r="R652" s="3" t="str">
        <f ca="1">IFERROR(__xludf.DUMMYFUNCTION("""COMPUTED_VALUE"""),"2055-06-03T15:25:14.579382Z")</f>
        <v>2055-06-03T15:25:14.579382Z</v>
      </c>
      <c r="S652" s="3" t="str">
        <f ca="1">IFERROR(__xludf.DUMMYFUNCTION("""COMPUTED_VALUE"""),"2055-06-03T15:37:41.341616Z")</f>
        <v>2055-06-03T15:37:41.341616Z</v>
      </c>
      <c r="T652" s="3"/>
      <c r="U652" s="4">
        <f ca="1">IFERROR(__xludf.DUMMYFUNCTION("""COMPUTED_VALUE"""),56768)</f>
        <v>56768</v>
      </c>
      <c r="V652" s="3">
        <f ca="1">IFERROR(__xludf.DUMMYFUNCTION("""COMPUTED_VALUE"""),4.2)</f>
        <v>4.2</v>
      </c>
      <c r="W652" s="3">
        <f ca="1">IFERROR(__xludf.DUMMYFUNCTION("""COMPUTED_VALUE"""),2000)</f>
        <v>2000</v>
      </c>
      <c r="X652" s="3">
        <f ca="1">IFERROR(__xludf.DUMMYFUNCTION("""COMPUTED_VALUE"""),3105)</f>
        <v>3105</v>
      </c>
      <c r="Y652" s="3">
        <f ca="1">IFERROR(__xludf.DUMMYFUNCTION("""COMPUTED_VALUE"""),747)</f>
        <v>747</v>
      </c>
      <c r="Z652" s="3">
        <f ca="1">IFERROR(__xludf.DUMMYFUNCTION("""COMPUTED_VALUE"""),1041)</f>
        <v>1041</v>
      </c>
      <c r="AA652" s="3">
        <f ca="1">IFERROR(__xludf.DUMMYFUNCTION("""COMPUTED_VALUE"""),1317)</f>
        <v>1317</v>
      </c>
      <c r="AB652" s="3">
        <f ca="1">IFERROR(__xludf.DUMMYFUNCTION("""COMPUTED_VALUE"""),0)</f>
        <v>0</v>
      </c>
      <c r="AC652" s="3">
        <f ca="1">IFERROR(__xludf.DUMMYFUNCTION("""COMPUTED_VALUE"""),4)</f>
        <v>4</v>
      </c>
      <c r="AD652" s="3" t="str">
        <f ca="1">IFERROR(__xludf.DUMMYFUNCTION("""COMPUTED_VALUE"""),"early")</f>
        <v>early</v>
      </c>
      <c r="AE652" s="3" t="str">
        <f ca="1">IFERROR(__xludf.DUMMYFUNCTION("""COMPUTED_VALUE"""),"2055-06-03T11:55:02.169411Z")</f>
        <v>2055-06-03T11:55:02.169411Z</v>
      </c>
      <c r="AF652" s="3" t="str">
        <f ca="1">IFERROR(__xludf.DUMMYFUNCTION("""COMPUTED_VALUE"""),"2055-06-03T12:16:59.657647Z")</f>
        <v>2055-06-03T12:16:59.657647Z</v>
      </c>
      <c r="AG652" s="3" t="str">
        <f ca="1">IFERROR(__xludf.DUMMYFUNCTION("""COMPUTED_VALUE"""),"2055-06-03T11:23:54.303453Z")</f>
        <v>2055-06-03T11:23:54.303453Z</v>
      </c>
      <c r="AH652" s="3" t="str">
        <f ca="1">IFERROR(__xludf.DUMMYFUNCTION("""COMPUTED_VALUE"""),"2055-06-03T11:37:41.341616Z")</f>
        <v>2055-06-03T11:37:41.341616Z</v>
      </c>
      <c r="AI652" s="3">
        <f ca="1">IFERROR(__xludf.DUMMYFUNCTION("""COMPUTED_VALUE"""),4.7)</f>
        <v>4.7</v>
      </c>
      <c r="AJ652" s="3">
        <f ca="1">IFERROR(__xludf.DUMMYFUNCTION("""COMPUTED_VALUE"""),443)</f>
        <v>443</v>
      </c>
      <c r="AK652" s="3">
        <f ca="1">IFERROR(__xludf.DUMMYFUNCTION("""COMPUTED_VALUE"""),1579)</f>
        <v>1579</v>
      </c>
      <c r="AL652" s="3"/>
    </row>
    <row r="653" spans="1:38" ht="13">
      <c r="A653" s="3">
        <f ca="1">IFERROR(__xludf.DUMMYFUNCTION("""COMPUTED_VALUE"""),417)</f>
        <v>417</v>
      </c>
      <c r="B653" s="3">
        <f ca="1">IFERROR(__xludf.DUMMYFUNCTION("""COMPUTED_VALUE"""),5)</f>
        <v>5</v>
      </c>
      <c r="C653" s="3">
        <f ca="1">IFERROR(__xludf.DUMMYFUNCTION("""COMPUTED_VALUE"""),4050)</f>
        <v>4050</v>
      </c>
      <c r="D653" s="3" t="str">
        <f ca="1">IFERROR(__xludf.DUMMYFUNCTION("""COMPUTED_VALUE"""),"Doorlanta")</f>
        <v>Doorlanta</v>
      </c>
      <c r="E653" s="3" t="str">
        <f ca="1">IFERROR(__xludf.DUMMYFUNCTION("""COMPUTED_VALUE"""),"Galaxy A")</f>
        <v>Galaxy A</v>
      </c>
      <c r="F653" s="3" t="str">
        <f ca="1">IFERROR(__xludf.DUMMYFUNCTION("""COMPUTED_VALUE"""),"Matthew")</f>
        <v>Matthew</v>
      </c>
      <c r="G653" s="3">
        <f ca="1">IFERROR(__xludf.DUMMYFUNCTION("""COMPUTED_VALUE"""),0)</f>
        <v>0</v>
      </c>
      <c r="H653" s="3" t="str">
        <f ca="1">IFERROR(__xludf.DUMMYFUNCTION("""COMPUTED_VALUE"""),"car")</f>
        <v>car</v>
      </c>
      <c r="I653" s="3" t="str">
        <f ca="1">IFERROR(__xludf.DUMMYFUNCTION("""COMPUTED_VALUE"""),"2055-06-04T16:50:21.472295Z")</f>
        <v>2055-06-04T16:50:21.472295Z</v>
      </c>
      <c r="J653" s="3" t="str">
        <f ca="1">IFERROR(__xludf.DUMMYFUNCTION("""COMPUTED_VALUE"""),"2055-06-04T17:56:44.545Z")</f>
        <v>2055-06-04T17:56:44.545Z</v>
      </c>
      <c r="K653" s="3" t="str">
        <f ca="1">IFERROR(__xludf.DUMMYFUNCTION("""COMPUTED_VALUE"""),"2055-06-04T17:33:26.545Z")</f>
        <v>2055-06-04T17:33:26.545Z</v>
      </c>
      <c r="L653" s="3">
        <f ca="1">IFERROR(__xludf.DUMMYFUNCTION("""COMPUTED_VALUE"""),1)</f>
        <v>1</v>
      </c>
      <c r="M653" s="3">
        <f ca="1">IFERROR(__xludf.DUMMYFUNCTION("""COMPUTED_VALUE"""),0)</f>
        <v>0</v>
      </c>
      <c r="N653" s="3" t="str">
        <f ca="1">IFERROR(__xludf.DUMMYFUNCTION("""COMPUTED_VALUE"""),"2055-06-04T17:10:21.388428Z")</f>
        <v>2055-06-04T17:10:21.388428Z</v>
      </c>
      <c r="O653" s="3" t="str">
        <f ca="1">IFERROR(__xludf.DUMMYFUNCTION("""COMPUTED_VALUE"""),"2055-06-04T17:31:57.056835Z")</f>
        <v>2055-06-04T17:31:57.056835Z</v>
      </c>
      <c r="P653" s="3" t="str">
        <f ca="1">IFERROR(__xludf.DUMMYFUNCTION("""COMPUTED_VALUE"""),"2055-06-04T16:56:47.465123Z")</f>
        <v>2055-06-04T16:56:47.465123Z</v>
      </c>
      <c r="Q653" s="3">
        <f ca="1">IFERROR(__xludf.DUMMYFUNCTION("""COMPUTED_VALUE"""),0)</f>
        <v>0</v>
      </c>
      <c r="R653" s="3" t="str">
        <f ca="1">IFERROR(__xludf.DUMMYFUNCTION("""COMPUTED_VALUE"""),"2055-06-04T16:56:55.844574Z")</f>
        <v>2055-06-04T16:56:55.844574Z</v>
      </c>
      <c r="S653" s="3" t="str">
        <f ca="1">IFERROR(__xludf.DUMMYFUNCTION("""COMPUTED_VALUE"""),"2055-06-04T17:02:58.837215Z")</f>
        <v>2055-06-04T17:02:58.837215Z</v>
      </c>
      <c r="T653" s="3"/>
      <c r="U653" s="4">
        <f ca="1">IFERROR(__xludf.DUMMYFUNCTION("""COMPUTED_VALUE"""),56769)</f>
        <v>56769</v>
      </c>
      <c r="V653" s="3">
        <f ca="1">IFERROR(__xludf.DUMMYFUNCTION("""COMPUTED_VALUE"""),4.6)</f>
        <v>4.5999999999999996</v>
      </c>
      <c r="W653" s="3">
        <f ca="1">IFERROR(__xludf.DUMMYFUNCTION("""COMPUTED_VALUE"""),2000)</f>
        <v>2000</v>
      </c>
      <c r="X653" s="3">
        <f ca="1">IFERROR(__xludf.DUMMYFUNCTION("""COMPUTED_VALUE"""),2102)</f>
        <v>2102</v>
      </c>
      <c r="Y653" s="3">
        <f ca="1">IFERROR(__xludf.DUMMYFUNCTION("""COMPUTED_VALUE"""),363)</f>
        <v>363</v>
      </c>
      <c r="Z653" s="3">
        <f ca="1">IFERROR(__xludf.DUMMYFUNCTION("""COMPUTED_VALUE"""),443)</f>
        <v>443</v>
      </c>
      <c r="AA653" s="3">
        <f ca="1">IFERROR(__xludf.DUMMYFUNCTION("""COMPUTED_VALUE"""),1296)</f>
        <v>1296</v>
      </c>
      <c r="AB653" s="3">
        <f ca="1">IFERROR(__xludf.DUMMYFUNCTION("""COMPUTED_VALUE"""),0)</f>
        <v>0</v>
      </c>
      <c r="AC653" s="3">
        <f ca="1">IFERROR(__xludf.DUMMYFUNCTION("""COMPUTED_VALUE"""),7)</f>
        <v>7</v>
      </c>
      <c r="AD653" s="3" t="str">
        <f ca="1">IFERROR(__xludf.DUMMYFUNCTION("""COMPUTED_VALUE"""),"on time")</f>
        <v>on time</v>
      </c>
      <c r="AE653" s="3" t="str">
        <f ca="1">IFERROR(__xludf.DUMMYFUNCTION("""COMPUTED_VALUE"""),"2055-06-04T13:10:21.388428Z")</f>
        <v>2055-06-04T13:10:21.388428Z</v>
      </c>
      <c r="AF653" s="3" t="str">
        <f ca="1">IFERROR(__xludf.DUMMYFUNCTION("""COMPUTED_VALUE"""),"2055-06-04T13:31:57.056835Z")</f>
        <v>2055-06-04T13:31:57.056835Z</v>
      </c>
      <c r="AG653" s="3" t="str">
        <f ca="1">IFERROR(__xludf.DUMMYFUNCTION("""COMPUTED_VALUE"""),"2055-06-04T12:56:47.465123Z")</f>
        <v>2055-06-04T12:56:47.465123Z</v>
      </c>
      <c r="AH653" s="3" t="str">
        <f ca="1">IFERROR(__xludf.DUMMYFUNCTION("""COMPUTED_VALUE"""),"2055-06-04T13:02:58.837215Z")</f>
        <v>2055-06-04T13:02:58.837215Z</v>
      </c>
      <c r="AI653" s="3">
        <f ca="1">IFERROR(__xludf.DUMMYFUNCTION("""COMPUTED_VALUE"""),4.411111111)</f>
        <v>4.4111111110000003</v>
      </c>
      <c r="AJ653" s="3">
        <f ca="1">IFERROR(__xludf.DUMMYFUNCTION("""COMPUTED_VALUE"""),68)</f>
        <v>68</v>
      </c>
      <c r="AK653" s="3">
        <f ca="1">IFERROR(__xludf.DUMMYFUNCTION("""COMPUTED_VALUE"""),223)</f>
        <v>223</v>
      </c>
      <c r="AL653" s="3">
        <f ca="1">IFERROR(__xludf.DUMMYFUNCTION("""COMPUTED_VALUE"""),118)</f>
        <v>118</v>
      </c>
    </row>
    <row r="654" spans="1:38" ht="13">
      <c r="A654" s="3">
        <f ca="1">IFERROR(__xludf.DUMMYFUNCTION("""COMPUTED_VALUE"""),205)</f>
        <v>205</v>
      </c>
      <c r="B654" s="3"/>
      <c r="C654" s="3">
        <f ca="1">IFERROR(__xludf.DUMMYFUNCTION("""COMPUTED_VALUE"""),4001)</f>
        <v>4001</v>
      </c>
      <c r="D654" s="3" t="str">
        <f ca="1">IFERROR(__xludf.DUMMYFUNCTION("""COMPUTED_VALUE"""),"Dashattan")</f>
        <v>Dashattan</v>
      </c>
      <c r="E654" s="3" t="str">
        <f ca="1">IFERROR(__xludf.DUMMYFUNCTION("""COMPUTED_VALUE"""),"Galaxy A")</f>
        <v>Galaxy A</v>
      </c>
      <c r="F654" s="3" t="str">
        <f ca="1">IFERROR(__xludf.DUMMYFUNCTION("""COMPUTED_VALUE"""),"KC")</f>
        <v>KC</v>
      </c>
      <c r="G654" s="3">
        <f ca="1">IFERROR(__xludf.DUMMYFUNCTION("""COMPUTED_VALUE"""),0)</f>
        <v>0</v>
      </c>
      <c r="H654" s="3" t="str">
        <f ca="1">IFERROR(__xludf.DUMMYFUNCTION("""COMPUTED_VALUE"""),"car")</f>
        <v>car</v>
      </c>
      <c r="I654" s="3" t="str">
        <f ca="1">IFERROR(__xludf.DUMMYFUNCTION("""COMPUTED_VALUE"""),"2055-06-02T23:25:52.070857Z")</f>
        <v>2055-06-02T23:25:52.070857Z</v>
      </c>
      <c r="J654" s="3" t="str">
        <f ca="1">IFERROR(__xludf.DUMMYFUNCTION("""COMPUTED_VALUE"""),"2055-06-03T00:26:20.147Z")</f>
        <v>2055-06-03T00:26:20.147Z</v>
      </c>
      <c r="K654" s="3" t="str">
        <f ca="1">IFERROR(__xludf.DUMMYFUNCTION("""COMPUTED_VALUE"""),"2055-06-03T00:06:41.147Z")</f>
        <v>2055-06-03T00:06:41.147Z</v>
      </c>
      <c r="L654" s="3">
        <f ca="1">IFERROR(__xludf.DUMMYFUNCTION("""COMPUTED_VALUE"""),1)</f>
        <v>1</v>
      </c>
      <c r="M654" s="3">
        <f ca="1">IFERROR(__xludf.DUMMYFUNCTION("""COMPUTED_VALUE"""),0)</f>
        <v>0</v>
      </c>
      <c r="N654" s="3" t="str">
        <f ca="1">IFERROR(__xludf.DUMMYFUNCTION("""COMPUTED_VALUE"""),"2055-06-02T23:46:02.462185Z")</f>
        <v>2055-06-02T23:46:02.462185Z</v>
      </c>
      <c r="O654" s="3" t="str">
        <f ca="1">IFERROR(__xludf.DUMMYFUNCTION("""COMPUTED_VALUE"""),"2055-06-03T00:00:57.557674Z")</f>
        <v>2055-06-03T00:00:57.557674Z</v>
      </c>
      <c r="P654" s="3" t="str">
        <f ca="1">IFERROR(__xludf.DUMMYFUNCTION("""COMPUTED_VALUE"""),"2055-06-02T23:29:14.946874Z")</f>
        <v>2055-06-02T23:29:14.946874Z</v>
      </c>
      <c r="Q654" s="3">
        <f ca="1">IFERROR(__xludf.DUMMYFUNCTION("""COMPUTED_VALUE"""),0)</f>
        <v>0</v>
      </c>
      <c r="R654" s="3" t="str">
        <f ca="1">IFERROR(__xludf.DUMMYFUNCTION("""COMPUTED_VALUE"""),"2055-06-02T23:29:25.394736Z")</f>
        <v>2055-06-02T23:29:25.394736Z</v>
      </c>
      <c r="S654" s="3" t="str">
        <f ca="1">IFERROR(__xludf.DUMMYFUNCTION("""COMPUTED_VALUE"""),"2055-06-02T23:36:33.532912Z")</f>
        <v>2055-06-02T23:36:33.532912Z</v>
      </c>
      <c r="T654" s="3"/>
      <c r="U654" s="4">
        <f ca="1">IFERROR(__xludf.DUMMYFUNCTION("""COMPUTED_VALUE"""),56767)</f>
        <v>56767</v>
      </c>
      <c r="V654" s="3">
        <f ca="1">IFERROR(__xludf.DUMMYFUNCTION("""COMPUTED_VALUE"""),2.733146217)</f>
        <v>2.7331462169999998</v>
      </c>
      <c r="W654" s="3">
        <f ca="1">IFERROR(__xludf.DUMMYFUNCTION("""COMPUTED_VALUE"""),2000)</f>
        <v>2000</v>
      </c>
      <c r="X654" s="3">
        <f ca="1">IFERROR(__xludf.DUMMYFUNCTION("""COMPUTED_VALUE"""),1892)</f>
        <v>1892</v>
      </c>
      <c r="Y654" s="3">
        <f ca="1">IFERROR(__xludf.DUMMYFUNCTION("""COMPUTED_VALUE"""),428)</f>
        <v>428</v>
      </c>
      <c r="Z654" s="3">
        <f ca="1">IFERROR(__xludf.DUMMYFUNCTION("""COMPUTED_VALUE"""),569)</f>
        <v>569</v>
      </c>
      <c r="AA654" s="3">
        <f ca="1">IFERROR(__xludf.DUMMYFUNCTION("""COMPUTED_VALUE"""),895)</f>
        <v>895</v>
      </c>
      <c r="AB654" s="3">
        <f ca="1">IFERROR(__xludf.DUMMYFUNCTION("""COMPUTED_VALUE"""),0)</f>
        <v>0</v>
      </c>
      <c r="AC654" s="3">
        <f ca="1">IFERROR(__xludf.DUMMYFUNCTION("""COMPUTED_VALUE"""),3)</f>
        <v>3</v>
      </c>
      <c r="AD654" s="3" t="str">
        <f ca="1">IFERROR(__xludf.DUMMYFUNCTION("""COMPUTED_VALUE"""),"early")</f>
        <v>early</v>
      </c>
      <c r="AE654" s="3" t="str">
        <f ca="1">IFERROR(__xludf.DUMMYFUNCTION("""COMPUTED_VALUE"""),"2055-06-02T19:46:02.462185Z")</f>
        <v>2055-06-02T19:46:02.462185Z</v>
      </c>
      <c r="AF654" s="3" t="str">
        <f ca="1">IFERROR(__xludf.DUMMYFUNCTION("""COMPUTED_VALUE"""),"2055-06-02T20:00:57.557674Z")</f>
        <v>2055-06-02T20:00:57.557674Z</v>
      </c>
      <c r="AG654" s="3" t="str">
        <f ca="1">IFERROR(__xludf.DUMMYFUNCTION("""COMPUTED_VALUE"""),"2055-06-02T19:29:14.946874Z")</f>
        <v>2055-06-02T19:29:14.946874Z</v>
      </c>
      <c r="AH654" s="3" t="str">
        <f ca="1">IFERROR(__xludf.DUMMYFUNCTION("""COMPUTED_VALUE"""),"2055-06-02T19:36:33.532912Z")</f>
        <v>2055-06-02T19:36:33.532912Z</v>
      </c>
      <c r="AI654" s="3">
        <f ca="1">IFERROR(__xludf.DUMMYFUNCTION("""COMPUTED_VALUE"""),4.54)</f>
        <v>4.54</v>
      </c>
      <c r="AJ654" s="3">
        <f ca="1">IFERROR(__xludf.DUMMYFUNCTION("""COMPUTED_VALUE"""),2229)</f>
        <v>2229</v>
      </c>
      <c r="AK654" s="3">
        <f ca="1">IFERROR(__xludf.DUMMYFUNCTION("""COMPUTED_VALUE"""),6580)</f>
        <v>6580</v>
      </c>
      <c r="AL654" s="3"/>
    </row>
    <row r="655" spans="1:38" ht="13">
      <c r="A655" s="3">
        <f ca="1">IFERROR(__xludf.DUMMYFUNCTION("""COMPUTED_VALUE"""),398)</f>
        <v>398</v>
      </c>
      <c r="B655" s="3">
        <f ca="1">IFERROR(__xludf.DUMMYFUNCTION("""COMPUTED_VALUE"""),5)</f>
        <v>5</v>
      </c>
      <c r="C655" s="3">
        <f ca="1">IFERROR(__xludf.DUMMYFUNCTION("""COMPUTED_VALUE"""),4001)</f>
        <v>4001</v>
      </c>
      <c r="D655" s="3" t="str">
        <f ca="1">IFERROR(__xludf.DUMMYFUNCTION("""COMPUTED_VALUE"""),"Dashattan")</f>
        <v>Dashattan</v>
      </c>
      <c r="E655" s="3" t="str">
        <f ca="1">IFERROR(__xludf.DUMMYFUNCTION("""COMPUTED_VALUE"""),"Galaxy A")</f>
        <v>Galaxy A</v>
      </c>
      <c r="F655" s="3" t="str">
        <f ca="1">IFERROR(__xludf.DUMMYFUNCTION("""COMPUTED_VALUE"""),"Samm")</f>
        <v>Samm</v>
      </c>
      <c r="G655" s="3">
        <f ca="1">IFERROR(__xludf.DUMMYFUNCTION("""COMPUTED_VALUE"""),0)</f>
        <v>0</v>
      </c>
      <c r="H655" s="3" t="str">
        <f ca="1">IFERROR(__xludf.DUMMYFUNCTION("""COMPUTED_VALUE"""),"car")</f>
        <v>car</v>
      </c>
      <c r="I655" s="3" t="str">
        <f ca="1">IFERROR(__xludf.DUMMYFUNCTION("""COMPUTED_VALUE"""),"2055-06-04T13:19:17.227994Z")</f>
        <v>2055-06-04T13:19:17.227994Z</v>
      </c>
      <c r="J655" s="3" t="str">
        <f ca="1">IFERROR(__xludf.DUMMYFUNCTION("""COMPUTED_VALUE"""),"2055-06-04T14:10:47.297Z")</f>
        <v>2055-06-04T14:10:47.297Z</v>
      </c>
      <c r="K655" s="3" t="str">
        <f ca="1">IFERROR(__xludf.DUMMYFUNCTION("""COMPUTED_VALUE"""),"2055-06-04T13:51:54.297Z")</f>
        <v>2055-06-04T13:51:54.297Z</v>
      </c>
      <c r="L655" s="3">
        <f ca="1">IFERROR(__xludf.DUMMYFUNCTION("""COMPUTED_VALUE"""),1)</f>
        <v>1</v>
      </c>
      <c r="M655" s="3">
        <f ca="1">IFERROR(__xludf.DUMMYFUNCTION("""COMPUTED_VALUE"""),0)</f>
        <v>0</v>
      </c>
      <c r="N655" s="3" t="str">
        <f ca="1">IFERROR(__xludf.DUMMYFUNCTION("""COMPUTED_VALUE"""),"2055-06-04T13:52:53.793199Z")</f>
        <v>2055-06-04T13:52:53.793199Z</v>
      </c>
      <c r="O655" s="3" t="str">
        <f ca="1">IFERROR(__xludf.DUMMYFUNCTION("""COMPUTED_VALUE"""),"2055-06-04T13:54:06.617516Z")</f>
        <v>2055-06-04T13:54:06.617516Z</v>
      </c>
      <c r="P655" s="3" t="str">
        <f ca="1">IFERROR(__xludf.DUMMYFUNCTION("""COMPUTED_VALUE"""),"2055-06-04T13:32:14.058077Z")</f>
        <v>2055-06-04T13:32:14.058077Z</v>
      </c>
      <c r="Q655" s="3">
        <f ca="1">IFERROR(__xludf.DUMMYFUNCTION("""COMPUTED_VALUE"""),0)</f>
        <v>0</v>
      </c>
      <c r="R655" s="3" t="str">
        <f ca="1">IFERROR(__xludf.DUMMYFUNCTION("""COMPUTED_VALUE"""),"2055-06-04T13:32:19.003794Z")</f>
        <v>2055-06-04T13:32:19.003794Z</v>
      </c>
      <c r="S655" s="3" t="str">
        <f ca="1">IFERROR(__xludf.DUMMYFUNCTION("""COMPUTED_VALUE"""),"2055-06-04T13:45:04.289945Z")</f>
        <v>2055-06-04T13:45:04.289945Z</v>
      </c>
      <c r="T655" s="3"/>
      <c r="U655" s="4">
        <f ca="1">IFERROR(__xludf.DUMMYFUNCTION("""COMPUTED_VALUE"""),56769)</f>
        <v>56769</v>
      </c>
      <c r="V655" s="3">
        <f ca="1">IFERROR(__xludf.DUMMYFUNCTION("""COMPUTED_VALUE"""),4.059012801)</f>
        <v>4.0590128009999997</v>
      </c>
      <c r="W655" s="3">
        <f ca="1">IFERROR(__xludf.DUMMYFUNCTION("""COMPUTED_VALUE"""),2000)</f>
        <v>2000</v>
      </c>
      <c r="X655" s="3">
        <f ca="1">IFERROR(__xludf.DUMMYFUNCTION("""COMPUTED_VALUE"""),1307)</f>
        <v>1307</v>
      </c>
      <c r="Y655" s="3">
        <f ca="1">IFERROR(__xludf.DUMMYFUNCTION("""COMPUTED_VALUE"""),765)</f>
        <v>765</v>
      </c>
      <c r="Z655" s="3">
        <f ca="1">IFERROR(__xludf.DUMMYFUNCTION("""COMPUTED_VALUE"""),469)</f>
        <v>469</v>
      </c>
      <c r="AA655" s="3">
        <f ca="1">IFERROR(__xludf.DUMMYFUNCTION("""COMPUTED_VALUE"""),73)</f>
        <v>73</v>
      </c>
      <c r="AB655" s="3">
        <f ca="1">IFERROR(__xludf.DUMMYFUNCTION("""COMPUTED_VALUE"""),0)</f>
        <v>0</v>
      </c>
      <c r="AC655" s="3">
        <f ca="1">IFERROR(__xludf.DUMMYFUNCTION("""COMPUTED_VALUE"""),2)</f>
        <v>2</v>
      </c>
      <c r="AD655" s="3" t="str">
        <f ca="1">IFERROR(__xludf.DUMMYFUNCTION("""COMPUTED_VALUE"""),"early")</f>
        <v>early</v>
      </c>
      <c r="AE655" s="3" t="str">
        <f ca="1">IFERROR(__xludf.DUMMYFUNCTION("""COMPUTED_VALUE"""),"2055-06-04T09:52:53.793199Z")</f>
        <v>2055-06-04T09:52:53.793199Z</v>
      </c>
      <c r="AF655" s="3" t="str">
        <f ca="1">IFERROR(__xludf.DUMMYFUNCTION("""COMPUTED_VALUE"""),"2055-06-04T09:54:06.617516Z")</f>
        <v>2055-06-04T09:54:06.617516Z</v>
      </c>
      <c r="AG655" s="3" t="str">
        <f ca="1">IFERROR(__xludf.DUMMYFUNCTION("""COMPUTED_VALUE"""),"2055-06-04T09:32:14.058077Z")</f>
        <v>2055-06-04T09:32:14.058077Z</v>
      </c>
      <c r="AH655" s="3" t="str">
        <f ca="1">IFERROR(__xludf.DUMMYFUNCTION("""COMPUTED_VALUE"""),"2055-06-04T09:45:04.289945Z")</f>
        <v>2055-06-04T09:45:04.289945Z</v>
      </c>
      <c r="AI655" s="3">
        <f ca="1">IFERROR(__xludf.DUMMYFUNCTION("""COMPUTED_VALUE"""),4.03)</f>
        <v>4.03</v>
      </c>
      <c r="AJ655" s="3">
        <f ca="1">IFERROR(__xludf.DUMMYFUNCTION("""COMPUTED_VALUE"""),505)</f>
        <v>505</v>
      </c>
      <c r="AK655" s="3">
        <f ca="1">IFERROR(__xludf.DUMMYFUNCTION("""COMPUTED_VALUE"""),1721)</f>
        <v>1721</v>
      </c>
      <c r="AL655" s="3">
        <f ca="1">IFERROR(__xludf.DUMMYFUNCTION("""COMPUTED_VALUE"""),457)</f>
        <v>457</v>
      </c>
    </row>
    <row r="656" spans="1:38" ht="13">
      <c r="A656" s="3">
        <f ca="1">IFERROR(__xludf.DUMMYFUNCTION("""COMPUTED_VALUE"""),593)</f>
        <v>593</v>
      </c>
      <c r="B656" s="3"/>
      <c r="C656" s="3">
        <f ca="1">IFERROR(__xludf.DUMMYFUNCTION("""COMPUTED_VALUE"""),4050)</f>
        <v>4050</v>
      </c>
      <c r="D656" s="3" t="str">
        <f ca="1">IFERROR(__xludf.DUMMYFUNCTION("""COMPUTED_VALUE"""),"Doorlanta")</f>
        <v>Doorlanta</v>
      </c>
      <c r="E656" s="3" t="str">
        <f ca="1">IFERROR(__xludf.DUMMYFUNCTION("""COMPUTED_VALUE"""),"Galaxy A")</f>
        <v>Galaxy A</v>
      </c>
      <c r="F656" s="3" t="str">
        <f ca="1">IFERROR(__xludf.DUMMYFUNCTION("""COMPUTED_VALUE"""),"Hanna")</f>
        <v>Hanna</v>
      </c>
      <c r="G656" s="3">
        <f ca="1">IFERROR(__xludf.DUMMYFUNCTION("""COMPUTED_VALUE"""),0)</f>
        <v>0</v>
      </c>
      <c r="H656" s="3" t="str">
        <f ca="1">IFERROR(__xludf.DUMMYFUNCTION("""COMPUTED_VALUE"""),"car")</f>
        <v>car</v>
      </c>
      <c r="I656" s="3" t="str">
        <f ca="1">IFERROR(__xludf.DUMMYFUNCTION("""COMPUTED_VALUE"""),"2055-06-05T18:45:47.778453Z")</f>
        <v>2055-06-05T18:45:47.778453Z</v>
      </c>
      <c r="J656" s="3" t="str">
        <f ca="1">IFERROR(__xludf.DUMMYFUNCTION("""COMPUTED_VALUE"""),"2055-06-05T19:35:04.906Z")</f>
        <v>2055-06-05T19:35:04.906Z</v>
      </c>
      <c r="K656" s="3" t="str">
        <f ca="1">IFERROR(__xludf.DUMMYFUNCTION("""COMPUTED_VALUE"""),"2055-06-05T19:23:10.906Z")</f>
        <v>2055-06-05T19:23:10.906Z</v>
      </c>
      <c r="L656" s="3">
        <f ca="1">IFERROR(__xludf.DUMMYFUNCTION("""COMPUTED_VALUE"""),1)</f>
        <v>1</v>
      </c>
      <c r="M656" s="3">
        <f ca="1">IFERROR(__xludf.DUMMYFUNCTION("""COMPUTED_VALUE"""),0)</f>
        <v>0</v>
      </c>
      <c r="N656" s="3" t="str">
        <f ca="1">IFERROR(__xludf.DUMMYFUNCTION("""COMPUTED_VALUE"""),"2055-06-05T19:13:49.64073Z")</f>
        <v>2055-06-05T19:13:49.64073Z</v>
      </c>
      <c r="O656" s="3" t="str">
        <f ca="1">IFERROR(__xludf.DUMMYFUNCTION("""COMPUTED_VALUE"""),"2055-06-05T19:24:07.585703Z")</f>
        <v>2055-06-05T19:24:07.585703Z</v>
      </c>
      <c r="P656" s="3" t="str">
        <f ca="1">IFERROR(__xludf.DUMMYFUNCTION("""COMPUTED_VALUE"""),"2055-06-05T19:00:47.297956Z")</f>
        <v>2055-06-05T19:00:47.297956Z</v>
      </c>
      <c r="Q656" s="3">
        <f ca="1">IFERROR(__xludf.DUMMYFUNCTION("""COMPUTED_VALUE"""),0)</f>
        <v>0</v>
      </c>
      <c r="R656" s="3" t="str">
        <f ca="1">IFERROR(__xludf.DUMMYFUNCTION("""COMPUTED_VALUE"""),"2055-06-05T19:00:51.768487Z")</f>
        <v>2055-06-05T19:00:51.768487Z</v>
      </c>
      <c r="S656" s="3" t="str">
        <f ca="1">IFERROR(__xludf.DUMMYFUNCTION("""COMPUTED_VALUE"""),"2055-06-05T19:08:21.068011Z")</f>
        <v>2055-06-05T19:08:21.068011Z</v>
      </c>
      <c r="T656" s="3"/>
      <c r="U656" s="4">
        <f ca="1">IFERROR(__xludf.DUMMYFUNCTION("""COMPUTED_VALUE"""),56770)</f>
        <v>56770</v>
      </c>
      <c r="V656" s="3">
        <f ca="1">IFERROR(__xludf.DUMMYFUNCTION("""COMPUTED_VALUE"""),4.7)</f>
        <v>4.7</v>
      </c>
      <c r="W656" s="3">
        <f ca="1">IFERROR(__xludf.DUMMYFUNCTION("""COMPUTED_VALUE"""),2000)</f>
        <v>2000</v>
      </c>
      <c r="X656" s="3">
        <f ca="1">IFERROR(__xludf.DUMMYFUNCTION("""COMPUTED_VALUE"""),1396)</f>
        <v>1396</v>
      </c>
      <c r="Y656" s="3">
        <f ca="1">IFERROR(__xludf.DUMMYFUNCTION("""COMPUTED_VALUE"""),450)</f>
        <v>450</v>
      </c>
      <c r="Z656" s="3">
        <f ca="1">IFERROR(__xludf.DUMMYFUNCTION("""COMPUTED_VALUE"""),328)</f>
        <v>328</v>
      </c>
      <c r="AA656" s="3">
        <f ca="1">IFERROR(__xludf.DUMMYFUNCTION("""COMPUTED_VALUE"""),618)</f>
        <v>618</v>
      </c>
      <c r="AB656" s="3">
        <f ca="1">IFERROR(__xludf.DUMMYFUNCTION("""COMPUTED_VALUE"""),0)</f>
        <v>0</v>
      </c>
      <c r="AC656" s="3">
        <f ca="1">IFERROR(__xludf.DUMMYFUNCTION("""COMPUTED_VALUE"""),3)</f>
        <v>3</v>
      </c>
      <c r="AD656" s="3" t="str">
        <f ca="1">IFERROR(__xludf.DUMMYFUNCTION("""COMPUTED_VALUE"""),"late")</f>
        <v>late</v>
      </c>
      <c r="AE656" s="3" t="str">
        <f ca="1">IFERROR(__xludf.DUMMYFUNCTION("""COMPUTED_VALUE"""),"2055-06-05T15:13:49.64073Z")</f>
        <v>2055-06-05T15:13:49.64073Z</v>
      </c>
      <c r="AF656" s="3" t="str">
        <f ca="1">IFERROR(__xludf.DUMMYFUNCTION("""COMPUTED_VALUE"""),"2055-06-05T15:24:07.585703Z")</f>
        <v>2055-06-05T15:24:07.585703Z</v>
      </c>
      <c r="AG656" s="3" t="str">
        <f ca="1">IFERROR(__xludf.DUMMYFUNCTION("""COMPUTED_VALUE"""),"2055-06-05T15:00:47.297956Z")</f>
        <v>2055-06-05T15:00:47.297956Z</v>
      </c>
      <c r="AH656" s="3" t="str">
        <f ca="1">IFERROR(__xludf.DUMMYFUNCTION("""COMPUTED_VALUE"""),"2055-06-05T15:08:21.068011Z")</f>
        <v>2055-06-05T15:08:21.068011Z</v>
      </c>
      <c r="AI656" s="3">
        <f ca="1">IFERROR(__xludf.DUMMYFUNCTION("""COMPUTED_VALUE"""),4.79)</f>
        <v>4.79</v>
      </c>
      <c r="AJ656" s="3">
        <f ca="1">IFERROR(__xludf.DUMMYFUNCTION("""COMPUTED_VALUE"""),1007)</f>
        <v>1007</v>
      </c>
      <c r="AK656" s="3">
        <f ca="1">IFERROR(__xludf.DUMMYFUNCTION("""COMPUTED_VALUE"""),2899)</f>
        <v>2899</v>
      </c>
      <c r="AL656" s="3">
        <f ca="1">IFERROR(__xludf.DUMMYFUNCTION("""COMPUTED_VALUE"""),1301)</f>
        <v>1301</v>
      </c>
    </row>
    <row r="657" spans="1:38" ht="13">
      <c r="A657" s="3">
        <f ca="1">IFERROR(__xludf.DUMMYFUNCTION("""COMPUTED_VALUE"""),1073)</f>
        <v>1073</v>
      </c>
      <c r="B657" s="3"/>
      <c r="C657" s="3">
        <f ca="1">IFERROR(__xludf.DUMMYFUNCTION("""COMPUTED_VALUE"""),4001)</f>
        <v>4001</v>
      </c>
      <c r="D657" s="3" t="str">
        <f ca="1">IFERROR(__xludf.DUMMYFUNCTION("""COMPUTED_VALUE"""),"Dashattan")</f>
        <v>Dashattan</v>
      </c>
      <c r="E657" s="3" t="str">
        <f ca="1">IFERROR(__xludf.DUMMYFUNCTION("""COMPUTED_VALUE"""),"Galaxy A")</f>
        <v>Galaxy A</v>
      </c>
      <c r="F657" s="3" t="str">
        <f ca="1">IFERROR(__xludf.DUMMYFUNCTION("""COMPUTED_VALUE"""),"Arya")</f>
        <v>Arya</v>
      </c>
      <c r="G657" s="3">
        <f ca="1">IFERROR(__xludf.DUMMYFUNCTION("""COMPUTED_VALUE"""),0)</f>
        <v>0</v>
      </c>
      <c r="H657" s="3" t="str">
        <f ca="1">IFERROR(__xludf.DUMMYFUNCTION("""COMPUTED_VALUE"""),"bicycle")</f>
        <v>bicycle</v>
      </c>
      <c r="I657" s="3" t="str">
        <f ca="1">IFERROR(__xludf.DUMMYFUNCTION("""COMPUTED_VALUE"""),"2055-06-09T22:50:11.34937Z")</f>
        <v>2055-06-09T22:50:11.34937Z</v>
      </c>
      <c r="J657" s="3" t="str">
        <f ca="1">IFERROR(__xludf.DUMMYFUNCTION("""COMPUTED_VALUE"""),"2055-06-10T00:10:48.416Z")</f>
        <v>2055-06-10T00:10:48.416Z</v>
      </c>
      <c r="K657" s="3" t="str">
        <f ca="1">IFERROR(__xludf.DUMMYFUNCTION("""COMPUTED_VALUE"""),"2055-06-09T23:51:55.416Z")</f>
        <v>2055-06-09T23:51:55.416Z</v>
      </c>
      <c r="L657" s="3">
        <f ca="1">IFERROR(__xludf.DUMMYFUNCTION("""COMPUTED_VALUE"""),1)</f>
        <v>1</v>
      </c>
      <c r="M657" s="3">
        <f ca="1">IFERROR(__xludf.DUMMYFUNCTION("""COMPUTED_VALUE"""),0)</f>
        <v>0</v>
      </c>
      <c r="N657" s="3" t="str">
        <f ca="1">IFERROR(__xludf.DUMMYFUNCTION("""COMPUTED_VALUE"""),"2055-06-09T23:29:27.279097Z")</f>
        <v>2055-06-09T23:29:27.279097Z</v>
      </c>
      <c r="O657" s="3" t="str">
        <f ca="1">IFERROR(__xludf.DUMMYFUNCTION("""COMPUTED_VALUE"""),"2055-06-09T23:50:45.196663Z")</f>
        <v>2055-06-09T23:50:45.196663Z</v>
      </c>
      <c r="P657" s="3" t="str">
        <f ca="1">IFERROR(__xludf.DUMMYFUNCTION("""COMPUTED_VALUE"""),"2055-06-09T22:52:14.473615Z")</f>
        <v>2055-06-09T22:52:14.473615Z</v>
      </c>
      <c r="Q657" s="3">
        <f ca="1">IFERROR(__xludf.DUMMYFUNCTION("""COMPUTED_VALUE"""),0)</f>
        <v>0</v>
      </c>
      <c r="R657" s="3" t="str">
        <f ca="1">IFERROR(__xludf.DUMMYFUNCTION("""COMPUTED_VALUE"""),"2055-06-09T22:53:07.361798Z")</f>
        <v>2055-06-09T22:53:07.361798Z</v>
      </c>
      <c r="S657" s="3" t="str">
        <f ca="1">IFERROR(__xludf.DUMMYFUNCTION("""COMPUTED_VALUE"""),"2055-06-09T23:13:32.821936Z")</f>
        <v>2055-06-09T23:13:32.821936Z</v>
      </c>
      <c r="T657" s="3"/>
      <c r="U657" s="4">
        <f ca="1">IFERROR(__xludf.DUMMYFUNCTION("""COMPUTED_VALUE"""),56774)</f>
        <v>56774</v>
      </c>
      <c r="V657" s="3">
        <f ca="1">IFERROR(__xludf.DUMMYFUNCTION("""COMPUTED_VALUE"""),3.11586321)</f>
        <v>3.1158632100000001</v>
      </c>
      <c r="W657" s="3">
        <f ca="1">IFERROR(__xludf.DUMMYFUNCTION("""COMPUTED_VALUE"""),2000)</f>
        <v>2000</v>
      </c>
      <c r="X657" s="3">
        <f ca="1">IFERROR(__xludf.DUMMYFUNCTION("""COMPUTED_VALUE"""),3458)</f>
        <v>3458</v>
      </c>
      <c r="Y657" s="3">
        <f ca="1">IFERROR(__xludf.DUMMYFUNCTION("""COMPUTED_VALUE"""),1225)</f>
        <v>1225</v>
      </c>
      <c r="Z657" s="3">
        <f ca="1">IFERROR(__xludf.DUMMYFUNCTION("""COMPUTED_VALUE"""),955)</f>
        <v>955</v>
      </c>
      <c r="AA657" s="3">
        <f ca="1">IFERROR(__xludf.DUMMYFUNCTION("""COMPUTED_VALUE"""),1278)</f>
        <v>1278</v>
      </c>
      <c r="AB657" s="3">
        <f ca="1">IFERROR(__xludf.DUMMYFUNCTION("""COMPUTED_VALUE"""),1)</f>
        <v>1</v>
      </c>
      <c r="AC657" s="3">
        <f ca="1">IFERROR(__xludf.DUMMYFUNCTION("""COMPUTED_VALUE"""),3)</f>
        <v>3</v>
      </c>
      <c r="AD657" s="3"/>
      <c r="AE657" s="3" t="str">
        <f ca="1">IFERROR(__xludf.DUMMYFUNCTION("""COMPUTED_VALUE"""),"2055-06-09T19:29:27.279097Z")</f>
        <v>2055-06-09T19:29:27.279097Z</v>
      </c>
      <c r="AF657" s="3" t="str">
        <f ca="1">IFERROR(__xludf.DUMMYFUNCTION("""COMPUTED_VALUE"""),"2055-06-09T19:50:45.196663Z")</f>
        <v>2055-06-09T19:50:45.196663Z</v>
      </c>
      <c r="AG657" s="3" t="str">
        <f ca="1">IFERROR(__xludf.DUMMYFUNCTION("""COMPUTED_VALUE"""),"2055-06-09T18:52:14.473615Z")</f>
        <v>2055-06-09T18:52:14.473615Z</v>
      </c>
      <c r="AH657" s="3" t="str">
        <f ca="1">IFERROR(__xludf.DUMMYFUNCTION("""COMPUTED_VALUE"""),"2055-06-09T19:13:32.821936Z")</f>
        <v>2055-06-09T19:13:32.821936Z</v>
      </c>
      <c r="AI657" s="3">
        <f ca="1">IFERROR(__xludf.DUMMYFUNCTION("""COMPUTED_VALUE"""),4.17)</f>
        <v>4.17</v>
      </c>
      <c r="AJ657" s="3">
        <f ca="1">IFERROR(__xludf.DUMMYFUNCTION("""COMPUTED_VALUE"""),457)</f>
        <v>457</v>
      </c>
      <c r="AK657" s="3">
        <f ca="1">IFERROR(__xludf.DUMMYFUNCTION("""COMPUTED_VALUE"""),1599)</f>
        <v>1599</v>
      </c>
      <c r="AL657" s="3"/>
    </row>
    <row r="658" spans="1:38" ht="13">
      <c r="A658" s="3">
        <f ca="1">IFERROR(__xludf.DUMMYFUNCTION("""COMPUTED_VALUE"""),1489)</f>
        <v>1489</v>
      </c>
      <c r="B658" s="3"/>
      <c r="C658" s="3">
        <f ca="1">IFERROR(__xludf.DUMMYFUNCTION("""COMPUTED_VALUE"""),4001)</f>
        <v>4001</v>
      </c>
      <c r="D658" s="3" t="str">
        <f ca="1">IFERROR(__xludf.DUMMYFUNCTION("""COMPUTED_VALUE"""),"Dashattan")</f>
        <v>Dashattan</v>
      </c>
      <c r="E658" s="3" t="str">
        <f ca="1">IFERROR(__xludf.DUMMYFUNCTION("""COMPUTED_VALUE"""),"Galaxy A")</f>
        <v>Galaxy A</v>
      </c>
      <c r="F658" s="3" t="str">
        <f ca="1">IFERROR(__xludf.DUMMYFUNCTION("""COMPUTED_VALUE"""),"Etan")</f>
        <v>Etan</v>
      </c>
      <c r="G658" s="3">
        <f ca="1">IFERROR(__xludf.DUMMYFUNCTION("""COMPUTED_VALUE"""),0)</f>
        <v>0</v>
      </c>
      <c r="H658" s="3" t="str">
        <f ca="1">IFERROR(__xludf.DUMMYFUNCTION("""COMPUTED_VALUE"""),"bicycle")</f>
        <v>bicycle</v>
      </c>
      <c r="I658" s="3" t="str">
        <f ca="1">IFERROR(__xludf.DUMMYFUNCTION("""COMPUTED_VALUE"""),"2055-06-12T23:10:35.775595Z")</f>
        <v>2055-06-12T23:10:35.775595Z</v>
      </c>
      <c r="J658" s="3" t="str">
        <f ca="1">IFERROR(__xludf.DUMMYFUNCTION("""COMPUTED_VALUE"""),"2055-06-13T00:25:03.841Z")</f>
        <v>2055-06-13T00:25:03.841Z</v>
      </c>
      <c r="K658" s="3" t="str">
        <f ca="1">IFERROR(__xludf.DUMMYFUNCTION("""COMPUTED_VALUE"""),"2055-06-13T00:03:09.841Z")</f>
        <v>2055-06-13T00:03:09.841Z</v>
      </c>
      <c r="L658" s="3">
        <f ca="1">IFERROR(__xludf.DUMMYFUNCTION("""COMPUTED_VALUE"""),1)</f>
        <v>1</v>
      </c>
      <c r="M658" s="3">
        <f ca="1">IFERROR(__xludf.DUMMYFUNCTION("""COMPUTED_VALUE"""),0)</f>
        <v>0</v>
      </c>
      <c r="N658" s="3" t="str">
        <f ca="1">IFERROR(__xludf.DUMMYFUNCTION("""COMPUTED_VALUE"""),"2055-06-12T23:46:34.547026Z")</f>
        <v>2055-06-12T23:46:34.547026Z</v>
      </c>
      <c r="O658" s="3" t="str">
        <f ca="1">IFERROR(__xludf.DUMMYFUNCTION("""COMPUTED_VALUE"""),"2055-06-12T23:59:06.413906Z")</f>
        <v>2055-06-12T23:59:06.413906Z</v>
      </c>
      <c r="P658" s="3" t="str">
        <f ca="1">IFERROR(__xludf.DUMMYFUNCTION("""COMPUTED_VALUE"""),"2055-06-12T23:27:16.308614Z")</f>
        <v>2055-06-12T23:27:16.308614Z</v>
      </c>
      <c r="Q658" s="3">
        <f ca="1">IFERROR(__xludf.DUMMYFUNCTION("""COMPUTED_VALUE"""),0)</f>
        <v>0</v>
      </c>
      <c r="R658" s="3" t="str">
        <f ca="1">IFERROR(__xludf.DUMMYFUNCTION("""COMPUTED_VALUE"""),"2055-06-12T23:27:23.259011Z")</f>
        <v>2055-06-12T23:27:23.259011Z</v>
      </c>
      <c r="S658" s="3" t="str">
        <f ca="1">IFERROR(__xludf.DUMMYFUNCTION("""COMPUTED_VALUE"""),"2055-06-12T23:43:34.407869Z")</f>
        <v>2055-06-12T23:43:34.407869Z</v>
      </c>
      <c r="T658" s="3"/>
      <c r="U658" s="4">
        <f ca="1">IFERROR(__xludf.DUMMYFUNCTION("""COMPUTED_VALUE"""),56777)</f>
        <v>56777</v>
      </c>
      <c r="V658" s="3">
        <f ca="1">IFERROR(__xludf.DUMMYFUNCTION("""COMPUTED_VALUE"""),4.4)</f>
        <v>4.4000000000000004</v>
      </c>
      <c r="W658" s="3">
        <f ca="1">IFERROR(__xludf.DUMMYFUNCTION("""COMPUTED_VALUE"""),2000)</f>
        <v>2000</v>
      </c>
      <c r="X658" s="3">
        <f ca="1">IFERROR(__xludf.DUMMYFUNCTION("""COMPUTED_VALUE"""),1903)</f>
        <v>1903</v>
      </c>
      <c r="Y658" s="3">
        <f ca="1">IFERROR(__xludf.DUMMYFUNCTION("""COMPUTED_VALUE"""),971)</f>
        <v>971</v>
      </c>
      <c r="Z658" s="3">
        <f ca="1">IFERROR(__xludf.DUMMYFUNCTION("""COMPUTED_VALUE"""),180)</f>
        <v>180</v>
      </c>
      <c r="AA658" s="3">
        <f ca="1">IFERROR(__xludf.DUMMYFUNCTION("""COMPUTED_VALUE"""),752)</f>
        <v>752</v>
      </c>
      <c r="AB658" s="3">
        <f ca="1">IFERROR(__xludf.DUMMYFUNCTION("""COMPUTED_VALUE"""),0)</f>
        <v>0</v>
      </c>
      <c r="AC658" s="3">
        <f ca="1">IFERROR(__xludf.DUMMYFUNCTION("""COMPUTED_VALUE"""),2)</f>
        <v>2</v>
      </c>
      <c r="AD658" s="3" t="str">
        <f ca="1">IFERROR(__xludf.DUMMYFUNCTION("""COMPUTED_VALUE"""),"on time")</f>
        <v>on time</v>
      </c>
      <c r="AE658" s="3" t="str">
        <f ca="1">IFERROR(__xludf.DUMMYFUNCTION("""COMPUTED_VALUE"""),"2055-06-12T19:46:34.547026Z")</f>
        <v>2055-06-12T19:46:34.547026Z</v>
      </c>
      <c r="AF658" s="3" t="str">
        <f ca="1">IFERROR(__xludf.DUMMYFUNCTION("""COMPUTED_VALUE"""),"2055-06-12T19:59:06.413906Z")</f>
        <v>2055-06-12T19:59:06.413906Z</v>
      </c>
      <c r="AG658" s="3" t="str">
        <f ca="1">IFERROR(__xludf.DUMMYFUNCTION("""COMPUTED_VALUE"""),"2055-06-12T19:27:16.308614Z")</f>
        <v>2055-06-12T19:27:16.308614Z</v>
      </c>
      <c r="AH658" s="3" t="str">
        <f ca="1">IFERROR(__xludf.DUMMYFUNCTION("""COMPUTED_VALUE"""),"2055-06-12T19:43:34.407869Z")</f>
        <v>2055-06-12T19:43:34.407869Z</v>
      </c>
      <c r="AI658" s="3">
        <f ca="1">IFERROR(__xludf.DUMMYFUNCTION("""COMPUTED_VALUE"""),4.35106383)</f>
        <v>4.3510638300000002</v>
      </c>
      <c r="AJ658" s="3">
        <f ca="1">IFERROR(__xludf.DUMMYFUNCTION("""COMPUTED_VALUE"""),62)</f>
        <v>62</v>
      </c>
      <c r="AK658" s="3">
        <f ca="1">IFERROR(__xludf.DUMMYFUNCTION("""COMPUTED_VALUE"""),228)</f>
        <v>228</v>
      </c>
      <c r="AL658" s="3"/>
    </row>
    <row r="659" spans="1:38" ht="13">
      <c r="A659" s="3">
        <f ca="1">IFERROR(__xludf.DUMMYFUNCTION("""COMPUTED_VALUE"""),61)</f>
        <v>61</v>
      </c>
      <c r="B659" s="3"/>
      <c r="C659" s="3">
        <f ca="1">IFERROR(__xludf.DUMMYFUNCTION("""COMPUTED_VALUE"""),4050)</f>
        <v>4050</v>
      </c>
      <c r="D659" s="3" t="str">
        <f ca="1">IFERROR(__xludf.DUMMYFUNCTION("""COMPUTED_VALUE"""),"Doorlanta")</f>
        <v>Doorlanta</v>
      </c>
      <c r="E659" s="3" t="str">
        <f ca="1">IFERROR(__xludf.DUMMYFUNCTION("""COMPUTED_VALUE"""),"Galaxy A")</f>
        <v>Galaxy A</v>
      </c>
      <c r="F659" s="3" t="str">
        <f ca="1">IFERROR(__xludf.DUMMYFUNCTION("""COMPUTED_VALUE"""),"Hersh")</f>
        <v>Hersh</v>
      </c>
      <c r="G659" s="3">
        <f ca="1">IFERROR(__xludf.DUMMYFUNCTION("""COMPUTED_VALUE"""),0)</f>
        <v>0</v>
      </c>
      <c r="H659" s="3" t="str">
        <f ca="1">IFERROR(__xludf.DUMMYFUNCTION("""COMPUTED_VALUE"""),"car")</f>
        <v>car</v>
      </c>
      <c r="I659" s="3" t="str">
        <f ca="1">IFERROR(__xludf.DUMMYFUNCTION("""COMPUTED_VALUE"""),"2055-06-01T22:18:24.706734Z")</f>
        <v>2055-06-01T22:18:24.706734Z</v>
      </c>
      <c r="J659" s="3" t="str">
        <f ca="1">IFERROR(__xludf.DUMMYFUNCTION("""COMPUTED_VALUE"""),"2055-06-01T23:18:37.773Z")</f>
        <v>2055-06-01T23:18:37.773Z</v>
      </c>
      <c r="K659" s="3" t="str">
        <f ca="1">IFERROR(__xludf.DUMMYFUNCTION("""COMPUTED_VALUE"""),"2055-06-01T22:58:30.773Z")</f>
        <v>2055-06-01T22:58:30.773Z</v>
      </c>
      <c r="L659" s="3">
        <f ca="1">IFERROR(__xludf.DUMMYFUNCTION("""COMPUTED_VALUE"""),1)</f>
        <v>1</v>
      </c>
      <c r="M659" s="3">
        <f ca="1">IFERROR(__xludf.DUMMYFUNCTION("""COMPUTED_VALUE"""),0)</f>
        <v>0</v>
      </c>
      <c r="N659" s="3" t="str">
        <f ca="1">IFERROR(__xludf.DUMMYFUNCTION("""COMPUTED_VALUE"""),"2055-06-01T22:39:17.280087Z")</f>
        <v>2055-06-01T22:39:17.280087Z</v>
      </c>
      <c r="O659" s="3" t="str">
        <f ca="1">IFERROR(__xludf.DUMMYFUNCTION("""COMPUTED_VALUE"""),"2055-06-01T22:53:24.170152Z")</f>
        <v>2055-06-01T22:53:24.170152Z</v>
      </c>
      <c r="P659" s="3" t="str">
        <f ca="1">IFERROR(__xludf.DUMMYFUNCTION("""COMPUTED_VALUE"""),"2055-06-01T22:20:07.380451Z")</f>
        <v>2055-06-01T22:20:07.380451Z</v>
      </c>
      <c r="Q659" s="3">
        <f ca="1">IFERROR(__xludf.DUMMYFUNCTION("""COMPUTED_VALUE"""),0)</f>
        <v>0</v>
      </c>
      <c r="R659" s="3" t="str">
        <f ca="1">IFERROR(__xludf.DUMMYFUNCTION("""COMPUTED_VALUE"""),"2055-06-01T22:20:39.572708Z")</f>
        <v>2055-06-01T22:20:39.572708Z</v>
      </c>
      <c r="S659" s="3" t="str">
        <f ca="1">IFERROR(__xludf.DUMMYFUNCTION("""COMPUTED_VALUE"""),"2055-06-01T22:34:54.289862Z")</f>
        <v>2055-06-01T22:34:54.289862Z</v>
      </c>
      <c r="T659" s="3"/>
      <c r="U659" s="4">
        <f ca="1">IFERROR(__xludf.DUMMYFUNCTION("""COMPUTED_VALUE"""),56766)</f>
        <v>56766</v>
      </c>
      <c r="V659" s="3">
        <f ca="1">IFERROR(__xludf.DUMMYFUNCTION("""COMPUTED_VALUE"""),4.5)</f>
        <v>4.5</v>
      </c>
      <c r="W659" s="3">
        <f ca="1">IFERROR(__xludf.DUMMYFUNCTION("""COMPUTED_VALUE"""),2000)</f>
        <v>2000</v>
      </c>
      <c r="X659" s="3">
        <f ca="1">IFERROR(__xludf.DUMMYFUNCTION("""COMPUTED_VALUE"""),1965)</f>
        <v>1965</v>
      </c>
      <c r="Y659" s="3">
        <f ca="1">IFERROR(__xludf.DUMMYFUNCTION("""COMPUTED_VALUE"""),855)</f>
        <v>855</v>
      </c>
      <c r="Z659" s="3">
        <f ca="1">IFERROR(__xludf.DUMMYFUNCTION("""COMPUTED_VALUE"""),263)</f>
        <v>263</v>
      </c>
      <c r="AA659" s="3">
        <f ca="1">IFERROR(__xludf.DUMMYFUNCTION("""COMPUTED_VALUE"""),847)</f>
        <v>847</v>
      </c>
      <c r="AB659" s="3">
        <f ca="1">IFERROR(__xludf.DUMMYFUNCTION("""COMPUTED_VALUE"""),0)</f>
        <v>0</v>
      </c>
      <c r="AC659" s="3">
        <f ca="1">IFERROR(__xludf.DUMMYFUNCTION("""COMPUTED_VALUE"""),2)</f>
        <v>2</v>
      </c>
      <c r="AD659" s="3" t="str">
        <f ca="1">IFERROR(__xludf.DUMMYFUNCTION("""COMPUTED_VALUE"""),"late")</f>
        <v>late</v>
      </c>
      <c r="AE659" s="3" t="str">
        <f ca="1">IFERROR(__xludf.DUMMYFUNCTION("""COMPUTED_VALUE"""),"2055-06-01T18:39:17.280087Z")</f>
        <v>2055-06-01T18:39:17.280087Z</v>
      </c>
      <c r="AF659" s="3" t="str">
        <f ca="1">IFERROR(__xludf.DUMMYFUNCTION("""COMPUTED_VALUE"""),"2055-06-01T18:53:24.170152Z")</f>
        <v>2055-06-01T18:53:24.170152Z</v>
      </c>
      <c r="AG659" s="3" t="str">
        <f ca="1">IFERROR(__xludf.DUMMYFUNCTION("""COMPUTED_VALUE"""),"2055-06-01T18:20:07.380451Z")</f>
        <v>2055-06-01T18:20:07.380451Z</v>
      </c>
      <c r="AH659" s="3" t="str">
        <f ca="1">IFERROR(__xludf.DUMMYFUNCTION("""COMPUTED_VALUE"""),"2055-06-01T18:34:54.289862Z")</f>
        <v>2055-06-01T18:34:54.289862Z</v>
      </c>
      <c r="AI659" s="3">
        <f ca="1">IFERROR(__xludf.DUMMYFUNCTION("""COMPUTED_VALUE"""),4.7)</f>
        <v>4.7</v>
      </c>
      <c r="AJ659" s="3">
        <f ca="1">IFERROR(__xludf.DUMMYFUNCTION("""COMPUTED_VALUE"""),212)</f>
        <v>212</v>
      </c>
      <c r="AK659" s="3">
        <f ca="1">IFERROR(__xludf.DUMMYFUNCTION("""COMPUTED_VALUE"""),624)</f>
        <v>624</v>
      </c>
      <c r="AL659" s="3">
        <f ca="1">IFERROR(__xludf.DUMMYFUNCTION("""COMPUTED_VALUE"""),347)</f>
        <v>347</v>
      </c>
    </row>
    <row r="660" spans="1:38" ht="13">
      <c r="A660" s="3">
        <f ca="1">IFERROR(__xludf.DUMMYFUNCTION("""COMPUTED_VALUE"""),985)</f>
        <v>985</v>
      </c>
      <c r="B660" s="3"/>
      <c r="C660" s="3">
        <f ca="1">IFERROR(__xludf.DUMMYFUNCTION("""COMPUTED_VALUE"""),4001)</f>
        <v>4001</v>
      </c>
      <c r="D660" s="3" t="str">
        <f ca="1">IFERROR(__xludf.DUMMYFUNCTION("""COMPUTED_VALUE"""),"Dashattan")</f>
        <v>Dashattan</v>
      </c>
      <c r="E660" s="3" t="str">
        <f ca="1">IFERROR(__xludf.DUMMYFUNCTION("""COMPUTED_VALUE"""),"Galaxy A")</f>
        <v>Galaxy A</v>
      </c>
      <c r="F660" s="3" t="str">
        <f ca="1">IFERROR(__xludf.DUMMYFUNCTION("""COMPUTED_VALUE"""),"Arya")</f>
        <v>Arya</v>
      </c>
      <c r="G660" s="3">
        <f ca="1">IFERROR(__xludf.DUMMYFUNCTION("""COMPUTED_VALUE"""),0)</f>
        <v>0</v>
      </c>
      <c r="H660" s="3" t="str">
        <f ca="1">IFERROR(__xludf.DUMMYFUNCTION("""COMPUTED_VALUE"""),"bicycle")</f>
        <v>bicycle</v>
      </c>
      <c r="I660" s="3" t="str">
        <f ca="1">IFERROR(__xludf.DUMMYFUNCTION("""COMPUTED_VALUE"""),"2055-06-08T23:06:52.909204Z")</f>
        <v>2055-06-08T23:06:52.909204Z</v>
      </c>
      <c r="J660" s="3" t="str">
        <f ca="1">IFERROR(__xludf.DUMMYFUNCTION("""COMPUTED_VALUE"""),"2055-06-08T23:46:38.991Z")</f>
        <v>2055-06-08T23:46:38.991Z</v>
      </c>
      <c r="K660" s="3" t="str">
        <f ca="1">IFERROR(__xludf.DUMMYFUNCTION("""COMPUTED_VALUE"""),"2055-06-08T23:41:59.991Z")</f>
        <v>2055-06-08T23:41:59.991Z</v>
      </c>
      <c r="L660" s="3">
        <f ca="1">IFERROR(__xludf.DUMMYFUNCTION("""COMPUTED_VALUE"""),1)</f>
        <v>1</v>
      </c>
      <c r="M660" s="3">
        <f ca="1">IFERROR(__xludf.DUMMYFUNCTION("""COMPUTED_VALUE"""),0)</f>
        <v>0</v>
      </c>
      <c r="N660" s="3" t="str">
        <f ca="1">IFERROR(__xludf.DUMMYFUNCTION("""COMPUTED_VALUE"""),"2055-06-08T23:26:27.905551Z")</f>
        <v>2055-06-08T23:26:27.905551Z</v>
      </c>
      <c r="O660" s="3" t="str">
        <f ca="1">IFERROR(__xludf.DUMMYFUNCTION("""COMPUTED_VALUE"""),"2055-06-08T23:36:23.905828Z")</f>
        <v>2055-06-08T23:36:23.905828Z</v>
      </c>
      <c r="P660" s="3" t="str">
        <f ca="1">IFERROR(__xludf.DUMMYFUNCTION("""COMPUTED_VALUE"""),"2055-06-08T23:14:54.568221Z")</f>
        <v>2055-06-08T23:14:54.568221Z</v>
      </c>
      <c r="Q660" s="3">
        <f ca="1">IFERROR(__xludf.DUMMYFUNCTION("""COMPUTED_VALUE"""),0)</f>
        <v>0</v>
      </c>
      <c r="R660" s="3" t="str">
        <f ca="1">IFERROR(__xludf.DUMMYFUNCTION("""COMPUTED_VALUE"""),"2055-06-08T23:15:19.507338Z")</f>
        <v>2055-06-08T23:15:19.507338Z</v>
      </c>
      <c r="S660" s="3"/>
      <c r="T660" s="3"/>
      <c r="U660" s="4">
        <f ca="1">IFERROR(__xludf.DUMMYFUNCTION("""COMPUTED_VALUE"""),56773)</f>
        <v>56773</v>
      </c>
      <c r="V660" s="3">
        <f ca="1">IFERROR(__xludf.DUMMYFUNCTION("""COMPUTED_VALUE"""),4.3)</f>
        <v>4.3</v>
      </c>
      <c r="W660" s="3">
        <f ca="1">IFERROR(__xludf.DUMMYFUNCTION("""COMPUTED_VALUE"""),2000)</f>
        <v>2000</v>
      </c>
      <c r="X660" s="3">
        <f ca="1">IFERROR(__xludf.DUMMYFUNCTION("""COMPUTED_VALUE"""),1264)</f>
        <v>1264</v>
      </c>
      <c r="Y660" s="3"/>
      <c r="Z660" s="3"/>
      <c r="AA660" s="3">
        <f ca="1">IFERROR(__xludf.DUMMYFUNCTION("""COMPUTED_VALUE"""),596)</f>
        <v>596</v>
      </c>
      <c r="AB660" s="3">
        <f ca="1">IFERROR(__xludf.DUMMYFUNCTION("""COMPUTED_VALUE"""),0)</f>
        <v>0</v>
      </c>
      <c r="AC660" s="3">
        <f ca="1">IFERROR(__xludf.DUMMYFUNCTION("""COMPUTED_VALUE"""),2)</f>
        <v>2</v>
      </c>
      <c r="AD660" s="3"/>
      <c r="AE660" s="3" t="str">
        <f ca="1">IFERROR(__xludf.DUMMYFUNCTION("""COMPUTED_VALUE"""),"2055-06-08T19:26:27.905551Z")</f>
        <v>2055-06-08T19:26:27.905551Z</v>
      </c>
      <c r="AF660" s="3" t="str">
        <f ca="1">IFERROR(__xludf.DUMMYFUNCTION("""COMPUTED_VALUE"""),"2055-06-08T19:36:23.905828Z")</f>
        <v>2055-06-08T19:36:23.905828Z</v>
      </c>
      <c r="AG660" s="3" t="str">
        <f ca="1">IFERROR(__xludf.DUMMYFUNCTION("""COMPUTED_VALUE"""),"2055-06-08T19:14:54.568221Z")</f>
        <v>2055-06-08T19:14:54.568221Z</v>
      </c>
      <c r="AH660" s="3"/>
      <c r="AI660" s="3">
        <f ca="1">IFERROR(__xludf.DUMMYFUNCTION("""COMPUTED_VALUE"""),4.17)</f>
        <v>4.17</v>
      </c>
      <c r="AJ660" s="3">
        <f ca="1">IFERROR(__xludf.DUMMYFUNCTION("""COMPUTED_VALUE"""),457)</f>
        <v>457</v>
      </c>
      <c r="AK660" s="3">
        <f ca="1">IFERROR(__xludf.DUMMYFUNCTION("""COMPUTED_VALUE"""),1599)</f>
        <v>1599</v>
      </c>
      <c r="AL660" s="3"/>
    </row>
    <row r="661" spans="1:38" ht="13">
      <c r="A661" s="3">
        <f ca="1">IFERROR(__xludf.DUMMYFUNCTION("""COMPUTED_VALUE"""),315)</f>
        <v>315</v>
      </c>
      <c r="B661" s="3">
        <f ca="1">IFERROR(__xludf.DUMMYFUNCTION("""COMPUTED_VALUE"""),5)</f>
        <v>5</v>
      </c>
      <c r="C661" s="3">
        <f ca="1">IFERROR(__xludf.DUMMYFUNCTION("""COMPUTED_VALUE"""),4001)</f>
        <v>4001</v>
      </c>
      <c r="D661" s="3" t="str">
        <f ca="1">IFERROR(__xludf.DUMMYFUNCTION("""COMPUTED_VALUE"""),"Dashattan")</f>
        <v>Dashattan</v>
      </c>
      <c r="E661" s="3" t="str">
        <f ca="1">IFERROR(__xludf.DUMMYFUNCTION("""COMPUTED_VALUE"""),"Galaxy A")</f>
        <v>Galaxy A</v>
      </c>
      <c r="F661" s="3" t="str">
        <f ca="1">IFERROR(__xludf.DUMMYFUNCTION("""COMPUTED_VALUE"""),"Samm")</f>
        <v>Samm</v>
      </c>
      <c r="G661" s="3">
        <f ca="1">IFERROR(__xludf.DUMMYFUNCTION("""COMPUTED_VALUE"""),0)</f>
        <v>0</v>
      </c>
      <c r="H661" s="3" t="str">
        <f ca="1">IFERROR(__xludf.DUMMYFUNCTION("""COMPUTED_VALUE"""),"car")</f>
        <v>car</v>
      </c>
      <c r="I661" s="3" t="str">
        <f ca="1">IFERROR(__xludf.DUMMYFUNCTION("""COMPUTED_VALUE"""),"2055-06-03T18:43:00.308625Z")</f>
        <v>2055-06-03T18:43:00.308625Z</v>
      </c>
      <c r="J661" s="3" t="str">
        <f ca="1">IFERROR(__xludf.DUMMYFUNCTION("""COMPUTED_VALUE"""),"2055-06-03T19:41:17.387Z")</f>
        <v>2055-06-03T19:41:17.387Z</v>
      </c>
      <c r="K661" s="3" t="str">
        <f ca="1">IFERROR(__xludf.DUMMYFUNCTION("""COMPUTED_VALUE"""),"2055-06-03T19:19:23.387Z")</f>
        <v>2055-06-03T19:19:23.387Z</v>
      </c>
      <c r="L661" s="3">
        <f ca="1">IFERROR(__xludf.DUMMYFUNCTION("""COMPUTED_VALUE"""),1)</f>
        <v>1</v>
      </c>
      <c r="M661" s="3">
        <f ca="1">IFERROR(__xludf.DUMMYFUNCTION("""COMPUTED_VALUE"""),0)</f>
        <v>0</v>
      </c>
      <c r="N661" s="3" t="str">
        <f ca="1">IFERROR(__xludf.DUMMYFUNCTION("""COMPUTED_VALUE"""),"2055-06-03T19:09:22.964412Z")</f>
        <v>2055-06-03T19:09:22.964412Z</v>
      </c>
      <c r="O661" s="3" t="str">
        <f ca="1">IFERROR(__xludf.DUMMYFUNCTION("""COMPUTED_VALUE"""),"2055-06-03T19:27:12.534686Z")</f>
        <v>2055-06-03T19:27:12.534686Z</v>
      </c>
      <c r="P661" s="3" t="str">
        <f ca="1">IFERROR(__xludf.DUMMYFUNCTION("""COMPUTED_VALUE"""),"2055-06-03T18:55:14.115239Z")</f>
        <v>2055-06-03T18:55:14.115239Z</v>
      </c>
      <c r="Q661" s="3">
        <f ca="1">IFERROR(__xludf.DUMMYFUNCTION("""COMPUTED_VALUE"""),0)</f>
        <v>0</v>
      </c>
      <c r="R661" s="3" t="str">
        <f ca="1">IFERROR(__xludf.DUMMYFUNCTION("""COMPUTED_VALUE"""),"2055-06-03T18:55:21.728682Z")</f>
        <v>2055-06-03T18:55:21.728682Z</v>
      </c>
      <c r="S661" s="3" t="str">
        <f ca="1">IFERROR(__xludf.DUMMYFUNCTION("""COMPUTED_VALUE"""),"2055-06-03T19:08:25.368037Z")</f>
        <v>2055-06-03T19:08:25.368037Z</v>
      </c>
      <c r="T661" s="3"/>
      <c r="U661" s="4">
        <f ca="1">IFERROR(__xludf.DUMMYFUNCTION("""COMPUTED_VALUE"""),56768)</f>
        <v>56768</v>
      </c>
      <c r="V661" s="3">
        <f ca="1">IFERROR(__xludf.DUMMYFUNCTION("""COMPUTED_VALUE"""),4.255317062)</f>
        <v>4.2553170619999996</v>
      </c>
      <c r="W661" s="3">
        <f ca="1">IFERROR(__xludf.DUMMYFUNCTION("""COMPUTED_VALUE"""),2000)</f>
        <v>2000</v>
      </c>
      <c r="X661" s="3">
        <f ca="1">IFERROR(__xludf.DUMMYFUNCTION("""COMPUTED_VALUE"""),1911)</f>
        <v>1911</v>
      </c>
      <c r="Y661" s="3">
        <f ca="1">IFERROR(__xludf.DUMMYFUNCTION("""COMPUTED_VALUE"""),784)</f>
        <v>784</v>
      </c>
      <c r="Z661" s="3">
        <f ca="1">IFERROR(__xludf.DUMMYFUNCTION("""COMPUTED_VALUE"""),57)</f>
        <v>57</v>
      </c>
      <c r="AA661" s="3">
        <f ca="1">IFERROR(__xludf.DUMMYFUNCTION("""COMPUTED_VALUE"""),1070)</f>
        <v>1070</v>
      </c>
      <c r="AB661" s="3">
        <f ca="1">IFERROR(__xludf.DUMMYFUNCTION("""COMPUTED_VALUE"""),0)</f>
        <v>0</v>
      </c>
      <c r="AC661" s="3">
        <f ca="1">IFERROR(__xludf.DUMMYFUNCTION("""COMPUTED_VALUE"""),2)</f>
        <v>2</v>
      </c>
      <c r="AD661" s="3" t="str">
        <f ca="1">IFERROR(__xludf.DUMMYFUNCTION("""COMPUTED_VALUE"""),"late")</f>
        <v>late</v>
      </c>
      <c r="AE661" s="3" t="str">
        <f ca="1">IFERROR(__xludf.DUMMYFUNCTION("""COMPUTED_VALUE"""),"2055-06-03T15:09:22.964412Z")</f>
        <v>2055-06-03T15:09:22.964412Z</v>
      </c>
      <c r="AF661" s="3" t="str">
        <f ca="1">IFERROR(__xludf.DUMMYFUNCTION("""COMPUTED_VALUE"""),"2055-06-03T15:27:12.534686Z")</f>
        <v>2055-06-03T15:27:12.534686Z</v>
      </c>
      <c r="AG661" s="3" t="str">
        <f ca="1">IFERROR(__xludf.DUMMYFUNCTION("""COMPUTED_VALUE"""),"2055-06-03T14:55:14.115239Z")</f>
        <v>2055-06-03T14:55:14.115239Z</v>
      </c>
      <c r="AH661" s="3" t="str">
        <f ca="1">IFERROR(__xludf.DUMMYFUNCTION("""COMPUTED_VALUE"""),"2055-06-03T15:08:25.368037Z")</f>
        <v>2055-06-03T15:08:25.368037Z</v>
      </c>
      <c r="AI661" s="3">
        <f ca="1">IFERROR(__xludf.DUMMYFUNCTION("""COMPUTED_VALUE"""),4.03)</f>
        <v>4.03</v>
      </c>
      <c r="AJ661" s="3">
        <f ca="1">IFERROR(__xludf.DUMMYFUNCTION("""COMPUTED_VALUE"""),505)</f>
        <v>505</v>
      </c>
      <c r="AK661" s="3">
        <f ca="1">IFERROR(__xludf.DUMMYFUNCTION("""COMPUTED_VALUE"""),1721)</f>
        <v>1721</v>
      </c>
      <c r="AL661" s="3">
        <f ca="1">IFERROR(__xludf.DUMMYFUNCTION("""COMPUTED_VALUE"""),457)</f>
        <v>457</v>
      </c>
    </row>
    <row r="662" spans="1:38" ht="13">
      <c r="A662" s="3">
        <f ca="1">IFERROR(__xludf.DUMMYFUNCTION("""COMPUTED_VALUE"""),678)</f>
        <v>678</v>
      </c>
      <c r="B662" s="3"/>
      <c r="C662" s="3">
        <f ca="1">IFERROR(__xludf.DUMMYFUNCTION("""COMPUTED_VALUE"""),4050)</f>
        <v>4050</v>
      </c>
      <c r="D662" s="3" t="str">
        <f ca="1">IFERROR(__xludf.DUMMYFUNCTION("""COMPUTED_VALUE"""),"Doorlanta")</f>
        <v>Doorlanta</v>
      </c>
      <c r="E662" s="3" t="str">
        <f ca="1">IFERROR(__xludf.DUMMYFUNCTION("""COMPUTED_VALUE"""),"Galaxy A")</f>
        <v>Galaxy A</v>
      </c>
      <c r="F662" s="3" t="str">
        <f ca="1">IFERROR(__xludf.DUMMYFUNCTION("""COMPUTED_VALUE"""),"Merissa")</f>
        <v>Merissa</v>
      </c>
      <c r="G662" s="3">
        <f ca="1">IFERROR(__xludf.DUMMYFUNCTION("""COMPUTED_VALUE"""),0)</f>
        <v>0</v>
      </c>
      <c r="H662" s="3" t="str">
        <f ca="1">IFERROR(__xludf.DUMMYFUNCTION("""COMPUTED_VALUE"""),"car")</f>
        <v>car</v>
      </c>
      <c r="I662" s="3" t="str">
        <f ca="1">IFERROR(__xludf.DUMMYFUNCTION("""COMPUTED_VALUE"""),"2055-06-05T23:31:23.383106Z")</f>
        <v>2055-06-05T23:31:23.383106Z</v>
      </c>
      <c r="J662" s="3" t="str">
        <f ca="1">IFERROR(__xludf.DUMMYFUNCTION("""COMPUTED_VALUE"""),"2055-06-06T00:11:23.452Z")</f>
        <v>2055-06-06T00:11:23.452Z</v>
      </c>
      <c r="K662" s="3" t="str">
        <f ca="1">IFERROR(__xludf.DUMMYFUNCTION("""COMPUTED_VALUE"""),"2055-06-06T00:04:12.452Z")</f>
        <v>2055-06-06T00:04:12.452Z</v>
      </c>
      <c r="L662" s="3">
        <f ca="1">IFERROR(__xludf.DUMMYFUNCTION("""COMPUTED_VALUE"""),1)</f>
        <v>1</v>
      </c>
      <c r="M662" s="3">
        <f ca="1">IFERROR(__xludf.DUMMYFUNCTION("""COMPUTED_VALUE"""),0)</f>
        <v>0</v>
      </c>
      <c r="N662" s="3" t="str">
        <f ca="1">IFERROR(__xludf.DUMMYFUNCTION("""COMPUTED_VALUE"""),"2055-06-06T00:01:39.773896Z")</f>
        <v>2055-06-06T00:01:39.773896Z</v>
      </c>
      <c r="O662" s="3" t="str">
        <f ca="1">IFERROR(__xludf.DUMMYFUNCTION("""COMPUTED_VALUE"""),"2055-06-06T00:55:52.764445Z")</f>
        <v>2055-06-06T00:55:52.764445Z</v>
      </c>
      <c r="P662" s="3" t="str">
        <f ca="1">IFERROR(__xludf.DUMMYFUNCTION("""COMPUTED_VALUE"""),"2055-06-05T23:32:27.523459Z")</f>
        <v>2055-06-05T23:32:27.523459Z</v>
      </c>
      <c r="Q662" s="3">
        <f ca="1">IFERROR(__xludf.DUMMYFUNCTION("""COMPUTED_VALUE"""),0)</f>
        <v>0</v>
      </c>
      <c r="R662" s="3" t="str">
        <f ca="1">IFERROR(__xludf.DUMMYFUNCTION("""COMPUTED_VALUE"""),"2055-06-05T23:33:00.686688Z")</f>
        <v>2055-06-05T23:33:00.686688Z</v>
      </c>
      <c r="S662" s="3" t="str">
        <f ca="1">IFERROR(__xludf.DUMMYFUNCTION("""COMPUTED_VALUE"""),"2055-06-05T23:43:50.21798Z")</f>
        <v>2055-06-05T23:43:50.21798Z</v>
      </c>
      <c r="T662" s="3"/>
      <c r="U662" s="4">
        <f ca="1">IFERROR(__xludf.DUMMYFUNCTION("""COMPUTED_VALUE"""),56770)</f>
        <v>56770</v>
      </c>
      <c r="V662" s="3">
        <f ca="1">IFERROR(__xludf.DUMMYFUNCTION("""COMPUTED_VALUE"""),4.3)</f>
        <v>4.3</v>
      </c>
      <c r="W662" s="3">
        <f ca="1">IFERROR(__xludf.DUMMYFUNCTION("""COMPUTED_VALUE"""),2000)</f>
        <v>2000</v>
      </c>
      <c r="X662" s="3">
        <f ca="1">IFERROR(__xludf.DUMMYFUNCTION("""COMPUTED_VALUE"""),4972)</f>
        <v>4972</v>
      </c>
      <c r="Y662" s="3">
        <f ca="1">IFERROR(__xludf.DUMMYFUNCTION("""COMPUTED_VALUE"""),650)</f>
        <v>650</v>
      </c>
      <c r="Z662" s="3">
        <f ca="1">IFERROR(__xludf.DUMMYFUNCTION("""COMPUTED_VALUE"""),1069)</f>
        <v>1069</v>
      </c>
      <c r="AA662" s="3">
        <f ca="1">IFERROR(__xludf.DUMMYFUNCTION("""COMPUTED_VALUE"""),3253)</f>
        <v>3253</v>
      </c>
      <c r="AB662" s="3">
        <f ca="1">IFERROR(__xludf.DUMMYFUNCTION("""COMPUTED_VALUE"""),1)</f>
        <v>1</v>
      </c>
      <c r="AC662" s="3">
        <f ca="1">IFERROR(__xludf.DUMMYFUNCTION("""COMPUTED_VALUE"""),1)</f>
        <v>1</v>
      </c>
      <c r="AD662" s="3"/>
      <c r="AE662" s="3" t="str">
        <f ca="1">IFERROR(__xludf.DUMMYFUNCTION("""COMPUTED_VALUE"""),"2055-06-05T20:01:39.773896Z")</f>
        <v>2055-06-05T20:01:39.773896Z</v>
      </c>
      <c r="AF662" s="3" t="str">
        <f ca="1">IFERROR(__xludf.DUMMYFUNCTION("""COMPUTED_VALUE"""),"2055-06-05T20:55:52.764445Z")</f>
        <v>2055-06-05T20:55:52.764445Z</v>
      </c>
      <c r="AG662" s="3" t="str">
        <f ca="1">IFERROR(__xludf.DUMMYFUNCTION("""COMPUTED_VALUE"""),"2055-06-05T19:32:27.523459Z")</f>
        <v>2055-06-05T19:32:27.523459Z</v>
      </c>
      <c r="AH662" s="3" t="str">
        <f ca="1">IFERROR(__xludf.DUMMYFUNCTION("""COMPUTED_VALUE"""),"2055-06-05T19:43:50.21798Z")</f>
        <v>2055-06-05T19:43:50.21798Z</v>
      </c>
      <c r="AI662" s="3">
        <f ca="1">IFERROR(__xludf.DUMMYFUNCTION("""COMPUTED_VALUE"""),4.58)</f>
        <v>4.58</v>
      </c>
      <c r="AJ662" s="3">
        <f ca="1">IFERROR(__xludf.DUMMYFUNCTION("""COMPUTED_VALUE"""),679)</f>
        <v>679</v>
      </c>
      <c r="AK662" s="3">
        <f ca="1">IFERROR(__xludf.DUMMYFUNCTION("""COMPUTED_VALUE"""),2371)</f>
        <v>2371</v>
      </c>
      <c r="AL662" s="3">
        <f ca="1">IFERROR(__xludf.DUMMYFUNCTION("""COMPUTED_VALUE"""),1830)</f>
        <v>1830</v>
      </c>
    </row>
    <row r="663" spans="1:38" ht="13">
      <c r="A663" s="3">
        <f ca="1">IFERROR(__xludf.DUMMYFUNCTION("""COMPUTED_VALUE"""),102)</f>
        <v>102</v>
      </c>
      <c r="B663" s="3"/>
      <c r="C663" s="3">
        <f ca="1">IFERROR(__xludf.DUMMYFUNCTION("""COMPUTED_VALUE"""),4001)</f>
        <v>4001</v>
      </c>
      <c r="D663" s="3" t="str">
        <f ca="1">IFERROR(__xludf.DUMMYFUNCTION("""COMPUTED_VALUE"""),"Dashattan")</f>
        <v>Dashattan</v>
      </c>
      <c r="E663" s="3" t="str">
        <f ca="1">IFERROR(__xludf.DUMMYFUNCTION("""COMPUTED_VALUE"""),"Galaxy A")</f>
        <v>Galaxy A</v>
      </c>
      <c r="F663" s="3" t="str">
        <f ca="1">IFERROR(__xludf.DUMMYFUNCTION("""COMPUTED_VALUE"""),"KC")</f>
        <v>KC</v>
      </c>
      <c r="G663" s="3">
        <f ca="1">IFERROR(__xludf.DUMMYFUNCTION("""COMPUTED_VALUE"""),0)</f>
        <v>0</v>
      </c>
      <c r="H663" s="3" t="str">
        <f ca="1">IFERROR(__xludf.DUMMYFUNCTION("""COMPUTED_VALUE"""),"car")</f>
        <v>car</v>
      </c>
      <c r="I663" s="3" t="str">
        <f ca="1">IFERROR(__xludf.DUMMYFUNCTION("""COMPUTED_VALUE"""),"2055-06-02T00:56:06.049339Z")</f>
        <v>2055-06-02T00:56:06.049339Z</v>
      </c>
      <c r="J663" s="3" t="str">
        <f ca="1">IFERROR(__xludf.DUMMYFUNCTION("""COMPUTED_VALUE"""),"2055-06-02T01:52:18.104Z")</f>
        <v>2055-06-02T01:52:18.104Z</v>
      </c>
      <c r="K663" s="3" t="str">
        <f ca="1">IFERROR(__xludf.DUMMYFUNCTION("""COMPUTED_VALUE"""),"2055-06-02T01:47:11.104Z")</f>
        <v>2055-06-02T01:47:11.104Z</v>
      </c>
      <c r="L663" s="3">
        <f ca="1">IFERROR(__xludf.DUMMYFUNCTION("""COMPUTED_VALUE"""),1)</f>
        <v>1</v>
      </c>
      <c r="M663" s="3">
        <f ca="1">IFERROR(__xludf.DUMMYFUNCTION("""COMPUTED_VALUE"""),0)</f>
        <v>0</v>
      </c>
      <c r="N663" s="3" t="str">
        <f ca="1">IFERROR(__xludf.DUMMYFUNCTION("""COMPUTED_VALUE"""),"2055-06-02T01:27:14.603873Z")</f>
        <v>2055-06-02T01:27:14.603873Z</v>
      </c>
      <c r="O663" s="3" t="str">
        <f ca="1">IFERROR(__xludf.DUMMYFUNCTION("""COMPUTED_VALUE"""),"2055-06-02T01:35:41.299093Z")</f>
        <v>2055-06-02T01:35:41.299093Z</v>
      </c>
      <c r="P663" s="3" t="str">
        <f ca="1">IFERROR(__xludf.DUMMYFUNCTION("""COMPUTED_VALUE"""),"2055-06-02T01:01:54.610465Z")</f>
        <v>2055-06-02T01:01:54.610465Z</v>
      </c>
      <c r="Q663" s="3">
        <f ca="1">IFERROR(__xludf.DUMMYFUNCTION("""COMPUTED_VALUE"""),0)</f>
        <v>0</v>
      </c>
      <c r="R663" s="3" t="str">
        <f ca="1">IFERROR(__xludf.DUMMYFUNCTION("""COMPUTED_VALUE"""),"2055-06-02T01:02:01.732632Z")</f>
        <v>2055-06-02T01:02:01.732632Z</v>
      </c>
      <c r="S663" s="3" t="str">
        <f ca="1">IFERROR(__xludf.DUMMYFUNCTION("""COMPUTED_VALUE"""),"2055-06-02T01:12:02.427309Z")</f>
        <v>2055-06-02T01:12:02.427309Z</v>
      </c>
      <c r="T663" s="3"/>
      <c r="U663" s="4">
        <f ca="1">IFERROR(__xludf.DUMMYFUNCTION("""COMPUTED_VALUE"""),56766)</f>
        <v>56766</v>
      </c>
      <c r="V663" s="3">
        <f ca="1">IFERROR(__xludf.DUMMYFUNCTION("""COMPUTED_VALUE"""),3.364537599)</f>
        <v>3.3645375990000002</v>
      </c>
      <c r="W663" s="3">
        <f ca="1">IFERROR(__xludf.DUMMYFUNCTION("""COMPUTED_VALUE"""),2000)</f>
        <v>2000</v>
      </c>
      <c r="X663" s="3">
        <f ca="1">IFERROR(__xludf.DUMMYFUNCTION("""COMPUTED_VALUE"""),2020)</f>
        <v>2020</v>
      </c>
      <c r="Y663" s="3">
        <f ca="1">IFERROR(__xludf.DUMMYFUNCTION("""COMPUTED_VALUE"""),601)</f>
        <v>601</v>
      </c>
      <c r="Z663" s="3">
        <f ca="1">IFERROR(__xludf.DUMMYFUNCTION("""COMPUTED_VALUE"""),912)</f>
        <v>912</v>
      </c>
      <c r="AA663" s="3">
        <f ca="1">IFERROR(__xludf.DUMMYFUNCTION("""COMPUTED_VALUE"""),507)</f>
        <v>507</v>
      </c>
      <c r="AB663" s="3">
        <f ca="1">IFERROR(__xludf.DUMMYFUNCTION("""COMPUTED_VALUE"""),0)</f>
        <v>0</v>
      </c>
      <c r="AC663" s="3">
        <f ca="1">IFERROR(__xludf.DUMMYFUNCTION("""COMPUTED_VALUE"""),2)</f>
        <v>2</v>
      </c>
      <c r="AD663" s="3" t="str">
        <f ca="1">IFERROR(__xludf.DUMMYFUNCTION("""COMPUTED_VALUE"""),"on time")</f>
        <v>on time</v>
      </c>
      <c r="AE663" s="3" t="str">
        <f ca="1">IFERROR(__xludf.DUMMYFUNCTION("""COMPUTED_VALUE"""),"2055-06-01T21:27:14.603873Z")</f>
        <v>2055-06-01T21:27:14.603873Z</v>
      </c>
      <c r="AF663" s="3" t="str">
        <f ca="1">IFERROR(__xludf.DUMMYFUNCTION("""COMPUTED_VALUE"""),"2055-06-01T21:35:41.299093Z")</f>
        <v>2055-06-01T21:35:41.299093Z</v>
      </c>
      <c r="AG663" s="3" t="str">
        <f ca="1">IFERROR(__xludf.DUMMYFUNCTION("""COMPUTED_VALUE"""),"2055-06-01T21:01:54.610465Z")</f>
        <v>2055-06-01T21:01:54.610465Z</v>
      </c>
      <c r="AH663" s="3" t="str">
        <f ca="1">IFERROR(__xludf.DUMMYFUNCTION("""COMPUTED_VALUE"""),"2055-06-01T21:12:02.427309Z")</f>
        <v>2055-06-01T21:12:02.427309Z</v>
      </c>
      <c r="AI663" s="3">
        <f ca="1">IFERROR(__xludf.DUMMYFUNCTION("""COMPUTED_VALUE"""),4.54)</f>
        <v>4.54</v>
      </c>
      <c r="AJ663" s="3">
        <f ca="1">IFERROR(__xludf.DUMMYFUNCTION("""COMPUTED_VALUE"""),2229)</f>
        <v>2229</v>
      </c>
      <c r="AK663" s="3">
        <f ca="1">IFERROR(__xludf.DUMMYFUNCTION("""COMPUTED_VALUE"""),6580)</f>
        <v>6580</v>
      </c>
      <c r="AL663" s="3"/>
    </row>
    <row r="664" spans="1:38" ht="13">
      <c r="A664" s="3">
        <f ca="1">IFERROR(__xludf.DUMMYFUNCTION("""COMPUTED_VALUE"""),171)</f>
        <v>171</v>
      </c>
      <c r="B664" s="3">
        <f ca="1">IFERROR(__xludf.DUMMYFUNCTION("""COMPUTED_VALUE"""),4)</f>
        <v>4</v>
      </c>
      <c r="C664" s="3">
        <f ca="1">IFERROR(__xludf.DUMMYFUNCTION("""COMPUTED_VALUE"""),4050)</f>
        <v>4050</v>
      </c>
      <c r="D664" s="3" t="str">
        <f ca="1">IFERROR(__xludf.DUMMYFUNCTION("""COMPUTED_VALUE"""),"Doorlanta")</f>
        <v>Doorlanta</v>
      </c>
      <c r="E664" s="3" t="str">
        <f ca="1">IFERROR(__xludf.DUMMYFUNCTION("""COMPUTED_VALUE"""),"Galaxy A")</f>
        <v>Galaxy A</v>
      </c>
      <c r="F664" s="3" t="str">
        <f ca="1">IFERROR(__xludf.DUMMYFUNCTION("""COMPUTED_VALUE"""),"Joe")</f>
        <v>Joe</v>
      </c>
      <c r="G664" s="3">
        <f ca="1">IFERROR(__xludf.DUMMYFUNCTION("""COMPUTED_VALUE"""),0)</f>
        <v>0</v>
      </c>
      <c r="H664" s="3" t="str">
        <f ca="1">IFERROR(__xludf.DUMMYFUNCTION("""COMPUTED_VALUE"""),"car")</f>
        <v>car</v>
      </c>
      <c r="I664" s="3" t="str">
        <f ca="1">IFERROR(__xludf.DUMMYFUNCTION("""COMPUTED_VALUE"""),"2055-06-02T21:33:57.201277Z")</f>
        <v>2055-06-02T21:33:57.201277Z</v>
      </c>
      <c r="J664" s="3" t="str">
        <f ca="1">IFERROR(__xludf.DUMMYFUNCTION("""COMPUTED_VALUE"""),"2055-06-02T22:28:57.274Z")</f>
        <v>2055-06-02T22:28:57.274Z</v>
      </c>
      <c r="K664" s="3" t="str">
        <f ca="1">IFERROR(__xludf.DUMMYFUNCTION("""COMPUTED_VALUE"""),"2055-06-02T22:07:03.274Z")</f>
        <v>2055-06-02T22:07:03.274Z</v>
      </c>
      <c r="L664" s="3">
        <f ca="1">IFERROR(__xludf.DUMMYFUNCTION("""COMPUTED_VALUE"""),1)</f>
        <v>1</v>
      </c>
      <c r="M664" s="3">
        <f ca="1">IFERROR(__xludf.DUMMYFUNCTION("""COMPUTED_VALUE"""),0)</f>
        <v>0</v>
      </c>
      <c r="N664" s="3" t="str">
        <f ca="1">IFERROR(__xludf.DUMMYFUNCTION("""COMPUTED_VALUE"""),"2055-06-02T21:53:49.05202Z")</f>
        <v>2055-06-02T21:53:49.05202Z</v>
      </c>
      <c r="O664" s="3" t="str">
        <f ca="1">IFERROR(__xludf.DUMMYFUNCTION("""COMPUTED_VALUE"""),"2055-06-02T22:14:50.897386Z")</f>
        <v>2055-06-02T22:14:50.897386Z</v>
      </c>
      <c r="P664" s="3" t="str">
        <f ca="1">IFERROR(__xludf.DUMMYFUNCTION("""COMPUTED_VALUE"""),"2055-06-02T21:34:07.259774Z")</f>
        <v>2055-06-02T21:34:07.259774Z</v>
      </c>
      <c r="Q664" s="3">
        <f ca="1">IFERROR(__xludf.DUMMYFUNCTION("""COMPUTED_VALUE"""),0)</f>
        <v>0</v>
      </c>
      <c r="R664" s="3" t="str">
        <f ca="1">IFERROR(__xludf.DUMMYFUNCTION("""COMPUTED_VALUE"""),"2055-06-02T21:34:30.7903Z")</f>
        <v>2055-06-02T21:34:30.7903Z</v>
      </c>
      <c r="S664" s="3" t="str">
        <f ca="1">IFERROR(__xludf.DUMMYFUNCTION("""COMPUTED_VALUE"""),"2055-06-02T21:48:20.420574Z")</f>
        <v>2055-06-02T21:48:20.420574Z</v>
      </c>
      <c r="T664" s="3"/>
      <c r="U664" s="4">
        <f ca="1">IFERROR(__xludf.DUMMYFUNCTION("""COMPUTED_VALUE"""),56767)</f>
        <v>56767</v>
      </c>
      <c r="V664" s="3">
        <f ca="1">IFERROR(__xludf.DUMMYFUNCTION("""COMPUTED_VALUE"""),3.431783289)</f>
        <v>3.4317832890000002</v>
      </c>
      <c r="W664" s="3">
        <f ca="1">IFERROR(__xludf.DUMMYFUNCTION("""COMPUTED_VALUE"""),2000)</f>
        <v>2000</v>
      </c>
      <c r="X664" s="3">
        <f ca="1">IFERROR(__xludf.DUMMYFUNCTION("""COMPUTED_VALUE"""),2420)</f>
        <v>2420</v>
      </c>
      <c r="Y664" s="3">
        <f ca="1">IFERROR(__xludf.DUMMYFUNCTION("""COMPUTED_VALUE"""),830)</f>
        <v>830</v>
      </c>
      <c r="Z664" s="3">
        <f ca="1">IFERROR(__xludf.DUMMYFUNCTION("""COMPUTED_VALUE"""),329)</f>
        <v>329</v>
      </c>
      <c r="AA664" s="3">
        <f ca="1">IFERROR(__xludf.DUMMYFUNCTION("""COMPUTED_VALUE"""),1261)</f>
        <v>1261</v>
      </c>
      <c r="AB664" s="3">
        <f ca="1">IFERROR(__xludf.DUMMYFUNCTION("""COMPUTED_VALUE"""),0)</f>
        <v>0</v>
      </c>
      <c r="AC664" s="3">
        <f ca="1">IFERROR(__xludf.DUMMYFUNCTION("""COMPUTED_VALUE"""),1)</f>
        <v>1</v>
      </c>
      <c r="AD664" s="3" t="str">
        <f ca="1">IFERROR(__xludf.DUMMYFUNCTION("""COMPUTED_VALUE"""),"on time")</f>
        <v>on time</v>
      </c>
      <c r="AE664" s="3" t="str">
        <f ca="1">IFERROR(__xludf.DUMMYFUNCTION("""COMPUTED_VALUE"""),"2055-06-02T17:53:49.05202Z")</f>
        <v>2055-06-02T17:53:49.05202Z</v>
      </c>
      <c r="AF664" s="3" t="str">
        <f ca="1">IFERROR(__xludf.DUMMYFUNCTION("""COMPUTED_VALUE"""),"2055-06-02T18:14:50.897386Z")</f>
        <v>2055-06-02T18:14:50.897386Z</v>
      </c>
      <c r="AG664" s="3" t="str">
        <f ca="1">IFERROR(__xludf.DUMMYFUNCTION("""COMPUTED_VALUE"""),"2055-06-02T17:34:07.259774Z")</f>
        <v>2055-06-02T17:34:07.259774Z</v>
      </c>
      <c r="AH664" s="3" t="str">
        <f ca="1">IFERROR(__xludf.DUMMYFUNCTION("""COMPUTED_VALUE"""),"2055-06-02T17:48:20.420574Z")</f>
        <v>2055-06-02T17:48:20.420574Z</v>
      </c>
      <c r="AI664" s="3">
        <f ca="1">IFERROR(__xludf.DUMMYFUNCTION("""COMPUTED_VALUE"""),4.38)</f>
        <v>4.38</v>
      </c>
      <c r="AJ664" s="3">
        <f ca="1">IFERROR(__xludf.DUMMYFUNCTION("""COMPUTED_VALUE"""),196)</f>
        <v>196</v>
      </c>
      <c r="AK664" s="3">
        <f ca="1">IFERROR(__xludf.DUMMYFUNCTION("""COMPUTED_VALUE"""),626)</f>
        <v>626</v>
      </c>
      <c r="AL664" s="3"/>
    </row>
    <row r="665" spans="1:38" ht="13">
      <c r="A665" s="3">
        <f ca="1">IFERROR(__xludf.DUMMYFUNCTION("""COMPUTED_VALUE"""),726)</f>
        <v>726</v>
      </c>
      <c r="B665" s="3">
        <f ca="1">IFERROR(__xludf.DUMMYFUNCTION("""COMPUTED_VALUE"""),3)</f>
        <v>3</v>
      </c>
      <c r="C665" s="3">
        <f ca="1">IFERROR(__xludf.DUMMYFUNCTION("""COMPUTED_VALUE"""),4050)</f>
        <v>4050</v>
      </c>
      <c r="D665" s="3" t="str">
        <f ca="1">IFERROR(__xludf.DUMMYFUNCTION("""COMPUTED_VALUE"""),"Doorlanta")</f>
        <v>Doorlanta</v>
      </c>
      <c r="E665" s="3" t="str">
        <f ca="1">IFERROR(__xludf.DUMMYFUNCTION("""COMPUTED_VALUE"""),"Galaxy A")</f>
        <v>Galaxy A</v>
      </c>
      <c r="F665" s="3" t="str">
        <f ca="1">IFERROR(__xludf.DUMMYFUNCTION("""COMPUTED_VALUE"""),"Faud")</f>
        <v>Faud</v>
      </c>
      <c r="G665" s="3">
        <f ca="1">IFERROR(__xludf.DUMMYFUNCTION("""COMPUTED_VALUE"""),0)</f>
        <v>0</v>
      </c>
      <c r="H665" s="3" t="str">
        <f ca="1">IFERROR(__xludf.DUMMYFUNCTION("""COMPUTED_VALUE"""),"car")</f>
        <v>car</v>
      </c>
      <c r="I665" s="3" t="str">
        <f ca="1">IFERROR(__xludf.DUMMYFUNCTION("""COMPUTED_VALUE"""),"2055-06-06T15:12:51.590478Z")</f>
        <v>2055-06-06T15:12:51.590478Z</v>
      </c>
      <c r="J665" s="3" t="str">
        <f ca="1">IFERROR(__xludf.DUMMYFUNCTION("""COMPUTED_VALUE"""),"2055-06-06T15:59:20.667Z")</f>
        <v>2055-06-06T15:59:20.667Z</v>
      </c>
      <c r="K665" s="3" t="str">
        <f ca="1">IFERROR(__xludf.DUMMYFUNCTION("""COMPUTED_VALUE"""),"2055-06-06T15:58:41.667Z")</f>
        <v>2055-06-06T15:58:41.667Z</v>
      </c>
      <c r="L665" s="3">
        <f ca="1">IFERROR(__xludf.DUMMYFUNCTION("""COMPUTED_VALUE"""),1)</f>
        <v>1</v>
      </c>
      <c r="M665" s="3">
        <f ca="1">IFERROR(__xludf.DUMMYFUNCTION("""COMPUTED_VALUE"""),0)</f>
        <v>0</v>
      </c>
      <c r="N665" s="3" t="str">
        <f ca="1">IFERROR(__xludf.DUMMYFUNCTION("""COMPUTED_VALUE"""),"2055-06-06T15:27:44.576852Z")</f>
        <v>2055-06-06T15:27:44.576852Z</v>
      </c>
      <c r="O665" s="3" t="str">
        <f ca="1">IFERROR(__xludf.DUMMYFUNCTION("""COMPUTED_VALUE"""),"2055-06-06T15:49:37.005379Z")</f>
        <v>2055-06-06T15:49:37.005379Z</v>
      </c>
      <c r="P665" s="3" t="str">
        <f ca="1">IFERROR(__xludf.DUMMYFUNCTION("""COMPUTED_VALUE"""),"2055-06-06T15:15:07.339564Z")</f>
        <v>2055-06-06T15:15:07.339564Z</v>
      </c>
      <c r="Q665" s="3">
        <f ca="1">IFERROR(__xludf.DUMMYFUNCTION("""COMPUTED_VALUE"""),0)</f>
        <v>0</v>
      </c>
      <c r="R665" s="3" t="str">
        <f ca="1">IFERROR(__xludf.DUMMYFUNCTION("""COMPUTED_VALUE"""),"2055-06-06T15:15:11.208692Z")</f>
        <v>2055-06-06T15:15:11.208692Z</v>
      </c>
      <c r="S665" s="3" t="str">
        <f ca="1">IFERROR(__xludf.DUMMYFUNCTION("""COMPUTED_VALUE"""),"2055-06-06T15:20:30.331269Z")</f>
        <v>2055-06-06T15:20:30.331269Z</v>
      </c>
      <c r="T665" s="3"/>
      <c r="U665" s="4">
        <f ca="1">IFERROR(__xludf.DUMMYFUNCTION("""COMPUTED_VALUE"""),56771)</f>
        <v>56771</v>
      </c>
      <c r="V665" s="3">
        <f ca="1">IFERROR(__xludf.DUMMYFUNCTION("""COMPUTED_VALUE"""),4.4)</f>
        <v>4.4000000000000004</v>
      </c>
      <c r="W665" s="3">
        <f ca="1">IFERROR(__xludf.DUMMYFUNCTION("""COMPUTED_VALUE"""),2000)</f>
        <v>2000</v>
      </c>
      <c r="X665" s="3">
        <f ca="1">IFERROR(__xludf.DUMMYFUNCTION("""COMPUTED_VALUE"""),2066)</f>
        <v>2066</v>
      </c>
      <c r="Y665" s="3">
        <f ca="1">IFERROR(__xludf.DUMMYFUNCTION("""COMPUTED_VALUE"""),319)</f>
        <v>319</v>
      </c>
      <c r="Z665" s="3">
        <f ca="1">IFERROR(__xludf.DUMMYFUNCTION("""COMPUTED_VALUE"""),434)</f>
        <v>434</v>
      </c>
      <c r="AA665" s="3">
        <f ca="1">IFERROR(__xludf.DUMMYFUNCTION("""COMPUTED_VALUE"""),1313)</f>
        <v>1313</v>
      </c>
      <c r="AB665" s="3">
        <f ca="1">IFERROR(__xludf.DUMMYFUNCTION("""COMPUTED_VALUE"""),0)</f>
        <v>0</v>
      </c>
      <c r="AC665" s="3">
        <f ca="1">IFERROR(__xludf.DUMMYFUNCTION("""COMPUTED_VALUE"""),3)</f>
        <v>3</v>
      </c>
      <c r="AD665" s="3" t="str">
        <f ca="1">IFERROR(__xludf.DUMMYFUNCTION("""COMPUTED_VALUE"""),"early")</f>
        <v>early</v>
      </c>
      <c r="AE665" s="3" t="str">
        <f ca="1">IFERROR(__xludf.DUMMYFUNCTION("""COMPUTED_VALUE"""),"2055-06-06T11:27:44.576852Z")</f>
        <v>2055-06-06T11:27:44.576852Z</v>
      </c>
      <c r="AF665" s="3" t="str">
        <f ca="1">IFERROR(__xludf.DUMMYFUNCTION("""COMPUTED_VALUE"""),"2055-06-06T11:49:37.005379Z")</f>
        <v>2055-06-06T11:49:37.005379Z</v>
      </c>
      <c r="AG665" s="3" t="str">
        <f ca="1">IFERROR(__xludf.DUMMYFUNCTION("""COMPUTED_VALUE"""),"2055-06-06T11:15:07.339564Z")</f>
        <v>2055-06-06T11:15:07.339564Z</v>
      </c>
      <c r="AH665" s="3" t="str">
        <f ca="1">IFERROR(__xludf.DUMMYFUNCTION("""COMPUTED_VALUE"""),"2055-06-06T11:20:30.331269Z")</f>
        <v>2055-06-06T11:20:30.331269Z</v>
      </c>
      <c r="AI665" s="3">
        <f ca="1">IFERROR(__xludf.DUMMYFUNCTION("""COMPUTED_VALUE"""),4.69)</f>
        <v>4.6900000000000004</v>
      </c>
      <c r="AJ665" s="3">
        <f ca="1">IFERROR(__xludf.DUMMYFUNCTION("""COMPUTED_VALUE"""),89)</f>
        <v>89</v>
      </c>
      <c r="AK665" s="3">
        <f ca="1">IFERROR(__xludf.DUMMYFUNCTION("""COMPUTED_VALUE"""),258)</f>
        <v>258</v>
      </c>
      <c r="AL665" s="3">
        <f ca="1">IFERROR(__xludf.DUMMYFUNCTION("""COMPUTED_VALUE"""),154)</f>
        <v>154</v>
      </c>
    </row>
    <row r="666" spans="1:38" ht="13">
      <c r="A666" s="3">
        <f ca="1">IFERROR(__xludf.DUMMYFUNCTION("""COMPUTED_VALUE"""),150)</f>
        <v>150</v>
      </c>
      <c r="B666" s="3">
        <f ca="1">IFERROR(__xludf.DUMMYFUNCTION("""COMPUTED_VALUE"""),5)</f>
        <v>5</v>
      </c>
      <c r="C666" s="3">
        <f ca="1">IFERROR(__xludf.DUMMYFUNCTION("""COMPUTED_VALUE"""),4050)</f>
        <v>4050</v>
      </c>
      <c r="D666" s="3" t="str">
        <f ca="1">IFERROR(__xludf.DUMMYFUNCTION("""COMPUTED_VALUE"""),"Doorlanta")</f>
        <v>Doorlanta</v>
      </c>
      <c r="E666" s="3" t="str">
        <f ca="1">IFERROR(__xludf.DUMMYFUNCTION("""COMPUTED_VALUE"""),"Galaxy A")</f>
        <v>Galaxy A</v>
      </c>
      <c r="F666" s="3" t="str">
        <f ca="1">IFERROR(__xludf.DUMMYFUNCTION("""COMPUTED_VALUE"""),"Joe")</f>
        <v>Joe</v>
      </c>
      <c r="G666" s="3">
        <f ca="1">IFERROR(__xludf.DUMMYFUNCTION("""COMPUTED_VALUE"""),0)</f>
        <v>0</v>
      </c>
      <c r="H666" s="3" t="str">
        <f ca="1">IFERROR(__xludf.DUMMYFUNCTION("""COMPUTED_VALUE"""),"car")</f>
        <v>car</v>
      </c>
      <c r="I666" s="3" t="str">
        <f ca="1">IFERROR(__xludf.DUMMYFUNCTION("""COMPUTED_VALUE"""),"2055-06-02T18:10:22.348719Z")</f>
        <v>2055-06-02T18:10:22.348719Z</v>
      </c>
      <c r="J666" s="3" t="str">
        <f ca="1">IFERROR(__xludf.DUMMYFUNCTION("""COMPUTED_VALUE"""),"2055-06-02T19:06:26.416Z")</f>
        <v>2055-06-02T19:06:26.416Z</v>
      </c>
      <c r="K666" s="3" t="str">
        <f ca="1">IFERROR(__xludf.DUMMYFUNCTION("""COMPUTED_VALUE"""),"2055-06-02T18:46:19.416Z")</f>
        <v>2055-06-02T18:46:19.416Z</v>
      </c>
      <c r="L666" s="3">
        <f ca="1">IFERROR(__xludf.DUMMYFUNCTION("""COMPUTED_VALUE"""),1)</f>
        <v>1</v>
      </c>
      <c r="M666" s="3">
        <f ca="1">IFERROR(__xludf.DUMMYFUNCTION("""COMPUTED_VALUE"""),0)</f>
        <v>0</v>
      </c>
      <c r="N666" s="3" t="str">
        <f ca="1">IFERROR(__xludf.DUMMYFUNCTION("""COMPUTED_VALUE"""),"2055-06-02T18:35:34.757549Z")</f>
        <v>2055-06-02T18:35:34.757549Z</v>
      </c>
      <c r="O666" s="3" t="str">
        <f ca="1">IFERROR(__xludf.DUMMYFUNCTION("""COMPUTED_VALUE"""),"2055-06-02T18:50:57.578922Z")</f>
        <v>2055-06-02T18:50:57.578922Z</v>
      </c>
      <c r="P666" s="3" t="str">
        <f ca="1">IFERROR(__xludf.DUMMYFUNCTION("""COMPUTED_VALUE"""),"2055-06-02T18:10:27.247462Z")</f>
        <v>2055-06-02T18:10:27.247462Z</v>
      </c>
      <c r="Q666" s="3">
        <f ca="1">IFERROR(__xludf.DUMMYFUNCTION("""COMPUTED_VALUE"""),0)</f>
        <v>0</v>
      </c>
      <c r="R666" s="3" t="str">
        <f ca="1">IFERROR(__xludf.DUMMYFUNCTION("""COMPUTED_VALUE"""),"2055-06-02T18:10:35.491771Z")</f>
        <v>2055-06-02T18:10:35.491771Z</v>
      </c>
      <c r="S666" s="3" t="str">
        <f ca="1">IFERROR(__xludf.DUMMYFUNCTION("""COMPUTED_VALUE"""),"2055-06-02T18:33:29.073791Z")</f>
        <v>2055-06-02T18:33:29.073791Z</v>
      </c>
      <c r="T666" s="3"/>
      <c r="U666" s="4">
        <f ca="1">IFERROR(__xludf.DUMMYFUNCTION("""COMPUTED_VALUE"""),56767)</f>
        <v>56767</v>
      </c>
      <c r="V666" s="3">
        <f ca="1">IFERROR(__xludf.DUMMYFUNCTION("""COMPUTED_VALUE"""),4.5)</f>
        <v>4.5</v>
      </c>
      <c r="W666" s="3">
        <f ca="1">IFERROR(__xludf.DUMMYFUNCTION("""COMPUTED_VALUE"""),2000)</f>
        <v>2000</v>
      </c>
      <c r="X666" s="3">
        <f ca="1">IFERROR(__xludf.DUMMYFUNCTION("""COMPUTED_VALUE"""),2422)</f>
        <v>2422</v>
      </c>
      <c r="Y666" s="3">
        <f ca="1">IFERROR(__xludf.DUMMYFUNCTION("""COMPUTED_VALUE"""),1374)</f>
        <v>1374</v>
      </c>
      <c r="Z666" s="3">
        <f ca="1">IFERROR(__xludf.DUMMYFUNCTION("""COMPUTED_VALUE"""),125)</f>
        <v>125</v>
      </c>
      <c r="AA666" s="3">
        <f ca="1">IFERROR(__xludf.DUMMYFUNCTION("""COMPUTED_VALUE"""),923)</f>
        <v>923</v>
      </c>
      <c r="AB666" s="3">
        <f ca="1">IFERROR(__xludf.DUMMYFUNCTION("""COMPUTED_VALUE"""),0)</f>
        <v>0</v>
      </c>
      <c r="AC666" s="3">
        <f ca="1">IFERROR(__xludf.DUMMYFUNCTION("""COMPUTED_VALUE"""),2)</f>
        <v>2</v>
      </c>
      <c r="AD666" s="3" t="str">
        <f ca="1">IFERROR(__xludf.DUMMYFUNCTION("""COMPUTED_VALUE"""),"late")</f>
        <v>late</v>
      </c>
      <c r="AE666" s="3" t="str">
        <f ca="1">IFERROR(__xludf.DUMMYFUNCTION("""COMPUTED_VALUE"""),"2055-06-02T14:35:34.757549Z")</f>
        <v>2055-06-02T14:35:34.757549Z</v>
      </c>
      <c r="AF666" s="3" t="str">
        <f ca="1">IFERROR(__xludf.DUMMYFUNCTION("""COMPUTED_VALUE"""),"2055-06-02T14:50:57.578922Z")</f>
        <v>2055-06-02T14:50:57.578922Z</v>
      </c>
      <c r="AG666" s="3" t="str">
        <f ca="1">IFERROR(__xludf.DUMMYFUNCTION("""COMPUTED_VALUE"""),"2055-06-02T14:10:27.247462Z")</f>
        <v>2055-06-02T14:10:27.247462Z</v>
      </c>
      <c r="AH666" s="3" t="str">
        <f ca="1">IFERROR(__xludf.DUMMYFUNCTION("""COMPUTED_VALUE"""),"2055-06-02T14:33:29.073791Z")</f>
        <v>2055-06-02T14:33:29.073791Z</v>
      </c>
      <c r="AI666" s="3">
        <f ca="1">IFERROR(__xludf.DUMMYFUNCTION("""COMPUTED_VALUE"""),4.38)</f>
        <v>4.38</v>
      </c>
      <c r="AJ666" s="3">
        <f ca="1">IFERROR(__xludf.DUMMYFUNCTION("""COMPUTED_VALUE"""),196)</f>
        <v>196</v>
      </c>
      <c r="AK666" s="3">
        <f ca="1">IFERROR(__xludf.DUMMYFUNCTION("""COMPUTED_VALUE"""),626)</f>
        <v>626</v>
      </c>
      <c r="AL666" s="3"/>
    </row>
    <row r="667" spans="1:38" ht="13">
      <c r="A667" s="3">
        <f ca="1">IFERROR(__xludf.DUMMYFUNCTION("""COMPUTED_VALUE"""),246)</f>
        <v>246</v>
      </c>
      <c r="B667" s="3"/>
      <c r="C667" s="3">
        <f ca="1">IFERROR(__xludf.DUMMYFUNCTION("""COMPUTED_VALUE"""),4001)</f>
        <v>4001</v>
      </c>
      <c r="D667" s="3" t="str">
        <f ca="1">IFERROR(__xludf.DUMMYFUNCTION("""COMPUTED_VALUE"""),"Dashattan")</f>
        <v>Dashattan</v>
      </c>
      <c r="E667" s="3" t="str">
        <f ca="1">IFERROR(__xludf.DUMMYFUNCTION("""COMPUTED_VALUE"""),"Galaxy A")</f>
        <v>Galaxy A</v>
      </c>
      <c r="F667" s="3" t="str">
        <f ca="1">IFERROR(__xludf.DUMMYFUNCTION("""COMPUTED_VALUE"""),"Rojan")</f>
        <v>Rojan</v>
      </c>
      <c r="G667" s="3">
        <f ca="1">IFERROR(__xludf.DUMMYFUNCTION("""COMPUTED_VALUE"""),0)</f>
        <v>0</v>
      </c>
      <c r="H667" s="3" t="str">
        <f ca="1">IFERROR(__xludf.DUMMYFUNCTION("""COMPUTED_VALUE"""),"bicycle")</f>
        <v>bicycle</v>
      </c>
      <c r="I667" s="3" t="str">
        <f ca="1">IFERROR(__xludf.DUMMYFUNCTION("""COMPUTED_VALUE"""),"2055-06-03T01:44:23.437307Z")</f>
        <v>2055-06-03T01:44:23.437307Z</v>
      </c>
      <c r="J667" s="3" t="str">
        <f ca="1">IFERROR(__xludf.DUMMYFUNCTION("""COMPUTED_VALUE"""),"2055-06-03T02:54:10.494Z")</f>
        <v>2055-06-03T02:54:10.494Z</v>
      </c>
      <c r="K667" s="3" t="str">
        <f ca="1">IFERROR(__xludf.DUMMYFUNCTION("""COMPUTED_VALUE"""),"2055-06-03T02:37:16.494Z")</f>
        <v>2055-06-03T02:37:16.494Z</v>
      </c>
      <c r="L667" s="3">
        <f ca="1">IFERROR(__xludf.DUMMYFUNCTION("""COMPUTED_VALUE"""),1)</f>
        <v>1</v>
      </c>
      <c r="M667" s="3">
        <f ca="1">IFERROR(__xludf.DUMMYFUNCTION("""COMPUTED_VALUE"""),0)</f>
        <v>0</v>
      </c>
      <c r="N667" s="3" t="str">
        <f ca="1">IFERROR(__xludf.DUMMYFUNCTION("""COMPUTED_VALUE"""),"2055-06-03T02:28:58.150747Z")</f>
        <v>2055-06-03T02:28:58.150747Z</v>
      </c>
      <c r="O667" s="3" t="str">
        <f ca="1">IFERROR(__xludf.DUMMYFUNCTION("""COMPUTED_VALUE"""),"2055-06-03T02:39:27.482248Z")</f>
        <v>2055-06-03T02:39:27.482248Z</v>
      </c>
      <c r="P667" s="3" t="str">
        <f ca="1">IFERROR(__xludf.DUMMYFUNCTION("""COMPUTED_VALUE"""),"2055-06-03T01:44:34.205273Z")</f>
        <v>2055-06-03T01:44:34.205273Z</v>
      </c>
      <c r="Q667" s="3">
        <f ca="1">IFERROR(__xludf.DUMMYFUNCTION("""COMPUTED_VALUE"""),0)</f>
        <v>0</v>
      </c>
      <c r="R667" s="3" t="str">
        <f ca="1">IFERROR(__xludf.DUMMYFUNCTION("""COMPUTED_VALUE"""),"2055-06-03T01:45:15.523946Z")</f>
        <v>2055-06-03T01:45:15.523946Z</v>
      </c>
      <c r="S667" s="3" t="str">
        <f ca="1">IFERROR(__xludf.DUMMYFUNCTION("""COMPUTED_VALUE"""),"2055-06-03T02:04:26.982984Z")</f>
        <v>2055-06-03T02:04:26.982984Z</v>
      </c>
      <c r="T667" s="3"/>
      <c r="U667" s="4">
        <f ca="1">IFERROR(__xludf.DUMMYFUNCTION("""COMPUTED_VALUE"""),56767)</f>
        <v>56767</v>
      </c>
      <c r="V667" s="3">
        <f ca="1">IFERROR(__xludf.DUMMYFUNCTION("""COMPUTED_VALUE"""),4.2)</f>
        <v>4.2</v>
      </c>
      <c r="W667" s="3">
        <f ca="1">IFERROR(__xludf.DUMMYFUNCTION("""COMPUTED_VALUE"""),2000)</f>
        <v>2000</v>
      </c>
      <c r="X667" s="3">
        <f ca="1">IFERROR(__xludf.DUMMYFUNCTION("""COMPUTED_VALUE"""),3252)</f>
        <v>3252</v>
      </c>
      <c r="Y667" s="3">
        <f ca="1">IFERROR(__xludf.DUMMYFUNCTION("""COMPUTED_VALUE"""),1151)</f>
        <v>1151</v>
      </c>
      <c r="Z667" s="3">
        <f ca="1">IFERROR(__xludf.DUMMYFUNCTION("""COMPUTED_VALUE"""),1472)</f>
        <v>1472</v>
      </c>
      <c r="AA667" s="3">
        <f ca="1">IFERROR(__xludf.DUMMYFUNCTION("""COMPUTED_VALUE"""),629)</f>
        <v>629</v>
      </c>
      <c r="AB667" s="3">
        <f ca="1">IFERROR(__xludf.DUMMYFUNCTION("""COMPUTED_VALUE"""),0)</f>
        <v>0</v>
      </c>
      <c r="AC667" s="3">
        <f ca="1">IFERROR(__xludf.DUMMYFUNCTION("""COMPUTED_VALUE"""),4)</f>
        <v>4</v>
      </c>
      <c r="AD667" s="3" t="str">
        <f ca="1">IFERROR(__xludf.DUMMYFUNCTION("""COMPUTED_VALUE"""),"early")</f>
        <v>early</v>
      </c>
      <c r="AE667" s="3" t="str">
        <f ca="1">IFERROR(__xludf.DUMMYFUNCTION("""COMPUTED_VALUE"""),"2055-06-02T22:28:58.150747Z")</f>
        <v>2055-06-02T22:28:58.150747Z</v>
      </c>
      <c r="AF667" s="3" t="str">
        <f ca="1">IFERROR(__xludf.DUMMYFUNCTION("""COMPUTED_VALUE"""),"2055-06-02T22:39:27.482248Z")</f>
        <v>2055-06-02T22:39:27.482248Z</v>
      </c>
      <c r="AG667" s="3" t="str">
        <f ca="1">IFERROR(__xludf.DUMMYFUNCTION("""COMPUTED_VALUE"""),"2055-06-02T21:44:34.205273Z")</f>
        <v>2055-06-02T21:44:34.205273Z</v>
      </c>
      <c r="AH667" s="3" t="str">
        <f ca="1">IFERROR(__xludf.DUMMYFUNCTION("""COMPUTED_VALUE"""),"2055-06-02T22:04:26.982984Z")</f>
        <v>2055-06-02T22:04:26.982984Z</v>
      </c>
      <c r="AI667" s="3">
        <f ca="1">IFERROR(__xludf.DUMMYFUNCTION("""COMPUTED_VALUE"""),4.58)</f>
        <v>4.58</v>
      </c>
      <c r="AJ667" s="3">
        <f ca="1">IFERROR(__xludf.DUMMYFUNCTION("""COMPUTED_VALUE"""),254)</f>
        <v>254</v>
      </c>
      <c r="AK667" s="3">
        <f ca="1">IFERROR(__xludf.DUMMYFUNCTION("""COMPUTED_VALUE"""),788)</f>
        <v>788</v>
      </c>
      <c r="AL667" s="3">
        <f ca="1">IFERROR(__xludf.DUMMYFUNCTION("""COMPUTED_VALUE"""),9)</f>
        <v>9</v>
      </c>
    </row>
    <row r="668" spans="1:38" ht="13">
      <c r="A668" s="3">
        <f ca="1">IFERROR(__xludf.DUMMYFUNCTION("""COMPUTED_VALUE"""),1400)</f>
        <v>1400</v>
      </c>
      <c r="B668" s="3">
        <f ca="1">IFERROR(__xludf.DUMMYFUNCTION("""COMPUTED_VALUE"""),5)</f>
        <v>5</v>
      </c>
      <c r="C668" s="3">
        <f ca="1">IFERROR(__xludf.DUMMYFUNCTION("""COMPUTED_VALUE"""),4001)</f>
        <v>4001</v>
      </c>
      <c r="D668" s="3" t="str">
        <f ca="1">IFERROR(__xludf.DUMMYFUNCTION("""COMPUTED_VALUE"""),"Dashattan")</f>
        <v>Dashattan</v>
      </c>
      <c r="E668" s="3" t="str">
        <f ca="1">IFERROR(__xludf.DUMMYFUNCTION("""COMPUTED_VALUE"""),"Galaxy A")</f>
        <v>Galaxy A</v>
      </c>
      <c r="F668" s="3" t="str">
        <f ca="1">IFERROR(__xludf.DUMMYFUNCTION("""COMPUTED_VALUE"""),"Mike")</f>
        <v>Mike</v>
      </c>
      <c r="G668" s="3">
        <f ca="1">IFERROR(__xludf.DUMMYFUNCTION("""COMPUTED_VALUE"""),0)</f>
        <v>0</v>
      </c>
      <c r="H668" s="3" t="str">
        <f ca="1">IFERROR(__xludf.DUMMYFUNCTION("""COMPUTED_VALUE"""),"bicycle")</f>
        <v>bicycle</v>
      </c>
      <c r="I668" s="3" t="str">
        <f ca="1">IFERROR(__xludf.DUMMYFUNCTION("""COMPUTED_VALUE"""),"2055-06-12T16:33:02.779606Z")</f>
        <v>2055-06-12T16:33:02.779606Z</v>
      </c>
      <c r="J668" s="3" t="str">
        <f ca="1">IFERROR(__xludf.DUMMYFUNCTION("""COMPUTED_VALUE"""),"2055-06-12T17:39:17.845Z")</f>
        <v>2055-06-12T17:39:17.845Z</v>
      </c>
      <c r="K668" s="3" t="str">
        <f ca="1">IFERROR(__xludf.DUMMYFUNCTION("""COMPUTED_VALUE"""),"2055-06-12T17:19:38.845Z")</f>
        <v>2055-06-12T17:19:38.845Z</v>
      </c>
      <c r="L668" s="3">
        <f ca="1">IFERROR(__xludf.DUMMYFUNCTION("""COMPUTED_VALUE"""),1)</f>
        <v>1</v>
      </c>
      <c r="M668" s="3">
        <f ca="1">IFERROR(__xludf.DUMMYFUNCTION("""COMPUTED_VALUE"""),0)</f>
        <v>0</v>
      </c>
      <c r="N668" s="3" t="str">
        <f ca="1">IFERROR(__xludf.DUMMYFUNCTION("""COMPUTED_VALUE"""),"2055-06-12T16:52:39.034709Z")</f>
        <v>2055-06-12T16:52:39.034709Z</v>
      </c>
      <c r="O668" s="3" t="str">
        <f ca="1">IFERROR(__xludf.DUMMYFUNCTION("""COMPUTED_VALUE"""),"2055-06-12T17:09:32.44Z")</f>
        <v>2055-06-12T17:09:32.44Z</v>
      </c>
      <c r="P668" s="3" t="str">
        <f ca="1">IFERROR(__xludf.DUMMYFUNCTION("""COMPUTED_VALUE"""),"2055-06-12T16:33:14.250814Z")</f>
        <v>2055-06-12T16:33:14.250814Z</v>
      </c>
      <c r="Q668" s="3">
        <f ca="1">IFERROR(__xludf.DUMMYFUNCTION("""COMPUTED_VALUE"""),0)</f>
        <v>0</v>
      </c>
      <c r="R668" s="3" t="str">
        <f ca="1">IFERROR(__xludf.DUMMYFUNCTION("""COMPUTED_VALUE"""),"2055-06-12T16:33:22.476763Z")</f>
        <v>2055-06-12T16:33:22.476763Z</v>
      </c>
      <c r="S668" s="3" t="str">
        <f ca="1">IFERROR(__xludf.DUMMYFUNCTION("""COMPUTED_VALUE"""),"2055-06-12T16:50:18.722284Z")</f>
        <v>2055-06-12T16:50:18.722284Z</v>
      </c>
      <c r="T668" s="3"/>
      <c r="U668" s="4">
        <f ca="1">IFERROR(__xludf.DUMMYFUNCTION("""COMPUTED_VALUE"""),56777)</f>
        <v>56777</v>
      </c>
      <c r="V668" s="3">
        <f ca="1">IFERROR(__xludf.DUMMYFUNCTION("""COMPUTED_VALUE"""),4.4)</f>
        <v>4.4000000000000004</v>
      </c>
      <c r="W668" s="3">
        <f ca="1">IFERROR(__xludf.DUMMYFUNCTION("""COMPUTED_VALUE"""),2000)</f>
        <v>2000</v>
      </c>
      <c r="X668" s="3">
        <f ca="1">IFERROR(__xludf.DUMMYFUNCTION("""COMPUTED_VALUE"""),2170)</f>
        <v>2170</v>
      </c>
      <c r="Y668" s="3">
        <f ca="1">IFERROR(__xludf.DUMMYFUNCTION("""COMPUTED_VALUE"""),1016)</f>
        <v>1016</v>
      </c>
      <c r="Z668" s="3">
        <f ca="1">IFERROR(__xludf.DUMMYFUNCTION("""COMPUTED_VALUE"""),141)</f>
        <v>141</v>
      </c>
      <c r="AA668" s="3">
        <f ca="1">IFERROR(__xludf.DUMMYFUNCTION("""COMPUTED_VALUE"""),1013)</f>
        <v>1013</v>
      </c>
      <c r="AB668" s="3">
        <f ca="1">IFERROR(__xludf.DUMMYFUNCTION("""COMPUTED_VALUE"""),0)</f>
        <v>0</v>
      </c>
      <c r="AC668" s="3">
        <f ca="1">IFERROR(__xludf.DUMMYFUNCTION("""COMPUTED_VALUE"""),3)</f>
        <v>3</v>
      </c>
      <c r="AD668" s="3"/>
      <c r="AE668" s="3" t="str">
        <f ca="1">IFERROR(__xludf.DUMMYFUNCTION("""COMPUTED_VALUE"""),"2055-06-12T12:52:39.034709Z")</f>
        <v>2055-06-12T12:52:39.034709Z</v>
      </c>
      <c r="AF668" s="3" t="str">
        <f ca="1">IFERROR(__xludf.DUMMYFUNCTION("""COMPUTED_VALUE"""),"2055-06-12T13:09:32.44Z")</f>
        <v>2055-06-12T13:09:32.44Z</v>
      </c>
      <c r="AG668" s="3" t="str">
        <f ca="1">IFERROR(__xludf.DUMMYFUNCTION("""COMPUTED_VALUE"""),"2055-06-12T12:33:14.250814Z")</f>
        <v>2055-06-12T12:33:14.250814Z</v>
      </c>
      <c r="AH668" s="3" t="str">
        <f ca="1">IFERROR(__xludf.DUMMYFUNCTION("""COMPUTED_VALUE"""),"2055-06-12T12:50:18.722284Z")</f>
        <v>2055-06-12T12:50:18.722284Z</v>
      </c>
      <c r="AI668" s="3">
        <f ca="1">IFERROR(__xludf.DUMMYFUNCTION("""COMPUTED_VALUE"""),4.63)</f>
        <v>4.63</v>
      </c>
      <c r="AJ668" s="3">
        <f ca="1">IFERROR(__xludf.DUMMYFUNCTION("""COMPUTED_VALUE"""),242)</f>
        <v>242</v>
      </c>
      <c r="AK668" s="3">
        <f ca="1">IFERROR(__xludf.DUMMYFUNCTION("""COMPUTED_VALUE"""),736)</f>
        <v>736</v>
      </c>
      <c r="AL668" s="3"/>
    </row>
    <row r="669" spans="1:38" ht="13">
      <c r="A669" s="3">
        <f ca="1">IFERROR(__xludf.DUMMYFUNCTION("""COMPUTED_VALUE"""),331)</f>
        <v>331</v>
      </c>
      <c r="B669" s="3">
        <f ca="1">IFERROR(__xludf.DUMMYFUNCTION("""COMPUTED_VALUE"""),5)</f>
        <v>5</v>
      </c>
      <c r="C669" s="3">
        <f ca="1">IFERROR(__xludf.DUMMYFUNCTION("""COMPUTED_VALUE"""),4050)</f>
        <v>4050</v>
      </c>
      <c r="D669" s="3" t="str">
        <f ca="1">IFERROR(__xludf.DUMMYFUNCTION("""COMPUTED_VALUE"""),"Doorlanta")</f>
        <v>Doorlanta</v>
      </c>
      <c r="E669" s="3" t="str">
        <f ca="1">IFERROR(__xludf.DUMMYFUNCTION("""COMPUTED_VALUE"""),"Galaxy A")</f>
        <v>Galaxy A</v>
      </c>
      <c r="F669" s="3" t="str">
        <f ca="1">IFERROR(__xludf.DUMMYFUNCTION("""COMPUTED_VALUE"""),"Benn")</f>
        <v>Benn</v>
      </c>
      <c r="G669" s="3">
        <f ca="1">IFERROR(__xludf.DUMMYFUNCTION("""COMPUTED_VALUE"""),0)</f>
        <v>0</v>
      </c>
      <c r="H669" s="3" t="str">
        <f ca="1">IFERROR(__xludf.DUMMYFUNCTION("""COMPUTED_VALUE"""),"car")</f>
        <v>car</v>
      </c>
      <c r="I669" s="3" t="str">
        <f ca="1">IFERROR(__xludf.DUMMYFUNCTION("""COMPUTED_VALUE"""),"2055-06-03T21:05:18.780374Z")</f>
        <v>2055-06-03T21:05:18.780374Z</v>
      </c>
      <c r="J669" s="3" t="str">
        <f ca="1">IFERROR(__xludf.DUMMYFUNCTION("""COMPUTED_VALUE"""),"2055-06-03T22:11:43.872Z")</f>
        <v>2055-06-03T22:11:43.872Z</v>
      </c>
      <c r="K669" s="3" t="str">
        <f ca="1">IFERROR(__xludf.DUMMYFUNCTION("""COMPUTED_VALUE"""),"2055-06-03T21:49:49.872Z")</f>
        <v>2055-06-03T21:49:49.872Z</v>
      </c>
      <c r="L669" s="3">
        <f ca="1">IFERROR(__xludf.DUMMYFUNCTION("""COMPUTED_VALUE"""),1)</f>
        <v>1</v>
      </c>
      <c r="M669" s="3">
        <f ca="1">IFERROR(__xludf.DUMMYFUNCTION("""COMPUTED_VALUE"""),0)</f>
        <v>0</v>
      </c>
      <c r="N669" s="3" t="str">
        <f ca="1">IFERROR(__xludf.DUMMYFUNCTION("""COMPUTED_VALUE"""),"2055-06-03T21:44:42.495958Z")</f>
        <v>2055-06-03T21:44:42.495958Z</v>
      </c>
      <c r="O669" s="3" t="str">
        <f ca="1">IFERROR(__xludf.DUMMYFUNCTION("""COMPUTED_VALUE"""),"2055-06-03T22:06:14.533977Z")</f>
        <v>2055-06-03T22:06:14.533977Z</v>
      </c>
      <c r="P669" s="3" t="str">
        <f ca="1">IFERROR(__xludf.DUMMYFUNCTION("""COMPUTED_VALUE"""),"2055-06-03T21:11:27.293714Z")</f>
        <v>2055-06-03T21:11:27.293714Z</v>
      </c>
      <c r="Q669" s="3">
        <f ca="1">IFERROR(__xludf.DUMMYFUNCTION("""COMPUTED_VALUE"""),0)</f>
        <v>0</v>
      </c>
      <c r="R669" s="3" t="str">
        <f ca="1">IFERROR(__xludf.DUMMYFUNCTION("""COMPUTED_VALUE"""),"2055-06-03T21:11:30.191736Z")</f>
        <v>2055-06-03T21:11:30.191736Z</v>
      </c>
      <c r="S669" s="3" t="str">
        <f ca="1">IFERROR(__xludf.DUMMYFUNCTION("""COMPUTED_VALUE"""),"2055-06-03T21:34:43.768855Z")</f>
        <v>2055-06-03T21:34:43.768855Z</v>
      </c>
      <c r="T669" s="3"/>
      <c r="U669" s="4">
        <f ca="1">IFERROR(__xludf.DUMMYFUNCTION("""COMPUTED_VALUE"""),56768)</f>
        <v>56768</v>
      </c>
      <c r="V669" s="3">
        <f ca="1">IFERROR(__xludf.DUMMYFUNCTION("""COMPUTED_VALUE"""),4.5)</f>
        <v>4.5</v>
      </c>
      <c r="W669" s="3">
        <f ca="1">IFERROR(__xludf.DUMMYFUNCTION("""COMPUTED_VALUE"""),2000)</f>
        <v>2000</v>
      </c>
      <c r="X669" s="3">
        <f ca="1">IFERROR(__xludf.DUMMYFUNCTION("""COMPUTED_VALUE"""),3284)</f>
        <v>3284</v>
      </c>
      <c r="Y669" s="3">
        <f ca="1">IFERROR(__xludf.DUMMYFUNCTION("""COMPUTED_VALUE"""),1393)</f>
        <v>1393</v>
      </c>
      <c r="Z669" s="3">
        <f ca="1">IFERROR(__xludf.DUMMYFUNCTION("""COMPUTED_VALUE"""),599)</f>
        <v>599</v>
      </c>
      <c r="AA669" s="3">
        <f ca="1">IFERROR(__xludf.DUMMYFUNCTION("""COMPUTED_VALUE"""),1292)</f>
        <v>1292</v>
      </c>
      <c r="AB669" s="3">
        <f ca="1">IFERROR(__xludf.DUMMYFUNCTION("""COMPUTED_VALUE"""),0)</f>
        <v>0</v>
      </c>
      <c r="AC669" s="3">
        <f ca="1">IFERROR(__xludf.DUMMYFUNCTION("""COMPUTED_VALUE"""),1)</f>
        <v>1</v>
      </c>
      <c r="AD669" s="3" t="str">
        <f ca="1">IFERROR(__xludf.DUMMYFUNCTION("""COMPUTED_VALUE"""),"late")</f>
        <v>late</v>
      </c>
      <c r="AE669" s="3" t="str">
        <f ca="1">IFERROR(__xludf.DUMMYFUNCTION("""COMPUTED_VALUE"""),"2055-06-03T17:44:42.495958Z")</f>
        <v>2055-06-03T17:44:42.495958Z</v>
      </c>
      <c r="AF669" s="3" t="str">
        <f ca="1">IFERROR(__xludf.DUMMYFUNCTION("""COMPUTED_VALUE"""),"2055-06-03T18:06:14.533977Z")</f>
        <v>2055-06-03T18:06:14.533977Z</v>
      </c>
      <c r="AG669" s="3" t="str">
        <f ca="1">IFERROR(__xludf.DUMMYFUNCTION("""COMPUTED_VALUE"""),"2055-06-03T17:11:27.293714Z")</f>
        <v>2055-06-03T17:11:27.293714Z</v>
      </c>
      <c r="AH669" s="3" t="str">
        <f ca="1">IFERROR(__xludf.DUMMYFUNCTION("""COMPUTED_VALUE"""),"2055-06-03T17:34:43.768855Z")</f>
        <v>2055-06-03T17:34:43.768855Z</v>
      </c>
      <c r="AI669" s="3">
        <f ca="1">IFERROR(__xludf.DUMMYFUNCTION("""COMPUTED_VALUE"""),4.63)</f>
        <v>4.63</v>
      </c>
      <c r="AJ669" s="3">
        <f ca="1">IFERROR(__xludf.DUMMYFUNCTION("""COMPUTED_VALUE"""),241)</f>
        <v>241</v>
      </c>
      <c r="AK669" s="3">
        <f ca="1">IFERROR(__xludf.DUMMYFUNCTION("""COMPUTED_VALUE"""),995)</f>
        <v>995</v>
      </c>
      <c r="AL669" s="3">
        <f ca="1">IFERROR(__xludf.DUMMYFUNCTION("""COMPUTED_VALUE"""),626)</f>
        <v>626</v>
      </c>
    </row>
    <row r="670" spans="1:38" ht="13">
      <c r="A670" s="3">
        <f ca="1">IFERROR(__xludf.DUMMYFUNCTION("""COMPUTED_VALUE"""),672)</f>
        <v>672</v>
      </c>
      <c r="B670" s="3">
        <f ca="1">IFERROR(__xludf.DUMMYFUNCTION("""COMPUTED_VALUE"""),5)</f>
        <v>5</v>
      </c>
      <c r="C670" s="3">
        <f ca="1">IFERROR(__xludf.DUMMYFUNCTION("""COMPUTED_VALUE"""),4001)</f>
        <v>4001</v>
      </c>
      <c r="D670" s="3" t="str">
        <f ca="1">IFERROR(__xludf.DUMMYFUNCTION("""COMPUTED_VALUE"""),"Dashattan")</f>
        <v>Dashattan</v>
      </c>
      <c r="E670" s="3" t="str">
        <f ca="1">IFERROR(__xludf.DUMMYFUNCTION("""COMPUTED_VALUE"""),"Galaxy A")</f>
        <v>Galaxy A</v>
      </c>
      <c r="F670" s="3" t="str">
        <f ca="1">IFERROR(__xludf.DUMMYFUNCTION("""COMPUTED_VALUE"""),"Bill")</f>
        <v>Bill</v>
      </c>
      <c r="G670" s="3">
        <f ca="1">IFERROR(__xludf.DUMMYFUNCTION("""COMPUTED_VALUE"""),0)</f>
        <v>0</v>
      </c>
      <c r="H670" s="3" t="str">
        <f ca="1">IFERROR(__xludf.DUMMYFUNCTION("""COMPUTED_VALUE"""),"car")</f>
        <v>car</v>
      </c>
      <c r="I670" s="3" t="str">
        <f ca="1">IFERROR(__xludf.DUMMYFUNCTION("""COMPUTED_VALUE"""),"2055-06-05T23:14:53.836593Z")</f>
        <v>2055-06-05T23:14:53.836593Z</v>
      </c>
      <c r="J670" s="3" t="str">
        <f ca="1">IFERROR(__xludf.DUMMYFUNCTION("""COMPUTED_VALUE"""),"2055-06-06T00:08:52.895Z")</f>
        <v>2055-06-06T00:08:52.895Z</v>
      </c>
      <c r="K670" s="3" t="str">
        <f ca="1">IFERROR(__xludf.DUMMYFUNCTION("""COMPUTED_VALUE"""),"2055-06-05T23:54:11.895Z")</f>
        <v>2055-06-05T23:54:11.895Z</v>
      </c>
      <c r="L670" s="3">
        <f ca="1">IFERROR(__xludf.DUMMYFUNCTION("""COMPUTED_VALUE"""),1)</f>
        <v>1</v>
      </c>
      <c r="M670" s="3">
        <f ca="1">IFERROR(__xludf.DUMMYFUNCTION("""COMPUTED_VALUE"""),0)</f>
        <v>0</v>
      </c>
      <c r="N670" s="3" t="str">
        <f ca="1">IFERROR(__xludf.DUMMYFUNCTION("""COMPUTED_VALUE"""),"2055-06-06T00:02:19.905328Z")</f>
        <v>2055-06-06T00:02:19.905328Z</v>
      </c>
      <c r="O670" s="3" t="str">
        <f ca="1">IFERROR(__xludf.DUMMYFUNCTION("""COMPUTED_VALUE"""),"2055-06-06T00:24:22.150673Z")</f>
        <v>2055-06-06T00:24:22.150673Z</v>
      </c>
      <c r="P670" s="3" t="str">
        <f ca="1">IFERROR(__xludf.DUMMYFUNCTION("""COMPUTED_VALUE"""),"2055-06-05T23:47:37.681427Z")</f>
        <v>2055-06-05T23:47:37.681427Z</v>
      </c>
      <c r="Q670" s="3">
        <f ca="1">IFERROR(__xludf.DUMMYFUNCTION("""COMPUTED_VALUE"""),0)</f>
        <v>0</v>
      </c>
      <c r="R670" s="3" t="str">
        <f ca="1">IFERROR(__xludf.DUMMYFUNCTION("""COMPUTED_VALUE"""),"2055-06-05T23:47:42.204674Z")</f>
        <v>2055-06-05T23:47:42.204674Z</v>
      </c>
      <c r="S670" s="3" t="str">
        <f ca="1">IFERROR(__xludf.DUMMYFUNCTION("""COMPUTED_VALUE"""),"2055-06-05T23:59:08.28664Z")</f>
        <v>2055-06-05T23:59:08.28664Z</v>
      </c>
      <c r="T670" s="3"/>
      <c r="U670" s="4">
        <f ca="1">IFERROR(__xludf.DUMMYFUNCTION("""COMPUTED_VALUE"""),56770)</f>
        <v>56770</v>
      </c>
      <c r="V670" s="3">
        <f ca="1">IFERROR(__xludf.DUMMYFUNCTION("""COMPUTED_VALUE"""),4.649691893)</f>
        <v>4.649691893</v>
      </c>
      <c r="W670" s="3">
        <f ca="1">IFERROR(__xludf.DUMMYFUNCTION("""COMPUTED_VALUE"""),2000)</f>
        <v>2000</v>
      </c>
      <c r="X670" s="3">
        <f ca="1">IFERROR(__xludf.DUMMYFUNCTION("""COMPUTED_VALUE"""),2200)</f>
        <v>2200</v>
      </c>
      <c r="Y670" s="3">
        <f ca="1">IFERROR(__xludf.DUMMYFUNCTION("""COMPUTED_VALUE"""),686)</f>
        <v>686</v>
      </c>
      <c r="Z670" s="3">
        <f ca="1">IFERROR(__xludf.DUMMYFUNCTION("""COMPUTED_VALUE"""),191)</f>
        <v>191</v>
      </c>
      <c r="AA670" s="3">
        <f ca="1">IFERROR(__xludf.DUMMYFUNCTION("""COMPUTED_VALUE"""),1323)</f>
        <v>1323</v>
      </c>
      <c r="AB670" s="3">
        <f ca="1">IFERROR(__xludf.DUMMYFUNCTION("""COMPUTED_VALUE"""),0)</f>
        <v>0</v>
      </c>
      <c r="AC670" s="3">
        <f ca="1">IFERROR(__xludf.DUMMYFUNCTION("""COMPUTED_VALUE"""),6)</f>
        <v>6</v>
      </c>
      <c r="AD670" s="3" t="str">
        <f ca="1">IFERROR(__xludf.DUMMYFUNCTION("""COMPUTED_VALUE"""),"late")</f>
        <v>late</v>
      </c>
      <c r="AE670" s="3" t="str">
        <f ca="1">IFERROR(__xludf.DUMMYFUNCTION("""COMPUTED_VALUE"""),"2055-06-05T20:02:19.905328Z")</f>
        <v>2055-06-05T20:02:19.905328Z</v>
      </c>
      <c r="AF670" s="3" t="str">
        <f ca="1">IFERROR(__xludf.DUMMYFUNCTION("""COMPUTED_VALUE"""),"2055-06-05T20:24:22.150673Z")</f>
        <v>2055-06-05T20:24:22.150673Z</v>
      </c>
      <c r="AG670" s="3" t="str">
        <f ca="1">IFERROR(__xludf.DUMMYFUNCTION("""COMPUTED_VALUE"""),"2055-06-05T19:47:37.681427Z")</f>
        <v>2055-06-05T19:47:37.681427Z</v>
      </c>
      <c r="AH670" s="3" t="str">
        <f ca="1">IFERROR(__xludf.DUMMYFUNCTION("""COMPUTED_VALUE"""),"2055-06-05T19:59:08.28664Z")</f>
        <v>2055-06-05T19:59:08.28664Z</v>
      </c>
      <c r="AI670" s="3">
        <f ca="1">IFERROR(__xludf.DUMMYFUNCTION("""COMPUTED_VALUE"""),4.46)</f>
        <v>4.46</v>
      </c>
      <c r="AJ670" s="3">
        <f ca="1">IFERROR(__xludf.DUMMYFUNCTION("""COMPUTED_VALUE"""),148)</f>
        <v>148</v>
      </c>
      <c r="AK670" s="3">
        <f ca="1">IFERROR(__xludf.DUMMYFUNCTION("""COMPUTED_VALUE"""),435)</f>
        <v>435</v>
      </c>
      <c r="AL670" s="3"/>
    </row>
    <row r="671" spans="1:38" ht="13">
      <c r="A671" s="3">
        <f ca="1">IFERROR(__xludf.DUMMYFUNCTION("""COMPUTED_VALUE"""),1018)</f>
        <v>1018</v>
      </c>
      <c r="B671" s="3"/>
      <c r="C671" s="3">
        <f ca="1">IFERROR(__xludf.DUMMYFUNCTION("""COMPUTED_VALUE"""),4001)</f>
        <v>4001</v>
      </c>
      <c r="D671" s="3" t="str">
        <f ca="1">IFERROR(__xludf.DUMMYFUNCTION("""COMPUTED_VALUE"""),"Dashattan")</f>
        <v>Dashattan</v>
      </c>
      <c r="E671" s="3" t="str">
        <f ca="1">IFERROR(__xludf.DUMMYFUNCTION("""COMPUTED_VALUE"""),"Galaxy A")</f>
        <v>Galaxy A</v>
      </c>
      <c r="F671" s="3" t="str">
        <f ca="1">IFERROR(__xludf.DUMMYFUNCTION("""COMPUTED_VALUE"""),"Etan")</f>
        <v>Etan</v>
      </c>
      <c r="G671" s="3">
        <f ca="1">IFERROR(__xludf.DUMMYFUNCTION("""COMPUTED_VALUE"""),0)</f>
        <v>0</v>
      </c>
      <c r="H671" s="3" t="str">
        <f ca="1">IFERROR(__xludf.DUMMYFUNCTION("""COMPUTED_VALUE"""),"bicycle")</f>
        <v>bicycle</v>
      </c>
      <c r="I671" s="3" t="str">
        <f ca="1">IFERROR(__xludf.DUMMYFUNCTION("""COMPUTED_VALUE"""),"2055-06-09T15:15:57.941317Z")</f>
        <v>2055-06-09T15:15:57.941317Z</v>
      </c>
      <c r="J671" s="3" t="str">
        <f ca="1">IFERROR(__xludf.DUMMYFUNCTION("""COMPUTED_VALUE"""),"2055-06-09T16:09:24.996Z")</f>
        <v>2055-06-09T16:09:24.996Z</v>
      </c>
      <c r="K671" s="3" t="str">
        <f ca="1">IFERROR(__xludf.DUMMYFUNCTION("""COMPUTED_VALUE"""),"2055-06-09T15:54:45.996Z")</f>
        <v>2055-06-09T15:54:45.996Z</v>
      </c>
      <c r="L671" s="3">
        <f ca="1">IFERROR(__xludf.DUMMYFUNCTION("""COMPUTED_VALUE"""),1)</f>
        <v>1</v>
      </c>
      <c r="M671" s="3">
        <f ca="1">IFERROR(__xludf.DUMMYFUNCTION("""COMPUTED_VALUE"""),0)</f>
        <v>0</v>
      </c>
      <c r="N671" s="3" t="str">
        <f ca="1">IFERROR(__xludf.DUMMYFUNCTION("""COMPUTED_VALUE"""),"2055-06-09T15:31:30.991949Z")</f>
        <v>2055-06-09T15:31:30.991949Z</v>
      </c>
      <c r="O671" s="3" t="str">
        <f ca="1">IFERROR(__xludf.DUMMYFUNCTION("""COMPUTED_VALUE"""),"2055-06-09T15:34:13.870945Z")</f>
        <v>2055-06-09T15:34:13.870945Z</v>
      </c>
      <c r="P671" s="3" t="str">
        <f ca="1">IFERROR(__xludf.DUMMYFUNCTION("""COMPUTED_VALUE"""),"2055-06-09T15:22:14.604065Z")</f>
        <v>2055-06-09T15:22:14.604065Z</v>
      </c>
      <c r="Q671" s="3">
        <f ca="1">IFERROR(__xludf.DUMMYFUNCTION("""COMPUTED_VALUE"""),0)</f>
        <v>0</v>
      </c>
      <c r="R671" s="3" t="str">
        <f ca="1">IFERROR(__xludf.DUMMYFUNCTION("""COMPUTED_VALUE"""),"2055-06-09T15:22:37.292906Z")</f>
        <v>2055-06-09T15:22:37.292906Z</v>
      </c>
      <c r="S671" s="3" t="str">
        <f ca="1">IFERROR(__xludf.DUMMYFUNCTION("""COMPUTED_VALUE"""),"2055-06-09T15:22:55.444057Z")</f>
        <v>2055-06-09T15:22:55.444057Z</v>
      </c>
      <c r="T671" s="3"/>
      <c r="U671" s="4">
        <f ca="1">IFERROR(__xludf.DUMMYFUNCTION("""COMPUTED_VALUE"""),56774)</f>
        <v>56774</v>
      </c>
      <c r="V671" s="3">
        <f ca="1">IFERROR(__xludf.DUMMYFUNCTION("""COMPUTED_VALUE"""),4.5)</f>
        <v>4.5</v>
      </c>
      <c r="W671" s="3">
        <f ca="1">IFERROR(__xludf.DUMMYFUNCTION("""COMPUTED_VALUE"""),2000)</f>
        <v>2000</v>
      </c>
      <c r="X671" s="3">
        <f ca="1">IFERROR(__xludf.DUMMYFUNCTION("""COMPUTED_VALUE"""),696)</f>
        <v>696</v>
      </c>
      <c r="Y671" s="3">
        <f ca="1">IFERROR(__xludf.DUMMYFUNCTION("""COMPUTED_VALUE"""),18)</f>
        <v>18</v>
      </c>
      <c r="Z671" s="3">
        <f ca="1">IFERROR(__xludf.DUMMYFUNCTION("""COMPUTED_VALUE"""),515)</f>
        <v>515</v>
      </c>
      <c r="AA671" s="3">
        <f ca="1">IFERROR(__xludf.DUMMYFUNCTION("""COMPUTED_VALUE"""),163)</f>
        <v>163</v>
      </c>
      <c r="AB671" s="3">
        <f ca="1">IFERROR(__xludf.DUMMYFUNCTION("""COMPUTED_VALUE"""),1)</f>
        <v>1</v>
      </c>
      <c r="AC671" s="3">
        <f ca="1">IFERROR(__xludf.DUMMYFUNCTION("""COMPUTED_VALUE"""),3)</f>
        <v>3</v>
      </c>
      <c r="AD671" s="3"/>
      <c r="AE671" s="3" t="str">
        <f ca="1">IFERROR(__xludf.DUMMYFUNCTION("""COMPUTED_VALUE"""),"2055-06-09T11:31:30.991949Z")</f>
        <v>2055-06-09T11:31:30.991949Z</v>
      </c>
      <c r="AF671" s="3" t="str">
        <f ca="1">IFERROR(__xludf.DUMMYFUNCTION("""COMPUTED_VALUE"""),"2055-06-09T11:34:13.870945Z")</f>
        <v>2055-06-09T11:34:13.870945Z</v>
      </c>
      <c r="AG671" s="3" t="str">
        <f ca="1">IFERROR(__xludf.DUMMYFUNCTION("""COMPUTED_VALUE"""),"2055-06-09T11:22:14.604065Z")</f>
        <v>2055-06-09T11:22:14.604065Z</v>
      </c>
      <c r="AH671" s="3" t="str">
        <f ca="1">IFERROR(__xludf.DUMMYFUNCTION("""COMPUTED_VALUE"""),"2055-06-09T11:22:55.444057Z")</f>
        <v>2055-06-09T11:22:55.444057Z</v>
      </c>
      <c r="AI671" s="3">
        <f ca="1">IFERROR(__xludf.DUMMYFUNCTION("""COMPUTED_VALUE"""),4.35106383)</f>
        <v>4.3510638300000002</v>
      </c>
      <c r="AJ671" s="3">
        <f ca="1">IFERROR(__xludf.DUMMYFUNCTION("""COMPUTED_VALUE"""),62)</f>
        <v>62</v>
      </c>
      <c r="AK671" s="3">
        <f ca="1">IFERROR(__xludf.DUMMYFUNCTION("""COMPUTED_VALUE"""),228)</f>
        <v>228</v>
      </c>
      <c r="AL671" s="3"/>
    </row>
    <row r="672" spans="1:38" ht="13">
      <c r="A672" s="3">
        <f ca="1">IFERROR(__xludf.DUMMYFUNCTION("""COMPUTED_VALUE"""),627)</f>
        <v>627</v>
      </c>
      <c r="B672" s="3"/>
      <c r="C672" s="3">
        <f ca="1">IFERROR(__xludf.DUMMYFUNCTION("""COMPUTED_VALUE"""),4050)</f>
        <v>4050</v>
      </c>
      <c r="D672" s="3" t="str">
        <f ca="1">IFERROR(__xludf.DUMMYFUNCTION("""COMPUTED_VALUE"""),"Doorlanta")</f>
        <v>Doorlanta</v>
      </c>
      <c r="E672" s="3" t="str">
        <f ca="1">IFERROR(__xludf.DUMMYFUNCTION("""COMPUTED_VALUE"""),"Galaxy A")</f>
        <v>Galaxy A</v>
      </c>
      <c r="F672" s="3" t="str">
        <f ca="1">IFERROR(__xludf.DUMMYFUNCTION("""COMPUTED_VALUE"""),"Cate")</f>
        <v>Cate</v>
      </c>
      <c r="G672" s="3">
        <f ca="1">IFERROR(__xludf.DUMMYFUNCTION("""COMPUTED_VALUE"""),0)</f>
        <v>0</v>
      </c>
      <c r="H672" s="3" t="str">
        <f ca="1">IFERROR(__xludf.DUMMYFUNCTION("""COMPUTED_VALUE"""),"car")</f>
        <v>car</v>
      </c>
      <c r="I672" s="3" t="str">
        <f ca="1">IFERROR(__xludf.DUMMYFUNCTION("""COMPUTED_VALUE"""),"2055-06-05T21:40:18.677135Z")</f>
        <v>2055-06-05T21:40:18.677135Z</v>
      </c>
      <c r="J672" s="3" t="str">
        <f ca="1">IFERROR(__xludf.DUMMYFUNCTION("""COMPUTED_VALUE"""),"2055-06-05T22:26:35.74Z")</f>
        <v>2055-06-05T22:26:35.74Z</v>
      </c>
      <c r="K672" s="3" t="str">
        <f ca="1">IFERROR(__xludf.DUMMYFUNCTION("""COMPUTED_VALUE"""),"2055-06-05T22:20:56.74Z")</f>
        <v>2055-06-05T22:20:56.74Z</v>
      </c>
      <c r="L672" s="3">
        <f ca="1">IFERROR(__xludf.DUMMYFUNCTION("""COMPUTED_VALUE"""),1)</f>
        <v>1</v>
      </c>
      <c r="M672" s="3">
        <f ca="1">IFERROR(__xludf.DUMMYFUNCTION("""COMPUTED_VALUE"""),0)</f>
        <v>0</v>
      </c>
      <c r="N672" s="3" t="str">
        <f ca="1">IFERROR(__xludf.DUMMYFUNCTION("""COMPUTED_VALUE"""),"2055-06-05T22:10:37.904486Z")</f>
        <v>2055-06-05T22:10:37.904486Z</v>
      </c>
      <c r="O672" s="3" t="str">
        <f ca="1">IFERROR(__xludf.DUMMYFUNCTION("""COMPUTED_VALUE"""),"2055-06-05T22:23:01.482473Z")</f>
        <v>2055-06-05T22:23:01.482473Z</v>
      </c>
      <c r="P672" s="3" t="str">
        <f ca="1">IFERROR(__xludf.DUMMYFUNCTION("""COMPUTED_VALUE"""),"2055-06-05T21:40:27.344203Z")</f>
        <v>2055-06-05T21:40:27.344203Z</v>
      </c>
      <c r="Q672" s="3">
        <f ca="1">IFERROR(__xludf.DUMMYFUNCTION("""COMPUTED_VALUE"""),0)</f>
        <v>0</v>
      </c>
      <c r="R672" s="3" t="str">
        <f ca="1">IFERROR(__xludf.DUMMYFUNCTION("""COMPUTED_VALUE"""),"2055-06-05T21:40:39.402528Z")</f>
        <v>2055-06-05T21:40:39.402528Z</v>
      </c>
      <c r="S672" s="3"/>
      <c r="T672" s="3"/>
      <c r="U672" s="4">
        <f ca="1">IFERROR(__xludf.DUMMYFUNCTION("""COMPUTED_VALUE"""),56770)</f>
        <v>56770</v>
      </c>
      <c r="V672" s="3">
        <f ca="1">IFERROR(__xludf.DUMMYFUNCTION("""COMPUTED_VALUE"""),4.7)</f>
        <v>4.7</v>
      </c>
      <c r="W672" s="3">
        <f ca="1">IFERROR(__xludf.DUMMYFUNCTION("""COMPUTED_VALUE"""),2000)</f>
        <v>2000</v>
      </c>
      <c r="X672" s="3">
        <f ca="1">IFERROR(__xludf.DUMMYFUNCTION("""COMPUTED_VALUE"""),2542)</f>
        <v>2542</v>
      </c>
      <c r="Y672" s="3"/>
      <c r="Z672" s="3"/>
      <c r="AA672" s="3">
        <f ca="1">IFERROR(__xludf.DUMMYFUNCTION("""COMPUTED_VALUE"""),744)</f>
        <v>744</v>
      </c>
      <c r="AB672" s="3">
        <f ca="1">IFERROR(__xludf.DUMMYFUNCTION("""COMPUTED_VALUE"""),0)</f>
        <v>0</v>
      </c>
      <c r="AC672" s="3">
        <f ca="1">IFERROR(__xludf.DUMMYFUNCTION("""COMPUTED_VALUE"""),3)</f>
        <v>3</v>
      </c>
      <c r="AD672" s="3"/>
      <c r="AE672" s="3" t="str">
        <f ca="1">IFERROR(__xludf.DUMMYFUNCTION("""COMPUTED_VALUE"""),"2055-06-05T18:10:37.904486Z")</f>
        <v>2055-06-05T18:10:37.904486Z</v>
      </c>
      <c r="AF672" s="3" t="str">
        <f ca="1">IFERROR(__xludf.DUMMYFUNCTION("""COMPUTED_VALUE"""),"2055-06-05T18:23:01.482473Z")</f>
        <v>2055-06-05T18:23:01.482473Z</v>
      </c>
      <c r="AG672" s="3" t="str">
        <f ca="1">IFERROR(__xludf.DUMMYFUNCTION("""COMPUTED_VALUE"""),"2055-06-05T17:40:27.344203Z")</f>
        <v>2055-06-05T17:40:27.344203Z</v>
      </c>
      <c r="AH672" s="3"/>
      <c r="AI672" s="3">
        <f ca="1">IFERROR(__xludf.DUMMYFUNCTION("""COMPUTED_VALUE"""),4.49)</f>
        <v>4.49</v>
      </c>
      <c r="AJ672" s="3">
        <f ca="1">IFERROR(__xludf.DUMMYFUNCTION("""COMPUTED_VALUE"""),2315)</f>
        <v>2315</v>
      </c>
      <c r="AK672" s="3">
        <f ca="1">IFERROR(__xludf.DUMMYFUNCTION("""COMPUTED_VALUE"""),7039)</f>
        <v>7039</v>
      </c>
      <c r="AL672" s="3">
        <f ca="1">IFERROR(__xludf.DUMMYFUNCTION("""COMPUTED_VALUE"""),763)</f>
        <v>763</v>
      </c>
    </row>
    <row r="673" spans="1:38" ht="13">
      <c r="A673" s="3">
        <f ca="1">IFERROR(__xludf.DUMMYFUNCTION("""COMPUTED_VALUE"""),352)</f>
        <v>352</v>
      </c>
      <c r="B673" s="3">
        <f ca="1">IFERROR(__xludf.DUMMYFUNCTION("""COMPUTED_VALUE"""),4)</f>
        <v>4</v>
      </c>
      <c r="C673" s="3">
        <f ca="1">IFERROR(__xludf.DUMMYFUNCTION("""COMPUTED_VALUE"""),4050)</f>
        <v>4050</v>
      </c>
      <c r="D673" s="3" t="str">
        <f ca="1">IFERROR(__xludf.DUMMYFUNCTION("""COMPUTED_VALUE"""),"Doorlanta")</f>
        <v>Doorlanta</v>
      </c>
      <c r="E673" s="3" t="str">
        <f ca="1">IFERROR(__xludf.DUMMYFUNCTION("""COMPUTED_VALUE"""),"Galaxy A")</f>
        <v>Galaxy A</v>
      </c>
      <c r="F673" s="3" t="str">
        <f ca="1">IFERROR(__xludf.DUMMYFUNCTION("""COMPUTED_VALUE"""),"Cate")</f>
        <v>Cate</v>
      </c>
      <c r="G673" s="3">
        <f ca="1">IFERROR(__xludf.DUMMYFUNCTION("""COMPUTED_VALUE"""),0)</f>
        <v>0</v>
      </c>
      <c r="H673" s="3" t="str">
        <f ca="1">IFERROR(__xludf.DUMMYFUNCTION("""COMPUTED_VALUE"""),"car")</f>
        <v>car</v>
      </c>
      <c r="I673" s="3" t="str">
        <f ca="1">IFERROR(__xludf.DUMMYFUNCTION("""COMPUTED_VALUE"""),"2055-06-03T22:49:15.680561Z")</f>
        <v>2055-06-03T22:49:15.680561Z</v>
      </c>
      <c r="J673" s="3" t="str">
        <f ca="1">IFERROR(__xludf.DUMMYFUNCTION("""COMPUTED_VALUE"""),"2055-06-03T23:44:15.76Z")</f>
        <v>2055-06-03T23:44:15.76Z</v>
      </c>
      <c r="K673" s="3" t="str">
        <f ca="1">IFERROR(__xludf.DUMMYFUNCTION("""COMPUTED_VALUE"""),"2055-06-03T23:16:12.76Z")</f>
        <v>2055-06-03T23:16:12.76Z</v>
      </c>
      <c r="L673" s="3">
        <f ca="1">IFERROR(__xludf.DUMMYFUNCTION("""COMPUTED_VALUE"""),1)</f>
        <v>1</v>
      </c>
      <c r="M673" s="3">
        <f ca="1">IFERROR(__xludf.DUMMYFUNCTION("""COMPUTED_VALUE"""),0)</f>
        <v>0</v>
      </c>
      <c r="N673" s="3" t="str">
        <f ca="1">IFERROR(__xludf.DUMMYFUNCTION("""COMPUTED_VALUE"""),"2055-06-03T23:05:50.077088Z")</f>
        <v>2055-06-03T23:05:50.077088Z</v>
      </c>
      <c r="O673" s="3" t="str">
        <f ca="1">IFERROR(__xludf.DUMMYFUNCTION("""COMPUTED_VALUE"""),"2055-06-03T23:19:10.70115Z")</f>
        <v>2055-06-03T23:19:10.70115Z</v>
      </c>
      <c r="P673" s="3" t="str">
        <f ca="1">IFERROR(__xludf.DUMMYFUNCTION("""COMPUTED_VALUE"""),"2055-06-03T22:49:27.421941Z")</f>
        <v>2055-06-03T22:49:27.421941Z</v>
      </c>
      <c r="Q673" s="3">
        <f ca="1">IFERROR(__xludf.DUMMYFUNCTION("""COMPUTED_VALUE"""),0)</f>
        <v>0</v>
      </c>
      <c r="R673" s="3" t="str">
        <f ca="1">IFERROR(__xludf.DUMMYFUNCTION("""COMPUTED_VALUE"""),"2055-06-03T22:49:33.055101Z")</f>
        <v>2055-06-03T22:49:33.055101Z</v>
      </c>
      <c r="S673" s="3" t="str">
        <f ca="1">IFERROR(__xludf.DUMMYFUNCTION("""COMPUTED_VALUE"""),"2055-06-03T23:00:43.441369Z")</f>
        <v>2055-06-03T23:00:43.441369Z</v>
      </c>
      <c r="T673" s="3"/>
      <c r="U673" s="4">
        <f ca="1">IFERROR(__xludf.DUMMYFUNCTION("""COMPUTED_VALUE"""),56768)</f>
        <v>56768</v>
      </c>
      <c r="V673" s="3">
        <f ca="1">IFERROR(__xludf.DUMMYFUNCTION("""COMPUTED_VALUE"""),4.7)</f>
        <v>4.7</v>
      </c>
      <c r="W673" s="3">
        <f ca="1">IFERROR(__xludf.DUMMYFUNCTION("""COMPUTED_VALUE"""),2000)</f>
        <v>2000</v>
      </c>
      <c r="X673" s="3">
        <f ca="1">IFERROR(__xludf.DUMMYFUNCTION("""COMPUTED_VALUE"""),1777)</f>
        <v>1777</v>
      </c>
      <c r="Y673" s="3">
        <f ca="1">IFERROR(__xludf.DUMMYFUNCTION("""COMPUTED_VALUE"""),670)</f>
        <v>670</v>
      </c>
      <c r="Z673" s="3">
        <f ca="1">IFERROR(__xludf.DUMMYFUNCTION("""COMPUTED_VALUE"""),307)</f>
        <v>307</v>
      </c>
      <c r="AA673" s="3">
        <f ca="1">IFERROR(__xludf.DUMMYFUNCTION("""COMPUTED_VALUE"""),800)</f>
        <v>800</v>
      </c>
      <c r="AB673" s="3">
        <f ca="1">IFERROR(__xludf.DUMMYFUNCTION("""COMPUTED_VALUE"""),0)</f>
        <v>0</v>
      </c>
      <c r="AC673" s="3">
        <f ca="1">IFERROR(__xludf.DUMMYFUNCTION("""COMPUTED_VALUE"""),3)</f>
        <v>3</v>
      </c>
      <c r="AD673" s="3" t="str">
        <f ca="1">IFERROR(__xludf.DUMMYFUNCTION("""COMPUTED_VALUE"""),"on time")</f>
        <v>on time</v>
      </c>
      <c r="AE673" s="3" t="str">
        <f ca="1">IFERROR(__xludf.DUMMYFUNCTION("""COMPUTED_VALUE"""),"2055-06-03T19:05:50.077088Z")</f>
        <v>2055-06-03T19:05:50.077088Z</v>
      </c>
      <c r="AF673" s="3" t="str">
        <f ca="1">IFERROR(__xludf.DUMMYFUNCTION("""COMPUTED_VALUE"""),"2055-06-03T19:19:10.70115Z")</f>
        <v>2055-06-03T19:19:10.70115Z</v>
      </c>
      <c r="AG673" s="3" t="str">
        <f ca="1">IFERROR(__xludf.DUMMYFUNCTION("""COMPUTED_VALUE"""),"2055-06-03T18:49:27.421941Z")</f>
        <v>2055-06-03T18:49:27.421941Z</v>
      </c>
      <c r="AH673" s="3" t="str">
        <f ca="1">IFERROR(__xludf.DUMMYFUNCTION("""COMPUTED_VALUE"""),"2055-06-03T19:00:43.441369Z")</f>
        <v>2055-06-03T19:00:43.441369Z</v>
      </c>
      <c r="AI673" s="3">
        <f ca="1">IFERROR(__xludf.DUMMYFUNCTION("""COMPUTED_VALUE"""),4.49)</f>
        <v>4.49</v>
      </c>
      <c r="AJ673" s="3">
        <f ca="1">IFERROR(__xludf.DUMMYFUNCTION("""COMPUTED_VALUE"""),2315)</f>
        <v>2315</v>
      </c>
      <c r="AK673" s="3">
        <f ca="1">IFERROR(__xludf.DUMMYFUNCTION("""COMPUTED_VALUE"""),7039)</f>
        <v>7039</v>
      </c>
      <c r="AL673" s="3">
        <f ca="1">IFERROR(__xludf.DUMMYFUNCTION("""COMPUTED_VALUE"""),763)</f>
        <v>763</v>
      </c>
    </row>
    <row r="674" spans="1:38" ht="13">
      <c r="A674" s="3">
        <f ca="1">IFERROR(__xludf.DUMMYFUNCTION("""COMPUTED_VALUE"""),508)</f>
        <v>508</v>
      </c>
      <c r="B674" s="3">
        <f ca="1">IFERROR(__xludf.DUMMYFUNCTION("""COMPUTED_VALUE"""),5)</f>
        <v>5</v>
      </c>
      <c r="C674" s="3">
        <f ca="1">IFERROR(__xludf.DUMMYFUNCTION("""COMPUTED_VALUE"""),4001)</f>
        <v>4001</v>
      </c>
      <c r="D674" s="3" t="str">
        <f ca="1">IFERROR(__xludf.DUMMYFUNCTION("""COMPUTED_VALUE"""),"Dashattan")</f>
        <v>Dashattan</v>
      </c>
      <c r="E674" s="3" t="str">
        <f ca="1">IFERROR(__xludf.DUMMYFUNCTION("""COMPUTED_VALUE"""),"Galaxy A")</f>
        <v>Galaxy A</v>
      </c>
      <c r="F674" s="3" t="str">
        <f ca="1">IFERROR(__xludf.DUMMYFUNCTION("""COMPUTED_VALUE"""),"Bunje")</f>
        <v>Bunje</v>
      </c>
      <c r="G674" s="3">
        <f ca="1">IFERROR(__xludf.DUMMYFUNCTION("""COMPUTED_VALUE"""),0)</f>
        <v>0</v>
      </c>
      <c r="H674" s="3" t="str">
        <f ca="1">IFERROR(__xludf.DUMMYFUNCTION("""COMPUTED_VALUE"""),"bicycle")</f>
        <v>bicycle</v>
      </c>
      <c r="I674" s="3" t="str">
        <f ca="1">IFERROR(__xludf.DUMMYFUNCTION("""COMPUTED_VALUE"""),"2055-06-05T00:17:52.002381Z")</f>
        <v>2055-06-05T00:17:52.002381Z</v>
      </c>
      <c r="J674" s="3" t="str">
        <f ca="1">IFERROR(__xludf.DUMMYFUNCTION("""COMPUTED_VALUE"""),"2055-06-05T01:47:39.52Z")</f>
        <v>2055-06-05T01:47:39.52Z</v>
      </c>
      <c r="K674" s="3" t="str">
        <f ca="1">IFERROR(__xludf.DUMMYFUNCTION("""COMPUTED_VALUE"""),"2055-06-05T01:33:00.52Z")</f>
        <v>2055-06-05T01:33:00.52Z</v>
      </c>
      <c r="L674" s="3">
        <f ca="1">IFERROR(__xludf.DUMMYFUNCTION("""COMPUTED_VALUE"""),1)</f>
        <v>1</v>
      </c>
      <c r="M674" s="3">
        <f ca="1">IFERROR(__xludf.DUMMYFUNCTION("""COMPUTED_VALUE"""),0)</f>
        <v>0</v>
      </c>
      <c r="N674" s="3" t="str">
        <f ca="1">IFERROR(__xludf.DUMMYFUNCTION("""COMPUTED_VALUE"""),"2055-06-05T01:08:49.906668Z")</f>
        <v>2055-06-05T01:08:49.906668Z</v>
      </c>
      <c r="O674" s="3" t="str">
        <f ca="1">IFERROR(__xludf.DUMMYFUNCTION("""COMPUTED_VALUE"""),"2055-06-05T01:19:44.288463Z")</f>
        <v>2055-06-05T01:19:44.288463Z</v>
      </c>
      <c r="P674" s="3" t="str">
        <f ca="1">IFERROR(__xludf.DUMMYFUNCTION("""COMPUTED_VALUE"""),"2055-06-05T00:49:55.220654Z")</f>
        <v>2055-06-05T00:49:55.220654Z</v>
      </c>
      <c r="Q674" s="3">
        <f ca="1">IFERROR(__xludf.DUMMYFUNCTION("""COMPUTED_VALUE"""),0)</f>
        <v>0</v>
      </c>
      <c r="R674" s="3" t="str">
        <f ca="1">IFERROR(__xludf.DUMMYFUNCTION("""COMPUTED_VALUE"""),"2055-06-05T00:49:59.329987Z")</f>
        <v>2055-06-05T00:49:59.329987Z</v>
      </c>
      <c r="S674" s="3" t="str">
        <f ca="1">IFERROR(__xludf.DUMMYFUNCTION("""COMPUTED_VALUE"""),"2055-06-05T01:03:49.739222Z")</f>
        <v>2055-06-05T01:03:49.739222Z</v>
      </c>
      <c r="T674" s="3"/>
      <c r="U674" s="4">
        <f ca="1">IFERROR(__xludf.DUMMYFUNCTION("""COMPUTED_VALUE"""),56769)</f>
        <v>56769</v>
      </c>
      <c r="V674" s="3">
        <f ca="1">IFERROR(__xludf.DUMMYFUNCTION("""COMPUTED_VALUE"""),4.4)</f>
        <v>4.4000000000000004</v>
      </c>
      <c r="W674" s="3">
        <f ca="1">IFERROR(__xludf.DUMMYFUNCTION("""COMPUTED_VALUE"""),2000)</f>
        <v>2000</v>
      </c>
      <c r="X674" s="3">
        <f ca="1">IFERROR(__xludf.DUMMYFUNCTION("""COMPUTED_VALUE"""),1785)</f>
        <v>1785</v>
      </c>
      <c r="Y674" s="3">
        <f ca="1">IFERROR(__xludf.DUMMYFUNCTION("""COMPUTED_VALUE"""),830)</f>
        <v>830</v>
      </c>
      <c r="Z674" s="3">
        <f ca="1">IFERROR(__xludf.DUMMYFUNCTION("""COMPUTED_VALUE"""),300)</f>
        <v>300</v>
      </c>
      <c r="AA674" s="3">
        <f ca="1">IFERROR(__xludf.DUMMYFUNCTION("""COMPUTED_VALUE"""),655)</f>
        <v>655</v>
      </c>
      <c r="AB674" s="3">
        <f ca="1">IFERROR(__xludf.DUMMYFUNCTION("""COMPUTED_VALUE"""),0)</f>
        <v>0</v>
      </c>
      <c r="AC674" s="3">
        <f ca="1">IFERROR(__xludf.DUMMYFUNCTION("""COMPUTED_VALUE"""),5)</f>
        <v>5</v>
      </c>
      <c r="AD674" s="3" t="str">
        <f ca="1">IFERROR(__xludf.DUMMYFUNCTION("""COMPUTED_VALUE"""),"early")</f>
        <v>early</v>
      </c>
      <c r="AE674" s="3" t="str">
        <f ca="1">IFERROR(__xludf.DUMMYFUNCTION("""COMPUTED_VALUE"""),"2055-06-04T21:08:49.906668Z")</f>
        <v>2055-06-04T21:08:49.906668Z</v>
      </c>
      <c r="AF674" s="3" t="str">
        <f ca="1">IFERROR(__xludf.DUMMYFUNCTION("""COMPUTED_VALUE"""),"2055-06-04T21:19:44.288463Z")</f>
        <v>2055-06-04T21:19:44.288463Z</v>
      </c>
      <c r="AG674" s="3" t="str">
        <f ca="1">IFERROR(__xludf.DUMMYFUNCTION("""COMPUTED_VALUE"""),"2055-06-04T20:49:55.220654Z")</f>
        <v>2055-06-04T20:49:55.220654Z</v>
      </c>
      <c r="AH674" s="3" t="str">
        <f ca="1">IFERROR(__xludf.DUMMYFUNCTION("""COMPUTED_VALUE"""),"2055-06-04T21:03:49.739222Z")</f>
        <v>2055-06-04T21:03:49.739222Z</v>
      </c>
      <c r="AI674" s="3">
        <f ca="1">IFERROR(__xludf.DUMMYFUNCTION("""COMPUTED_VALUE"""),4.7)</f>
        <v>4.7</v>
      </c>
      <c r="AJ674" s="3">
        <f ca="1">IFERROR(__xludf.DUMMYFUNCTION("""COMPUTED_VALUE"""),443)</f>
        <v>443</v>
      </c>
      <c r="AK674" s="3">
        <f ca="1">IFERROR(__xludf.DUMMYFUNCTION("""COMPUTED_VALUE"""),1579)</f>
        <v>1579</v>
      </c>
      <c r="AL674" s="3"/>
    </row>
    <row r="675" spans="1:38" ht="13">
      <c r="A675" s="3">
        <f ca="1">IFERROR(__xludf.DUMMYFUNCTION("""COMPUTED_VALUE"""),142)</f>
        <v>142</v>
      </c>
      <c r="B675" s="3">
        <f ca="1">IFERROR(__xludf.DUMMYFUNCTION("""COMPUTED_VALUE"""),5)</f>
        <v>5</v>
      </c>
      <c r="C675" s="3">
        <f ca="1">IFERROR(__xludf.DUMMYFUNCTION("""COMPUTED_VALUE"""),4001)</f>
        <v>4001</v>
      </c>
      <c r="D675" s="3" t="str">
        <f ca="1">IFERROR(__xludf.DUMMYFUNCTION("""COMPUTED_VALUE"""),"Dashattan")</f>
        <v>Dashattan</v>
      </c>
      <c r="E675" s="3" t="str">
        <f ca="1">IFERROR(__xludf.DUMMYFUNCTION("""COMPUTED_VALUE"""),"Galaxy A")</f>
        <v>Galaxy A</v>
      </c>
      <c r="F675" s="3" t="str">
        <f ca="1">IFERROR(__xludf.DUMMYFUNCTION("""COMPUTED_VALUE"""),"Arya")</f>
        <v>Arya</v>
      </c>
      <c r="G675" s="3">
        <f ca="1">IFERROR(__xludf.DUMMYFUNCTION("""COMPUTED_VALUE"""),0)</f>
        <v>0</v>
      </c>
      <c r="H675" s="3" t="str">
        <f ca="1">IFERROR(__xludf.DUMMYFUNCTION("""COMPUTED_VALUE"""),"bicycle")</f>
        <v>bicycle</v>
      </c>
      <c r="I675" s="3" t="str">
        <f ca="1">IFERROR(__xludf.DUMMYFUNCTION("""COMPUTED_VALUE"""),"2055-06-02T17:11:06.938655Z")</f>
        <v>2055-06-02T17:11:06.938655Z</v>
      </c>
      <c r="J675" s="3" t="str">
        <f ca="1">IFERROR(__xludf.DUMMYFUNCTION("""COMPUTED_VALUE"""),"2055-06-02T17:50:49.996Z")</f>
        <v>2055-06-02T17:50:49.996Z</v>
      </c>
      <c r="K675" s="3" t="str">
        <f ca="1">IFERROR(__xludf.DUMMYFUNCTION("""COMPUTED_VALUE"""),"2055-06-02T17:45:42.996Z")</f>
        <v>2055-06-02T17:45:42.996Z</v>
      </c>
      <c r="L675" s="3">
        <f ca="1">IFERROR(__xludf.DUMMYFUNCTION("""COMPUTED_VALUE"""),1)</f>
        <v>1</v>
      </c>
      <c r="M675" s="3">
        <f ca="1">IFERROR(__xludf.DUMMYFUNCTION("""COMPUTED_VALUE"""),0)</f>
        <v>0</v>
      </c>
      <c r="N675" s="3" t="str">
        <f ca="1">IFERROR(__xludf.DUMMYFUNCTION("""COMPUTED_VALUE"""),"2055-06-02T17:24:31.445022Z")</f>
        <v>2055-06-02T17:24:31.445022Z</v>
      </c>
      <c r="O675" s="3" t="str">
        <f ca="1">IFERROR(__xludf.DUMMYFUNCTION("""COMPUTED_VALUE"""),"2055-06-02T17:51:09.853173Z")</f>
        <v>2055-06-02T17:51:09.853173Z</v>
      </c>
      <c r="P675" s="3" t="str">
        <f ca="1">IFERROR(__xludf.DUMMYFUNCTION("""COMPUTED_VALUE"""),"2055-06-02T17:11:14.111045Z")</f>
        <v>2055-06-02T17:11:14.111045Z</v>
      </c>
      <c r="Q675" s="3">
        <f ca="1">IFERROR(__xludf.DUMMYFUNCTION("""COMPUTED_VALUE"""),0)</f>
        <v>0</v>
      </c>
      <c r="R675" s="3" t="str">
        <f ca="1">IFERROR(__xludf.DUMMYFUNCTION("""COMPUTED_VALUE"""),"2055-06-02T17:11:24.988889Z")</f>
        <v>2055-06-02T17:11:24.988889Z</v>
      </c>
      <c r="S675" s="3" t="str">
        <f ca="1">IFERROR(__xludf.DUMMYFUNCTION("""COMPUTED_VALUE"""),"2055-06-02T17:19:39.221907Z")</f>
        <v>2055-06-02T17:19:39.221907Z</v>
      </c>
      <c r="T675" s="3"/>
      <c r="U675" s="4">
        <f ca="1">IFERROR(__xludf.DUMMYFUNCTION("""COMPUTED_VALUE"""),56767)</f>
        <v>56767</v>
      </c>
      <c r="V675" s="3">
        <f ca="1">IFERROR(__xludf.DUMMYFUNCTION("""COMPUTED_VALUE"""),3.897026173)</f>
        <v>3.897026173</v>
      </c>
      <c r="W675" s="3">
        <f ca="1">IFERROR(__xludf.DUMMYFUNCTION("""COMPUTED_VALUE"""),2000)</f>
        <v>2000</v>
      </c>
      <c r="X675" s="3">
        <f ca="1">IFERROR(__xludf.DUMMYFUNCTION("""COMPUTED_VALUE"""),2385)</f>
        <v>2385</v>
      </c>
      <c r="Y675" s="3">
        <f ca="1">IFERROR(__xludf.DUMMYFUNCTION("""COMPUTED_VALUE"""),495)</f>
        <v>495</v>
      </c>
      <c r="Z675" s="3">
        <f ca="1">IFERROR(__xludf.DUMMYFUNCTION("""COMPUTED_VALUE"""),292)</f>
        <v>292</v>
      </c>
      <c r="AA675" s="3">
        <f ca="1">IFERROR(__xludf.DUMMYFUNCTION("""COMPUTED_VALUE"""),1598)</f>
        <v>1598</v>
      </c>
      <c r="AB675" s="3">
        <f ca="1">IFERROR(__xludf.DUMMYFUNCTION("""COMPUTED_VALUE"""),1)</f>
        <v>1</v>
      </c>
      <c r="AC675" s="3">
        <f ca="1">IFERROR(__xludf.DUMMYFUNCTION("""COMPUTED_VALUE"""),2)</f>
        <v>2</v>
      </c>
      <c r="AD675" s="3"/>
      <c r="AE675" s="3" t="str">
        <f ca="1">IFERROR(__xludf.DUMMYFUNCTION("""COMPUTED_VALUE"""),"2055-06-02T13:24:31.445022Z")</f>
        <v>2055-06-02T13:24:31.445022Z</v>
      </c>
      <c r="AF675" s="3" t="str">
        <f ca="1">IFERROR(__xludf.DUMMYFUNCTION("""COMPUTED_VALUE"""),"2055-06-02T13:51:09.853173Z")</f>
        <v>2055-06-02T13:51:09.853173Z</v>
      </c>
      <c r="AG675" s="3" t="str">
        <f ca="1">IFERROR(__xludf.DUMMYFUNCTION("""COMPUTED_VALUE"""),"2055-06-02T13:11:14.111045Z")</f>
        <v>2055-06-02T13:11:14.111045Z</v>
      </c>
      <c r="AH675" s="3" t="str">
        <f ca="1">IFERROR(__xludf.DUMMYFUNCTION("""COMPUTED_VALUE"""),"2055-06-02T13:19:39.221907Z")</f>
        <v>2055-06-02T13:19:39.221907Z</v>
      </c>
      <c r="AI675" s="3">
        <f ca="1">IFERROR(__xludf.DUMMYFUNCTION("""COMPUTED_VALUE"""),4.17)</f>
        <v>4.17</v>
      </c>
      <c r="AJ675" s="3">
        <f ca="1">IFERROR(__xludf.DUMMYFUNCTION("""COMPUTED_VALUE"""),457)</f>
        <v>457</v>
      </c>
      <c r="AK675" s="3">
        <f ca="1">IFERROR(__xludf.DUMMYFUNCTION("""COMPUTED_VALUE"""),1599)</f>
        <v>1599</v>
      </c>
      <c r="AL675" s="3"/>
    </row>
    <row r="676" spans="1:38" ht="13">
      <c r="A676" s="3">
        <f ca="1">IFERROR(__xludf.DUMMYFUNCTION("""COMPUTED_VALUE"""),197)</f>
        <v>197</v>
      </c>
      <c r="B676" s="3"/>
      <c r="C676" s="3">
        <f ca="1">IFERROR(__xludf.DUMMYFUNCTION("""COMPUTED_VALUE"""),4001)</f>
        <v>4001</v>
      </c>
      <c r="D676" s="3" t="str">
        <f ca="1">IFERROR(__xludf.DUMMYFUNCTION("""COMPUTED_VALUE"""),"Dashattan")</f>
        <v>Dashattan</v>
      </c>
      <c r="E676" s="3" t="str">
        <f ca="1">IFERROR(__xludf.DUMMYFUNCTION("""COMPUTED_VALUE"""),"Galaxy A")</f>
        <v>Galaxy A</v>
      </c>
      <c r="F676" s="3" t="str">
        <f ca="1">IFERROR(__xludf.DUMMYFUNCTION("""COMPUTED_VALUE"""),"Arya")</f>
        <v>Arya</v>
      </c>
      <c r="G676" s="3">
        <f ca="1">IFERROR(__xludf.DUMMYFUNCTION("""COMPUTED_VALUE"""),0)</f>
        <v>0</v>
      </c>
      <c r="H676" s="3" t="str">
        <f ca="1">IFERROR(__xludf.DUMMYFUNCTION("""COMPUTED_VALUE"""),"bicycle")</f>
        <v>bicycle</v>
      </c>
      <c r="I676" s="3" t="str">
        <f ca="1">IFERROR(__xludf.DUMMYFUNCTION("""COMPUTED_VALUE"""),"2055-06-02T22:52:30.11468Z")</f>
        <v>2055-06-02T22:52:30.11468Z</v>
      </c>
      <c r="J676" s="3" t="str">
        <f ca="1">IFERROR(__xludf.DUMMYFUNCTION("""COMPUTED_VALUE"""),"2055-06-02T23:30:22.168Z")</f>
        <v>2055-06-02T23:30:22.168Z</v>
      </c>
      <c r="K676" s="3" t="str">
        <f ca="1">IFERROR(__xludf.DUMMYFUNCTION("""COMPUTED_VALUE"""),"2055-06-02T23:20:43.168Z")</f>
        <v>2055-06-02T23:20:43.168Z</v>
      </c>
      <c r="L676" s="3">
        <f ca="1">IFERROR(__xludf.DUMMYFUNCTION("""COMPUTED_VALUE"""),1)</f>
        <v>1</v>
      </c>
      <c r="M676" s="3">
        <f ca="1">IFERROR(__xludf.DUMMYFUNCTION("""COMPUTED_VALUE"""),0)</f>
        <v>0</v>
      </c>
      <c r="N676" s="3" t="str">
        <f ca="1">IFERROR(__xludf.DUMMYFUNCTION("""COMPUTED_VALUE"""),"2055-06-02T23:05:59.107622Z")</f>
        <v>2055-06-02T23:05:59.107622Z</v>
      </c>
      <c r="O676" s="3" t="str">
        <f ca="1">IFERROR(__xludf.DUMMYFUNCTION("""COMPUTED_VALUE"""),"2055-06-02T23:23:26.83806Z")</f>
        <v>2055-06-02T23:23:26.83806Z</v>
      </c>
      <c r="P676" s="3" t="str">
        <f ca="1">IFERROR(__xludf.DUMMYFUNCTION("""COMPUTED_VALUE"""),"2055-06-02T22:54:54.515337Z")</f>
        <v>2055-06-02T22:54:54.515337Z</v>
      </c>
      <c r="Q676" s="3">
        <f ca="1">IFERROR(__xludf.DUMMYFUNCTION("""COMPUTED_VALUE"""),0)</f>
        <v>0</v>
      </c>
      <c r="R676" s="3" t="str">
        <f ca="1">IFERROR(__xludf.DUMMYFUNCTION("""COMPUTED_VALUE"""),"2055-06-02T22:55:00.523505Z")</f>
        <v>2055-06-02T22:55:00.523505Z</v>
      </c>
      <c r="S676" s="3" t="str">
        <f ca="1">IFERROR(__xludf.DUMMYFUNCTION("""COMPUTED_VALUE"""),"2055-06-02T23:02:33.307945Z")</f>
        <v>2055-06-02T23:02:33.307945Z</v>
      </c>
      <c r="T676" s="3"/>
      <c r="U676" s="4">
        <f ca="1">IFERROR(__xludf.DUMMYFUNCTION("""COMPUTED_VALUE"""),56767)</f>
        <v>56767</v>
      </c>
      <c r="V676" s="3">
        <f ca="1">IFERROR(__xludf.DUMMYFUNCTION("""COMPUTED_VALUE"""),4.5)</f>
        <v>4.5</v>
      </c>
      <c r="W676" s="3">
        <f ca="1">IFERROR(__xludf.DUMMYFUNCTION("""COMPUTED_VALUE"""),2000)</f>
        <v>2000</v>
      </c>
      <c r="X676" s="3">
        <f ca="1">IFERROR(__xludf.DUMMYFUNCTION("""COMPUTED_VALUE"""),1706)</f>
        <v>1706</v>
      </c>
      <c r="Y676" s="3">
        <f ca="1">IFERROR(__xludf.DUMMYFUNCTION("""COMPUTED_VALUE"""),453)</f>
        <v>453</v>
      </c>
      <c r="Z676" s="3">
        <f ca="1">IFERROR(__xludf.DUMMYFUNCTION("""COMPUTED_VALUE"""),206)</f>
        <v>206</v>
      </c>
      <c r="AA676" s="3">
        <f ca="1">IFERROR(__xludf.DUMMYFUNCTION("""COMPUTED_VALUE"""),1047)</f>
        <v>1047</v>
      </c>
      <c r="AB676" s="3">
        <f ca="1">IFERROR(__xludf.DUMMYFUNCTION("""COMPUTED_VALUE"""),0)</f>
        <v>0</v>
      </c>
      <c r="AC676" s="3">
        <f ca="1">IFERROR(__xludf.DUMMYFUNCTION("""COMPUTED_VALUE"""),2)</f>
        <v>2</v>
      </c>
      <c r="AD676" s="3" t="str">
        <f ca="1">IFERROR(__xludf.DUMMYFUNCTION("""COMPUTED_VALUE"""),"on time")</f>
        <v>on time</v>
      </c>
      <c r="AE676" s="3" t="str">
        <f ca="1">IFERROR(__xludf.DUMMYFUNCTION("""COMPUTED_VALUE"""),"2055-06-02T19:05:59.107622Z")</f>
        <v>2055-06-02T19:05:59.107622Z</v>
      </c>
      <c r="AF676" s="3" t="str">
        <f ca="1">IFERROR(__xludf.DUMMYFUNCTION("""COMPUTED_VALUE"""),"2055-06-02T19:23:26.83806Z")</f>
        <v>2055-06-02T19:23:26.83806Z</v>
      </c>
      <c r="AG676" s="3" t="str">
        <f ca="1">IFERROR(__xludf.DUMMYFUNCTION("""COMPUTED_VALUE"""),"2055-06-02T18:54:54.515337Z")</f>
        <v>2055-06-02T18:54:54.515337Z</v>
      </c>
      <c r="AH676" s="3" t="str">
        <f ca="1">IFERROR(__xludf.DUMMYFUNCTION("""COMPUTED_VALUE"""),"2055-06-02T19:02:33.307945Z")</f>
        <v>2055-06-02T19:02:33.307945Z</v>
      </c>
      <c r="AI676" s="3">
        <f ca="1">IFERROR(__xludf.DUMMYFUNCTION("""COMPUTED_VALUE"""),4.17)</f>
        <v>4.17</v>
      </c>
      <c r="AJ676" s="3">
        <f ca="1">IFERROR(__xludf.DUMMYFUNCTION("""COMPUTED_VALUE"""),457)</f>
        <v>457</v>
      </c>
      <c r="AK676" s="3">
        <f ca="1">IFERROR(__xludf.DUMMYFUNCTION("""COMPUTED_VALUE"""),1599)</f>
        <v>1599</v>
      </c>
      <c r="AL676" s="3"/>
    </row>
    <row r="677" spans="1:38" ht="13">
      <c r="A677" s="3">
        <f ca="1">IFERROR(__xludf.DUMMYFUNCTION("""COMPUTED_VALUE"""),591)</f>
        <v>591</v>
      </c>
      <c r="B677" s="3"/>
      <c r="C677" s="3">
        <f ca="1">IFERROR(__xludf.DUMMYFUNCTION("""COMPUTED_VALUE"""),4050)</f>
        <v>4050</v>
      </c>
      <c r="D677" s="3" t="str">
        <f ca="1">IFERROR(__xludf.DUMMYFUNCTION("""COMPUTED_VALUE"""),"Doorlanta")</f>
        <v>Doorlanta</v>
      </c>
      <c r="E677" s="3" t="str">
        <f ca="1">IFERROR(__xludf.DUMMYFUNCTION("""COMPUTED_VALUE"""),"Galaxy A")</f>
        <v>Galaxy A</v>
      </c>
      <c r="F677" s="3" t="str">
        <f ca="1">IFERROR(__xludf.DUMMYFUNCTION("""COMPUTED_VALUE"""),"Joe")</f>
        <v>Joe</v>
      </c>
      <c r="G677" s="3">
        <f ca="1">IFERROR(__xludf.DUMMYFUNCTION("""COMPUTED_VALUE"""),0)</f>
        <v>0</v>
      </c>
      <c r="H677" s="3" t="str">
        <f ca="1">IFERROR(__xludf.DUMMYFUNCTION("""COMPUTED_VALUE"""),"car")</f>
        <v>car</v>
      </c>
      <c r="I677" s="3" t="str">
        <f ca="1">IFERROR(__xludf.DUMMYFUNCTION("""COMPUTED_VALUE"""),"2055-06-05T18:41:51.44361Z")</f>
        <v>2055-06-05T18:41:51.44361Z</v>
      </c>
      <c r="J677" s="3" t="str">
        <f ca="1">IFERROR(__xludf.DUMMYFUNCTION("""COMPUTED_VALUE"""),"2055-06-05T20:07:44.564Z")</f>
        <v>2055-06-05T20:07:44.564Z</v>
      </c>
      <c r="K677" s="3" t="str">
        <f ca="1">IFERROR(__xludf.DUMMYFUNCTION("""COMPUTED_VALUE"""),"2055-06-05T19:39:31.564Z")</f>
        <v>2055-06-05T19:39:31.564Z</v>
      </c>
      <c r="L677" s="3">
        <f ca="1">IFERROR(__xludf.DUMMYFUNCTION("""COMPUTED_VALUE"""),1)</f>
        <v>1</v>
      </c>
      <c r="M677" s="3">
        <f ca="1">IFERROR(__xludf.DUMMYFUNCTION("""COMPUTED_VALUE"""),0)</f>
        <v>0</v>
      </c>
      <c r="N677" s="3" t="str">
        <f ca="1">IFERROR(__xludf.DUMMYFUNCTION("""COMPUTED_VALUE"""),"2055-06-05T19:50:27.788028Z")</f>
        <v>2055-06-05T19:50:27.788028Z</v>
      </c>
      <c r="O677" s="3" t="str">
        <f ca="1">IFERROR(__xludf.DUMMYFUNCTION("""COMPUTED_VALUE"""),"2055-06-05T20:10:39.864678Z")</f>
        <v>2055-06-05T20:10:39.864678Z</v>
      </c>
      <c r="P677" s="3" t="str">
        <f ca="1">IFERROR(__xludf.DUMMYFUNCTION("""COMPUTED_VALUE"""),"2055-06-05T19:30:27.276476Z")</f>
        <v>2055-06-05T19:30:27.276476Z</v>
      </c>
      <c r="Q677" s="3">
        <f ca="1">IFERROR(__xludf.DUMMYFUNCTION("""COMPUTED_VALUE"""),0)</f>
        <v>0</v>
      </c>
      <c r="R677" s="3" t="str">
        <f ca="1">IFERROR(__xludf.DUMMYFUNCTION("""COMPUTED_VALUE"""),"2055-06-05T19:30:31.542622Z")</f>
        <v>2055-06-05T19:30:31.542622Z</v>
      </c>
      <c r="S677" s="3" t="str">
        <f ca="1">IFERROR(__xludf.DUMMYFUNCTION("""COMPUTED_VALUE"""),"2055-06-05T19:45:00.835112Z")</f>
        <v>2055-06-05T19:45:00.835112Z</v>
      </c>
      <c r="T677" s="3"/>
      <c r="U677" s="4">
        <f ca="1">IFERROR(__xludf.DUMMYFUNCTION("""COMPUTED_VALUE"""),56770)</f>
        <v>56770</v>
      </c>
      <c r="V677" s="3">
        <f ca="1">IFERROR(__xludf.DUMMYFUNCTION("""COMPUTED_VALUE"""),4.5)</f>
        <v>4.5</v>
      </c>
      <c r="W677" s="3">
        <f ca="1">IFERROR(__xludf.DUMMYFUNCTION("""COMPUTED_VALUE"""),2000)</f>
        <v>2000</v>
      </c>
      <c r="X677" s="3">
        <f ca="1">IFERROR(__xludf.DUMMYFUNCTION("""COMPUTED_VALUE"""),2408)</f>
        <v>2408</v>
      </c>
      <c r="Y677" s="3">
        <f ca="1">IFERROR(__xludf.DUMMYFUNCTION("""COMPUTED_VALUE"""),869)</f>
        <v>869</v>
      </c>
      <c r="Z677" s="3">
        <f ca="1">IFERROR(__xludf.DUMMYFUNCTION("""COMPUTED_VALUE"""),327)</f>
        <v>327</v>
      </c>
      <c r="AA677" s="3">
        <f ca="1">IFERROR(__xludf.DUMMYFUNCTION("""COMPUTED_VALUE"""),1212)</f>
        <v>1212</v>
      </c>
      <c r="AB677" s="3">
        <f ca="1">IFERROR(__xludf.DUMMYFUNCTION("""COMPUTED_VALUE"""),0)</f>
        <v>0</v>
      </c>
      <c r="AC677" s="3">
        <f ca="1">IFERROR(__xludf.DUMMYFUNCTION("""COMPUTED_VALUE"""),1)</f>
        <v>1</v>
      </c>
      <c r="AD677" s="3" t="str">
        <f ca="1">IFERROR(__xludf.DUMMYFUNCTION("""COMPUTED_VALUE"""),"late")</f>
        <v>late</v>
      </c>
      <c r="AE677" s="3" t="str">
        <f ca="1">IFERROR(__xludf.DUMMYFUNCTION("""COMPUTED_VALUE"""),"2055-06-05T15:50:27.788028Z")</f>
        <v>2055-06-05T15:50:27.788028Z</v>
      </c>
      <c r="AF677" s="3" t="str">
        <f ca="1">IFERROR(__xludf.DUMMYFUNCTION("""COMPUTED_VALUE"""),"2055-06-05T16:10:39.864678Z")</f>
        <v>2055-06-05T16:10:39.864678Z</v>
      </c>
      <c r="AG677" s="3" t="str">
        <f ca="1">IFERROR(__xludf.DUMMYFUNCTION("""COMPUTED_VALUE"""),"2055-06-05T15:30:27.276476Z")</f>
        <v>2055-06-05T15:30:27.276476Z</v>
      </c>
      <c r="AH677" s="3" t="str">
        <f ca="1">IFERROR(__xludf.DUMMYFUNCTION("""COMPUTED_VALUE"""),"2055-06-05T15:45:00.835112Z")</f>
        <v>2055-06-05T15:45:00.835112Z</v>
      </c>
      <c r="AI677" s="3">
        <f ca="1">IFERROR(__xludf.DUMMYFUNCTION("""COMPUTED_VALUE"""),4.38)</f>
        <v>4.38</v>
      </c>
      <c r="AJ677" s="3">
        <f ca="1">IFERROR(__xludf.DUMMYFUNCTION("""COMPUTED_VALUE"""),196)</f>
        <v>196</v>
      </c>
      <c r="AK677" s="3">
        <f ca="1">IFERROR(__xludf.DUMMYFUNCTION("""COMPUTED_VALUE"""),626)</f>
        <v>626</v>
      </c>
      <c r="AL677" s="3"/>
    </row>
    <row r="678" spans="1:38" ht="13">
      <c r="A678" s="3">
        <f ca="1">IFERROR(__xludf.DUMMYFUNCTION("""COMPUTED_VALUE"""),611)</f>
        <v>611</v>
      </c>
      <c r="B678" s="3"/>
      <c r="C678" s="3">
        <f ca="1">IFERROR(__xludf.DUMMYFUNCTION("""COMPUTED_VALUE"""),4001)</f>
        <v>4001</v>
      </c>
      <c r="D678" s="3" t="str">
        <f ca="1">IFERROR(__xludf.DUMMYFUNCTION("""COMPUTED_VALUE"""),"Dashattan")</f>
        <v>Dashattan</v>
      </c>
      <c r="E678" s="3" t="str">
        <f ca="1">IFERROR(__xludf.DUMMYFUNCTION("""COMPUTED_VALUE"""),"Galaxy A")</f>
        <v>Galaxy A</v>
      </c>
      <c r="F678" s="3" t="str">
        <f ca="1">IFERROR(__xludf.DUMMYFUNCTION("""COMPUTED_VALUE"""),"Samm")</f>
        <v>Samm</v>
      </c>
      <c r="G678" s="3">
        <f ca="1">IFERROR(__xludf.DUMMYFUNCTION("""COMPUTED_VALUE"""),0)</f>
        <v>0</v>
      </c>
      <c r="H678" s="3" t="str">
        <f ca="1">IFERROR(__xludf.DUMMYFUNCTION("""COMPUTED_VALUE"""),"car")</f>
        <v>car</v>
      </c>
      <c r="I678" s="3" t="str">
        <f ca="1">IFERROR(__xludf.DUMMYFUNCTION("""COMPUTED_VALUE"""),"2055-06-05T20:27:45.896971Z")</f>
        <v>2055-06-05T20:27:45.896971Z</v>
      </c>
      <c r="J678" s="3" t="str">
        <f ca="1">IFERROR(__xludf.DUMMYFUNCTION("""COMPUTED_VALUE"""),"2055-06-05T21:17:34.975Z")</f>
        <v>2055-06-05T21:17:34.975Z</v>
      </c>
      <c r="K678" s="3" t="str">
        <f ca="1">IFERROR(__xludf.DUMMYFUNCTION("""COMPUTED_VALUE"""),"2055-06-05T20:58:41.975Z")</f>
        <v>2055-06-05T20:58:41.975Z</v>
      </c>
      <c r="L678" s="3">
        <f ca="1">IFERROR(__xludf.DUMMYFUNCTION("""COMPUTED_VALUE"""),1)</f>
        <v>1</v>
      </c>
      <c r="M678" s="3">
        <f ca="1">IFERROR(__xludf.DUMMYFUNCTION("""COMPUTED_VALUE"""),0)</f>
        <v>0</v>
      </c>
      <c r="N678" s="3" t="str">
        <f ca="1">IFERROR(__xludf.DUMMYFUNCTION("""COMPUTED_VALUE"""),"2055-06-05T20:57:32.171076Z")</f>
        <v>2055-06-05T20:57:32.171076Z</v>
      </c>
      <c r="O678" s="3" t="str">
        <f ca="1">IFERROR(__xludf.DUMMYFUNCTION("""COMPUTED_VALUE"""),"2055-06-05T21:02:52.341538Z")</f>
        <v>2055-06-05T21:02:52.341538Z</v>
      </c>
      <c r="P678" s="3" t="str">
        <f ca="1">IFERROR(__xludf.DUMMYFUNCTION("""COMPUTED_VALUE"""),"2055-06-05T20:34:14.302765Z")</f>
        <v>2055-06-05T20:34:14.302765Z</v>
      </c>
      <c r="Q678" s="3">
        <f ca="1">IFERROR(__xludf.DUMMYFUNCTION("""COMPUTED_VALUE"""),0)</f>
        <v>0</v>
      </c>
      <c r="R678" s="3" t="str">
        <f ca="1">IFERROR(__xludf.DUMMYFUNCTION("""COMPUTED_VALUE"""),"2055-06-05T20:34:19.616436Z")</f>
        <v>2055-06-05T20:34:19.616436Z</v>
      </c>
      <c r="S678" s="3" t="str">
        <f ca="1">IFERROR(__xludf.DUMMYFUNCTION("""COMPUTED_VALUE"""),"2055-06-05T20:56:17.35964Z")</f>
        <v>2055-06-05T20:56:17.35964Z</v>
      </c>
      <c r="T678" s="3"/>
      <c r="U678" s="4">
        <f ca="1">IFERROR(__xludf.DUMMYFUNCTION("""COMPUTED_VALUE"""),56770)</f>
        <v>56770</v>
      </c>
      <c r="V678" s="3">
        <f ca="1">IFERROR(__xludf.DUMMYFUNCTION("""COMPUTED_VALUE"""),3.58231808)</f>
        <v>3.5823180799999998</v>
      </c>
      <c r="W678" s="3">
        <f ca="1">IFERROR(__xludf.DUMMYFUNCTION("""COMPUTED_VALUE"""),2000)</f>
        <v>2000</v>
      </c>
      <c r="X678" s="3">
        <f ca="1">IFERROR(__xludf.DUMMYFUNCTION("""COMPUTED_VALUE"""),1713)</f>
        <v>1713</v>
      </c>
      <c r="Y678" s="3">
        <f ca="1">IFERROR(__xludf.DUMMYFUNCTION("""COMPUTED_VALUE"""),1318)</f>
        <v>1318</v>
      </c>
      <c r="Z678" s="3">
        <f ca="1">IFERROR(__xludf.DUMMYFUNCTION("""COMPUTED_VALUE"""),75)</f>
        <v>75</v>
      </c>
      <c r="AA678" s="3">
        <f ca="1">IFERROR(__xludf.DUMMYFUNCTION("""COMPUTED_VALUE"""),320)</f>
        <v>320</v>
      </c>
      <c r="AB678" s="3">
        <f ca="1">IFERROR(__xludf.DUMMYFUNCTION("""COMPUTED_VALUE"""),0)</f>
        <v>0</v>
      </c>
      <c r="AC678" s="3">
        <f ca="1">IFERROR(__xludf.DUMMYFUNCTION("""COMPUTED_VALUE"""),1)</f>
        <v>1</v>
      </c>
      <c r="AD678" s="3" t="str">
        <f ca="1">IFERROR(__xludf.DUMMYFUNCTION("""COMPUTED_VALUE"""),"late")</f>
        <v>late</v>
      </c>
      <c r="AE678" s="3" t="str">
        <f ca="1">IFERROR(__xludf.DUMMYFUNCTION("""COMPUTED_VALUE"""),"2055-06-05T16:57:32.171076Z")</f>
        <v>2055-06-05T16:57:32.171076Z</v>
      </c>
      <c r="AF678" s="3" t="str">
        <f ca="1">IFERROR(__xludf.DUMMYFUNCTION("""COMPUTED_VALUE"""),"2055-06-05T17:02:52.341538Z")</f>
        <v>2055-06-05T17:02:52.341538Z</v>
      </c>
      <c r="AG678" s="3" t="str">
        <f ca="1">IFERROR(__xludf.DUMMYFUNCTION("""COMPUTED_VALUE"""),"2055-06-05T16:34:14.302765Z")</f>
        <v>2055-06-05T16:34:14.302765Z</v>
      </c>
      <c r="AH678" s="3" t="str">
        <f ca="1">IFERROR(__xludf.DUMMYFUNCTION("""COMPUTED_VALUE"""),"2055-06-05T16:56:17.35964Z")</f>
        <v>2055-06-05T16:56:17.35964Z</v>
      </c>
      <c r="AI678" s="3">
        <f ca="1">IFERROR(__xludf.DUMMYFUNCTION("""COMPUTED_VALUE"""),4.03)</f>
        <v>4.03</v>
      </c>
      <c r="AJ678" s="3">
        <f ca="1">IFERROR(__xludf.DUMMYFUNCTION("""COMPUTED_VALUE"""),505)</f>
        <v>505</v>
      </c>
      <c r="AK678" s="3">
        <f ca="1">IFERROR(__xludf.DUMMYFUNCTION("""COMPUTED_VALUE"""),1721)</f>
        <v>1721</v>
      </c>
      <c r="AL678" s="3">
        <f ca="1">IFERROR(__xludf.DUMMYFUNCTION("""COMPUTED_VALUE"""),457)</f>
        <v>457</v>
      </c>
    </row>
    <row r="679" spans="1:38" ht="13">
      <c r="A679" s="3">
        <f ca="1">IFERROR(__xludf.DUMMYFUNCTION("""COMPUTED_VALUE"""),818)</f>
        <v>818</v>
      </c>
      <c r="B679" s="3"/>
      <c r="C679" s="3">
        <f ca="1">IFERROR(__xludf.DUMMYFUNCTION("""COMPUTED_VALUE"""),4001)</f>
        <v>4001</v>
      </c>
      <c r="D679" s="3" t="str">
        <f ca="1">IFERROR(__xludf.DUMMYFUNCTION("""COMPUTED_VALUE"""),"Dashattan")</f>
        <v>Dashattan</v>
      </c>
      <c r="E679" s="3" t="str">
        <f ca="1">IFERROR(__xludf.DUMMYFUNCTION("""COMPUTED_VALUE"""),"Galaxy A")</f>
        <v>Galaxy A</v>
      </c>
      <c r="F679" s="3" t="str">
        <f ca="1">IFERROR(__xludf.DUMMYFUNCTION("""COMPUTED_VALUE"""),"KC")</f>
        <v>KC</v>
      </c>
      <c r="G679" s="3">
        <f ca="1">IFERROR(__xludf.DUMMYFUNCTION("""COMPUTED_VALUE"""),0)</f>
        <v>0</v>
      </c>
      <c r="H679" s="3" t="str">
        <f ca="1">IFERROR(__xludf.DUMMYFUNCTION("""COMPUTED_VALUE"""),"car")</f>
        <v>car</v>
      </c>
      <c r="I679" s="3" t="str">
        <f ca="1">IFERROR(__xludf.DUMMYFUNCTION("""COMPUTED_VALUE"""),"2055-06-07T02:17:48.562338Z")</f>
        <v>2055-06-07T02:17:48.562338Z</v>
      </c>
      <c r="J679" s="3" t="str">
        <f ca="1">IFERROR(__xludf.DUMMYFUNCTION("""COMPUTED_VALUE"""),"2055-06-07T03:05:34.638Z")</f>
        <v>2055-06-07T03:05:34.638Z</v>
      </c>
      <c r="K679" s="3" t="str">
        <f ca="1">IFERROR(__xludf.DUMMYFUNCTION("""COMPUTED_VALUE"""),"2055-06-07T02:46:41.638Z")</f>
        <v>2055-06-07T02:46:41.638Z</v>
      </c>
      <c r="L679" s="3">
        <f ca="1">IFERROR(__xludf.DUMMYFUNCTION("""COMPUTED_VALUE"""),1)</f>
        <v>1</v>
      </c>
      <c r="M679" s="3">
        <f ca="1">IFERROR(__xludf.DUMMYFUNCTION("""COMPUTED_VALUE"""),0)</f>
        <v>0</v>
      </c>
      <c r="N679" s="3" t="str">
        <f ca="1">IFERROR(__xludf.DUMMYFUNCTION("""COMPUTED_VALUE"""),"2055-06-07T02:45:23.775332Z")</f>
        <v>2055-06-07T02:45:23.775332Z</v>
      </c>
      <c r="O679" s="3" t="str">
        <f ca="1">IFERROR(__xludf.DUMMYFUNCTION("""COMPUTED_VALUE"""),"2055-06-07T02:54:55.483521Z")</f>
        <v>2055-06-07T02:54:55.483521Z</v>
      </c>
      <c r="P679" s="3" t="str">
        <f ca="1">IFERROR(__xludf.DUMMYFUNCTION("""COMPUTED_VALUE"""),"2055-06-07T02:23:54.116839Z")</f>
        <v>2055-06-07T02:23:54.116839Z</v>
      </c>
      <c r="Q679" s="3">
        <f ca="1">IFERROR(__xludf.DUMMYFUNCTION("""COMPUTED_VALUE"""),0)</f>
        <v>0</v>
      </c>
      <c r="R679" s="3" t="str">
        <f ca="1">IFERROR(__xludf.DUMMYFUNCTION("""COMPUTED_VALUE"""),"2055-06-07T02:24:08.573851Z")</f>
        <v>2055-06-07T02:24:08.573851Z</v>
      </c>
      <c r="S679" s="3" t="str">
        <f ca="1">IFERROR(__xludf.DUMMYFUNCTION("""COMPUTED_VALUE"""),"2055-06-07T02:30:07.672931Z")</f>
        <v>2055-06-07T02:30:07.672931Z</v>
      </c>
      <c r="T679" s="3"/>
      <c r="U679" s="4">
        <f ca="1">IFERROR(__xludf.DUMMYFUNCTION("""COMPUTED_VALUE"""),56771)</f>
        <v>56771</v>
      </c>
      <c r="V679" s="3">
        <f ca="1">IFERROR(__xludf.DUMMYFUNCTION("""COMPUTED_VALUE"""),4.5)</f>
        <v>4.5</v>
      </c>
      <c r="W679" s="3">
        <f ca="1">IFERROR(__xludf.DUMMYFUNCTION("""COMPUTED_VALUE"""),2000)</f>
        <v>2000</v>
      </c>
      <c r="X679" s="3">
        <f ca="1">IFERROR(__xludf.DUMMYFUNCTION("""COMPUTED_VALUE"""),1847)</f>
        <v>1847</v>
      </c>
      <c r="Y679" s="3">
        <f ca="1">IFERROR(__xludf.DUMMYFUNCTION("""COMPUTED_VALUE"""),359)</f>
        <v>359</v>
      </c>
      <c r="Z679" s="3">
        <f ca="1">IFERROR(__xludf.DUMMYFUNCTION("""COMPUTED_VALUE"""),916)</f>
        <v>916</v>
      </c>
      <c r="AA679" s="3">
        <f ca="1">IFERROR(__xludf.DUMMYFUNCTION("""COMPUTED_VALUE"""),572)</f>
        <v>572</v>
      </c>
      <c r="AB679" s="3">
        <f ca="1">IFERROR(__xludf.DUMMYFUNCTION("""COMPUTED_VALUE"""),0)</f>
        <v>0</v>
      </c>
      <c r="AC679" s="3">
        <f ca="1">IFERROR(__xludf.DUMMYFUNCTION("""COMPUTED_VALUE"""),3)</f>
        <v>3</v>
      </c>
      <c r="AD679" s="3"/>
      <c r="AE679" s="3" t="str">
        <f ca="1">IFERROR(__xludf.DUMMYFUNCTION("""COMPUTED_VALUE"""),"2055-06-06T22:45:23.775332Z")</f>
        <v>2055-06-06T22:45:23.775332Z</v>
      </c>
      <c r="AF679" s="3" t="str">
        <f ca="1">IFERROR(__xludf.DUMMYFUNCTION("""COMPUTED_VALUE"""),"2055-06-06T22:54:55.483521Z")</f>
        <v>2055-06-06T22:54:55.483521Z</v>
      </c>
      <c r="AG679" s="3" t="str">
        <f ca="1">IFERROR(__xludf.DUMMYFUNCTION("""COMPUTED_VALUE"""),"2055-06-06T22:23:54.116839Z")</f>
        <v>2055-06-06T22:23:54.116839Z</v>
      </c>
      <c r="AH679" s="3" t="str">
        <f ca="1">IFERROR(__xludf.DUMMYFUNCTION("""COMPUTED_VALUE"""),"2055-06-06T22:30:07.672931Z")</f>
        <v>2055-06-06T22:30:07.672931Z</v>
      </c>
      <c r="AI679" s="3">
        <f ca="1">IFERROR(__xludf.DUMMYFUNCTION("""COMPUTED_VALUE"""),4.54)</f>
        <v>4.54</v>
      </c>
      <c r="AJ679" s="3">
        <f ca="1">IFERROR(__xludf.DUMMYFUNCTION("""COMPUTED_VALUE"""),2229)</f>
        <v>2229</v>
      </c>
      <c r="AK679" s="3">
        <f ca="1">IFERROR(__xludf.DUMMYFUNCTION("""COMPUTED_VALUE"""),6580)</f>
        <v>6580</v>
      </c>
      <c r="AL679" s="3"/>
    </row>
    <row r="680" spans="1:38" ht="13">
      <c r="A680" s="3">
        <f ca="1">IFERROR(__xludf.DUMMYFUNCTION("""COMPUTED_VALUE"""),1231)</f>
        <v>1231</v>
      </c>
      <c r="B680" s="3">
        <f ca="1">IFERROR(__xludf.DUMMYFUNCTION("""COMPUTED_VALUE"""),5)</f>
        <v>5</v>
      </c>
      <c r="C680" s="3">
        <f ca="1">IFERROR(__xludf.DUMMYFUNCTION("""COMPUTED_VALUE"""),4001)</f>
        <v>4001</v>
      </c>
      <c r="D680" s="3" t="str">
        <f ca="1">IFERROR(__xludf.DUMMYFUNCTION("""COMPUTED_VALUE"""),"Dashattan")</f>
        <v>Dashattan</v>
      </c>
      <c r="E680" s="3" t="str">
        <f ca="1">IFERROR(__xludf.DUMMYFUNCTION("""COMPUTED_VALUE"""),"Galaxy A")</f>
        <v>Galaxy A</v>
      </c>
      <c r="F680" s="3" t="str">
        <f ca="1">IFERROR(__xludf.DUMMYFUNCTION("""COMPUTED_VALUE"""),"Etan")</f>
        <v>Etan</v>
      </c>
      <c r="G680" s="3">
        <f ca="1">IFERROR(__xludf.DUMMYFUNCTION("""COMPUTED_VALUE"""),0)</f>
        <v>0</v>
      </c>
      <c r="H680" s="3" t="str">
        <f ca="1">IFERROR(__xludf.DUMMYFUNCTION("""COMPUTED_VALUE"""),"bicycle")</f>
        <v>bicycle</v>
      </c>
      <c r="I680" s="3" t="str">
        <f ca="1">IFERROR(__xludf.DUMMYFUNCTION("""COMPUTED_VALUE"""),"2055-06-11T12:44:32.340809Z")</f>
        <v>2055-06-11T12:44:32.340809Z</v>
      </c>
      <c r="J680" s="3" t="str">
        <f ca="1">IFERROR(__xludf.DUMMYFUNCTION("""COMPUTED_VALUE"""),"2055-06-11T13:45:00Z")</f>
        <v>2055-06-11T13:45:00Z</v>
      </c>
      <c r="K680" s="3" t="str">
        <f ca="1">IFERROR(__xludf.DUMMYFUNCTION("""COMPUTED_VALUE"""),"2055-06-11T13:45:00Z")</f>
        <v>2055-06-11T13:45:00Z</v>
      </c>
      <c r="L680" s="3">
        <f ca="1">IFERROR(__xludf.DUMMYFUNCTION("""COMPUTED_VALUE"""),0)</f>
        <v>0</v>
      </c>
      <c r="M680" s="3">
        <f ca="1">IFERROR(__xludf.DUMMYFUNCTION("""COMPUTED_VALUE"""),0)</f>
        <v>0</v>
      </c>
      <c r="N680" s="3" t="str">
        <f ca="1">IFERROR(__xludf.DUMMYFUNCTION("""COMPUTED_VALUE"""),"2055-06-11T13:04:21.134581Z")</f>
        <v>2055-06-11T13:04:21.134581Z</v>
      </c>
      <c r="O680" s="3" t="str">
        <f ca="1">IFERROR(__xludf.DUMMYFUNCTION("""COMPUTED_VALUE"""),"2055-06-11T13:17:21.225621Z")</f>
        <v>2055-06-11T13:17:21.225621Z</v>
      </c>
      <c r="P680" s="3" t="str">
        <f ca="1">IFERROR(__xludf.DUMMYFUNCTION("""COMPUTED_VALUE"""),"2055-06-11T12:50:54.13488Z")</f>
        <v>2055-06-11T12:50:54.13488Z</v>
      </c>
      <c r="Q680" s="3">
        <f ca="1">IFERROR(__xludf.DUMMYFUNCTION("""COMPUTED_VALUE"""),0)</f>
        <v>0</v>
      </c>
      <c r="R680" s="3" t="str">
        <f ca="1">IFERROR(__xludf.DUMMYFUNCTION("""COMPUTED_VALUE"""),"2055-06-11T12:51:03.818923Z")</f>
        <v>2055-06-11T12:51:03.818923Z</v>
      </c>
      <c r="S680" s="3" t="str">
        <f ca="1">IFERROR(__xludf.DUMMYFUNCTION("""COMPUTED_VALUE"""),"2055-06-11T12:56:53.354536Z")</f>
        <v>2055-06-11T12:56:53.354536Z</v>
      </c>
      <c r="T680" s="3"/>
      <c r="U680" s="4">
        <f ca="1">IFERROR(__xludf.DUMMYFUNCTION("""COMPUTED_VALUE"""),56776)</f>
        <v>56776</v>
      </c>
      <c r="V680" s="3">
        <f ca="1">IFERROR(__xludf.DUMMYFUNCTION("""COMPUTED_VALUE"""),3.492049515)</f>
        <v>3.4920495150000002</v>
      </c>
      <c r="W680" s="3">
        <f ca="1">IFERROR(__xludf.DUMMYFUNCTION("""COMPUTED_VALUE"""),2000)</f>
        <v>2000</v>
      </c>
      <c r="X680" s="3">
        <f ca="1">IFERROR(__xludf.DUMMYFUNCTION("""COMPUTED_VALUE"""),1578)</f>
        <v>1578</v>
      </c>
      <c r="Y680" s="3">
        <f ca="1">IFERROR(__xludf.DUMMYFUNCTION("""COMPUTED_VALUE"""),350)</f>
        <v>350</v>
      </c>
      <c r="Z680" s="3">
        <f ca="1">IFERROR(__xludf.DUMMYFUNCTION("""COMPUTED_VALUE"""),448)</f>
        <v>448</v>
      </c>
      <c r="AA680" s="3">
        <f ca="1">IFERROR(__xludf.DUMMYFUNCTION("""COMPUTED_VALUE"""),780)</f>
        <v>780</v>
      </c>
      <c r="AB680" s="3">
        <f ca="1">IFERROR(__xludf.DUMMYFUNCTION("""COMPUTED_VALUE"""),0)</f>
        <v>0</v>
      </c>
      <c r="AC680" s="3">
        <f ca="1">IFERROR(__xludf.DUMMYFUNCTION("""COMPUTED_VALUE"""),2)</f>
        <v>2</v>
      </c>
      <c r="AD680" s="3" t="str">
        <f ca="1">IFERROR(__xludf.DUMMYFUNCTION("""COMPUTED_VALUE"""),"early")</f>
        <v>early</v>
      </c>
      <c r="AE680" s="3" t="str">
        <f ca="1">IFERROR(__xludf.DUMMYFUNCTION("""COMPUTED_VALUE"""),"2055-06-11T09:04:21.134581Z")</f>
        <v>2055-06-11T09:04:21.134581Z</v>
      </c>
      <c r="AF680" s="3" t="str">
        <f ca="1">IFERROR(__xludf.DUMMYFUNCTION("""COMPUTED_VALUE"""),"2055-06-11T09:17:21.225621Z")</f>
        <v>2055-06-11T09:17:21.225621Z</v>
      </c>
      <c r="AG680" s="3" t="str">
        <f ca="1">IFERROR(__xludf.DUMMYFUNCTION("""COMPUTED_VALUE"""),"2055-06-11T08:50:54.13488Z")</f>
        <v>2055-06-11T08:50:54.13488Z</v>
      </c>
      <c r="AH680" s="3" t="str">
        <f ca="1">IFERROR(__xludf.DUMMYFUNCTION("""COMPUTED_VALUE"""),"2055-06-11T08:56:53.354536Z")</f>
        <v>2055-06-11T08:56:53.354536Z</v>
      </c>
      <c r="AI680" s="3">
        <f ca="1">IFERROR(__xludf.DUMMYFUNCTION("""COMPUTED_VALUE"""),4.35106383)</f>
        <v>4.3510638300000002</v>
      </c>
      <c r="AJ680" s="3">
        <f ca="1">IFERROR(__xludf.DUMMYFUNCTION("""COMPUTED_VALUE"""),62)</f>
        <v>62</v>
      </c>
      <c r="AK680" s="3">
        <f ca="1">IFERROR(__xludf.DUMMYFUNCTION("""COMPUTED_VALUE"""),228)</f>
        <v>228</v>
      </c>
      <c r="AL680" s="3"/>
    </row>
    <row r="681" spans="1:38" ht="13">
      <c r="A681" s="3">
        <f ca="1">IFERROR(__xludf.DUMMYFUNCTION("""COMPUTED_VALUE"""),1274)</f>
        <v>1274</v>
      </c>
      <c r="B681" s="3">
        <f ca="1">IFERROR(__xludf.DUMMYFUNCTION("""COMPUTED_VALUE"""),5)</f>
        <v>5</v>
      </c>
      <c r="C681" s="3">
        <f ca="1">IFERROR(__xludf.DUMMYFUNCTION("""COMPUTED_VALUE"""),4001)</f>
        <v>4001</v>
      </c>
      <c r="D681" s="3" t="str">
        <f ca="1">IFERROR(__xludf.DUMMYFUNCTION("""COMPUTED_VALUE"""),"Dashattan")</f>
        <v>Dashattan</v>
      </c>
      <c r="E681" s="3" t="str">
        <f ca="1">IFERROR(__xludf.DUMMYFUNCTION("""COMPUTED_VALUE"""),"Galaxy A")</f>
        <v>Galaxy A</v>
      </c>
      <c r="F681" s="3" t="str">
        <f ca="1">IFERROR(__xludf.DUMMYFUNCTION("""COMPUTED_VALUE"""),"Rojan")</f>
        <v>Rojan</v>
      </c>
      <c r="G681" s="3">
        <f ca="1">IFERROR(__xludf.DUMMYFUNCTION("""COMPUTED_VALUE"""),0)</f>
        <v>0</v>
      </c>
      <c r="H681" s="3" t="str">
        <f ca="1">IFERROR(__xludf.DUMMYFUNCTION("""COMPUTED_VALUE"""),"bicycle")</f>
        <v>bicycle</v>
      </c>
      <c r="I681" s="3" t="str">
        <f ca="1">IFERROR(__xludf.DUMMYFUNCTION("""COMPUTED_VALUE"""),"2055-06-11T17:21:12.876276Z")</f>
        <v>2055-06-11T17:21:12.876276Z</v>
      </c>
      <c r="J681" s="3" t="str">
        <f ca="1">IFERROR(__xludf.DUMMYFUNCTION("""COMPUTED_VALUE"""),"2055-06-11T18:23:00Z")</f>
        <v>2055-06-11T18:23:00Z</v>
      </c>
      <c r="K681" s="3" t="str">
        <f ca="1">IFERROR(__xludf.DUMMYFUNCTION("""COMPUTED_VALUE"""),"2055-06-11T18:02:53Z")</f>
        <v>2055-06-11T18:02:53Z</v>
      </c>
      <c r="L681" s="3">
        <f ca="1">IFERROR(__xludf.DUMMYFUNCTION("""COMPUTED_VALUE"""),1)</f>
        <v>1</v>
      </c>
      <c r="M681" s="3">
        <f ca="1">IFERROR(__xludf.DUMMYFUNCTION("""COMPUTED_VALUE"""),0)</f>
        <v>0</v>
      </c>
      <c r="N681" s="3" t="str">
        <f ca="1">IFERROR(__xludf.DUMMYFUNCTION("""COMPUTED_VALUE"""),"2055-06-11T17:36:04.258037Z")</f>
        <v>2055-06-11T17:36:04.258037Z</v>
      </c>
      <c r="O681" s="3" t="str">
        <f ca="1">IFERROR(__xludf.DUMMYFUNCTION("""COMPUTED_VALUE"""),"2055-06-11T17:48:07.522429Z")</f>
        <v>2055-06-11T17:48:07.522429Z</v>
      </c>
      <c r="P681" s="3" t="str">
        <f ca="1">IFERROR(__xludf.DUMMYFUNCTION("""COMPUTED_VALUE"""),"2055-06-11T17:27:54.457288Z")</f>
        <v>2055-06-11T17:27:54.457288Z</v>
      </c>
      <c r="Q681" s="3">
        <f ca="1">IFERROR(__xludf.DUMMYFUNCTION("""COMPUTED_VALUE"""),0)</f>
        <v>0</v>
      </c>
      <c r="R681" s="3" t="str">
        <f ca="1">IFERROR(__xludf.DUMMYFUNCTION("""COMPUTED_VALUE"""),"2055-06-11T17:28:13.092907Z")</f>
        <v>2055-06-11T17:28:13.092907Z</v>
      </c>
      <c r="S681" s="3" t="str">
        <f ca="1">IFERROR(__xludf.DUMMYFUNCTION("""COMPUTED_VALUE"""),"2055-06-11T17:35:43.847485Z")</f>
        <v>2055-06-11T17:35:43.847485Z</v>
      </c>
      <c r="T681" s="3"/>
      <c r="U681" s="4">
        <f ca="1">IFERROR(__xludf.DUMMYFUNCTION("""COMPUTED_VALUE"""),56776)</f>
        <v>56776</v>
      </c>
      <c r="V681" s="3">
        <f ca="1">IFERROR(__xludf.DUMMYFUNCTION("""COMPUTED_VALUE"""),4.5)</f>
        <v>4.5</v>
      </c>
      <c r="W681" s="3">
        <f ca="1">IFERROR(__xludf.DUMMYFUNCTION("""COMPUTED_VALUE"""),2000)</f>
        <v>2000</v>
      </c>
      <c r="X681" s="3">
        <f ca="1">IFERROR(__xludf.DUMMYFUNCTION("""COMPUTED_VALUE"""),1194)</f>
        <v>1194</v>
      </c>
      <c r="Y681" s="3">
        <f ca="1">IFERROR(__xludf.DUMMYFUNCTION("""COMPUTED_VALUE"""),450)</f>
        <v>450</v>
      </c>
      <c r="Z681" s="3">
        <f ca="1">IFERROR(__xludf.DUMMYFUNCTION("""COMPUTED_VALUE"""),21)</f>
        <v>21</v>
      </c>
      <c r="AA681" s="3">
        <f ca="1">IFERROR(__xludf.DUMMYFUNCTION("""COMPUTED_VALUE"""),723)</f>
        <v>723</v>
      </c>
      <c r="AB681" s="3">
        <f ca="1">IFERROR(__xludf.DUMMYFUNCTION("""COMPUTED_VALUE"""),0)</f>
        <v>0</v>
      </c>
      <c r="AC681" s="3">
        <f ca="1">IFERROR(__xludf.DUMMYFUNCTION("""COMPUTED_VALUE"""),1)</f>
        <v>1</v>
      </c>
      <c r="AD681" s="3" t="str">
        <f ca="1">IFERROR(__xludf.DUMMYFUNCTION("""COMPUTED_VALUE"""),"on time")</f>
        <v>on time</v>
      </c>
      <c r="AE681" s="3" t="str">
        <f ca="1">IFERROR(__xludf.DUMMYFUNCTION("""COMPUTED_VALUE"""),"2055-06-11T13:36:04.258037Z")</f>
        <v>2055-06-11T13:36:04.258037Z</v>
      </c>
      <c r="AF681" s="3" t="str">
        <f ca="1">IFERROR(__xludf.DUMMYFUNCTION("""COMPUTED_VALUE"""),"2055-06-11T13:48:07.522429Z")</f>
        <v>2055-06-11T13:48:07.522429Z</v>
      </c>
      <c r="AG681" s="3" t="str">
        <f ca="1">IFERROR(__xludf.DUMMYFUNCTION("""COMPUTED_VALUE"""),"2055-06-11T13:27:54.457288Z")</f>
        <v>2055-06-11T13:27:54.457288Z</v>
      </c>
      <c r="AH681" s="3" t="str">
        <f ca="1">IFERROR(__xludf.DUMMYFUNCTION("""COMPUTED_VALUE"""),"2055-06-11T13:35:43.847485Z")</f>
        <v>2055-06-11T13:35:43.847485Z</v>
      </c>
      <c r="AI681" s="3">
        <f ca="1">IFERROR(__xludf.DUMMYFUNCTION("""COMPUTED_VALUE"""),4.58)</f>
        <v>4.58</v>
      </c>
      <c r="AJ681" s="3">
        <f ca="1">IFERROR(__xludf.DUMMYFUNCTION("""COMPUTED_VALUE"""),254)</f>
        <v>254</v>
      </c>
      <c r="AK681" s="3">
        <f ca="1">IFERROR(__xludf.DUMMYFUNCTION("""COMPUTED_VALUE"""),788)</f>
        <v>788</v>
      </c>
      <c r="AL681" s="3">
        <f ca="1">IFERROR(__xludf.DUMMYFUNCTION("""COMPUTED_VALUE"""),9)</f>
        <v>9</v>
      </c>
    </row>
    <row r="682" spans="1:38" ht="13">
      <c r="A682" s="3">
        <f ca="1">IFERROR(__xludf.DUMMYFUNCTION("""COMPUTED_VALUE"""),192)</f>
        <v>192</v>
      </c>
      <c r="B682" s="3"/>
      <c r="C682" s="3">
        <f ca="1">IFERROR(__xludf.DUMMYFUNCTION("""COMPUTED_VALUE"""),4050)</f>
        <v>4050</v>
      </c>
      <c r="D682" s="3" t="str">
        <f ca="1">IFERROR(__xludf.DUMMYFUNCTION("""COMPUTED_VALUE"""),"Doorlanta")</f>
        <v>Doorlanta</v>
      </c>
      <c r="E682" s="3" t="str">
        <f ca="1">IFERROR(__xludf.DUMMYFUNCTION("""COMPUTED_VALUE"""),"Galaxy A")</f>
        <v>Galaxy A</v>
      </c>
      <c r="F682" s="3" t="str">
        <f ca="1">IFERROR(__xludf.DUMMYFUNCTION("""COMPUTED_VALUE"""),"Katelynn")</f>
        <v>Katelynn</v>
      </c>
      <c r="G682" s="3">
        <f ca="1">IFERROR(__xludf.DUMMYFUNCTION("""COMPUTED_VALUE"""),0)</f>
        <v>0</v>
      </c>
      <c r="H682" s="3" t="str">
        <f ca="1">IFERROR(__xludf.DUMMYFUNCTION("""COMPUTED_VALUE"""),"car")</f>
        <v>car</v>
      </c>
      <c r="I682" s="3" t="str">
        <f ca="1">IFERROR(__xludf.DUMMYFUNCTION("""COMPUTED_VALUE"""),"2055-06-02T22:39:26.659424Z")</f>
        <v>2055-06-02T22:39:26.659424Z</v>
      </c>
      <c r="J682" s="3" t="str">
        <f ca="1">IFERROR(__xludf.DUMMYFUNCTION("""COMPUTED_VALUE"""),"2055-06-02T23:35:28.748Z")</f>
        <v>2055-06-02T23:35:28.748Z</v>
      </c>
      <c r="K682" s="3" t="str">
        <f ca="1">IFERROR(__xludf.DUMMYFUNCTION("""COMPUTED_VALUE"""),"2055-06-02T23:13:34.748Z")</f>
        <v>2055-06-02T23:13:34.748Z</v>
      </c>
      <c r="L682" s="3">
        <f ca="1">IFERROR(__xludf.DUMMYFUNCTION("""COMPUTED_VALUE"""),1)</f>
        <v>1</v>
      </c>
      <c r="M682" s="3">
        <f ca="1">IFERROR(__xludf.DUMMYFUNCTION("""COMPUTED_VALUE"""),0)</f>
        <v>0</v>
      </c>
      <c r="N682" s="3" t="str">
        <f ca="1">IFERROR(__xludf.DUMMYFUNCTION("""COMPUTED_VALUE"""),"2055-06-02T23:23:19.516061Z")</f>
        <v>2055-06-02T23:23:19.516061Z</v>
      </c>
      <c r="O682" s="3" t="str">
        <f ca="1">IFERROR(__xludf.DUMMYFUNCTION("""COMPUTED_VALUE"""),"2055-06-02T23:36:03.123911Z")</f>
        <v>2055-06-02T23:36:03.123911Z</v>
      </c>
      <c r="P682" s="3" t="str">
        <f ca="1">IFERROR(__xludf.DUMMYFUNCTION("""COMPUTED_VALUE"""),"2055-06-02T23:16:07.3062Z")</f>
        <v>2055-06-02T23:16:07.3062Z</v>
      </c>
      <c r="Q682" s="3">
        <f ca="1">IFERROR(__xludf.DUMMYFUNCTION("""COMPUTED_VALUE"""),0)</f>
        <v>0</v>
      </c>
      <c r="R682" s="3" t="str">
        <f ca="1">IFERROR(__xludf.DUMMYFUNCTION("""COMPUTED_VALUE"""),"2055-06-02T23:16:21.498868Z")</f>
        <v>2055-06-02T23:16:21.498868Z</v>
      </c>
      <c r="S682" s="3" t="str">
        <f ca="1">IFERROR(__xludf.DUMMYFUNCTION("""COMPUTED_VALUE"""),"2055-06-02T23:20:15.357281Z")</f>
        <v>2055-06-02T23:20:15.357281Z</v>
      </c>
      <c r="T682" s="3"/>
      <c r="U682" s="4">
        <f ca="1">IFERROR(__xludf.DUMMYFUNCTION("""COMPUTED_VALUE"""),56767)</f>
        <v>56767</v>
      </c>
      <c r="V682" s="3">
        <f ca="1">IFERROR(__xludf.DUMMYFUNCTION("""COMPUTED_VALUE"""),4.6)</f>
        <v>4.5999999999999996</v>
      </c>
      <c r="W682" s="3">
        <f ca="1">IFERROR(__xludf.DUMMYFUNCTION("""COMPUTED_VALUE"""),2000)</f>
        <v>2000</v>
      </c>
      <c r="X682" s="3">
        <f ca="1">IFERROR(__xludf.DUMMYFUNCTION("""COMPUTED_VALUE"""),1182)</f>
        <v>1182</v>
      </c>
      <c r="Y682" s="3">
        <f ca="1">IFERROR(__xludf.DUMMYFUNCTION("""COMPUTED_VALUE"""),234)</f>
        <v>234</v>
      </c>
      <c r="Z682" s="3">
        <f ca="1">IFERROR(__xludf.DUMMYFUNCTION("""COMPUTED_VALUE"""),184)</f>
        <v>184</v>
      </c>
      <c r="AA682" s="3">
        <f ca="1">IFERROR(__xludf.DUMMYFUNCTION("""COMPUTED_VALUE"""),764)</f>
        <v>764</v>
      </c>
      <c r="AB682" s="3">
        <f ca="1">IFERROR(__xludf.DUMMYFUNCTION("""COMPUTED_VALUE"""),0)</f>
        <v>0</v>
      </c>
      <c r="AC682" s="3">
        <f ca="1">IFERROR(__xludf.DUMMYFUNCTION("""COMPUTED_VALUE"""),1)</f>
        <v>1</v>
      </c>
      <c r="AD682" s="3" t="str">
        <f ca="1">IFERROR(__xludf.DUMMYFUNCTION("""COMPUTED_VALUE"""),"late")</f>
        <v>late</v>
      </c>
      <c r="AE682" s="3" t="str">
        <f ca="1">IFERROR(__xludf.DUMMYFUNCTION("""COMPUTED_VALUE"""),"2055-06-02T19:23:19.516061Z")</f>
        <v>2055-06-02T19:23:19.516061Z</v>
      </c>
      <c r="AF682" s="3" t="str">
        <f ca="1">IFERROR(__xludf.DUMMYFUNCTION("""COMPUTED_VALUE"""),"2055-06-02T19:36:03.123911Z")</f>
        <v>2055-06-02T19:36:03.123911Z</v>
      </c>
      <c r="AG682" s="3" t="str">
        <f ca="1">IFERROR(__xludf.DUMMYFUNCTION("""COMPUTED_VALUE"""),"2055-06-02T19:16:07.3062Z")</f>
        <v>2055-06-02T19:16:07.3062Z</v>
      </c>
      <c r="AH682" s="3" t="str">
        <f ca="1">IFERROR(__xludf.DUMMYFUNCTION("""COMPUTED_VALUE"""),"2055-06-02T19:20:15.357281Z")</f>
        <v>2055-06-02T19:20:15.357281Z</v>
      </c>
      <c r="AI682" s="3">
        <f ca="1">IFERROR(__xludf.DUMMYFUNCTION("""COMPUTED_VALUE"""),4.7)</f>
        <v>4.7</v>
      </c>
      <c r="AJ682" s="3">
        <f ca="1">IFERROR(__xludf.DUMMYFUNCTION("""COMPUTED_VALUE"""),1261)</f>
        <v>1261</v>
      </c>
      <c r="AK682" s="3">
        <f ca="1">IFERROR(__xludf.DUMMYFUNCTION("""COMPUTED_VALUE"""),3264)</f>
        <v>3264</v>
      </c>
      <c r="AL682" s="3">
        <f ca="1">IFERROR(__xludf.DUMMYFUNCTION("""COMPUTED_VALUE"""),232)</f>
        <v>232</v>
      </c>
    </row>
    <row r="683" spans="1:38" ht="13">
      <c r="A683" s="3">
        <f ca="1">IFERROR(__xludf.DUMMYFUNCTION("""COMPUTED_VALUE"""),376)</f>
        <v>376</v>
      </c>
      <c r="B683" s="3">
        <f ca="1">IFERROR(__xludf.DUMMYFUNCTION("""COMPUTED_VALUE"""),5)</f>
        <v>5</v>
      </c>
      <c r="C683" s="3">
        <f ca="1">IFERROR(__xludf.DUMMYFUNCTION("""COMPUTED_VALUE"""),4001)</f>
        <v>4001</v>
      </c>
      <c r="D683" s="3" t="str">
        <f ca="1">IFERROR(__xludf.DUMMYFUNCTION("""COMPUTED_VALUE"""),"Dashattan")</f>
        <v>Dashattan</v>
      </c>
      <c r="E683" s="3" t="str">
        <f ca="1">IFERROR(__xludf.DUMMYFUNCTION("""COMPUTED_VALUE"""),"Galaxy A")</f>
        <v>Galaxy A</v>
      </c>
      <c r="F683" s="3" t="str">
        <f ca="1">IFERROR(__xludf.DUMMYFUNCTION("""COMPUTED_VALUE"""),"KC")</f>
        <v>KC</v>
      </c>
      <c r="G683" s="3">
        <f ca="1">IFERROR(__xludf.DUMMYFUNCTION("""COMPUTED_VALUE"""),0)</f>
        <v>0</v>
      </c>
      <c r="H683" s="3" t="str">
        <f ca="1">IFERROR(__xludf.DUMMYFUNCTION("""COMPUTED_VALUE"""),"car")</f>
        <v>car</v>
      </c>
      <c r="I683" s="3" t="str">
        <f ca="1">IFERROR(__xludf.DUMMYFUNCTION("""COMPUTED_VALUE"""),"2055-06-04T00:02:12.735486Z")</f>
        <v>2055-06-04T00:02:12.735486Z</v>
      </c>
      <c r="J683" s="3" t="str">
        <f ca="1">IFERROR(__xludf.DUMMYFUNCTION("""COMPUTED_VALUE"""),"2055-06-04T01:01:23.789Z")</f>
        <v>2055-06-04T01:01:23.789Z</v>
      </c>
      <c r="K683" s="3" t="str">
        <f ca="1">IFERROR(__xludf.DUMMYFUNCTION("""COMPUTED_VALUE"""),"2055-06-04T00:41:16.789Z")</f>
        <v>2055-06-04T00:41:16.789Z</v>
      </c>
      <c r="L683" s="3">
        <f ca="1">IFERROR(__xludf.DUMMYFUNCTION("""COMPUTED_VALUE"""),1)</f>
        <v>1</v>
      </c>
      <c r="M683" s="3">
        <f ca="1">IFERROR(__xludf.DUMMYFUNCTION("""COMPUTED_VALUE"""),0)</f>
        <v>0</v>
      </c>
      <c r="N683" s="3" t="str">
        <f ca="1">IFERROR(__xludf.DUMMYFUNCTION("""COMPUTED_VALUE"""),"2055-06-04T00:17:05.149608Z")</f>
        <v>2055-06-04T00:17:05.149608Z</v>
      </c>
      <c r="O683" s="3" t="str">
        <f ca="1">IFERROR(__xludf.DUMMYFUNCTION("""COMPUTED_VALUE"""),"2055-06-04T00:36:52.420865Z")</f>
        <v>2055-06-04T00:36:52.420865Z</v>
      </c>
      <c r="P683" s="3" t="str">
        <f ca="1">IFERROR(__xludf.DUMMYFUNCTION("""COMPUTED_VALUE"""),"2055-06-04T00:04:15.517115Z")</f>
        <v>2055-06-04T00:04:15.517115Z</v>
      </c>
      <c r="Q683" s="3">
        <f ca="1">IFERROR(__xludf.DUMMYFUNCTION("""COMPUTED_VALUE"""),0)</f>
        <v>0</v>
      </c>
      <c r="R683" s="3" t="str">
        <f ca="1">IFERROR(__xludf.DUMMYFUNCTION("""COMPUTED_VALUE"""),"2055-06-04T00:04:30.636658Z")</f>
        <v>2055-06-04T00:04:30.636658Z</v>
      </c>
      <c r="S683" s="3" t="str">
        <f ca="1">IFERROR(__xludf.DUMMYFUNCTION("""COMPUTED_VALUE"""),"2055-06-04T00:10:12.086592Z")</f>
        <v>2055-06-04T00:10:12.086592Z</v>
      </c>
      <c r="T683" s="3"/>
      <c r="U683" s="4">
        <f ca="1">IFERROR(__xludf.DUMMYFUNCTION("""COMPUTED_VALUE"""),56768)</f>
        <v>56768</v>
      </c>
      <c r="V683" s="3">
        <f ca="1">IFERROR(__xludf.DUMMYFUNCTION("""COMPUTED_VALUE"""),4.5)</f>
        <v>4.5</v>
      </c>
      <c r="W683" s="3">
        <f ca="1">IFERROR(__xludf.DUMMYFUNCTION("""COMPUTED_VALUE"""),2000)</f>
        <v>2000</v>
      </c>
      <c r="X683" s="3">
        <f ca="1">IFERROR(__xludf.DUMMYFUNCTION("""COMPUTED_VALUE"""),1942)</f>
        <v>1942</v>
      </c>
      <c r="Y683" s="3">
        <f ca="1">IFERROR(__xludf.DUMMYFUNCTION("""COMPUTED_VALUE"""),342)</f>
        <v>342</v>
      </c>
      <c r="Z683" s="3">
        <f ca="1">IFERROR(__xludf.DUMMYFUNCTION("""COMPUTED_VALUE"""),413)</f>
        <v>413</v>
      </c>
      <c r="AA683" s="3">
        <f ca="1">IFERROR(__xludf.DUMMYFUNCTION("""COMPUTED_VALUE"""),1187)</f>
        <v>1187</v>
      </c>
      <c r="AB683" s="3">
        <f ca="1">IFERROR(__xludf.DUMMYFUNCTION("""COMPUTED_VALUE"""),0)</f>
        <v>0</v>
      </c>
      <c r="AC683" s="3">
        <f ca="1">IFERROR(__xludf.DUMMYFUNCTION("""COMPUTED_VALUE"""),2)</f>
        <v>2</v>
      </c>
      <c r="AD683" s="3" t="str">
        <f ca="1">IFERROR(__xludf.DUMMYFUNCTION("""COMPUTED_VALUE"""),"on time")</f>
        <v>on time</v>
      </c>
      <c r="AE683" s="3" t="str">
        <f ca="1">IFERROR(__xludf.DUMMYFUNCTION("""COMPUTED_VALUE"""),"2055-06-03T20:17:05.149608Z")</f>
        <v>2055-06-03T20:17:05.149608Z</v>
      </c>
      <c r="AF683" s="3" t="str">
        <f ca="1">IFERROR(__xludf.DUMMYFUNCTION("""COMPUTED_VALUE"""),"2055-06-03T20:36:52.420865Z")</f>
        <v>2055-06-03T20:36:52.420865Z</v>
      </c>
      <c r="AG683" s="3" t="str">
        <f ca="1">IFERROR(__xludf.DUMMYFUNCTION("""COMPUTED_VALUE"""),"2055-06-03T20:04:15.517115Z")</f>
        <v>2055-06-03T20:04:15.517115Z</v>
      </c>
      <c r="AH683" s="3" t="str">
        <f ca="1">IFERROR(__xludf.DUMMYFUNCTION("""COMPUTED_VALUE"""),"2055-06-03T20:10:12.086592Z")</f>
        <v>2055-06-03T20:10:12.086592Z</v>
      </c>
      <c r="AI683" s="3">
        <f ca="1">IFERROR(__xludf.DUMMYFUNCTION("""COMPUTED_VALUE"""),4.54)</f>
        <v>4.54</v>
      </c>
      <c r="AJ683" s="3">
        <f ca="1">IFERROR(__xludf.DUMMYFUNCTION("""COMPUTED_VALUE"""),2229)</f>
        <v>2229</v>
      </c>
      <c r="AK683" s="3">
        <f ca="1">IFERROR(__xludf.DUMMYFUNCTION("""COMPUTED_VALUE"""),6580)</f>
        <v>6580</v>
      </c>
      <c r="AL683" s="3"/>
    </row>
    <row r="684" spans="1:38" ht="13">
      <c r="A684" s="3">
        <f ca="1">IFERROR(__xludf.DUMMYFUNCTION("""COMPUTED_VALUE"""),897)</f>
        <v>897</v>
      </c>
      <c r="B684" s="3"/>
      <c r="C684" s="3">
        <f ca="1">IFERROR(__xludf.DUMMYFUNCTION("""COMPUTED_VALUE"""),4050)</f>
        <v>4050</v>
      </c>
      <c r="D684" s="3" t="str">
        <f ca="1">IFERROR(__xludf.DUMMYFUNCTION("""COMPUTED_VALUE"""),"Doorlanta")</f>
        <v>Doorlanta</v>
      </c>
      <c r="E684" s="3" t="str">
        <f ca="1">IFERROR(__xludf.DUMMYFUNCTION("""COMPUTED_VALUE"""),"Galaxy A")</f>
        <v>Galaxy A</v>
      </c>
      <c r="F684" s="3" t="str">
        <f ca="1">IFERROR(__xludf.DUMMYFUNCTION("""COMPUTED_VALUE"""),"Elon")</f>
        <v>Elon</v>
      </c>
      <c r="G684" s="3">
        <f ca="1">IFERROR(__xludf.DUMMYFUNCTION("""COMPUTED_VALUE"""),0)</f>
        <v>0</v>
      </c>
      <c r="H684" s="3" t="str">
        <f ca="1">IFERROR(__xludf.DUMMYFUNCTION("""COMPUTED_VALUE"""),"car")</f>
        <v>car</v>
      </c>
      <c r="I684" s="3" t="str">
        <f ca="1">IFERROR(__xludf.DUMMYFUNCTION("""COMPUTED_VALUE"""),"2055-06-07T23:52:46.443532Z")</f>
        <v>2055-06-07T23:52:46.443532Z</v>
      </c>
      <c r="J684" s="3" t="str">
        <f ca="1">IFERROR(__xludf.DUMMYFUNCTION("""COMPUTED_VALUE"""),"2055-06-08T00:47:46.487Z")</f>
        <v>2055-06-08T00:47:46.487Z</v>
      </c>
      <c r="K684" s="3" t="str">
        <f ca="1">IFERROR(__xludf.DUMMYFUNCTION("""COMPUTED_VALUE"""),"2055-06-08T00:22:04.487Z")</f>
        <v>2055-06-08T00:22:04.487Z</v>
      </c>
      <c r="L684" s="3">
        <f ca="1">IFERROR(__xludf.DUMMYFUNCTION("""COMPUTED_VALUE"""),1)</f>
        <v>1</v>
      </c>
      <c r="M684" s="3">
        <f ca="1">IFERROR(__xludf.DUMMYFUNCTION("""COMPUTED_VALUE"""),0)</f>
        <v>0</v>
      </c>
      <c r="N684" s="3" t="str">
        <f ca="1">IFERROR(__xludf.DUMMYFUNCTION("""COMPUTED_VALUE"""),"2055-06-08T00:10:24.538066Z")</f>
        <v>2055-06-08T00:10:24.538066Z</v>
      </c>
      <c r="O684" s="3" t="str">
        <f ca="1">IFERROR(__xludf.DUMMYFUNCTION("""COMPUTED_VALUE"""),"2055-06-08T00:20:54.840569Z")</f>
        <v>2055-06-08T00:20:54.840569Z</v>
      </c>
      <c r="P684" s="3" t="str">
        <f ca="1">IFERROR(__xludf.DUMMYFUNCTION("""COMPUTED_VALUE"""),"2055-06-07T23:54:27.458353Z")</f>
        <v>2055-06-07T23:54:27.458353Z</v>
      </c>
      <c r="Q684" s="3">
        <f ca="1">IFERROR(__xludf.DUMMYFUNCTION("""COMPUTED_VALUE"""),0)</f>
        <v>0</v>
      </c>
      <c r="R684" s="3" t="str">
        <f ca="1">IFERROR(__xludf.DUMMYFUNCTION("""COMPUTED_VALUE"""),"2055-06-07T23:54:44.9842Z")</f>
        <v>2055-06-07T23:54:44.9842Z</v>
      </c>
      <c r="S684" s="3" t="str">
        <f ca="1">IFERROR(__xludf.DUMMYFUNCTION("""COMPUTED_VALUE"""),"2055-06-08T00:09:24.183172Z")</f>
        <v>2055-06-08T00:09:24.183172Z</v>
      </c>
      <c r="T684" s="3"/>
      <c r="U684" s="4">
        <f ca="1">IFERROR(__xludf.DUMMYFUNCTION("""COMPUTED_VALUE"""),56772)</f>
        <v>56772</v>
      </c>
      <c r="V684" s="3">
        <f ca="1">IFERROR(__xludf.DUMMYFUNCTION("""COMPUTED_VALUE"""),4.5)</f>
        <v>4.5</v>
      </c>
      <c r="W684" s="3">
        <f ca="1">IFERROR(__xludf.DUMMYFUNCTION("""COMPUTED_VALUE"""),2000)</f>
        <v>2000</v>
      </c>
      <c r="X684" s="3">
        <f ca="1">IFERROR(__xludf.DUMMYFUNCTION("""COMPUTED_VALUE"""),1570)</f>
        <v>1570</v>
      </c>
      <c r="Y684" s="3">
        <f ca="1">IFERROR(__xludf.DUMMYFUNCTION("""COMPUTED_VALUE"""),880)</f>
        <v>880</v>
      </c>
      <c r="Z684" s="3">
        <f ca="1">IFERROR(__xludf.DUMMYFUNCTION("""COMPUTED_VALUE"""),60)</f>
        <v>60</v>
      </c>
      <c r="AA684" s="3">
        <f ca="1">IFERROR(__xludf.DUMMYFUNCTION("""COMPUTED_VALUE"""),630)</f>
        <v>630</v>
      </c>
      <c r="AB684" s="3">
        <f ca="1">IFERROR(__xludf.DUMMYFUNCTION("""COMPUTED_VALUE"""),0)</f>
        <v>0</v>
      </c>
      <c r="AC684" s="3">
        <f ca="1">IFERROR(__xludf.DUMMYFUNCTION("""COMPUTED_VALUE"""),1)</f>
        <v>1</v>
      </c>
      <c r="AD684" s="3" t="str">
        <f ca="1">IFERROR(__xludf.DUMMYFUNCTION("""COMPUTED_VALUE"""),"late")</f>
        <v>late</v>
      </c>
      <c r="AE684" s="3" t="str">
        <f ca="1">IFERROR(__xludf.DUMMYFUNCTION("""COMPUTED_VALUE"""),"2055-06-07T20:10:24.538066Z")</f>
        <v>2055-06-07T20:10:24.538066Z</v>
      </c>
      <c r="AF684" s="3" t="str">
        <f ca="1">IFERROR(__xludf.DUMMYFUNCTION("""COMPUTED_VALUE"""),"2055-06-07T20:20:54.840569Z")</f>
        <v>2055-06-07T20:20:54.840569Z</v>
      </c>
      <c r="AG684" s="3" t="str">
        <f ca="1">IFERROR(__xludf.DUMMYFUNCTION("""COMPUTED_VALUE"""),"2055-06-07T19:54:27.458353Z")</f>
        <v>2055-06-07T19:54:27.458353Z</v>
      </c>
      <c r="AH684" s="3" t="str">
        <f ca="1">IFERROR(__xludf.DUMMYFUNCTION("""COMPUTED_VALUE"""),"2055-06-07T20:09:24.183172Z")</f>
        <v>2055-06-07T20:09:24.183172Z</v>
      </c>
      <c r="AI684" s="3">
        <f ca="1">IFERROR(__xludf.DUMMYFUNCTION("""COMPUTED_VALUE"""),4.62)</f>
        <v>4.62</v>
      </c>
      <c r="AJ684" s="3">
        <f ca="1">IFERROR(__xludf.DUMMYFUNCTION("""COMPUTED_VALUE"""),259)</f>
        <v>259</v>
      </c>
      <c r="AK684" s="3">
        <f ca="1">IFERROR(__xludf.DUMMYFUNCTION("""COMPUTED_VALUE"""),604)</f>
        <v>604</v>
      </c>
      <c r="AL684" s="3">
        <f ca="1">IFERROR(__xludf.DUMMYFUNCTION("""COMPUTED_VALUE"""),21)</f>
        <v>21</v>
      </c>
    </row>
    <row r="685" spans="1:38" ht="13">
      <c r="A685" s="3">
        <f ca="1">IFERROR(__xludf.DUMMYFUNCTION("""COMPUTED_VALUE"""),710)</f>
        <v>710</v>
      </c>
      <c r="B685" s="3">
        <f ca="1">IFERROR(__xludf.DUMMYFUNCTION("""COMPUTED_VALUE"""),5)</f>
        <v>5</v>
      </c>
      <c r="C685" s="3">
        <f ca="1">IFERROR(__xludf.DUMMYFUNCTION("""COMPUTED_VALUE"""),4001)</f>
        <v>4001</v>
      </c>
      <c r="D685" s="3" t="str">
        <f ca="1">IFERROR(__xludf.DUMMYFUNCTION("""COMPUTED_VALUE"""),"Dashattan")</f>
        <v>Dashattan</v>
      </c>
      <c r="E685" s="3" t="str">
        <f ca="1">IFERROR(__xludf.DUMMYFUNCTION("""COMPUTED_VALUE"""),"Galaxy A")</f>
        <v>Galaxy A</v>
      </c>
      <c r="F685" s="3" t="str">
        <f ca="1">IFERROR(__xludf.DUMMYFUNCTION("""COMPUTED_VALUE"""),"Bunje")</f>
        <v>Bunje</v>
      </c>
      <c r="G685" s="3">
        <f ca="1">IFERROR(__xludf.DUMMYFUNCTION("""COMPUTED_VALUE"""),0)</f>
        <v>0</v>
      </c>
      <c r="H685" s="3" t="str">
        <f ca="1">IFERROR(__xludf.DUMMYFUNCTION("""COMPUTED_VALUE"""),"bicycle")</f>
        <v>bicycle</v>
      </c>
      <c r="I685" s="3" t="str">
        <f ca="1">IFERROR(__xludf.DUMMYFUNCTION("""COMPUTED_VALUE"""),"2055-06-06T00:56:06.571837Z")</f>
        <v>2055-06-06T00:56:06.571837Z</v>
      </c>
      <c r="J685" s="3" t="str">
        <f ca="1">IFERROR(__xludf.DUMMYFUNCTION("""COMPUTED_VALUE"""),"2055-06-06T02:02:07.636Z")</f>
        <v>2055-06-06T02:02:07.636Z</v>
      </c>
      <c r="K685" s="3" t="str">
        <f ca="1">IFERROR(__xludf.DUMMYFUNCTION("""COMPUTED_VALUE"""),"2055-06-06T01:52:26.636Z")</f>
        <v>2055-06-06T01:52:26.636Z</v>
      </c>
      <c r="L685" s="3">
        <f ca="1">IFERROR(__xludf.DUMMYFUNCTION("""COMPUTED_VALUE"""),1)</f>
        <v>1</v>
      </c>
      <c r="M685" s="3">
        <f ca="1">IFERROR(__xludf.DUMMYFUNCTION("""COMPUTED_VALUE"""),0)</f>
        <v>0</v>
      </c>
      <c r="N685" s="3" t="str">
        <f ca="1">IFERROR(__xludf.DUMMYFUNCTION("""COMPUTED_VALUE"""),"2055-06-06T01:53:47.914004Z")</f>
        <v>2055-06-06T01:53:47.914004Z</v>
      </c>
      <c r="O685" s="3" t="str">
        <f ca="1">IFERROR(__xludf.DUMMYFUNCTION("""COMPUTED_VALUE"""),"2055-06-06T02:07:05.63991Z")</f>
        <v>2055-06-06T02:07:05.63991Z</v>
      </c>
      <c r="P685" s="3" t="str">
        <f ca="1">IFERROR(__xludf.DUMMYFUNCTION("""COMPUTED_VALUE"""),"2055-06-06T01:22:54.119607Z")</f>
        <v>2055-06-06T01:22:54.119607Z</v>
      </c>
      <c r="Q685" s="3">
        <f ca="1">IFERROR(__xludf.DUMMYFUNCTION("""COMPUTED_VALUE"""),0)</f>
        <v>0</v>
      </c>
      <c r="R685" s="3" t="str">
        <f ca="1">IFERROR(__xludf.DUMMYFUNCTION("""COMPUTED_VALUE"""),"2055-06-06T01:23:09.817121Z")</f>
        <v>2055-06-06T01:23:09.817121Z</v>
      </c>
      <c r="S685" s="3" t="str">
        <f ca="1">IFERROR(__xludf.DUMMYFUNCTION("""COMPUTED_VALUE"""),"2055-06-06T01:35:04.782767Z")</f>
        <v>2055-06-06T01:35:04.782767Z</v>
      </c>
      <c r="T685" s="3"/>
      <c r="U685" s="4">
        <f ca="1">IFERROR(__xludf.DUMMYFUNCTION("""COMPUTED_VALUE"""),56770)</f>
        <v>56770</v>
      </c>
      <c r="V685" s="3">
        <f ca="1">IFERROR(__xludf.DUMMYFUNCTION("""COMPUTED_VALUE"""),4.3)</f>
        <v>4.3</v>
      </c>
      <c r="W685" s="3">
        <f ca="1">IFERROR(__xludf.DUMMYFUNCTION("""COMPUTED_VALUE"""),2000)</f>
        <v>2000</v>
      </c>
      <c r="X685" s="3">
        <f ca="1">IFERROR(__xludf.DUMMYFUNCTION("""COMPUTED_VALUE"""),2636)</f>
        <v>2636</v>
      </c>
      <c r="Y685" s="3">
        <f ca="1">IFERROR(__xludf.DUMMYFUNCTION("""COMPUTED_VALUE"""),715)</f>
        <v>715</v>
      </c>
      <c r="Z685" s="3">
        <f ca="1">IFERROR(__xludf.DUMMYFUNCTION("""COMPUTED_VALUE"""),1123)</f>
        <v>1123</v>
      </c>
      <c r="AA685" s="3">
        <f ca="1">IFERROR(__xludf.DUMMYFUNCTION("""COMPUTED_VALUE"""),798)</f>
        <v>798</v>
      </c>
      <c r="AB685" s="3">
        <f ca="1">IFERROR(__xludf.DUMMYFUNCTION("""COMPUTED_VALUE"""),1)</f>
        <v>1</v>
      </c>
      <c r="AC685" s="3">
        <f ca="1">IFERROR(__xludf.DUMMYFUNCTION("""COMPUTED_VALUE"""),4)</f>
        <v>4</v>
      </c>
      <c r="AD685" s="3"/>
      <c r="AE685" s="3" t="str">
        <f ca="1">IFERROR(__xludf.DUMMYFUNCTION("""COMPUTED_VALUE"""),"2055-06-05T21:53:47.914004Z")</f>
        <v>2055-06-05T21:53:47.914004Z</v>
      </c>
      <c r="AF685" s="3" t="str">
        <f ca="1">IFERROR(__xludf.DUMMYFUNCTION("""COMPUTED_VALUE"""),"2055-06-05T22:07:05.63991Z")</f>
        <v>2055-06-05T22:07:05.63991Z</v>
      </c>
      <c r="AG685" s="3" t="str">
        <f ca="1">IFERROR(__xludf.DUMMYFUNCTION("""COMPUTED_VALUE"""),"2055-06-05T21:22:54.119607Z")</f>
        <v>2055-06-05T21:22:54.119607Z</v>
      </c>
      <c r="AH685" s="3" t="str">
        <f ca="1">IFERROR(__xludf.DUMMYFUNCTION("""COMPUTED_VALUE"""),"2055-06-05T21:35:04.782767Z")</f>
        <v>2055-06-05T21:35:04.782767Z</v>
      </c>
      <c r="AI685" s="3">
        <f ca="1">IFERROR(__xludf.DUMMYFUNCTION("""COMPUTED_VALUE"""),4.7)</f>
        <v>4.7</v>
      </c>
      <c r="AJ685" s="3">
        <f ca="1">IFERROR(__xludf.DUMMYFUNCTION("""COMPUTED_VALUE"""),443)</f>
        <v>443</v>
      </c>
      <c r="AK685" s="3">
        <f ca="1">IFERROR(__xludf.DUMMYFUNCTION("""COMPUTED_VALUE"""),1579)</f>
        <v>1579</v>
      </c>
      <c r="AL685" s="3"/>
    </row>
    <row r="686" spans="1:38" ht="13">
      <c r="A686" s="3">
        <f ca="1">IFERROR(__xludf.DUMMYFUNCTION("""COMPUTED_VALUE"""),501)</f>
        <v>501</v>
      </c>
      <c r="B686" s="3">
        <f ca="1">IFERROR(__xludf.DUMMYFUNCTION("""COMPUTED_VALUE"""),5)</f>
        <v>5</v>
      </c>
      <c r="C686" s="3">
        <f ca="1">IFERROR(__xludf.DUMMYFUNCTION("""COMPUTED_VALUE"""),4050)</f>
        <v>4050</v>
      </c>
      <c r="D686" s="3" t="str">
        <f ca="1">IFERROR(__xludf.DUMMYFUNCTION("""COMPUTED_VALUE"""),"Doorlanta")</f>
        <v>Doorlanta</v>
      </c>
      <c r="E686" s="3" t="str">
        <f ca="1">IFERROR(__xludf.DUMMYFUNCTION("""COMPUTED_VALUE"""),"Galaxy A")</f>
        <v>Galaxy A</v>
      </c>
      <c r="F686" s="3" t="str">
        <f ca="1">IFERROR(__xludf.DUMMYFUNCTION("""COMPUTED_VALUE"""),"Katelynn")</f>
        <v>Katelynn</v>
      </c>
      <c r="G686" s="3">
        <f ca="1">IFERROR(__xludf.DUMMYFUNCTION("""COMPUTED_VALUE"""),0)</f>
        <v>0</v>
      </c>
      <c r="H686" s="3" t="str">
        <f ca="1">IFERROR(__xludf.DUMMYFUNCTION("""COMPUTED_VALUE"""),"car")</f>
        <v>car</v>
      </c>
      <c r="I686" s="3" t="str">
        <f ca="1">IFERROR(__xludf.DUMMYFUNCTION("""COMPUTED_VALUE"""),"2055-06-05T00:04:01.195479Z")</f>
        <v>2055-06-05T00:04:01.195479Z</v>
      </c>
      <c r="J686" s="3" t="str">
        <f ca="1">IFERROR(__xludf.DUMMYFUNCTION("""COMPUTED_VALUE"""),"2055-06-05T00:56:14.289Z")</f>
        <v>2055-06-05T00:56:14.289Z</v>
      </c>
      <c r="K686" s="3" t="str">
        <f ca="1">IFERROR(__xludf.DUMMYFUNCTION("""COMPUTED_VALUE"""),"2055-06-05T00:41:07.289Z")</f>
        <v>2055-06-05T00:41:07.289Z</v>
      </c>
      <c r="L686" s="3">
        <f ca="1">IFERROR(__xludf.DUMMYFUNCTION("""COMPUTED_VALUE"""),1)</f>
        <v>1</v>
      </c>
      <c r="M686" s="3">
        <f ca="1">IFERROR(__xludf.DUMMYFUNCTION("""COMPUTED_VALUE"""),0)</f>
        <v>0</v>
      </c>
      <c r="N686" s="3" t="str">
        <f ca="1">IFERROR(__xludf.DUMMYFUNCTION("""COMPUTED_VALUE"""),"2055-06-05T00:19:56.733581Z")</f>
        <v>2055-06-05T00:19:56.733581Z</v>
      </c>
      <c r="O686" s="3" t="str">
        <f ca="1">IFERROR(__xludf.DUMMYFUNCTION("""COMPUTED_VALUE"""),"2055-06-05T00:32:53.774093Z")</f>
        <v>2055-06-05T00:32:53.774093Z</v>
      </c>
      <c r="P686" s="3" t="str">
        <f ca="1">IFERROR(__xludf.DUMMYFUNCTION("""COMPUTED_VALUE"""),"2055-06-05T00:06:07.356484Z")</f>
        <v>2055-06-05T00:06:07.356484Z</v>
      </c>
      <c r="Q686" s="3">
        <f ca="1">IFERROR(__xludf.DUMMYFUNCTION("""COMPUTED_VALUE"""),0)</f>
        <v>0</v>
      </c>
      <c r="R686" s="3" t="str">
        <f ca="1">IFERROR(__xludf.DUMMYFUNCTION("""COMPUTED_VALUE"""),"2055-06-05T00:06:27.107666Z")</f>
        <v>2055-06-05T00:06:27.107666Z</v>
      </c>
      <c r="S686" s="3" t="str">
        <f ca="1">IFERROR(__xludf.DUMMYFUNCTION("""COMPUTED_VALUE"""),"2055-06-05T00:09:46.971724Z")</f>
        <v>2055-06-05T00:09:46.971724Z</v>
      </c>
      <c r="T686" s="3"/>
      <c r="U686" s="4">
        <f ca="1">IFERROR(__xludf.DUMMYFUNCTION("""COMPUTED_VALUE"""),56769)</f>
        <v>56769</v>
      </c>
      <c r="V686" s="3">
        <f ca="1">IFERROR(__xludf.DUMMYFUNCTION("""COMPUTED_VALUE"""),4.5)</f>
        <v>4.5</v>
      </c>
      <c r="W686" s="3">
        <f ca="1">IFERROR(__xludf.DUMMYFUNCTION("""COMPUTED_VALUE"""),2000)</f>
        <v>2000</v>
      </c>
      <c r="X686" s="3">
        <f ca="1">IFERROR(__xludf.DUMMYFUNCTION("""COMPUTED_VALUE"""),1586)</f>
        <v>1586</v>
      </c>
      <c r="Y686" s="3">
        <f ca="1">IFERROR(__xludf.DUMMYFUNCTION("""COMPUTED_VALUE"""),199)</f>
        <v>199</v>
      </c>
      <c r="Z686" s="3">
        <f ca="1">IFERROR(__xludf.DUMMYFUNCTION("""COMPUTED_VALUE"""),610)</f>
        <v>610</v>
      </c>
      <c r="AA686" s="3">
        <f ca="1">IFERROR(__xludf.DUMMYFUNCTION("""COMPUTED_VALUE"""),777)</f>
        <v>777</v>
      </c>
      <c r="AB686" s="3">
        <f ca="1">IFERROR(__xludf.DUMMYFUNCTION("""COMPUTED_VALUE"""),0)</f>
        <v>0</v>
      </c>
      <c r="AC686" s="3">
        <f ca="1">IFERROR(__xludf.DUMMYFUNCTION("""COMPUTED_VALUE"""),4)</f>
        <v>4</v>
      </c>
      <c r="AD686" s="3" t="str">
        <f ca="1">IFERROR(__xludf.DUMMYFUNCTION("""COMPUTED_VALUE"""),"early")</f>
        <v>early</v>
      </c>
      <c r="AE686" s="3" t="str">
        <f ca="1">IFERROR(__xludf.DUMMYFUNCTION("""COMPUTED_VALUE"""),"2055-06-04T20:19:56.733581Z")</f>
        <v>2055-06-04T20:19:56.733581Z</v>
      </c>
      <c r="AF686" s="3" t="str">
        <f ca="1">IFERROR(__xludf.DUMMYFUNCTION("""COMPUTED_VALUE"""),"2055-06-04T20:32:53.774093Z")</f>
        <v>2055-06-04T20:32:53.774093Z</v>
      </c>
      <c r="AG686" s="3" t="str">
        <f ca="1">IFERROR(__xludf.DUMMYFUNCTION("""COMPUTED_VALUE"""),"2055-06-04T20:06:07.356484Z")</f>
        <v>2055-06-04T20:06:07.356484Z</v>
      </c>
      <c r="AH686" s="3" t="str">
        <f ca="1">IFERROR(__xludf.DUMMYFUNCTION("""COMPUTED_VALUE"""),"2055-06-04T20:09:46.971724Z")</f>
        <v>2055-06-04T20:09:46.971724Z</v>
      </c>
      <c r="AI686" s="3">
        <f ca="1">IFERROR(__xludf.DUMMYFUNCTION("""COMPUTED_VALUE"""),4.7)</f>
        <v>4.7</v>
      </c>
      <c r="AJ686" s="3">
        <f ca="1">IFERROR(__xludf.DUMMYFUNCTION("""COMPUTED_VALUE"""),1261)</f>
        <v>1261</v>
      </c>
      <c r="AK686" s="3">
        <f ca="1">IFERROR(__xludf.DUMMYFUNCTION("""COMPUTED_VALUE"""),3264)</f>
        <v>3264</v>
      </c>
      <c r="AL686" s="3">
        <f ca="1">IFERROR(__xludf.DUMMYFUNCTION("""COMPUTED_VALUE"""),232)</f>
        <v>232</v>
      </c>
    </row>
    <row r="687" spans="1:38" ht="13">
      <c r="A687" s="3">
        <f ca="1">IFERROR(__xludf.DUMMYFUNCTION("""COMPUTED_VALUE"""),296)</f>
        <v>296</v>
      </c>
      <c r="B687" s="3">
        <f ca="1">IFERROR(__xludf.DUMMYFUNCTION("""COMPUTED_VALUE"""),5)</f>
        <v>5</v>
      </c>
      <c r="C687" s="3">
        <f ca="1">IFERROR(__xludf.DUMMYFUNCTION("""COMPUTED_VALUE"""),4050)</f>
        <v>4050</v>
      </c>
      <c r="D687" s="3" t="str">
        <f ca="1">IFERROR(__xludf.DUMMYFUNCTION("""COMPUTED_VALUE"""),"Doorlanta")</f>
        <v>Doorlanta</v>
      </c>
      <c r="E687" s="3" t="str">
        <f ca="1">IFERROR(__xludf.DUMMYFUNCTION("""COMPUTED_VALUE"""),"Galaxy A")</f>
        <v>Galaxy A</v>
      </c>
      <c r="F687" s="3" t="str">
        <f ca="1">IFERROR(__xludf.DUMMYFUNCTION("""COMPUTED_VALUE"""),"Katelynn")</f>
        <v>Katelynn</v>
      </c>
      <c r="G687" s="3">
        <f ca="1">IFERROR(__xludf.DUMMYFUNCTION("""COMPUTED_VALUE"""),0)</f>
        <v>0</v>
      </c>
      <c r="H687" s="3" t="str">
        <f ca="1">IFERROR(__xludf.DUMMYFUNCTION("""COMPUTED_VALUE"""),"car")</f>
        <v>car</v>
      </c>
      <c r="I687" s="3" t="str">
        <f ca="1">IFERROR(__xludf.DUMMYFUNCTION("""COMPUTED_VALUE"""),"2055-06-03T17:29:44.673729Z")</f>
        <v>2055-06-03T17:29:44.673729Z</v>
      </c>
      <c r="J687" s="3" t="str">
        <f ca="1">IFERROR(__xludf.DUMMYFUNCTION("""COMPUTED_VALUE"""),"2055-06-03T18:09:44.744Z")</f>
        <v>2055-06-03T18:09:44.744Z</v>
      </c>
      <c r="K687" s="3" t="str">
        <f ca="1">IFERROR(__xludf.DUMMYFUNCTION("""COMPUTED_VALUE"""),"2055-06-03T18:00:46.744Z")</f>
        <v>2055-06-03T18:00:46.744Z</v>
      </c>
      <c r="L687" s="3">
        <f ca="1">IFERROR(__xludf.DUMMYFUNCTION("""COMPUTED_VALUE"""),1)</f>
        <v>1</v>
      </c>
      <c r="M687" s="3">
        <f ca="1">IFERROR(__xludf.DUMMYFUNCTION("""COMPUTED_VALUE"""),0)</f>
        <v>0</v>
      </c>
      <c r="N687" s="3" t="str">
        <f ca="1">IFERROR(__xludf.DUMMYFUNCTION("""COMPUTED_VALUE"""),"2055-06-03T17:45:45.972317Z")</f>
        <v>2055-06-03T17:45:45.972317Z</v>
      </c>
      <c r="O687" s="3" t="str">
        <f ca="1">IFERROR(__xludf.DUMMYFUNCTION("""COMPUTED_VALUE"""),"2055-06-03T17:51:48.454387Z")</f>
        <v>2055-06-03T17:51:48.454387Z</v>
      </c>
      <c r="P687" s="3" t="str">
        <f ca="1">IFERROR(__xludf.DUMMYFUNCTION("""COMPUTED_VALUE"""),"2055-06-03T17:30:07.345483Z")</f>
        <v>2055-06-03T17:30:07.345483Z</v>
      </c>
      <c r="Q687" s="3">
        <f ca="1">IFERROR(__xludf.DUMMYFUNCTION("""COMPUTED_VALUE"""),0)</f>
        <v>0</v>
      </c>
      <c r="R687" s="3" t="str">
        <f ca="1">IFERROR(__xludf.DUMMYFUNCTION("""COMPUTED_VALUE"""),"2055-06-03T17:30:22.895155Z")</f>
        <v>2055-06-03T17:30:22.895155Z</v>
      </c>
      <c r="S687" s="3"/>
      <c r="T687" s="3"/>
      <c r="U687" s="4">
        <f ca="1">IFERROR(__xludf.DUMMYFUNCTION("""COMPUTED_VALUE"""),56768)</f>
        <v>56768</v>
      </c>
      <c r="V687" s="3">
        <f ca="1">IFERROR(__xludf.DUMMYFUNCTION("""COMPUTED_VALUE"""),4.6)</f>
        <v>4.5999999999999996</v>
      </c>
      <c r="W687" s="3">
        <f ca="1">IFERROR(__xludf.DUMMYFUNCTION("""COMPUTED_VALUE"""),2000)</f>
        <v>2000</v>
      </c>
      <c r="X687" s="3">
        <f ca="1">IFERROR(__xludf.DUMMYFUNCTION("""COMPUTED_VALUE"""),1286)</f>
        <v>1286</v>
      </c>
      <c r="Y687" s="3"/>
      <c r="Z687" s="3"/>
      <c r="AA687" s="3">
        <f ca="1">IFERROR(__xludf.DUMMYFUNCTION("""COMPUTED_VALUE"""),363)</f>
        <v>363</v>
      </c>
      <c r="AB687" s="3">
        <f ca="1">IFERROR(__xludf.DUMMYFUNCTION("""COMPUTED_VALUE"""),0)</f>
        <v>0</v>
      </c>
      <c r="AC687" s="3">
        <f ca="1">IFERROR(__xludf.DUMMYFUNCTION("""COMPUTED_VALUE"""),6)</f>
        <v>6</v>
      </c>
      <c r="AD687" s="3"/>
      <c r="AE687" s="3" t="str">
        <f ca="1">IFERROR(__xludf.DUMMYFUNCTION("""COMPUTED_VALUE"""),"2055-06-03T13:45:45.972317Z")</f>
        <v>2055-06-03T13:45:45.972317Z</v>
      </c>
      <c r="AF687" s="3" t="str">
        <f ca="1">IFERROR(__xludf.DUMMYFUNCTION("""COMPUTED_VALUE"""),"2055-06-03T13:51:48.454387Z")</f>
        <v>2055-06-03T13:51:48.454387Z</v>
      </c>
      <c r="AG687" s="3" t="str">
        <f ca="1">IFERROR(__xludf.DUMMYFUNCTION("""COMPUTED_VALUE"""),"2055-06-03T13:30:07.345483Z")</f>
        <v>2055-06-03T13:30:07.345483Z</v>
      </c>
      <c r="AH687" s="3"/>
      <c r="AI687" s="3">
        <f ca="1">IFERROR(__xludf.DUMMYFUNCTION("""COMPUTED_VALUE"""),4.7)</f>
        <v>4.7</v>
      </c>
      <c r="AJ687" s="3">
        <f ca="1">IFERROR(__xludf.DUMMYFUNCTION("""COMPUTED_VALUE"""),1261)</f>
        <v>1261</v>
      </c>
      <c r="AK687" s="3">
        <f ca="1">IFERROR(__xludf.DUMMYFUNCTION("""COMPUTED_VALUE"""),3264)</f>
        <v>3264</v>
      </c>
      <c r="AL687" s="3">
        <f ca="1">IFERROR(__xludf.DUMMYFUNCTION("""COMPUTED_VALUE"""),232)</f>
        <v>232</v>
      </c>
    </row>
    <row r="688" spans="1:38" ht="13">
      <c r="A688" s="3">
        <f ca="1">IFERROR(__xludf.DUMMYFUNCTION("""COMPUTED_VALUE"""),797)</f>
        <v>797</v>
      </c>
      <c r="B688" s="3">
        <f ca="1">IFERROR(__xludf.DUMMYFUNCTION("""COMPUTED_VALUE"""),5)</f>
        <v>5</v>
      </c>
      <c r="C688" s="3">
        <f ca="1">IFERROR(__xludf.DUMMYFUNCTION("""COMPUTED_VALUE"""),4050)</f>
        <v>4050</v>
      </c>
      <c r="D688" s="3" t="str">
        <f ca="1">IFERROR(__xludf.DUMMYFUNCTION("""COMPUTED_VALUE"""),"Doorlanta")</f>
        <v>Doorlanta</v>
      </c>
      <c r="E688" s="3" t="str">
        <f ca="1">IFERROR(__xludf.DUMMYFUNCTION("""COMPUTED_VALUE"""),"Galaxy A")</f>
        <v>Galaxy A</v>
      </c>
      <c r="F688" s="3" t="str">
        <f ca="1">IFERROR(__xludf.DUMMYFUNCTION("""COMPUTED_VALUE"""),"Abhai")</f>
        <v>Abhai</v>
      </c>
      <c r="G688" s="3">
        <f ca="1">IFERROR(__xludf.DUMMYFUNCTION("""COMPUTED_VALUE"""),0)</f>
        <v>0</v>
      </c>
      <c r="H688" s="3" t="str">
        <f ca="1">IFERROR(__xludf.DUMMYFUNCTION("""COMPUTED_VALUE"""),"car")</f>
        <v>car</v>
      </c>
      <c r="I688" s="3" t="str">
        <f ca="1">IFERROR(__xludf.DUMMYFUNCTION("""COMPUTED_VALUE"""),"2055-06-06T23:50:25.244713Z")</f>
        <v>2055-06-06T23:50:25.244713Z</v>
      </c>
      <c r="J688" s="3" t="str">
        <f ca="1">IFERROR(__xludf.DUMMYFUNCTION("""COMPUTED_VALUE"""),"2055-06-07T00:48:11.542Z")</f>
        <v>2055-06-07T00:48:11.542Z</v>
      </c>
      <c r="K688" s="3" t="str">
        <f ca="1">IFERROR(__xludf.DUMMYFUNCTION("""COMPUTED_VALUE"""),"2055-06-07T00:42:32.542Z")</f>
        <v>2055-06-07T00:42:32.542Z</v>
      </c>
      <c r="L688" s="3">
        <f ca="1">IFERROR(__xludf.DUMMYFUNCTION("""COMPUTED_VALUE"""),1)</f>
        <v>1</v>
      </c>
      <c r="M688" s="3">
        <f ca="1">IFERROR(__xludf.DUMMYFUNCTION("""COMPUTED_VALUE"""),0)</f>
        <v>0</v>
      </c>
      <c r="N688" s="3" t="str">
        <f ca="1">IFERROR(__xludf.DUMMYFUNCTION("""COMPUTED_VALUE"""),"2055-06-07T00:09:14.160818Z")</f>
        <v>2055-06-07T00:09:14.160818Z</v>
      </c>
      <c r="O688" s="3" t="str">
        <f ca="1">IFERROR(__xludf.DUMMYFUNCTION("""COMPUTED_VALUE"""),"2055-06-07T00:30:05.071501Z")</f>
        <v>2055-06-07T00:30:05.071501Z</v>
      </c>
      <c r="P688" s="3" t="str">
        <f ca="1">IFERROR(__xludf.DUMMYFUNCTION("""COMPUTED_VALUE"""),"2055-06-06T23:50:47.414758Z")</f>
        <v>2055-06-06T23:50:47.414758Z</v>
      </c>
      <c r="Q688" s="3">
        <f ca="1">IFERROR(__xludf.DUMMYFUNCTION("""COMPUTED_VALUE"""),0)</f>
        <v>0</v>
      </c>
      <c r="R688" s="3" t="str">
        <f ca="1">IFERROR(__xludf.DUMMYFUNCTION("""COMPUTED_VALUE"""),"2055-06-06T23:50:51.169458Z")</f>
        <v>2055-06-06T23:50:51.169458Z</v>
      </c>
      <c r="S688" s="3" t="str">
        <f ca="1">IFERROR(__xludf.DUMMYFUNCTION("""COMPUTED_VALUE"""),"2055-06-07T00:04:33.73244Z")</f>
        <v>2055-06-07T00:04:33.73244Z</v>
      </c>
      <c r="T688" s="3"/>
      <c r="U688" s="4">
        <f ca="1">IFERROR(__xludf.DUMMYFUNCTION("""COMPUTED_VALUE"""),56771)</f>
        <v>56771</v>
      </c>
      <c r="V688" s="3">
        <f ca="1">IFERROR(__xludf.DUMMYFUNCTION("""COMPUTED_VALUE"""),4.7)</f>
        <v>4.7</v>
      </c>
      <c r="W688" s="3">
        <f ca="1">IFERROR(__xludf.DUMMYFUNCTION("""COMPUTED_VALUE"""),2000)</f>
        <v>2000</v>
      </c>
      <c r="X688" s="3">
        <f ca="1">IFERROR(__xludf.DUMMYFUNCTION("""COMPUTED_VALUE"""),2354)</f>
        <v>2354</v>
      </c>
      <c r="Y688" s="3">
        <f ca="1">IFERROR(__xludf.DUMMYFUNCTION("""COMPUTED_VALUE"""),822)</f>
        <v>822</v>
      </c>
      <c r="Z688" s="3">
        <f ca="1">IFERROR(__xludf.DUMMYFUNCTION("""COMPUTED_VALUE"""),281)</f>
        <v>281</v>
      </c>
      <c r="AA688" s="3">
        <f ca="1">IFERROR(__xludf.DUMMYFUNCTION("""COMPUTED_VALUE"""),1251)</f>
        <v>1251</v>
      </c>
      <c r="AB688" s="3">
        <f ca="1">IFERROR(__xludf.DUMMYFUNCTION("""COMPUTED_VALUE"""),0)</f>
        <v>0</v>
      </c>
      <c r="AC688" s="3">
        <f ca="1">IFERROR(__xludf.DUMMYFUNCTION("""COMPUTED_VALUE"""),2)</f>
        <v>2</v>
      </c>
      <c r="AD688" s="3" t="str">
        <f ca="1">IFERROR(__xludf.DUMMYFUNCTION("""COMPUTED_VALUE"""),"early")</f>
        <v>early</v>
      </c>
      <c r="AE688" s="3" t="str">
        <f ca="1">IFERROR(__xludf.DUMMYFUNCTION("""COMPUTED_VALUE"""),"2055-06-06T20:09:14.160818Z")</f>
        <v>2055-06-06T20:09:14.160818Z</v>
      </c>
      <c r="AF688" s="3" t="str">
        <f ca="1">IFERROR(__xludf.DUMMYFUNCTION("""COMPUTED_VALUE"""),"2055-06-06T20:30:05.071501Z")</f>
        <v>2055-06-06T20:30:05.071501Z</v>
      </c>
      <c r="AG688" s="3" t="str">
        <f ca="1">IFERROR(__xludf.DUMMYFUNCTION("""COMPUTED_VALUE"""),"2055-06-06T19:50:47.414758Z")</f>
        <v>2055-06-06T19:50:47.414758Z</v>
      </c>
      <c r="AH688" s="3" t="str">
        <f ca="1">IFERROR(__xludf.DUMMYFUNCTION("""COMPUTED_VALUE"""),"2055-06-06T20:04:33.73244Z")</f>
        <v>2055-06-06T20:04:33.73244Z</v>
      </c>
      <c r="AI688" s="3">
        <f ca="1">IFERROR(__xludf.DUMMYFUNCTION("""COMPUTED_VALUE"""),4.56)</f>
        <v>4.5599999999999996</v>
      </c>
      <c r="AJ688" s="3">
        <f ca="1">IFERROR(__xludf.DUMMYFUNCTION("""COMPUTED_VALUE"""),344)</f>
        <v>344</v>
      </c>
      <c r="AK688" s="3">
        <f ca="1">IFERROR(__xludf.DUMMYFUNCTION("""COMPUTED_VALUE"""),947)</f>
        <v>947</v>
      </c>
      <c r="AL688" s="3">
        <f ca="1">IFERROR(__xludf.DUMMYFUNCTION("""COMPUTED_VALUE"""),22)</f>
        <v>22</v>
      </c>
    </row>
    <row r="689" spans="1:38" ht="13">
      <c r="A689" s="3">
        <f ca="1">IFERROR(__xludf.DUMMYFUNCTION("""COMPUTED_VALUE"""),955)</f>
        <v>955</v>
      </c>
      <c r="B689" s="3"/>
      <c r="C689" s="3">
        <f ca="1">IFERROR(__xludf.DUMMYFUNCTION("""COMPUTED_VALUE"""),4050)</f>
        <v>4050</v>
      </c>
      <c r="D689" s="3" t="str">
        <f ca="1">IFERROR(__xludf.DUMMYFUNCTION("""COMPUTED_VALUE"""),"Doorlanta")</f>
        <v>Doorlanta</v>
      </c>
      <c r="E689" s="3" t="str">
        <f ca="1">IFERROR(__xludf.DUMMYFUNCTION("""COMPUTED_VALUE"""),"Galaxy A")</f>
        <v>Galaxy A</v>
      </c>
      <c r="F689" s="3" t="str">
        <f ca="1">IFERROR(__xludf.DUMMYFUNCTION("""COMPUTED_VALUE"""),"Katelynn")</f>
        <v>Katelynn</v>
      </c>
      <c r="G689" s="3">
        <f ca="1">IFERROR(__xludf.DUMMYFUNCTION("""COMPUTED_VALUE"""),0)</f>
        <v>0</v>
      </c>
      <c r="H689" s="3" t="str">
        <f ca="1">IFERROR(__xludf.DUMMYFUNCTION("""COMPUTED_VALUE"""),"car")</f>
        <v>car</v>
      </c>
      <c r="I689" s="3" t="str">
        <f ca="1">IFERROR(__xludf.DUMMYFUNCTION("""COMPUTED_VALUE"""),"2055-06-08T18:19:22.305489Z")</f>
        <v>2055-06-08T18:19:22.305489Z</v>
      </c>
      <c r="J689" s="3" t="str">
        <f ca="1">IFERROR(__xludf.DUMMYFUNCTION("""COMPUTED_VALUE"""),"2055-06-08T19:09:22.385Z")</f>
        <v>2055-06-08T19:09:22.385Z</v>
      </c>
      <c r="K689" s="3" t="str">
        <f ca="1">IFERROR(__xludf.DUMMYFUNCTION("""COMPUTED_VALUE"""),"2055-06-08T18:51:37.385Z")</f>
        <v>2055-06-08T18:51:37.385Z</v>
      </c>
      <c r="L689" s="3">
        <f ca="1">IFERROR(__xludf.DUMMYFUNCTION("""COMPUTED_VALUE"""),1)</f>
        <v>1</v>
      </c>
      <c r="M689" s="3">
        <f ca="1">IFERROR(__xludf.DUMMYFUNCTION("""COMPUTED_VALUE"""),0)</f>
        <v>0</v>
      </c>
      <c r="N689" s="3" t="str">
        <f ca="1">IFERROR(__xludf.DUMMYFUNCTION("""COMPUTED_VALUE"""),"2055-06-08T18:32:38.724814Z")</f>
        <v>2055-06-08T18:32:38.724814Z</v>
      </c>
      <c r="O689" s="3" t="str">
        <f ca="1">IFERROR(__xludf.DUMMYFUNCTION("""COMPUTED_VALUE"""),"2055-06-08T19:02:24.709119Z")</f>
        <v>2055-06-08T19:02:24.709119Z</v>
      </c>
      <c r="P689" s="3" t="str">
        <f ca="1">IFERROR(__xludf.DUMMYFUNCTION("""COMPUTED_VALUE"""),"2055-06-08T18:19:27.301258Z")</f>
        <v>2055-06-08T18:19:27.301258Z</v>
      </c>
      <c r="Q689" s="3">
        <f ca="1">IFERROR(__xludf.DUMMYFUNCTION("""COMPUTED_VALUE"""),0)</f>
        <v>0</v>
      </c>
      <c r="R689" s="3" t="str">
        <f ca="1">IFERROR(__xludf.DUMMYFUNCTION("""COMPUTED_VALUE"""),"2055-06-08T18:20:22.95726Z")</f>
        <v>2055-06-08T18:20:22.95726Z</v>
      </c>
      <c r="S689" s="3" t="str">
        <f ca="1">IFERROR(__xludf.DUMMYFUNCTION("""COMPUTED_VALUE"""),"2055-06-08T18:23:29.360967Z")</f>
        <v>2055-06-08T18:23:29.360967Z</v>
      </c>
      <c r="T689" s="3"/>
      <c r="U689" s="4">
        <f ca="1">IFERROR(__xludf.DUMMYFUNCTION("""COMPUTED_VALUE"""),56773)</f>
        <v>56773</v>
      </c>
      <c r="V689" s="3">
        <f ca="1">IFERROR(__xludf.DUMMYFUNCTION("""COMPUTED_VALUE"""),4.6)</f>
        <v>4.5999999999999996</v>
      </c>
      <c r="W689" s="3">
        <f ca="1">IFERROR(__xludf.DUMMYFUNCTION("""COMPUTED_VALUE"""),2000)</f>
        <v>2000</v>
      </c>
      <c r="X689" s="3">
        <f ca="1">IFERROR(__xludf.DUMMYFUNCTION("""COMPUTED_VALUE"""),2522)</f>
        <v>2522</v>
      </c>
      <c r="Y689" s="3">
        <f ca="1">IFERROR(__xludf.DUMMYFUNCTION("""COMPUTED_VALUE"""),187)</f>
        <v>187</v>
      </c>
      <c r="Z689" s="3">
        <f ca="1">IFERROR(__xludf.DUMMYFUNCTION("""COMPUTED_VALUE"""),549)</f>
        <v>549</v>
      </c>
      <c r="AA689" s="3">
        <f ca="1">IFERROR(__xludf.DUMMYFUNCTION("""COMPUTED_VALUE"""),1786)</f>
        <v>1786</v>
      </c>
      <c r="AB689" s="3">
        <f ca="1">IFERROR(__xludf.DUMMYFUNCTION("""COMPUTED_VALUE"""),0)</f>
        <v>0</v>
      </c>
      <c r="AC689" s="3">
        <f ca="1">IFERROR(__xludf.DUMMYFUNCTION("""COMPUTED_VALUE"""),1)</f>
        <v>1</v>
      </c>
      <c r="AD689" s="3" t="str">
        <f ca="1">IFERROR(__xludf.DUMMYFUNCTION("""COMPUTED_VALUE"""),"early")</f>
        <v>early</v>
      </c>
      <c r="AE689" s="3" t="str">
        <f ca="1">IFERROR(__xludf.DUMMYFUNCTION("""COMPUTED_VALUE"""),"2055-06-08T14:32:38.724814Z")</f>
        <v>2055-06-08T14:32:38.724814Z</v>
      </c>
      <c r="AF689" s="3" t="str">
        <f ca="1">IFERROR(__xludf.DUMMYFUNCTION("""COMPUTED_VALUE"""),"2055-06-08T15:02:24.709119Z")</f>
        <v>2055-06-08T15:02:24.709119Z</v>
      </c>
      <c r="AG689" s="3" t="str">
        <f ca="1">IFERROR(__xludf.DUMMYFUNCTION("""COMPUTED_VALUE"""),"2055-06-08T14:19:27.301258Z")</f>
        <v>2055-06-08T14:19:27.301258Z</v>
      </c>
      <c r="AH689" s="3" t="str">
        <f ca="1">IFERROR(__xludf.DUMMYFUNCTION("""COMPUTED_VALUE"""),"2055-06-08T14:23:29.360967Z")</f>
        <v>2055-06-08T14:23:29.360967Z</v>
      </c>
      <c r="AI689" s="3">
        <f ca="1">IFERROR(__xludf.DUMMYFUNCTION("""COMPUTED_VALUE"""),4.7)</f>
        <v>4.7</v>
      </c>
      <c r="AJ689" s="3">
        <f ca="1">IFERROR(__xludf.DUMMYFUNCTION("""COMPUTED_VALUE"""),1261)</f>
        <v>1261</v>
      </c>
      <c r="AK689" s="3">
        <f ca="1">IFERROR(__xludf.DUMMYFUNCTION("""COMPUTED_VALUE"""),3264)</f>
        <v>3264</v>
      </c>
      <c r="AL689" s="3">
        <f ca="1">IFERROR(__xludf.DUMMYFUNCTION("""COMPUTED_VALUE"""),232)</f>
        <v>232</v>
      </c>
    </row>
    <row r="690" spans="1:38" ht="13">
      <c r="A690" s="3">
        <f ca="1">IFERROR(__xludf.DUMMYFUNCTION("""COMPUTED_VALUE"""),53)</f>
        <v>53</v>
      </c>
      <c r="B690" s="3"/>
      <c r="C690" s="3">
        <f ca="1">IFERROR(__xludf.DUMMYFUNCTION("""COMPUTED_VALUE"""),4050)</f>
        <v>4050</v>
      </c>
      <c r="D690" s="3" t="str">
        <f ca="1">IFERROR(__xludf.DUMMYFUNCTION("""COMPUTED_VALUE"""),"Doorlanta")</f>
        <v>Doorlanta</v>
      </c>
      <c r="E690" s="3" t="str">
        <f ca="1">IFERROR(__xludf.DUMMYFUNCTION("""COMPUTED_VALUE"""),"Galaxy A")</f>
        <v>Galaxy A</v>
      </c>
      <c r="F690" s="3" t="str">
        <f ca="1">IFERROR(__xludf.DUMMYFUNCTION("""COMPUTED_VALUE"""),"Josh")</f>
        <v>Josh</v>
      </c>
      <c r="G690" s="3">
        <f ca="1">IFERROR(__xludf.DUMMYFUNCTION("""COMPUTED_VALUE"""),0)</f>
        <v>0</v>
      </c>
      <c r="H690" s="3" t="str">
        <f ca="1">IFERROR(__xludf.DUMMYFUNCTION("""COMPUTED_VALUE"""),"car")</f>
        <v>car</v>
      </c>
      <c r="I690" s="3" t="str">
        <f ca="1">IFERROR(__xludf.DUMMYFUNCTION("""COMPUTED_VALUE"""),"2055-06-01T21:58:52.082656Z")</f>
        <v>2055-06-01T21:58:52.082656Z</v>
      </c>
      <c r="J690" s="3" t="str">
        <f ca="1">IFERROR(__xludf.DUMMYFUNCTION("""COMPUTED_VALUE"""),"2055-06-01T22:59:13.15Z")</f>
        <v>2055-06-01T22:59:13.15Z</v>
      </c>
      <c r="K690" s="3" t="str">
        <f ca="1">IFERROR(__xludf.DUMMYFUNCTION("""COMPUTED_VALUE"""),"2055-06-01T22:40:20.15Z")</f>
        <v>2055-06-01T22:40:20.15Z</v>
      </c>
      <c r="L690" s="3">
        <f ca="1">IFERROR(__xludf.DUMMYFUNCTION("""COMPUTED_VALUE"""),1)</f>
        <v>1</v>
      </c>
      <c r="M690" s="3">
        <f ca="1">IFERROR(__xludf.DUMMYFUNCTION("""COMPUTED_VALUE"""),0)</f>
        <v>0</v>
      </c>
      <c r="N690" s="3" t="str">
        <f ca="1">IFERROR(__xludf.DUMMYFUNCTION("""COMPUTED_VALUE"""),"2055-06-01T22:20:43.407728Z")</f>
        <v>2055-06-01T22:20:43.407728Z</v>
      </c>
      <c r="O690" s="3" t="str">
        <f ca="1">IFERROR(__xludf.DUMMYFUNCTION("""COMPUTED_VALUE"""),"2055-06-01T22:44:26.305127Z")</f>
        <v>2055-06-01T22:44:26.305127Z</v>
      </c>
      <c r="P690" s="3" t="str">
        <f ca="1">IFERROR(__xludf.DUMMYFUNCTION("""COMPUTED_VALUE"""),"2055-06-01T21:59:07.435964Z")</f>
        <v>2055-06-01T21:59:07.435964Z</v>
      </c>
      <c r="Q690" s="3">
        <f ca="1">IFERROR(__xludf.DUMMYFUNCTION("""COMPUTED_VALUE"""),0)</f>
        <v>0</v>
      </c>
      <c r="R690" s="3" t="str">
        <f ca="1">IFERROR(__xludf.DUMMYFUNCTION("""COMPUTED_VALUE"""),"2055-06-01T21:59:23.162035Z")</f>
        <v>2055-06-01T21:59:23.162035Z</v>
      </c>
      <c r="S690" s="3" t="str">
        <f ca="1">IFERROR(__xludf.DUMMYFUNCTION("""COMPUTED_VALUE"""),"2055-06-01T22:12:44.958502Z")</f>
        <v>2055-06-01T22:12:44.958502Z</v>
      </c>
      <c r="T690" s="3"/>
      <c r="U690" s="4">
        <f ca="1">IFERROR(__xludf.DUMMYFUNCTION("""COMPUTED_VALUE"""),56766)</f>
        <v>56766</v>
      </c>
      <c r="V690" s="3">
        <f ca="1">IFERROR(__xludf.DUMMYFUNCTION("""COMPUTED_VALUE"""),4.7)</f>
        <v>4.7</v>
      </c>
      <c r="W690" s="3">
        <f ca="1">IFERROR(__xludf.DUMMYFUNCTION("""COMPUTED_VALUE"""),2000)</f>
        <v>2000</v>
      </c>
      <c r="X690" s="3">
        <f ca="1">IFERROR(__xludf.DUMMYFUNCTION("""COMPUTED_VALUE"""),2703)</f>
        <v>2703</v>
      </c>
      <c r="Y690" s="3">
        <f ca="1">IFERROR(__xludf.DUMMYFUNCTION("""COMPUTED_VALUE"""),801)</f>
        <v>801</v>
      </c>
      <c r="Z690" s="3">
        <f ca="1">IFERROR(__xludf.DUMMYFUNCTION("""COMPUTED_VALUE"""),479)</f>
        <v>479</v>
      </c>
      <c r="AA690" s="3">
        <f ca="1">IFERROR(__xludf.DUMMYFUNCTION("""COMPUTED_VALUE"""),1423)</f>
        <v>1423</v>
      </c>
      <c r="AB690" s="3">
        <f ca="1">IFERROR(__xludf.DUMMYFUNCTION("""COMPUTED_VALUE"""),0)</f>
        <v>0</v>
      </c>
      <c r="AC690" s="3">
        <f ca="1">IFERROR(__xludf.DUMMYFUNCTION("""COMPUTED_VALUE"""),1)</f>
        <v>1</v>
      </c>
      <c r="AD690" s="3" t="str">
        <f ca="1">IFERROR(__xludf.DUMMYFUNCTION("""COMPUTED_VALUE"""),"on time")</f>
        <v>on time</v>
      </c>
      <c r="AE690" s="3" t="str">
        <f ca="1">IFERROR(__xludf.DUMMYFUNCTION("""COMPUTED_VALUE"""),"2055-06-01T18:20:43.407728Z")</f>
        <v>2055-06-01T18:20:43.407728Z</v>
      </c>
      <c r="AF690" s="3" t="str">
        <f ca="1">IFERROR(__xludf.DUMMYFUNCTION("""COMPUTED_VALUE"""),"2055-06-01T18:44:26.305127Z")</f>
        <v>2055-06-01T18:44:26.305127Z</v>
      </c>
      <c r="AG690" s="3" t="str">
        <f ca="1">IFERROR(__xludf.DUMMYFUNCTION("""COMPUTED_VALUE"""),"2055-06-01T17:59:07.435964Z")</f>
        <v>2055-06-01T17:59:07.435964Z</v>
      </c>
      <c r="AH690" s="3" t="str">
        <f ca="1">IFERROR(__xludf.DUMMYFUNCTION("""COMPUTED_VALUE"""),"2055-06-01T18:12:44.958502Z")</f>
        <v>2055-06-01T18:12:44.958502Z</v>
      </c>
      <c r="AI690" s="3">
        <f ca="1">IFERROR(__xludf.DUMMYFUNCTION("""COMPUTED_VALUE"""),4.77)</f>
        <v>4.7699999999999996</v>
      </c>
      <c r="AJ690" s="3">
        <f ca="1">IFERROR(__xludf.DUMMYFUNCTION("""COMPUTED_VALUE"""),426)</f>
        <v>426</v>
      </c>
      <c r="AK690" s="3">
        <f ca="1">IFERROR(__xludf.DUMMYFUNCTION("""COMPUTED_VALUE"""),1226)</f>
        <v>1226</v>
      </c>
      <c r="AL690" s="3">
        <f ca="1">IFERROR(__xludf.DUMMYFUNCTION("""COMPUTED_VALUE"""),85)</f>
        <v>85</v>
      </c>
    </row>
    <row r="691" spans="1:38" ht="13">
      <c r="A691" s="3">
        <f ca="1">IFERROR(__xludf.DUMMYFUNCTION("""COMPUTED_VALUE"""),685)</f>
        <v>685</v>
      </c>
      <c r="B691" s="3"/>
      <c r="C691" s="3">
        <f ca="1">IFERROR(__xludf.DUMMYFUNCTION("""COMPUTED_VALUE"""),4050)</f>
        <v>4050</v>
      </c>
      <c r="D691" s="3" t="str">
        <f ca="1">IFERROR(__xludf.DUMMYFUNCTION("""COMPUTED_VALUE"""),"Doorlanta")</f>
        <v>Doorlanta</v>
      </c>
      <c r="E691" s="3" t="str">
        <f ca="1">IFERROR(__xludf.DUMMYFUNCTION("""COMPUTED_VALUE"""),"Galaxy A")</f>
        <v>Galaxy A</v>
      </c>
      <c r="F691" s="3" t="str">
        <f ca="1">IFERROR(__xludf.DUMMYFUNCTION("""COMPUTED_VALUE"""),"Benn")</f>
        <v>Benn</v>
      </c>
      <c r="G691" s="3">
        <f ca="1">IFERROR(__xludf.DUMMYFUNCTION("""COMPUTED_VALUE"""),0)</f>
        <v>0</v>
      </c>
      <c r="H691" s="3" t="str">
        <f ca="1">IFERROR(__xludf.DUMMYFUNCTION("""COMPUTED_VALUE"""),"car")</f>
        <v>car</v>
      </c>
      <c r="I691" s="3" t="str">
        <f ca="1">IFERROR(__xludf.DUMMYFUNCTION("""COMPUTED_VALUE"""),"2055-06-05T23:45:32.672212Z")</f>
        <v>2055-06-05T23:45:32.672212Z</v>
      </c>
      <c r="J691" s="3" t="str">
        <f ca="1">IFERROR(__xludf.DUMMYFUNCTION("""COMPUTED_VALUE"""),"2055-06-06T01:05:14.746Z")</f>
        <v>2055-06-06T01:05:14.746Z</v>
      </c>
      <c r="K691" s="3" t="str">
        <f ca="1">IFERROR(__xludf.DUMMYFUNCTION("""COMPUTED_VALUE"""),"2055-06-06T00:37:01.746Z")</f>
        <v>2055-06-06T00:37:01.746Z</v>
      </c>
      <c r="L691" s="3">
        <f ca="1">IFERROR(__xludf.DUMMYFUNCTION("""COMPUTED_VALUE"""),1)</f>
        <v>1</v>
      </c>
      <c r="M691" s="3">
        <f ca="1">IFERROR(__xludf.DUMMYFUNCTION("""COMPUTED_VALUE"""),0)</f>
        <v>0</v>
      </c>
      <c r="N691" s="3" t="str">
        <f ca="1">IFERROR(__xludf.DUMMYFUNCTION("""COMPUTED_VALUE"""),"2055-06-06T00:06:09.770829Z")</f>
        <v>2055-06-06T00:06:09.770829Z</v>
      </c>
      <c r="O691" s="3" t="str">
        <f ca="1">IFERROR(__xludf.DUMMYFUNCTION("""COMPUTED_VALUE"""),"2055-06-06T00:19:33.484181Z")</f>
        <v>2055-06-06T00:19:33.484181Z</v>
      </c>
      <c r="P691" s="3" t="str">
        <f ca="1">IFERROR(__xludf.DUMMYFUNCTION("""COMPUTED_VALUE"""),"2055-06-05T23:46:07.690633Z")</f>
        <v>2055-06-05T23:46:07.690633Z</v>
      </c>
      <c r="Q691" s="3">
        <f ca="1">IFERROR(__xludf.DUMMYFUNCTION("""COMPUTED_VALUE"""),0)</f>
        <v>0</v>
      </c>
      <c r="R691" s="3" t="str">
        <f ca="1">IFERROR(__xludf.DUMMYFUNCTION("""COMPUTED_VALUE"""),"2055-06-05T23:46:10.389521Z")</f>
        <v>2055-06-05T23:46:10.389521Z</v>
      </c>
      <c r="S691" s="3" t="str">
        <f ca="1">IFERROR(__xludf.DUMMYFUNCTION("""COMPUTED_VALUE"""),"2055-06-06T00:02:05.661585Z")</f>
        <v>2055-06-06T00:02:05.661585Z</v>
      </c>
      <c r="T691" s="3"/>
      <c r="U691" s="4">
        <f ca="1">IFERROR(__xludf.DUMMYFUNCTION("""COMPUTED_VALUE"""),56770)</f>
        <v>56770</v>
      </c>
      <c r="V691" s="3">
        <f ca="1">IFERROR(__xludf.DUMMYFUNCTION("""COMPUTED_VALUE"""),4.6)</f>
        <v>4.5999999999999996</v>
      </c>
      <c r="W691" s="3">
        <f ca="1">IFERROR(__xludf.DUMMYFUNCTION("""COMPUTED_VALUE"""),2000)</f>
        <v>2000</v>
      </c>
      <c r="X691" s="3">
        <f ca="1">IFERROR(__xludf.DUMMYFUNCTION("""COMPUTED_VALUE"""),2003)</f>
        <v>2003</v>
      </c>
      <c r="Y691" s="3">
        <f ca="1">IFERROR(__xludf.DUMMYFUNCTION("""COMPUTED_VALUE"""),955)</f>
        <v>955</v>
      </c>
      <c r="Z691" s="3">
        <f ca="1">IFERROR(__xludf.DUMMYFUNCTION("""COMPUTED_VALUE"""),244)</f>
        <v>244</v>
      </c>
      <c r="AA691" s="3">
        <f ca="1">IFERROR(__xludf.DUMMYFUNCTION("""COMPUTED_VALUE"""),804)</f>
        <v>804</v>
      </c>
      <c r="AB691" s="3">
        <f ca="1">IFERROR(__xludf.DUMMYFUNCTION("""COMPUTED_VALUE"""),0)</f>
        <v>0</v>
      </c>
      <c r="AC691" s="3">
        <f ca="1">IFERROR(__xludf.DUMMYFUNCTION("""COMPUTED_VALUE"""),2)</f>
        <v>2</v>
      </c>
      <c r="AD691" s="3" t="str">
        <f ca="1">IFERROR(__xludf.DUMMYFUNCTION("""COMPUTED_VALUE"""),"late")</f>
        <v>late</v>
      </c>
      <c r="AE691" s="3" t="str">
        <f ca="1">IFERROR(__xludf.DUMMYFUNCTION("""COMPUTED_VALUE"""),"2055-06-05T20:06:09.770829Z")</f>
        <v>2055-06-05T20:06:09.770829Z</v>
      </c>
      <c r="AF691" s="3" t="str">
        <f ca="1">IFERROR(__xludf.DUMMYFUNCTION("""COMPUTED_VALUE"""),"2055-06-05T20:19:33.484181Z")</f>
        <v>2055-06-05T20:19:33.484181Z</v>
      </c>
      <c r="AG691" s="3" t="str">
        <f ca="1">IFERROR(__xludf.DUMMYFUNCTION("""COMPUTED_VALUE"""),"2055-06-05T19:46:07.690633Z")</f>
        <v>2055-06-05T19:46:07.690633Z</v>
      </c>
      <c r="AH691" s="3" t="str">
        <f ca="1">IFERROR(__xludf.DUMMYFUNCTION("""COMPUTED_VALUE"""),"2055-06-05T20:02:05.661585Z")</f>
        <v>2055-06-05T20:02:05.661585Z</v>
      </c>
      <c r="AI691" s="3">
        <f ca="1">IFERROR(__xludf.DUMMYFUNCTION("""COMPUTED_VALUE"""),4.63)</f>
        <v>4.63</v>
      </c>
      <c r="AJ691" s="3">
        <f ca="1">IFERROR(__xludf.DUMMYFUNCTION("""COMPUTED_VALUE"""),241)</f>
        <v>241</v>
      </c>
      <c r="AK691" s="3">
        <f ca="1">IFERROR(__xludf.DUMMYFUNCTION("""COMPUTED_VALUE"""),995)</f>
        <v>995</v>
      </c>
      <c r="AL691" s="3">
        <f ca="1">IFERROR(__xludf.DUMMYFUNCTION("""COMPUTED_VALUE"""),626)</f>
        <v>626</v>
      </c>
    </row>
    <row r="692" spans="1:38" ht="13">
      <c r="A692" s="3">
        <f ca="1">IFERROR(__xludf.DUMMYFUNCTION("""COMPUTED_VALUE"""),1209)</f>
        <v>1209</v>
      </c>
      <c r="B692" s="3">
        <f ca="1">IFERROR(__xludf.DUMMYFUNCTION("""COMPUTED_VALUE"""),1)</f>
        <v>1</v>
      </c>
      <c r="C692" s="3">
        <f ca="1">IFERROR(__xludf.DUMMYFUNCTION("""COMPUTED_VALUE"""),4001)</f>
        <v>4001</v>
      </c>
      <c r="D692" s="3" t="str">
        <f ca="1">IFERROR(__xludf.DUMMYFUNCTION("""COMPUTED_VALUE"""),"Dashattan")</f>
        <v>Dashattan</v>
      </c>
      <c r="E692" s="3" t="str">
        <f ca="1">IFERROR(__xludf.DUMMYFUNCTION("""COMPUTED_VALUE"""),"Galaxy A")</f>
        <v>Galaxy A</v>
      </c>
      <c r="F692" s="3" t="str">
        <f ca="1">IFERROR(__xludf.DUMMYFUNCTION("""COMPUTED_VALUE"""),"Arya")</f>
        <v>Arya</v>
      </c>
      <c r="G692" s="3">
        <f ca="1">IFERROR(__xludf.DUMMYFUNCTION("""COMPUTED_VALUE"""),0)</f>
        <v>0</v>
      </c>
      <c r="H692" s="3" t="str">
        <f ca="1">IFERROR(__xludf.DUMMYFUNCTION("""COMPUTED_VALUE"""),"bicycle")</f>
        <v>bicycle</v>
      </c>
      <c r="I692" s="3" t="str">
        <f ca="1">IFERROR(__xludf.DUMMYFUNCTION("""COMPUTED_VALUE"""),"2055-06-11T00:05:35.487131Z")</f>
        <v>2055-06-11T00:05:35.487131Z</v>
      </c>
      <c r="J692" s="3" t="str">
        <f ca="1">IFERROR(__xludf.DUMMYFUNCTION("""COMPUTED_VALUE"""),"2055-06-11T01:14:08.539Z")</f>
        <v>2055-06-11T01:14:08.539Z</v>
      </c>
      <c r="K692" s="3" t="str">
        <f ca="1">IFERROR(__xludf.DUMMYFUNCTION("""COMPUTED_VALUE"""),"2055-06-11T00:54:01.539Z")</f>
        <v>2055-06-11T00:54:01.539Z</v>
      </c>
      <c r="L692" s="3">
        <f ca="1">IFERROR(__xludf.DUMMYFUNCTION("""COMPUTED_VALUE"""),1)</f>
        <v>1</v>
      </c>
      <c r="M692" s="3">
        <f ca="1">IFERROR(__xludf.DUMMYFUNCTION("""COMPUTED_VALUE"""),0)</f>
        <v>0</v>
      </c>
      <c r="N692" s="3" t="str">
        <f ca="1">IFERROR(__xludf.DUMMYFUNCTION("""COMPUTED_VALUE"""),"2055-06-11T01:26:46.757609Z")</f>
        <v>2055-06-11T01:26:46.757609Z</v>
      </c>
      <c r="O692" s="3" t="str">
        <f ca="1">IFERROR(__xludf.DUMMYFUNCTION("""COMPUTED_VALUE"""),"2055-06-11T01:41:46.91225Z")</f>
        <v>2055-06-11T01:41:46.91225Z</v>
      </c>
      <c r="P692" s="3" t="str">
        <f ca="1">IFERROR(__xludf.DUMMYFUNCTION("""COMPUTED_VALUE"""),"2055-06-11T00:52:34.16016Z")</f>
        <v>2055-06-11T00:52:34.16016Z</v>
      </c>
      <c r="Q692" s="3">
        <f ca="1">IFERROR(__xludf.DUMMYFUNCTION("""COMPUTED_VALUE"""),0)</f>
        <v>0</v>
      </c>
      <c r="R692" s="3" t="str">
        <f ca="1">IFERROR(__xludf.DUMMYFUNCTION("""COMPUTED_VALUE"""),"2055-06-11T00:52:41.585202Z")</f>
        <v>2055-06-11T00:52:41.585202Z</v>
      </c>
      <c r="S692" s="3"/>
      <c r="T692" s="3"/>
      <c r="U692" s="4">
        <f ca="1">IFERROR(__xludf.DUMMYFUNCTION("""COMPUTED_VALUE"""),56775)</f>
        <v>56775</v>
      </c>
      <c r="V692" s="3">
        <f ca="1">IFERROR(__xludf.DUMMYFUNCTION("""COMPUTED_VALUE"""),4.4)</f>
        <v>4.4000000000000004</v>
      </c>
      <c r="W692" s="3">
        <f ca="1">IFERROR(__xludf.DUMMYFUNCTION("""COMPUTED_VALUE"""),2000)</f>
        <v>2000</v>
      </c>
      <c r="X692" s="3">
        <f ca="1">IFERROR(__xludf.DUMMYFUNCTION("""COMPUTED_VALUE"""),2945)</f>
        <v>2945</v>
      </c>
      <c r="Y692" s="3"/>
      <c r="Z692" s="3"/>
      <c r="AA692" s="3">
        <f ca="1">IFERROR(__xludf.DUMMYFUNCTION("""COMPUTED_VALUE"""),900)</f>
        <v>900</v>
      </c>
      <c r="AB692" s="3">
        <f ca="1">IFERROR(__xludf.DUMMYFUNCTION("""COMPUTED_VALUE"""),0)</f>
        <v>0</v>
      </c>
      <c r="AC692" s="3">
        <f ca="1">IFERROR(__xludf.DUMMYFUNCTION("""COMPUTED_VALUE"""),3)</f>
        <v>3</v>
      </c>
      <c r="AD692" s="3"/>
      <c r="AE692" s="3" t="str">
        <f ca="1">IFERROR(__xludf.DUMMYFUNCTION("""COMPUTED_VALUE"""),"2055-06-10T21:26:46.757609Z")</f>
        <v>2055-06-10T21:26:46.757609Z</v>
      </c>
      <c r="AF692" s="3" t="str">
        <f ca="1">IFERROR(__xludf.DUMMYFUNCTION("""COMPUTED_VALUE"""),"2055-06-10T21:41:46.91225Z")</f>
        <v>2055-06-10T21:41:46.91225Z</v>
      </c>
      <c r="AG692" s="3" t="str">
        <f ca="1">IFERROR(__xludf.DUMMYFUNCTION("""COMPUTED_VALUE"""),"2055-06-10T20:52:34.16016Z")</f>
        <v>2055-06-10T20:52:34.16016Z</v>
      </c>
      <c r="AH692" s="3"/>
      <c r="AI692" s="3">
        <f ca="1">IFERROR(__xludf.DUMMYFUNCTION("""COMPUTED_VALUE"""),4.17)</f>
        <v>4.17</v>
      </c>
      <c r="AJ692" s="3">
        <f ca="1">IFERROR(__xludf.DUMMYFUNCTION("""COMPUTED_VALUE"""),457)</f>
        <v>457</v>
      </c>
      <c r="AK692" s="3">
        <f ca="1">IFERROR(__xludf.DUMMYFUNCTION("""COMPUTED_VALUE"""),1599)</f>
        <v>1599</v>
      </c>
      <c r="AL692" s="3"/>
    </row>
    <row r="693" spans="1:38" ht="13">
      <c r="A693" s="3">
        <f ca="1">IFERROR(__xludf.DUMMYFUNCTION("""COMPUTED_VALUE"""),1)</f>
        <v>1</v>
      </c>
      <c r="B693" s="3">
        <f ca="1">IFERROR(__xludf.DUMMYFUNCTION("""COMPUTED_VALUE"""),5)</f>
        <v>5</v>
      </c>
      <c r="C693" s="3">
        <f ca="1">IFERROR(__xludf.DUMMYFUNCTION("""COMPUTED_VALUE"""),4050)</f>
        <v>4050</v>
      </c>
      <c r="D693" s="3" t="str">
        <f ca="1">IFERROR(__xludf.DUMMYFUNCTION("""COMPUTED_VALUE"""),"Doorlanta")</f>
        <v>Doorlanta</v>
      </c>
      <c r="E693" s="3" t="str">
        <f ca="1">IFERROR(__xludf.DUMMYFUNCTION("""COMPUTED_VALUE"""),"Galaxy A")</f>
        <v>Galaxy A</v>
      </c>
      <c r="F693" s="3" t="str">
        <f ca="1">IFERROR(__xludf.DUMMYFUNCTION("""COMPUTED_VALUE"""),"Katelynn")</f>
        <v>Katelynn</v>
      </c>
      <c r="G693" s="3">
        <f ca="1">IFERROR(__xludf.DUMMYFUNCTION("""COMPUTED_VALUE"""),0)</f>
        <v>0</v>
      </c>
      <c r="H693" s="3" t="str">
        <f ca="1">IFERROR(__xludf.DUMMYFUNCTION("""COMPUTED_VALUE"""),"car")</f>
        <v>car</v>
      </c>
      <c r="I693" s="3" t="str">
        <f ca="1">IFERROR(__xludf.DUMMYFUNCTION("""COMPUTED_VALUE"""),"2055-06-01T06:53:46.825653Z")</f>
        <v>2055-06-01T06:53:46.825653Z</v>
      </c>
      <c r="J693" s="3" t="str">
        <f ca="1">IFERROR(__xludf.DUMMYFUNCTION("""COMPUTED_VALUE"""),"2055-06-01T16:45:00Z")</f>
        <v>2055-06-01T16:45:00Z</v>
      </c>
      <c r="K693" s="3" t="str">
        <f ca="1">IFERROR(__xludf.DUMMYFUNCTION("""COMPUTED_VALUE"""),"2055-06-01T16:45:00Z")</f>
        <v>2055-06-01T16:45:00Z</v>
      </c>
      <c r="L693" s="3">
        <f ca="1">IFERROR(__xludf.DUMMYFUNCTION("""COMPUTED_VALUE"""),0)</f>
        <v>0</v>
      </c>
      <c r="M693" s="3">
        <f ca="1">IFERROR(__xludf.DUMMYFUNCTION("""COMPUTED_VALUE"""),1)</f>
        <v>1</v>
      </c>
      <c r="N693" s="3" t="str">
        <f ca="1">IFERROR(__xludf.DUMMYFUNCTION("""COMPUTED_VALUE"""),"2055-06-01T16:15:34.330837Z")</f>
        <v>2055-06-01T16:15:34.330837Z</v>
      </c>
      <c r="O693" s="3" t="str">
        <f ca="1">IFERROR(__xludf.DUMMYFUNCTION("""COMPUTED_VALUE"""),"2055-06-01T16:30:49.22208Z")</f>
        <v>2055-06-01T16:30:49.22208Z</v>
      </c>
      <c r="P693" s="3" t="str">
        <f ca="1">IFERROR(__xludf.DUMMYFUNCTION("""COMPUTED_VALUE"""),"2055-06-01T15:52:27.241964Z")</f>
        <v>2055-06-01T15:52:27.241964Z</v>
      </c>
      <c r="Q693" s="3">
        <f ca="1">IFERROR(__xludf.DUMMYFUNCTION("""COMPUTED_VALUE"""),0)</f>
        <v>0</v>
      </c>
      <c r="R693" s="3" t="str">
        <f ca="1">IFERROR(__xludf.DUMMYFUNCTION("""COMPUTED_VALUE"""),"2055-06-01T15:52:41.635329Z")</f>
        <v>2055-06-01T15:52:41.635329Z</v>
      </c>
      <c r="S693" s="3" t="str">
        <f ca="1">IFERROR(__xludf.DUMMYFUNCTION("""COMPUTED_VALUE"""),"2055-06-01T16:12:42.314423Z")</f>
        <v>2055-06-01T16:12:42.314423Z</v>
      </c>
      <c r="T693" s="3"/>
      <c r="U693" s="4">
        <f ca="1">IFERROR(__xludf.DUMMYFUNCTION("""COMPUTED_VALUE"""),56766)</f>
        <v>56766</v>
      </c>
      <c r="V693" s="3">
        <f ca="1">IFERROR(__xludf.DUMMYFUNCTION("""COMPUTED_VALUE"""),4.7)</f>
        <v>4.7</v>
      </c>
      <c r="W693" s="3">
        <f ca="1">IFERROR(__xludf.DUMMYFUNCTION("""COMPUTED_VALUE"""),2000)</f>
        <v>2000</v>
      </c>
      <c r="X693" s="3">
        <f ca="1">IFERROR(__xludf.DUMMYFUNCTION("""COMPUTED_VALUE"""),2288)</f>
        <v>2288</v>
      </c>
      <c r="Y693" s="3">
        <f ca="1">IFERROR(__xludf.DUMMYFUNCTION("""COMPUTED_VALUE"""),1201)</f>
        <v>1201</v>
      </c>
      <c r="Z693" s="3">
        <f ca="1">IFERROR(__xludf.DUMMYFUNCTION("""COMPUTED_VALUE"""),172)</f>
        <v>172</v>
      </c>
      <c r="AA693" s="3">
        <f ca="1">IFERROR(__xludf.DUMMYFUNCTION("""COMPUTED_VALUE"""),915)</f>
        <v>915</v>
      </c>
      <c r="AB693" s="3">
        <f ca="1">IFERROR(__xludf.DUMMYFUNCTION("""COMPUTED_VALUE"""),0)</f>
        <v>0</v>
      </c>
      <c r="AC693" s="3">
        <f ca="1">IFERROR(__xludf.DUMMYFUNCTION("""COMPUTED_VALUE"""),5)</f>
        <v>5</v>
      </c>
      <c r="AD693" s="3" t="str">
        <f ca="1">IFERROR(__xludf.DUMMYFUNCTION("""COMPUTED_VALUE"""),"late")</f>
        <v>late</v>
      </c>
      <c r="AE693" s="3" t="str">
        <f ca="1">IFERROR(__xludf.DUMMYFUNCTION("""COMPUTED_VALUE"""),"2055-06-01T12:15:34.330837Z")</f>
        <v>2055-06-01T12:15:34.330837Z</v>
      </c>
      <c r="AF693" s="3" t="str">
        <f ca="1">IFERROR(__xludf.DUMMYFUNCTION("""COMPUTED_VALUE"""),"2055-06-01T12:30:49.22208Z")</f>
        <v>2055-06-01T12:30:49.22208Z</v>
      </c>
      <c r="AG693" s="3" t="str">
        <f ca="1">IFERROR(__xludf.DUMMYFUNCTION("""COMPUTED_VALUE"""),"2055-06-01T11:52:27.241964Z")</f>
        <v>2055-06-01T11:52:27.241964Z</v>
      </c>
      <c r="AH693" s="3" t="str">
        <f ca="1">IFERROR(__xludf.DUMMYFUNCTION("""COMPUTED_VALUE"""),"2055-06-01T12:12:42.314423Z")</f>
        <v>2055-06-01T12:12:42.314423Z</v>
      </c>
      <c r="AI693" s="3">
        <f ca="1">IFERROR(__xludf.DUMMYFUNCTION("""COMPUTED_VALUE"""),4.7)</f>
        <v>4.7</v>
      </c>
      <c r="AJ693" s="3">
        <f ca="1">IFERROR(__xludf.DUMMYFUNCTION("""COMPUTED_VALUE"""),1261)</f>
        <v>1261</v>
      </c>
      <c r="AK693" s="3">
        <f ca="1">IFERROR(__xludf.DUMMYFUNCTION("""COMPUTED_VALUE"""),3264)</f>
        <v>3264</v>
      </c>
      <c r="AL693" s="3">
        <f ca="1">IFERROR(__xludf.DUMMYFUNCTION("""COMPUTED_VALUE"""),232)</f>
        <v>232</v>
      </c>
    </row>
    <row r="694" spans="1:38" ht="13">
      <c r="A694" s="3">
        <f ca="1">IFERROR(__xludf.DUMMYFUNCTION("""COMPUTED_VALUE"""),435)</f>
        <v>435</v>
      </c>
      <c r="B694" s="3">
        <f ca="1">IFERROR(__xludf.DUMMYFUNCTION("""COMPUTED_VALUE"""),5)</f>
        <v>5</v>
      </c>
      <c r="C694" s="3">
        <f ca="1">IFERROR(__xludf.DUMMYFUNCTION("""COMPUTED_VALUE"""),4050)</f>
        <v>4050</v>
      </c>
      <c r="D694" s="3" t="str">
        <f ca="1">IFERROR(__xludf.DUMMYFUNCTION("""COMPUTED_VALUE"""),"Doorlanta")</f>
        <v>Doorlanta</v>
      </c>
      <c r="E694" s="3" t="str">
        <f ca="1">IFERROR(__xludf.DUMMYFUNCTION("""COMPUTED_VALUE"""),"Galaxy A")</f>
        <v>Galaxy A</v>
      </c>
      <c r="F694" s="3" t="str">
        <f ca="1">IFERROR(__xludf.DUMMYFUNCTION("""COMPUTED_VALUE"""),"Cate")</f>
        <v>Cate</v>
      </c>
      <c r="G694" s="3">
        <f ca="1">IFERROR(__xludf.DUMMYFUNCTION("""COMPUTED_VALUE"""),0)</f>
        <v>0</v>
      </c>
      <c r="H694" s="3" t="str">
        <f ca="1">IFERROR(__xludf.DUMMYFUNCTION("""COMPUTED_VALUE"""),"car")</f>
        <v>car</v>
      </c>
      <c r="I694" s="3" t="str">
        <f ca="1">IFERROR(__xludf.DUMMYFUNCTION("""COMPUTED_VALUE"""),"2055-06-04T19:49:33.47858Z")</f>
        <v>2055-06-04T19:49:33.47858Z</v>
      </c>
      <c r="J694" s="3" t="str">
        <f ca="1">IFERROR(__xludf.DUMMYFUNCTION("""COMPUTED_VALUE"""),"2055-06-04T20:44:07.56Z")</f>
        <v>2055-06-04T20:44:07.56Z</v>
      </c>
      <c r="K694" s="3" t="str">
        <f ca="1">IFERROR(__xludf.DUMMYFUNCTION("""COMPUTED_VALUE"""),"2055-06-04T20:32:13.56Z")</f>
        <v>2055-06-04T20:32:13.56Z</v>
      </c>
      <c r="L694" s="3">
        <f ca="1">IFERROR(__xludf.DUMMYFUNCTION("""COMPUTED_VALUE"""),1)</f>
        <v>1</v>
      </c>
      <c r="M694" s="3">
        <f ca="1">IFERROR(__xludf.DUMMYFUNCTION("""COMPUTED_VALUE"""),0)</f>
        <v>0</v>
      </c>
      <c r="N694" s="3" t="str">
        <f ca="1">IFERROR(__xludf.DUMMYFUNCTION("""COMPUTED_VALUE"""),"2055-06-04T20:13:17.659159Z")</f>
        <v>2055-06-04T20:13:17.659159Z</v>
      </c>
      <c r="O694" s="3" t="str">
        <f ca="1">IFERROR(__xludf.DUMMYFUNCTION("""COMPUTED_VALUE"""),"2055-06-04T20:27:54.072061Z")</f>
        <v>2055-06-04T20:27:54.072061Z</v>
      </c>
      <c r="P694" s="3" t="str">
        <f ca="1">IFERROR(__xludf.DUMMYFUNCTION("""COMPUTED_VALUE"""),"2055-06-04T19:53:07.34161Z")</f>
        <v>2055-06-04T19:53:07.34161Z</v>
      </c>
      <c r="Q694" s="3">
        <f ca="1">IFERROR(__xludf.DUMMYFUNCTION("""COMPUTED_VALUE"""),0)</f>
        <v>0</v>
      </c>
      <c r="R694" s="3" t="str">
        <f ca="1">IFERROR(__xludf.DUMMYFUNCTION("""COMPUTED_VALUE"""),"2055-06-04T19:54:16.775138Z")</f>
        <v>2055-06-04T19:54:16.775138Z</v>
      </c>
      <c r="S694" s="3" t="str">
        <f ca="1">IFERROR(__xludf.DUMMYFUNCTION("""COMPUTED_VALUE"""),"2055-06-04T20:11:17.894457Z")</f>
        <v>2055-06-04T20:11:17.894457Z</v>
      </c>
      <c r="T694" s="3"/>
      <c r="U694" s="4">
        <f ca="1">IFERROR(__xludf.DUMMYFUNCTION("""COMPUTED_VALUE"""),56769)</f>
        <v>56769</v>
      </c>
      <c r="V694" s="3">
        <f ca="1">IFERROR(__xludf.DUMMYFUNCTION("""COMPUTED_VALUE"""),4.6)</f>
        <v>4.5999999999999996</v>
      </c>
      <c r="W694" s="3">
        <f ca="1">IFERROR(__xludf.DUMMYFUNCTION("""COMPUTED_VALUE"""),2000)</f>
        <v>2000</v>
      </c>
      <c r="X694" s="3">
        <f ca="1">IFERROR(__xludf.DUMMYFUNCTION("""COMPUTED_VALUE"""),2018)</f>
        <v>2018</v>
      </c>
      <c r="Y694" s="3">
        <f ca="1">IFERROR(__xludf.DUMMYFUNCTION("""COMPUTED_VALUE"""),1021)</f>
        <v>1021</v>
      </c>
      <c r="Z694" s="3">
        <f ca="1">IFERROR(__xludf.DUMMYFUNCTION("""COMPUTED_VALUE"""),120)</f>
        <v>120</v>
      </c>
      <c r="AA694" s="3">
        <f ca="1">IFERROR(__xludf.DUMMYFUNCTION("""COMPUTED_VALUE"""),877)</f>
        <v>877</v>
      </c>
      <c r="AB694" s="3">
        <f ca="1">IFERROR(__xludf.DUMMYFUNCTION("""COMPUTED_VALUE"""),0)</f>
        <v>0</v>
      </c>
      <c r="AC694" s="3">
        <f ca="1">IFERROR(__xludf.DUMMYFUNCTION("""COMPUTED_VALUE"""),2)</f>
        <v>2</v>
      </c>
      <c r="AD694" s="3" t="str">
        <f ca="1">IFERROR(__xludf.DUMMYFUNCTION("""COMPUTED_VALUE"""),"late")</f>
        <v>late</v>
      </c>
      <c r="AE694" s="3" t="str">
        <f ca="1">IFERROR(__xludf.DUMMYFUNCTION("""COMPUTED_VALUE"""),"2055-06-04T16:13:17.659159Z")</f>
        <v>2055-06-04T16:13:17.659159Z</v>
      </c>
      <c r="AF694" s="3" t="str">
        <f ca="1">IFERROR(__xludf.DUMMYFUNCTION("""COMPUTED_VALUE"""),"2055-06-04T16:27:54.072061Z")</f>
        <v>2055-06-04T16:27:54.072061Z</v>
      </c>
      <c r="AG694" s="3" t="str">
        <f ca="1">IFERROR(__xludf.DUMMYFUNCTION("""COMPUTED_VALUE"""),"2055-06-04T15:53:07.34161Z")</f>
        <v>2055-06-04T15:53:07.34161Z</v>
      </c>
      <c r="AH694" s="3" t="str">
        <f ca="1">IFERROR(__xludf.DUMMYFUNCTION("""COMPUTED_VALUE"""),"2055-06-04T16:11:17.894457Z")</f>
        <v>2055-06-04T16:11:17.894457Z</v>
      </c>
      <c r="AI694" s="3">
        <f ca="1">IFERROR(__xludf.DUMMYFUNCTION("""COMPUTED_VALUE"""),4.49)</f>
        <v>4.49</v>
      </c>
      <c r="AJ694" s="3">
        <f ca="1">IFERROR(__xludf.DUMMYFUNCTION("""COMPUTED_VALUE"""),2315)</f>
        <v>2315</v>
      </c>
      <c r="AK694" s="3">
        <f ca="1">IFERROR(__xludf.DUMMYFUNCTION("""COMPUTED_VALUE"""),7039)</f>
        <v>7039</v>
      </c>
      <c r="AL694" s="3">
        <f ca="1">IFERROR(__xludf.DUMMYFUNCTION("""COMPUTED_VALUE"""),763)</f>
        <v>763</v>
      </c>
    </row>
    <row r="695" spans="1:38" ht="13">
      <c r="A695" s="3">
        <f ca="1">IFERROR(__xludf.DUMMYFUNCTION("""COMPUTED_VALUE"""),175)</f>
        <v>175</v>
      </c>
      <c r="B695" s="3">
        <f ca="1">IFERROR(__xludf.DUMMYFUNCTION("""COMPUTED_VALUE"""),5)</f>
        <v>5</v>
      </c>
      <c r="C695" s="3">
        <f ca="1">IFERROR(__xludf.DUMMYFUNCTION("""COMPUTED_VALUE"""),4001)</f>
        <v>4001</v>
      </c>
      <c r="D695" s="3" t="str">
        <f ca="1">IFERROR(__xludf.DUMMYFUNCTION("""COMPUTED_VALUE"""),"Dashattan")</f>
        <v>Dashattan</v>
      </c>
      <c r="E695" s="3" t="str">
        <f ca="1">IFERROR(__xludf.DUMMYFUNCTION("""COMPUTED_VALUE"""),"Galaxy A")</f>
        <v>Galaxy A</v>
      </c>
      <c r="F695" s="3" t="str">
        <f ca="1">IFERROR(__xludf.DUMMYFUNCTION("""COMPUTED_VALUE"""),"J")</f>
        <v>J</v>
      </c>
      <c r="G695" s="3">
        <f ca="1">IFERROR(__xludf.DUMMYFUNCTION("""COMPUTED_VALUE"""),0)</f>
        <v>0</v>
      </c>
      <c r="H695" s="3" t="str">
        <f ca="1">IFERROR(__xludf.DUMMYFUNCTION("""COMPUTED_VALUE"""),"bicycle")</f>
        <v>bicycle</v>
      </c>
      <c r="I695" s="3" t="str">
        <f ca="1">IFERROR(__xludf.DUMMYFUNCTION("""COMPUTED_VALUE"""),"2055-06-02T21:42:22.685825Z")</f>
        <v>2055-06-02T21:42:22.685825Z</v>
      </c>
      <c r="J695" s="3" t="str">
        <f ca="1">IFERROR(__xludf.DUMMYFUNCTION("""COMPUTED_VALUE"""),"2055-06-02T22:36:00.796Z")</f>
        <v>2055-06-02T22:36:00.796Z</v>
      </c>
      <c r="K695" s="3" t="str">
        <f ca="1">IFERROR(__xludf.DUMMYFUNCTION("""COMPUTED_VALUE"""),"2055-06-02T22:15:53.796Z")</f>
        <v>2055-06-02T22:15:53.796Z</v>
      </c>
      <c r="L695" s="3">
        <f ca="1">IFERROR(__xludf.DUMMYFUNCTION("""COMPUTED_VALUE"""),1)</f>
        <v>1</v>
      </c>
      <c r="M695" s="3">
        <f ca="1">IFERROR(__xludf.DUMMYFUNCTION("""COMPUTED_VALUE"""),0)</f>
        <v>0</v>
      </c>
      <c r="N695" s="3" t="str">
        <f ca="1">IFERROR(__xludf.DUMMYFUNCTION("""COMPUTED_VALUE"""),"2055-06-02T22:01:19.761383Z")</f>
        <v>2055-06-02T22:01:19.761383Z</v>
      </c>
      <c r="O695" s="3" t="str">
        <f ca="1">IFERROR(__xludf.DUMMYFUNCTION("""COMPUTED_VALUE"""),"2055-06-02T22:21:03.682081Z")</f>
        <v>2055-06-02T22:21:03.682081Z</v>
      </c>
      <c r="P695" s="3" t="str">
        <f ca="1">IFERROR(__xludf.DUMMYFUNCTION("""COMPUTED_VALUE"""),"2055-06-02T21:46:34.212387Z")</f>
        <v>2055-06-02T21:46:34.212387Z</v>
      </c>
      <c r="Q695" s="3">
        <f ca="1">IFERROR(__xludf.DUMMYFUNCTION("""COMPUTED_VALUE"""),0)</f>
        <v>0</v>
      </c>
      <c r="R695" s="3" t="str">
        <f ca="1">IFERROR(__xludf.DUMMYFUNCTION("""COMPUTED_VALUE"""),"2055-06-02T21:46:37.166705Z")</f>
        <v>2055-06-02T21:46:37.166705Z</v>
      </c>
      <c r="S695" s="3" t="str">
        <f ca="1">IFERROR(__xludf.DUMMYFUNCTION("""COMPUTED_VALUE"""),"2055-06-02T21:55:59.947013Z")</f>
        <v>2055-06-02T21:55:59.947013Z</v>
      </c>
      <c r="T695" s="3"/>
      <c r="U695" s="4">
        <f ca="1">IFERROR(__xludf.DUMMYFUNCTION("""COMPUTED_VALUE"""),56767)</f>
        <v>56767</v>
      </c>
      <c r="V695" s="3">
        <f ca="1">IFERROR(__xludf.DUMMYFUNCTION("""COMPUTED_VALUE"""),4.882143566)</f>
        <v>4.8821435659999999</v>
      </c>
      <c r="W695" s="3">
        <f ca="1">IFERROR(__xludf.DUMMYFUNCTION("""COMPUTED_VALUE"""),2000)</f>
        <v>2000</v>
      </c>
      <c r="X695" s="3">
        <f ca="1">IFERROR(__xludf.DUMMYFUNCTION("""COMPUTED_VALUE"""),2066)</f>
        <v>2066</v>
      </c>
      <c r="Y695" s="3">
        <f ca="1">IFERROR(__xludf.DUMMYFUNCTION("""COMPUTED_VALUE"""),562)</f>
        <v>562</v>
      </c>
      <c r="Z695" s="3">
        <f ca="1">IFERROR(__xludf.DUMMYFUNCTION("""COMPUTED_VALUE"""),320)</f>
        <v>320</v>
      </c>
      <c r="AA695" s="3">
        <f ca="1">IFERROR(__xludf.DUMMYFUNCTION("""COMPUTED_VALUE"""),1184)</f>
        <v>1184</v>
      </c>
      <c r="AB695" s="3">
        <f ca="1">IFERROR(__xludf.DUMMYFUNCTION("""COMPUTED_VALUE"""),0)</f>
        <v>0</v>
      </c>
      <c r="AC695" s="3">
        <f ca="1">IFERROR(__xludf.DUMMYFUNCTION("""COMPUTED_VALUE"""),5)</f>
        <v>5</v>
      </c>
      <c r="AD695" s="3" t="str">
        <f ca="1">IFERROR(__xludf.DUMMYFUNCTION("""COMPUTED_VALUE"""),"on time")</f>
        <v>on time</v>
      </c>
      <c r="AE695" s="3" t="str">
        <f ca="1">IFERROR(__xludf.DUMMYFUNCTION("""COMPUTED_VALUE"""),"2055-06-02T18:01:19.761383Z")</f>
        <v>2055-06-02T18:01:19.761383Z</v>
      </c>
      <c r="AF695" s="3" t="str">
        <f ca="1">IFERROR(__xludf.DUMMYFUNCTION("""COMPUTED_VALUE"""),"2055-06-02T18:21:03.682081Z")</f>
        <v>2055-06-02T18:21:03.682081Z</v>
      </c>
      <c r="AG695" s="3" t="str">
        <f ca="1">IFERROR(__xludf.DUMMYFUNCTION("""COMPUTED_VALUE"""),"2055-06-02T17:46:34.212387Z")</f>
        <v>2055-06-02T17:46:34.212387Z</v>
      </c>
      <c r="AH695" s="3" t="str">
        <f ca="1">IFERROR(__xludf.DUMMYFUNCTION("""COMPUTED_VALUE"""),"2055-06-02T17:55:59.947013Z")</f>
        <v>2055-06-02T17:55:59.947013Z</v>
      </c>
      <c r="AI695" s="3">
        <f ca="1">IFERROR(__xludf.DUMMYFUNCTION("""COMPUTED_VALUE"""),4.6)</f>
        <v>4.5999999999999996</v>
      </c>
      <c r="AJ695" s="3">
        <f ca="1">IFERROR(__xludf.DUMMYFUNCTION("""COMPUTED_VALUE"""),292)</f>
        <v>292</v>
      </c>
      <c r="AK695" s="3">
        <f ca="1">IFERROR(__xludf.DUMMYFUNCTION("""COMPUTED_VALUE"""),1027)</f>
        <v>1027</v>
      </c>
      <c r="AL695" s="3">
        <f ca="1">IFERROR(__xludf.DUMMYFUNCTION("""COMPUTED_VALUE"""),26)</f>
        <v>26</v>
      </c>
    </row>
    <row r="696" spans="1:38" ht="13">
      <c r="A696" s="3">
        <f ca="1">IFERROR(__xludf.DUMMYFUNCTION("""COMPUTED_VALUE"""),259)</f>
        <v>259</v>
      </c>
      <c r="B696" s="3">
        <f ca="1">IFERROR(__xludf.DUMMYFUNCTION("""COMPUTED_VALUE"""),5)</f>
        <v>5</v>
      </c>
      <c r="C696" s="3">
        <f ca="1">IFERROR(__xludf.DUMMYFUNCTION("""COMPUTED_VALUE"""),4001)</f>
        <v>4001</v>
      </c>
      <c r="D696" s="3" t="str">
        <f ca="1">IFERROR(__xludf.DUMMYFUNCTION("""COMPUTED_VALUE"""),"Dashattan")</f>
        <v>Dashattan</v>
      </c>
      <c r="E696" s="3" t="str">
        <f ca="1">IFERROR(__xludf.DUMMYFUNCTION("""COMPUTED_VALUE"""),"Galaxy A")</f>
        <v>Galaxy A</v>
      </c>
      <c r="F696" s="3" t="str">
        <f ca="1">IFERROR(__xludf.DUMMYFUNCTION("""COMPUTED_VALUE"""),"Bunje")</f>
        <v>Bunje</v>
      </c>
      <c r="G696" s="3">
        <f ca="1">IFERROR(__xludf.DUMMYFUNCTION("""COMPUTED_VALUE"""),0)</f>
        <v>0</v>
      </c>
      <c r="H696" s="3" t="str">
        <f ca="1">IFERROR(__xludf.DUMMYFUNCTION("""COMPUTED_VALUE"""),"bicycle")</f>
        <v>bicycle</v>
      </c>
      <c r="I696" s="3" t="str">
        <f ca="1">IFERROR(__xludf.DUMMYFUNCTION("""COMPUTED_VALUE"""),"2055-06-03T14:34:56.571361Z")</f>
        <v>2055-06-03T14:34:56.571361Z</v>
      </c>
      <c r="J696" s="3" t="str">
        <f ca="1">IFERROR(__xludf.DUMMYFUNCTION("""COMPUTED_VALUE"""),"2055-06-03T15:11:06.652Z")</f>
        <v>2055-06-03T15:11:06.652Z</v>
      </c>
      <c r="K696" s="3" t="str">
        <f ca="1">IFERROR(__xludf.DUMMYFUNCTION("""COMPUTED_VALUE"""),"2055-06-03T15:04:12.652Z")</f>
        <v>2055-06-03T15:04:12.652Z</v>
      </c>
      <c r="L696" s="3">
        <f ca="1">IFERROR(__xludf.DUMMYFUNCTION("""COMPUTED_VALUE"""),1)</f>
        <v>1</v>
      </c>
      <c r="M696" s="3">
        <f ca="1">IFERROR(__xludf.DUMMYFUNCTION("""COMPUTED_VALUE"""),0)</f>
        <v>0</v>
      </c>
      <c r="N696" s="3" t="str">
        <f ca="1">IFERROR(__xludf.DUMMYFUNCTION("""COMPUTED_VALUE"""),"2055-06-03T14:51:40.310236Z")</f>
        <v>2055-06-03T14:51:40.310236Z</v>
      </c>
      <c r="O696" s="3" t="str">
        <f ca="1">IFERROR(__xludf.DUMMYFUNCTION("""COMPUTED_VALUE"""),"2055-06-03T14:59:56.669739Z")</f>
        <v>2055-06-03T14:59:56.669739Z</v>
      </c>
      <c r="P696" s="3" t="str">
        <f ca="1">IFERROR(__xludf.DUMMYFUNCTION("""COMPUTED_VALUE"""),"2055-06-03T14:40:54.171877Z")</f>
        <v>2055-06-03T14:40:54.171877Z</v>
      </c>
      <c r="Q696" s="3">
        <f ca="1">IFERROR(__xludf.DUMMYFUNCTION("""COMPUTED_VALUE"""),0)</f>
        <v>0</v>
      </c>
      <c r="R696" s="3" t="str">
        <f ca="1">IFERROR(__xludf.DUMMYFUNCTION("""COMPUTED_VALUE"""),"2055-06-03T14:40:58.195111Z")</f>
        <v>2055-06-03T14:40:58.195111Z</v>
      </c>
      <c r="S696" s="3" t="str">
        <f ca="1">IFERROR(__xludf.DUMMYFUNCTION("""COMPUTED_VALUE"""),"2055-06-03T14:49:10.722225Z")</f>
        <v>2055-06-03T14:49:10.722225Z</v>
      </c>
      <c r="T696" s="3"/>
      <c r="U696" s="4">
        <f ca="1">IFERROR(__xludf.DUMMYFUNCTION("""COMPUTED_VALUE"""),56768)</f>
        <v>56768</v>
      </c>
      <c r="V696" s="3">
        <f ca="1">IFERROR(__xludf.DUMMYFUNCTION("""COMPUTED_VALUE"""),4.6)</f>
        <v>4.5999999999999996</v>
      </c>
      <c r="W696" s="3">
        <f ca="1">IFERROR(__xludf.DUMMYFUNCTION("""COMPUTED_VALUE"""),2000)</f>
        <v>2000</v>
      </c>
      <c r="X696" s="3">
        <f ca="1">IFERROR(__xludf.DUMMYFUNCTION("""COMPUTED_VALUE"""),1138)</f>
        <v>1138</v>
      </c>
      <c r="Y696" s="3">
        <f ca="1">IFERROR(__xludf.DUMMYFUNCTION("""COMPUTED_VALUE"""),492)</f>
        <v>492</v>
      </c>
      <c r="Z696" s="3">
        <f ca="1">IFERROR(__xludf.DUMMYFUNCTION("""COMPUTED_VALUE"""),150)</f>
        <v>150</v>
      </c>
      <c r="AA696" s="3">
        <f ca="1">IFERROR(__xludf.DUMMYFUNCTION("""COMPUTED_VALUE"""),496)</f>
        <v>496</v>
      </c>
      <c r="AB696" s="3">
        <f ca="1">IFERROR(__xludf.DUMMYFUNCTION("""COMPUTED_VALUE"""),0)</f>
        <v>0</v>
      </c>
      <c r="AC696" s="3">
        <f ca="1">IFERROR(__xludf.DUMMYFUNCTION("""COMPUTED_VALUE"""),2)</f>
        <v>2</v>
      </c>
      <c r="AD696" s="3" t="str">
        <f ca="1">IFERROR(__xludf.DUMMYFUNCTION("""COMPUTED_VALUE"""),"late")</f>
        <v>late</v>
      </c>
      <c r="AE696" s="3" t="str">
        <f ca="1">IFERROR(__xludf.DUMMYFUNCTION("""COMPUTED_VALUE"""),"2055-06-03T10:51:40.310236Z")</f>
        <v>2055-06-03T10:51:40.310236Z</v>
      </c>
      <c r="AF696" s="3" t="str">
        <f ca="1">IFERROR(__xludf.DUMMYFUNCTION("""COMPUTED_VALUE"""),"2055-06-03T10:59:56.669739Z")</f>
        <v>2055-06-03T10:59:56.669739Z</v>
      </c>
      <c r="AG696" s="3" t="str">
        <f ca="1">IFERROR(__xludf.DUMMYFUNCTION("""COMPUTED_VALUE"""),"2055-06-03T10:40:54.171877Z")</f>
        <v>2055-06-03T10:40:54.171877Z</v>
      </c>
      <c r="AH696" s="3" t="str">
        <f ca="1">IFERROR(__xludf.DUMMYFUNCTION("""COMPUTED_VALUE"""),"2055-06-03T10:49:10.722225Z")</f>
        <v>2055-06-03T10:49:10.722225Z</v>
      </c>
      <c r="AI696" s="3">
        <f ca="1">IFERROR(__xludf.DUMMYFUNCTION("""COMPUTED_VALUE"""),4.7)</f>
        <v>4.7</v>
      </c>
      <c r="AJ696" s="3">
        <f ca="1">IFERROR(__xludf.DUMMYFUNCTION("""COMPUTED_VALUE"""),443)</f>
        <v>443</v>
      </c>
      <c r="AK696" s="3">
        <f ca="1">IFERROR(__xludf.DUMMYFUNCTION("""COMPUTED_VALUE"""),1579)</f>
        <v>1579</v>
      </c>
      <c r="AL696" s="3"/>
    </row>
    <row r="697" spans="1:38" ht="13">
      <c r="A697" s="3">
        <f ca="1">IFERROR(__xludf.DUMMYFUNCTION("""COMPUTED_VALUE"""),274)</f>
        <v>274</v>
      </c>
      <c r="B697" s="3">
        <f ca="1">IFERROR(__xludf.DUMMYFUNCTION("""COMPUTED_VALUE"""),5)</f>
        <v>5</v>
      </c>
      <c r="C697" s="3">
        <f ca="1">IFERROR(__xludf.DUMMYFUNCTION("""COMPUTED_VALUE"""),4001)</f>
        <v>4001</v>
      </c>
      <c r="D697" s="3" t="str">
        <f ca="1">IFERROR(__xludf.DUMMYFUNCTION("""COMPUTED_VALUE"""),"Dashattan")</f>
        <v>Dashattan</v>
      </c>
      <c r="E697" s="3" t="str">
        <f ca="1">IFERROR(__xludf.DUMMYFUNCTION("""COMPUTED_VALUE"""),"Galaxy A")</f>
        <v>Galaxy A</v>
      </c>
      <c r="F697" s="3" t="str">
        <f ca="1">IFERROR(__xludf.DUMMYFUNCTION("""COMPUTED_VALUE"""),"Rojan")</f>
        <v>Rojan</v>
      </c>
      <c r="G697" s="3">
        <f ca="1">IFERROR(__xludf.DUMMYFUNCTION("""COMPUTED_VALUE"""),0)</f>
        <v>0</v>
      </c>
      <c r="H697" s="3" t="str">
        <f ca="1">IFERROR(__xludf.DUMMYFUNCTION("""COMPUTED_VALUE"""),"bicycle")</f>
        <v>bicycle</v>
      </c>
      <c r="I697" s="3" t="str">
        <f ca="1">IFERROR(__xludf.DUMMYFUNCTION("""COMPUTED_VALUE"""),"2055-06-03T15:47:43.586397Z")</f>
        <v>2055-06-03T15:47:43.586397Z</v>
      </c>
      <c r="J697" s="3" t="str">
        <f ca="1">IFERROR(__xludf.DUMMYFUNCTION("""COMPUTED_VALUE"""),"2055-06-03T16:41:27.653Z")</f>
        <v>2055-06-03T16:41:27.653Z</v>
      </c>
      <c r="K697" s="3" t="str">
        <f ca="1">IFERROR(__xludf.DUMMYFUNCTION("""COMPUTED_VALUE"""),"2055-06-03T16:21:48.653Z")</f>
        <v>2055-06-03T16:21:48.653Z</v>
      </c>
      <c r="L697" s="3">
        <f ca="1">IFERROR(__xludf.DUMMYFUNCTION("""COMPUTED_VALUE"""),1)</f>
        <v>1</v>
      </c>
      <c r="M697" s="3">
        <f ca="1">IFERROR(__xludf.DUMMYFUNCTION("""COMPUTED_VALUE"""),0)</f>
        <v>0</v>
      </c>
      <c r="N697" s="3" t="str">
        <f ca="1">IFERROR(__xludf.DUMMYFUNCTION("""COMPUTED_VALUE"""),"2055-06-03T16:21:37.866637Z")</f>
        <v>2055-06-03T16:21:37.866637Z</v>
      </c>
      <c r="O697" s="3" t="str">
        <f ca="1">IFERROR(__xludf.DUMMYFUNCTION("""COMPUTED_VALUE"""),"2055-06-03T16:38:03.826497Z")</f>
        <v>2055-06-03T16:38:03.826497Z</v>
      </c>
      <c r="P697" s="3" t="str">
        <f ca="1">IFERROR(__xludf.DUMMYFUNCTION("""COMPUTED_VALUE"""),"2055-06-03T15:47:54.146587Z")</f>
        <v>2055-06-03T15:47:54.146587Z</v>
      </c>
      <c r="Q697" s="3">
        <f ca="1">IFERROR(__xludf.DUMMYFUNCTION("""COMPUTED_VALUE"""),0)</f>
        <v>0</v>
      </c>
      <c r="R697" s="3" t="str">
        <f ca="1">IFERROR(__xludf.DUMMYFUNCTION("""COMPUTED_VALUE"""),"2055-06-03T15:48:19.013286Z")</f>
        <v>2055-06-03T15:48:19.013286Z</v>
      </c>
      <c r="S697" s="3" t="str">
        <f ca="1">IFERROR(__xludf.DUMMYFUNCTION("""COMPUTED_VALUE"""),"2055-06-03T15:49:07.06351Z")</f>
        <v>2055-06-03T15:49:07.06351Z</v>
      </c>
      <c r="T697" s="3"/>
      <c r="U697" s="4">
        <f ca="1">IFERROR(__xludf.DUMMYFUNCTION("""COMPUTED_VALUE"""),56768)</f>
        <v>56768</v>
      </c>
      <c r="V697" s="3">
        <f ca="1">IFERROR(__xludf.DUMMYFUNCTION("""COMPUTED_VALUE"""),3.369194547)</f>
        <v>3.3691945470000002</v>
      </c>
      <c r="W697" s="3">
        <f ca="1">IFERROR(__xludf.DUMMYFUNCTION("""COMPUTED_VALUE"""),2000)</f>
        <v>2000</v>
      </c>
      <c r="X697" s="3">
        <f ca="1">IFERROR(__xludf.DUMMYFUNCTION("""COMPUTED_VALUE"""),2984)</f>
        <v>2984</v>
      </c>
      <c r="Y697" s="3">
        <f ca="1">IFERROR(__xludf.DUMMYFUNCTION("""COMPUTED_VALUE"""),48)</f>
        <v>48</v>
      </c>
      <c r="Z697" s="3">
        <f ca="1">IFERROR(__xludf.DUMMYFUNCTION("""COMPUTED_VALUE"""),1950)</f>
        <v>1950</v>
      </c>
      <c r="AA697" s="3">
        <f ca="1">IFERROR(__xludf.DUMMYFUNCTION("""COMPUTED_VALUE"""),986)</f>
        <v>986</v>
      </c>
      <c r="AB697" s="3">
        <f ca="1">IFERROR(__xludf.DUMMYFUNCTION("""COMPUTED_VALUE"""),1)</f>
        <v>1</v>
      </c>
      <c r="AC697" s="3">
        <f ca="1">IFERROR(__xludf.DUMMYFUNCTION("""COMPUTED_VALUE"""),1)</f>
        <v>1</v>
      </c>
      <c r="AD697" s="3"/>
      <c r="AE697" s="3" t="str">
        <f ca="1">IFERROR(__xludf.DUMMYFUNCTION("""COMPUTED_VALUE"""),"2055-06-03T12:21:37.866637Z")</f>
        <v>2055-06-03T12:21:37.866637Z</v>
      </c>
      <c r="AF697" s="3" t="str">
        <f ca="1">IFERROR(__xludf.DUMMYFUNCTION("""COMPUTED_VALUE"""),"2055-06-03T12:38:03.826497Z")</f>
        <v>2055-06-03T12:38:03.826497Z</v>
      </c>
      <c r="AG697" s="3" t="str">
        <f ca="1">IFERROR(__xludf.DUMMYFUNCTION("""COMPUTED_VALUE"""),"2055-06-03T11:47:54.146587Z")</f>
        <v>2055-06-03T11:47:54.146587Z</v>
      </c>
      <c r="AH697" s="3" t="str">
        <f ca="1">IFERROR(__xludf.DUMMYFUNCTION("""COMPUTED_VALUE"""),"2055-06-03T11:49:07.06351Z")</f>
        <v>2055-06-03T11:49:07.06351Z</v>
      </c>
      <c r="AI697" s="3">
        <f ca="1">IFERROR(__xludf.DUMMYFUNCTION("""COMPUTED_VALUE"""),4.58)</f>
        <v>4.58</v>
      </c>
      <c r="AJ697" s="3">
        <f ca="1">IFERROR(__xludf.DUMMYFUNCTION("""COMPUTED_VALUE"""),254)</f>
        <v>254</v>
      </c>
      <c r="AK697" s="3">
        <f ca="1">IFERROR(__xludf.DUMMYFUNCTION("""COMPUTED_VALUE"""),788)</f>
        <v>788</v>
      </c>
      <c r="AL697" s="3">
        <f ca="1">IFERROR(__xludf.DUMMYFUNCTION("""COMPUTED_VALUE"""),9)</f>
        <v>9</v>
      </c>
    </row>
    <row r="698" spans="1:38" ht="13">
      <c r="A698" s="3">
        <f ca="1">IFERROR(__xludf.DUMMYFUNCTION("""COMPUTED_VALUE"""),399)</f>
        <v>399</v>
      </c>
      <c r="B698" s="3">
        <f ca="1">IFERROR(__xludf.DUMMYFUNCTION("""COMPUTED_VALUE"""),5)</f>
        <v>5</v>
      </c>
      <c r="C698" s="3">
        <f ca="1">IFERROR(__xludf.DUMMYFUNCTION("""COMPUTED_VALUE"""),4001)</f>
        <v>4001</v>
      </c>
      <c r="D698" s="3" t="str">
        <f ca="1">IFERROR(__xludf.DUMMYFUNCTION("""COMPUTED_VALUE"""),"Dashattan")</f>
        <v>Dashattan</v>
      </c>
      <c r="E698" s="3" t="str">
        <f ca="1">IFERROR(__xludf.DUMMYFUNCTION("""COMPUTED_VALUE"""),"Galaxy A")</f>
        <v>Galaxy A</v>
      </c>
      <c r="F698" s="3" t="str">
        <f ca="1">IFERROR(__xludf.DUMMYFUNCTION("""COMPUTED_VALUE"""),"Rachael")</f>
        <v>Rachael</v>
      </c>
      <c r="G698" s="3">
        <f ca="1">IFERROR(__xludf.DUMMYFUNCTION("""COMPUTED_VALUE"""),0)</f>
        <v>0</v>
      </c>
      <c r="H698" s="3" t="str">
        <f ca="1">IFERROR(__xludf.DUMMYFUNCTION("""COMPUTED_VALUE"""),"bicycle")</f>
        <v>bicycle</v>
      </c>
      <c r="I698" s="3" t="str">
        <f ca="1">IFERROR(__xludf.DUMMYFUNCTION("""COMPUTED_VALUE"""),"2055-06-04T13:23:01.478441Z")</f>
        <v>2055-06-04T13:23:01.478441Z</v>
      </c>
      <c r="J698" s="3" t="str">
        <f ca="1">IFERROR(__xludf.DUMMYFUNCTION("""COMPUTED_VALUE"""),"2055-06-04T14:45:00Z")</f>
        <v>2055-06-04T14:45:00Z</v>
      </c>
      <c r="K698" s="3" t="str">
        <f ca="1">IFERROR(__xludf.DUMMYFUNCTION("""COMPUTED_VALUE"""),"2055-06-04T14:45:00Z")</f>
        <v>2055-06-04T14:45:00Z</v>
      </c>
      <c r="L698" s="3">
        <f ca="1">IFERROR(__xludf.DUMMYFUNCTION("""COMPUTED_VALUE"""),0)</f>
        <v>0</v>
      </c>
      <c r="M698" s="3">
        <f ca="1">IFERROR(__xludf.DUMMYFUNCTION("""COMPUTED_VALUE"""),0)</f>
        <v>0</v>
      </c>
      <c r="N698" s="3" t="str">
        <f ca="1">IFERROR(__xludf.DUMMYFUNCTION("""COMPUTED_VALUE"""),"2055-06-04T14:18:30.085063Z")</f>
        <v>2055-06-04T14:18:30.085063Z</v>
      </c>
      <c r="O698" s="3" t="str">
        <f ca="1">IFERROR(__xludf.DUMMYFUNCTION("""COMPUTED_VALUE"""),"2055-06-04T14:33:43.393815Z")</f>
        <v>2055-06-04T14:33:43.393815Z</v>
      </c>
      <c r="P698" s="3" t="str">
        <f ca="1">IFERROR(__xludf.DUMMYFUNCTION("""COMPUTED_VALUE"""),"2055-06-04T13:45:54.215449Z")</f>
        <v>2055-06-04T13:45:54.215449Z</v>
      </c>
      <c r="Q698" s="3">
        <f ca="1">IFERROR(__xludf.DUMMYFUNCTION("""COMPUTED_VALUE"""),0)</f>
        <v>0</v>
      </c>
      <c r="R698" s="3" t="str">
        <f ca="1">IFERROR(__xludf.DUMMYFUNCTION("""COMPUTED_VALUE"""),"2055-06-04T13:45:59.89498Z")</f>
        <v>2055-06-04T13:45:59.89498Z</v>
      </c>
      <c r="S698" s="3" t="str">
        <f ca="1">IFERROR(__xludf.DUMMYFUNCTION("""COMPUTED_VALUE"""),"2055-06-04T14:11:55.775619Z")</f>
        <v>2055-06-04T14:11:55.775619Z</v>
      </c>
      <c r="T698" s="3"/>
      <c r="U698" s="4">
        <f ca="1">IFERROR(__xludf.DUMMYFUNCTION("""COMPUTED_VALUE"""),56769)</f>
        <v>56769</v>
      </c>
      <c r="V698" s="3">
        <f ca="1">IFERROR(__xludf.DUMMYFUNCTION("""COMPUTED_VALUE"""),4.3)</f>
        <v>4.3</v>
      </c>
      <c r="W698" s="3">
        <f ca="1">IFERROR(__xludf.DUMMYFUNCTION("""COMPUTED_VALUE"""),2000)</f>
        <v>2000</v>
      </c>
      <c r="X698" s="3">
        <f ca="1">IFERROR(__xludf.DUMMYFUNCTION("""COMPUTED_VALUE"""),2864)</f>
        <v>2864</v>
      </c>
      <c r="Y698" s="3">
        <f ca="1">IFERROR(__xludf.DUMMYFUNCTION("""COMPUTED_VALUE"""),1556)</f>
        <v>1556</v>
      </c>
      <c r="Z698" s="3">
        <f ca="1">IFERROR(__xludf.DUMMYFUNCTION("""COMPUTED_VALUE"""),395)</f>
        <v>395</v>
      </c>
      <c r="AA698" s="3">
        <f ca="1">IFERROR(__xludf.DUMMYFUNCTION("""COMPUTED_VALUE"""),913)</f>
        <v>913</v>
      </c>
      <c r="AB698" s="3">
        <f ca="1">IFERROR(__xludf.DUMMYFUNCTION("""COMPUTED_VALUE"""),0)</f>
        <v>0</v>
      </c>
      <c r="AC698" s="3">
        <f ca="1">IFERROR(__xludf.DUMMYFUNCTION("""COMPUTED_VALUE"""),3)</f>
        <v>3</v>
      </c>
      <c r="AD698" s="3" t="str">
        <f ca="1">IFERROR(__xludf.DUMMYFUNCTION("""COMPUTED_VALUE"""),"early")</f>
        <v>early</v>
      </c>
      <c r="AE698" s="3" t="str">
        <f ca="1">IFERROR(__xludf.DUMMYFUNCTION("""COMPUTED_VALUE"""),"2055-06-04T10:18:30.085063Z")</f>
        <v>2055-06-04T10:18:30.085063Z</v>
      </c>
      <c r="AF698" s="3" t="str">
        <f ca="1">IFERROR(__xludf.DUMMYFUNCTION("""COMPUTED_VALUE"""),"2055-06-04T10:33:43.393815Z")</f>
        <v>2055-06-04T10:33:43.393815Z</v>
      </c>
      <c r="AG698" s="3" t="str">
        <f ca="1">IFERROR(__xludf.DUMMYFUNCTION("""COMPUTED_VALUE"""),"2055-06-04T09:45:54.215449Z")</f>
        <v>2055-06-04T09:45:54.215449Z</v>
      </c>
      <c r="AH698" s="3" t="str">
        <f ca="1">IFERROR(__xludf.DUMMYFUNCTION("""COMPUTED_VALUE"""),"2055-06-04T10:11:55.775619Z")</f>
        <v>2055-06-04T10:11:55.775619Z</v>
      </c>
      <c r="AI698" s="3">
        <f ca="1">IFERROR(__xludf.DUMMYFUNCTION("""COMPUTED_VALUE"""),4.47)</f>
        <v>4.47</v>
      </c>
      <c r="AJ698" s="3">
        <f ca="1">IFERROR(__xludf.DUMMYFUNCTION("""COMPUTED_VALUE"""),78)</f>
        <v>78</v>
      </c>
      <c r="AK698" s="3">
        <f ca="1">IFERROR(__xludf.DUMMYFUNCTION("""COMPUTED_VALUE"""),278)</f>
        <v>278</v>
      </c>
      <c r="AL698" s="3">
        <f ca="1">IFERROR(__xludf.DUMMYFUNCTION("""COMPUTED_VALUE"""),26)</f>
        <v>26</v>
      </c>
    </row>
    <row r="699" spans="1:38" ht="13">
      <c r="A699" s="3">
        <f ca="1">IFERROR(__xludf.DUMMYFUNCTION("""COMPUTED_VALUE"""),857)</f>
        <v>857</v>
      </c>
      <c r="B699" s="3"/>
      <c r="C699" s="3">
        <f ca="1">IFERROR(__xludf.DUMMYFUNCTION("""COMPUTED_VALUE"""),4001)</f>
        <v>4001</v>
      </c>
      <c r="D699" s="3" t="str">
        <f ca="1">IFERROR(__xludf.DUMMYFUNCTION("""COMPUTED_VALUE"""),"Dashattan")</f>
        <v>Dashattan</v>
      </c>
      <c r="E699" s="3" t="str">
        <f ca="1">IFERROR(__xludf.DUMMYFUNCTION("""COMPUTED_VALUE"""),"Galaxy A")</f>
        <v>Galaxy A</v>
      </c>
      <c r="F699" s="3" t="str">
        <f ca="1">IFERROR(__xludf.DUMMYFUNCTION("""COMPUTED_VALUE"""),"Arya")</f>
        <v>Arya</v>
      </c>
      <c r="G699" s="3">
        <f ca="1">IFERROR(__xludf.DUMMYFUNCTION("""COMPUTED_VALUE"""),0)</f>
        <v>0</v>
      </c>
      <c r="H699" s="3" t="str">
        <f ca="1">IFERROR(__xludf.DUMMYFUNCTION("""COMPUTED_VALUE"""),"bicycle")</f>
        <v>bicycle</v>
      </c>
      <c r="I699" s="3" t="str">
        <f ca="1">IFERROR(__xludf.DUMMYFUNCTION("""COMPUTED_VALUE"""),"2055-06-07T17:57:08.932166Z")</f>
        <v>2055-06-07T17:57:08.932166Z</v>
      </c>
      <c r="J699" s="3" t="str">
        <f ca="1">IFERROR(__xludf.DUMMYFUNCTION("""COMPUTED_VALUE"""),"2055-06-07T18:49:29.013Z")</f>
        <v>2055-06-07T18:49:29.013Z</v>
      </c>
      <c r="K699" s="3" t="str">
        <f ca="1">IFERROR(__xludf.DUMMYFUNCTION("""COMPUTED_VALUE"""),"2055-06-07T18:29:50.013Z")</f>
        <v>2055-06-07T18:29:50.013Z</v>
      </c>
      <c r="L699" s="3">
        <f ca="1">IFERROR(__xludf.DUMMYFUNCTION("""COMPUTED_VALUE"""),1)</f>
        <v>1</v>
      </c>
      <c r="M699" s="3">
        <f ca="1">IFERROR(__xludf.DUMMYFUNCTION("""COMPUTED_VALUE"""),0)</f>
        <v>0</v>
      </c>
      <c r="N699" s="3" t="str">
        <f ca="1">IFERROR(__xludf.DUMMYFUNCTION("""COMPUTED_VALUE"""),"2055-06-07T18:31:38.397457Z")</f>
        <v>2055-06-07T18:31:38.397457Z</v>
      </c>
      <c r="O699" s="3" t="str">
        <f ca="1">IFERROR(__xludf.DUMMYFUNCTION("""COMPUTED_VALUE"""),"2055-06-07T18:39:46.779404Z")</f>
        <v>2055-06-07T18:39:46.779404Z</v>
      </c>
      <c r="P699" s="3" t="str">
        <f ca="1">IFERROR(__xludf.DUMMYFUNCTION("""COMPUTED_VALUE"""),"2055-06-07T18:05:14.187716Z")</f>
        <v>2055-06-07T18:05:14.187716Z</v>
      </c>
      <c r="Q699" s="3">
        <f ca="1">IFERROR(__xludf.DUMMYFUNCTION("""COMPUTED_VALUE"""),0)</f>
        <v>0</v>
      </c>
      <c r="R699" s="3" t="str">
        <f ca="1">IFERROR(__xludf.DUMMYFUNCTION("""COMPUTED_VALUE"""),"2055-06-07T18:05:23.704097Z")</f>
        <v>2055-06-07T18:05:23.704097Z</v>
      </c>
      <c r="S699" s="3" t="str">
        <f ca="1">IFERROR(__xludf.DUMMYFUNCTION("""COMPUTED_VALUE"""),"2055-06-07T18:30:17.137123Z")</f>
        <v>2055-06-07T18:30:17.137123Z</v>
      </c>
      <c r="T699" s="3"/>
      <c r="U699" s="4">
        <f ca="1">IFERROR(__xludf.DUMMYFUNCTION("""COMPUTED_VALUE"""),56772)</f>
        <v>56772</v>
      </c>
      <c r="V699" s="3">
        <f ca="1">IFERROR(__xludf.DUMMYFUNCTION("""COMPUTED_VALUE"""),4.3)</f>
        <v>4.3</v>
      </c>
      <c r="W699" s="3">
        <f ca="1">IFERROR(__xludf.DUMMYFUNCTION("""COMPUTED_VALUE"""),2000)</f>
        <v>2000</v>
      </c>
      <c r="X699" s="3">
        <f ca="1">IFERROR(__xludf.DUMMYFUNCTION("""COMPUTED_VALUE"""),2063)</f>
        <v>2063</v>
      </c>
      <c r="Y699" s="3">
        <f ca="1">IFERROR(__xludf.DUMMYFUNCTION("""COMPUTED_VALUE"""),1494)</f>
        <v>1494</v>
      </c>
      <c r="Z699" s="3">
        <f ca="1">IFERROR(__xludf.DUMMYFUNCTION("""COMPUTED_VALUE"""),81)</f>
        <v>81</v>
      </c>
      <c r="AA699" s="3">
        <f ca="1">IFERROR(__xludf.DUMMYFUNCTION("""COMPUTED_VALUE"""),488)</f>
        <v>488</v>
      </c>
      <c r="AB699" s="3">
        <f ca="1">IFERROR(__xludf.DUMMYFUNCTION("""COMPUTED_VALUE"""),1)</f>
        <v>1</v>
      </c>
      <c r="AC699" s="3">
        <f ca="1">IFERROR(__xludf.DUMMYFUNCTION("""COMPUTED_VALUE"""),2)</f>
        <v>2</v>
      </c>
      <c r="AD699" s="3"/>
      <c r="AE699" s="3" t="str">
        <f ca="1">IFERROR(__xludf.DUMMYFUNCTION("""COMPUTED_VALUE"""),"2055-06-07T14:31:38.397457Z")</f>
        <v>2055-06-07T14:31:38.397457Z</v>
      </c>
      <c r="AF699" s="3" t="str">
        <f ca="1">IFERROR(__xludf.DUMMYFUNCTION("""COMPUTED_VALUE"""),"2055-06-07T14:39:46.779404Z")</f>
        <v>2055-06-07T14:39:46.779404Z</v>
      </c>
      <c r="AG699" s="3" t="str">
        <f ca="1">IFERROR(__xludf.DUMMYFUNCTION("""COMPUTED_VALUE"""),"2055-06-07T14:05:14.187716Z")</f>
        <v>2055-06-07T14:05:14.187716Z</v>
      </c>
      <c r="AH699" s="3" t="str">
        <f ca="1">IFERROR(__xludf.DUMMYFUNCTION("""COMPUTED_VALUE"""),"2055-06-07T14:30:17.137123Z")</f>
        <v>2055-06-07T14:30:17.137123Z</v>
      </c>
      <c r="AI699" s="3">
        <f ca="1">IFERROR(__xludf.DUMMYFUNCTION("""COMPUTED_VALUE"""),4.17)</f>
        <v>4.17</v>
      </c>
      <c r="AJ699" s="3">
        <f ca="1">IFERROR(__xludf.DUMMYFUNCTION("""COMPUTED_VALUE"""),457)</f>
        <v>457</v>
      </c>
      <c r="AK699" s="3">
        <f ca="1">IFERROR(__xludf.DUMMYFUNCTION("""COMPUTED_VALUE"""),1599)</f>
        <v>1599</v>
      </c>
      <c r="AL699" s="3"/>
    </row>
    <row r="700" spans="1:38" ht="13">
      <c r="A700" s="3">
        <f ca="1">IFERROR(__xludf.DUMMYFUNCTION("""COMPUTED_VALUE"""),1590)</f>
        <v>1590</v>
      </c>
      <c r="B700" s="3">
        <f ca="1">IFERROR(__xludf.DUMMYFUNCTION("""COMPUTED_VALUE"""),5)</f>
        <v>5</v>
      </c>
      <c r="C700" s="3">
        <f ca="1">IFERROR(__xludf.DUMMYFUNCTION("""COMPUTED_VALUE"""),4001)</f>
        <v>4001</v>
      </c>
      <c r="D700" s="3" t="str">
        <f ca="1">IFERROR(__xludf.DUMMYFUNCTION("""COMPUTED_VALUE"""),"Dashattan")</f>
        <v>Dashattan</v>
      </c>
      <c r="E700" s="3" t="str">
        <f ca="1">IFERROR(__xludf.DUMMYFUNCTION("""COMPUTED_VALUE"""),"Galaxy A")</f>
        <v>Galaxy A</v>
      </c>
      <c r="F700" s="3" t="str">
        <f ca="1">IFERROR(__xludf.DUMMYFUNCTION("""COMPUTED_VALUE"""),"Mike")</f>
        <v>Mike</v>
      </c>
      <c r="G700" s="3">
        <f ca="1">IFERROR(__xludf.DUMMYFUNCTION("""COMPUTED_VALUE"""),0)</f>
        <v>0</v>
      </c>
      <c r="H700" s="3" t="str">
        <f ca="1">IFERROR(__xludf.DUMMYFUNCTION("""COMPUTED_VALUE"""),"bicycle")</f>
        <v>bicycle</v>
      </c>
      <c r="I700" s="3" t="str">
        <f ca="1">IFERROR(__xludf.DUMMYFUNCTION("""COMPUTED_VALUE"""),"2055-06-13T19:38:36.32012Z")</f>
        <v>2055-06-13T19:38:36.32012Z</v>
      </c>
      <c r="J700" s="3" t="str">
        <f ca="1">IFERROR(__xludf.DUMMYFUNCTION("""COMPUTED_VALUE"""),"2055-06-13T20:23:06.391Z")</f>
        <v>2055-06-13T20:23:06.391Z</v>
      </c>
      <c r="K700" s="3" t="str">
        <f ca="1">IFERROR(__xludf.DUMMYFUNCTION("""COMPUTED_VALUE"""),"2055-06-13T20:04:13.391Z")</f>
        <v>2055-06-13T20:04:13.391Z</v>
      </c>
      <c r="L700" s="3">
        <f ca="1">IFERROR(__xludf.DUMMYFUNCTION("""COMPUTED_VALUE"""),1)</f>
        <v>1</v>
      </c>
      <c r="M700" s="3">
        <f ca="1">IFERROR(__xludf.DUMMYFUNCTION("""COMPUTED_VALUE"""),0)</f>
        <v>0</v>
      </c>
      <c r="N700" s="3" t="str">
        <f ca="1">IFERROR(__xludf.DUMMYFUNCTION("""COMPUTED_VALUE"""),"2055-06-13T19:56:28.932087Z")</f>
        <v>2055-06-13T19:56:28.932087Z</v>
      </c>
      <c r="O700" s="3" t="str">
        <f ca="1">IFERROR(__xludf.DUMMYFUNCTION("""COMPUTED_VALUE"""),"2055-06-13T20:07:18.128901Z")</f>
        <v>2055-06-13T20:07:18.128901Z</v>
      </c>
      <c r="P700" s="3" t="str">
        <f ca="1">IFERROR(__xludf.DUMMYFUNCTION("""COMPUTED_VALUE"""),"2055-06-13T19:44:54.143424Z")</f>
        <v>2055-06-13T19:44:54.143424Z</v>
      </c>
      <c r="Q700" s="3">
        <f ca="1">IFERROR(__xludf.DUMMYFUNCTION("""COMPUTED_VALUE"""),0)</f>
        <v>0</v>
      </c>
      <c r="R700" s="3" t="str">
        <f ca="1">IFERROR(__xludf.DUMMYFUNCTION("""COMPUTED_VALUE"""),"2055-06-13T19:45:28.030215Z")</f>
        <v>2055-06-13T19:45:28.030215Z</v>
      </c>
      <c r="S700" s="3" t="str">
        <f ca="1">IFERROR(__xludf.DUMMYFUNCTION("""COMPUTED_VALUE"""),"2055-06-13T19:54:07.711306Z")</f>
        <v>2055-06-13T19:54:07.711306Z</v>
      </c>
      <c r="T700" s="3"/>
      <c r="U700" s="4">
        <f ca="1">IFERROR(__xludf.DUMMYFUNCTION("""COMPUTED_VALUE"""),56778)</f>
        <v>56778</v>
      </c>
      <c r="V700" s="3">
        <f ca="1">IFERROR(__xludf.DUMMYFUNCTION("""COMPUTED_VALUE"""),4.392236395)</f>
        <v>4.3922363950000003</v>
      </c>
      <c r="W700" s="3">
        <f ca="1">IFERROR(__xludf.DUMMYFUNCTION("""COMPUTED_VALUE"""),2000)</f>
        <v>2000</v>
      </c>
      <c r="X700" s="3">
        <f ca="1">IFERROR(__xludf.DUMMYFUNCTION("""COMPUTED_VALUE"""),1310)</f>
        <v>1310</v>
      </c>
      <c r="Y700" s="3">
        <f ca="1">IFERROR(__xludf.DUMMYFUNCTION("""COMPUTED_VALUE"""),519)</f>
        <v>519</v>
      </c>
      <c r="Z700" s="3">
        <f ca="1">IFERROR(__xludf.DUMMYFUNCTION("""COMPUTED_VALUE"""),141)</f>
        <v>141</v>
      </c>
      <c r="AA700" s="3">
        <f ca="1">IFERROR(__xludf.DUMMYFUNCTION("""COMPUTED_VALUE"""),650)</f>
        <v>650</v>
      </c>
      <c r="AB700" s="3">
        <f ca="1">IFERROR(__xludf.DUMMYFUNCTION("""COMPUTED_VALUE"""),0)</f>
        <v>0</v>
      </c>
      <c r="AC700" s="3">
        <f ca="1">IFERROR(__xludf.DUMMYFUNCTION("""COMPUTED_VALUE"""),1)</f>
        <v>1</v>
      </c>
      <c r="AD700" s="3" t="str">
        <f ca="1">IFERROR(__xludf.DUMMYFUNCTION("""COMPUTED_VALUE"""),"on time")</f>
        <v>on time</v>
      </c>
      <c r="AE700" s="3" t="str">
        <f ca="1">IFERROR(__xludf.DUMMYFUNCTION("""COMPUTED_VALUE"""),"2055-06-13T15:56:28.932087Z")</f>
        <v>2055-06-13T15:56:28.932087Z</v>
      </c>
      <c r="AF700" s="3" t="str">
        <f ca="1">IFERROR(__xludf.DUMMYFUNCTION("""COMPUTED_VALUE"""),"2055-06-13T16:07:18.128901Z")</f>
        <v>2055-06-13T16:07:18.128901Z</v>
      </c>
      <c r="AG700" s="3" t="str">
        <f ca="1">IFERROR(__xludf.DUMMYFUNCTION("""COMPUTED_VALUE"""),"2055-06-13T15:44:54.143424Z")</f>
        <v>2055-06-13T15:44:54.143424Z</v>
      </c>
      <c r="AH700" s="3" t="str">
        <f ca="1">IFERROR(__xludf.DUMMYFUNCTION("""COMPUTED_VALUE"""),"2055-06-13T15:54:07.711306Z")</f>
        <v>2055-06-13T15:54:07.711306Z</v>
      </c>
      <c r="AI700" s="3">
        <f ca="1">IFERROR(__xludf.DUMMYFUNCTION("""COMPUTED_VALUE"""),4.63)</f>
        <v>4.63</v>
      </c>
      <c r="AJ700" s="3">
        <f ca="1">IFERROR(__xludf.DUMMYFUNCTION("""COMPUTED_VALUE"""),242)</f>
        <v>242</v>
      </c>
      <c r="AK700" s="3">
        <f ca="1">IFERROR(__xludf.DUMMYFUNCTION("""COMPUTED_VALUE"""),736)</f>
        <v>736</v>
      </c>
      <c r="AL700" s="3"/>
    </row>
    <row r="701" spans="1:38" ht="13">
      <c r="A701" s="3">
        <f ca="1">IFERROR(__xludf.DUMMYFUNCTION("""COMPUTED_VALUE"""),87)</f>
        <v>87</v>
      </c>
      <c r="B701" s="3">
        <f ca="1">IFERROR(__xludf.DUMMYFUNCTION("""COMPUTED_VALUE"""),5)</f>
        <v>5</v>
      </c>
      <c r="C701" s="3">
        <f ca="1">IFERROR(__xludf.DUMMYFUNCTION("""COMPUTED_VALUE"""),4001)</f>
        <v>4001</v>
      </c>
      <c r="D701" s="3" t="str">
        <f ca="1">IFERROR(__xludf.DUMMYFUNCTION("""COMPUTED_VALUE"""),"Dashattan")</f>
        <v>Dashattan</v>
      </c>
      <c r="E701" s="3" t="str">
        <f ca="1">IFERROR(__xludf.DUMMYFUNCTION("""COMPUTED_VALUE"""),"Galaxy A")</f>
        <v>Galaxy A</v>
      </c>
      <c r="F701" s="3" t="str">
        <f ca="1">IFERROR(__xludf.DUMMYFUNCTION("""COMPUTED_VALUE"""),"Arya")</f>
        <v>Arya</v>
      </c>
      <c r="G701" s="3">
        <f ca="1">IFERROR(__xludf.DUMMYFUNCTION("""COMPUTED_VALUE"""),0)</f>
        <v>0</v>
      </c>
      <c r="H701" s="3" t="str">
        <f ca="1">IFERROR(__xludf.DUMMYFUNCTION("""COMPUTED_VALUE"""),"bicycle")</f>
        <v>bicycle</v>
      </c>
      <c r="I701" s="3" t="str">
        <f ca="1">IFERROR(__xludf.DUMMYFUNCTION("""COMPUTED_VALUE"""),"2055-06-01T23:51:51.792656Z")</f>
        <v>2055-06-01T23:51:51.792656Z</v>
      </c>
      <c r="J701" s="3" t="str">
        <f ca="1">IFERROR(__xludf.DUMMYFUNCTION("""COMPUTED_VALUE"""),"2055-06-02T00:48:54.846Z")</f>
        <v>2055-06-02T00:48:54.846Z</v>
      </c>
      <c r="K701" s="3" t="str">
        <f ca="1">IFERROR(__xludf.DUMMYFUNCTION("""COMPUTED_VALUE"""),"2055-06-02T00:28:47.846Z")</f>
        <v>2055-06-02T00:28:47.846Z</v>
      </c>
      <c r="L701" s="3">
        <f ca="1">IFERROR(__xludf.DUMMYFUNCTION("""COMPUTED_VALUE"""),1)</f>
        <v>1</v>
      </c>
      <c r="M701" s="3">
        <f ca="1">IFERROR(__xludf.DUMMYFUNCTION("""COMPUTED_VALUE"""),0)</f>
        <v>0</v>
      </c>
      <c r="N701" s="3" t="str">
        <f ca="1">IFERROR(__xludf.DUMMYFUNCTION("""COMPUTED_VALUE"""),"2055-06-02T00:14:07.951603Z")</f>
        <v>2055-06-02T00:14:07.951603Z</v>
      </c>
      <c r="O701" s="3" t="str">
        <f ca="1">IFERROR(__xludf.DUMMYFUNCTION("""COMPUTED_VALUE"""),"2055-06-02T00:38:35.361004Z")</f>
        <v>2055-06-02T00:38:35.361004Z</v>
      </c>
      <c r="P701" s="3" t="str">
        <f ca="1">IFERROR(__xludf.DUMMYFUNCTION("""COMPUTED_VALUE"""),"2055-06-01T23:58:54.789259Z")</f>
        <v>2055-06-01T23:58:54.789259Z</v>
      </c>
      <c r="Q701" s="3">
        <f ca="1">IFERROR(__xludf.DUMMYFUNCTION("""COMPUTED_VALUE"""),0)</f>
        <v>0</v>
      </c>
      <c r="R701" s="3" t="str">
        <f ca="1">IFERROR(__xludf.DUMMYFUNCTION("""COMPUTED_VALUE"""),"2055-06-01T23:59:25.282718Z")</f>
        <v>2055-06-01T23:59:25.282718Z</v>
      </c>
      <c r="S701" s="3" t="str">
        <f ca="1">IFERROR(__xludf.DUMMYFUNCTION("""COMPUTED_VALUE"""),"2055-06-02T00:07:56.314045Z")</f>
        <v>2055-06-02T00:07:56.314045Z</v>
      </c>
      <c r="T701" s="3"/>
      <c r="U701" s="4">
        <f ca="1">IFERROR(__xludf.DUMMYFUNCTION("""COMPUTED_VALUE"""),56766)</f>
        <v>56766</v>
      </c>
      <c r="V701" s="3">
        <f ca="1">IFERROR(__xludf.DUMMYFUNCTION("""COMPUTED_VALUE"""),4.3)</f>
        <v>4.3</v>
      </c>
      <c r="W701" s="3">
        <f ca="1">IFERROR(__xludf.DUMMYFUNCTION("""COMPUTED_VALUE"""),2000)</f>
        <v>2000</v>
      </c>
      <c r="X701" s="3">
        <f ca="1">IFERROR(__xludf.DUMMYFUNCTION("""COMPUTED_VALUE"""),2350)</f>
        <v>2350</v>
      </c>
      <c r="Y701" s="3">
        <f ca="1">IFERROR(__xludf.DUMMYFUNCTION("""COMPUTED_VALUE"""),511)</f>
        <v>511</v>
      </c>
      <c r="Z701" s="3">
        <f ca="1">IFERROR(__xludf.DUMMYFUNCTION("""COMPUTED_VALUE"""),371)</f>
        <v>371</v>
      </c>
      <c r="AA701" s="3">
        <f ca="1">IFERROR(__xludf.DUMMYFUNCTION("""COMPUTED_VALUE"""),1468)</f>
        <v>1468</v>
      </c>
      <c r="AB701" s="3">
        <f ca="1">IFERROR(__xludf.DUMMYFUNCTION("""COMPUTED_VALUE"""),0)</f>
        <v>0</v>
      </c>
      <c r="AC701" s="3">
        <f ca="1">IFERROR(__xludf.DUMMYFUNCTION("""COMPUTED_VALUE"""),2)</f>
        <v>2</v>
      </c>
      <c r="AD701" s="3" t="str">
        <f ca="1">IFERROR(__xludf.DUMMYFUNCTION("""COMPUTED_VALUE"""),"early")</f>
        <v>early</v>
      </c>
      <c r="AE701" s="3" t="str">
        <f ca="1">IFERROR(__xludf.DUMMYFUNCTION("""COMPUTED_VALUE"""),"2055-06-01T20:14:07.951603Z")</f>
        <v>2055-06-01T20:14:07.951603Z</v>
      </c>
      <c r="AF701" s="3" t="str">
        <f ca="1">IFERROR(__xludf.DUMMYFUNCTION("""COMPUTED_VALUE"""),"2055-06-01T20:38:35.361004Z")</f>
        <v>2055-06-01T20:38:35.361004Z</v>
      </c>
      <c r="AG701" s="3" t="str">
        <f ca="1">IFERROR(__xludf.DUMMYFUNCTION("""COMPUTED_VALUE"""),"2055-06-01T19:58:54.789259Z")</f>
        <v>2055-06-01T19:58:54.789259Z</v>
      </c>
      <c r="AH701" s="3" t="str">
        <f ca="1">IFERROR(__xludf.DUMMYFUNCTION("""COMPUTED_VALUE"""),"2055-06-01T20:07:56.314045Z")</f>
        <v>2055-06-01T20:07:56.314045Z</v>
      </c>
      <c r="AI701" s="3">
        <f ca="1">IFERROR(__xludf.DUMMYFUNCTION("""COMPUTED_VALUE"""),4.17)</f>
        <v>4.17</v>
      </c>
      <c r="AJ701" s="3">
        <f ca="1">IFERROR(__xludf.DUMMYFUNCTION("""COMPUTED_VALUE"""),457)</f>
        <v>457</v>
      </c>
      <c r="AK701" s="3">
        <f ca="1">IFERROR(__xludf.DUMMYFUNCTION("""COMPUTED_VALUE"""),1599)</f>
        <v>1599</v>
      </c>
      <c r="AL701" s="3"/>
    </row>
    <row r="702" spans="1:38" ht="13">
      <c r="A702" s="3">
        <f ca="1">IFERROR(__xludf.DUMMYFUNCTION("""COMPUTED_VALUE"""),84)</f>
        <v>84</v>
      </c>
      <c r="B702" s="3"/>
      <c r="C702" s="3">
        <f ca="1">IFERROR(__xludf.DUMMYFUNCTION("""COMPUTED_VALUE"""),4001)</f>
        <v>4001</v>
      </c>
      <c r="D702" s="3" t="str">
        <f ca="1">IFERROR(__xludf.DUMMYFUNCTION("""COMPUTED_VALUE"""),"Dashattan")</f>
        <v>Dashattan</v>
      </c>
      <c r="E702" s="3" t="str">
        <f ca="1">IFERROR(__xludf.DUMMYFUNCTION("""COMPUTED_VALUE"""),"Galaxy A")</f>
        <v>Galaxy A</v>
      </c>
      <c r="F702" s="3" t="str">
        <f ca="1">IFERROR(__xludf.DUMMYFUNCTION("""COMPUTED_VALUE"""),"KC")</f>
        <v>KC</v>
      </c>
      <c r="G702" s="3">
        <f ca="1">IFERROR(__xludf.DUMMYFUNCTION("""COMPUTED_VALUE"""),0)</f>
        <v>0</v>
      </c>
      <c r="H702" s="3" t="str">
        <f ca="1">IFERROR(__xludf.DUMMYFUNCTION("""COMPUTED_VALUE"""),"car")</f>
        <v>car</v>
      </c>
      <c r="I702" s="3" t="str">
        <f ca="1">IFERROR(__xludf.DUMMYFUNCTION("""COMPUTED_VALUE"""),"2055-06-01T23:41:08.260105Z")</f>
        <v>2055-06-01T23:41:08.260105Z</v>
      </c>
      <c r="J702" s="3" t="str">
        <f ca="1">IFERROR(__xludf.DUMMYFUNCTION("""COMPUTED_VALUE"""),"2055-06-02T00:33:57.31Z")</f>
        <v>2055-06-02T00:33:57.31Z</v>
      </c>
      <c r="K702" s="3" t="str">
        <f ca="1">IFERROR(__xludf.DUMMYFUNCTION("""COMPUTED_VALUE"""),"2055-06-02T00:18:50.31Z")</f>
        <v>2055-06-02T00:18:50.31Z</v>
      </c>
      <c r="L702" s="3">
        <f ca="1">IFERROR(__xludf.DUMMYFUNCTION("""COMPUTED_VALUE"""),1)</f>
        <v>1</v>
      </c>
      <c r="M702" s="3">
        <f ca="1">IFERROR(__xludf.DUMMYFUNCTION("""COMPUTED_VALUE"""),0)</f>
        <v>0</v>
      </c>
      <c r="N702" s="3" t="str">
        <f ca="1">IFERROR(__xludf.DUMMYFUNCTION("""COMPUTED_VALUE"""),"2055-06-01T23:53:46.787597Z")</f>
        <v>2055-06-01T23:53:46.787597Z</v>
      </c>
      <c r="O702" s="3" t="str">
        <f ca="1">IFERROR(__xludf.DUMMYFUNCTION("""COMPUTED_VALUE"""),"2055-06-02T00:05:34.148141Z")</f>
        <v>2055-06-02T00:05:34.148141Z</v>
      </c>
      <c r="P702" s="3" t="str">
        <f ca="1">IFERROR(__xludf.DUMMYFUNCTION("""COMPUTED_VALUE"""),"2055-06-01T23:45:35.532425Z")</f>
        <v>2055-06-01T23:45:35.532425Z</v>
      </c>
      <c r="Q702" s="3">
        <f ca="1">IFERROR(__xludf.DUMMYFUNCTION("""COMPUTED_VALUE"""),0)</f>
        <v>0</v>
      </c>
      <c r="R702" s="3" t="str">
        <f ca="1">IFERROR(__xludf.DUMMYFUNCTION("""COMPUTED_VALUE"""),"2055-06-01T23:45:47.536481Z")</f>
        <v>2055-06-01T23:45:47.536481Z</v>
      </c>
      <c r="S702" s="3" t="str">
        <f ca="1">IFERROR(__xludf.DUMMYFUNCTION("""COMPUTED_VALUE"""),"2055-06-01T23:48:26.492899Z")</f>
        <v>2055-06-01T23:48:26.492899Z</v>
      </c>
      <c r="T702" s="3"/>
      <c r="U702" s="4">
        <f ca="1">IFERROR(__xludf.DUMMYFUNCTION("""COMPUTED_VALUE"""),56766)</f>
        <v>56766</v>
      </c>
      <c r="V702" s="3">
        <f ca="1">IFERROR(__xludf.DUMMYFUNCTION("""COMPUTED_VALUE"""),2.896923575)</f>
        <v>2.8969235750000002</v>
      </c>
      <c r="W702" s="3">
        <f ca="1">IFERROR(__xludf.DUMMYFUNCTION("""COMPUTED_VALUE"""),2000)</f>
        <v>2000</v>
      </c>
      <c r="X702" s="3">
        <f ca="1">IFERROR(__xludf.DUMMYFUNCTION("""COMPUTED_VALUE"""),1187)</f>
        <v>1187</v>
      </c>
      <c r="Y702" s="3">
        <f ca="1">IFERROR(__xludf.DUMMYFUNCTION("""COMPUTED_VALUE"""),159)</f>
        <v>159</v>
      </c>
      <c r="Z702" s="3">
        <f ca="1">IFERROR(__xludf.DUMMYFUNCTION("""COMPUTED_VALUE"""),320)</f>
        <v>320</v>
      </c>
      <c r="AA702" s="3">
        <f ca="1">IFERROR(__xludf.DUMMYFUNCTION("""COMPUTED_VALUE"""),708)</f>
        <v>708</v>
      </c>
      <c r="AB702" s="3">
        <f ca="1">IFERROR(__xludf.DUMMYFUNCTION("""COMPUTED_VALUE"""),0)</f>
        <v>0</v>
      </c>
      <c r="AC702" s="3">
        <f ca="1">IFERROR(__xludf.DUMMYFUNCTION("""COMPUTED_VALUE"""),2)</f>
        <v>2</v>
      </c>
      <c r="AD702" s="3" t="str">
        <f ca="1">IFERROR(__xludf.DUMMYFUNCTION("""COMPUTED_VALUE"""),"early")</f>
        <v>early</v>
      </c>
      <c r="AE702" s="3" t="str">
        <f ca="1">IFERROR(__xludf.DUMMYFUNCTION("""COMPUTED_VALUE"""),"2055-06-01T19:53:46.787597Z")</f>
        <v>2055-06-01T19:53:46.787597Z</v>
      </c>
      <c r="AF702" s="3" t="str">
        <f ca="1">IFERROR(__xludf.DUMMYFUNCTION("""COMPUTED_VALUE"""),"2055-06-01T20:05:34.148141Z")</f>
        <v>2055-06-01T20:05:34.148141Z</v>
      </c>
      <c r="AG702" s="3" t="str">
        <f ca="1">IFERROR(__xludf.DUMMYFUNCTION("""COMPUTED_VALUE"""),"2055-06-01T19:45:35.532425Z")</f>
        <v>2055-06-01T19:45:35.532425Z</v>
      </c>
      <c r="AH702" s="3" t="str">
        <f ca="1">IFERROR(__xludf.DUMMYFUNCTION("""COMPUTED_VALUE"""),"2055-06-01T19:48:26.492899Z")</f>
        <v>2055-06-01T19:48:26.492899Z</v>
      </c>
      <c r="AI702" s="3">
        <f ca="1">IFERROR(__xludf.DUMMYFUNCTION("""COMPUTED_VALUE"""),4.54)</f>
        <v>4.54</v>
      </c>
      <c r="AJ702" s="3">
        <f ca="1">IFERROR(__xludf.DUMMYFUNCTION("""COMPUTED_VALUE"""),2229)</f>
        <v>2229</v>
      </c>
      <c r="AK702" s="3">
        <f ca="1">IFERROR(__xludf.DUMMYFUNCTION("""COMPUTED_VALUE"""),6580)</f>
        <v>6580</v>
      </c>
      <c r="AL702" s="3"/>
    </row>
    <row r="703" spans="1:38" ht="13">
      <c r="A703" s="3">
        <f ca="1">IFERROR(__xludf.DUMMYFUNCTION("""COMPUTED_VALUE"""),141)</f>
        <v>141</v>
      </c>
      <c r="B703" s="3"/>
      <c r="C703" s="3">
        <f ca="1">IFERROR(__xludf.DUMMYFUNCTION("""COMPUTED_VALUE"""),4001)</f>
        <v>4001</v>
      </c>
      <c r="D703" s="3" t="str">
        <f ca="1">IFERROR(__xludf.DUMMYFUNCTION("""COMPUTED_VALUE"""),"Dashattan")</f>
        <v>Dashattan</v>
      </c>
      <c r="E703" s="3" t="str">
        <f ca="1">IFERROR(__xludf.DUMMYFUNCTION("""COMPUTED_VALUE"""),"Galaxy A")</f>
        <v>Galaxy A</v>
      </c>
      <c r="F703" s="3" t="str">
        <f ca="1">IFERROR(__xludf.DUMMYFUNCTION("""COMPUTED_VALUE"""),"Sean")</f>
        <v>Sean</v>
      </c>
      <c r="G703" s="3">
        <f ca="1">IFERROR(__xludf.DUMMYFUNCTION("""COMPUTED_VALUE"""),0)</f>
        <v>0</v>
      </c>
      <c r="H703" s="3" t="str">
        <f ca="1">IFERROR(__xludf.DUMMYFUNCTION("""COMPUTED_VALUE"""),"bicycle")</f>
        <v>bicycle</v>
      </c>
      <c r="I703" s="3" t="str">
        <f ca="1">IFERROR(__xludf.DUMMYFUNCTION("""COMPUTED_VALUE"""),"2055-06-02T16:51:08.291978Z")</f>
        <v>2055-06-02T16:51:08.291978Z</v>
      </c>
      <c r="J703" s="3" t="str">
        <f ca="1">IFERROR(__xludf.DUMMYFUNCTION("""COMPUTED_VALUE"""),"2055-06-02T17:53:04.462Z")</f>
        <v>2055-06-02T17:53:04.462Z</v>
      </c>
      <c r="K703" s="3" t="str">
        <f ca="1">IFERROR(__xludf.DUMMYFUNCTION("""COMPUTED_VALUE"""),"2055-06-02T17:32:57.462Z")</f>
        <v>2055-06-02T17:32:57.462Z</v>
      </c>
      <c r="L703" s="3">
        <f ca="1">IFERROR(__xludf.DUMMYFUNCTION("""COMPUTED_VALUE"""),1)</f>
        <v>1</v>
      </c>
      <c r="M703" s="3">
        <f ca="1">IFERROR(__xludf.DUMMYFUNCTION("""COMPUTED_VALUE"""),0)</f>
        <v>0</v>
      </c>
      <c r="N703" s="3" t="str">
        <f ca="1">IFERROR(__xludf.DUMMYFUNCTION("""COMPUTED_VALUE"""),"2055-06-02T17:22:43.836723Z")</f>
        <v>2055-06-02T17:22:43.836723Z</v>
      </c>
      <c r="O703" s="3" t="str">
        <f ca="1">IFERROR(__xludf.DUMMYFUNCTION("""COMPUTED_VALUE"""),"2055-06-02T17:36:43.367939Z")</f>
        <v>2055-06-02T17:36:43.367939Z</v>
      </c>
      <c r="P703" s="3" t="str">
        <f ca="1">IFERROR(__xludf.DUMMYFUNCTION("""COMPUTED_VALUE"""),"2055-06-02T17:00:54.824246Z")</f>
        <v>2055-06-02T17:00:54.824246Z</v>
      </c>
      <c r="Q703" s="3">
        <f ca="1">IFERROR(__xludf.DUMMYFUNCTION("""COMPUTED_VALUE"""),0)</f>
        <v>0</v>
      </c>
      <c r="R703" s="3" t="str">
        <f ca="1">IFERROR(__xludf.DUMMYFUNCTION("""COMPUTED_VALUE"""),"2055-06-02T17:01:42.184983Z")</f>
        <v>2055-06-02T17:01:42.184983Z</v>
      </c>
      <c r="S703" s="3"/>
      <c r="T703" s="3"/>
      <c r="U703" s="4">
        <f ca="1">IFERROR(__xludf.DUMMYFUNCTION("""COMPUTED_VALUE"""),56767)</f>
        <v>56767</v>
      </c>
      <c r="V703" s="3">
        <f ca="1">IFERROR(__xludf.DUMMYFUNCTION("""COMPUTED_VALUE"""),4.2)</f>
        <v>4.2</v>
      </c>
      <c r="W703" s="3">
        <f ca="1">IFERROR(__xludf.DUMMYFUNCTION("""COMPUTED_VALUE"""),2000)</f>
        <v>2000</v>
      </c>
      <c r="X703" s="3">
        <f ca="1">IFERROR(__xludf.DUMMYFUNCTION("""COMPUTED_VALUE"""),2101)</f>
        <v>2101</v>
      </c>
      <c r="Y703" s="3"/>
      <c r="Z703" s="3"/>
      <c r="AA703" s="3">
        <f ca="1">IFERROR(__xludf.DUMMYFUNCTION("""COMPUTED_VALUE"""),840)</f>
        <v>840</v>
      </c>
      <c r="AB703" s="3">
        <f ca="1">IFERROR(__xludf.DUMMYFUNCTION("""COMPUTED_VALUE"""),0)</f>
        <v>0</v>
      </c>
      <c r="AC703" s="3">
        <f ca="1">IFERROR(__xludf.DUMMYFUNCTION("""COMPUTED_VALUE"""),3)</f>
        <v>3</v>
      </c>
      <c r="AD703" s="3"/>
      <c r="AE703" s="3" t="str">
        <f ca="1">IFERROR(__xludf.DUMMYFUNCTION("""COMPUTED_VALUE"""),"2055-06-02T13:22:43.836723Z")</f>
        <v>2055-06-02T13:22:43.836723Z</v>
      </c>
      <c r="AF703" s="3" t="str">
        <f ca="1">IFERROR(__xludf.DUMMYFUNCTION("""COMPUTED_VALUE"""),"2055-06-02T13:36:43.367939Z")</f>
        <v>2055-06-02T13:36:43.367939Z</v>
      </c>
      <c r="AG703" s="3" t="str">
        <f ca="1">IFERROR(__xludf.DUMMYFUNCTION("""COMPUTED_VALUE"""),"2055-06-02T13:00:54.824246Z")</f>
        <v>2055-06-02T13:00:54.824246Z</v>
      </c>
      <c r="AH703" s="3"/>
      <c r="AI703" s="3">
        <f ca="1">IFERROR(__xludf.DUMMYFUNCTION("""COMPUTED_VALUE"""),4.52)</f>
        <v>4.5199999999999996</v>
      </c>
      <c r="AJ703" s="3">
        <f ca="1">IFERROR(__xludf.DUMMYFUNCTION("""COMPUTED_VALUE"""),183)</f>
        <v>183</v>
      </c>
      <c r="AK703" s="3">
        <f ca="1">IFERROR(__xludf.DUMMYFUNCTION("""COMPUTED_VALUE"""),522)</f>
        <v>522</v>
      </c>
      <c r="AL703" s="3"/>
    </row>
    <row r="704" spans="1:38" ht="13">
      <c r="A704" s="3">
        <f ca="1">IFERROR(__xludf.DUMMYFUNCTION("""COMPUTED_VALUE"""),151)</f>
        <v>151</v>
      </c>
      <c r="B704" s="3"/>
      <c r="C704" s="3">
        <f ca="1">IFERROR(__xludf.DUMMYFUNCTION("""COMPUTED_VALUE"""),4050)</f>
        <v>4050</v>
      </c>
      <c r="D704" s="3" t="str">
        <f ca="1">IFERROR(__xludf.DUMMYFUNCTION("""COMPUTED_VALUE"""),"Doorlanta")</f>
        <v>Doorlanta</v>
      </c>
      <c r="E704" s="3" t="str">
        <f ca="1">IFERROR(__xludf.DUMMYFUNCTION("""COMPUTED_VALUE"""),"Galaxy A")</f>
        <v>Galaxy A</v>
      </c>
      <c r="F704" s="3" t="str">
        <f ca="1">IFERROR(__xludf.DUMMYFUNCTION("""COMPUTED_VALUE"""),"Joe")</f>
        <v>Joe</v>
      </c>
      <c r="G704" s="3">
        <f ca="1">IFERROR(__xludf.DUMMYFUNCTION("""COMPUTED_VALUE"""),0)</f>
        <v>0</v>
      </c>
      <c r="H704" s="3" t="str">
        <f ca="1">IFERROR(__xludf.DUMMYFUNCTION("""COMPUTED_VALUE"""),"car")</f>
        <v>car</v>
      </c>
      <c r="I704" s="3" t="str">
        <f ca="1">IFERROR(__xludf.DUMMYFUNCTION("""COMPUTED_VALUE"""),"2055-06-02T18:11:42.164724Z")</f>
        <v>2055-06-02T18:11:42.164724Z</v>
      </c>
      <c r="J704" s="3" t="str">
        <f ca="1">IFERROR(__xludf.DUMMYFUNCTION("""COMPUTED_VALUE"""),"2055-06-02T21:30:00Z")</f>
        <v>2055-06-02T21:30:00Z</v>
      </c>
      <c r="K704" s="3" t="str">
        <f ca="1">IFERROR(__xludf.DUMMYFUNCTION("""COMPUTED_VALUE"""),"2055-06-02T21:30:00Z")</f>
        <v>2055-06-02T21:30:00Z</v>
      </c>
      <c r="L704" s="3">
        <f ca="1">IFERROR(__xludf.DUMMYFUNCTION("""COMPUTED_VALUE"""),0)</f>
        <v>0</v>
      </c>
      <c r="M704" s="3">
        <f ca="1">IFERROR(__xludf.DUMMYFUNCTION("""COMPUTED_VALUE"""),0)</f>
        <v>0</v>
      </c>
      <c r="N704" s="3" t="str">
        <f ca="1">IFERROR(__xludf.DUMMYFUNCTION("""COMPUTED_VALUE"""),"2055-06-02T21:15:27.774391Z")</f>
        <v>2055-06-02T21:15:27.774391Z</v>
      </c>
      <c r="O704" s="3" t="str">
        <f ca="1">IFERROR(__xludf.DUMMYFUNCTION("""COMPUTED_VALUE"""),"2055-06-02T21:31:26.71066Z")</f>
        <v>2055-06-02T21:31:26.71066Z</v>
      </c>
      <c r="P704" s="3" t="str">
        <f ca="1">IFERROR(__xludf.DUMMYFUNCTION("""COMPUTED_VALUE"""),"2055-06-02T20:47:47.269175Z")</f>
        <v>2055-06-02T20:47:47.269175Z</v>
      </c>
      <c r="Q704" s="3">
        <f ca="1">IFERROR(__xludf.DUMMYFUNCTION("""COMPUTED_VALUE"""),0)</f>
        <v>0</v>
      </c>
      <c r="R704" s="3" t="str">
        <f ca="1">IFERROR(__xludf.DUMMYFUNCTION("""COMPUTED_VALUE"""),"2055-06-02T20:47:52.40612Z")</f>
        <v>2055-06-02T20:47:52.40612Z</v>
      </c>
      <c r="S704" s="3" t="str">
        <f ca="1">IFERROR(__xludf.DUMMYFUNCTION("""COMPUTED_VALUE"""),"2055-06-02T21:13:08.551824Z")</f>
        <v>2055-06-02T21:13:08.551824Z</v>
      </c>
      <c r="T704" s="3"/>
      <c r="U704" s="4">
        <f ca="1">IFERROR(__xludf.DUMMYFUNCTION("""COMPUTED_VALUE"""),56767)</f>
        <v>56767</v>
      </c>
      <c r="V704" s="3">
        <f ca="1">IFERROR(__xludf.DUMMYFUNCTION("""COMPUTED_VALUE"""),3.431783289)</f>
        <v>3.4317832890000002</v>
      </c>
      <c r="W704" s="3">
        <f ca="1">IFERROR(__xludf.DUMMYFUNCTION("""COMPUTED_VALUE"""),2000)</f>
        <v>2000</v>
      </c>
      <c r="X704" s="3">
        <f ca="1">IFERROR(__xludf.DUMMYFUNCTION("""COMPUTED_VALUE"""),2614)</f>
        <v>2614</v>
      </c>
      <c r="Y704" s="3">
        <f ca="1">IFERROR(__xludf.DUMMYFUNCTION("""COMPUTED_VALUE"""),1516)</f>
        <v>1516</v>
      </c>
      <c r="Z704" s="3">
        <f ca="1">IFERROR(__xludf.DUMMYFUNCTION("""COMPUTED_VALUE"""),139)</f>
        <v>139</v>
      </c>
      <c r="AA704" s="3">
        <f ca="1">IFERROR(__xludf.DUMMYFUNCTION("""COMPUTED_VALUE"""),959)</f>
        <v>959</v>
      </c>
      <c r="AB704" s="3">
        <f ca="1">IFERROR(__xludf.DUMMYFUNCTION("""COMPUTED_VALUE"""),0)</f>
        <v>0</v>
      </c>
      <c r="AC704" s="3">
        <f ca="1">IFERROR(__xludf.DUMMYFUNCTION("""COMPUTED_VALUE"""),1)</f>
        <v>1</v>
      </c>
      <c r="AD704" s="3" t="str">
        <f ca="1">IFERROR(__xludf.DUMMYFUNCTION("""COMPUTED_VALUE"""),"late")</f>
        <v>late</v>
      </c>
      <c r="AE704" s="3" t="str">
        <f ca="1">IFERROR(__xludf.DUMMYFUNCTION("""COMPUTED_VALUE"""),"2055-06-02T17:15:27.774391Z")</f>
        <v>2055-06-02T17:15:27.774391Z</v>
      </c>
      <c r="AF704" s="3" t="str">
        <f ca="1">IFERROR(__xludf.DUMMYFUNCTION("""COMPUTED_VALUE"""),"2055-06-02T17:31:26.71066Z")</f>
        <v>2055-06-02T17:31:26.71066Z</v>
      </c>
      <c r="AG704" s="3" t="str">
        <f ca="1">IFERROR(__xludf.DUMMYFUNCTION("""COMPUTED_VALUE"""),"2055-06-02T16:47:47.269175Z")</f>
        <v>2055-06-02T16:47:47.269175Z</v>
      </c>
      <c r="AH704" s="3" t="str">
        <f ca="1">IFERROR(__xludf.DUMMYFUNCTION("""COMPUTED_VALUE"""),"2055-06-02T17:13:08.551824Z")</f>
        <v>2055-06-02T17:13:08.551824Z</v>
      </c>
      <c r="AI704" s="3">
        <f ca="1">IFERROR(__xludf.DUMMYFUNCTION("""COMPUTED_VALUE"""),4.38)</f>
        <v>4.38</v>
      </c>
      <c r="AJ704" s="3">
        <f ca="1">IFERROR(__xludf.DUMMYFUNCTION("""COMPUTED_VALUE"""),196)</f>
        <v>196</v>
      </c>
      <c r="AK704" s="3">
        <f ca="1">IFERROR(__xludf.DUMMYFUNCTION("""COMPUTED_VALUE"""),626)</f>
        <v>626</v>
      </c>
      <c r="AL704" s="3"/>
    </row>
    <row r="705" spans="1:38" ht="13">
      <c r="A705" s="3">
        <f ca="1">IFERROR(__xludf.DUMMYFUNCTION("""COMPUTED_VALUE"""),158)</f>
        <v>158</v>
      </c>
      <c r="B705" s="3"/>
      <c r="C705" s="3">
        <f ca="1">IFERROR(__xludf.DUMMYFUNCTION("""COMPUTED_VALUE"""),4050)</f>
        <v>4050</v>
      </c>
      <c r="D705" s="3" t="str">
        <f ca="1">IFERROR(__xludf.DUMMYFUNCTION("""COMPUTED_VALUE"""),"Doorlanta")</f>
        <v>Doorlanta</v>
      </c>
      <c r="E705" s="3" t="str">
        <f ca="1">IFERROR(__xludf.DUMMYFUNCTION("""COMPUTED_VALUE"""),"Galaxy A")</f>
        <v>Galaxy A</v>
      </c>
      <c r="F705" s="3" t="str">
        <f ca="1">IFERROR(__xludf.DUMMYFUNCTION("""COMPUTED_VALUE"""),"Abhai")</f>
        <v>Abhai</v>
      </c>
      <c r="G705" s="3">
        <f ca="1">IFERROR(__xludf.DUMMYFUNCTION("""COMPUTED_VALUE"""),0)</f>
        <v>0</v>
      </c>
      <c r="H705" s="3" t="str">
        <f ca="1">IFERROR(__xludf.DUMMYFUNCTION("""COMPUTED_VALUE"""),"car")</f>
        <v>car</v>
      </c>
      <c r="I705" s="3" t="str">
        <f ca="1">IFERROR(__xludf.DUMMYFUNCTION("""COMPUTED_VALUE"""),"2055-06-02T19:46:57.918566Z")</f>
        <v>2055-06-02T19:46:57.918566Z</v>
      </c>
      <c r="J705" s="3" t="str">
        <f ca="1">IFERROR(__xludf.DUMMYFUNCTION("""COMPUTED_VALUE"""),"2055-06-02T20:41:57.999Z")</f>
        <v>2055-06-02T20:41:57.999Z</v>
      </c>
      <c r="K705" s="3" t="str">
        <f ca="1">IFERROR(__xludf.DUMMYFUNCTION("""COMPUTED_VALUE"""),"2055-06-02T20:17:43.999Z")</f>
        <v>2055-06-02T20:17:43.999Z</v>
      </c>
      <c r="L705" s="3">
        <f ca="1">IFERROR(__xludf.DUMMYFUNCTION("""COMPUTED_VALUE"""),1)</f>
        <v>1</v>
      </c>
      <c r="M705" s="3">
        <f ca="1">IFERROR(__xludf.DUMMYFUNCTION("""COMPUTED_VALUE"""),0)</f>
        <v>0</v>
      </c>
      <c r="N705" s="3" t="str">
        <f ca="1">IFERROR(__xludf.DUMMYFUNCTION("""COMPUTED_VALUE"""),"2055-06-02T20:04:31.85339Z")</f>
        <v>2055-06-02T20:04:31.85339Z</v>
      </c>
      <c r="O705" s="3" t="str">
        <f ca="1">IFERROR(__xludf.DUMMYFUNCTION("""COMPUTED_VALUE"""),"2055-06-02T20:31:14.995759Z")</f>
        <v>2055-06-02T20:31:14.995759Z</v>
      </c>
      <c r="P705" s="3" t="str">
        <f ca="1">IFERROR(__xludf.DUMMYFUNCTION("""COMPUTED_VALUE"""),"2055-06-02T19:47:07.281974Z")</f>
        <v>2055-06-02T19:47:07.281974Z</v>
      </c>
      <c r="Q705" s="3">
        <f ca="1">IFERROR(__xludf.DUMMYFUNCTION("""COMPUTED_VALUE"""),0)</f>
        <v>0</v>
      </c>
      <c r="R705" s="3" t="str">
        <f ca="1">IFERROR(__xludf.DUMMYFUNCTION("""COMPUTED_VALUE"""),"2055-06-02T19:47:12.333207Z")</f>
        <v>2055-06-02T19:47:12.333207Z</v>
      </c>
      <c r="S705" s="3" t="str">
        <f ca="1">IFERROR(__xludf.DUMMYFUNCTION("""COMPUTED_VALUE"""),"2055-06-02T20:05:07.653358Z")</f>
        <v>2055-06-02T20:05:07.653358Z</v>
      </c>
      <c r="T705" s="3"/>
      <c r="U705" s="4">
        <f ca="1">IFERROR(__xludf.DUMMYFUNCTION("""COMPUTED_VALUE"""),56767)</f>
        <v>56767</v>
      </c>
      <c r="V705" s="3">
        <f ca="1">IFERROR(__xludf.DUMMYFUNCTION("""COMPUTED_VALUE"""),4.5)</f>
        <v>4.5</v>
      </c>
      <c r="W705" s="3">
        <f ca="1">IFERROR(__xludf.DUMMYFUNCTION("""COMPUTED_VALUE"""),2000)</f>
        <v>2000</v>
      </c>
      <c r="X705" s="3">
        <f ca="1">IFERROR(__xludf.DUMMYFUNCTION("""COMPUTED_VALUE"""),2642)</f>
        <v>2642</v>
      </c>
      <c r="Y705" s="3">
        <f ca="1">IFERROR(__xludf.DUMMYFUNCTION("""COMPUTED_VALUE"""),1075)</f>
        <v>1075</v>
      </c>
      <c r="Z705" s="3"/>
      <c r="AA705" s="3">
        <f ca="1">IFERROR(__xludf.DUMMYFUNCTION("""COMPUTED_VALUE"""),1603)</f>
        <v>1603</v>
      </c>
      <c r="AB705" s="3">
        <f ca="1">IFERROR(__xludf.DUMMYFUNCTION("""COMPUTED_VALUE"""),0)</f>
        <v>0</v>
      </c>
      <c r="AC705" s="3">
        <f ca="1">IFERROR(__xludf.DUMMYFUNCTION("""COMPUTED_VALUE"""),2)</f>
        <v>2</v>
      </c>
      <c r="AD705" s="3" t="str">
        <f ca="1">IFERROR(__xludf.DUMMYFUNCTION("""COMPUTED_VALUE"""),"late")</f>
        <v>late</v>
      </c>
      <c r="AE705" s="3" t="str">
        <f ca="1">IFERROR(__xludf.DUMMYFUNCTION("""COMPUTED_VALUE"""),"2055-06-02T16:04:31.85339Z")</f>
        <v>2055-06-02T16:04:31.85339Z</v>
      </c>
      <c r="AF705" s="3" t="str">
        <f ca="1">IFERROR(__xludf.DUMMYFUNCTION("""COMPUTED_VALUE"""),"2055-06-02T16:31:14.995759Z")</f>
        <v>2055-06-02T16:31:14.995759Z</v>
      </c>
      <c r="AG705" s="3" t="str">
        <f ca="1">IFERROR(__xludf.DUMMYFUNCTION("""COMPUTED_VALUE"""),"2055-06-02T15:47:07.281974Z")</f>
        <v>2055-06-02T15:47:07.281974Z</v>
      </c>
      <c r="AH705" s="3" t="str">
        <f ca="1">IFERROR(__xludf.DUMMYFUNCTION("""COMPUTED_VALUE"""),"2055-06-02T16:05:07.653358Z")</f>
        <v>2055-06-02T16:05:07.653358Z</v>
      </c>
      <c r="AI705" s="3">
        <f ca="1">IFERROR(__xludf.DUMMYFUNCTION("""COMPUTED_VALUE"""),4.56)</f>
        <v>4.5599999999999996</v>
      </c>
      <c r="AJ705" s="3">
        <f ca="1">IFERROR(__xludf.DUMMYFUNCTION("""COMPUTED_VALUE"""),344)</f>
        <v>344</v>
      </c>
      <c r="AK705" s="3">
        <f ca="1">IFERROR(__xludf.DUMMYFUNCTION("""COMPUTED_VALUE"""),947)</f>
        <v>947</v>
      </c>
      <c r="AL705" s="3">
        <f ca="1">IFERROR(__xludf.DUMMYFUNCTION("""COMPUTED_VALUE"""),22)</f>
        <v>22</v>
      </c>
    </row>
    <row r="706" spans="1:38" ht="13">
      <c r="A706" s="3">
        <f ca="1">IFERROR(__xludf.DUMMYFUNCTION("""COMPUTED_VALUE"""),226)</f>
        <v>226</v>
      </c>
      <c r="B706" s="3"/>
      <c r="C706" s="3">
        <f ca="1">IFERROR(__xludf.DUMMYFUNCTION("""COMPUTED_VALUE"""),4001)</f>
        <v>4001</v>
      </c>
      <c r="D706" s="3" t="str">
        <f ca="1">IFERROR(__xludf.DUMMYFUNCTION("""COMPUTED_VALUE"""),"Dashattan")</f>
        <v>Dashattan</v>
      </c>
      <c r="E706" s="3" t="str">
        <f ca="1">IFERROR(__xludf.DUMMYFUNCTION("""COMPUTED_VALUE"""),"Galaxy A")</f>
        <v>Galaxy A</v>
      </c>
      <c r="F706" s="3" t="str">
        <f ca="1">IFERROR(__xludf.DUMMYFUNCTION("""COMPUTED_VALUE"""),"Bunje")</f>
        <v>Bunje</v>
      </c>
      <c r="G706" s="3">
        <f ca="1">IFERROR(__xludf.DUMMYFUNCTION("""COMPUTED_VALUE"""),0)</f>
        <v>0</v>
      </c>
      <c r="H706" s="3" t="str">
        <f ca="1">IFERROR(__xludf.DUMMYFUNCTION("""COMPUTED_VALUE"""),"bicycle")</f>
        <v>bicycle</v>
      </c>
      <c r="I706" s="3" t="str">
        <f ca="1">IFERROR(__xludf.DUMMYFUNCTION("""COMPUTED_VALUE"""),"2055-06-03T00:33:41.068334Z")</f>
        <v>2055-06-03T00:33:41.068334Z</v>
      </c>
      <c r="J706" s="3" t="str">
        <f ca="1">IFERROR(__xludf.DUMMYFUNCTION("""COMPUTED_VALUE"""),"2055-06-03T01:35:35.211Z")</f>
        <v>2055-06-03T01:35:35.211Z</v>
      </c>
      <c r="K706" s="3" t="str">
        <f ca="1">IFERROR(__xludf.DUMMYFUNCTION("""COMPUTED_VALUE"""),"2055-06-03T01:15:28.211Z")</f>
        <v>2055-06-03T01:15:28.211Z</v>
      </c>
      <c r="L706" s="3">
        <f ca="1">IFERROR(__xludf.DUMMYFUNCTION("""COMPUTED_VALUE"""),1)</f>
        <v>1</v>
      </c>
      <c r="M706" s="3">
        <f ca="1">IFERROR(__xludf.DUMMYFUNCTION("""COMPUTED_VALUE"""),0)</f>
        <v>0</v>
      </c>
      <c r="N706" s="3" t="str">
        <f ca="1">IFERROR(__xludf.DUMMYFUNCTION("""COMPUTED_VALUE"""),"2055-06-03T01:04:32.444148Z")</f>
        <v>2055-06-03T01:04:32.444148Z</v>
      </c>
      <c r="O706" s="3" t="str">
        <f ca="1">IFERROR(__xludf.DUMMYFUNCTION("""COMPUTED_VALUE"""),"2055-06-03T01:22:09.867017Z")</f>
        <v>2055-06-03T01:22:09.867017Z</v>
      </c>
      <c r="P706" s="3" t="str">
        <f ca="1">IFERROR(__xludf.DUMMYFUNCTION("""COMPUTED_VALUE"""),"2055-06-03T00:33:54.960579Z")</f>
        <v>2055-06-03T00:33:54.960579Z</v>
      </c>
      <c r="Q706" s="3">
        <f ca="1">IFERROR(__xludf.DUMMYFUNCTION("""COMPUTED_VALUE"""),0)</f>
        <v>0</v>
      </c>
      <c r="R706" s="3" t="str">
        <f ca="1">IFERROR(__xludf.DUMMYFUNCTION("""COMPUTED_VALUE"""),"2055-06-03T00:33:58.073138Z")</f>
        <v>2055-06-03T00:33:58.073138Z</v>
      </c>
      <c r="S706" s="3" t="str">
        <f ca="1">IFERROR(__xludf.DUMMYFUNCTION("""COMPUTED_VALUE"""),"2055-06-03T00:46:52.359848Z")</f>
        <v>2055-06-03T00:46:52.359848Z</v>
      </c>
      <c r="T706" s="3"/>
      <c r="U706" s="4">
        <f ca="1">IFERROR(__xludf.DUMMYFUNCTION("""COMPUTED_VALUE"""),56767)</f>
        <v>56767</v>
      </c>
      <c r="V706" s="3">
        <f ca="1">IFERROR(__xludf.DUMMYFUNCTION("""COMPUTED_VALUE"""),4.2)</f>
        <v>4.2</v>
      </c>
      <c r="W706" s="3">
        <f ca="1">IFERROR(__xludf.DUMMYFUNCTION("""COMPUTED_VALUE"""),2000)</f>
        <v>2000</v>
      </c>
      <c r="X706" s="3">
        <f ca="1">IFERROR(__xludf.DUMMYFUNCTION("""COMPUTED_VALUE"""),2891)</f>
        <v>2891</v>
      </c>
      <c r="Y706" s="3">
        <f ca="1">IFERROR(__xludf.DUMMYFUNCTION("""COMPUTED_VALUE"""),774)</f>
        <v>774</v>
      </c>
      <c r="Z706" s="3">
        <f ca="1">IFERROR(__xludf.DUMMYFUNCTION("""COMPUTED_VALUE"""),1060)</f>
        <v>1060</v>
      </c>
      <c r="AA706" s="3">
        <f ca="1">IFERROR(__xludf.DUMMYFUNCTION("""COMPUTED_VALUE"""),1057)</f>
        <v>1057</v>
      </c>
      <c r="AB706" s="3">
        <f ca="1">IFERROR(__xludf.DUMMYFUNCTION("""COMPUTED_VALUE"""),1)</f>
        <v>1</v>
      </c>
      <c r="AC706" s="3">
        <f ca="1">IFERROR(__xludf.DUMMYFUNCTION("""COMPUTED_VALUE"""),3)</f>
        <v>3</v>
      </c>
      <c r="AD706" s="3"/>
      <c r="AE706" s="3" t="str">
        <f ca="1">IFERROR(__xludf.DUMMYFUNCTION("""COMPUTED_VALUE"""),"2055-06-02T21:04:32.444148Z")</f>
        <v>2055-06-02T21:04:32.444148Z</v>
      </c>
      <c r="AF706" s="3" t="str">
        <f ca="1">IFERROR(__xludf.DUMMYFUNCTION("""COMPUTED_VALUE"""),"2055-06-02T21:22:09.867017Z")</f>
        <v>2055-06-02T21:22:09.867017Z</v>
      </c>
      <c r="AG706" s="3" t="str">
        <f ca="1">IFERROR(__xludf.DUMMYFUNCTION("""COMPUTED_VALUE"""),"2055-06-02T20:33:54.960579Z")</f>
        <v>2055-06-02T20:33:54.960579Z</v>
      </c>
      <c r="AH706" s="3" t="str">
        <f ca="1">IFERROR(__xludf.DUMMYFUNCTION("""COMPUTED_VALUE"""),"2055-06-02T20:46:52.359848Z")</f>
        <v>2055-06-02T20:46:52.359848Z</v>
      </c>
      <c r="AI706" s="3">
        <f ca="1">IFERROR(__xludf.DUMMYFUNCTION("""COMPUTED_VALUE"""),4.7)</f>
        <v>4.7</v>
      </c>
      <c r="AJ706" s="3">
        <f ca="1">IFERROR(__xludf.DUMMYFUNCTION("""COMPUTED_VALUE"""),443)</f>
        <v>443</v>
      </c>
      <c r="AK706" s="3">
        <f ca="1">IFERROR(__xludf.DUMMYFUNCTION("""COMPUTED_VALUE"""),1579)</f>
        <v>1579</v>
      </c>
      <c r="AL706" s="3"/>
    </row>
    <row r="707" spans="1:38" ht="13">
      <c r="A707" s="3">
        <f ca="1">IFERROR(__xludf.DUMMYFUNCTION("""COMPUTED_VALUE"""),875)</f>
        <v>875</v>
      </c>
      <c r="B707" s="3"/>
      <c r="C707" s="3">
        <f ca="1">IFERROR(__xludf.DUMMYFUNCTION("""COMPUTED_VALUE"""),4001)</f>
        <v>4001</v>
      </c>
      <c r="D707" s="3" t="str">
        <f ca="1">IFERROR(__xludf.DUMMYFUNCTION("""COMPUTED_VALUE"""),"Dashattan")</f>
        <v>Dashattan</v>
      </c>
      <c r="E707" s="3" t="str">
        <f ca="1">IFERROR(__xludf.DUMMYFUNCTION("""COMPUTED_VALUE"""),"Galaxy A")</f>
        <v>Galaxy A</v>
      </c>
      <c r="F707" s="3" t="str">
        <f ca="1">IFERROR(__xludf.DUMMYFUNCTION("""COMPUTED_VALUE"""),"Samm")</f>
        <v>Samm</v>
      </c>
      <c r="G707" s="3">
        <f ca="1">IFERROR(__xludf.DUMMYFUNCTION("""COMPUTED_VALUE"""),0)</f>
        <v>0</v>
      </c>
      <c r="H707" s="3" t="str">
        <f ca="1">IFERROR(__xludf.DUMMYFUNCTION("""COMPUTED_VALUE"""),"car")</f>
        <v>car</v>
      </c>
      <c r="I707" s="3" t="str">
        <f ca="1">IFERROR(__xludf.DUMMYFUNCTION("""COMPUTED_VALUE"""),"2055-06-07T21:38:44.95522Z")</f>
        <v>2055-06-07T21:38:44.95522Z</v>
      </c>
      <c r="J707" s="3" t="str">
        <f ca="1">IFERROR(__xludf.DUMMYFUNCTION("""COMPUTED_VALUE"""),"2055-06-07T22:30:13.766Z")</f>
        <v>2055-06-07T22:30:13.766Z</v>
      </c>
      <c r="K707" s="3" t="str">
        <f ca="1">IFERROR(__xludf.DUMMYFUNCTION("""COMPUTED_VALUE"""),"2055-06-07T22:11:20.766Z")</f>
        <v>2055-06-07T22:11:20.766Z</v>
      </c>
      <c r="L707" s="3">
        <f ca="1">IFERROR(__xludf.DUMMYFUNCTION("""COMPUTED_VALUE"""),1)</f>
        <v>1</v>
      </c>
      <c r="M707" s="3">
        <f ca="1">IFERROR(__xludf.DUMMYFUNCTION("""COMPUTED_VALUE"""),0)</f>
        <v>0</v>
      </c>
      <c r="N707" s="3" t="str">
        <f ca="1">IFERROR(__xludf.DUMMYFUNCTION("""COMPUTED_VALUE"""),"2055-06-07T22:00:01.520383Z")</f>
        <v>2055-06-07T22:00:01.520383Z</v>
      </c>
      <c r="O707" s="3" t="str">
        <f ca="1">IFERROR(__xludf.DUMMYFUNCTION("""COMPUTED_VALUE"""),"2055-06-07T22:13:59.816017Z")</f>
        <v>2055-06-07T22:13:59.816017Z</v>
      </c>
      <c r="P707" s="3" t="str">
        <f ca="1">IFERROR(__xludf.DUMMYFUNCTION("""COMPUTED_VALUE"""),"2055-06-07T21:42:54.240344Z")</f>
        <v>2055-06-07T21:42:54.240344Z</v>
      </c>
      <c r="Q707" s="3">
        <f ca="1">IFERROR(__xludf.DUMMYFUNCTION("""COMPUTED_VALUE"""),0)</f>
        <v>0</v>
      </c>
      <c r="R707" s="3" t="str">
        <f ca="1">IFERROR(__xludf.DUMMYFUNCTION("""COMPUTED_VALUE"""),"2055-06-07T21:43:04.473798Z")</f>
        <v>2055-06-07T21:43:04.473798Z</v>
      </c>
      <c r="S707" s="3" t="str">
        <f ca="1">IFERROR(__xludf.DUMMYFUNCTION("""COMPUTED_VALUE"""),"2055-06-07T21:49:53.058815Z")</f>
        <v>2055-06-07T21:49:53.058815Z</v>
      </c>
      <c r="T707" s="3"/>
      <c r="U707" s="4">
        <f ca="1">IFERROR(__xludf.DUMMYFUNCTION("""COMPUTED_VALUE"""),56772)</f>
        <v>56772</v>
      </c>
      <c r="V707" s="3">
        <f ca="1">IFERROR(__xludf.DUMMYFUNCTION("""COMPUTED_VALUE"""),4.6)</f>
        <v>4.5999999999999996</v>
      </c>
      <c r="W707" s="3">
        <f ca="1">IFERROR(__xludf.DUMMYFUNCTION("""COMPUTED_VALUE"""),2000)</f>
        <v>2000</v>
      </c>
      <c r="X707" s="3">
        <f ca="1">IFERROR(__xludf.DUMMYFUNCTION("""COMPUTED_VALUE"""),1855)</f>
        <v>1855</v>
      </c>
      <c r="Y707" s="3">
        <f ca="1">IFERROR(__xludf.DUMMYFUNCTION("""COMPUTED_VALUE"""),409)</f>
        <v>409</v>
      </c>
      <c r="Z707" s="3">
        <f ca="1">IFERROR(__xludf.DUMMYFUNCTION("""COMPUTED_VALUE"""),608)</f>
        <v>608</v>
      </c>
      <c r="AA707" s="3">
        <f ca="1">IFERROR(__xludf.DUMMYFUNCTION("""COMPUTED_VALUE"""),838)</f>
        <v>838</v>
      </c>
      <c r="AB707" s="3">
        <f ca="1">IFERROR(__xludf.DUMMYFUNCTION("""COMPUTED_VALUE"""),0)</f>
        <v>0</v>
      </c>
      <c r="AC707" s="3">
        <f ca="1">IFERROR(__xludf.DUMMYFUNCTION("""COMPUTED_VALUE"""),3)</f>
        <v>3</v>
      </c>
      <c r="AD707" s="3" t="str">
        <f ca="1">IFERROR(__xludf.DUMMYFUNCTION("""COMPUTED_VALUE"""),"on time")</f>
        <v>on time</v>
      </c>
      <c r="AE707" s="3" t="str">
        <f ca="1">IFERROR(__xludf.DUMMYFUNCTION("""COMPUTED_VALUE"""),"2055-06-07T18:00:01.520383Z")</f>
        <v>2055-06-07T18:00:01.520383Z</v>
      </c>
      <c r="AF707" s="3" t="str">
        <f ca="1">IFERROR(__xludf.DUMMYFUNCTION("""COMPUTED_VALUE"""),"2055-06-07T18:13:59.816017Z")</f>
        <v>2055-06-07T18:13:59.816017Z</v>
      </c>
      <c r="AG707" s="3" t="str">
        <f ca="1">IFERROR(__xludf.DUMMYFUNCTION("""COMPUTED_VALUE"""),"2055-06-07T17:42:54.240344Z")</f>
        <v>2055-06-07T17:42:54.240344Z</v>
      </c>
      <c r="AH707" s="3" t="str">
        <f ca="1">IFERROR(__xludf.DUMMYFUNCTION("""COMPUTED_VALUE"""),"2055-06-07T17:49:53.058815Z")</f>
        <v>2055-06-07T17:49:53.058815Z</v>
      </c>
      <c r="AI707" s="3">
        <f ca="1">IFERROR(__xludf.DUMMYFUNCTION("""COMPUTED_VALUE"""),4.03)</f>
        <v>4.03</v>
      </c>
      <c r="AJ707" s="3">
        <f ca="1">IFERROR(__xludf.DUMMYFUNCTION("""COMPUTED_VALUE"""),505)</f>
        <v>505</v>
      </c>
      <c r="AK707" s="3">
        <f ca="1">IFERROR(__xludf.DUMMYFUNCTION("""COMPUTED_VALUE"""),1721)</f>
        <v>1721</v>
      </c>
      <c r="AL707" s="3">
        <f ca="1">IFERROR(__xludf.DUMMYFUNCTION("""COMPUTED_VALUE"""),457)</f>
        <v>457</v>
      </c>
    </row>
    <row r="708" spans="1:38" ht="13">
      <c r="A708" s="3">
        <f ca="1">IFERROR(__xludf.DUMMYFUNCTION("""COMPUTED_VALUE"""),8)</f>
        <v>8</v>
      </c>
      <c r="B708" s="3"/>
      <c r="C708" s="3">
        <f ca="1">IFERROR(__xludf.DUMMYFUNCTION("""COMPUTED_VALUE"""),4050)</f>
        <v>4050</v>
      </c>
      <c r="D708" s="3" t="str">
        <f ca="1">IFERROR(__xludf.DUMMYFUNCTION("""COMPUTED_VALUE"""),"Doorlanta")</f>
        <v>Doorlanta</v>
      </c>
      <c r="E708" s="3" t="str">
        <f ca="1">IFERROR(__xludf.DUMMYFUNCTION("""COMPUTED_VALUE"""),"Galaxy A")</f>
        <v>Galaxy A</v>
      </c>
      <c r="F708" s="3" t="str">
        <f ca="1">IFERROR(__xludf.DUMMYFUNCTION("""COMPUTED_VALUE"""),"Hersh")</f>
        <v>Hersh</v>
      </c>
      <c r="G708" s="3">
        <f ca="1">IFERROR(__xludf.DUMMYFUNCTION("""COMPUTED_VALUE"""),0)</f>
        <v>0</v>
      </c>
      <c r="H708" s="3" t="str">
        <f ca="1">IFERROR(__xludf.DUMMYFUNCTION("""COMPUTED_VALUE"""),"car")</f>
        <v>car</v>
      </c>
      <c r="I708" s="3" t="str">
        <f ca="1">IFERROR(__xludf.DUMMYFUNCTION("""COMPUTED_VALUE"""),"2055-06-01T15:08:49.133232Z")</f>
        <v>2055-06-01T15:08:49.133232Z</v>
      </c>
      <c r="J708" s="3" t="str">
        <f ca="1">IFERROR(__xludf.DUMMYFUNCTION("""COMPUTED_VALUE"""),"2055-06-01T16:00:24.193Z")</f>
        <v>2055-06-01T16:00:24.193Z</v>
      </c>
      <c r="K708" s="3" t="str">
        <f ca="1">IFERROR(__xludf.DUMMYFUNCTION("""COMPUTED_VALUE"""),"2055-06-01T15:56:31.193Z")</f>
        <v>2055-06-01T15:56:31.193Z</v>
      </c>
      <c r="L708" s="3">
        <f ca="1">IFERROR(__xludf.DUMMYFUNCTION("""COMPUTED_VALUE"""),1)</f>
        <v>1</v>
      </c>
      <c r="M708" s="3">
        <f ca="1">IFERROR(__xludf.DUMMYFUNCTION("""COMPUTED_VALUE"""),0)</f>
        <v>0</v>
      </c>
      <c r="N708" s="3" t="str">
        <f ca="1">IFERROR(__xludf.DUMMYFUNCTION("""COMPUTED_VALUE"""),"2055-06-01T15:28:53.277388Z")</f>
        <v>2055-06-01T15:28:53.277388Z</v>
      </c>
      <c r="O708" s="3" t="str">
        <f ca="1">IFERROR(__xludf.DUMMYFUNCTION("""COMPUTED_VALUE"""),"2055-06-01T15:52:13.077682Z")</f>
        <v>2055-06-01T15:52:13.077682Z</v>
      </c>
      <c r="P708" s="3" t="str">
        <f ca="1">IFERROR(__xludf.DUMMYFUNCTION("""COMPUTED_VALUE"""),"2055-06-01T15:09:07.245574Z")</f>
        <v>2055-06-01T15:09:07.245574Z</v>
      </c>
      <c r="Q708" s="3">
        <f ca="1">IFERROR(__xludf.DUMMYFUNCTION("""COMPUTED_VALUE"""),0)</f>
        <v>0</v>
      </c>
      <c r="R708" s="3" t="str">
        <f ca="1">IFERROR(__xludf.DUMMYFUNCTION("""COMPUTED_VALUE"""),"2055-06-01T15:09:40.024803Z")</f>
        <v>2055-06-01T15:09:40.024803Z</v>
      </c>
      <c r="S708" s="3"/>
      <c r="T708" s="3"/>
      <c r="U708" s="4">
        <f ca="1">IFERROR(__xludf.DUMMYFUNCTION("""COMPUTED_VALUE"""),56766)</f>
        <v>56766</v>
      </c>
      <c r="V708" s="3">
        <f ca="1">IFERROR(__xludf.DUMMYFUNCTION("""COMPUTED_VALUE"""),4.5)</f>
        <v>4.5</v>
      </c>
      <c r="W708" s="3">
        <f ca="1">IFERROR(__xludf.DUMMYFUNCTION("""COMPUTED_VALUE"""),2000)</f>
        <v>2000</v>
      </c>
      <c r="X708" s="3">
        <f ca="1">IFERROR(__xludf.DUMMYFUNCTION("""COMPUTED_VALUE"""),2553)</f>
        <v>2553</v>
      </c>
      <c r="Y708" s="3"/>
      <c r="Z708" s="3"/>
      <c r="AA708" s="3">
        <f ca="1">IFERROR(__xludf.DUMMYFUNCTION("""COMPUTED_VALUE"""),1400)</f>
        <v>1400</v>
      </c>
      <c r="AB708" s="3">
        <f ca="1">IFERROR(__xludf.DUMMYFUNCTION("""COMPUTED_VALUE"""),0)</f>
        <v>0</v>
      </c>
      <c r="AC708" s="3">
        <f ca="1">IFERROR(__xludf.DUMMYFUNCTION("""COMPUTED_VALUE"""),4)</f>
        <v>4</v>
      </c>
      <c r="AD708" s="3"/>
      <c r="AE708" s="3" t="str">
        <f ca="1">IFERROR(__xludf.DUMMYFUNCTION("""COMPUTED_VALUE"""),"2055-06-01T11:28:53.277388Z")</f>
        <v>2055-06-01T11:28:53.277388Z</v>
      </c>
      <c r="AF708" s="3" t="str">
        <f ca="1">IFERROR(__xludf.DUMMYFUNCTION("""COMPUTED_VALUE"""),"2055-06-01T11:52:13.077682Z")</f>
        <v>2055-06-01T11:52:13.077682Z</v>
      </c>
      <c r="AG708" s="3" t="str">
        <f ca="1">IFERROR(__xludf.DUMMYFUNCTION("""COMPUTED_VALUE"""),"2055-06-01T11:09:07.245574Z")</f>
        <v>2055-06-01T11:09:07.245574Z</v>
      </c>
      <c r="AH708" s="3"/>
      <c r="AI708" s="3">
        <f ca="1">IFERROR(__xludf.DUMMYFUNCTION("""COMPUTED_VALUE"""),4.7)</f>
        <v>4.7</v>
      </c>
      <c r="AJ708" s="3">
        <f ca="1">IFERROR(__xludf.DUMMYFUNCTION("""COMPUTED_VALUE"""),212)</f>
        <v>212</v>
      </c>
      <c r="AK708" s="3">
        <f ca="1">IFERROR(__xludf.DUMMYFUNCTION("""COMPUTED_VALUE"""),624)</f>
        <v>624</v>
      </c>
      <c r="AL708" s="3">
        <f ca="1">IFERROR(__xludf.DUMMYFUNCTION("""COMPUTED_VALUE"""),347)</f>
        <v>347</v>
      </c>
    </row>
    <row r="709" spans="1:38" ht="13">
      <c r="A709" s="3">
        <f ca="1">IFERROR(__xludf.DUMMYFUNCTION("""COMPUTED_VALUE"""),160)</f>
        <v>160</v>
      </c>
      <c r="B709" s="3">
        <f ca="1">IFERROR(__xludf.DUMMYFUNCTION("""COMPUTED_VALUE"""),5)</f>
        <v>5</v>
      </c>
      <c r="C709" s="3">
        <f ca="1">IFERROR(__xludf.DUMMYFUNCTION("""COMPUTED_VALUE"""),4050)</f>
        <v>4050</v>
      </c>
      <c r="D709" s="3" t="str">
        <f ca="1">IFERROR(__xludf.DUMMYFUNCTION("""COMPUTED_VALUE"""),"Doorlanta")</f>
        <v>Doorlanta</v>
      </c>
      <c r="E709" s="3" t="str">
        <f ca="1">IFERROR(__xludf.DUMMYFUNCTION("""COMPUTED_VALUE"""),"Galaxy A")</f>
        <v>Galaxy A</v>
      </c>
      <c r="F709" s="3" t="str">
        <f ca="1">IFERROR(__xludf.DUMMYFUNCTION("""COMPUTED_VALUE"""),"Joe")</f>
        <v>Joe</v>
      </c>
      <c r="G709" s="3">
        <f ca="1">IFERROR(__xludf.DUMMYFUNCTION("""COMPUTED_VALUE"""),0)</f>
        <v>0</v>
      </c>
      <c r="H709" s="3" t="str">
        <f ca="1">IFERROR(__xludf.DUMMYFUNCTION("""COMPUTED_VALUE"""),"car")</f>
        <v>car</v>
      </c>
      <c r="I709" s="3" t="str">
        <f ca="1">IFERROR(__xludf.DUMMYFUNCTION("""COMPUTED_VALUE"""),"2055-06-02T19:59:56.800228Z")</f>
        <v>2055-06-02T19:59:56.800228Z</v>
      </c>
      <c r="J709" s="3" t="str">
        <f ca="1">IFERROR(__xludf.DUMMYFUNCTION("""COMPUTED_VALUE"""),"2055-06-02T20:54:56.865Z")</f>
        <v>2055-06-02T20:54:56.865Z</v>
      </c>
      <c r="K709" s="3" t="str">
        <f ca="1">IFERROR(__xludf.DUMMYFUNCTION("""COMPUTED_VALUE"""),"2055-06-02T20:33:07.865Z")</f>
        <v>2055-06-02T20:33:07.865Z</v>
      </c>
      <c r="L709" s="3">
        <f ca="1">IFERROR(__xludf.DUMMYFUNCTION("""COMPUTED_VALUE"""),1)</f>
        <v>1</v>
      </c>
      <c r="M709" s="3">
        <f ca="1">IFERROR(__xludf.DUMMYFUNCTION("""COMPUTED_VALUE"""),0)</f>
        <v>0</v>
      </c>
      <c r="N709" s="3" t="str">
        <f ca="1">IFERROR(__xludf.DUMMYFUNCTION("""COMPUTED_VALUE"""),"2055-06-02T20:27:18.926547Z")</f>
        <v>2055-06-02T20:27:18.926547Z</v>
      </c>
      <c r="O709" s="3" t="str">
        <f ca="1">IFERROR(__xludf.DUMMYFUNCTION("""COMPUTED_VALUE"""),"2055-06-02T20:47:32.485701Z")</f>
        <v>2055-06-02T20:47:32.485701Z</v>
      </c>
      <c r="P709" s="3" t="str">
        <f ca="1">IFERROR(__xludf.DUMMYFUNCTION("""COMPUTED_VALUE"""),"2055-06-02T20:06:27.24627Z")</f>
        <v>2055-06-02T20:06:27.24627Z</v>
      </c>
      <c r="Q709" s="3">
        <f ca="1">IFERROR(__xludf.DUMMYFUNCTION("""COMPUTED_VALUE"""),0)</f>
        <v>0</v>
      </c>
      <c r="R709" s="3" t="str">
        <f ca="1">IFERROR(__xludf.DUMMYFUNCTION("""COMPUTED_VALUE"""),"2055-06-02T20:06:36.074923Z")</f>
        <v>2055-06-02T20:06:36.074923Z</v>
      </c>
      <c r="S709" s="3" t="str">
        <f ca="1">IFERROR(__xludf.DUMMYFUNCTION("""COMPUTED_VALUE"""),"2055-06-02T20:27:13.330357Z")</f>
        <v>2055-06-02T20:27:13.330357Z</v>
      </c>
      <c r="T709" s="3"/>
      <c r="U709" s="4">
        <f ca="1">IFERROR(__xludf.DUMMYFUNCTION("""COMPUTED_VALUE"""),56767)</f>
        <v>56767</v>
      </c>
      <c r="V709" s="3">
        <f ca="1">IFERROR(__xludf.DUMMYFUNCTION("""COMPUTED_VALUE"""),4.6)</f>
        <v>4.5999999999999996</v>
      </c>
      <c r="W709" s="3">
        <f ca="1">IFERROR(__xludf.DUMMYFUNCTION("""COMPUTED_VALUE"""),2000)</f>
        <v>2000</v>
      </c>
      <c r="X709" s="3">
        <f ca="1">IFERROR(__xludf.DUMMYFUNCTION("""COMPUTED_VALUE"""),2456)</f>
        <v>2456</v>
      </c>
      <c r="Y709" s="3">
        <f ca="1">IFERROR(__xludf.DUMMYFUNCTION("""COMPUTED_VALUE"""),1237)</f>
        <v>1237</v>
      </c>
      <c r="Z709" s="3">
        <f ca="1">IFERROR(__xludf.DUMMYFUNCTION("""COMPUTED_VALUE"""),5)</f>
        <v>5</v>
      </c>
      <c r="AA709" s="3">
        <f ca="1">IFERROR(__xludf.DUMMYFUNCTION("""COMPUTED_VALUE"""),1214)</f>
        <v>1214</v>
      </c>
      <c r="AB709" s="3">
        <f ca="1">IFERROR(__xludf.DUMMYFUNCTION("""COMPUTED_VALUE"""),0)</f>
        <v>0</v>
      </c>
      <c r="AC709" s="3">
        <f ca="1">IFERROR(__xludf.DUMMYFUNCTION("""COMPUTED_VALUE"""),1)</f>
        <v>1</v>
      </c>
      <c r="AD709" s="3" t="str">
        <f ca="1">IFERROR(__xludf.DUMMYFUNCTION("""COMPUTED_VALUE"""),"late")</f>
        <v>late</v>
      </c>
      <c r="AE709" s="3" t="str">
        <f ca="1">IFERROR(__xludf.DUMMYFUNCTION("""COMPUTED_VALUE"""),"2055-06-02T16:27:18.926547Z")</f>
        <v>2055-06-02T16:27:18.926547Z</v>
      </c>
      <c r="AF709" s="3" t="str">
        <f ca="1">IFERROR(__xludf.DUMMYFUNCTION("""COMPUTED_VALUE"""),"2055-06-02T16:47:32.485701Z")</f>
        <v>2055-06-02T16:47:32.485701Z</v>
      </c>
      <c r="AG709" s="3" t="str">
        <f ca="1">IFERROR(__xludf.DUMMYFUNCTION("""COMPUTED_VALUE"""),"2055-06-02T16:06:27.24627Z")</f>
        <v>2055-06-02T16:06:27.24627Z</v>
      </c>
      <c r="AH709" s="3" t="str">
        <f ca="1">IFERROR(__xludf.DUMMYFUNCTION("""COMPUTED_VALUE"""),"2055-06-02T16:27:13.330357Z")</f>
        <v>2055-06-02T16:27:13.330357Z</v>
      </c>
      <c r="AI709" s="3">
        <f ca="1">IFERROR(__xludf.DUMMYFUNCTION("""COMPUTED_VALUE"""),4.38)</f>
        <v>4.38</v>
      </c>
      <c r="AJ709" s="3">
        <f ca="1">IFERROR(__xludf.DUMMYFUNCTION("""COMPUTED_VALUE"""),196)</f>
        <v>196</v>
      </c>
      <c r="AK709" s="3">
        <f ca="1">IFERROR(__xludf.DUMMYFUNCTION("""COMPUTED_VALUE"""),626)</f>
        <v>626</v>
      </c>
      <c r="AL709" s="3"/>
    </row>
    <row r="710" spans="1:38" ht="13">
      <c r="A710" s="3">
        <f ca="1">IFERROR(__xludf.DUMMYFUNCTION("""COMPUTED_VALUE"""),336)</f>
        <v>336</v>
      </c>
      <c r="B710" s="3"/>
      <c r="C710" s="3">
        <f ca="1">IFERROR(__xludf.DUMMYFUNCTION("""COMPUTED_VALUE"""),4001)</f>
        <v>4001</v>
      </c>
      <c r="D710" s="3" t="str">
        <f ca="1">IFERROR(__xludf.DUMMYFUNCTION("""COMPUTED_VALUE"""),"Dashattan")</f>
        <v>Dashattan</v>
      </c>
      <c r="E710" s="3" t="str">
        <f ca="1">IFERROR(__xludf.DUMMYFUNCTION("""COMPUTED_VALUE"""),"Galaxy A")</f>
        <v>Galaxy A</v>
      </c>
      <c r="F710" s="3" t="str">
        <f ca="1">IFERROR(__xludf.DUMMYFUNCTION("""COMPUTED_VALUE"""),"Samm")</f>
        <v>Samm</v>
      </c>
      <c r="G710" s="3">
        <f ca="1">IFERROR(__xludf.DUMMYFUNCTION("""COMPUTED_VALUE"""),0)</f>
        <v>0</v>
      </c>
      <c r="H710" s="3" t="str">
        <f ca="1">IFERROR(__xludf.DUMMYFUNCTION("""COMPUTED_VALUE"""),"car")</f>
        <v>car</v>
      </c>
      <c r="I710" s="3" t="str">
        <f ca="1">IFERROR(__xludf.DUMMYFUNCTION("""COMPUTED_VALUE"""),"2055-06-03T21:47:53.215933Z")</f>
        <v>2055-06-03T21:47:53.215933Z</v>
      </c>
      <c r="J710" s="3" t="str">
        <f ca="1">IFERROR(__xludf.DUMMYFUNCTION("""COMPUTED_VALUE"""),"2055-06-03T22:40:11.311Z")</f>
        <v>2055-06-03T22:40:11.311Z</v>
      </c>
      <c r="K710" s="3" t="str">
        <f ca="1">IFERROR(__xludf.DUMMYFUNCTION("""COMPUTED_VALUE"""),"2055-06-03T22:21:18.311Z")</f>
        <v>2055-06-03T22:21:18.311Z</v>
      </c>
      <c r="L710" s="3">
        <f ca="1">IFERROR(__xludf.DUMMYFUNCTION("""COMPUTED_VALUE"""),1)</f>
        <v>1</v>
      </c>
      <c r="M710" s="3">
        <f ca="1">IFERROR(__xludf.DUMMYFUNCTION("""COMPUTED_VALUE"""),0)</f>
        <v>0</v>
      </c>
      <c r="N710" s="3" t="str">
        <f ca="1">IFERROR(__xludf.DUMMYFUNCTION("""COMPUTED_VALUE"""),"2055-06-03T22:16:03.790421Z")</f>
        <v>2055-06-03T22:16:03.790421Z</v>
      </c>
      <c r="O710" s="3" t="str">
        <f ca="1">IFERROR(__xludf.DUMMYFUNCTION("""COMPUTED_VALUE"""),"2055-06-03T22:36:16.190027Z")</f>
        <v>2055-06-03T22:36:16.190027Z</v>
      </c>
      <c r="P710" s="3" t="str">
        <f ca="1">IFERROR(__xludf.DUMMYFUNCTION("""COMPUTED_VALUE"""),"2055-06-03T21:54:14.443978Z")</f>
        <v>2055-06-03T21:54:14.443978Z</v>
      </c>
      <c r="Q710" s="3">
        <f ca="1">IFERROR(__xludf.DUMMYFUNCTION("""COMPUTED_VALUE"""),0)</f>
        <v>0</v>
      </c>
      <c r="R710" s="3" t="str">
        <f ca="1">IFERROR(__xludf.DUMMYFUNCTION("""COMPUTED_VALUE"""),"2055-06-03T21:54:25.422981Z")</f>
        <v>2055-06-03T21:54:25.422981Z</v>
      </c>
      <c r="S710" s="3" t="str">
        <f ca="1">IFERROR(__xludf.DUMMYFUNCTION("""COMPUTED_VALUE"""),"2055-06-03T22:13:37.280283Z")</f>
        <v>2055-06-03T22:13:37.280283Z</v>
      </c>
      <c r="T710" s="3"/>
      <c r="U710" s="4">
        <f ca="1">IFERROR(__xludf.DUMMYFUNCTION("""COMPUTED_VALUE"""),56768)</f>
        <v>56768</v>
      </c>
      <c r="V710" s="3">
        <f ca="1">IFERROR(__xludf.DUMMYFUNCTION("""COMPUTED_VALUE"""),4.3)</f>
        <v>4.3</v>
      </c>
      <c r="W710" s="3">
        <f ca="1">IFERROR(__xludf.DUMMYFUNCTION("""COMPUTED_VALUE"""),2000)</f>
        <v>2000</v>
      </c>
      <c r="X710" s="3">
        <f ca="1">IFERROR(__xludf.DUMMYFUNCTION("""COMPUTED_VALUE"""),2511)</f>
        <v>2511</v>
      </c>
      <c r="Y710" s="3">
        <f ca="1">IFERROR(__xludf.DUMMYFUNCTION("""COMPUTED_VALUE"""),1152)</f>
        <v>1152</v>
      </c>
      <c r="Z710" s="3">
        <f ca="1">IFERROR(__xludf.DUMMYFUNCTION("""COMPUTED_VALUE"""),146)</f>
        <v>146</v>
      </c>
      <c r="AA710" s="3">
        <f ca="1">IFERROR(__xludf.DUMMYFUNCTION("""COMPUTED_VALUE"""),1213)</f>
        <v>1213</v>
      </c>
      <c r="AB710" s="3">
        <f ca="1">IFERROR(__xludf.DUMMYFUNCTION("""COMPUTED_VALUE"""),0)</f>
        <v>0</v>
      </c>
      <c r="AC710" s="3">
        <f ca="1">IFERROR(__xludf.DUMMYFUNCTION("""COMPUTED_VALUE"""),1)</f>
        <v>1</v>
      </c>
      <c r="AD710" s="3"/>
      <c r="AE710" s="3" t="str">
        <f ca="1">IFERROR(__xludf.DUMMYFUNCTION("""COMPUTED_VALUE"""),"2055-06-03T18:16:03.790421Z")</f>
        <v>2055-06-03T18:16:03.790421Z</v>
      </c>
      <c r="AF710" s="3" t="str">
        <f ca="1">IFERROR(__xludf.DUMMYFUNCTION("""COMPUTED_VALUE"""),"2055-06-03T18:36:16.190027Z")</f>
        <v>2055-06-03T18:36:16.190027Z</v>
      </c>
      <c r="AG710" s="3" t="str">
        <f ca="1">IFERROR(__xludf.DUMMYFUNCTION("""COMPUTED_VALUE"""),"2055-06-03T17:54:14.443978Z")</f>
        <v>2055-06-03T17:54:14.443978Z</v>
      </c>
      <c r="AH710" s="3" t="str">
        <f ca="1">IFERROR(__xludf.DUMMYFUNCTION("""COMPUTED_VALUE"""),"2055-06-03T18:13:37.280283Z")</f>
        <v>2055-06-03T18:13:37.280283Z</v>
      </c>
      <c r="AI710" s="3">
        <f ca="1">IFERROR(__xludf.DUMMYFUNCTION("""COMPUTED_VALUE"""),4.03)</f>
        <v>4.03</v>
      </c>
      <c r="AJ710" s="3">
        <f ca="1">IFERROR(__xludf.DUMMYFUNCTION("""COMPUTED_VALUE"""),505)</f>
        <v>505</v>
      </c>
      <c r="AK710" s="3">
        <f ca="1">IFERROR(__xludf.DUMMYFUNCTION("""COMPUTED_VALUE"""),1721)</f>
        <v>1721</v>
      </c>
      <c r="AL710" s="3">
        <f ca="1">IFERROR(__xludf.DUMMYFUNCTION("""COMPUTED_VALUE"""),457)</f>
        <v>457</v>
      </c>
    </row>
    <row r="711" spans="1:38" ht="13">
      <c r="A711" s="3">
        <f ca="1">IFERROR(__xludf.DUMMYFUNCTION("""COMPUTED_VALUE"""),952)</f>
        <v>952</v>
      </c>
      <c r="B711" s="3">
        <f ca="1">IFERROR(__xludf.DUMMYFUNCTION("""COMPUTED_VALUE"""),5)</f>
        <v>5</v>
      </c>
      <c r="C711" s="3">
        <f ca="1">IFERROR(__xludf.DUMMYFUNCTION("""COMPUTED_VALUE"""),4050)</f>
        <v>4050</v>
      </c>
      <c r="D711" s="3" t="str">
        <f ca="1">IFERROR(__xludf.DUMMYFUNCTION("""COMPUTED_VALUE"""),"Doorlanta")</f>
        <v>Doorlanta</v>
      </c>
      <c r="E711" s="3" t="str">
        <f ca="1">IFERROR(__xludf.DUMMYFUNCTION("""COMPUTED_VALUE"""),"Galaxy A")</f>
        <v>Galaxy A</v>
      </c>
      <c r="F711" s="3" t="str">
        <f ca="1">IFERROR(__xludf.DUMMYFUNCTION("""COMPUTED_VALUE"""),"Lauran")</f>
        <v>Lauran</v>
      </c>
      <c r="G711" s="3">
        <f ca="1">IFERROR(__xludf.DUMMYFUNCTION("""COMPUTED_VALUE"""),0)</f>
        <v>0</v>
      </c>
      <c r="H711" s="3" t="str">
        <f ca="1">IFERROR(__xludf.DUMMYFUNCTION("""COMPUTED_VALUE"""),"car")</f>
        <v>car</v>
      </c>
      <c r="I711" s="3" t="str">
        <f ca="1">IFERROR(__xludf.DUMMYFUNCTION("""COMPUTED_VALUE"""),"2055-06-08T17:28:10.712209Z")</f>
        <v>2055-06-08T17:28:10.712209Z</v>
      </c>
      <c r="J711" s="3" t="str">
        <f ca="1">IFERROR(__xludf.DUMMYFUNCTION("""COMPUTED_VALUE"""),"2055-06-08T18:23:43.819Z")</f>
        <v>2055-06-08T18:23:43.819Z</v>
      </c>
      <c r="K711" s="3" t="str">
        <f ca="1">IFERROR(__xludf.DUMMYFUNCTION("""COMPUTED_VALUE"""),"2055-06-08T18:03:36.819Z")</f>
        <v>2055-06-08T18:03:36.819Z</v>
      </c>
      <c r="L711" s="3">
        <f ca="1">IFERROR(__xludf.DUMMYFUNCTION("""COMPUTED_VALUE"""),1)</f>
        <v>1</v>
      </c>
      <c r="M711" s="3">
        <f ca="1">IFERROR(__xludf.DUMMYFUNCTION("""COMPUTED_VALUE"""),0)</f>
        <v>0</v>
      </c>
      <c r="N711" s="3" t="str">
        <f ca="1">IFERROR(__xludf.DUMMYFUNCTION("""COMPUTED_VALUE"""),"2055-06-08T17:47:27.291557Z")</f>
        <v>2055-06-08T17:47:27.291557Z</v>
      </c>
      <c r="O711" s="3" t="str">
        <f ca="1">IFERROR(__xludf.DUMMYFUNCTION("""COMPUTED_VALUE"""),"2055-06-08T17:57:00.715329Z")</f>
        <v>2055-06-08T17:57:00.715329Z</v>
      </c>
      <c r="P711" s="3" t="str">
        <f ca="1">IFERROR(__xludf.DUMMYFUNCTION("""COMPUTED_VALUE"""),"2055-06-08T17:28:27.250652Z")</f>
        <v>2055-06-08T17:28:27.250652Z</v>
      </c>
      <c r="Q711" s="3">
        <f ca="1">IFERROR(__xludf.DUMMYFUNCTION("""COMPUTED_VALUE"""),0)</f>
        <v>0</v>
      </c>
      <c r="R711" s="3" t="str">
        <f ca="1">IFERROR(__xludf.DUMMYFUNCTION("""COMPUTED_VALUE"""),"2055-06-08T17:28:32.84279Z")</f>
        <v>2055-06-08T17:28:32.84279Z</v>
      </c>
      <c r="S711" s="3" t="str">
        <f ca="1">IFERROR(__xludf.DUMMYFUNCTION("""COMPUTED_VALUE"""),"2055-06-08T17:45:52.007864Z")</f>
        <v>2055-06-08T17:45:52.007864Z</v>
      </c>
      <c r="T711" s="3"/>
      <c r="U711" s="4">
        <f ca="1">IFERROR(__xludf.DUMMYFUNCTION("""COMPUTED_VALUE"""),56773)</f>
        <v>56773</v>
      </c>
      <c r="V711" s="3">
        <f ca="1">IFERROR(__xludf.DUMMYFUNCTION("""COMPUTED_VALUE"""),4.5)</f>
        <v>4.5</v>
      </c>
      <c r="W711" s="3">
        <f ca="1">IFERROR(__xludf.DUMMYFUNCTION("""COMPUTED_VALUE"""),2000)</f>
        <v>2000</v>
      </c>
      <c r="X711" s="3">
        <f ca="1">IFERROR(__xludf.DUMMYFUNCTION("""COMPUTED_VALUE"""),1708)</f>
        <v>1708</v>
      </c>
      <c r="Y711" s="3">
        <f ca="1">IFERROR(__xludf.DUMMYFUNCTION("""COMPUTED_VALUE"""),1040)</f>
        <v>1040</v>
      </c>
      <c r="Z711" s="3">
        <f ca="1">IFERROR(__xludf.DUMMYFUNCTION("""COMPUTED_VALUE"""),95)</f>
        <v>95</v>
      </c>
      <c r="AA711" s="3">
        <f ca="1">IFERROR(__xludf.DUMMYFUNCTION("""COMPUTED_VALUE"""),573)</f>
        <v>573</v>
      </c>
      <c r="AB711" s="3">
        <f ca="1">IFERROR(__xludf.DUMMYFUNCTION("""COMPUTED_VALUE"""),0)</f>
        <v>0</v>
      </c>
      <c r="AC711" s="3">
        <f ca="1">IFERROR(__xludf.DUMMYFUNCTION("""COMPUTED_VALUE"""),1)</f>
        <v>1</v>
      </c>
      <c r="AD711" s="3" t="str">
        <f ca="1">IFERROR(__xludf.DUMMYFUNCTION("""COMPUTED_VALUE"""),"late")</f>
        <v>late</v>
      </c>
      <c r="AE711" s="3" t="str">
        <f ca="1">IFERROR(__xludf.DUMMYFUNCTION("""COMPUTED_VALUE"""),"2055-06-08T13:47:27.291557Z")</f>
        <v>2055-06-08T13:47:27.291557Z</v>
      </c>
      <c r="AF711" s="3" t="str">
        <f ca="1">IFERROR(__xludf.DUMMYFUNCTION("""COMPUTED_VALUE"""),"2055-06-08T13:57:00.715329Z")</f>
        <v>2055-06-08T13:57:00.715329Z</v>
      </c>
      <c r="AG711" s="3" t="str">
        <f ca="1">IFERROR(__xludf.DUMMYFUNCTION("""COMPUTED_VALUE"""),"2055-06-08T13:28:27.250652Z")</f>
        <v>2055-06-08T13:28:27.250652Z</v>
      </c>
      <c r="AH711" s="3" t="str">
        <f ca="1">IFERROR(__xludf.DUMMYFUNCTION("""COMPUTED_VALUE"""),"2055-06-08T13:45:52.007864Z")</f>
        <v>2055-06-08T13:45:52.007864Z</v>
      </c>
      <c r="AI711" s="3">
        <f ca="1">IFERROR(__xludf.DUMMYFUNCTION("""COMPUTED_VALUE"""),4.42)</f>
        <v>4.42</v>
      </c>
      <c r="AJ711" s="3">
        <f ca="1">IFERROR(__xludf.DUMMYFUNCTION("""COMPUTED_VALUE"""),1396)</f>
        <v>1396</v>
      </c>
      <c r="AK711" s="3">
        <f ca="1">IFERROR(__xludf.DUMMYFUNCTION("""COMPUTED_VALUE"""),4836)</f>
        <v>4836</v>
      </c>
      <c r="AL711" s="3">
        <f ca="1">IFERROR(__xludf.DUMMYFUNCTION("""COMPUTED_VALUE"""),1278)</f>
        <v>1278</v>
      </c>
    </row>
    <row r="712" spans="1:38" ht="13">
      <c r="A712" s="3">
        <f ca="1">IFERROR(__xludf.DUMMYFUNCTION("""COMPUTED_VALUE"""),1125)</f>
        <v>1125</v>
      </c>
      <c r="B712" s="3"/>
      <c r="C712" s="3">
        <f ca="1">IFERROR(__xludf.DUMMYFUNCTION("""COMPUTED_VALUE"""),4001)</f>
        <v>4001</v>
      </c>
      <c r="D712" s="3" t="str">
        <f ca="1">IFERROR(__xludf.DUMMYFUNCTION("""COMPUTED_VALUE"""),"Dashattan")</f>
        <v>Dashattan</v>
      </c>
      <c r="E712" s="3" t="str">
        <f ca="1">IFERROR(__xludf.DUMMYFUNCTION("""COMPUTED_VALUE"""),"Galaxy A")</f>
        <v>Galaxy A</v>
      </c>
      <c r="F712" s="3" t="str">
        <f ca="1">IFERROR(__xludf.DUMMYFUNCTION("""COMPUTED_VALUE"""),"KC")</f>
        <v>KC</v>
      </c>
      <c r="G712" s="3">
        <f ca="1">IFERROR(__xludf.DUMMYFUNCTION("""COMPUTED_VALUE"""),0)</f>
        <v>0</v>
      </c>
      <c r="H712" s="3" t="str">
        <f ca="1">IFERROR(__xludf.DUMMYFUNCTION("""COMPUTED_VALUE"""),"car")</f>
        <v>car</v>
      </c>
      <c r="I712" s="3" t="str">
        <f ca="1">IFERROR(__xludf.DUMMYFUNCTION("""COMPUTED_VALUE"""),"2055-06-10T15:52:43.536934Z")</f>
        <v>2055-06-10T15:52:43.536934Z</v>
      </c>
      <c r="J712" s="3" t="str">
        <f ca="1">IFERROR(__xludf.DUMMYFUNCTION("""COMPUTED_VALUE"""),"2055-06-10T16:24:51.605Z")</f>
        <v>2055-06-10T16:24:51.605Z</v>
      </c>
      <c r="K712" s="3" t="str">
        <f ca="1">IFERROR(__xludf.DUMMYFUNCTION("""COMPUTED_VALUE"""),"2055-06-10T16:15:58.605Z")</f>
        <v>2055-06-10T16:15:58.605Z</v>
      </c>
      <c r="L712" s="3">
        <f ca="1">IFERROR(__xludf.DUMMYFUNCTION("""COMPUTED_VALUE"""),1)</f>
        <v>1</v>
      </c>
      <c r="M712" s="3">
        <f ca="1">IFERROR(__xludf.DUMMYFUNCTION("""COMPUTED_VALUE"""),0)</f>
        <v>0</v>
      </c>
      <c r="N712" s="3" t="str">
        <f ca="1">IFERROR(__xludf.DUMMYFUNCTION("""COMPUTED_VALUE"""),"2055-06-10T15:58:24.46936Z")</f>
        <v>2055-06-10T15:58:24.46936Z</v>
      </c>
      <c r="O712" s="3" t="str">
        <f ca="1">IFERROR(__xludf.DUMMYFUNCTION("""COMPUTED_VALUE"""),"2055-06-10T16:12:00.907254Z")</f>
        <v>2055-06-10T16:12:00.907254Z</v>
      </c>
      <c r="P712" s="3" t="str">
        <f ca="1">IFERROR(__xludf.DUMMYFUNCTION("""COMPUTED_VALUE"""),"2055-06-10T15:52:54.124648Z")</f>
        <v>2055-06-10T15:52:54.124648Z</v>
      </c>
      <c r="Q712" s="3">
        <f ca="1">IFERROR(__xludf.DUMMYFUNCTION("""COMPUTED_VALUE"""),0)</f>
        <v>0</v>
      </c>
      <c r="R712" s="3" t="str">
        <f ca="1">IFERROR(__xludf.DUMMYFUNCTION("""COMPUTED_VALUE"""),"2055-06-10T15:53:09.907532Z")</f>
        <v>2055-06-10T15:53:09.907532Z</v>
      </c>
      <c r="S712" s="3" t="str">
        <f ca="1">IFERROR(__xludf.DUMMYFUNCTION("""COMPUTED_VALUE"""),"2055-06-10T15:53:14.794985Z")</f>
        <v>2055-06-10T15:53:14.794985Z</v>
      </c>
      <c r="T712" s="3"/>
      <c r="U712" s="4">
        <f ca="1">IFERROR(__xludf.DUMMYFUNCTION("""COMPUTED_VALUE"""),56775)</f>
        <v>56775</v>
      </c>
      <c r="V712" s="3">
        <f ca="1">IFERROR(__xludf.DUMMYFUNCTION("""COMPUTED_VALUE"""),4.4)</f>
        <v>4.4000000000000004</v>
      </c>
      <c r="W712" s="3">
        <f ca="1">IFERROR(__xludf.DUMMYFUNCTION("""COMPUTED_VALUE"""),2000)</f>
        <v>2000</v>
      </c>
      <c r="X712" s="3">
        <f ca="1">IFERROR(__xludf.DUMMYFUNCTION("""COMPUTED_VALUE"""),1131)</f>
        <v>1131</v>
      </c>
      <c r="Y712" s="3">
        <f ca="1">IFERROR(__xludf.DUMMYFUNCTION("""COMPUTED_VALUE"""),5)</f>
        <v>5</v>
      </c>
      <c r="Z712" s="3">
        <f ca="1">IFERROR(__xludf.DUMMYFUNCTION("""COMPUTED_VALUE"""),310)</f>
        <v>310</v>
      </c>
      <c r="AA712" s="3">
        <f ca="1">IFERROR(__xludf.DUMMYFUNCTION("""COMPUTED_VALUE"""),816)</f>
        <v>816</v>
      </c>
      <c r="AB712" s="3">
        <f ca="1">IFERROR(__xludf.DUMMYFUNCTION("""COMPUTED_VALUE"""),1)</f>
        <v>1</v>
      </c>
      <c r="AC712" s="3">
        <f ca="1">IFERROR(__xludf.DUMMYFUNCTION("""COMPUTED_VALUE"""),3)</f>
        <v>3</v>
      </c>
      <c r="AD712" s="3"/>
      <c r="AE712" s="3" t="str">
        <f ca="1">IFERROR(__xludf.DUMMYFUNCTION("""COMPUTED_VALUE"""),"2055-06-10T11:58:24.46936Z")</f>
        <v>2055-06-10T11:58:24.46936Z</v>
      </c>
      <c r="AF712" s="3" t="str">
        <f ca="1">IFERROR(__xludf.DUMMYFUNCTION("""COMPUTED_VALUE"""),"2055-06-10T12:12:00.907254Z")</f>
        <v>2055-06-10T12:12:00.907254Z</v>
      </c>
      <c r="AG712" s="3" t="str">
        <f ca="1">IFERROR(__xludf.DUMMYFUNCTION("""COMPUTED_VALUE"""),"2055-06-10T11:52:54.124648Z")</f>
        <v>2055-06-10T11:52:54.124648Z</v>
      </c>
      <c r="AH712" s="3" t="str">
        <f ca="1">IFERROR(__xludf.DUMMYFUNCTION("""COMPUTED_VALUE"""),"2055-06-10T11:53:14.794985Z")</f>
        <v>2055-06-10T11:53:14.794985Z</v>
      </c>
      <c r="AI712" s="3">
        <f ca="1">IFERROR(__xludf.DUMMYFUNCTION("""COMPUTED_VALUE"""),4.54)</f>
        <v>4.54</v>
      </c>
      <c r="AJ712" s="3">
        <f ca="1">IFERROR(__xludf.DUMMYFUNCTION("""COMPUTED_VALUE"""),2229)</f>
        <v>2229</v>
      </c>
      <c r="AK712" s="3">
        <f ca="1">IFERROR(__xludf.DUMMYFUNCTION("""COMPUTED_VALUE"""),6580)</f>
        <v>6580</v>
      </c>
      <c r="AL712" s="3"/>
    </row>
    <row r="713" spans="1:38" ht="13">
      <c r="A713" s="3">
        <f ca="1">IFERROR(__xludf.DUMMYFUNCTION("""COMPUTED_VALUE"""),445)</f>
        <v>445</v>
      </c>
      <c r="B713" s="3"/>
      <c r="C713" s="3">
        <f ca="1">IFERROR(__xludf.DUMMYFUNCTION("""COMPUTED_VALUE"""),4050)</f>
        <v>4050</v>
      </c>
      <c r="D713" s="3" t="str">
        <f ca="1">IFERROR(__xludf.DUMMYFUNCTION("""COMPUTED_VALUE"""),"Doorlanta")</f>
        <v>Doorlanta</v>
      </c>
      <c r="E713" s="3" t="str">
        <f ca="1">IFERROR(__xludf.DUMMYFUNCTION("""COMPUTED_VALUE"""),"Galaxy A")</f>
        <v>Galaxy A</v>
      </c>
      <c r="F713" s="3" t="str">
        <f ca="1">IFERROR(__xludf.DUMMYFUNCTION("""COMPUTED_VALUE"""),"Abhai")</f>
        <v>Abhai</v>
      </c>
      <c r="G713" s="3">
        <f ca="1">IFERROR(__xludf.DUMMYFUNCTION("""COMPUTED_VALUE"""),0)</f>
        <v>0</v>
      </c>
      <c r="H713" s="3" t="str">
        <f ca="1">IFERROR(__xludf.DUMMYFUNCTION("""COMPUTED_VALUE"""),"car")</f>
        <v>car</v>
      </c>
      <c r="I713" s="3" t="str">
        <f ca="1">IFERROR(__xludf.DUMMYFUNCTION("""COMPUTED_VALUE"""),"2055-06-04T20:54:59.282676Z")</f>
        <v>2055-06-04T20:54:59.282676Z</v>
      </c>
      <c r="J713" s="3" t="str">
        <f ca="1">IFERROR(__xludf.DUMMYFUNCTION("""COMPUTED_VALUE"""),"2055-06-04T21:41:54.374Z")</f>
        <v>2055-06-04T21:41:54.374Z</v>
      </c>
      <c r="K713" s="3" t="str">
        <f ca="1">IFERROR(__xludf.DUMMYFUNCTION("""COMPUTED_VALUE"""),"2055-06-04T21:36:47.374Z")</f>
        <v>2055-06-04T21:36:47.374Z</v>
      </c>
      <c r="L713" s="3">
        <f ca="1">IFERROR(__xludf.DUMMYFUNCTION("""COMPUTED_VALUE"""),1)</f>
        <v>1</v>
      </c>
      <c r="M713" s="3">
        <f ca="1">IFERROR(__xludf.DUMMYFUNCTION("""COMPUTED_VALUE"""),0)</f>
        <v>0</v>
      </c>
      <c r="N713" s="3" t="str">
        <f ca="1">IFERROR(__xludf.DUMMYFUNCTION("""COMPUTED_VALUE"""),"2055-06-04T21:08:56.645565Z")</f>
        <v>2055-06-04T21:08:56.645565Z</v>
      </c>
      <c r="O713" s="3" t="str">
        <f ca="1">IFERROR(__xludf.DUMMYFUNCTION("""COMPUTED_VALUE"""),"2055-06-04T21:30:29.242163Z")</f>
        <v>2055-06-04T21:30:29.242163Z</v>
      </c>
      <c r="P713" s="3" t="str">
        <f ca="1">IFERROR(__xludf.DUMMYFUNCTION("""COMPUTED_VALUE"""),"2055-06-04T20:55:07.338231Z")</f>
        <v>2055-06-04T20:55:07.338231Z</v>
      </c>
      <c r="Q713" s="3">
        <f ca="1">IFERROR(__xludf.DUMMYFUNCTION("""COMPUTED_VALUE"""),0)</f>
        <v>0</v>
      </c>
      <c r="R713" s="3" t="str">
        <f ca="1">IFERROR(__xludf.DUMMYFUNCTION("""COMPUTED_VALUE"""),"2055-06-04T20:55:10.85266Z")</f>
        <v>2055-06-04T20:55:10.85266Z</v>
      </c>
      <c r="S713" s="3" t="str">
        <f ca="1">IFERROR(__xludf.DUMMYFUNCTION("""COMPUTED_VALUE"""),"2055-06-04T21:00:52.994989Z")</f>
        <v>2055-06-04T21:00:52.994989Z</v>
      </c>
      <c r="T713" s="3"/>
      <c r="U713" s="4">
        <f ca="1">IFERROR(__xludf.DUMMYFUNCTION("""COMPUTED_VALUE"""),56769)</f>
        <v>56769</v>
      </c>
      <c r="V713" s="3">
        <f ca="1">IFERROR(__xludf.DUMMYFUNCTION("""COMPUTED_VALUE"""),4.6)</f>
        <v>4.5999999999999996</v>
      </c>
      <c r="W713" s="3">
        <f ca="1">IFERROR(__xludf.DUMMYFUNCTION("""COMPUTED_VALUE"""),2000)</f>
        <v>2000</v>
      </c>
      <c r="X713" s="3">
        <f ca="1">IFERROR(__xludf.DUMMYFUNCTION("""COMPUTED_VALUE"""),2119)</f>
        <v>2119</v>
      </c>
      <c r="Y713" s="3">
        <f ca="1">IFERROR(__xludf.DUMMYFUNCTION("""COMPUTED_VALUE"""),342)</f>
        <v>342</v>
      </c>
      <c r="Z713" s="3">
        <f ca="1">IFERROR(__xludf.DUMMYFUNCTION("""COMPUTED_VALUE"""),484)</f>
        <v>484</v>
      </c>
      <c r="AA713" s="3">
        <f ca="1">IFERROR(__xludf.DUMMYFUNCTION("""COMPUTED_VALUE"""),1293)</f>
        <v>1293</v>
      </c>
      <c r="AB713" s="3">
        <f ca="1">IFERROR(__xludf.DUMMYFUNCTION("""COMPUTED_VALUE"""),0)</f>
        <v>0</v>
      </c>
      <c r="AC713" s="3">
        <f ca="1">IFERROR(__xludf.DUMMYFUNCTION("""COMPUTED_VALUE"""),3)</f>
        <v>3</v>
      </c>
      <c r="AD713" s="3" t="str">
        <f ca="1">IFERROR(__xludf.DUMMYFUNCTION("""COMPUTED_VALUE"""),"early")</f>
        <v>early</v>
      </c>
      <c r="AE713" s="3" t="str">
        <f ca="1">IFERROR(__xludf.DUMMYFUNCTION("""COMPUTED_VALUE"""),"2055-06-04T17:08:56.645565Z")</f>
        <v>2055-06-04T17:08:56.645565Z</v>
      </c>
      <c r="AF713" s="3" t="str">
        <f ca="1">IFERROR(__xludf.DUMMYFUNCTION("""COMPUTED_VALUE"""),"2055-06-04T17:30:29.242163Z")</f>
        <v>2055-06-04T17:30:29.242163Z</v>
      </c>
      <c r="AG713" s="3" t="str">
        <f ca="1">IFERROR(__xludf.DUMMYFUNCTION("""COMPUTED_VALUE"""),"2055-06-04T16:55:07.338231Z")</f>
        <v>2055-06-04T16:55:07.338231Z</v>
      </c>
      <c r="AH713" s="3" t="str">
        <f ca="1">IFERROR(__xludf.DUMMYFUNCTION("""COMPUTED_VALUE"""),"2055-06-04T17:00:52.994989Z")</f>
        <v>2055-06-04T17:00:52.994989Z</v>
      </c>
      <c r="AI713" s="3">
        <f ca="1">IFERROR(__xludf.DUMMYFUNCTION("""COMPUTED_VALUE"""),4.56)</f>
        <v>4.5599999999999996</v>
      </c>
      <c r="AJ713" s="3">
        <f ca="1">IFERROR(__xludf.DUMMYFUNCTION("""COMPUTED_VALUE"""),344)</f>
        <v>344</v>
      </c>
      <c r="AK713" s="3">
        <f ca="1">IFERROR(__xludf.DUMMYFUNCTION("""COMPUTED_VALUE"""),947)</f>
        <v>947</v>
      </c>
      <c r="AL713" s="3">
        <f ca="1">IFERROR(__xludf.DUMMYFUNCTION("""COMPUTED_VALUE"""),22)</f>
        <v>22</v>
      </c>
    </row>
    <row r="714" spans="1:38" ht="13">
      <c r="A714" s="3">
        <f ca="1">IFERROR(__xludf.DUMMYFUNCTION("""COMPUTED_VALUE"""),364)</f>
        <v>364</v>
      </c>
      <c r="B714" s="3">
        <f ca="1">IFERROR(__xludf.DUMMYFUNCTION("""COMPUTED_VALUE"""),5)</f>
        <v>5</v>
      </c>
      <c r="C714" s="3">
        <f ca="1">IFERROR(__xludf.DUMMYFUNCTION("""COMPUTED_VALUE"""),4001)</f>
        <v>4001</v>
      </c>
      <c r="D714" s="3" t="str">
        <f ca="1">IFERROR(__xludf.DUMMYFUNCTION("""COMPUTED_VALUE"""),"Dashattan")</f>
        <v>Dashattan</v>
      </c>
      <c r="E714" s="3" t="str">
        <f ca="1">IFERROR(__xludf.DUMMYFUNCTION("""COMPUTED_VALUE"""),"Galaxy A")</f>
        <v>Galaxy A</v>
      </c>
      <c r="F714" s="3" t="str">
        <f ca="1">IFERROR(__xludf.DUMMYFUNCTION("""COMPUTED_VALUE"""),"Bunje")</f>
        <v>Bunje</v>
      </c>
      <c r="G714" s="3">
        <f ca="1">IFERROR(__xludf.DUMMYFUNCTION("""COMPUTED_VALUE"""),0)</f>
        <v>0</v>
      </c>
      <c r="H714" s="3" t="str">
        <f ca="1">IFERROR(__xludf.DUMMYFUNCTION("""COMPUTED_VALUE"""),"bicycle")</f>
        <v>bicycle</v>
      </c>
      <c r="I714" s="3" t="str">
        <f ca="1">IFERROR(__xludf.DUMMYFUNCTION("""COMPUTED_VALUE"""),"2055-06-03T23:19:26.104198Z")</f>
        <v>2055-06-03T23:19:26.104198Z</v>
      </c>
      <c r="J714" s="3" t="str">
        <f ca="1">IFERROR(__xludf.DUMMYFUNCTION("""COMPUTED_VALUE"""),"2055-06-04T00:08:37.148Z")</f>
        <v>2055-06-04T00:08:37.148Z</v>
      </c>
      <c r="K714" s="3" t="str">
        <f ca="1">IFERROR(__xludf.DUMMYFUNCTION("""COMPUTED_VALUE"""),"2055-06-03T23:54:44.148Z")</f>
        <v>2055-06-03T23:54:44.148Z</v>
      </c>
      <c r="L714" s="3">
        <f ca="1">IFERROR(__xludf.DUMMYFUNCTION("""COMPUTED_VALUE"""),1)</f>
        <v>1</v>
      </c>
      <c r="M714" s="3">
        <f ca="1">IFERROR(__xludf.DUMMYFUNCTION("""COMPUTED_VALUE"""),0)</f>
        <v>0</v>
      </c>
      <c r="N714" s="3" t="str">
        <f ca="1">IFERROR(__xludf.DUMMYFUNCTION("""COMPUTED_VALUE"""),"2055-06-03T23:40:55.004274Z")</f>
        <v>2055-06-03T23:40:55.004274Z</v>
      </c>
      <c r="O714" s="3" t="str">
        <f ca="1">IFERROR(__xludf.DUMMYFUNCTION("""COMPUTED_VALUE"""),"2055-06-03T23:53:16.06369Z")</f>
        <v>2055-06-03T23:53:16.06369Z</v>
      </c>
      <c r="P714" s="3" t="str">
        <f ca="1">IFERROR(__xludf.DUMMYFUNCTION("""COMPUTED_VALUE"""),"2055-06-03T23:19:35.211559Z")</f>
        <v>2055-06-03T23:19:35.211559Z</v>
      </c>
      <c r="Q714" s="3">
        <f ca="1">IFERROR(__xludf.DUMMYFUNCTION("""COMPUTED_VALUE"""),0)</f>
        <v>0</v>
      </c>
      <c r="R714" s="3" t="str">
        <f ca="1">IFERROR(__xludf.DUMMYFUNCTION("""COMPUTED_VALUE"""),"2055-06-03T23:19:46.877692Z")</f>
        <v>2055-06-03T23:19:46.877692Z</v>
      </c>
      <c r="S714" s="3" t="str">
        <f ca="1">IFERROR(__xludf.DUMMYFUNCTION("""COMPUTED_VALUE"""),"2055-06-03T23:33:26.885487Z")</f>
        <v>2055-06-03T23:33:26.885487Z</v>
      </c>
      <c r="T714" s="3"/>
      <c r="U714" s="4">
        <f ca="1">IFERROR(__xludf.DUMMYFUNCTION("""COMPUTED_VALUE"""),56768)</f>
        <v>56768</v>
      </c>
      <c r="V714" s="3">
        <f ca="1">IFERROR(__xludf.DUMMYFUNCTION("""COMPUTED_VALUE"""),4.4)</f>
        <v>4.4000000000000004</v>
      </c>
      <c r="W714" s="3">
        <f ca="1">IFERROR(__xludf.DUMMYFUNCTION("""COMPUTED_VALUE"""),2000)</f>
        <v>2000</v>
      </c>
      <c r="X714" s="3">
        <f ca="1">IFERROR(__xludf.DUMMYFUNCTION("""COMPUTED_VALUE"""),2010)</f>
        <v>2010</v>
      </c>
      <c r="Y714" s="3">
        <f ca="1">IFERROR(__xludf.DUMMYFUNCTION("""COMPUTED_VALUE"""),820)</f>
        <v>820</v>
      </c>
      <c r="Z714" s="3">
        <f ca="1">IFERROR(__xludf.DUMMYFUNCTION("""COMPUTED_VALUE"""),449)</f>
        <v>449</v>
      </c>
      <c r="AA714" s="3">
        <f ca="1">IFERROR(__xludf.DUMMYFUNCTION("""COMPUTED_VALUE"""),741)</f>
        <v>741</v>
      </c>
      <c r="AB714" s="3">
        <f ca="1">IFERROR(__xludf.DUMMYFUNCTION("""COMPUTED_VALUE"""),0)</f>
        <v>0</v>
      </c>
      <c r="AC714" s="3">
        <f ca="1">IFERROR(__xludf.DUMMYFUNCTION("""COMPUTED_VALUE"""),5)</f>
        <v>5</v>
      </c>
      <c r="AD714" s="3" t="str">
        <f ca="1">IFERROR(__xludf.DUMMYFUNCTION("""COMPUTED_VALUE"""),"late")</f>
        <v>late</v>
      </c>
      <c r="AE714" s="3" t="str">
        <f ca="1">IFERROR(__xludf.DUMMYFUNCTION("""COMPUTED_VALUE"""),"2055-06-03T19:40:55.004274Z")</f>
        <v>2055-06-03T19:40:55.004274Z</v>
      </c>
      <c r="AF714" s="3" t="str">
        <f ca="1">IFERROR(__xludf.DUMMYFUNCTION("""COMPUTED_VALUE"""),"2055-06-03T19:53:16.06369Z")</f>
        <v>2055-06-03T19:53:16.06369Z</v>
      </c>
      <c r="AG714" s="3" t="str">
        <f ca="1">IFERROR(__xludf.DUMMYFUNCTION("""COMPUTED_VALUE"""),"2055-06-03T19:19:35.211559Z")</f>
        <v>2055-06-03T19:19:35.211559Z</v>
      </c>
      <c r="AH714" s="3" t="str">
        <f ca="1">IFERROR(__xludf.DUMMYFUNCTION("""COMPUTED_VALUE"""),"2055-06-03T19:33:26.885487Z")</f>
        <v>2055-06-03T19:33:26.885487Z</v>
      </c>
      <c r="AI714" s="3">
        <f ca="1">IFERROR(__xludf.DUMMYFUNCTION("""COMPUTED_VALUE"""),4.7)</f>
        <v>4.7</v>
      </c>
      <c r="AJ714" s="3">
        <f ca="1">IFERROR(__xludf.DUMMYFUNCTION("""COMPUTED_VALUE"""),443)</f>
        <v>443</v>
      </c>
      <c r="AK714" s="3">
        <f ca="1">IFERROR(__xludf.DUMMYFUNCTION("""COMPUTED_VALUE"""),1579)</f>
        <v>1579</v>
      </c>
      <c r="AL714" s="3"/>
    </row>
    <row r="715" spans="1:38" ht="13">
      <c r="A715" s="3">
        <f ca="1">IFERROR(__xludf.DUMMYFUNCTION("""COMPUTED_VALUE"""),877)</f>
        <v>877</v>
      </c>
      <c r="B715" s="3">
        <f ca="1">IFERROR(__xludf.DUMMYFUNCTION("""COMPUTED_VALUE"""),5)</f>
        <v>5</v>
      </c>
      <c r="C715" s="3">
        <f ca="1">IFERROR(__xludf.DUMMYFUNCTION("""COMPUTED_VALUE"""),4050)</f>
        <v>4050</v>
      </c>
      <c r="D715" s="3" t="str">
        <f ca="1">IFERROR(__xludf.DUMMYFUNCTION("""COMPUTED_VALUE"""),"Doorlanta")</f>
        <v>Doorlanta</v>
      </c>
      <c r="E715" s="3" t="str">
        <f ca="1">IFERROR(__xludf.DUMMYFUNCTION("""COMPUTED_VALUE"""),"Galaxy A")</f>
        <v>Galaxy A</v>
      </c>
      <c r="F715" s="3" t="str">
        <f ca="1">IFERROR(__xludf.DUMMYFUNCTION("""COMPUTED_VALUE"""),"Elon")</f>
        <v>Elon</v>
      </c>
      <c r="G715" s="3">
        <f ca="1">IFERROR(__xludf.DUMMYFUNCTION("""COMPUTED_VALUE"""),0)</f>
        <v>0</v>
      </c>
      <c r="H715" s="3" t="str">
        <f ca="1">IFERROR(__xludf.DUMMYFUNCTION("""COMPUTED_VALUE"""),"car")</f>
        <v>car</v>
      </c>
      <c r="I715" s="3" t="str">
        <f ca="1">IFERROR(__xludf.DUMMYFUNCTION("""COMPUTED_VALUE"""),"2055-06-07T21:55:45.711574Z")</f>
        <v>2055-06-07T21:55:45.711574Z</v>
      </c>
      <c r="J715" s="3" t="str">
        <f ca="1">IFERROR(__xludf.DUMMYFUNCTION("""COMPUTED_VALUE"""),"2055-06-07T22:35:45.766Z")</f>
        <v>2055-06-07T22:35:45.766Z</v>
      </c>
      <c r="K715" s="3" t="str">
        <f ca="1">IFERROR(__xludf.DUMMYFUNCTION("""COMPUTED_VALUE"""),"2055-06-07T22:28:01.766Z")</f>
        <v>2055-06-07T22:28:01.766Z</v>
      </c>
      <c r="L715" s="3">
        <f ca="1">IFERROR(__xludf.DUMMYFUNCTION("""COMPUTED_VALUE"""),1)</f>
        <v>1</v>
      </c>
      <c r="M715" s="3">
        <f ca="1">IFERROR(__xludf.DUMMYFUNCTION("""COMPUTED_VALUE"""),0)</f>
        <v>0</v>
      </c>
      <c r="N715" s="3" t="str">
        <f ca="1">IFERROR(__xludf.DUMMYFUNCTION("""COMPUTED_VALUE"""),"2055-06-07T22:10:45.174568Z")</f>
        <v>2055-06-07T22:10:45.174568Z</v>
      </c>
      <c r="O715" s="3" t="str">
        <f ca="1">IFERROR(__xludf.DUMMYFUNCTION("""COMPUTED_VALUE"""),"2055-06-07T22:31:11.31007Z")</f>
        <v>2055-06-07T22:31:11.31007Z</v>
      </c>
      <c r="P715" s="3" t="str">
        <f ca="1">IFERROR(__xludf.DUMMYFUNCTION("""COMPUTED_VALUE"""),"2055-06-07T21:56:07.350716Z")</f>
        <v>2055-06-07T21:56:07.350716Z</v>
      </c>
      <c r="Q715" s="3">
        <f ca="1">IFERROR(__xludf.DUMMYFUNCTION("""COMPUTED_VALUE"""),0)</f>
        <v>0</v>
      </c>
      <c r="R715" s="3" t="str">
        <f ca="1">IFERROR(__xludf.DUMMYFUNCTION("""COMPUTED_VALUE"""),"2055-06-07T21:56:23.6454Z")</f>
        <v>2055-06-07T21:56:23.6454Z</v>
      </c>
      <c r="S715" s="3" t="str">
        <f ca="1">IFERROR(__xludf.DUMMYFUNCTION("""COMPUTED_VALUE"""),"2055-06-07T22:02:04.199975Z")</f>
        <v>2055-06-07T22:02:04.199975Z</v>
      </c>
      <c r="T715" s="3"/>
      <c r="U715" s="4">
        <f ca="1">IFERROR(__xludf.DUMMYFUNCTION("""COMPUTED_VALUE"""),56772)</f>
        <v>56772</v>
      </c>
      <c r="V715" s="3">
        <f ca="1">IFERROR(__xludf.DUMMYFUNCTION("""COMPUTED_VALUE"""),4.4)</f>
        <v>4.4000000000000004</v>
      </c>
      <c r="W715" s="3">
        <f ca="1">IFERROR(__xludf.DUMMYFUNCTION("""COMPUTED_VALUE"""),2000)</f>
        <v>2000</v>
      </c>
      <c r="X715" s="3">
        <f ca="1">IFERROR(__xludf.DUMMYFUNCTION("""COMPUTED_VALUE"""),2088)</f>
        <v>2088</v>
      </c>
      <c r="Y715" s="3">
        <f ca="1">IFERROR(__xludf.DUMMYFUNCTION("""COMPUTED_VALUE"""),341)</f>
        <v>341</v>
      </c>
      <c r="Z715" s="3">
        <f ca="1">IFERROR(__xludf.DUMMYFUNCTION("""COMPUTED_VALUE"""),521)</f>
        <v>521</v>
      </c>
      <c r="AA715" s="3">
        <f ca="1">IFERROR(__xludf.DUMMYFUNCTION("""COMPUTED_VALUE"""),1226)</f>
        <v>1226</v>
      </c>
      <c r="AB715" s="3">
        <f ca="1">IFERROR(__xludf.DUMMYFUNCTION("""COMPUTED_VALUE"""),0)</f>
        <v>0</v>
      </c>
      <c r="AC715" s="3">
        <f ca="1">IFERROR(__xludf.DUMMYFUNCTION("""COMPUTED_VALUE"""),3)</f>
        <v>3</v>
      </c>
      <c r="AD715" s="3" t="str">
        <f ca="1">IFERROR(__xludf.DUMMYFUNCTION("""COMPUTED_VALUE"""),"on time")</f>
        <v>on time</v>
      </c>
      <c r="AE715" s="3" t="str">
        <f ca="1">IFERROR(__xludf.DUMMYFUNCTION("""COMPUTED_VALUE"""),"2055-06-07T18:10:45.174568Z")</f>
        <v>2055-06-07T18:10:45.174568Z</v>
      </c>
      <c r="AF715" s="3" t="str">
        <f ca="1">IFERROR(__xludf.DUMMYFUNCTION("""COMPUTED_VALUE"""),"2055-06-07T18:31:11.31007Z")</f>
        <v>2055-06-07T18:31:11.31007Z</v>
      </c>
      <c r="AG715" s="3" t="str">
        <f ca="1">IFERROR(__xludf.DUMMYFUNCTION("""COMPUTED_VALUE"""),"2055-06-07T17:56:07.350716Z")</f>
        <v>2055-06-07T17:56:07.350716Z</v>
      </c>
      <c r="AH715" s="3" t="str">
        <f ca="1">IFERROR(__xludf.DUMMYFUNCTION("""COMPUTED_VALUE"""),"2055-06-07T18:02:04.199975Z")</f>
        <v>2055-06-07T18:02:04.199975Z</v>
      </c>
      <c r="AI715" s="3">
        <f ca="1">IFERROR(__xludf.DUMMYFUNCTION("""COMPUTED_VALUE"""),4.62)</f>
        <v>4.62</v>
      </c>
      <c r="AJ715" s="3">
        <f ca="1">IFERROR(__xludf.DUMMYFUNCTION("""COMPUTED_VALUE"""),259)</f>
        <v>259</v>
      </c>
      <c r="AK715" s="3">
        <f ca="1">IFERROR(__xludf.DUMMYFUNCTION("""COMPUTED_VALUE"""),604)</f>
        <v>604</v>
      </c>
      <c r="AL715" s="3">
        <f ca="1">IFERROR(__xludf.DUMMYFUNCTION("""COMPUTED_VALUE"""),21)</f>
        <v>21</v>
      </c>
    </row>
    <row r="716" spans="1:38" ht="13">
      <c r="A716" s="3">
        <f ca="1">IFERROR(__xludf.DUMMYFUNCTION("""COMPUTED_VALUE"""),605)</f>
        <v>605</v>
      </c>
      <c r="B716" s="3">
        <f ca="1">IFERROR(__xludf.DUMMYFUNCTION("""COMPUTED_VALUE"""),5)</f>
        <v>5</v>
      </c>
      <c r="C716" s="3">
        <f ca="1">IFERROR(__xludf.DUMMYFUNCTION("""COMPUTED_VALUE"""),4050)</f>
        <v>4050</v>
      </c>
      <c r="D716" s="3" t="str">
        <f ca="1">IFERROR(__xludf.DUMMYFUNCTION("""COMPUTED_VALUE"""),"Doorlanta")</f>
        <v>Doorlanta</v>
      </c>
      <c r="E716" s="3" t="str">
        <f ca="1">IFERROR(__xludf.DUMMYFUNCTION("""COMPUTED_VALUE"""),"Galaxy A")</f>
        <v>Galaxy A</v>
      </c>
      <c r="F716" s="3" t="str">
        <f ca="1">IFERROR(__xludf.DUMMYFUNCTION("""COMPUTED_VALUE"""),"Anisha")</f>
        <v>Anisha</v>
      </c>
      <c r="G716" s="3">
        <f ca="1">IFERROR(__xludf.DUMMYFUNCTION("""COMPUTED_VALUE"""),0)</f>
        <v>0</v>
      </c>
      <c r="H716" s="3" t="str">
        <f ca="1">IFERROR(__xludf.DUMMYFUNCTION("""COMPUTED_VALUE"""),"car")</f>
        <v>car</v>
      </c>
      <c r="I716" s="3" t="str">
        <f ca="1">IFERROR(__xludf.DUMMYFUNCTION("""COMPUTED_VALUE"""),"2055-06-05T20:04:50.762761Z")</f>
        <v>2055-06-05T20:04:50.762761Z</v>
      </c>
      <c r="J716" s="3" t="str">
        <f ca="1">IFERROR(__xludf.DUMMYFUNCTION("""COMPUTED_VALUE"""),"2055-06-05T21:21:40.84Z")</f>
        <v>2055-06-05T21:21:40.84Z</v>
      </c>
      <c r="K716" s="3" t="str">
        <f ca="1">IFERROR(__xludf.DUMMYFUNCTION("""COMPUTED_VALUE"""),"2055-06-05T21:03:27.84Z")</f>
        <v>2055-06-05T21:03:27.84Z</v>
      </c>
      <c r="L716" s="3">
        <f ca="1">IFERROR(__xludf.DUMMYFUNCTION("""COMPUTED_VALUE"""),1)</f>
        <v>1</v>
      </c>
      <c r="M716" s="3">
        <f ca="1">IFERROR(__xludf.DUMMYFUNCTION("""COMPUTED_VALUE"""),0)</f>
        <v>0</v>
      </c>
      <c r="N716" s="3" t="str">
        <f ca="1">IFERROR(__xludf.DUMMYFUNCTION("""COMPUTED_VALUE"""),"2055-06-05T20:32:21.663025Z")</f>
        <v>2055-06-05T20:32:21.663025Z</v>
      </c>
      <c r="O716" s="3" t="str">
        <f ca="1">IFERROR(__xludf.DUMMYFUNCTION("""COMPUTED_VALUE"""),"2055-06-05T20:52:52.670871Z")</f>
        <v>2055-06-05T20:52:52.670871Z</v>
      </c>
      <c r="P716" s="3" t="str">
        <f ca="1">IFERROR(__xludf.DUMMYFUNCTION("""COMPUTED_VALUE"""),"2055-06-05T20:19:07.334257Z")</f>
        <v>2055-06-05T20:19:07.334257Z</v>
      </c>
      <c r="Q716" s="3">
        <f ca="1">IFERROR(__xludf.DUMMYFUNCTION("""COMPUTED_VALUE"""),0)</f>
        <v>0</v>
      </c>
      <c r="R716" s="3" t="str">
        <f ca="1">IFERROR(__xludf.DUMMYFUNCTION("""COMPUTED_VALUE"""),"2055-06-05T20:19:10.936592Z")</f>
        <v>2055-06-05T20:19:10.936592Z</v>
      </c>
      <c r="S716" s="3" t="str">
        <f ca="1">IFERROR(__xludf.DUMMYFUNCTION("""COMPUTED_VALUE"""),"2055-06-05T20:31:40.654616Z")</f>
        <v>2055-06-05T20:31:40.654616Z</v>
      </c>
      <c r="T716" s="3"/>
      <c r="U716" s="4">
        <f ca="1">IFERROR(__xludf.DUMMYFUNCTION("""COMPUTED_VALUE"""),56770)</f>
        <v>56770</v>
      </c>
      <c r="V716" s="3">
        <f ca="1">IFERROR(__xludf.DUMMYFUNCTION("""COMPUTED_VALUE"""),4.7)</f>
        <v>4.7</v>
      </c>
      <c r="W716" s="3">
        <f ca="1">IFERROR(__xludf.DUMMYFUNCTION("""COMPUTED_VALUE"""),2000)</f>
        <v>2000</v>
      </c>
      <c r="X716" s="3">
        <f ca="1">IFERROR(__xludf.DUMMYFUNCTION("""COMPUTED_VALUE"""),2022)</f>
        <v>2022</v>
      </c>
      <c r="Y716" s="3">
        <f ca="1">IFERROR(__xludf.DUMMYFUNCTION("""COMPUTED_VALUE"""),750)</f>
        <v>750</v>
      </c>
      <c r="Z716" s="3">
        <f ca="1">IFERROR(__xludf.DUMMYFUNCTION("""COMPUTED_VALUE"""),41)</f>
        <v>41</v>
      </c>
      <c r="AA716" s="3">
        <f ca="1">IFERROR(__xludf.DUMMYFUNCTION("""COMPUTED_VALUE"""),1231)</f>
        <v>1231</v>
      </c>
      <c r="AB716" s="3">
        <f ca="1">IFERROR(__xludf.DUMMYFUNCTION("""COMPUTED_VALUE"""),1)</f>
        <v>1</v>
      </c>
      <c r="AC716" s="3">
        <f ca="1">IFERROR(__xludf.DUMMYFUNCTION("""COMPUTED_VALUE"""),1)</f>
        <v>1</v>
      </c>
      <c r="AD716" s="3"/>
      <c r="AE716" s="3" t="str">
        <f ca="1">IFERROR(__xludf.DUMMYFUNCTION("""COMPUTED_VALUE"""),"2055-06-05T16:32:21.663025Z")</f>
        <v>2055-06-05T16:32:21.663025Z</v>
      </c>
      <c r="AF716" s="3" t="str">
        <f ca="1">IFERROR(__xludf.DUMMYFUNCTION("""COMPUTED_VALUE"""),"2055-06-05T16:52:52.670871Z")</f>
        <v>2055-06-05T16:52:52.670871Z</v>
      </c>
      <c r="AG716" s="3" t="str">
        <f ca="1">IFERROR(__xludf.DUMMYFUNCTION("""COMPUTED_VALUE"""),"2055-06-05T16:19:07.334257Z")</f>
        <v>2055-06-05T16:19:07.334257Z</v>
      </c>
      <c r="AH716" s="3" t="str">
        <f ca="1">IFERROR(__xludf.DUMMYFUNCTION("""COMPUTED_VALUE"""),"2055-06-05T16:31:40.654616Z")</f>
        <v>2055-06-05T16:31:40.654616Z</v>
      </c>
      <c r="AI716" s="3">
        <f ca="1">IFERROR(__xludf.DUMMYFUNCTION("""COMPUTED_VALUE"""),4.7)</f>
        <v>4.7</v>
      </c>
      <c r="AJ716" s="3">
        <f ca="1">IFERROR(__xludf.DUMMYFUNCTION("""COMPUTED_VALUE"""),272)</f>
        <v>272</v>
      </c>
      <c r="AK716" s="3">
        <f ca="1">IFERROR(__xludf.DUMMYFUNCTION("""COMPUTED_VALUE"""),931)</f>
        <v>931</v>
      </c>
      <c r="AL716" s="3">
        <f ca="1">IFERROR(__xludf.DUMMYFUNCTION("""COMPUTED_VALUE"""),144)</f>
        <v>144</v>
      </c>
    </row>
    <row r="717" spans="1:38" ht="13">
      <c r="A717" s="3">
        <f ca="1">IFERROR(__xludf.DUMMYFUNCTION("""COMPUTED_VALUE"""),584)</f>
        <v>584</v>
      </c>
      <c r="B717" s="3"/>
      <c r="C717" s="3">
        <f ca="1">IFERROR(__xludf.DUMMYFUNCTION("""COMPUTED_VALUE"""),4050)</f>
        <v>4050</v>
      </c>
      <c r="D717" s="3" t="str">
        <f ca="1">IFERROR(__xludf.DUMMYFUNCTION("""COMPUTED_VALUE"""),"Doorlanta")</f>
        <v>Doorlanta</v>
      </c>
      <c r="E717" s="3" t="str">
        <f ca="1">IFERROR(__xludf.DUMMYFUNCTION("""COMPUTED_VALUE"""),"Galaxy A")</f>
        <v>Galaxy A</v>
      </c>
      <c r="F717" s="3" t="str">
        <f ca="1">IFERROR(__xludf.DUMMYFUNCTION("""COMPUTED_VALUE"""),"Katelynn")</f>
        <v>Katelynn</v>
      </c>
      <c r="G717" s="3">
        <f ca="1">IFERROR(__xludf.DUMMYFUNCTION("""COMPUTED_VALUE"""),0)</f>
        <v>0</v>
      </c>
      <c r="H717" s="3" t="str">
        <f ca="1">IFERROR(__xludf.DUMMYFUNCTION("""COMPUTED_VALUE"""),"car")</f>
        <v>car</v>
      </c>
      <c r="I717" s="3" t="str">
        <f ca="1">IFERROR(__xludf.DUMMYFUNCTION("""COMPUTED_VALUE"""),"2055-06-05T18:15:17.019606Z")</f>
        <v>2055-06-05T18:15:17.019606Z</v>
      </c>
      <c r="J717" s="3" t="str">
        <f ca="1">IFERROR(__xludf.DUMMYFUNCTION("""COMPUTED_VALUE"""),"2055-06-05T19:13:36.15Z")</f>
        <v>2055-06-05T19:13:36.15Z</v>
      </c>
      <c r="K717" s="3" t="str">
        <f ca="1">IFERROR(__xludf.DUMMYFUNCTION("""COMPUTED_VALUE"""),"2055-06-05T18:53:29.15Z")</f>
        <v>2055-06-05T18:53:29.15Z</v>
      </c>
      <c r="L717" s="3">
        <f ca="1">IFERROR(__xludf.DUMMYFUNCTION("""COMPUTED_VALUE"""),1)</f>
        <v>1</v>
      </c>
      <c r="M717" s="3">
        <f ca="1">IFERROR(__xludf.DUMMYFUNCTION("""COMPUTED_VALUE"""),0)</f>
        <v>0</v>
      </c>
      <c r="N717" s="3" t="str">
        <f ca="1">IFERROR(__xludf.DUMMYFUNCTION("""COMPUTED_VALUE"""),"2055-06-05T19:21:15.625929Z")</f>
        <v>2055-06-05T19:21:15.625929Z</v>
      </c>
      <c r="O717" s="3" t="str">
        <f ca="1">IFERROR(__xludf.DUMMYFUNCTION("""COMPUTED_VALUE"""),"2055-06-05T19:27:26.68498Z")</f>
        <v>2055-06-05T19:27:26.68498Z</v>
      </c>
      <c r="P717" s="3" t="str">
        <f ca="1">IFERROR(__xludf.DUMMYFUNCTION("""COMPUTED_VALUE"""),"2055-06-05T18:45:27.310829Z")</f>
        <v>2055-06-05T18:45:27.310829Z</v>
      </c>
      <c r="Q717" s="3">
        <f ca="1">IFERROR(__xludf.DUMMYFUNCTION("""COMPUTED_VALUE"""),0)</f>
        <v>0</v>
      </c>
      <c r="R717" s="3" t="str">
        <f ca="1">IFERROR(__xludf.DUMMYFUNCTION("""COMPUTED_VALUE"""),"2055-06-05T18:45:50.105229Z")</f>
        <v>2055-06-05T18:45:50.105229Z</v>
      </c>
      <c r="S717" s="3" t="str">
        <f ca="1">IFERROR(__xludf.DUMMYFUNCTION("""COMPUTED_VALUE"""),"2055-06-05T19:08:34.106827Z")</f>
        <v>2055-06-05T19:08:34.106827Z</v>
      </c>
      <c r="T717" s="3"/>
      <c r="U717" s="4">
        <f ca="1">IFERROR(__xludf.DUMMYFUNCTION("""COMPUTED_VALUE"""),56770)</f>
        <v>56770</v>
      </c>
      <c r="V717" s="3">
        <f ca="1">IFERROR(__xludf.DUMMYFUNCTION("""COMPUTED_VALUE"""),4.6)</f>
        <v>4.5999999999999996</v>
      </c>
      <c r="W717" s="3">
        <f ca="1">IFERROR(__xludf.DUMMYFUNCTION("""COMPUTED_VALUE"""),2000)</f>
        <v>2000</v>
      </c>
      <c r="X717" s="3">
        <f ca="1">IFERROR(__xludf.DUMMYFUNCTION("""COMPUTED_VALUE"""),2496)</f>
        <v>2496</v>
      </c>
      <c r="Y717" s="3">
        <f ca="1">IFERROR(__xludf.DUMMYFUNCTION("""COMPUTED_VALUE"""),1364)</f>
        <v>1364</v>
      </c>
      <c r="Z717" s="3">
        <f ca="1">IFERROR(__xludf.DUMMYFUNCTION("""COMPUTED_VALUE"""),761)</f>
        <v>761</v>
      </c>
      <c r="AA717" s="3">
        <f ca="1">IFERROR(__xludf.DUMMYFUNCTION("""COMPUTED_VALUE"""),371)</f>
        <v>371</v>
      </c>
      <c r="AB717" s="3">
        <f ca="1">IFERROR(__xludf.DUMMYFUNCTION("""COMPUTED_VALUE"""),0)</f>
        <v>0</v>
      </c>
      <c r="AC717" s="3">
        <f ca="1">IFERROR(__xludf.DUMMYFUNCTION("""COMPUTED_VALUE"""),2)</f>
        <v>2</v>
      </c>
      <c r="AD717" s="3"/>
      <c r="AE717" s="3" t="str">
        <f ca="1">IFERROR(__xludf.DUMMYFUNCTION("""COMPUTED_VALUE"""),"2055-06-05T15:21:15.625929Z")</f>
        <v>2055-06-05T15:21:15.625929Z</v>
      </c>
      <c r="AF717" s="3" t="str">
        <f ca="1">IFERROR(__xludf.DUMMYFUNCTION("""COMPUTED_VALUE"""),"2055-06-05T15:27:26.68498Z")</f>
        <v>2055-06-05T15:27:26.68498Z</v>
      </c>
      <c r="AG717" s="3" t="str">
        <f ca="1">IFERROR(__xludf.DUMMYFUNCTION("""COMPUTED_VALUE"""),"2055-06-05T14:45:27.310829Z")</f>
        <v>2055-06-05T14:45:27.310829Z</v>
      </c>
      <c r="AH717" s="3" t="str">
        <f ca="1">IFERROR(__xludf.DUMMYFUNCTION("""COMPUTED_VALUE"""),"2055-06-05T15:08:34.106827Z")</f>
        <v>2055-06-05T15:08:34.106827Z</v>
      </c>
      <c r="AI717" s="3">
        <f ca="1">IFERROR(__xludf.DUMMYFUNCTION("""COMPUTED_VALUE"""),4.7)</f>
        <v>4.7</v>
      </c>
      <c r="AJ717" s="3">
        <f ca="1">IFERROR(__xludf.DUMMYFUNCTION("""COMPUTED_VALUE"""),1261)</f>
        <v>1261</v>
      </c>
      <c r="AK717" s="3">
        <f ca="1">IFERROR(__xludf.DUMMYFUNCTION("""COMPUTED_VALUE"""),3264)</f>
        <v>3264</v>
      </c>
      <c r="AL717" s="3">
        <f ca="1">IFERROR(__xludf.DUMMYFUNCTION("""COMPUTED_VALUE"""),232)</f>
        <v>232</v>
      </c>
    </row>
    <row r="718" spans="1:38" ht="13">
      <c r="A718" s="3">
        <f ca="1">IFERROR(__xludf.DUMMYFUNCTION("""COMPUTED_VALUE"""),505)</f>
        <v>505</v>
      </c>
      <c r="B718" s="3">
        <f ca="1">IFERROR(__xludf.DUMMYFUNCTION("""COMPUTED_VALUE"""),5)</f>
        <v>5</v>
      </c>
      <c r="C718" s="3">
        <f ca="1">IFERROR(__xludf.DUMMYFUNCTION("""COMPUTED_VALUE"""),4050)</f>
        <v>4050</v>
      </c>
      <c r="D718" s="3" t="str">
        <f ca="1">IFERROR(__xludf.DUMMYFUNCTION("""COMPUTED_VALUE"""),"Doorlanta")</f>
        <v>Doorlanta</v>
      </c>
      <c r="E718" s="3" t="str">
        <f ca="1">IFERROR(__xludf.DUMMYFUNCTION("""COMPUTED_VALUE"""),"Galaxy A")</f>
        <v>Galaxy A</v>
      </c>
      <c r="F718" s="3" t="str">
        <f ca="1">IFERROR(__xludf.DUMMYFUNCTION("""COMPUTED_VALUE"""),"Elon")</f>
        <v>Elon</v>
      </c>
      <c r="G718" s="3">
        <f ca="1">IFERROR(__xludf.DUMMYFUNCTION("""COMPUTED_VALUE"""),0)</f>
        <v>0</v>
      </c>
      <c r="H718" s="3" t="str">
        <f ca="1">IFERROR(__xludf.DUMMYFUNCTION("""COMPUTED_VALUE"""),"car")</f>
        <v>car</v>
      </c>
      <c r="I718" s="3" t="str">
        <f ca="1">IFERROR(__xludf.DUMMYFUNCTION("""COMPUTED_VALUE"""),"2055-06-05T00:10:27.482982Z")</f>
        <v>2055-06-05T00:10:27.482982Z</v>
      </c>
      <c r="J718" s="3" t="str">
        <f ca="1">IFERROR(__xludf.DUMMYFUNCTION("""COMPUTED_VALUE"""),"2055-06-05T01:01:36.54Z")</f>
        <v>2055-06-05T01:01:36.54Z</v>
      </c>
      <c r="K718" s="3" t="str">
        <f ca="1">IFERROR(__xludf.DUMMYFUNCTION("""COMPUTED_VALUE"""),"2055-06-05T00:49:42.54Z")</f>
        <v>2055-06-05T00:49:42.54Z</v>
      </c>
      <c r="L718" s="3">
        <f ca="1">IFERROR(__xludf.DUMMYFUNCTION("""COMPUTED_VALUE"""),1)</f>
        <v>1</v>
      </c>
      <c r="M718" s="3">
        <f ca="1">IFERROR(__xludf.DUMMYFUNCTION("""COMPUTED_VALUE"""),0)</f>
        <v>0</v>
      </c>
      <c r="N718" s="3" t="str">
        <f ca="1">IFERROR(__xludf.DUMMYFUNCTION("""COMPUTED_VALUE"""),"2055-06-05T00:43:15.998108Z")</f>
        <v>2055-06-05T00:43:15.998108Z</v>
      </c>
      <c r="O718" s="3" t="str">
        <f ca="1">IFERROR(__xludf.DUMMYFUNCTION("""COMPUTED_VALUE"""),"2055-06-05T01:08:55.390887Z")</f>
        <v>2055-06-05T01:08:55.390887Z</v>
      </c>
      <c r="P718" s="3" t="str">
        <f ca="1">IFERROR(__xludf.DUMMYFUNCTION("""COMPUTED_VALUE"""),"2055-06-05T00:21:07.48089Z")</f>
        <v>2055-06-05T00:21:07.48089Z</v>
      </c>
      <c r="Q718" s="3">
        <f ca="1">IFERROR(__xludf.DUMMYFUNCTION("""COMPUTED_VALUE"""),0)</f>
        <v>0</v>
      </c>
      <c r="R718" s="3" t="str">
        <f ca="1">IFERROR(__xludf.DUMMYFUNCTION("""COMPUTED_VALUE"""),"2055-06-05T00:21:13.717078Z")</f>
        <v>2055-06-05T00:21:13.717078Z</v>
      </c>
      <c r="S718" s="3" t="str">
        <f ca="1">IFERROR(__xludf.DUMMYFUNCTION("""COMPUTED_VALUE"""),"2055-06-05T00:38:06.417128Z")</f>
        <v>2055-06-05T00:38:06.417128Z</v>
      </c>
      <c r="T718" s="3"/>
      <c r="U718" s="4">
        <f ca="1">IFERROR(__xludf.DUMMYFUNCTION("""COMPUTED_VALUE"""),56769)</f>
        <v>56769</v>
      </c>
      <c r="V718" s="3">
        <f ca="1">IFERROR(__xludf.DUMMYFUNCTION("""COMPUTED_VALUE"""),3.30460462)</f>
        <v>3.3046046200000001</v>
      </c>
      <c r="W718" s="3">
        <f ca="1">IFERROR(__xludf.DUMMYFUNCTION("""COMPUTED_VALUE"""),2000)</f>
        <v>2000</v>
      </c>
      <c r="X718" s="3">
        <f ca="1">IFERROR(__xludf.DUMMYFUNCTION("""COMPUTED_VALUE"""),2862)</f>
        <v>2862</v>
      </c>
      <c r="Y718" s="3">
        <f ca="1">IFERROR(__xludf.DUMMYFUNCTION("""COMPUTED_VALUE"""),1013)</f>
        <v>1013</v>
      </c>
      <c r="Z718" s="3">
        <f ca="1">IFERROR(__xludf.DUMMYFUNCTION("""COMPUTED_VALUE"""),309)</f>
        <v>309</v>
      </c>
      <c r="AA718" s="3">
        <f ca="1">IFERROR(__xludf.DUMMYFUNCTION("""COMPUTED_VALUE"""),1540)</f>
        <v>1540</v>
      </c>
      <c r="AB718" s="3">
        <f ca="1">IFERROR(__xludf.DUMMYFUNCTION("""COMPUTED_VALUE"""),1)</f>
        <v>1</v>
      </c>
      <c r="AC718" s="3">
        <f ca="1">IFERROR(__xludf.DUMMYFUNCTION("""COMPUTED_VALUE"""),1)</f>
        <v>1</v>
      </c>
      <c r="AD718" s="3"/>
      <c r="AE718" s="3" t="str">
        <f ca="1">IFERROR(__xludf.DUMMYFUNCTION("""COMPUTED_VALUE"""),"2055-06-04T20:43:15.998108Z")</f>
        <v>2055-06-04T20:43:15.998108Z</v>
      </c>
      <c r="AF718" s="3" t="str">
        <f ca="1">IFERROR(__xludf.DUMMYFUNCTION("""COMPUTED_VALUE"""),"2055-06-04T21:08:55.390887Z")</f>
        <v>2055-06-04T21:08:55.390887Z</v>
      </c>
      <c r="AG718" s="3" t="str">
        <f ca="1">IFERROR(__xludf.DUMMYFUNCTION("""COMPUTED_VALUE"""),"2055-06-04T20:21:07.48089Z")</f>
        <v>2055-06-04T20:21:07.48089Z</v>
      </c>
      <c r="AH718" s="3" t="str">
        <f ca="1">IFERROR(__xludf.DUMMYFUNCTION("""COMPUTED_VALUE"""),"2055-06-04T20:38:06.417128Z")</f>
        <v>2055-06-04T20:38:06.417128Z</v>
      </c>
      <c r="AI718" s="3">
        <f ca="1">IFERROR(__xludf.DUMMYFUNCTION("""COMPUTED_VALUE"""),4.62)</f>
        <v>4.62</v>
      </c>
      <c r="AJ718" s="3">
        <f ca="1">IFERROR(__xludf.DUMMYFUNCTION("""COMPUTED_VALUE"""),259)</f>
        <v>259</v>
      </c>
      <c r="AK718" s="3">
        <f ca="1">IFERROR(__xludf.DUMMYFUNCTION("""COMPUTED_VALUE"""),604)</f>
        <v>604</v>
      </c>
      <c r="AL718" s="3">
        <f ca="1">IFERROR(__xludf.DUMMYFUNCTION("""COMPUTED_VALUE"""),21)</f>
        <v>21</v>
      </c>
    </row>
    <row r="719" spans="1:38" ht="13">
      <c r="A719" s="3">
        <f ca="1">IFERROR(__xludf.DUMMYFUNCTION("""COMPUTED_VALUE"""),766)</f>
        <v>766</v>
      </c>
      <c r="B719" s="3">
        <f ca="1">IFERROR(__xludf.DUMMYFUNCTION("""COMPUTED_VALUE"""),5)</f>
        <v>5</v>
      </c>
      <c r="C719" s="3">
        <f ca="1">IFERROR(__xludf.DUMMYFUNCTION("""COMPUTED_VALUE"""),4001)</f>
        <v>4001</v>
      </c>
      <c r="D719" s="3" t="str">
        <f ca="1">IFERROR(__xludf.DUMMYFUNCTION("""COMPUTED_VALUE"""),"Dashattan")</f>
        <v>Dashattan</v>
      </c>
      <c r="E719" s="3" t="str">
        <f ca="1">IFERROR(__xludf.DUMMYFUNCTION("""COMPUTED_VALUE"""),"Galaxy A")</f>
        <v>Galaxy A</v>
      </c>
      <c r="F719" s="3" t="str">
        <f ca="1">IFERROR(__xludf.DUMMYFUNCTION("""COMPUTED_VALUE"""),"J")</f>
        <v>J</v>
      </c>
      <c r="G719" s="3">
        <f ca="1">IFERROR(__xludf.DUMMYFUNCTION("""COMPUTED_VALUE"""),0)</f>
        <v>0</v>
      </c>
      <c r="H719" s="3" t="str">
        <f ca="1">IFERROR(__xludf.DUMMYFUNCTION("""COMPUTED_VALUE"""),"bicycle")</f>
        <v>bicycle</v>
      </c>
      <c r="I719" s="3" t="str">
        <f ca="1">IFERROR(__xludf.DUMMYFUNCTION("""COMPUTED_VALUE"""),"2055-06-06T21:32:55.542462Z")</f>
        <v>2055-06-06T21:32:55.542462Z</v>
      </c>
      <c r="J719" s="3" t="str">
        <f ca="1">IFERROR(__xludf.DUMMYFUNCTION("""COMPUTED_VALUE"""),"2055-06-06T22:08:40.606Z")</f>
        <v>2055-06-06T22:08:40.606Z</v>
      </c>
      <c r="K719" s="3" t="str">
        <f ca="1">IFERROR(__xludf.DUMMYFUNCTION("""COMPUTED_VALUE"""),"2055-06-06T22:04:47.606Z")</f>
        <v>2055-06-06T22:04:47.606Z</v>
      </c>
      <c r="L719" s="3">
        <f ca="1">IFERROR(__xludf.DUMMYFUNCTION("""COMPUTED_VALUE"""),1)</f>
        <v>1</v>
      </c>
      <c r="M719" s="3">
        <f ca="1">IFERROR(__xludf.DUMMYFUNCTION("""COMPUTED_VALUE"""),0)</f>
        <v>0</v>
      </c>
      <c r="N719" s="3" t="str">
        <f ca="1">IFERROR(__xludf.DUMMYFUNCTION("""COMPUTED_VALUE"""),"2055-06-06T22:00:47.135232Z")</f>
        <v>2055-06-06T22:00:47.135232Z</v>
      </c>
      <c r="O719" s="3" t="str">
        <f ca="1">IFERROR(__xludf.DUMMYFUNCTION("""COMPUTED_VALUE"""),"2055-06-06T22:16:52.774611Z")</f>
        <v>2055-06-06T22:16:52.774611Z</v>
      </c>
      <c r="P719" s="3" t="str">
        <f ca="1">IFERROR(__xludf.DUMMYFUNCTION("""COMPUTED_VALUE"""),"2055-06-06T21:39:14.332831Z")</f>
        <v>2055-06-06T21:39:14.332831Z</v>
      </c>
      <c r="Q719" s="3">
        <f ca="1">IFERROR(__xludf.DUMMYFUNCTION("""COMPUTED_VALUE"""),0)</f>
        <v>0</v>
      </c>
      <c r="R719" s="3" t="str">
        <f ca="1">IFERROR(__xludf.DUMMYFUNCTION("""COMPUTED_VALUE"""),"2055-06-06T21:39:47.871867Z")</f>
        <v>2055-06-06T21:39:47.871867Z</v>
      </c>
      <c r="S719" s="3" t="str">
        <f ca="1">IFERROR(__xludf.DUMMYFUNCTION("""COMPUTED_VALUE"""),"2055-06-06T21:56:51.601916Z")</f>
        <v>2055-06-06T21:56:51.601916Z</v>
      </c>
      <c r="T719" s="3"/>
      <c r="U719" s="4">
        <f ca="1">IFERROR(__xludf.DUMMYFUNCTION("""COMPUTED_VALUE"""),56771)</f>
        <v>56771</v>
      </c>
      <c r="V719" s="3">
        <f ca="1">IFERROR(__xludf.DUMMYFUNCTION("""COMPUTED_VALUE"""),3.168534985)</f>
        <v>3.168534985</v>
      </c>
      <c r="W719" s="3">
        <f ca="1">IFERROR(__xludf.DUMMYFUNCTION("""COMPUTED_VALUE"""),2000)</f>
        <v>2000</v>
      </c>
      <c r="X719" s="3">
        <f ca="1">IFERROR(__xludf.DUMMYFUNCTION("""COMPUTED_VALUE"""),2225)</f>
        <v>2225</v>
      </c>
      <c r="Y719" s="3">
        <f ca="1">IFERROR(__xludf.DUMMYFUNCTION("""COMPUTED_VALUE"""),1024)</f>
        <v>1024</v>
      </c>
      <c r="Z719" s="3">
        <f ca="1">IFERROR(__xludf.DUMMYFUNCTION("""COMPUTED_VALUE"""),236)</f>
        <v>236</v>
      </c>
      <c r="AA719" s="3">
        <f ca="1">IFERROR(__xludf.DUMMYFUNCTION("""COMPUTED_VALUE"""),965)</f>
        <v>965</v>
      </c>
      <c r="AB719" s="3">
        <f ca="1">IFERROR(__xludf.DUMMYFUNCTION("""COMPUTED_VALUE"""),0)</f>
        <v>0</v>
      </c>
      <c r="AC719" s="3">
        <f ca="1">IFERROR(__xludf.DUMMYFUNCTION("""COMPUTED_VALUE"""),2)</f>
        <v>2</v>
      </c>
      <c r="AD719" s="3" t="str">
        <f ca="1">IFERROR(__xludf.DUMMYFUNCTION("""COMPUTED_VALUE"""),"late")</f>
        <v>late</v>
      </c>
      <c r="AE719" s="3" t="str">
        <f ca="1">IFERROR(__xludf.DUMMYFUNCTION("""COMPUTED_VALUE"""),"2055-06-06T18:00:47.135232Z")</f>
        <v>2055-06-06T18:00:47.135232Z</v>
      </c>
      <c r="AF719" s="3" t="str">
        <f ca="1">IFERROR(__xludf.DUMMYFUNCTION("""COMPUTED_VALUE"""),"2055-06-06T18:16:52.774611Z")</f>
        <v>2055-06-06T18:16:52.774611Z</v>
      </c>
      <c r="AG719" s="3" t="str">
        <f ca="1">IFERROR(__xludf.DUMMYFUNCTION("""COMPUTED_VALUE"""),"2055-06-06T17:39:14.332831Z")</f>
        <v>2055-06-06T17:39:14.332831Z</v>
      </c>
      <c r="AH719" s="3" t="str">
        <f ca="1">IFERROR(__xludf.DUMMYFUNCTION("""COMPUTED_VALUE"""),"2055-06-06T17:56:51.601916Z")</f>
        <v>2055-06-06T17:56:51.601916Z</v>
      </c>
      <c r="AI719" s="3">
        <f ca="1">IFERROR(__xludf.DUMMYFUNCTION("""COMPUTED_VALUE"""),4.6)</f>
        <v>4.5999999999999996</v>
      </c>
      <c r="AJ719" s="3">
        <f ca="1">IFERROR(__xludf.DUMMYFUNCTION("""COMPUTED_VALUE"""),292)</f>
        <v>292</v>
      </c>
      <c r="AK719" s="3">
        <f ca="1">IFERROR(__xludf.DUMMYFUNCTION("""COMPUTED_VALUE"""),1027)</f>
        <v>1027</v>
      </c>
      <c r="AL719" s="3">
        <f ca="1">IFERROR(__xludf.DUMMYFUNCTION("""COMPUTED_VALUE"""),26)</f>
        <v>26</v>
      </c>
    </row>
    <row r="720" spans="1:38" ht="13">
      <c r="A720" s="3">
        <f ca="1">IFERROR(__xludf.DUMMYFUNCTION("""COMPUTED_VALUE"""),859)</f>
        <v>859</v>
      </c>
      <c r="B720" s="3"/>
      <c r="C720" s="3">
        <f ca="1">IFERROR(__xludf.DUMMYFUNCTION("""COMPUTED_VALUE"""),4001)</f>
        <v>4001</v>
      </c>
      <c r="D720" s="3" t="str">
        <f ca="1">IFERROR(__xludf.DUMMYFUNCTION("""COMPUTED_VALUE"""),"Dashattan")</f>
        <v>Dashattan</v>
      </c>
      <c r="E720" s="3" t="str">
        <f ca="1">IFERROR(__xludf.DUMMYFUNCTION("""COMPUTED_VALUE"""),"Galaxy A")</f>
        <v>Galaxy A</v>
      </c>
      <c r="F720" s="3" t="str">
        <f ca="1">IFERROR(__xludf.DUMMYFUNCTION("""COMPUTED_VALUE"""),"Arya")</f>
        <v>Arya</v>
      </c>
      <c r="G720" s="3">
        <f ca="1">IFERROR(__xludf.DUMMYFUNCTION("""COMPUTED_VALUE"""),0)</f>
        <v>0</v>
      </c>
      <c r="H720" s="3" t="str">
        <f ca="1">IFERROR(__xludf.DUMMYFUNCTION("""COMPUTED_VALUE"""),"bicycle")</f>
        <v>bicycle</v>
      </c>
      <c r="I720" s="3" t="str">
        <f ca="1">IFERROR(__xludf.DUMMYFUNCTION("""COMPUTED_VALUE"""),"2055-06-07T18:05:34.395439Z")</f>
        <v>2055-06-07T18:05:34.395439Z</v>
      </c>
      <c r="J720" s="3" t="str">
        <f ca="1">IFERROR(__xludf.DUMMYFUNCTION("""COMPUTED_VALUE"""),"2055-06-07T19:08:24.465Z")</f>
        <v>2055-06-07T19:08:24.465Z</v>
      </c>
      <c r="K720" s="3" t="str">
        <f ca="1">IFERROR(__xludf.DUMMYFUNCTION("""COMPUTED_VALUE"""),"2055-06-07T18:45:06.465Z")</f>
        <v>2055-06-07T18:45:06.465Z</v>
      </c>
      <c r="L720" s="3">
        <f ca="1">IFERROR(__xludf.DUMMYFUNCTION("""COMPUTED_VALUE"""),1)</f>
        <v>1</v>
      </c>
      <c r="M720" s="3">
        <f ca="1">IFERROR(__xludf.DUMMYFUNCTION("""COMPUTED_VALUE"""),0)</f>
        <v>0</v>
      </c>
      <c r="N720" s="3" t="str">
        <f ca="1">IFERROR(__xludf.DUMMYFUNCTION("""COMPUTED_VALUE"""),"2055-06-07T18:31:48.175246Z")</f>
        <v>2055-06-07T18:31:48.175246Z</v>
      </c>
      <c r="O720" s="3" t="str">
        <f ca="1">IFERROR(__xludf.DUMMYFUNCTION("""COMPUTED_VALUE"""),"2055-06-07T18:43:24.524479Z")</f>
        <v>2055-06-07T18:43:24.524479Z</v>
      </c>
      <c r="P720" s="3" t="str">
        <f ca="1">IFERROR(__xludf.DUMMYFUNCTION("""COMPUTED_VALUE"""),"2055-06-07T18:05:54.111212Z")</f>
        <v>2055-06-07T18:05:54.111212Z</v>
      </c>
      <c r="Q720" s="3">
        <f ca="1">IFERROR(__xludf.DUMMYFUNCTION("""COMPUTED_VALUE"""),0)</f>
        <v>0</v>
      </c>
      <c r="R720" s="3" t="str">
        <f ca="1">IFERROR(__xludf.DUMMYFUNCTION("""COMPUTED_VALUE"""),"2055-06-07T18:06:05.667311Z")</f>
        <v>2055-06-07T18:06:05.667311Z</v>
      </c>
      <c r="S720" s="3" t="str">
        <f ca="1">IFERROR(__xludf.DUMMYFUNCTION("""COMPUTED_VALUE"""),"2055-06-07T18:30:17.823696Z")</f>
        <v>2055-06-07T18:30:17.823696Z</v>
      </c>
      <c r="T720" s="3"/>
      <c r="U720" s="4">
        <f ca="1">IFERROR(__xludf.DUMMYFUNCTION("""COMPUTED_VALUE"""),56772)</f>
        <v>56772</v>
      </c>
      <c r="V720" s="3">
        <f ca="1">IFERROR(__xludf.DUMMYFUNCTION("""COMPUTED_VALUE"""),4.3)</f>
        <v>4.3</v>
      </c>
      <c r="W720" s="3">
        <f ca="1">IFERROR(__xludf.DUMMYFUNCTION("""COMPUTED_VALUE"""),2000)</f>
        <v>2000</v>
      </c>
      <c r="X720" s="3">
        <f ca="1">IFERROR(__xludf.DUMMYFUNCTION("""COMPUTED_VALUE"""),2239)</f>
        <v>2239</v>
      </c>
      <c r="Y720" s="3">
        <f ca="1">IFERROR(__xludf.DUMMYFUNCTION("""COMPUTED_VALUE"""),1452)</f>
        <v>1452</v>
      </c>
      <c r="Z720" s="3">
        <f ca="1">IFERROR(__xludf.DUMMYFUNCTION("""COMPUTED_VALUE"""),91)</f>
        <v>91</v>
      </c>
      <c r="AA720" s="3">
        <f ca="1">IFERROR(__xludf.DUMMYFUNCTION("""COMPUTED_VALUE"""),696)</f>
        <v>696</v>
      </c>
      <c r="AB720" s="3">
        <f ca="1">IFERROR(__xludf.DUMMYFUNCTION("""COMPUTED_VALUE"""),1)</f>
        <v>1</v>
      </c>
      <c r="AC720" s="3">
        <f ca="1">IFERROR(__xludf.DUMMYFUNCTION("""COMPUTED_VALUE"""),2)</f>
        <v>2</v>
      </c>
      <c r="AD720" s="3"/>
      <c r="AE720" s="3" t="str">
        <f ca="1">IFERROR(__xludf.DUMMYFUNCTION("""COMPUTED_VALUE"""),"2055-06-07T14:31:48.175246Z")</f>
        <v>2055-06-07T14:31:48.175246Z</v>
      </c>
      <c r="AF720" s="3" t="str">
        <f ca="1">IFERROR(__xludf.DUMMYFUNCTION("""COMPUTED_VALUE"""),"2055-06-07T14:43:24.524479Z")</f>
        <v>2055-06-07T14:43:24.524479Z</v>
      </c>
      <c r="AG720" s="3" t="str">
        <f ca="1">IFERROR(__xludf.DUMMYFUNCTION("""COMPUTED_VALUE"""),"2055-06-07T14:05:54.111212Z")</f>
        <v>2055-06-07T14:05:54.111212Z</v>
      </c>
      <c r="AH720" s="3" t="str">
        <f ca="1">IFERROR(__xludf.DUMMYFUNCTION("""COMPUTED_VALUE"""),"2055-06-07T14:30:17.823696Z")</f>
        <v>2055-06-07T14:30:17.823696Z</v>
      </c>
      <c r="AI720" s="3">
        <f ca="1">IFERROR(__xludf.DUMMYFUNCTION("""COMPUTED_VALUE"""),4.17)</f>
        <v>4.17</v>
      </c>
      <c r="AJ720" s="3">
        <f ca="1">IFERROR(__xludf.DUMMYFUNCTION("""COMPUTED_VALUE"""),457)</f>
        <v>457</v>
      </c>
      <c r="AK720" s="3">
        <f ca="1">IFERROR(__xludf.DUMMYFUNCTION("""COMPUTED_VALUE"""),1599)</f>
        <v>1599</v>
      </c>
      <c r="AL720" s="3"/>
    </row>
    <row r="721" spans="1:38" ht="13">
      <c r="A721" s="3">
        <f ca="1">IFERROR(__xludf.DUMMYFUNCTION("""COMPUTED_VALUE"""),893)</f>
        <v>893</v>
      </c>
      <c r="B721" s="3">
        <f ca="1">IFERROR(__xludf.DUMMYFUNCTION("""COMPUTED_VALUE"""),5)</f>
        <v>5</v>
      </c>
      <c r="C721" s="3">
        <f ca="1">IFERROR(__xludf.DUMMYFUNCTION("""COMPUTED_VALUE"""),4050)</f>
        <v>4050</v>
      </c>
      <c r="D721" s="3" t="str">
        <f ca="1">IFERROR(__xludf.DUMMYFUNCTION("""COMPUTED_VALUE"""),"Doorlanta")</f>
        <v>Doorlanta</v>
      </c>
      <c r="E721" s="3" t="str">
        <f ca="1">IFERROR(__xludf.DUMMYFUNCTION("""COMPUTED_VALUE"""),"Galaxy A")</f>
        <v>Galaxy A</v>
      </c>
      <c r="F721" s="3" t="str">
        <f ca="1">IFERROR(__xludf.DUMMYFUNCTION("""COMPUTED_VALUE"""),"Cate")</f>
        <v>Cate</v>
      </c>
      <c r="G721" s="3">
        <f ca="1">IFERROR(__xludf.DUMMYFUNCTION("""COMPUTED_VALUE"""),0)</f>
        <v>0</v>
      </c>
      <c r="H721" s="3" t="str">
        <f ca="1">IFERROR(__xludf.DUMMYFUNCTION("""COMPUTED_VALUE"""),"car")</f>
        <v>car</v>
      </c>
      <c r="I721" s="3" t="str">
        <f ca="1">IFERROR(__xludf.DUMMYFUNCTION("""COMPUTED_VALUE"""),"2055-06-07T23:36:03.172919Z")</f>
        <v>2055-06-07T23:36:03.172919Z</v>
      </c>
      <c r="J721" s="3" t="str">
        <f ca="1">IFERROR(__xludf.DUMMYFUNCTION("""COMPUTED_VALUE"""),"2055-06-08T00:31:03.229Z")</f>
        <v>2055-06-08T00:31:03.229Z</v>
      </c>
      <c r="K721" s="3" t="str">
        <f ca="1">IFERROR(__xludf.DUMMYFUNCTION("""COMPUTED_VALUE"""),"2055-06-08T00:10:54.229Z")</f>
        <v>2055-06-08T00:10:54.229Z</v>
      </c>
      <c r="L721" s="3">
        <f ca="1">IFERROR(__xludf.DUMMYFUNCTION("""COMPUTED_VALUE"""),1)</f>
        <v>1</v>
      </c>
      <c r="M721" s="3">
        <f ca="1">IFERROR(__xludf.DUMMYFUNCTION("""COMPUTED_VALUE"""),0)</f>
        <v>0</v>
      </c>
      <c r="N721" s="3" t="str">
        <f ca="1">IFERROR(__xludf.DUMMYFUNCTION("""COMPUTED_VALUE"""),"2055-06-07T23:56:16.381947Z")</f>
        <v>2055-06-07T23:56:16.381947Z</v>
      </c>
      <c r="O721" s="3" t="str">
        <f ca="1">IFERROR(__xludf.DUMMYFUNCTION("""COMPUTED_VALUE"""),"2055-06-08T00:02:48.849521Z")</f>
        <v>2055-06-08T00:02:48.849521Z</v>
      </c>
      <c r="P721" s="3" t="str">
        <f ca="1">IFERROR(__xludf.DUMMYFUNCTION("""COMPUTED_VALUE"""),"2055-06-07T23:45:07.543006Z")</f>
        <v>2055-06-07T23:45:07.543006Z</v>
      </c>
      <c r="Q721" s="3">
        <f ca="1">IFERROR(__xludf.DUMMYFUNCTION("""COMPUTED_VALUE"""),0)</f>
        <v>0</v>
      </c>
      <c r="R721" s="3" t="str">
        <f ca="1">IFERROR(__xludf.DUMMYFUNCTION("""COMPUTED_VALUE"""),"2055-06-07T23:45:09.975281Z")</f>
        <v>2055-06-07T23:45:09.975281Z</v>
      </c>
      <c r="S721" s="3" t="str">
        <f ca="1">IFERROR(__xludf.DUMMYFUNCTION("""COMPUTED_VALUE"""),"2055-06-07T23:55:00.595428Z")</f>
        <v>2055-06-07T23:55:00.595428Z</v>
      </c>
      <c r="T721" s="3"/>
      <c r="U721" s="4">
        <f ca="1">IFERROR(__xludf.DUMMYFUNCTION("""COMPUTED_VALUE"""),56772)</f>
        <v>56772</v>
      </c>
      <c r="V721" s="3">
        <f ca="1">IFERROR(__xludf.DUMMYFUNCTION("""COMPUTED_VALUE"""),4.7)</f>
        <v>4.7</v>
      </c>
      <c r="W721" s="3">
        <f ca="1">IFERROR(__xludf.DUMMYFUNCTION("""COMPUTED_VALUE"""),2000)</f>
        <v>2000</v>
      </c>
      <c r="X721" s="3">
        <f ca="1">IFERROR(__xludf.DUMMYFUNCTION("""COMPUTED_VALUE"""),1059)</f>
        <v>1059</v>
      </c>
      <c r="Y721" s="3">
        <f ca="1">IFERROR(__xludf.DUMMYFUNCTION("""COMPUTED_VALUE"""),591)</f>
        <v>591</v>
      </c>
      <c r="Z721" s="3">
        <f ca="1">IFERROR(__xludf.DUMMYFUNCTION("""COMPUTED_VALUE"""),76)</f>
        <v>76</v>
      </c>
      <c r="AA721" s="3">
        <f ca="1">IFERROR(__xludf.DUMMYFUNCTION("""COMPUTED_VALUE"""),392)</f>
        <v>392</v>
      </c>
      <c r="AB721" s="3">
        <f ca="1">IFERROR(__xludf.DUMMYFUNCTION("""COMPUTED_VALUE"""),0)</f>
        <v>0</v>
      </c>
      <c r="AC721" s="3">
        <f ca="1">IFERROR(__xludf.DUMMYFUNCTION("""COMPUTED_VALUE"""),2)</f>
        <v>2</v>
      </c>
      <c r="AD721" s="3" t="str">
        <f ca="1">IFERROR(__xludf.DUMMYFUNCTION("""COMPUTED_VALUE"""),"late")</f>
        <v>late</v>
      </c>
      <c r="AE721" s="3" t="str">
        <f ca="1">IFERROR(__xludf.DUMMYFUNCTION("""COMPUTED_VALUE"""),"2055-06-07T19:56:16.381947Z")</f>
        <v>2055-06-07T19:56:16.381947Z</v>
      </c>
      <c r="AF721" s="3" t="str">
        <f ca="1">IFERROR(__xludf.DUMMYFUNCTION("""COMPUTED_VALUE"""),"2055-06-07T20:02:48.849521Z")</f>
        <v>2055-06-07T20:02:48.849521Z</v>
      </c>
      <c r="AG721" s="3" t="str">
        <f ca="1">IFERROR(__xludf.DUMMYFUNCTION("""COMPUTED_VALUE"""),"2055-06-07T19:45:07.543006Z")</f>
        <v>2055-06-07T19:45:07.543006Z</v>
      </c>
      <c r="AH721" s="3" t="str">
        <f ca="1">IFERROR(__xludf.DUMMYFUNCTION("""COMPUTED_VALUE"""),"2055-06-07T19:55:00.595428Z")</f>
        <v>2055-06-07T19:55:00.595428Z</v>
      </c>
      <c r="AI721" s="3">
        <f ca="1">IFERROR(__xludf.DUMMYFUNCTION("""COMPUTED_VALUE"""),4.49)</f>
        <v>4.49</v>
      </c>
      <c r="AJ721" s="3">
        <f ca="1">IFERROR(__xludf.DUMMYFUNCTION("""COMPUTED_VALUE"""),2315)</f>
        <v>2315</v>
      </c>
      <c r="AK721" s="3">
        <f ca="1">IFERROR(__xludf.DUMMYFUNCTION("""COMPUTED_VALUE"""),7039)</f>
        <v>7039</v>
      </c>
      <c r="AL721" s="3">
        <f ca="1">IFERROR(__xludf.DUMMYFUNCTION("""COMPUTED_VALUE"""),763)</f>
        <v>763</v>
      </c>
    </row>
    <row r="722" spans="1:38" ht="13">
      <c r="A722" s="3">
        <f ca="1">IFERROR(__xludf.DUMMYFUNCTION("""COMPUTED_VALUE"""),928)</f>
        <v>928</v>
      </c>
      <c r="B722" s="3"/>
      <c r="C722" s="3">
        <f ca="1">IFERROR(__xludf.DUMMYFUNCTION("""COMPUTED_VALUE"""),4001)</f>
        <v>4001</v>
      </c>
      <c r="D722" s="3" t="str">
        <f ca="1">IFERROR(__xludf.DUMMYFUNCTION("""COMPUTED_VALUE"""),"Dashattan")</f>
        <v>Dashattan</v>
      </c>
      <c r="E722" s="3" t="str">
        <f ca="1">IFERROR(__xludf.DUMMYFUNCTION("""COMPUTED_VALUE"""),"Galaxy A")</f>
        <v>Galaxy A</v>
      </c>
      <c r="F722" s="3" t="str">
        <f ca="1">IFERROR(__xludf.DUMMYFUNCTION("""COMPUTED_VALUE"""),"Sean")</f>
        <v>Sean</v>
      </c>
      <c r="G722" s="3">
        <f ca="1">IFERROR(__xludf.DUMMYFUNCTION("""COMPUTED_VALUE"""),0)</f>
        <v>0</v>
      </c>
      <c r="H722" s="3" t="str">
        <f ca="1">IFERROR(__xludf.DUMMYFUNCTION("""COMPUTED_VALUE"""),"bicycle")</f>
        <v>bicycle</v>
      </c>
      <c r="I722" s="3" t="str">
        <f ca="1">IFERROR(__xludf.DUMMYFUNCTION("""COMPUTED_VALUE"""),"2055-06-08T14:29:34.162721Z")</f>
        <v>2055-06-08T14:29:34.162721Z</v>
      </c>
      <c r="J722" s="3" t="str">
        <f ca="1">IFERROR(__xludf.DUMMYFUNCTION("""COMPUTED_VALUE"""),"2055-06-08T16:15:00Z")</f>
        <v>2055-06-08T16:15:00Z</v>
      </c>
      <c r="K722" s="3" t="str">
        <f ca="1">IFERROR(__xludf.DUMMYFUNCTION("""COMPUTED_VALUE"""),"2055-06-08T16:15:00Z")</f>
        <v>2055-06-08T16:15:00Z</v>
      </c>
      <c r="L722" s="3">
        <f ca="1">IFERROR(__xludf.DUMMYFUNCTION("""COMPUTED_VALUE"""),0)</f>
        <v>0</v>
      </c>
      <c r="M722" s="3">
        <f ca="1">IFERROR(__xludf.DUMMYFUNCTION("""COMPUTED_VALUE"""),0)</f>
        <v>0</v>
      </c>
      <c r="N722" s="3" t="str">
        <f ca="1">IFERROR(__xludf.DUMMYFUNCTION("""COMPUTED_VALUE"""),"2055-06-08T15:46:48.278514Z")</f>
        <v>2055-06-08T15:46:48.278514Z</v>
      </c>
      <c r="O722" s="3" t="str">
        <f ca="1">IFERROR(__xludf.DUMMYFUNCTION("""COMPUTED_VALUE"""),"2055-06-08T15:54:29.631741Z")</f>
        <v>2055-06-08T15:54:29.631741Z</v>
      </c>
      <c r="P722" s="3" t="str">
        <f ca="1">IFERROR(__xludf.DUMMYFUNCTION("""COMPUTED_VALUE"""),"2055-06-08T15:15:14.247683Z")</f>
        <v>2055-06-08T15:15:14.247683Z</v>
      </c>
      <c r="Q722" s="3">
        <f ca="1">IFERROR(__xludf.DUMMYFUNCTION("""COMPUTED_VALUE"""),0)</f>
        <v>0</v>
      </c>
      <c r="R722" s="3" t="str">
        <f ca="1">IFERROR(__xludf.DUMMYFUNCTION("""COMPUTED_VALUE"""),"2055-06-08T15:16:01.129451Z")</f>
        <v>2055-06-08T15:16:01.129451Z</v>
      </c>
      <c r="S722" s="3" t="str">
        <f ca="1">IFERROR(__xludf.DUMMYFUNCTION("""COMPUTED_VALUE"""),"2055-06-08T15:18:56.370834Z")</f>
        <v>2055-06-08T15:18:56.370834Z</v>
      </c>
      <c r="T722" s="3"/>
      <c r="U722" s="4">
        <f ca="1">IFERROR(__xludf.DUMMYFUNCTION("""COMPUTED_VALUE"""),56773)</f>
        <v>56773</v>
      </c>
      <c r="V722" s="3">
        <f ca="1">IFERROR(__xludf.DUMMYFUNCTION("""COMPUTED_VALUE"""),4.2)</f>
        <v>4.2</v>
      </c>
      <c r="W722" s="3">
        <f ca="1">IFERROR(__xludf.DUMMYFUNCTION("""COMPUTED_VALUE"""),2000)</f>
        <v>2000</v>
      </c>
      <c r="X722" s="3">
        <f ca="1">IFERROR(__xludf.DUMMYFUNCTION("""COMPUTED_VALUE"""),2308)</f>
        <v>2308</v>
      </c>
      <c r="Y722" s="3">
        <f ca="1">IFERROR(__xludf.DUMMYFUNCTION("""COMPUTED_VALUE"""),175)</f>
        <v>175</v>
      </c>
      <c r="Z722" s="3">
        <f ca="1">IFERROR(__xludf.DUMMYFUNCTION("""COMPUTED_VALUE"""),1672)</f>
        <v>1672</v>
      </c>
      <c r="AA722" s="3">
        <f ca="1">IFERROR(__xludf.DUMMYFUNCTION("""COMPUTED_VALUE"""),461)</f>
        <v>461</v>
      </c>
      <c r="AB722" s="3">
        <f ca="1">IFERROR(__xludf.DUMMYFUNCTION("""COMPUTED_VALUE"""),1)</f>
        <v>1</v>
      </c>
      <c r="AC722" s="3">
        <f ca="1">IFERROR(__xludf.DUMMYFUNCTION("""COMPUTED_VALUE"""),1)</f>
        <v>1</v>
      </c>
      <c r="AD722" s="3"/>
      <c r="AE722" s="3" t="str">
        <f ca="1">IFERROR(__xludf.DUMMYFUNCTION("""COMPUTED_VALUE"""),"2055-06-08T11:46:48.278514Z")</f>
        <v>2055-06-08T11:46:48.278514Z</v>
      </c>
      <c r="AF722" s="3" t="str">
        <f ca="1">IFERROR(__xludf.DUMMYFUNCTION("""COMPUTED_VALUE"""),"2055-06-08T11:54:29.631741Z")</f>
        <v>2055-06-08T11:54:29.631741Z</v>
      </c>
      <c r="AG722" s="3" t="str">
        <f ca="1">IFERROR(__xludf.DUMMYFUNCTION("""COMPUTED_VALUE"""),"2055-06-08T11:15:14.247683Z")</f>
        <v>2055-06-08T11:15:14.247683Z</v>
      </c>
      <c r="AH722" s="3" t="str">
        <f ca="1">IFERROR(__xludf.DUMMYFUNCTION("""COMPUTED_VALUE"""),"2055-06-08T11:18:56.370834Z")</f>
        <v>2055-06-08T11:18:56.370834Z</v>
      </c>
      <c r="AI722" s="3">
        <f ca="1">IFERROR(__xludf.DUMMYFUNCTION("""COMPUTED_VALUE"""),4.52)</f>
        <v>4.5199999999999996</v>
      </c>
      <c r="AJ722" s="3">
        <f ca="1">IFERROR(__xludf.DUMMYFUNCTION("""COMPUTED_VALUE"""),183)</f>
        <v>183</v>
      </c>
      <c r="AK722" s="3">
        <f ca="1">IFERROR(__xludf.DUMMYFUNCTION("""COMPUTED_VALUE"""),522)</f>
        <v>522</v>
      </c>
      <c r="AL722" s="3"/>
    </row>
    <row r="723" spans="1:38" ht="13">
      <c r="A723" s="3">
        <f ca="1">IFERROR(__xludf.DUMMYFUNCTION("""COMPUTED_VALUE"""),951)</f>
        <v>951</v>
      </c>
      <c r="B723" s="3">
        <f ca="1">IFERROR(__xludf.DUMMYFUNCTION("""COMPUTED_VALUE"""),5)</f>
        <v>5</v>
      </c>
      <c r="C723" s="3">
        <f ca="1">IFERROR(__xludf.DUMMYFUNCTION("""COMPUTED_VALUE"""),4001)</f>
        <v>4001</v>
      </c>
      <c r="D723" s="3" t="str">
        <f ca="1">IFERROR(__xludf.DUMMYFUNCTION("""COMPUTED_VALUE"""),"Dashattan")</f>
        <v>Dashattan</v>
      </c>
      <c r="E723" s="3" t="str">
        <f ca="1">IFERROR(__xludf.DUMMYFUNCTION("""COMPUTED_VALUE"""),"Galaxy A")</f>
        <v>Galaxy A</v>
      </c>
      <c r="F723" s="3" t="str">
        <f ca="1">IFERROR(__xludf.DUMMYFUNCTION("""COMPUTED_VALUE"""),"Sean")</f>
        <v>Sean</v>
      </c>
      <c r="G723" s="3">
        <f ca="1">IFERROR(__xludf.DUMMYFUNCTION("""COMPUTED_VALUE"""),0)</f>
        <v>0</v>
      </c>
      <c r="H723" s="3" t="str">
        <f ca="1">IFERROR(__xludf.DUMMYFUNCTION("""COMPUTED_VALUE"""),"bicycle")</f>
        <v>bicycle</v>
      </c>
      <c r="I723" s="3" t="str">
        <f ca="1">IFERROR(__xludf.DUMMYFUNCTION("""COMPUTED_VALUE"""),"2055-06-08T17:05:40.373955Z")</f>
        <v>2055-06-08T17:05:40.373955Z</v>
      </c>
      <c r="J723" s="3" t="str">
        <f ca="1">IFERROR(__xludf.DUMMYFUNCTION("""COMPUTED_VALUE"""),"2055-06-08T18:09:53.435Z")</f>
        <v>2055-06-08T18:09:53.435Z</v>
      </c>
      <c r="K723" s="3" t="str">
        <f ca="1">IFERROR(__xludf.DUMMYFUNCTION("""COMPUTED_VALUE"""),"2055-06-08T17:45:12.435Z")</f>
        <v>2055-06-08T17:45:12.435Z</v>
      </c>
      <c r="L723" s="3">
        <f ca="1">IFERROR(__xludf.DUMMYFUNCTION("""COMPUTED_VALUE"""),1)</f>
        <v>1</v>
      </c>
      <c r="M723" s="3">
        <f ca="1">IFERROR(__xludf.DUMMYFUNCTION("""COMPUTED_VALUE"""),0)</f>
        <v>0</v>
      </c>
      <c r="N723" s="3" t="str">
        <f ca="1">IFERROR(__xludf.DUMMYFUNCTION("""COMPUTED_VALUE"""),"2055-06-08T17:32:32.265593Z")</f>
        <v>2055-06-08T17:32:32.265593Z</v>
      </c>
      <c r="O723" s="3" t="str">
        <f ca="1">IFERROR(__xludf.DUMMYFUNCTION("""COMPUTED_VALUE"""),"2055-06-08T17:41:23.348927Z")</f>
        <v>2055-06-08T17:41:23.348927Z</v>
      </c>
      <c r="P723" s="3" t="str">
        <f ca="1">IFERROR(__xludf.DUMMYFUNCTION("""COMPUTED_VALUE"""),"2055-06-08T17:18:55.828787Z")</f>
        <v>2055-06-08T17:18:55.828787Z</v>
      </c>
      <c r="Q723" s="3">
        <f ca="1">IFERROR(__xludf.DUMMYFUNCTION("""COMPUTED_VALUE"""),0)</f>
        <v>0</v>
      </c>
      <c r="R723" s="3" t="str">
        <f ca="1">IFERROR(__xludf.DUMMYFUNCTION("""COMPUTED_VALUE"""),"2055-06-08T17:19:30.61106Z")</f>
        <v>2055-06-08T17:19:30.61106Z</v>
      </c>
      <c r="S723" s="3" t="str">
        <f ca="1">IFERROR(__xludf.DUMMYFUNCTION("""COMPUTED_VALUE"""),"2055-06-08T17:30:41.629744Z")</f>
        <v>2055-06-08T17:30:41.629744Z</v>
      </c>
      <c r="T723" s="3"/>
      <c r="U723" s="4">
        <f ca="1">IFERROR(__xludf.DUMMYFUNCTION("""COMPUTED_VALUE"""),56773)</f>
        <v>56773</v>
      </c>
      <c r="V723" s="3">
        <f ca="1">IFERROR(__xludf.DUMMYFUNCTION("""COMPUTED_VALUE"""),4.6)</f>
        <v>4.5999999999999996</v>
      </c>
      <c r="W723" s="3">
        <f ca="1">IFERROR(__xludf.DUMMYFUNCTION("""COMPUTED_VALUE"""),2000)</f>
        <v>2000</v>
      </c>
      <c r="X723" s="3">
        <f ca="1">IFERROR(__xludf.DUMMYFUNCTION("""COMPUTED_VALUE"""),1313)</f>
        <v>1313</v>
      </c>
      <c r="Y723" s="3">
        <f ca="1">IFERROR(__xludf.DUMMYFUNCTION("""COMPUTED_VALUE"""),671)</f>
        <v>671</v>
      </c>
      <c r="Z723" s="3">
        <f ca="1">IFERROR(__xludf.DUMMYFUNCTION("""COMPUTED_VALUE"""),111)</f>
        <v>111</v>
      </c>
      <c r="AA723" s="3">
        <f ca="1">IFERROR(__xludf.DUMMYFUNCTION("""COMPUTED_VALUE"""),531)</f>
        <v>531</v>
      </c>
      <c r="AB723" s="3">
        <f ca="1">IFERROR(__xludf.DUMMYFUNCTION("""COMPUTED_VALUE"""),0)</f>
        <v>0</v>
      </c>
      <c r="AC723" s="3">
        <f ca="1">IFERROR(__xludf.DUMMYFUNCTION("""COMPUTED_VALUE"""),1)</f>
        <v>1</v>
      </c>
      <c r="AD723" s="3" t="str">
        <f ca="1">IFERROR(__xludf.DUMMYFUNCTION("""COMPUTED_VALUE"""),"late")</f>
        <v>late</v>
      </c>
      <c r="AE723" s="3" t="str">
        <f ca="1">IFERROR(__xludf.DUMMYFUNCTION("""COMPUTED_VALUE"""),"2055-06-08T13:32:32.265593Z")</f>
        <v>2055-06-08T13:32:32.265593Z</v>
      </c>
      <c r="AF723" s="3" t="str">
        <f ca="1">IFERROR(__xludf.DUMMYFUNCTION("""COMPUTED_VALUE"""),"2055-06-08T13:41:23.348927Z")</f>
        <v>2055-06-08T13:41:23.348927Z</v>
      </c>
      <c r="AG723" s="3" t="str">
        <f ca="1">IFERROR(__xludf.DUMMYFUNCTION("""COMPUTED_VALUE"""),"2055-06-08T13:18:55.828787Z")</f>
        <v>2055-06-08T13:18:55.828787Z</v>
      </c>
      <c r="AH723" s="3" t="str">
        <f ca="1">IFERROR(__xludf.DUMMYFUNCTION("""COMPUTED_VALUE"""),"2055-06-08T13:30:41.629744Z")</f>
        <v>2055-06-08T13:30:41.629744Z</v>
      </c>
      <c r="AI723" s="3">
        <f ca="1">IFERROR(__xludf.DUMMYFUNCTION("""COMPUTED_VALUE"""),4.52)</f>
        <v>4.5199999999999996</v>
      </c>
      <c r="AJ723" s="3">
        <f ca="1">IFERROR(__xludf.DUMMYFUNCTION("""COMPUTED_VALUE"""),183)</f>
        <v>183</v>
      </c>
      <c r="AK723" s="3">
        <f ca="1">IFERROR(__xludf.DUMMYFUNCTION("""COMPUTED_VALUE"""),522)</f>
        <v>522</v>
      </c>
      <c r="AL723" s="3"/>
    </row>
    <row r="724" spans="1:38" ht="13">
      <c r="A724" s="3">
        <f ca="1">IFERROR(__xludf.DUMMYFUNCTION("""COMPUTED_VALUE"""),1022)</f>
        <v>1022</v>
      </c>
      <c r="B724" s="3">
        <f ca="1">IFERROR(__xludf.DUMMYFUNCTION("""COMPUTED_VALUE"""),5)</f>
        <v>5</v>
      </c>
      <c r="C724" s="3">
        <f ca="1">IFERROR(__xludf.DUMMYFUNCTION("""COMPUTED_VALUE"""),4001)</f>
        <v>4001</v>
      </c>
      <c r="D724" s="3" t="str">
        <f ca="1">IFERROR(__xludf.DUMMYFUNCTION("""COMPUTED_VALUE"""),"Dashattan")</f>
        <v>Dashattan</v>
      </c>
      <c r="E724" s="3" t="str">
        <f ca="1">IFERROR(__xludf.DUMMYFUNCTION("""COMPUTED_VALUE"""),"Galaxy A")</f>
        <v>Galaxy A</v>
      </c>
      <c r="F724" s="3" t="str">
        <f ca="1">IFERROR(__xludf.DUMMYFUNCTION("""COMPUTED_VALUE"""),"Sean")</f>
        <v>Sean</v>
      </c>
      <c r="G724" s="3">
        <f ca="1">IFERROR(__xludf.DUMMYFUNCTION("""COMPUTED_VALUE"""),0)</f>
        <v>0</v>
      </c>
      <c r="H724" s="3" t="str">
        <f ca="1">IFERROR(__xludf.DUMMYFUNCTION("""COMPUTED_VALUE"""),"bicycle")</f>
        <v>bicycle</v>
      </c>
      <c r="I724" s="3" t="str">
        <f ca="1">IFERROR(__xludf.DUMMYFUNCTION("""COMPUTED_VALUE"""),"2055-06-09T15:25:51.689925Z")</f>
        <v>2055-06-09T15:25:51.689925Z</v>
      </c>
      <c r="J724" s="3" t="str">
        <f ca="1">IFERROR(__xludf.DUMMYFUNCTION("""COMPUTED_VALUE"""),"2055-06-09T16:24:49.749Z")</f>
        <v>2055-06-09T16:24:49.749Z</v>
      </c>
      <c r="K724" s="3" t="str">
        <f ca="1">IFERROR(__xludf.DUMMYFUNCTION("""COMPUTED_VALUE"""),"2055-06-09T16:05:10.749Z")</f>
        <v>2055-06-09T16:05:10.749Z</v>
      </c>
      <c r="L724" s="3">
        <f ca="1">IFERROR(__xludf.DUMMYFUNCTION("""COMPUTED_VALUE"""),1)</f>
        <v>1</v>
      </c>
      <c r="M724" s="3">
        <f ca="1">IFERROR(__xludf.DUMMYFUNCTION("""COMPUTED_VALUE"""),0)</f>
        <v>0</v>
      </c>
      <c r="N724" s="3" t="str">
        <f ca="1">IFERROR(__xludf.DUMMYFUNCTION("""COMPUTED_VALUE"""),"2055-06-09T15:47:17.437585Z")</f>
        <v>2055-06-09T15:47:17.437585Z</v>
      </c>
      <c r="O724" s="3" t="str">
        <f ca="1">IFERROR(__xludf.DUMMYFUNCTION("""COMPUTED_VALUE"""),"2055-06-09T15:55:28.1445Z")</f>
        <v>2055-06-09T15:55:28.1445Z</v>
      </c>
      <c r="P724" s="3" t="str">
        <f ca="1">IFERROR(__xludf.DUMMYFUNCTION("""COMPUTED_VALUE"""),"2055-06-09T15:41:14.718843Z")</f>
        <v>2055-06-09T15:41:14.718843Z</v>
      </c>
      <c r="Q724" s="3">
        <f ca="1">IFERROR(__xludf.DUMMYFUNCTION("""COMPUTED_VALUE"""),0)</f>
        <v>0</v>
      </c>
      <c r="R724" s="3" t="str">
        <f ca="1">IFERROR(__xludf.DUMMYFUNCTION("""COMPUTED_VALUE"""),"2055-06-09T15:41:47.332473Z")</f>
        <v>2055-06-09T15:41:47.332473Z</v>
      </c>
      <c r="S724" s="3" t="str">
        <f ca="1">IFERROR(__xludf.DUMMYFUNCTION("""COMPUTED_VALUE"""),"2055-06-09T15:44:01.135344Z")</f>
        <v>2055-06-09T15:44:01.135344Z</v>
      </c>
      <c r="T724" s="3"/>
      <c r="U724" s="4">
        <f ca="1">IFERROR(__xludf.DUMMYFUNCTION("""COMPUTED_VALUE"""),56774)</f>
        <v>56774</v>
      </c>
      <c r="V724" s="3">
        <f ca="1">IFERROR(__xludf.DUMMYFUNCTION("""COMPUTED_VALUE"""),4.5)</f>
        <v>4.5</v>
      </c>
      <c r="W724" s="3">
        <f ca="1">IFERROR(__xludf.DUMMYFUNCTION("""COMPUTED_VALUE"""),2000)</f>
        <v>2000</v>
      </c>
      <c r="X724" s="3">
        <f ca="1">IFERROR(__xludf.DUMMYFUNCTION("""COMPUTED_VALUE"""),821)</f>
        <v>821</v>
      </c>
      <c r="Y724" s="3">
        <f ca="1">IFERROR(__xludf.DUMMYFUNCTION("""COMPUTED_VALUE"""),134)</f>
        <v>134</v>
      </c>
      <c r="Z724" s="3">
        <f ca="1">IFERROR(__xludf.DUMMYFUNCTION("""COMPUTED_VALUE"""),196)</f>
        <v>196</v>
      </c>
      <c r="AA724" s="3">
        <f ca="1">IFERROR(__xludf.DUMMYFUNCTION("""COMPUTED_VALUE"""),491)</f>
        <v>491</v>
      </c>
      <c r="AB724" s="3">
        <f ca="1">IFERROR(__xludf.DUMMYFUNCTION("""COMPUTED_VALUE"""),0)</f>
        <v>0</v>
      </c>
      <c r="AC724" s="3">
        <f ca="1">IFERROR(__xludf.DUMMYFUNCTION("""COMPUTED_VALUE"""),1)</f>
        <v>1</v>
      </c>
      <c r="AD724" s="3" t="str">
        <f ca="1">IFERROR(__xludf.DUMMYFUNCTION("""COMPUTED_VALUE"""),"on time")</f>
        <v>on time</v>
      </c>
      <c r="AE724" s="3" t="str">
        <f ca="1">IFERROR(__xludf.DUMMYFUNCTION("""COMPUTED_VALUE"""),"2055-06-09T11:47:17.437585Z")</f>
        <v>2055-06-09T11:47:17.437585Z</v>
      </c>
      <c r="AF724" s="3" t="str">
        <f ca="1">IFERROR(__xludf.DUMMYFUNCTION("""COMPUTED_VALUE"""),"2055-06-09T11:55:28.1445Z")</f>
        <v>2055-06-09T11:55:28.1445Z</v>
      </c>
      <c r="AG724" s="3" t="str">
        <f ca="1">IFERROR(__xludf.DUMMYFUNCTION("""COMPUTED_VALUE"""),"2055-06-09T11:41:14.718843Z")</f>
        <v>2055-06-09T11:41:14.718843Z</v>
      </c>
      <c r="AH724" s="3" t="str">
        <f ca="1">IFERROR(__xludf.DUMMYFUNCTION("""COMPUTED_VALUE"""),"2055-06-09T11:44:01.135344Z")</f>
        <v>2055-06-09T11:44:01.135344Z</v>
      </c>
      <c r="AI724" s="3">
        <f ca="1">IFERROR(__xludf.DUMMYFUNCTION("""COMPUTED_VALUE"""),4.52)</f>
        <v>4.5199999999999996</v>
      </c>
      <c r="AJ724" s="3">
        <f ca="1">IFERROR(__xludf.DUMMYFUNCTION("""COMPUTED_VALUE"""),183)</f>
        <v>183</v>
      </c>
      <c r="AK724" s="3">
        <f ca="1">IFERROR(__xludf.DUMMYFUNCTION("""COMPUTED_VALUE"""),522)</f>
        <v>522</v>
      </c>
      <c r="AL724" s="3"/>
    </row>
    <row r="725" spans="1:38" ht="13">
      <c r="A725" s="3">
        <f ca="1">IFERROR(__xludf.DUMMYFUNCTION("""COMPUTED_VALUE"""),1226)</f>
        <v>1226</v>
      </c>
      <c r="B725" s="3">
        <f ca="1">IFERROR(__xludf.DUMMYFUNCTION("""COMPUTED_VALUE"""),5)</f>
        <v>5</v>
      </c>
      <c r="C725" s="3">
        <f ca="1">IFERROR(__xludf.DUMMYFUNCTION("""COMPUTED_VALUE"""),4001)</f>
        <v>4001</v>
      </c>
      <c r="D725" s="3" t="str">
        <f ca="1">IFERROR(__xludf.DUMMYFUNCTION("""COMPUTED_VALUE"""),"Dashattan")</f>
        <v>Dashattan</v>
      </c>
      <c r="E725" s="3" t="str">
        <f ca="1">IFERROR(__xludf.DUMMYFUNCTION("""COMPUTED_VALUE"""),"Galaxy A")</f>
        <v>Galaxy A</v>
      </c>
      <c r="F725" s="3" t="str">
        <f ca="1">IFERROR(__xludf.DUMMYFUNCTION("""COMPUTED_VALUE"""),"Awstin")</f>
        <v>Awstin</v>
      </c>
      <c r="G725" s="3">
        <f ca="1">IFERROR(__xludf.DUMMYFUNCTION("""COMPUTED_VALUE"""),0)</f>
        <v>0</v>
      </c>
      <c r="H725" s="3" t="str">
        <f ca="1">IFERROR(__xludf.DUMMYFUNCTION("""COMPUTED_VALUE"""),"bicycle")</f>
        <v>bicycle</v>
      </c>
      <c r="I725" s="3" t="str">
        <f ca="1">IFERROR(__xludf.DUMMYFUNCTION("""COMPUTED_VALUE"""),"2055-06-11T01:40:25.365199Z")</f>
        <v>2055-06-11T01:40:25.365199Z</v>
      </c>
      <c r="J725" s="3" t="str">
        <f ca="1">IFERROR(__xludf.DUMMYFUNCTION("""COMPUTED_VALUE"""),"2055-06-11T02:28:09.424Z")</f>
        <v>2055-06-11T02:28:09.424Z</v>
      </c>
      <c r="K725" s="3" t="str">
        <f ca="1">IFERROR(__xludf.DUMMYFUNCTION("""COMPUTED_VALUE"""),"2055-06-11T02:21:15.424Z")</f>
        <v>2055-06-11T02:21:15.424Z</v>
      </c>
      <c r="L725" s="3">
        <f ca="1">IFERROR(__xludf.DUMMYFUNCTION("""COMPUTED_VALUE"""),1)</f>
        <v>1</v>
      </c>
      <c r="M725" s="3">
        <f ca="1">IFERROR(__xludf.DUMMYFUNCTION("""COMPUTED_VALUE"""),0)</f>
        <v>0</v>
      </c>
      <c r="N725" s="3" t="str">
        <f ca="1">IFERROR(__xludf.DUMMYFUNCTION("""COMPUTED_VALUE"""),"2055-06-11T02:09:29.930313Z")</f>
        <v>2055-06-11T02:09:29.930313Z</v>
      </c>
      <c r="O725" s="3" t="str">
        <f ca="1">IFERROR(__xludf.DUMMYFUNCTION("""COMPUTED_VALUE"""),"2055-06-11T02:28:07.443125Z")</f>
        <v>2055-06-11T02:28:07.443125Z</v>
      </c>
      <c r="P725" s="3" t="str">
        <f ca="1">IFERROR(__xludf.DUMMYFUNCTION("""COMPUTED_VALUE"""),"2055-06-11T01:44:54.725421Z")</f>
        <v>2055-06-11T01:44:54.725421Z</v>
      </c>
      <c r="Q725" s="3">
        <f ca="1">IFERROR(__xludf.DUMMYFUNCTION("""COMPUTED_VALUE"""),0)</f>
        <v>0</v>
      </c>
      <c r="R725" s="3" t="str">
        <f ca="1">IFERROR(__xludf.DUMMYFUNCTION("""COMPUTED_VALUE"""),"2055-06-11T01:45:03.594345Z")</f>
        <v>2055-06-11T01:45:03.594345Z</v>
      </c>
      <c r="S725" s="3" t="str">
        <f ca="1">IFERROR(__xludf.DUMMYFUNCTION("""COMPUTED_VALUE"""),"2055-06-11T01:54:03.452044Z")</f>
        <v>2055-06-11T01:54:03.452044Z</v>
      </c>
      <c r="T725" s="3"/>
      <c r="U725" s="4">
        <f ca="1">IFERROR(__xludf.DUMMYFUNCTION("""COMPUTED_VALUE"""),56775)</f>
        <v>56775</v>
      </c>
      <c r="V725" s="3">
        <f ca="1">IFERROR(__xludf.DUMMYFUNCTION("""COMPUTED_VALUE"""),4.6)</f>
        <v>4.5999999999999996</v>
      </c>
      <c r="W725" s="3">
        <f ca="1">IFERROR(__xludf.DUMMYFUNCTION("""COMPUTED_VALUE"""),2000)</f>
        <v>2000</v>
      </c>
      <c r="X725" s="3">
        <f ca="1">IFERROR(__xludf.DUMMYFUNCTION("""COMPUTED_VALUE"""),2584)</f>
        <v>2584</v>
      </c>
      <c r="Y725" s="3">
        <f ca="1">IFERROR(__xludf.DUMMYFUNCTION("""COMPUTED_VALUE"""),540)</f>
        <v>540</v>
      </c>
      <c r="Z725" s="3">
        <f ca="1">IFERROR(__xludf.DUMMYFUNCTION("""COMPUTED_VALUE"""),926)</f>
        <v>926</v>
      </c>
      <c r="AA725" s="3">
        <f ca="1">IFERROR(__xludf.DUMMYFUNCTION("""COMPUTED_VALUE"""),1118)</f>
        <v>1118</v>
      </c>
      <c r="AB725" s="3">
        <f ca="1">IFERROR(__xludf.DUMMYFUNCTION("""COMPUTED_VALUE"""),0)</f>
        <v>0</v>
      </c>
      <c r="AC725" s="3">
        <f ca="1">IFERROR(__xludf.DUMMYFUNCTION("""COMPUTED_VALUE"""),2)</f>
        <v>2</v>
      </c>
      <c r="AD725" s="3" t="str">
        <f ca="1">IFERROR(__xludf.DUMMYFUNCTION("""COMPUTED_VALUE"""),"on time")</f>
        <v>on time</v>
      </c>
      <c r="AE725" s="3" t="str">
        <f ca="1">IFERROR(__xludf.DUMMYFUNCTION("""COMPUTED_VALUE"""),"2055-06-10T22:09:29.930313Z")</f>
        <v>2055-06-10T22:09:29.930313Z</v>
      </c>
      <c r="AF725" s="3" t="str">
        <f ca="1">IFERROR(__xludf.DUMMYFUNCTION("""COMPUTED_VALUE"""),"2055-06-10T22:28:07.443125Z")</f>
        <v>2055-06-10T22:28:07.443125Z</v>
      </c>
      <c r="AG725" s="3" t="str">
        <f ca="1">IFERROR(__xludf.DUMMYFUNCTION("""COMPUTED_VALUE"""),"2055-06-10T21:44:54.725421Z")</f>
        <v>2055-06-10T21:44:54.725421Z</v>
      </c>
      <c r="AH725" s="3" t="str">
        <f ca="1">IFERROR(__xludf.DUMMYFUNCTION("""COMPUTED_VALUE"""),"2055-06-10T21:54:03.452044Z")</f>
        <v>2055-06-10T21:54:03.452044Z</v>
      </c>
      <c r="AI725" s="3">
        <f ca="1">IFERROR(__xludf.DUMMYFUNCTION("""COMPUTED_VALUE"""),4.5)</f>
        <v>4.5</v>
      </c>
      <c r="AJ725" s="3">
        <f ca="1">IFERROR(__xludf.DUMMYFUNCTION("""COMPUTED_VALUE"""),394)</f>
        <v>394</v>
      </c>
      <c r="AK725" s="3">
        <f ca="1">IFERROR(__xludf.DUMMYFUNCTION("""COMPUTED_VALUE"""),1403)</f>
        <v>1403</v>
      </c>
      <c r="AL725" s="3"/>
    </row>
    <row r="726" spans="1:38" ht="13">
      <c r="A726" s="3">
        <f ca="1">IFERROR(__xludf.DUMMYFUNCTION("""COMPUTED_VALUE"""),1538)</f>
        <v>1538</v>
      </c>
      <c r="B726" s="3"/>
      <c r="C726" s="3">
        <f ca="1">IFERROR(__xludf.DUMMYFUNCTION("""COMPUTED_VALUE"""),4001)</f>
        <v>4001</v>
      </c>
      <c r="D726" s="3" t="str">
        <f ca="1">IFERROR(__xludf.DUMMYFUNCTION("""COMPUTED_VALUE"""),"Dashattan")</f>
        <v>Dashattan</v>
      </c>
      <c r="E726" s="3" t="str">
        <f ca="1">IFERROR(__xludf.DUMMYFUNCTION("""COMPUTED_VALUE"""),"Galaxy A")</f>
        <v>Galaxy A</v>
      </c>
      <c r="F726" s="3" t="str">
        <f ca="1">IFERROR(__xludf.DUMMYFUNCTION("""COMPUTED_VALUE"""),"J")</f>
        <v>J</v>
      </c>
      <c r="G726" s="3">
        <f ca="1">IFERROR(__xludf.DUMMYFUNCTION("""COMPUTED_VALUE"""),0)</f>
        <v>0</v>
      </c>
      <c r="H726" s="3" t="str">
        <f ca="1">IFERROR(__xludf.DUMMYFUNCTION("""COMPUTED_VALUE"""),"bicycle")</f>
        <v>bicycle</v>
      </c>
      <c r="I726" s="3" t="str">
        <f ca="1">IFERROR(__xludf.DUMMYFUNCTION("""COMPUTED_VALUE"""),"2055-06-13T01:26:45.098828Z")</f>
        <v>2055-06-13T01:26:45.098828Z</v>
      </c>
      <c r="J726" s="3" t="str">
        <f ca="1">IFERROR(__xludf.DUMMYFUNCTION("""COMPUTED_VALUE"""),"2055-06-13T02:16:26.161Z")</f>
        <v>2055-06-13T02:16:26.161Z</v>
      </c>
      <c r="K726" s="3" t="str">
        <f ca="1">IFERROR(__xludf.DUMMYFUNCTION("""COMPUTED_VALUE"""),"2055-06-13T01:58:08.161Z")</f>
        <v>2055-06-13T01:58:08.161Z</v>
      </c>
      <c r="L726" s="3">
        <f ca="1">IFERROR(__xludf.DUMMYFUNCTION("""COMPUTED_VALUE"""),1)</f>
        <v>1</v>
      </c>
      <c r="M726" s="3">
        <f ca="1">IFERROR(__xludf.DUMMYFUNCTION("""COMPUTED_VALUE"""),0)</f>
        <v>0</v>
      </c>
      <c r="N726" s="3" t="str">
        <f ca="1">IFERROR(__xludf.DUMMYFUNCTION("""COMPUTED_VALUE"""),"2055-06-13T01:44:31.042551Z")</f>
        <v>2055-06-13T01:44:31.042551Z</v>
      </c>
      <c r="O726" s="3" t="str">
        <f ca="1">IFERROR(__xludf.DUMMYFUNCTION("""COMPUTED_VALUE"""),"2055-06-13T01:53:11.281702Z")</f>
        <v>2055-06-13T01:53:11.281702Z</v>
      </c>
      <c r="P726" s="3" t="str">
        <f ca="1">IFERROR(__xludf.DUMMYFUNCTION("""COMPUTED_VALUE"""),"2055-06-13T01:32:54.554641Z")</f>
        <v>2055-06-13T01:32:54.554641Z</v>
      </c>
      <c r="Q726" s="3">
        <f ca="1">IFERROR(__xludf.DUMMYFUNCTION("""COMPUTED_VALUE"""),0)</f>
        <v>0</v>
      </c>
      <c r="R726" s="3" t="str">
        <f ca="1">IFERROR(__xludf.DUMMYFUNCTION("""COMPUTED_VALUE"""),"2055-06-13T01:33:05.574419Z")</f>
        <v>2055-06-13T01:33:05.574419Z</v>
      </c>
      <c r="S726" s="3" t="str">
        <f ca="1">IFERROR(__xludf.DUMMYFUNCTION("""COMPUTED_VALUE"""),"2055-06-13T01:44:25.457154Z")</f>
        <v>2055-06-13T01:44:25.457154Z</v>
      </c>
      <c r="T726" s="3"/>
      <c r="U726" s="4">
        <f ca="1">IFERROR(__xludf.DUMMYFUNCTION("""COMPUTED_VALUE"""),56777)</f>
        <v>56777</v>
      </c>
      <c r="V726" s="3">
        <f ca="1">IFERROR(__xludf.DUMMYFUNCTION("""COMPUTED_VALUE"""),4.6)</f>
        <v>4.5999999999999996</v>
      </c>
      <c r="W726" s="3">
        <f ca="1">IFERROR(__xludf.DUMMYFUNCTION("""COMPUTED_VALUE"""),2000)</f>
        <v>2000</v>
      </c>
      <c r="X726" s="3">
        <f ca="1">IFERROR(__xludf.DUMMYFUNCTION("""COMPUTED_VALUE"""),1206)</f>
        <v>1206</v>
      </c>
      <c r="Y726" s="3">
        <f ca="1">IFERROR(__xludf.DUMMYFUNCTION("""COMPUTED_VALUE"""),680)</f>
        <v>680</v>
      </c>
      <c r="Z726" s="3">
        <f ca="1">IFERROR(__xludf.DUMMYFUNCTION("""COMPUTED_VALUE"""),6)</f>
        <v>6</v>
      </c>
      <c r="AA726" s="3">
        <f ca="1">IFERROR(__xludf.DUMMYFUNCTION("""COMPUTED_VALUE"""),520)</f>
        <v>520</v>
      </c>
      <c r="AB726" s="3">
        <f ca="1">IFERROR(__xludf.DUMMYFUNCTION("""COMPUTED_VALUE"""),0)</f>
        <v>0</v>
      </c>
      <c r="AC726" s="3">
        <f ca="1">IFERROR(__xludf.DUMMYFUNCTION("""COMPUTED_VALUE"""),1)</f>
        <v>1</v>
      </c>
      <c r="AD726" s="3" t="str">
        <f ca="1">IFERROR(__xludf.DUMMYFUNCTION("""COMPUTED_VALUE"""),"on time")</f>
        <v>on time</v>
      </c>
      <c r="AE726" s="3" t="str">
        <f ca="1">IFERROR(__xludf.DUMMYFUNCTION("""COMPUTED_VALUE"""),"2055-06-12T21:44:31.042551Z")</f>
        <v>2055-06-12T21:44:31.042551Z</v>
      </c>
      <c r="AF726" s="3" t="str">
        <f ca="1">IFERROR(__xludf.DUMMYFUNCTION("""COMPUTED_VALUE"""),"2055-06-12T21:53:11.281702Z")</f>
        <v>2055-06-12T21:53:11.281702Z</v>
      </c>
      <c r="AG726" s="3" t="str">
        <f ca="1">IFERROR(__xludf.DUMMYFUNCTION("""COMPUTED_VALUE"""),"2055-06-12T21:32:54.554641Z")</f>
        <v>2055-06-12T21:32:54.554641Z</v>
      </c>
      <c r="AH726" s="3" t="str">
        <f ca="1">IFERROR(__xludf.DUMMYFUNCTION("""COMPUTED_VALUE"""),"2055-06-12T21:44:25.457154Z")</f>
        <v>2055-06-12T21:44:25.457154Z</v>
      </c>
      <c r="AI726" s="3">
        <f ca="1">IFERROR(__xludf.DUMMYFUNCTION("""COMPUTED_VALUE"""),4.6)</f>
        <v>4.5999999999999996</v>
      </c>
      <c r="AJ726" s="3">
        <f ca="1">IFERROR(__xludf.DUMMYFUNCTION("""COMPUTED_VALUE"""),292)</f>
        <v>292</v>
      </c>
      <c r="AK726" s="3">
        <f ca="1">IFERROR(__xludf.DUMMYFUNCTION("""COMPUTED_VALUE"""),1027)</f>
        <v>1027</v>
      </c>
      <c r="AL726" s="3">
        <f ca="1">IFERROR(__xludf.DUMMYFUNCTION("""COMPUTED_VALUE"""),26)</f>
        <v>26</v>
      </c>
    </row>
    <row r="727" spans="1:38" ht="13">
      <c r="A727" s="3">
        <f ca="1">IFERROR(__xludf.DUMMYFUNCTION("""COMPUTED_VALUE"""),1584)</f>
        <v>1584</v>
      </c>
      <c r="B727" s="3">
        <f ca="1">IFERROR(__xludf.DUMMYFUNCTION("""COMPUTED_VALUE"""),5)</f>
        <v>5</v>
      </c>
      <c r="C727" s="3">
        <f ca="1">IFERROR(__xludf.DUMMYFUNCTION("""COMPUTED_VALUE"""),4001)</f>
        <v>4001</v>
      </c>
      <c r="D727" s="3" t="str">
        <f ca="1">IFERROR(__xludf.DUMMYFUNCTION("""COMPUTED_VALUE"""),"Dashattan")</f>
        <v>Dashattan</v>
      </c>
      <c r="E727" s="3" t="str">
        <f ca="1">IFERROR(__xludf.DUMMYFUNCTION("""COMPUTED_VALUE"""),"Galaxy A")</f>
        <v>Galaxy A</v>
      </c>
      <c r="F727" s="3" t="str">
        <f ca="1">IFERROR(__xludf.DUMMYFUNCTION("""COMPUTED_VALUE"""),"KC")</f>
        <v>KC</v>
      </c>
      <c r="G727" s="3">
        <f ca="1">IFERROR(__xludf.DUMMYFUNCTION("""COMPUTED_VALUE"""),0)</f>
        <v>0</v>
      </c>
      <c r="H727" s="3" t="str">
        <f ca="1">IFERROR(__xludf.DUMMYFUNCTION("""COMPUTED_VALUE"""),"car")</f>
        <v>car</v>
      </c>
      <c r="I727" s="3" t="str">
        <f ca="1">IFERROR(__xludf.DUMMYFUNCTION("""COMPUTED_VALUE"""),"2055-06-13T18:43:22.221563Z")</f>
        <v>2055-06-13T18:43:22.221563Z</v>
      </c>
      <c r="J727" s="3" t="str">
        <f ca="1">IFERROR(__xludf.DUMMYFUNCTION("""COMPUTED_VALUE"""),"2055-06-13T19:31:33.33Z")</f>
        <v>2055-06-13T19:31:33.33Z</v>
      </c>
      <c r="K727" s="3" t="str">
        <f ca="1">IFERROR(__xludf.DUMMYFUNCTION("""COMPUTED_VALUE"""),"2055-06-13T19:12:40.33Z")</f>
        <v>2055-06-13T19:12:40.33Z</v>
      </c>
      <c r="L727" s="3">
        <f ca="1">IFERROR(__xludf.DUMMYFUNCTION("""COMPUTED_VALUE"""),1)</f>
        <v>1</v>
      </c>
      <c r="M727" s="3">
        <f ca="1">IFERROR(__xludf.DUMMYFUNCTION("""COMPUTED_VALUE"""),0)</f>
        <v>0</v>
      </c>
      <c r="N727" s="3" t="str">
        <f ca="1">IFERROR(__xludf.DUMMYFUNCTION("""COMPUTED_VALUE"""),"2055-06-13T18:56:19.786979Z")</f>
        <v>2055-06-13T18:56:19.786979Z</v>
      </c>
      <c r="O727" s="3" t="str">
        <f ca="1">IFERROR(__xludf.DUMMYFUNCTION("""COMPUTED_VALUE"""),"2055-06-13T19:04:43.471734Z")</f>
        <v>2055-06-13T19:04:43.471734Z</v>
      </c>
      <c r="P727" s="3" t="str">
        <f ca="1">IFERROR(__xludf.DUMMYFUNCTION("""COMPUTED_VALUE"""),"2055-06-13T18:50:14.208778Z")</f>
        <v>2055-06-13T18:50:14.208778Z</v>
      </c>
      <c r="Q727" s="3">
        <f ca="1">IFERROR(__xludf.DUMMYFUNCTION("""COMPUTED_VALUE"""),0)</f>
        <v>0</v>
      </c>
      <c r="R727" s="3" t="str">
        <f ca="1">IFERROR(__xludf.DUMMYFUNCTION("""COMPUTED_VALUE"""),"2055-06-13T18:50:23.914687Z")</f>
        <v>2055-06-13T18:50:23.914687Z</v>
      </c>
      <c r="S727" s="3" t="str">
        <f ca="1">IFERROR(__xludf.DUMMYFUNCTION("""COMPUTED_VALUE"""),"2055-06-13T18:53:55.368223Z")</f>
        <v>2055-06-13T18:53:55.368223Z</v>
      </c>
      <c r="T727" s="3"/>
      <c r="U727" s="4">
        <f ca="1">IFERROR(__xludf.DUMMYFUNCTION("""COMPUTED_VALUE"""),56778)</f>
        <v>56778</v>
      </c>
      <c r="V727" s="3">
        <f ca="1">IFERROR(__xludf.DUMMYFUNCTION("""COMPUTED_VALUE"""),4.6)</f>
        <v>4.5999999999999996</v>
      </c>
      <c r="W727" s="3">
        <f ca="1">IFERROR(__xludf.DUMMYFUNCTION("""COMPUTED_VALUE"""),2000)</f>
        <v>2000</v>
      </c>
      <c r="X727" s="3">
        <f ca="1">IFERROR(__xludf.DUMMYFUNCTION("""COMPUTED_VALUE"""),860)</f>
        <v>860</v>
      </c>
      <c r="Y727" s="3">
        <f ca="1">IFERROR(__xludf.DUMMYFUNCTION("""COMPUTED_VALUE"""),212)</f>
        <v>212</v>
      </c>
      <c r="Z727" s="3">
        <f ca="1">IFERROR(__xludf.DUMMYFUNCTION("""COMPUTED_VALUE"""),144)</f>
        <v>144</v>
      </c>
      <c r="AA727" s="3">
        <f ca="1">IFERROR(__xludf.DUMMYFUNCTION("""COMPUTED_VALUE"""),504)</f>
        <v>504</v>
      </c>
      <c r="AB727" s="3">
        <f ca="1">IFERROR(__xludf.DUMMYFUNCTION("""COMPUTED_VALUE"""),0)</f>
        <v>0</v>
      </c>
      <c r="AC727" s="3">
        <f ca="1">IFERROR(__xludf.DUMMYFUNCTION("""COMPUTED_VALUE"""),2)</f>
        <v>2</v>
      </c>
      <c r="AD727" s="3" t="str">
        <f ca="1">IFERROR(__xludf.DUMMYFUNCTION("""COMPUTED_VALUE"""),"early")</f>
        <v>early</v>
      </c>
      <c r="AE727" s="3" t="str">
        <f ca="1">IFERROR(__xludf.DUMMYFUNCTION("""COMPUTED_VALUE"""),"2055-06-13T14:56:19.786979Z")</f>
        <v>2055-06-13T14:56:19.786979Z</v>
      </c>
      <c r="AF727" s="3" t="str">
        <f ca="1">IFERROR(__xludf.DUMMYFUNCTION("""COMPUTED_VALUE"""),"2055-06-13T15:04:43.471734Z")</f>
        <v>2055-06-13T15:04:43.471734Z</v>
      </c>
      <c r="AG727" s="3" t="str">
        <f ca="1">IFERROR(__xludf.DUMMYFUNCTION("""COMPUTED_VALUE"""),"2055-06-13T14:50:14.208778Z")</f>
        <v>2055-06-13T14:50:14.208778Z</v>
      </c>
      <c r="AH727" s="3" t="str">
        <f ca="1">IFERROR(__xludf.DUMMYFUNCTION("""COMPUTED_VALUE"""),"2055-06-13T14:53:55.368223Z")</f>
        <v>2055-06-13T14:53:55.368223Z</v>
      </c>
      <c r="AI727" s="3">
        <f ca="1">IFERROR(__xludf.DUMMYFUNCTION("""COMPUTED_VALUE"""),4.54)</f>
        <v>4.54</v>
      </c>
      <c r="AJ727" s="3">
        <f ca="1">IFERROR(__xludf.DUMMYFUNCTION("""COMPUTED_VALUE"""),2229)</f>
        <v>2229</v>
      </c>
      <c r="AK727" s="3">
        <f ca="1">IFERROR(__xludf.DUMMYFUNCTION("""COMPUTED_VALUE"""),6580)</f>
        <v>6580</v>
      </c>
      <c r="AL727" s="3"/>
    </row>
    <row r="728" spans="1:38" ht="13">
      <c r="A728" s="3">
        <f ca="1">IFERROR(__xludf.DUMMYFUNCTION("""COMPUTED_VALUE"""),20)</f>
        <v>20</v>
      </c>
      <c r="B728" s="3"/>
      <c r="C728" s="3">
        <f ca="1">IFERROR(__xludf.DUMMYFUNCTION("""COMPUTED_VALUE"""),4001)</f>
        <v>4001</v>
      </c>
      <c r="D728" s="3" t="str">
        <f ca="1">IFERROR(__xludf.DUMMYFUNCTION("""COMPUTED_VALUE"""),"Dashattan")</f>
        <v>Dashattan</v>
      </c>
      <c r="E728" s="3" t="str">
        <f ca="1">IFERROR(__xludf.DUMMYFUNCTION("""COMPUTED_VALUE"""),"Galaxy A")</f>
        <v>Galaxy A</v>
      </c>
      <c r="F728" s="3" t="str">
        <f ca="1">IFERROR(__xludf.DUMMYFUNCTION("""COMPUTED_VALUE"""),"Arya")</f>
        <v>Arya</v>
      </c>
      <c r="G728" s="3">
        <f ca="1">IFERROR(__xludf.DUMMYFUNCTION("""COMPUTED_VALUE"""),0)</f>
        <v>0</v>
      </c>
      <c r="H728" s="3" t="str">
        <f ca="1">IFERROR(__xludf.DUMMYFUNCTION("""COMPUTED_VALUE"""),"bicycle")</f>
        <v>bicycle</v>
      </c>
      <c r="I728" s="3" t="str">
        <f ca="1">IFERROR(__xludf.DUMMYFUNCTION("""COMPUTED_VALUE"""),"2055-06-01T16:31:50.715786Z")</f>
        <v>2055-06-01T16:31:50.715786Z</v>
      </c>
      <c r="J728" s="3" t="str">
        <f ca="1">IFERROR(__xludf.DUMMYFUNCTION("""COMPUTED_VALUE"""),"2055-06-01T17:39:00.785Z")</f>
        <v>2055-06-01T17:39:00.785Z</v>
      </c>
      <c r="K728" s="3" t="str">
        <f ca="1">IFERROR(__xludf.DUMMYFUNCTION("""COMPUTED_VALUE"""),"2055-06-01T17:15:42.785Z")</f>
        <v>2055-06-01T17:15:42.785Z</v>
      </c>
      <c r="L728" s="3">
        <f ca="1">IFERROR(__xludf.DUMMYFUNCTION("""COMPUTED_VALUE"""),1)</f>
        <v>1</v>
      </c>
      <c r="M728" s="3">
        <f ca="1">IFERROR(__xludf.DUMMYFUNCTION("""COMPUTED_VALUE"""),0)</f>
        <v>0</v>
      </c>
      <c r="N728" s="3" t="str">
        <f ca="1">IFERROR(__xludf.DUMMYFUNCTION("""COMPUTED_VALUE"""),"2055-06-01T16:59:45.538228Z")</f>
        <v>2055-06-01T16:59:45.538228Z</v>
      </c>
      <c r="O728" s="3" t="str">
        <f ca="1">IFERROR(__xludf.DUMMYFUNCTION("""COMPUTED_VALUE"""),"2055-06-01T17:30:28.401335Z")</f>
        <v>2055-06-01T17:30:28.401335Z</v>
      </c>
      <c r="P728" s="3" t="str">
        <f ca="1">IFERROR(__xludf.DUMMYFUNCTION("""COMPUTED_VALUE"""),"2055-06-01T16:37:55.265015Z")</f>
        <v>2055-06-01T16:37:55.265015Z</v>
      </c>
      <c r="Q728" s="3">
        <f ca="1">IFERROR(__xludf.DUMMYFUNCTION("""COMPUTED_VALUE"""),0)</f>
        <v>0</v>
      </c>
      <c r="R728" s="3" t="str">
        <f ca="1">IFERROR(__xludf.DUMMYFUNCTION("""COMPUTED_VALUE"""),"2055-06-01T16:39:05.432611Z")</f>
        <v>2055-06-01T16:39:05.432611Z</v>
      </c>
      <c r="S728" s="3" t="str">
        <f ca="1">IFERROR(__xludf.DUMMYFUNCTION("""COMPUTED_VALUE"""),"2055-06-01T16:54:40.568554Z")</f>
        <v>2055-06-01T16:54:40.568554Z</v>
      </c>
      <c r="T728" s="3"/>
      <c r="U728" s="4">
        <f ca="1">IFERROR(__xludf.DUMMYFUNCTION("""COMPUTED_VALUE"""),56766)</f>
        <v>56766</v>
      </c>
      <c r="V728" s="3">
        <f ca="1">IFERROR(__xludf.DUMMYFUNCTION("""COMPUTED_VALUE"""),4.5)</f>
        <v>4.5</v>
      </c>
      <c r="W728" s="3">
        <f ca="1">IFERROR(__xludf.DUMMYFUNCTION("""COMPUTED_VALUE"""),2000)</f>
        <v>2000</v>
      </c>
      <c r="X728" s="3">
        <f ca="1">IFERROR(__xludf.DUMMYFUNCTION("""COMPUTED_VALUE"""),3083)</f>
        <v>3083</v>
      </c>
      <c r="Y728" s="3">
        <f ca="1">IFERROR(__xludf.DUMMYFUNCTION("""COMPUTED_VALUE"""),935)</f>
        <v>935</v>
      </c>
      <c r="Z728" s="3">
        <f ca="1">IFERROR(__xludf.DUMMYFUNCTION("""COMPUTED_VALUE"""),305)</f>
        <v>305</v>
      </c>
      <c r="AA728" s="3">
        <f ca="1">IFERROR(__xludf.DUMMYFUNCTION("""COMPUTED_VALUE"""),1843)</f>
        <v>1843</v>
      </c>
      <c r="AB728" s="3">
        <f ca="1">IFERROR(__xludf.DUMMYFUNCTION("""COMPUTED_VALUE"""),1)</f>
        <v>1</v>
      </c>
      <c r="AC728" s="3">
        <f ca="1">IFERROR(__xludf.DUMMYFUNCTION("""COMPUTED_VALUE"""),2)</f>
        <v>2</v>
      </c>
      <c r="AD728" s="3"/>
      <c r="AE728" s="3" t="str">
        <f ca="1">IFERROR(__xludf.DUMMYFUNCTION("""COMPUTED_VALUE"""),"2055-06-01T12:59:45.538228Z")</f>
        <v>2055-06-01T12:59:45.538228Z</v>
      </c>
      <c r="AF728" s="3" t="str">
        <f ca="1">IFERROR(__xludf.DUMMYFUNCTION("""COMPUTED_VALUE"""),"2055-06-01T13:30:28.401335Z")</f>
        <v>2055-06-01T13:30:28.401335Z</v>
      </c>
      <c r="AG728" s="3" t="str">
        <f ca="1">IFERROR(__xludf.DUMMYFUNCTION("""COMPUTED_VALUE"""),"2055-06-01T12:37:55.265015Z")</f>
        <v>2055-06-01T12:37:55.265015Z</v>
      </c>
      <c r="AH728" s="3" t="str">
        <f ca="1">IFERROR(__xludf.DUMMYFUNCTION("""COMPUTED_VALUE"""),"2055-06-01T12:54:40.568554Z")</f>
        <v>2055-06-01T12:54:40.568554Z</v>
      </c>
      <c r="AI728" s="3">
        <f ca="1">IFERROR(__xludf.DUMMYFUNCTION("""COMPUTED_VALUE"""),4.17)</f>
        <v>4.17</v>
      </c>
      <c r="AJ728" s="3">
        <f ca="1">IFERROR(__xludf.DUMMYFUNCTION("""COMPUTED_VALUE"""),457)</f>
        <v>457</v>
      </c>
      <c r="AK728" s="3">
        <f ca="1">IFERROR(__xludf.DUMMYFUNCTION("""COMPUTED_VALUE"""),1599)</f>
        <v>1599</v>
      </c>
      <c r="AL728" s="3"/>
    </row>
    <row r="729" spans="1:38" ht="13">
      <c r="A729" s="3">
        <f ca="1">IFERROR(__xludf.DUMMYFUNCTION("""COMPUTED_VALUE"""),604)</f>
        <v>604</v>
      </c>
      <c r="B729" s="3"/>
      <c r="C729" s="3">
        <f ca="1">IFERROR(__xludf.DUMMYFUNCTION("""COMPUTED_VALUE"""),4050)</f>
        <v>4050</v>
      </c>
      <c r="D729" s="3" t="str">
        <f ca="1">IFERROR(__xludf.DUMMYFUNCTION("""COMPUTED_VALUE"""),"Doorlanta")</f>
        <v>Doorlanta</v>
      </c>
      <c r="E729" s="3" t="str">
        <f ca="1">IFERROR(__xludf.DUMMYFUNCTION("""COMPUTED_VALUE"""),"Galaxy A")</f>
        <v>Galaxy A</v>
      </c>
      <c r="F729" s="3" t="str">
        <f ca="1">IFERROR(__xludf.DUMMYFUNCTION("""COMPUTED_VALUE"""),"Cate")</f>
        <v>Cate</v>
      </c>
      <c r="G729" s="3">
        <f ca="1">IFERROR(__xludf.DUMMYFUNCTION("""COMPUTED_VALUE"""),0)</f>
        <v>0</v>
      </c>
      <c r="H729" s="3" t="str">
        <f ca="1">IFERROR(__xludf.DUMMYFUNCTION("""COMPUTED_VALUE"""),"car")</f>
        <v>car</v>
      </c>
      <c r="I729" s="3" t="str">
        <f ca="1">IFERROR(__xludf.DUMMYFUNCTION("""COMPUTED_VALUE"""),"2055-06-05T19:56:45.640782Z")</f>
        <v>2055-06-05T19:56:45.640782Z</v>
      </c>
      <c r="J729" s="3" t="str">
        <f ca="1">IFERROR(__xludf.DUMMYFUNCTION("""COMPUTED_VALUE"""),"2055-06-05T20:55:59.707Z")</f>
        <v>2055-06-05T20:55:59.707Z</v>
      </c>
      <c r="K729" s="3" t="str">
        <f ca="1">IFERROR(__xludf.DUMMYFUNCTION("""COMPUTED_VALUE"""),"2055-06-05T20:37:06.707Z")</f>
        <v>2055-06-05T20:37:06.707Z</v>
      </c>
      <c r="L729" s="3">
        <f ca="1">IFERROR(__xludf.DUMMYFUNCTION("""COMPUTED_VALUE"""),1)</f>
        <v>1</v>
      </c>
      <c r="M729" s="3">
        <f ca="1">IFERROR(__xludf.DUMMYFUNCTION("""COMPUTED_VALUE"""),0)</f>
        <v>0</v>
      </c>
      <c r="N729" s="3" t="str">
        <f ca="1">IFERROR(__xludf.DUMMYFUNCTION("""COMPUTED_VALUE"""),"2055-06-05T20:08:10.557628Z")</f>
        <v>2055-06-05T20:08:10.557628Z</v>
      </c>
      <c r="O729" s="3" t="str">
        <f ca="1">IFERROR(__xludf.DUMMYFUNCTION("""COMPUTED_VALUE"""),"2055-06-05T20:27:35.955656Z")</f>
        <v>2055-06-05T20:27:35.955656Z</v>
      </c>
      <c r="P729" s="3" t="str">
        <f ca="1">IFERROR(__xludf.DUMMYFUNCTION("""COMPUTED_VALUE"""),"2055-06-05T19:57:07.432732Z")</f>
        <v>2055-06-05T19:57:07.432732Z</v>
      </c>
      <c r="Q729" s="3">
        <f ca="1">IFERROR(__xludf.DUMMYFUNCTION("""COMPUTED_VALUE"""),0)</f>
        <v>0</v>
      </c>
      <c r="R729" s="3" t="str">
        <f ca="1">IFERROR(__xludf.DUMMYFUNCTION("""COMPUTED_VALUE"""),"2055-06-05T19:57:16.39095Z")</f>
        <v>2055-06-05T19:57:16.39095Z</v>
      </c>
      <c r="S729" s="3"/>
      <c r="T729" s="3"/>
      <c r="U729" s="4">
        <f ca="1">IFERROR(__xludf.DUMMYFUNCTION("""COMPUTED_VALUE"""),56770)</f>
        <v>56770</v>
      </c>
      <c r="V729" s="3">
        <f ca="1">IFERROR(__xludf.DUMMYFUNCTION("""COMPUTED_VALUE"""),4.6)</f>
        <v>4.5999999999999996</v>
      </c>
      <c r="W729" s="3">
        <f ca="1">IFERROR(__xludf.DUMMYFUNCTION("""COMPUTED_VALUE"""),2000)</f>
        <v>2000</v>
      </c>
      <c r="X729" s="3">
        <f ca="1">IFERROR(__xludf.DUMMYFUNCTION("""COMPUTED_VALUE"""),1819)</f>
        <v>1819</v>
      </c>
      <c r="Y729" s="3"/>
      <c r="Z729" s="3"/>
      <c r="AA729" s="3">
        <f ca="1">IFERROR(__xludf.DUMMYFUNCTION("""COMPUTED_VALUE"""),1165)</f>
        <v>1165</v>
      </c>
      <c r="AB729" s="3">
        <f ca="1">IFERROR(__xludf.DUMMYFUNCTION("""COMPUTED_VALUE"""),0)</f>
        <v>0</v>
      </c>
      <c r="AC729" s="3">
        <f ca="1">IFERROR(__xludf.DUMMYFUNCTION("""COMPUTED_VALUE"""),2)</f>
        <v>2</v>
      </c>
      <c r="AD729" s="3"/>
      <c r="AE729" s="3" t="str">
        <f ca="1">IFERROR(__xludf.DUMMYFUNCTION("""COMPUTED_VALUE"""),"2055-06-05T16:08:10.557628Z")</f>
        <v>2055-06-05T16:08:10.557628Z</v>
      </c>
      <c r="AF729" s="3" t="str">
        <f ca="1">IFERROR(__xludf.DUMMYFUNCTION("""COMPUTED_VALUE"""),"2055-06-05T16:27:35.955656Z")</f>
        <v>2055-06-05T16:27:35.955656Z</v>
      </c>
      <c r="AG729" s="3" t="str">
        <f ca="1">IFERROR(__xludf.DUMMYFUNCTION("""COMPUTED_VALUE"""),"2055-06-05T15:57:07.432732Z")</f>
        <v>2055-06-05T15:57:07.432732Z</v>
      </c>
      <c r="AH729" s="3"/>
      <c r="AI729" s="3">
        <f ca="1">IFERROR(__xludf.DUMMYFUNCTION("""COMPUTED_VALUE"""),4.49)</f>
        <v>4.49</v>
      </c>
      <c r="AJ729" s="3">
        <f ca="1">IFERROR(__xludf.DUMMYFUNCTION("""COMPUTED_VALUE"""),2315)</f>
        <v>2315</v>
      </c>
      <c r="AK729" s="3">
        <f ca="1">IFERROR(__xludf.DUMMYFUNCTION("""COMPUTED_VALUE"""),7039)</f>
        <v>7039</v>
      </c>
      <c r="AL729" s="3">
        <f ca="1">IFERROR(__xludf.DUMMYFUNCTION("""COMPUTED_VALUE"""),763)</f>
        <v>763</v>
      </c>
    </row>
    <row r="730" spans="1:38" ht="13">
      <c r="A730" s="3">
        <f ca="1">IFERROR(__xludf.DUMMYFUNCTION("""COMPUTED_VALUE"""),1488)</f>
        <v>1488</v>
      </c>
      <c r="B730" s="3">
        <f ca="1">IFERROR(__xludf.DUMMYFUNCTION("""COMPUTED_VALUE"""),5)</f>
        <v>5</v>
      </c>
      <c r="C730" s="3">
        <f ca="1">IFERROR(__xludf.DUMMYFUNCTION("""COMPUTED_VALUE"""),4001)</f>
        <v>4001</v>
      </c>
      <c r="D730" s="3" t="str">
        <f ca="1">IFERROR(__xludf.DUMMYFUNCTION("""COMPUTED_VALUE"""),"Dashattan")</f>
        <v>Dashattan</v>
      </c>
      <c r="E730" s="3" t="str">
        <f ca="1">IFERROR(__xludf.DUMMYFUNCTION("""COMPUTED_VALUE"""),"Galaxy A")</f>
        <v>Galaxy A</v>
      </c>
      <c r="F730" s="3" t="str">
        <f ca="1">IFERROR(__xludf.DUMMYFUNCTION("""COMPUTED_VALUE"""),"Mike")</f>
        <v>Mike</v>
      </c>
      <c r="G730" s="3">
        <f ca="1">IFERROR(__xludf.DUMMYFUNCTION("""COMPUTED_VALUE"""),0)</f>
        <v>0</v>
      </c>
      <c r="H730" s="3" t="str">
        <f ca="1">IFERROR(__xludf.DUMMYFUNCTION("""COMPUTED_VALUE"""),"bicycle")</f>
        <v>bicycle</v>
      </c>
      <c r="I730" s="3" t="str">
        <f ca="1">IFERROR(__xludf.DUMMYFUNCTION("""COMPUTED_VALUE"""),"2055-06-12T23:10:09.420705Z")</f>
        <v>2055-06-12T23:10:09.420705Z</v>
      </c>
      <c r="J730" s="3" t="str">
        <f ca="1">IFERROR(__xludf.DUMMYFUNCTION("""COMPUTED_VALUE"""),"2055-06-13T00:12:15.487Z")</f>
        <v>2055-06-13T00:12:15.487Z</v>
      </c>
      <c r="K730" s="3" t="str">
        <f ca="1">IFERROR(__xludf.DUMMYFUNCTION("""COMPUTED_VALUE"""),"2055-06-12T23:50:21.487Z")</f>
        <v>2055-06-12T23:50:21.487Z</v>
      </c>
      <c r="L730" s="3">
        <f ca="1">IFERROR(__xludf.DUMMYFUNCTION("""COMPUTED_VALUE"""),1)</f>
        <v>1</v>
      </c>
      <c r="M730" s="3">
        <f ca="1">IFERROR(__xludf.DUMMYFUNCTION("""COMPUTED_VALUE"""),0)</f>
        <v>0</v>
      </c>
      <c r="N730" s="3" t="str">
        <f ca="1">IFERROR(__xludf.DUMMYFUNCTION("""COMPUTED_VALUE"""),"2055-06-12T23:39:23.903202Z")</f>
        <v>2055-06-12T23:39:23.903202Z</v>
      </c>
      <c r="O730" s="3" t="str">
        <f ca="1">IFERROR(__xludf.DUMMYFUNCTION("""COMPUTED_VALUE"""),"2055-06-12T23:58:03.884813Z")</f>
        <v>2055-06-12T23:58:03.884813Z</v>
      </c>
      <c r="P730" s="3" t="str">
        <f ca="1">IFERROR(__xludf.DUMMYFUNCTION("""COMPUTED_VALUE"""),"2055-06-12T23:10:15.828074Z")</f>
        <v>2055-06-12T23:10:15.828074Z</v>
      </c>
      <c r="Q730" s="3">
        <f ca="1">IFERROR(__xludf.DUMMYFUNCTION("""COMPUTED_VALUE"""),0)</f>
        <v>0</v>
      </c>
      <c r="R730" s="3" t="str">
        <f ca="1">IFERROR(__xludf.DUMMYFUNCTION("""COMPUTED_VALUE"""),"2055-06-12T23:10:19.816324Z")</f>
        <v>2055-06-12T23:10:19.816324Z</v>
      </c>
      <c r="S730" s="3" t="str">
        <f ca="1">IFERROR(__xludf.DUMMYFUNCTION("""COMPUTED_VALUE"""),"2055-06-12T23:27:57.135928Z")</f>
        <v>2055-06-12T23:27:57.135928Z</v>
      </c>
      <c r="T730" s="3"/>
      <c r="U730" s="4">
        <f ca="1">IFERROR(__xludf.DUMMYFUNCTION("""COMPUTED_VALUE"""),56777)</f>
        <v>56777</v>
      </c>
      <c r="V730" s="3">
        <f ca="1">IFERROR(__xludf.DUMMYFUNCTION("""COMPUTED_VALUE"""),4.5)</f>
        <v>4.5</v>
      </c>
      <c r="W730" s="3">
        <f ca="1">IFERROR(__xludf.DUMMYFUNCTION("""COMPUTED_VALUE"""),2000)</f>
        <v>2000</v>
      </c>
      <c r="X730" s="3">
        <f ca="1">IFERROR(__xludf.DUMMYFUNCTION("""COMPUTED_VALUE"""),2864)</f>
        <v>2864</v>
      </c>
      <c r="Y730" s="3">
        <f ca="1">IFERROR(__xludf.DUMMYFUNCTION("""COMPUTED_VALUE"""),1058)</f>
        <v>1058</v>
      </c>
      <c r="Z730" s="3">
        <f ca="1">IFERROR(__xludf.DUMMYFUNCTION("""COMPUTED_VALUE"""),686)</f>
        <v>686</v>
      </c>
      <c r="AA730" s="3">
        <f ca="1">IFERROR(__xludf.DUMMYFUNCTION("""COMPUTED_VALUE"""),1120)</f>
        <v>1120</v>
      </c>
      <c r="AB730" s="3">
        <f ca="1">IFERROR(__xludf.DUMMYFUNCTION("""COMPUTED_VALUE"""),0)</f>
        <v>0</v>
      </c>
      <c r="AC730" s="3">
        <f ca="1">IFERROR(__xludf.DUMMYFUNCTION("""COMPUTED_VALUE"""),2)</f>
        <v>2</v>
      </c>
      <c r="AD730" s="3" t="str">
        <f ca="1">IFERROR(__xludf.DUMMYFUNCTION("""COMPUTED_VALUE"""),"early")</f>
        <v>early</v>
      </c>
      <c r="AE730" s="3" t="str">
        <f ca="1">IFERROR(__xludf.DUMMYFUNCTION("""COMPUTED_VALUE"""),"2055-06-12T19:39:23.903202Z")</f>
        <v>2055-06-12T19:39:23.903202Z</v>
      </c>
      <c r="AF730" s="3" t="str">
        <f ca="1">IFERROR(__xludf.DUMMYFUNCTION("""COMPUTED_VALUE"""),"2055-06-12T19:58:03.884813Z")</f>
        <v>2055-06-12T19:58:03.884813Z</v>
      </c>
      <c r="AG730" s="3" t="str">
        <f ca="1">IFERROR(__xludf.DUMMYFUNCTION("""COMPUTED_VALUE"""),"2055-06-12T19:10:15.828074Z")</f>
        <v>2055-06-12T19:10:15.828074Z</v>
      </c>
      <c r="AH730" s="3" t="str">
        <f ca="1">IFERROR(__xludf.DUMMYFUNCTION("""COMPUTED_VALUE"""),"2055-06-12T19:27:57.135928Z")</f>
        <v>2055-06-12T19:27:57.135928Z</v>
      </c>
      <c r="AI730" s="3">
        <f ca="1">IFERROR(__xludf.DUMMYFUNCTION("""COMPUTED_VALUE"""),4.63)</f>
        <v>4.63</v>
      </c>
      <c r="AJ730" s="3">
        <f ca="1">IFERROR(__xludf.DUMMYFUNCTION("""COMPUTED_VALUE"""),242)</f>
        <v>242</v>
      </c>
      <c r="AK730" s="3">
        <f ca="1">IFERROR(__xludf.DUMMYFUNCTION("""COMPUTED_VALUE"""),736)</f>
        <v>736</v>
      </c>
      <c r="AL730" s="3"/>
    </row>
    <row r="731" spans="1:38" ht="13">
      <c r="A731" s="3">
        <f ca="1">IFERROR(__xludf.DUMMYFUNCTION("""COMPUTED_VALUE"""),1594)</f>
        <v>1594</v>
      </c>
      <c r="B731" s="3">
        <f ca="1">IFERROR(__xludf.DUMMYFUNCTION("""COMPUTED_VALUE"""),5)</f>
        <v>5</v>
      </c>
      <c r="C731" s="3">
        <f ca="1">IFERROR(__xludf.DUMMYFUNCTION("""COMPUTED_VALUE"""),4001)</f>
        <v>4001</v>
      </c>
      <c r="D731" s="3" t="str">
        <f ca="1">IFERROR(__xludf.DUMMYFUNCTION("""COMPUTED_VALUE"""),"Dashattan")</f>
        <v>Dashattan</v>
      </c>
      <c r="E731" s="3" t="str">
        <f ca="1">IFERROR(__xludf.DUMMYFUNCTION("""COMPUTED_VALUE"""),"Galaxy A")</f>
        <v>Galaxy A</v>
      </c>
      <c r="F731" s="3" t="str">
        <f ca="1">IFERROR(__xludf.DUMMYFUNCTION("""COMPUTED_VALUE"""),"KC")</f>
        <v>KC</v>
      </c>
      <c r="G731" s="3">
        <f ca="1">IFERROR(__xludf.DUMMYFUNCTION("""COMPUTED_VALUE"""),0)</f>
        <v>0</v>
      </c>
      <c r="H731" s="3" t="str">
        <f ca="1">IFERROR(__xludf.DUMMYFUNCTION("""COMPUTED_VALUE"""),"car")</f>
        <v>car</v>
      </c>
      <c r="I731" s="3" t="str">
        <f ca="1">IFERROR(__xludf.DUMMYFUNCTION("""COMPUTED_VALUE"""),"2055-06-13T20:31:47.148959Z")</f>
        <v>2055-06-13T20:31:47.148959Z</v>
      </c>
      <c r="J731" s="3" t="str">
        <f ca="1">IFERROR(__xludf.DUMMYFUNCTION("""COMPUTED_VALUE"""),"2055-06-13T21:18:57.192Z")</f>
        <v>2055-06-13T21:18:57.192Z</v>
      </c>
      <c r="K731" s="3" t="str">
        <f ca="1">IFERROR(__xludf.DUMMYFUNCTION("""COMPUTED_VALUE"""),"2055-06-13T21:00:04.192Z")</f>
        <v>2055-06-13T21:00:04.192Z</v>
      </c>
      <c r="L731" s="3">
        <f ca="1">IFERROR(__xludf.DUMMYFUNCTION("""COMPUTED_VALUE"""),1)</f>
        <v>1</v>
      </c>
      <c r="M731" s="3">
        <f ca="1">IFERROR(__xludf.DUMMYFUNCTION("""COMPUTED_VALUE"""),0)</f>
        <v>0</v>
      </c>
      <c r="N731" s="3" t="str">
        <f ca="1">IFERROR(__xludf.DUMMYFUNCTION("""COMPUTED_VALUE"""),"2055-06-13T20:44:23.395616Z")</f>
        <v>2055-06-13T20:44:23.395616Z</v>
      </c>
      <c r="O731" s="3" t="str">
        <f ca="1">IFERROR(__xludf.DUMMYFUNCTION("""COMPUTED_VALUE"""),"2055-06-13T20:54:59.703933Z")</f>
        <v>2055-06-13T20:54:59.703933Z</v>
      </c>
      <c r="P731" s="3" t="str">
        <f ca="1">IFERROR(__xludf.DUMMYFUNCTION("""COMPUTED_VALUE"""),"2055-06-13T20:33:54.14476Z")</f>
        <v>2055-06-13T20:33:54.14476Z</v>
      </c>
      <c r="Q731" s="3">
        <f ca="1">IFERROR(__xludf.DUMMYFUNCTION("""COMPUTED_VALUE"""),0)</f>
        <v>0</v>
      </c>
      <c r="R731" s="3" t="str">
        <f ca="1">IFERROR(__xludf.DUMMYFUNCTION("""COMPUTED_VALUE"""),"2055-06-13T20:34:12.531562Z")</f>
        <v>2055-06-13T20:34:12.531562Z</v>
      </c>
      <c r="S731" s="3" t="str">
        <f ca="1">IFERROR(__xludf.DUMMYFUNCTION("""COMPUTED_VALUE"""),"2055-06-13T20:39:28.059883Z")</f>
        <v>2055-06-13T20:39:28.059883Z</v>
      </c>
      <c r="T731" s="3"/>
      <c r="U731" s="4">
        <f ca="1">IFERROR(__xludf.DUMMYFUNCTION("""COMPUTED_VALUE"""),56778)</f>
        <v>56778</v>
      </c>
      <c r="V731" s="3">
        <f ca="1">IFERROR(__xludf.DUMMYFUNCTION("""COMPUTED_VALUE"""),4.5)</f>
        <v>4.5</v>
      </c>
      <c r="W731" s="3">
        <f ca="1">IFERROR(__xludf.DUMMYFUNCTION("""COMPUTED_VALUE"""),2000)</f>
        <v>2000</v>
      </c>
      <c r="X731" s="3">
        <f ca="1">IFERROR(__xludf.DUMMYFUNCTION("""COMPUTED_VALUE"""),1247)</f>
        <v>1247</v>
      </c>
      <c r="Y731" s="3">
        <f ca="1">IFERROR(__xludf.DUMMYFUNCTION("""COMPUTED_VALUE"""),316)</f>
        <v>316</v>
      </c>
      <c r="Z731" s="3">
        <f ca="1">IFERROR(__xludf.DUMMYFUNCTION("""COMPUTED_VALUE"""),295)</f>
        <v>295</v>
      </c>
      <c r="AA731" s="3">
        <f ca="1">IFERROR(__xludf.DUMMYFUNCTION("""COMPUTED_VALUE"""),636)</f>
        <v>636</v>
      </c>
      <c r="AB731" s="3">
        <f ca="1">IFERROR(__xludf.DUMMYFUNCTION("""COMPUTED_VALUE"""),0)</f>
        <v>0</v>
      </c>
      <c r="AC731" s="3">
        <f ca="1">IFERROR(__xludf.DUMMYFUNCTION("""COMPUTED_VALUE"""),2)</f>
        <v>2</v>
      </c>
      <c r="AD731" s="3" t="str">
        <f ca="1">IFERROR(__xludf.DUMMYFUNCTION("""COMPUTED_VALUE"""),"on time")</f>
        <v>on time</v>
      </c>
      <c r="AE731" s="3" t="str">
        <f ca="1">IFERROR(__xludf.DUMMYFUNCTION("""COMPUTED_VALUE"""),"2055-06-13T16:44:23.395616Z")</f>
        <v>2055-06-13T16:44:23.395616Z</v>
      </c>
      <c r="AF731" s="3" t="str">
        <f ca="1">IFERROR(__xludf.DUMMYFUNCTION("""COMPUTED_VALUE"""),"2055-06-13T16:54:59.703933Z")</f>
        <v>2055-06-13T16:54:59.703933Z</v>
      </c>
      <c r="AG731" s="3" t="str">
        <f ca="1">IFERROR(__xludf.DUMMYFUNCTION("""COMPUTED_VALUE"""),"2055-06-13T16:33:54.14476Z")</f>
        <v>2055-06-13T16:33:54.14476Z</v>
      </c>
      <c r="AH731" s="3" t="str">
        <f ca="1">IFERROR(__xludf.DUMMYFUNCTION("""COMPUTED_VALUE"""),"2055-06-13T16:39:28.059883Z")</f>
        <v>2055-06-13T16:39:28.059883Z</v>
      </c>
      <c r="AI731" s="3">
        <f ca="1">IFERROR(__xludf.DUMMYFUNCTION("""COMPUTED_VALUE"""),4.54)</f>
        <v>4.54</v>
      </c>
      <c r="AJ731" s="3">
        <f ca="1">IFERROR(__xludf.DUMMYFUNCTION("""COMPUTED_VALUE"""),2229)</f>
        <v>2229</v>
      </c>
      <c r="AK731" s="3">
        <f ca="1">IFERROR(__xludf.DUMMYFUNCTION("""COMPUTED_VALUE"""),6580)</f>
        <v>6580</v>
      </c>
      <c r="AL731" s="3"/>
    </row>
    <row r="732" spans="1:38" ht="13">
      <c r="A732" s="3">
        <f ca="1">IFERROR(__xludf.DUMMYFUNCTION("""COMPUTED_VALUE"""),891)</f>
        <v>891</v>
      </c>
      <c r="B732" s="3"/>
      <c r="C732" s="3">
        <f ca="1">IFERROR(__xludf.DUMMYFUNCTION("""COMPUTED_VALUE"""),4050)</f>
        <v>4050</v>
      </c>
      <c r="D732" s="3" t="str">
        <f ca="1">IFERROR(__xludf.DUMMYFUNCTION("""COMPUTED_VALUE"""),"Doorlanta")</f>
        <v>Doorlanta</v>
      </c>
      <c r="E732" s="3" t="str">
        <f ca="1">IFERROR(__xludf.DUMMYFUNCTION("""COMPUTED_VALUE"""),"Galaxy A")</f>
        <v>Galaxy A</v>
      </c>
      <c r="F732" s="3" t="str">
        <f ca="1">IFERROR(__xludf.DUMMYFUNCTION("""COMPUTED_VALUE"""),"Lauran")</f>
        <v>Lauran</v>
      </c>
      <c r="G732" s="3">
        <f ca="1">IFERROR(__xludf.DUMMYFUNCTION("""COMPUTED_VALUE"""),0)</f>
        <v>0</v>
      </c>
      <c r="H732" s="3" t="str">
        <f ca="1">IFERROR(__xludf.DUMMYFUNCTION("""COMPUTED_VALUE"""),"motorcycle")</f>
        <v>motorcycle</v>
      </c>
      <c r="I732" s="3" t="str">
        <f ca="1">IFERROR(__xludf.DUMMYFUNCTION("""COMPUTED_VALUE"""),"2055-06-07T23:21:06.155763Z")</f>
        <v>2055-06-07T23:21:06.155763Z</v>
      </c>
      <c r="J732" s="3" t="str">
        <f ca="1">IFERROR(__xludf.DUMMYFUNCTION("""COMPUTED_VALUE"""),"2055-06-08T00:08:33.205Z")</f>
        <v>2055-06-08T00:08:33.205Z</v>
      </c>
      <c r="K732" s="3" t="str">
        <f ca="1">IFERROR(__xludf.DUMMYFUNCTION("""COMPUTED_VALUE"""),"2055-06-07T23:59:40.205Z")</f>
        <v>2055-06-07T23:59:40.205Z</v>
      </c>
      <c r="L732" s="3">
        <f ca="1">IFERROR(__xludf.DUMMYFUNCTION("""COMPUTED_VALUE"""),1)</f>
        <v>1</v>
      </c>
      <c r="M732" s="3">
        <f ca="1">IFERROR(__xludf.DUMMYFUNCTION("""COMPUTED_VALUE"""),0)</f>
        <v>0</v>
      </c>
      <c r="N732" s="3" t="str">
        <f ca="1">IFERROR(__xludf.DUMMYFUNCTION("""COMPUTED_VALUE"""),"2055-06-07T23:39:07.905758Z")</f>
        <v>2055-06-07T23:39:07.905758Z</v>
      </c>
      <c r="O732" s="3" t="str">
        <f ca="1">IFERROR(__xludf.DUMMYFUNCTION("""COMPUTED_VALUE"""),"2055-06-07T23:59:11.466998Z")</f>
        <v>2055-06-07T23:59:11.466998Z</v>
      </c>
      <c r="P732" s="3" t="str">
        <f ca="1">IFERROR(__xludf.DUMMYFUNCTION("""COMPUTED_VALUE"""),"2055-06-07T23:21:27.487775Z")</f>
        <v>2055-06-07T23:21:27.487775Z</v>
      </c>
      <c r="Q732" s="3">
        <f ca="1">IFERROR(__xludf.DUMMYFUNCTION("""COMPUTED_VALUE"""),0)</f>
        <v>0</v>
      </c>
      <c r="R732" s="3" t="str">
        <f ca="1">IFERROR(__xludf.DUMMYFUNCTION("""COMPUTED_VALUE"""),"2055-06-07T23:21:42.872359Z")</f>
        <v>2055-06-07T23:21:42.872359Z</v>
      </c>
      <c r="S732" s="3" t="str">
        <f ca="1">IFERROR(__xludf.DUMMYFUNCTION("""COMPUTED_VALUE"""),"2055-06-07T23:35:51.062688Z")</f>
        <v>2055-06-07T23:35:51.062688Z</v>
      </c>
      <c r="T732" s="3"/>
      <c r="U732" s="4">
        <f ca="1">IFERROR(__xludf.DUMMYFUNCTION("""COMPUTED_VALUE"""),56772)</f>
        <v>56772</v>
      </c>
      <c r="V732" s="3">
        <f ca="1">IFERROR(__xludf.DUMMYFUNCTION("""COMPUTED_VALUE"""),4.7)</f>
        <v>4.7</v>
      </c>
      <c r="W732" s="3">
        <f ca="1">IFERROR(__xludf.DUMMYFUNCTION("""COMPUTED_VALUE"""),2000)</f>
        <v>2000</v>
      </c>
      <c r="X732" s="3">
        <f ca="1">IFERROR(__xludf.DUMMYFUNCTION("""COMPUTED_VALUE"""),2249)</f>
        <v>2249</v>
      </c>
      <c r="Y732" s="3">
        <f ca="1">IFERROR(__xludf.DUMMYFUNCTION("""COMPUTED_VALUE"""),849)</f>
        <v>849</v>
      </c>
      <c r="Z732" s="3">
        <f ca="1">IFERROR(__xludf.DUMMYFUNCTION("""COMPUTED_VALUE"""),196)</f>
        <v>196</v>
      </c>
      <c r="AA732" s="3">
        <f ca="1">IFERROR(__xludf.DUMMYFUNCTION("""COMPUTED_VALUE"""),1204)</f>
        <v>1204</v>
      </c>
      <c r="AB732" s="3">
        <f ca="1">IFERROR(__xludf.DUMMYFUNCTION("""COMPUTED_VALUE"""),0)</f>
        <v>0</v>
      </c>
      <c r="AC732" s="3">
        <f ca="1">IFERROR(__xludf.DUMMYFUNCTION("""COMPUTED_VALUE"""),2)</f>
        <v>2</v>
      </c>
      <c r="AD732" s="3" t="str">
        <f ca="1">IFERROR(__xludf.DUMMYFUNCTION("""COMPUTED_VALUE"""),"on time")</f>
        <v>on time</v>
      </c>
      <c r="AE732" s="3" t="str">
        <f ca="1">IFERROR(__xludf.DUMMYFUNCTION("""COMPUTED_VALUE"""),"2055-06-07T19:39:07.905758Z")</f>
        <v>2055-06-07T19:39:07.905758Z</v>
      </c>
      <c r="AF732" s="3" t="str">
        <f ca="1">IFERROR(__xludf.DUMMYFUNCTION("""COMPUTED_VALUE"""),"2055-06-07T19:59:11.466998Z")</f>
        <v>2055-06-07T19:59:11.466998Z</v>
      </c>
      <c r="AG732" s="3" t="str">
        <f ca="1">IFERROR(__xludf.DUMMYFUNCTION("""COMPUTED_VALUE"""),"2055-06-07T19:21:27.487775Z")</f>
        <v>2055-06-07T19:21:27.487775Z</v>
      </c>
      <c r="AH732" s="3" t="str">
        <f ca="1">IFERROR(__xludf.DUMMYFUNCTION("""COMPUTED_VALUE"""),"2055-06-07T19:35:51.062688Z")</f>
        <v>2055-06-07T19:35:51.062688Z</v>
      </c>
      <c r="AI732" s="3">
        <f ca="1">IFERROR(__xludf.DUMMYFUNCTION("""COMPUTED_VALUE"""),4.42)</f>
        <v>4.42</v>
      </c>
      <c r="AJ732" s="3">
        <f ca="1">IFERROR(__xludf.DUMMYFUNCTION("""COMPUTED_VALUE"""),1396)</f>
        <v>1396</v>
      </c>
      <c r="AK732" s="3">
        <f ca="1">IFERROR(__xludf.DUMMYFUNCTION("""COMPUTED_VALUE"""),4836)</f>
        <v>4836</v>
      </c>
      <c r="AL732" s="3">
        <f ca="1">IFERROR(__xludf.DUMMYFUNCTION("""COMPUTED_VALUE"""),1278)</f>
        <v>1278</v>
      </c>
    </row>
    <row r="733" spans="1:38" ht="13">
      <c r="A733" s="3">
        <f ca="1">IFERROR(__xludf.DUMMYFUNCTION("""COMPUTED_VALUE"""),1357)</f>
        <v>1357</v>
      </c>
      <c r="B733" s="3"/>
      <c r="C733" s="3">
        <f ca="1">IFERROR(__xludf.DUMMYFUNCTION("""COMPUTED_VALUE"""),4001)</f>
        <v>4001</v>
      </c>
      <c r="D733" s="3" t="str">
        <f ca="1">IFERROR(__xludf.DUMMYFUNCTION("""COMPUTED_VALUE"""),"Dashattan")</f>
        <v>Dashattan</v>
      </c>
      <c r="E733" s="3" t="str">
        <f ca="1">IFERROR(__xludf.DUMMYFUNCTION("""COMPUTED_VALUE"""),"Galaxy A")</f>
        <v>Galaxy A</v>
      </c>
      <c r="F733" s="3" t="str">
        <f ca="1">IFERROR(__xludf.DUMMYFUNCTION("""COMPUTED_VALUE"""),"Arya")</f>
        <v>Arya</v>
      </c>
      <c r="G733" s="3">
        <f ca="1">IFERROR(__xludf.DUMMYFUNCTION("""COMPUTED_VALUE"""),0)</f>
        <v>0</v>
      </c>
      <c r="H733" s="3" t="str">
        <f ca="1">IFERROR(__xludf.DUMMYFUNCTION("""COMPUTED_VALUE"""),"bicycle")</f>
        <v>bicycle</v>
      </c>
      <c r="I733" s="3" t="str">
        <f ca="1">IFERROR(__xludf.DUMMYFUNCTION("""COMPUTED_VALUE"""),"2055-06-12T00:13:09.128424Z")</f>
        <v>2055-06-12T00:13:09.128424Z</v>
      </c>
      <c r="J733" s="3" t="str">
        <f ca="1">IFERROR(__xludf.DUMMYFUNCTION("""COMPUTED_VALUE"""),"2055-06-12T01:07:26.194Z")</f>
        <v>2055-06-12T01:07:26.194Z</v>
      </c>
      <c r="K733" s="3" t="str">
        <f ca="1">IFERROR(__xludf.DUMMYFUNCTION("""COMPUTED_VALUE"""),"2055-06-12T00:47:19.194Z")</f>
        <v>2055-06-12T00:47:19.194Z</v>
      </c>
      <c r="L733" s="3">
        <f ca="1">IFERROR(__xludf.DUMMYFUNCTION("""COMPUTED_VALUE"""),1)</f>
        <v>1</v>
      </c>
      <c r="M733" s="3">
        <f ca="1">IFERROR(__xludf.DUMMYFUNCTION("""COMPUTED_VALUE"""),0)</f>
        <v>0</v>
      </c>
      <c r="N733" s="3" t="str">
        <f ca="1">IFERROR(__xludf.DUMMYFUNCTION("""COMPUTED_VALUE"""),"2055-06-12T01:06:32.676642Z")</f>
        <v>2055-06-12T01:06:32.676642Z</v>
      </c>
      <c r="O733" s="3" t="str">
        <f ca="1">IFERROR(__xludf.DUMMYFUNCTION("""COMPUTED_VALUE"""),"2055-06-12T01:18:03.361064Z")</f>
        <v>2055-06-12T01:18:03.361064Z</v>
      </c>
      <c r="P733" s="3" t="str">
        <f ca="1">IFERROR(__xludf.DUMMYFUNCTION("""COMPUTED_VALUE"""),"2055-06-12T00:13:14.073018Z")</f>
        <v>2055-06-12T00:13:14.073018Z</v>
      </c>
      <c r="Q733" s="3">
        <f ca="1">IFERROR(__xludf.DUMMYFUNCTION("""COMPUTED_VALUE"""),0)</f>
        <v>0</v>
      </c>
      <c r="R733" s="3" t="str">
        <f ca="1">IFERROR(__xludf.DUMMYFUNCTION("""COMPUTED_VALUE"""),"2055-06-12T00:13:31.292892Z")</f>
        <v>2055-06-12T00:13:31.292892Z</v>
      </c>
      <c r="S733" s="3" t="str">
        <f ca="1">IFERROR(__xludf.DUMMYFUNCTION("""COMPUTED_VALUE"""),"2055-06-12T00:57:02.489429Z")</f>
        <v>2055-06-12T00:57:02.489429Z</v>
      </c>
      <c r="T733" s="3"/>
      <c r="U733" s="4">
        <f ca="1">IFERROR(__xludf.DUMMYFUNCTION("""COMPUTED_VALUE"""),56776)</f>
        <v>56776</v>
      </c>
      <c r="V733" s="3">
        <f ca="1">IFERROR(__xludf.DUMMYFUNCTION("""COMPUTED_VALUE"""),4.4)</f>
        <v>4.4000000000000004</v>
      </c>
      <c r="W733" s="3">
        <f ca="1">IFERROR(__xludf.DUMMYFUNCTION("""COMPUTED_VALUE"""),2000)</f>
        <v>2000</v>
      </c>
      <c r="X733" s="3">
        <f ca="1">IFERROR(__xludf.DUMMYFUNCTION("""COMPUTED_VALUE"""),3872)</f>
        <v>3872</v>
      </c>
      <c r="Y733" s="3">
        <f ca="1">IFERROR(__xludf.DUMMYFUNCTION("""COMPUTED_VALUE"""),2611)</f>
        <v>2611</v>
      </c>
      <c r="Z733" s="3">
        <f ca="1">IFERROR(__xludf.DUMMYFUNCTION("""COMPUTED_VALUE"""),570)</f>
        <v>570</v>
      </c>
      <c r="AA733" s="3">
        <f ca="1">IFERROR(__xludf.DUMMYFUNCTION("""COMPUTED_VALUE"""),691)</f>
        <v>691</v>
      </c>
      <c r="AB733" s="3">
        <f ca="1">IFERROR(__xludf.DUMMYFUNCTION("""COMPUTED_VALUE"""),0)</f>
        <v>0</v>
      </c>
      <c r="AC733" s="3">
        <f ca="1">IFERROR(__xludf.DUMMYFUNCTION("""COMPUTED_VALUE"""),1)</f>
        <v>1</v>
      </c>
      <c r="AD733" s="3" t="str">
        <f ca="1">IFERROR(__xludf.DUMMYFUNCTION("""COMPUTED_VALUE"""),"late")</f>
        <v>late</v>
      </c>
      <c r="AE733" s="3" t="str">
        <f ca="1">IFERROR(__xludf.DUMMYFUNCTION("""COMPUTED_VALUE"""),"2055-06-11T21:06:32.676642Z")</f>
        <v>2055-06-11T21:06:32.676642Z</v>
      </c>
      <c r="AF733" s="3" t="str">
        <f ca="1">IFERROR(__xludf.DUMMYFUNCTION("""COMPUTED_VALUE"""),"2055-06-11T21:18:03.361064Z")</f>
        <v>2055-06-11T21:18:03.361064Z</v>
      </c>
      <c r="AG733" s="3" t="str">
        <f ca="1">IFERROR(__xludf.DUMMYFUNCTION("""COMPUTED_VALUE"""),"2055-06-11T20:13:14.073018Z")</f>
        <v>2055-06-11T20:13:14.073018Z</v>
      </c>
      <c r="AH733" s="3" t="str">
        <f ca="1">IFERROR(__xludf.DUMMYFUNCTION("""COMPUTED_VALUE"""),"2055-06-11T20:57:02.489429Z")</f>
        <v>2055-06-11T20:57:02.489429Z</v>
      </c>
      <c r="AI733" s="3">
        <f ca="1">IFERROR(__xludf.DUMMYFUNCTION("""COMPUTED_VALUE"""),4.17)</f>
        <v>4.17</v>
      </c>
      <c r="AJ733" s="3">
        <f ca="1">IFERROR(__xludf.DUMMYFUNCTION("""COMPUTED_VALUE"""),457)</f>
        <v>457</v>
      </c>
      <c r="AK733" s="3">
        <f ca="1">IFERROR(__xludf.DUMMYFUNCTION("""COMPUTED_VALUE"""),1599)</f>
        <v>1599</v>
      </c>
      <c r="AL733" s="3"/>
    </row>
    <row r="734" spans="1:38" ht="13">
      <c r="A734" s="3">
        <f ca="1">IFERROR(__xludf.DUMMYFUNCTION("""COMPUTED_VALUE"""),27)</f>
        <v>27</v>
      </c>
      <c r="B734" s="3"/>
      <c r="C734" s="3">
        <f ca="1">IFERROR(__xludf.DUMMYFUNCTION("""COMPUTED_VALUE"""),4050)</f>
        <v>4050</v>
      </c>
      <c r="D734" s="3" t="str">
        <f ca="1">IFERROR(__xludf.DUMMYFUNCTION("""COMPUTED_VALUE"""),"Doorlanta")</f>
        <v>Doorlanta</v>
      </c>
      <c r="E734" s="3" t="str">
        <f ca="1">IFERROR(__xludf.DUMMYFUNCTION("""COMPUTED_VALUE"""),"Galaxy A")</f>
        <v>Galaxy A</v>
      </c>
      <c r="F734" s="3" t="str">
        <f ca="1">IFERROR(__xludf.DUMMYFUNCTION("""COMPUTED_VALUE"""),"Jagar")</f>
        <v>Jagar</v>
      </c>
      <c r="G734" s="3">
        <f ca="1">IFERROR(__xludf.DUMMYFUNCTION("""COMPUTED_VALUE"""),0)</f>
        <v>0</v>
      </c>
      <c r="H734" s="3" t="str">
        <f ca="1">IFERROR(__xludf.DUMMYFUNCTION("""COMPUTED_VALUE"""),"car")</f>
        <v>car</v>
      </c>
      <c r="I734" s="3" t="str">
        <f ca="1">IFERROR(__xludf.DUMMYFUNCTION("""COMPUTED_VALUE"""),"2055-06-01T19:15:39.033432Z")</f>
        <v>2055-06-01T19:15:39.033432Z</v>
      </c>
      <c r="J734" s="3" t="str">
        <f ca="1">IFERROR(__xludf.DUMMYFUNCTION("""COMPUTED_VALUE"""),"2055-06-01T20:23:05.109Z")</f>
        <v>2055-06-01T20:23:05.109Z</v>
      </c>
      <c r="K734" s="3" t="str">
        <f ca="1">IFERROR(__xludf.DUMMYFUNCTION("""COMPUTED_VALUE"""),"2055-06-01T19:58:24.109Z")</f>
        <v>2055-06-01T19:58:24.109Z</v>
      </c>
      <c r="L734" s="3">
        <f ca="1">IFERROR(__xludf.DUMMYFUNCTION("""COMPUTED_VALUE"""),1)</f>
        <v>1</v>
      </c>
      <c r="M734" s="3">
        <f ca="1">IFERROR(__xludf.DUMMYFUNCTION("""COMPUTED_VALUE"""),0)</f>
        <v>0</v>
      </c>
      <c r="N734" s="3" t="str">
        <f ca="1">IFERROR(__xludf.DUMMYFUNCTION("""COMPUTED_VALUE"""),"2055-06-01T19:37:34.659866Z")</f>
        <v>2055-06-01T19:37:34.659866Z</v>
      </c>
      <c r="O734" s="3" t="str">
        <f ca="1">IFERROR(__xludf.DUMMYFUNCTION("""COMPUTED_VALUE"""),"2055-06-01T19:51:13.583511Z")</f>
        <v>2055-06-01T19:51:13.583511Z</v>
      </c>
      <c r="P734" s="3" t="str">
        <f ca="1">IFERROR(__xludf.DUMMYFUNCTION("""COMPUTED_VALUE"""),"2055-06-01T19:19:27.345351Z")</f>
        <v>2055-06-01T19:19:27.345351Z</v>
      </c>
      <c r="Q734" s="3">
        <f ca="1">IFERROR(__xludf.DUMMYFUNCTION("""COMPUTED_VALUE"""),0)</f>
        <v>0</v>
      </c>
      <c r="R734" s="3" t="str">
        <f ca="1">IFERROR(__xludf.DUMMYFUNCTION("""COMPUTED_VALUE"""),"2055-06-01T19:19:36.860833Z")</f>
        <v>2055-06-01T19:19:36.860833Z</v>
      </c>
      <c r="S734" s="3" t="str">
        <f ca="1">IFERROR(__xludf.DUMMYFUNCTION("""COMPUTED_VALUE"""),"2055-06-01T19:37:08.367294Z")</f>
        <v>2055-06-01T19:37:08.367294Z</v>
      </c>
      <c r="T734" s="3"/>
      <c r="U734" s="4">
        <f ca="1">IFERROR(__xludf.DUMMYFUNCTION("""COMPUTED_VALUE"""),56766)</f>
        <v>56766</v>
      </c>
      <c r="V734" s="3">
        <f ca="1">IFERROR(__xludf.DUMMYFUNCTION("""COMPUTED_VALUE"""),4.6)</f>
        <v>4.5999999999999996</v>
      </c>
      <c r="W734" s="3">
        <f ca="1">IFERROR(__xludf.DUMMYFUNCTION("""COMPUTED_VALUE"""),2000)</f>
        <v>2000</v>
      </c>
      <c r="X734" s="3">
        <f ca="1">IFERROR(__xludf.DUMMYFUNCTION("""COMPUTED_VALUE"""),1897)</f>
        <v>1897</v>
      </c>
      <c r="Y734" s="3">
        <f ca="1">IFERROR(__xludf.DUMMYFUNCTION("""COMPUTED_VALUE"""),1052)</f>
        <v>1052</v>
      </c>
      <c r="Z734" s="3">
        <f ca="1">IFERROR(__xludf.DUMMYFUNCTION("""COMPUTED_VALUE"""),26)</f>
        <v>26</v>
      </c>
      <c r="AA734" s="3">
        <f ca="1">IFERROR(__xludf.DUMMYFUNCTION("""COMPUTED_VALUE"""),819)</f>
        <v>819</v>
      </c>
      <c r="AB734" s="3">
        <f ca="1">IFERROR(__xludf.DUMMYFUNCTION("""COMPUTED_VALUE"""),0)</f>
        <v>0</v>
      </c>
      <c r="AC734" s="3">
        <f ca="1">IFERROR(__xludf.DUMMYFUNCTION("""COMPUTED_VALUE"""),2)</f>
        <v>2</v>
      </c>
      <c r="AD734" s="3" t="str">
        <f ca="1">IFERROR(__xludf.DUMMYFUNCTION("""COMPUTED_VALUE"""),"late")</f>
        <v>late</v>
      </c>
      <c r="AE734" s="3" t="str">
        <f ca="1">IFERROR(__xludf.DUMMYFUNCTION("""COMPUTED_VALUE"""),"2055-06-01T15:37:34.659866Z")</f>
        <v>2055-06-01T15:37:34.659866Z</v>
      </c>
      <c r="AF734" s="3" t="str">
        <f ca="1">IFERROR(__xludf.DUMMYFUNCTION("""COMPUTED_VALUE"""),"2055-06-01T15:51:13.583511Z")</f>
        <v>2055-06-01T15:51:13.583511Z</v>
      </c>
      <c r="AG734" s="3" t="str">
        <f ca="1">IFERROR(__xludf.DUMMYFUNCTION("""COMPUTED_VALUE"""),"2055-06-01T15:19:27.345351Z")</f>
        <v>2055-06-01T15:19:27.345351Z</v>
      </c>
      <c r="AH734" s="3" t="str">
        <f ca="1">IFERROR(__xludf.DUMMYFUNCTION("""COMPUTED_VALUE"""),"2055-06-01T15:37:08.367294Z")</f>
        <v>2055-06-01T15:37:08.367294Z</v>
      </c>
      <c r="AI734" s="3">
        <f ca="1">IFERROR(__xludf.DUMMYFUNCTION("""COMPUTED_VALUE"""),4.89)</f>
        <v>4.8899999999999997</v>
      </c>
      <c r="AJ734" s="3">
        <f ca="1">IFERROR(__xludf.DUMMYFUNCTION("""COMPUTED_VALUE"""),1778)</f>
        <v>1778</v>
      </c>
      <c r="AK734" s="3">
        <f ca="1">IFERROR(__xludf.DUMMYFUNCTION("""COMPUTED_VALUE"""),5138)</f>
        <v>5138</v>
      </c>
      <c r="AL734" s="3">
        <f ca="1">IFERROR(__xludf.DUMMYFUNCTION("""COMPUTED_VALUE"""),314)</f>
        <v>314</v>
      </c>
    </row>
    <row r="735" spans="1:38" ht="13">
      <c r="A735" s="3">
        <f ca="1">IFERROR(__xludf.DUMMYFUNCTION("""COMPUTED_VALUE"""),652)</f>
        <v>652</v>
      </c>
      <c r="B735" s="3">
        <f ca="1">IFERROR(__xludf.DUMMYFUNCTION("""COMPUTED_VALUE"""),5)</f>
        <v>5</v>
      </c>
      <c r="C735" s="3">
        <f ca="1">IFERROR(__xludf.DUMMYFUNCTION("""COMPUTED_VALUE"""),4050)</f>
        <v>4050</v>
      </c>
      <c r="D735" s="3" t="str">
        <f ca="1">IFERROR(__xludf.DUMMYFUNCTION("""COMPUTED_VALUE"""),"Doorlanta")</f>
        <v>Doorlanta</v>
      </c>
      <c r="E735" s="3" t="str">
        <f ca="1">IFERROR(__xludf.DUMMYFUNCTION("""COMPUTED_VALUE"""),"Galaxy A")</f>
        <v>Galaxy A</v>
      </c>
      <c r="F735" s="3" t="str">
        <f ca="1">IFERROR(__xludf.DUMMYFUNCTION("""COMPUTED_VALUE"""),"Anisha")</f>
        <v>Anisha</v>
      </c>
      <c r="G735" s="3">
        <f ca="1">IFERROR(__xludf.DUMMYFUNCTION("""COMPUTED_VALUE"""),0)</f>
        <v>0</v>
      </c>
      <c r="H735" s="3" t="str">
        <f ca="1">IFERROR(__xludf.DUMMYFUNCTION("""COMPUTED_VALUE"""),"car")</f>
        <v>car</v>
      </c>
      <c r="I735" s="3" t="str">
        <f ca="1">IFERROR(__xludf.DUMMYFUNCTION("""COMPUTED_VALUE"""),"2055-06-05T22:29:51.084529Z")</f>
        <v>2055-06-05T22:29:51.084529Z</v>
      </c>
      <c r="J735" s="3" t="str">
        <f ca="1">IFERROR(__xludf.DUMMYFUNCTION("""COMPUTED_VALUE"""),"2055-06-05T23:23:59.151Z")</f>
        <v>2055-06-05T23:23:59.151Z</v>
      </c>
      <c r="K735" s="3" t="str">
        <f ca="1">IFERROR(__xludf.DUMMYFUNCTION("""COMPUTED_VALUE"""),"2055-06-05T23:12:05.151Z")</f>
        <v>2055-06-05T23:12:05.151Z</v>
      </c>
      <c r="L735" s="3">
        <f ca="1">IFERROR(__xludf.DUMMYFUNCTION("""COMPUTED_VALUE"""),1)</f>
        <v>1</v>
      </c>
      <c r="M735" s="3">
        <f ca="1">IFERROR(__xludf.DUMMYFUNCTION("""COMPUTED_VALUE"""),0)</f>
        <v>0</v>
      </c>
      <c r="N735" s="3" t="str">
        <f ca="1">IFERROR(__xludf.DUMMYFUNCTION("""COMPUTED_VALUE"""),"2055-06-05T22:43:18.921442Z")</f>
        <v>2055-06-05T22:43:18.921442Z</v>
      </c>
      <c r="O735" s="3" t="str">
        <f ca="1">IFERROR(__xludf.DUMMYFUNCTION("""COMPUTED_VALUE"""),"2055-06-05T23:00:49.494983Z")</f>
        <v>2055-06-05T23:00:49.494983Z</v>
      </c>
      <c r="P735" s="3" t="str">
        <f ca="1">IFERROR(__xludf.DUMMYFUNCTION("""COMPUTED_VALUE"""),"2055-06-05T22:32:27.557408Z")</f>
        <v>2055-06-05T22:32:27.557408Z</v>
      </c>
      <c r="Q735" s="3">
        <f ca="1">IFERROR(__xludf.DUMMYFUNCTION("""COMPUTED_VALUE"""),0)</f>
        <v>0</v>
      </c>
      <c r="R735" s="3" t="str">
        <f ca="1">IFERROR(__xludf.DUMMYFUNCTION("""COMPUTED_VALUE"""),"2055-06-05T22:32:38.180012Z")</f>
        <v>2055-06-05T22:32:38.180012Z</v>
      </c>
      <c r="S735" s="3" t="str">
        <f ca="1">IFERROR(__xludf.DUMMYFUNCTION("""COMPUTED_VALUE"""),"2055-06-05T22:39:47.520849Z")</f>
        <v>2055-06-05T22:39:47.520849Z</v>
      </c>
      <c r="T735" s="3"/>
      <c r="U735" s="4">
        <f ca="1">IFERROR(__xludf.DUMMYFUNCTION("""COMPUTED_VALUE"""),56770)</f>
        <v>56770</v>
      </c>
      <c r="V735" s="3">
        <f ca="1">IFERROR(__xludf.DUMMYFUNCTION("""COMPUTED_VALUE"""),4.5)</f>
        <v>4.5</v>
      </c>
      <c r="W735" s="3">
        <f ca="1">IFERROR(__xludf.DUMMYFUNCTION("""COMPUTED_VALUE"""),2000)</f>
        <v>2000</v>
      </c>
      <c r="X735" s="3">
        <f ca="1">IFERROR(__xludf.DUMMYFUNCTION("""COMPUTED_VALUE"""),1691)</f>
        <v>1691</v>
      </c>
      <c r="Y735" s="3">
        <f ca="1">IFERROR(__xludf.DUMMYFUNCTION("""COMPUTED_VALUE"""),429)</f>
        <v>429</v>
      </c>
      <c r="Z735" s="3">
        <f ca="1">IFERROR(__xludf.DUMMYFUNCTION("""COMPUTED_VALUE"""),211)</f>
        <v>211</v>
      </c>
      <c r="AA735" s="3">
        <f ca="1">IFERROR(__xludf.DUMMYFUNCTION("""COMPUTED_VALUE"""),1051)</f>
        <v>1051</v>
      </c>
      <c r="AB735" s="3">
        <f ca="1">IFERROR(__xludf.DUMMYFUNCTION("""COMPUTED_VALUE"""),0)</f>
        <v>0</v>
      </c>
      <c r="AC735" s="3">
        <f ca="1">IFERROR(__xludf.DUMMYFUNCTION("""COMPUTED_VALUE"""),2)</f>
        <v>2</v>
      </c>
      <c r="AD735" s="3" t="str">
        <f ca="1">IFERROR(__xludf.DUMMYFUNCTION("""COMPUTED_VALUE"""),"on time")</f>
        <v>on time</v>
      </c>
      <c r="AE735" s="3" t="str">
        <f ca="1">IFERROR(__xludf.DUMMYFUNCTION("""COMPUTED_VALUE"""),"2055-06-05T18:43:18.921442Z")</f>
        <v>2055-06-05T18:43:18.921442Z</v>
      </c>
      <c r="AF735" s="3" t="str">
        <f ca="1">IFERROR(__xludf.DUMMYFUNCTION("""COMPUTED_VALUE"""),"2055-06-05T19:00:49.494983Z")</f>
        <v>2055-06-05T19:00:49.494983Z</v>
      </c>
      <c r="AG735" s="3" t="str">
        <f ca="1">IFERROR(__xludf.DUMMYFUNCTION("""COMPUTED_VALUE"""),"2055-06-05T18:32:27.557408Z")</f>
        <v>2055-06-05T18:32:27.557408Z</v>
      </c>
      <c r="AH735" s="3" t="str">
        <f ca="1">IFERROR(__xludf.DUMMYFUNCTION("""COMPUTED_VALUE"""),"2055-06-05T18:39:47.520849Z")</f>
        <v>2055-06-05T18:39:47.520849Z</v>
      </c>
      <c r="AI735" s="3">
        <f ca="1">IFERROR(__xludf.DUMMYFUNCTION("""COMPUTED_VALUE"""),4.7)</f>
        <v>4.7</v>
      </c>
      <c r="AJ735" s="3">
        <f ca="1">IFERROR(__xludf.DUMMYFUNCTION("""COMPUTED_VALUE"""),272)</f>
        <v>272</v>
      </c>
      <c r="AK735" s="3">
        <f ca="1">IFERROR(__xludf.DUMMYFUNCTION("""COMPUTED_VALUE"""),931)</f>
        <v>931</v>
      </c>
      <c r="AL735" s="3">
        <f ca="1">IFERROR(__xludf.DUMMYFUNCTION("""COMPUTED_VALUE"""),144)</f>
        <v>144</v>
      </c>
    </row>
    <row r="736" spans="1:38" ht="13">
      <c r="A736" s="3">
        <f ca="1">IFERROR(__xludf.DUMMYFUNCTION("""COMPUTED_VALUE"""),945)</f>
        <v>945</v>
      </c>
      <c r="B736" s="3">
        <f ca="1">IFERROR(__xludf.DUMMYFUNCTION("""COMPUTED_VALUE"""),5)</f>
        <v>5</v>
      </c>
      <c r="C736" s="3">
        <f ca="1">IFERROR(__xludf.DUMMYFUNCTION("""COMPUTED_VALUE"""),4001)</f>
        <v>4001</v>
      </c>
      <c r="D736" s="3" t="str">
        <f ca="1">IFERROR(__xludf.DUMMYFUNCTION("""COMPUTED_VALUE"""),"Dashattan")</f>
        <v>Dashattan</v>
      </c>
      <c r="E736" s="3" t="str">
        <f ca="1">IFERROR(__xludf.DUMMYFUNCTION("""COMPUTED_VALUE"""),"Galaxy A")</f>
        <v>Galaxy A</v>
      </c>
      <c r="F736" s="3" t="str">
        <f ca="1">IFERROR(__xludf.DUMMYFUNCTION("""COMPUTED_VALUE"""),"Sean")</f>
        <v>Sean</v>
      </c>
      <c r="G736" s="3">
        <f ca="1">IFERROR(__xludf.DUMMYFUNCTION("""COMPUTED_VALUE"""),0)</f>
        <v>0</v>
      </c>
      <c r="H736" s="3" t="str">
        <f ca="1">IFERROR(__xludf.DUMMYFUNCTION("""COMPUTED_VALUE"""),"bicycle")</f>
        <v>bicycle</v>
      </c>
      <c r="I736" s="3" t="str">
        <f ca="1">IFERROR(__xludf.DUMMYFUNCTION("""COMPUTED_VALUE"""),"2055-06-08T16:41:23.937841Z")</f>
        <v>2055-06-08T16:41:23.937841Z</v>
      </c>
      <c r="J736" s="3" t="str">
        <f ca="1">IFERROR(__xludf.DUMMYFUNCTION("""COMPUTED_VALUE"""),"2055-06-08T17:39:27.997Z")</f>
        <v>2055-06-08T17:39:27.997Z</v>
      </c>
      <c r="K736" s="3" t="str">
        <f ca="1">IFERROR(__xludf.DUMMYFUNCTION("""COMPUTED_VALUE"""),"2055-06-08T17:16:09.997Z")</f>
        <v>2055-06-08T17:16:09.997Z</v>
      </c>
      <c r="L736" s="3">
        <f ca="1">IFERROR(__xludf.DUMMYFUNCTION("""COMPUTED_VALUE"""),1)</f>
        <v>1</v>
      </c>
      <c r="M736" s="3">
        <f ca="1">IFERROR(__xludf.DUMMYFUNCTION("""COMPUTED_VALUE"""),0)</f>
        <v>0</v>
      </c>
      <c r="N736" s="3" t="str">
        <f ca="1">IFERROR(__xludf.DUMMYFUNCTION("""COMPUTED_VALUE"""),"2055-06-08T17:02:14.663465Z")</f>
        <v>2055-06-08T17:02:14.663465Z</v>
      </c>
      <c r="O736" s="3" t="str">
        <f ca="1">IFERROR(__xludf.DUMMYFUNCTION("""COMPUTED_VALUE"""),"2055-06-08T17:08:39.974647Z")</f>
        <v>2055-06-08T17:08:39.974647Z</v>
      </c>
      <c r="P736" s="3" t="str">
        <f ca="1">IFERROR(__xludf.DUMMYFUNCTION("""COMPUTED_VALUE"""),"2055-06-08T16:41:34.069399Z")</f>
        <v>2055-06-08T16:41:34.069399Z</v>
      </c>
      <c r="Q736" s="3">
        <f ca="1">IFERROR(__xludf.DUMMYFUNCTION("""COMPUTED_VALUE"""),0)</f>
        <v>0</v>
      </c>
      <c r="R736" s="3" t="str">
        <f ca="1">IFERROR(__xludf.DUMMYFUNCTION("""COMPUTED_VALUE"""),"2055-06-08T16:42:12.119919Z")</f>
        <v>2055-06-08T16:42:12.119919Z</v>
      </c>
      <c r="S736" s="3" t="str">
        <f ca="1">IFERROR(__xludf.DUMMYFUNCTION("""COMPUTED_VALUE"""),"2055-06-08T16:45:05.404155Z")</f>
        <v>2055-06-08T16:45:05.404155Z</v>
      </c>
      <c r="T736" s="3"/>
      <c r="U736" s="4">
        <f ca="1">IFERROR(__xludf.DUMMYFUNCTION("""COMPUTED_VALUE"""),56773)</f>
        <v>56773</v>
      </c>
      <c r="V736" s="3">
        <f ca="1">IFERROR(__xludf.DUMMYFUNCTION("""COMPUTED_VALUE"""),4.3)</f>
        <v>4.3</v>
      </c>
      <c r="W736" s="3">
        <f ca="1">IFERROR(__xludf.DUMMYFUNCTION("""COMPUTED_VALUE"""),2000)</f>
        <v>2000</v>
      </c>
      <c r="X736" s="3">
        <f ca="1">IFERROR(__xludf.DUMMYFUNCTION("""COMPUTED_VALUE"""),1587)</f>
        <v>1587</v>
      </c>
      <c r="Y736" s="3">
        <f ca="1">IFERROR(__xludf.DUMMYFUNCTION("""COMPUTED_VALUE"""),173)</f>
        <v>173</v>
      </c>
      <c r="Z736" s="3">
        <f ca="1">IFERROR(__xludf.DUMMYFUNCTION("""COMPUTED_VALUE"""),1029)</f>
        <v>1029</v>
      </c>
      <c r="AA736" s="3">
        <f ca="1">IFERROR(__xludf.DUMMYFUNCTION("""COMPUTED_VALUE"""),385)</f>
        <v>385</v>
      </c>
      <c r="AB736" s="3">
        <f ca="1">IFERROR(__xludf.DUMMYFUNCTION("""COMPUTED_VALUE"""),1)</f>
        <v>1</v>
      </c>
      <c r="AC736" s="3">
        <f ca="1">IFERROR(__xludf.DUMMYFUNCTION("""COMPUTED_VALUE"""),2)</f>
        <v>2</v>
      </c>
      <c r="AD736" s="3"/>
      <c r="AE736" s="3" t="str">
        <f ca="1">IFERROR(__xludf.DUMMYFUNCTION("""COMPUTED_VALUE"""),"2055-06-08T13:02:14.663465Z")</f>
        <v>2055-06-08T13:02:14.663465Z</v>
      </c>
      <c r="AF736" s="3" t="str">
        <f ca="1">IFERROR(__xludf.DUMMYFUNCTION("""COMPUTED_VALUE"""),"2055-06-08T13:08:39.974647Z")</f>
        <v>2055-06-08T13:08:39.974647Z</v>
      </c>
      <c r="AG736" s="3" t="str">
        <f ca="1">IFERROR(__xludf.DUMMYFUNCTION("""COMPUTED_VALUE"""),"2055-06-08T12:41:34.069399Z")</f>
        <v>2055-06-08T12:41:34.069399Z</v>
      </c>
      <c r="AH736" s="3" t="str">
        <f ca="1">IFERROR(__xludf.DUMMYFUNCTION("""COMPUTED_VALUE"""),"2055-06-08T12:45:05.404155Z")</f>
        <v>2055-06-08T12:45:05.404155Z</v>
      </c>
      <c r="AI736" s="3">
        <f ca="1">IFERROR(__xludf.DUMMYFUNCTION("""COMPUTED_VALUE"""),4.52)</f>
        <v>4.5199999999999996</v>
      </c>
      <c r="AJ736" s="3">
        <f ca="1">IFERROR(__xludf.DUMMYFUNCTION("""COMPUTED_VALUE"""),183)</f>
        <v>183</v>
      </c>
      <c r="AK736" s="3">
        <f ca="1">IFERROR(__xludf.DUMMYFUNCTION("""COMPUTED_VALUE"""),522)</f>
        <v>522</v>
      </c>
      <c r="AL736" s="3"/>
    </row>
    <row r="737" spans="1:38" ht="13">
      <c r="A737" s="3">
        <f ca="1">IFERROR(__xludf.DUMMYFUNCTION("""COMPUTED_VALUE"""),341)</f>
        <v>341</v>
      </c>
      <c r="B737" s="3">
        <f ca="1">IFERROR(__xludf.DUMMYFUNCTION("""COMPUTED_VALUE"""),5)</f>
        <v>5</v>
      </c>
      <c r="C737" s="3">
        <f ca="1">IFERROR(__xludf.DUMMYFUNCTION("""COMPUTED_VALUE"""),4001)</f>
        <v>4001</v>
      </c>
      <c r="D737" s="3" t="str">
        <f ca="1">IFERROR(__xludf.DUMMYFUNCTION("""COMPUTED_VALUE"""),"Dashattan")</f>
        <v>Dashattan</v>
      </c>
      <c r="E737" s="3" t="str">
        <f ca="1">IFERROR(__xludf.DUMMYFUNCTION("""COMPUTED_VALUE"""),"Galaxy A")</f>
        <v>Galaxy A</v>
      </c>
      <c r="F737" s="3" t="str">
        <f ca="1">IFERROR(__xludf.DUMMYFUNCTION("""COMPUTED_VALUE"""),"Zak")</f>
        <v>Zak</v>
      </c>
      <c r="G737" s="3">
        <f ca="1">IFERROR(__xludf.DUMMYFUNCTION("""COMPUTED_VALUE"""),0)</f>
        <v>0</v>
      </c>
      <c r="H737" s="3" t="str">
        <f ca="1">IFERROR(__xludf.DUMMYFUNCTION("""COMPUTED_VALUE"""),"bicycle")</f>
        <v>bicycle</v>
      </c>
      <c r="I737" s="3" t="str">
        <f ca="1">IFERROR(__xludf.DUMMYFUNCTION("""COMPUTED_VALUE"""),"2055-06-03T21:56:05.994697Z")</f>
        <v>2055-06-03T21:56:05.994697Z</v>
      </c>
      <c r="J737" s="3" t="str">
        <f ca="1">IFERROR(__xludf.DUMMYFUNCTION("""COMPUTED_VALUE"""),"2055-06-03T22:46:38.05Z")</f>
        <v>2055-06-03T22:46:38.05Z</v>
      </c>
      <c r="K737" s="3" t="str">
        <f ca="1">IFERROR(__xludf.DUMMYFUNCTION("""COMPUTED_VALUE"""),"2055-06-03T22:27:45.05Z")</f>
        <v>2055-06-03T22:27:45.05Z</v>
      </c>
      <c r="L737" s="3">
        <f ca="1">IFERROR(__xludf.DUMMYFUNCTION("""COMPUTED_VALUE"""),1)</f>
        <v>1</v>
      </c>
      <c r="M737" s="3">
        <f ca="1">IFERROR(__xludf.DUMMYFUNCTION("""COMPUTED_VALUE"""),0)</f>
        <v>0</v>
      </c>
      <c r="N737" s="3" t="str">
        <f ca="1">IFERROR(__xludf.DUMMYFUNCTION("""COMPUTED_VALUE"""),"2055-06-03T22:31:03.102998Z")</f>
        <v>2055-06-03T22:31:03.102998Z</v>
      </c>
      <c r="O737" s="3" t="str">
        <f ca="1">IFERROR(__xludf.DUMMYFUNCTION("""COMPUTED_VALUE"""),"2055-06-03T22:39:34.271675Z")</f>
        <v>2055-06-03T22:39:34.271675Z</v>
      </c>
      <c r="P737" s="3" t="str">
        <f ca="1">IFERROR(__xludf.DUMMYFUNCTION("""COMPUTED_VALUE"""),"2055-06-03T22:02:14.63077Z")</f>
        <v>2055-06-03T22:02:14.63077Z</v>
      </c>
      <c r="Q737" s="3">
        <f ca="1">IFERROR(__xludf.DUMMYFUNCTION("""COMPUTED_VALUE"""),0)</f>
        <v>0</v>
      </c>
      <c r="R737" s="3" t="str">
        <f ca="1">IFERROR(__xludf.DUMMYFUNCTION("""COMPUTED_VALUE"""),"2055-06-03T22:02:51.508618Z")</f>
        <v>2055-06-03T22:02:51.508618Z</v>
      </c>
      <c r="S737" s="3" t="str">
        <f ca="1">IFERROR(__xludf.DUMMYFUNCTION("""COMPUTED_VALUE"""),"2055-06-03T22:22:17.11396Z")</f>
        <v>2055-06-03T22:22:17.11396Z</v>
      </c>
      <c r="T737" s="3"/>
      <c r="U737" s="4">
        <f ca="1">IFERROR(__xludf.DUMMYFUNCTION("""COMPUTED_VALUE"""),56768)</f>
        <v>56768</v>
      </c>
      <c r="V737" s="3">
        <f ca="1">IFERROR(__xludf.DUMMYFUNCTION("""COMPUTED_VALUE"""),3.741889628)</f>
        <v>3.741889628</v>
      </c>
      <c r="W737" s="3">
        <f ca="1">IFERROR(__xludf.DUMMYFUNCTION("""COMPUTED_VALUE"""),2000)</f>
        <v>2000</v>
      </c>
      <c r="X737" s="3">
        <f ca="1">IFERROR(__xludf.DUMMYFUNCTION("""COMPUTED_VALUE"""),2203)</f>
        <v>2203</v>
      </c>
      <c r="Y737" s="3">
        <f ca="1">IFERROR(__xludf.DUMMYFUNCTION("""COMPUTED_VALUE"""),1166)</f>
        <v>1166</v>
      </c>
      <c r="Z737" s="3">
        <f ca="1">IFERROR(__xludf.DUMMYFUNCTION("""COMPUTED_VALUE"""),526)</f>
        <v>526</v>
      </c>
      <c r="AA737" s="3">
        <f ca="1">IFERROR(__xludf.DUMMYFUNCTION("""COMPUTED_VALUE"""),511)</f>
        <v>511</v>
      </c>
      <c r="AB737" s="3">
        <f ca="1">IFERROR(__xludf.DUMMYFUNCTION("""COMPUTED_VALUE"""),0)</f>
        <v>0</v>
      </c>
      <c r="AC737" s="3">
        <f ca="1">IFERROR(__xludf.DUMMYFUNCTION("""COMPUTED_VALUE"""),2)</f>
        <v>2</v>
      </c>
      <c r="AD737" s="3" t="str">
        <f ca="1">IFERROR(__xludf.DUMMYFUNCTION("""COMPUTED_VALUE"""),"late")</f>
        <v>late</v>
      </c>
      <c r="AE737" s="3" t="str">
        <f ca="1">IFERROR(__xludf.DUMMYFUNCTION("""COMPUTED_VALUE"""),"2055-06-03T18:31:03.102998Z")</f>
        <v>2055-06-03T18:31:03.102998Z</v>
      </c>
      <c r="AF737" s="3" t="str">
        <f ca="1">IFERROR(__xludf.DUMMYFUNCTION("""COMPUTED_VALUE"""),"2055-06-03T18:39:34.271675Z")</f>
        <v>2055-06-03T18:39:34.271675Z</v>
      </c>
      <c r="AG737" s="3" t="str">
        <f ca="1">IFERROR(__xludf.DUMMYFUNCTION("""COMPUTED_VALUE"""),"2055-06-03T18:02:14.63077Z")</f>
        <v>2055-06-03T18:02:14.63077Z</v>
      </c>
      <c r="AH737" s="3" t="str">
        <f ca="1">IFERROR(__xludf.DUMMYFUNCTION("""COMPUTED_VALUE"""),"2055-06-03T18:22:17.11396Z")</f>
        <v>2055-06-03T18:22:17.11396Z</v>
      </c>
      <c r="AI737" s="3">
        <f ca="1">IFERROR(__xludf.DUMMYFUNCTION("""COMPUTED_VALUE"""),4.63)</f>
        <v>4.63</v>
      </c>
      <c r="AJ737" s="3">
        <f ca="1">IFERROR(__xludf.DUMMYFUNCTION("""COMPUTED_VALUE"""),265)</f>
        <v>265</v>
      </c>
      <c r="AK737" s="3">
        <f ca="1">IFERROR(__xludf.DUMMYFUNCTION("""COMPUTED_VALUE"""),905)</f>
        <v>905</v>
      </c>
      <c r="AL737" s="3">
        <f ca="1">IFERROR(__xludf.DUMMYFUNCTION("""COMPUTED_VALUE"""),77)</f>
        <v>77</v>
      </c>
    </row>
    <row r="738" spans="1:38" ht="13">
      <c r="A738" s="3">
        <f ca="1">IFERROR(__xludf.DUMMYFUNCTION("""COMPUTED_VALUE"""),817)</f>
        <v>817</v>
      </c>
      <c r="B738" s="3"/>
      <c r="C738" s="3">
        <f ca="1">IFERROR(__xludf.DUMMYFUNCTION("""COMPUTED_VALUE"""),4001)</f>
        <v>4001</v>
      </c>
      <c r="D738" s="3" t="str">
        <f ca="1">IFERROR(__xludf.DUMMYFUNCTION("""COMPUTED_VALUE"""),"Dashattan")</f>
        <v>Dashattan</v>
      </c>
      <c r="E738" s="3" t="str">
        <f ca="1">IFERROR(__xludf.DUMMYFUNCTION("""COMPUTED_VALUE"""),"Galaxy A")</f>
        <v>Galaxy A</v>
      </c>
      <c r="F738" s="3" t="str">
        <f ca="1">IFERROR(__xludf.DUMMYFUNCTION("""COMPUTED_VALUE"""),"KC")</f>
        <v>KC</v>
      </c>
      <c r="G738" s="3">
        <f ca="1">IFERROR(__xludf.DUMMYFUNCTION("""COMPUTED_VALUE"""),0)</f>
        <v>0</v>
      </c>
      <c r="H738" s="3" t="str">
        <f ca="1">IFERROR(__xludf.DUMMYFUNCTION("""COMPUTED_VALUE"""),"car")</f>
        <v>car</v>
      </c>
      <c r="I738" s="3" t="str">
        <f ca="1">IFERROR(__xludf.DUMMYFUNCTION("""COMPUTED_VALUE"""),"2055-06-07T01:56:01.979102Z")</f>
        <v>2055-06-07T01:56:01.979102Z</v>
      </c>
      <c r="J738" s="3" t="str">
        <f ca="1">IFERROR(__xludf.DUMMYFUNCTION("""COMPUTED_VALUE"""),"2055-06-07T02:44:49.135Z")</f>
        <v>2055-06-07T02:44:49.135Z</v>
      </c>
      <c r="K738" s="3" t="str">
        <f ca="1">IFERROR(__xludf.DUMMYFUNCTION("""COMPUTED_VALUE"""),"2055-06-07T02:25:56.135Z")</f>
        <v>2055-06-07T02:25:56.135Z</v>
      </c>
      <c r="L738" s="3">
        <f ca="1">IFERROR(__xludf.DUMMYFUNCTION("""COMPUTED_VALUE"""),1)</f>
        <v>1</v>
      </c>
      <c r="M738" s="3">
        <f ca="1">IFERROR(__xludf.DUMMYFUNCTION("""COMPUTED_VALUE"""),0)</f>
        <v>0</v>
      </c>
      <c r="N738" s="3" t="str">
        <f ca="1">IFERROR(__xludf.DUMMYFUNCTION("""COMPUTED_VALUE"""),"2055-06-07T02:07:32.21354Z")</f>
        <v>2055-06-07T02:07:32.21354Z</v>
      </c>
      <c r="O738" s="3" t="str">
        <f ca="1">IFERROR(__xludf.DUMMYFUNCTION("""COMPUTED_VALUE"""),"2055-06-07T02:20:39.156252Z")</f>
        <v>2055-06-07T02:20:39.156252Z</v>
      </c>
      <c r="P738" s="3" t="str">
        <f ca="1">IFERROR(__xludf.DUMMYFUNCTION("""COMPUTED_VALUE"""),"2055-06-07T01:58:34.182776Z")</f>
        <v>2055-06-07T01:58:34.182776Z</v>
      </c>
      <c r="Q738" s="3">
        <f ca="1">IFERROR(__xludf.DUMMYFUNCTION("""COMPUTED_VALUE"""),0)</f>
        <v>0</v>
      </c>
      <c r="R738" s="3" t="str">
        <f ca="1">IFERROR(__xludf.DUMMYFUNCTION("""COMPUTED_VALUE"""),"2055-06-07T01:58:51.52567Z")</f>
        <v>2055-06-07T01:58:51.52567Z</v>
      </c>
      <c r="S738" s="3" t="str">
        <f ca="1">IFERROR(__xludf.DUMMYFUNCTION("""COMPUTED_VALUE"""),"2055-06-07T02:05:56.578709Z")</f>
        <v>2055-06-07T02:05:56.578709Z</v>
      </c>
      <c r="T738" s="3"/>
      <c r="U738" s="4">
        <f ca="1">IFERROR(__xludf.DUMMYFUNCTION("""COMPUTED_VALUE"""),56771)</f>
        <v>56771</v>
      </c>
      <c r="V738" s="3">
        <f ca="1">IFERROR(__xludf.DUMMYFUNCTION("""COMPUTED_VALUE"""),4.6)</f>
        <v>4.5999999999999996</v>
      </c>
      <c r="W738" s="3">
        <f ca="1">IFERROR(__xludf.DUMMYFUNCTION("""COMPUTED_VALUE"""),2000)</f>
        <v>2000</v>
      </c>
      <c r="X738" s="3">
        <f ca="1">IFERROR(__xludf.DUMMYFUNCTION("""COMPUTED_VALUE"""),1308)</f>
        <v>1308</v>
      </c>
      <c r="Y738" s="3">
        <f ca="1">IFERROR(__xludf.DUMMYFUNCTION("""COMPUTED_VALUE"""),425)</f>
        <v>425</v>
      </c>
      <c r="Z738" s="3">
        <f ca="1">IFERROR(__xludf.DUMMYFUNCTION("""COMPUTED_VALUE"""),96)</f>
        <v>96</v>
      </c>
      <c r="AA738" s="3">
        <f ca="1">IFERROR(__xludf.DUMMYFUNCTION("""COMPUTED_VALUE"""),787)</f>
        <v>787</v>
      </c>
      <c r="AB738" s="3">
        <f ca="1">IFERROR(__xludf.DUMMYFUNCTION("""COMPUTED_VALUE"""),0)</f>
        <v>0</v>
      </c>
      <c r="AC738" s="3">
        <f ca="1">IFERROR(__xludf.DUMMYFUNCTION("""COMPUTED_VALUE"""),3)</f>
        <v>3</v>
      </c>
      <c r="AD738" s="3" t="str">
        <f ca="1">IFERROR(__xludf.DUMMYFUNCTION("""COMPUTED_VALUE"""),"on time")</f>
        <v>on time</v>
      </c>
      <c r="AE738" s="3" t="str">
        <f ca="1">IFERROR(__xludf.DUMMYFUNCTION("""COMPUTED_VALUE"""),"2055-06-06T22:07:32.21354Z")</f>
        <v>2055-06-06T22:07:32.21354Z</v>
      </c>
      <c r="AF738" s="3" t="str">
        <f ca="1">IFERROR(__xludf.DUMMYFUNCTION("""COMPUTED_VALUE"""),"2055-06-06T22:20:39.156252Z")</f>
        <v>2055-06-06T22:20:39.156252Z</v>
      </c>
      <c r="AG738" s="3" t="str">
        <f ca="1">IFERROR(__xludf.DUMMYFUNCTION("""COMPUTED_VALUE"""),"2055-06-06T21:58:34.182776Z")</f>
        <v>2055-06-06T21:58:34.182776Z</v>
      </c>
      <c r="AH738" s="3" t="str">
        <f ca="1">IFERROR(__xludf.DUMMYFUNCTION("""COMPUTED_VALUE"""),"2055-06-06T22:05:56.578709Z")</f>
        <v>2055-06-06T22:05:56.578709Z</v>
      </c>
      <c r="AI738" s="3">
        <f ca="1">IFERROR(__xludf.DUMMYFUNCTION("""COMPUTED_VALUE"""),4.54)</f>
        <v>4.54</v>
      </c>
      <c r="AJ738" s="3">
        <f ca="1">IFERROR(__xludf.DUMMYFUNCTION("""COMPUTED_VALUE"""),2229)</f>
        <v>2229</v>
      </c>
      <c r="AK738" s="3">
        <f ca="1">IFERROR(__xludf.DUMMYFUNCTION("""COMPUTED_VALUE"""),6580)</f>
        <v>6580</v>
      </c>
      <c r="AL738" s="3"/>
    </row>
    <row r="739" spans="1:38" ht="13">
      <c r="A739" s="3">
        <f ca="1">IFERROR(__xludf.DUMMYFUNCTION("""COMPUTED_VALUE"""),793)</f>
        <v>793</v>
      </c>
      <c r="B739" s="3">
        <f ca="1">IFERROR(__xludf.DUMMYFUNCTION("""COMPUTED_VALUE"""),5)</f>
        <v>5</v>
      </c>
      <c r="C739" s="3">
        <f ca="1">IFERROR(__xludf.DUMMYFUNCTION("""COMPUTED_VALUE"""),4001)</f>
        <v>4001</v>
      </c>
      <c r="D739" s="3" t="str">
        <f ca="1">IFERROR(__xludf.DUMMYFUNCTION("""COMPUTED_VALUE"""),"Dashattan")</f>
        <v>Dashattan</v>
      </c>
      <c r="E739" s="3" t="str">
        <f ca="1">IFERROR(__xludf.DUMMYFUNCTION("""COMPUTED_VALUE"""),"Galaxy A")</f>
        <v>Galaxy A</v>
      </c>
      <c r="F739" s="3" t="str">
        <f ca="1">IFERROR(__xludf.DUMMYFUNCTION("""COMPUTED_VALUE"""),"Rachael")</f>
        <v>Rachael</v>
      </c>
      <c r="G739" s="3">
        <f ca="1">IFERROR(__xludf.DUMMYFUNCTION("""COMPUTED_VALUE"""),0)</f>
        <v>0</v>
      </c>
      <c r="H739" s="3" t="str">
        <f ca="1">IFERROR(__xludf.DUMMYFUNCTION("""COMPUTED_VALUE"""),"bicycle")</f>
        <v>bicycle</v>
      </c>
      <c r="I739" s="3" t="str">
        <f ca="1">IFERROR(__xludf.DUMMYFUNCTION("""COMPUTED_VALUE"""),"2055-06-06T23:28:56.211252Z")</f>
        <v>2055-06-06T23:28:56.211252Z</v>
      </c>
      <c r="J739" s="3" t="str">
        <f ca="1">IFERROR(__xludf.DUMMYFUNCTION("""COMPUTED_VALUE"""),"2055-06-07T00:12:49.301Z")</f>
        <v>2055-06-07T00:12:49.301Z</v>
      </c>
      <c r="K739" s="3" t="str">
        <f ca="1">IFERROR(__xludf.DUMMYFUNCTION("""COMPUTED_VALUE"""),"2055-06-06T23:53:56.301Z")</f>
        <v>2055-06-06T23:53:56.301Z</v>
      </c>
      <c r="L739" s="3">
        <f ca="1">IFERROR(__xludf.DUMMYFUNCTION("""COMPUTED_VALUE"""),1)</f>
        <v>1</v>
      </c>
      <c r="M739" s="3">
        <f ca="1">IFERROR(__xludf.DUMMYFUNCTION("""COMPUTED_VALUE"""),0)</f>
        <v>0</v>
      </c>
      <c r="N739" s="3" t="str">
        <f ca="1">IFERROR(__xludf.DUMMYFUNCTION("""COMPUTED_VALUE"""),"2055-06-06T23:37:06.637733Z")</f>
        <v>2055-06-06T23:37:06.637733Z</v>
      </c>
      <c r="O739" s="3" t="str">
        <f ca="1">IFERROR(__xludf.DUMMYFUNCTION("""COMPUTED_VALUE"""),"2055-06-06T23:43:07.533771Z")</f>
        <v>2055-06-06T23:43:07.533771Z</v>
      </c>
      <c r="P739" s="3" t="str">
        <f ca="1">IFERROR(__xludf.DUMMYFUNCTION("""COMPUTED_VALUE"""),"2055-06-06T23:30:34.688212Z")</f>
        <v>2055-06-06T23:30:34.688212Z</v>
      </c>
      <c r="Q739" s="3">
        <f ca="1">IFERROR(__xludf.DUMMYFUNCTION("""COMPUTED_VALUE"""),0)</f>
        <v>0</v>
      </c>
      <c r="R739" s="3" t="str">
        <f ca="1">IFERROR(__xludf.DUMMYFUNCTION("""COMPUTED_VALUE"""),"2055-06-06T23:30:56.610265Z")</f>
        <v>2055-06-06T23:30:56.610265Z</v>
      </c>
      <c r="S739" s="3" t="str">
        <f ca="1">IFERROR(__xludf.DUMMYFUNCTION("""COMPUTED_VALUE"""),"2055-06-06T23:38:34.150423Z")</f>
        <v>2055-06-06T23:38:34.150423Z</v>
      </c>
      <c r="T739" s="3"/>
      <c r="U739" s="4">
        <f ca="1">IFERROR(__xludf.DUMMYFUNCTION("""COMPUTED_VALUE"""),56771)</f>
        <v>56771</v>
      </c>
      <c r="V739" s="3">
        <f ca="1">IFERROR(__xludf.DUMMYFUNCTION("""COMPUTED_VALUE"""),4.4)</f>
        <v>4.4000000000000004</v>
      </c>
      <c r="W739" s="3">
        <f ca="1">IFERROR(__xludf.DUMMYFUNCTION("""COMPUTED_VALUE"""),2000)</f>
        <v>2000</v>
      </c>
      <c r="X739" s="3">
        <f ca="1">IFERROR(__xludf.DUMMYFUNCTION("""COMPUTED_VALUE"""),731)</f>
        <v>731</v>
      </c>
      <c r="Y739" s="3">
        <f ca="1">IFERROR(__xludf.DUMMYFUNCTION("""COMPUTED_VALUE"""),458)</f>
        <v>458</v>
      </c>
      <c r="Z739" s="3"/>
      <c r="AA739" s="3">
        <f ca="1">IFERROR(__xludf.DUMMYFUNCTION("""COMPUTED_VALUE"""),361)</f>
        <v>361</v>
      </c>
      <c r="AB739" s="3">
        <f ca="1">IFERROR(__xludf.DUMMYFUNCTION("""COMPUTED_VALUE"""),0)</f>
        <v>0</v>
      </c>
      <c r="AC739" s="3">
        <f ca="1">IFERROR(__xludf.DUMMYFUNCTION("""COMPUTED_VALUE"""),3)</f>
        <v>3</v>
      </c>
      <c r="AD739" s="3" t="str">
        <f ca="1">IFERROR(__xludf.DUMMYFUNCTION("""COMPUTED_VALUE"""),"on time")</f>
        <v>on time</v>
      </c>
      <c r="AE739" s="3" t="str">
        <f ca="1">IFERROR(__xludf.DUMMYFUNCTION("""COMPUTED_VALUE"""),"2055-06-06T19:37:06.637733Z")</f>
        <v>2055-06-06T19:37:06.637733Z</v>
      </c>
      <c r="AF739" s="3" t="str">
        <f ca="1">IFERROR(__xludf.DUMMYFUNCTION("""COMPUTED_VALUE"""),"2055-06-06T19:43:07.533771Z")</f>
        <v>2055-06-06T19:43:07.533771Z</v>
      </c>
      <c r="AG739" s="3" t="str">
        <f ca="1">IFERROR(__xludf.DUMMYFUNCTION("""COMPUTED_VALUE"""),"2055-06-06T19:30:34.688212Z")</f>
        <v>2055-06-06T19:30:34.688212Z</v>
      </c>
      <c r="AH739" s="3" t="str">
        <f ca="1">IFERROR(__xludf.DUMMYFUNCTION("""COMPUTED_VALUE"""),"2055-06-06T19:38:34.150423Z")</f>
        <v>2055-06-06T19:38:34.150423Z</v>
      </c>
      <c r="AI739" s="3">
        <f ca="1">IFERROR(__xludf.DUMMYFUNCTION("""COMPUTED_VALUE"""),4.47)</f>
        <v>4.47</v>
      </c>
      <c r="AJ739" s="3">
        <f ca="1">IFERROR(__xludf.DUMMYFUNCTION("""COMPUTED_VALUE"""),78)</f>
        <v>78</v>
      </c>
      <c r="AK739" s="3">
        <f ca="1">IFERROR(__xludf.DUMMYFUNCTION("""COMPUTED_VALUE"""),278)</f>
        <v>278</v>
      </c>
      <c r="AL739" s="3">
        <f ca="1">IFERROR(__xludf.DUMMYFUNCTION("""COMPUTED_VALUE"""),26)</f>
        <v>26</v>
      </c>
    </row>
    <row r="740" spans="1:38" ht="13">
      <c r="A740" s="3">
        <f ca="1">IFERROR(__xludf.DUMMYFUNCTION("""COMPUTED_VALUE"""),670)</f>
        <v>670</v>
      </c>
      <c r="B740" s="3">
        <f ca="1">IFERROR(__xludf.DUMMYFUNCTION("""COMPUTED_VALUE"""),5)</f>
        <v>5</v>
      </c>
      <c r="C740" s="3">
        <f ca="1">IFERROR(__xludf.DUMMYFUNCTION("""COMPUTED_VALUE"""),4001)</f>
        <v>4001</v>
      </c>
      <c r="D740" s="3" t="str">
        <f ca="1">IFERROR(__xludf.DUMMYFUNCTION("""COMPUTED_VALUE"""),"Dashattan")</f>
        <v>Dashattan</v>
      </c>
      <c r="E740" s="3" t="str">
        <f ca="1">IFERROR(__xludf.DUMMYFUNCTION("""COMPUTED_VALUE"""),"Galaxy A")</f>
        <v>Galaxy A</v>
      </c>
      <c r="F740" s="3" t="str">
        <f ca="1">IFERROR(__xludf.DUMMYFUNCTION("""COMPUTED_VALUE"""),"KC")</f>
        <v>KC</v>
      </c>
      <c r="G740" s="3">
        <f ca="1">IFERROR(__xludf.DUMMYFUNCTION("""COMPUTED_VALUE"""),0)</f>
        <v>0</v>
      </c>
      <c r="H740" s="3" t="str">
        <f ca="1">IFERROR(__xludf.DUMMYFUNCTION("""COMPUTED_VALUE"""),"car")</f>
        <v>car</v>
      </c>
      <c r="I740" s="3" t="str">
        <f ca="1">IFERROR(__xludf.DUMMYFUNCTION("""COMPUTED_VALUE"""),"2055-06-05T23:11:48.90493Z")</f>
        <v>2055-06-05T23:11:48.90493Z</v>
      </c>
      <c r="J740" s="3" t="str">
        <f ca="1">IFERROR(__xludf.DUMMYFUNCTION("""COMPUTED_VALUE"""),"2055-06-06T00:26:23.954Z")</f>
        <v>2055-06-06T00:26:23.954Z</v>
      </c>
      <c r="K740" s="3" t="str">
        <f ca="1">IFERROR(__xludf.DUMMYFUNCTION("""COMPUTED_VALUE"""),"2055-06-06T00:11:42.954Z")</f>
        <v>2055-06-06T00:11:42.954Z</v>
      </c>
      <c r="L740" s="3">
        <f ca="1">IFERROR(__xludf.DUMMYFUNCTION("""COMPUTED_VALUE"""),1)</f>
        <v>1</v>
      </c>
      <c r="M740" s="3">
        <f ca="1">IFERROR(__xludf.DUMMYFUNCTION("""COMPUTED_VALUE"""),0)</f>
        <v>0</v>
      </c>
      <c r="N740" s="3" t="str">
        <f ca="1">IFERROR(__xludf.DUMMYFUNCTION("""COMPUTED_VALUE"""),"2055-06-05T23:53:54.229851Z")</f>
        <v>2055-06-05T23:53:54.229851Z</v>
      </c>
      <c r="O740" s="3" t="str">
        <f ca="1">IFERROR(__xludf.DUMMYFUNCTION("""COMPUTED_VALUE"""),"2055-06-06T00:08:13.071482Z")</f>
        <v>2055-06-06T00:08:13.071482Z</v>
      </c>
      <c r="P740" s="3" t="str">
        <f ca="1">IFERROR(__xludf.DUMMYFUNCTION("""COMPUTED_VALUE"""),"2055-06-05T23:30:58.857031Z")</f>
        <v>2055-06-05T23:30:58.857031Z</v>
      </c>
      <c r="Q740" s="3">
        <f ca="1">IFERROR(__xludf.DUMMYFUNCTION("""COMPUTED_VALUE"""),0)</f>
        <v>0</v>
      </c>
      <c r="R740" s="3" t="str">
        <f ca="1">IFERROR(__xludf.DUMMYFUNCTION("""COMPUTED_VALUE"""),"2055-06-05T23:31:14.233718Z")</f>
        <v>2055-06-05T23:31:14.233718Z</v>
      </c>
      <c r="S740" s="3" t="str">
        <f ca="1">IFERROR(__xludf.DUMMYFUNCTION("""COMPUTED_VALUE"""),"2055-06-05T23:44:54.104418Z")</f>
        <v>2055-06-05T23:44:54.104418Z</v>
      </c>
      <c r="T740" s="3"/>
      <c r="U740" s="4">
        <f ca="1">IFERROR(__xludf.DUMMYFUNCTION("""COMPUTED_VALUE"""),56770)</f>
        <v>56770</v>
      </c>
      <c r="V740" s="3">
        <f ca="1">IFERROR(__xludf.DUMMYFUNCTION("""COMPUTED_VALUE"""),4.2)</f>
        <v>4.2</v>
      </c>
      <c r="W740" s="3">
        <f ca="1">IFERROR(__xludf.DUMMYFUNCTION("""COMPUTED_VALUE"""),2000)</f>
        <v>2000</v>
      </c>
      <c r="X740" s="3">
        <f ca="1">IFERROR(__xludf.DUMMYFUNCTION("""COMPUTED_VALUE"""),2219)</f>
        <v>2219</v>
      </c>
      <c r="Y740" s="3">
        <f ca="1">IFERROR(__xludf.DUMMYFUNCTION("""COMPUTED_VALUE"""),820)</f>
        <v>820</v>
      </c>
      <c r="Z740" s="3">
        <f ca="1">IFERROR(__xludf.DUMMYFUNCTION("""COMPUTED_VALUE"""),540)</f>
        <v>540</v>
      </c>
      <c r="AA740" s="3">
        <f ca="1">IFERROR(__xludf.DUMMYFUNCTION("""COMPUTED_VALUE"""),859)</f>
        <v>859</v>
      </c>
      <c r="AB740" s="3">
        <f ca="1">IFERROR(__xludf.DUMMYFUNCTION("""COMPUTED_VALUE"""),1)</f>
        <v>1</v>
      </c>
      <c r="AC740" s="3">
        <f ca="1">IFERROR(__xludf.DUMMYFUNCTION("""COMPUTED_VALUE"""),3)</f>
        <v>3</v>
      </c>
      <c r="AD740" s="3"/>
      <c r="AE740" s="3" t="str">
        <f ca="1">IFERROR(__xludf.DUMMYFUNCTION("""COMPUTED_VALUE"""),"2055-06-05T19:53:54.229851Z")</f>
        <v>2055-06-05T19:53:54.229851Z</v>
      </c>
      <c r="AF740" s="3" t="str">
        <f ca="1">IFERROR(__xludf.DUMMYFUNCTION("""COMPUTED_VALUE"""),"2055-06-05T20:08:13.071482Z")</f>
        <v>2055-06-05T20:08:13.071482Z</v>
      </c>
      <c r="AG740" s="3" t="str">
        <f ca="1">IFERROR(__xludf.DUMMYFUNCTION("""COMPUTED_VALUE"""),"2055-06-05T19:30:58.857031Z")</f>
        <v>2055-06-05T19:30:58.857031Z</v>
      </c>
      <c r="AH740" s="3" t="str">
        <f ca="1">IFERROR(__xludf.DUMMYFUNCTION("""COMPUTED_VALUE"""),"2055-06-05T19:44:54.104418Z")</f>
        <v>2055-06-05T19:44:54.104418Z</v>
      </c>
      <c r="AI740" s="3">
        <f ca="1">IFERROR(__xludf.DUMMYFUNCTION("""COMPUTED_VALUE"""),4.54)</f>
        <v>4.54</v>
      </c>
      <c r="AJ740" s="3">
        <f ca="1">IFERROR(__xludf.DUMMYFUNCTION("""COMPUTED_VALUE"""),2229)</f>
        <v>2229</v>
      </c>
      <c r="AK740" s="3">
        <f ca="1">IFERROR(__xludf.DUMMYFUNCTION("""COMPUTED_VALUE"""),6580)</f>
        <v>6580</v>
      </c>
      <c r="AL740" s="3"/>
    </row>
    <row r="741" spans="1:38" ht="13">
      <c r="A741" s="3">
        <f ca="1">IFERROR(__xludf.DUMMYFUNCTION("""COMPUTED_VALUE"""),201)</f>
        <v>201</v>
      </c>
      <c r="B741" s="3">
        <f ca="1">IFERROR(__xludf.DUMMYFUNCTION("""COMPUTED_VALUE"""),5)</f>
        <v>5</v>
      </c>
      <c r="C741" s="3">
        <f ca="1">IFERROR(__xludf.DUMMYFUNCTION("""COMPUTED_VALUE"""),4050)</f>
        <v>4050</v>
      </c>
      <c r="D741" s="3" t="str">
        <f ca="1">IFERROR(__xludf.DUMMYFUNCTION("""COMPUTED_VALUE"""),"Doorlanta")</f>
        <v>Doorlanta</v>
      </c>
      <c r="E741" s="3" t="str">
        <f ca="1">IFERROR(__xludf.DUMMYFUNCTION("""COMPUTED_VALUE"""),"Galaxy A")</f>
        <v>Galaxy A</v>
      </c>
      <c r="F741" s="3" t="str">
        <f ca="1">IFERROR(__xludf.DUMMYFUNCTION("""COMPUTED_VALUE"""),"Elon")</f>
        <v>Elon</v>
      </c>
      <c r="G741" s="3">
        <f ca="1">IFERROR(__xludf.DUMMYFUNCTION("""COMPUTED_VALUE"""),0)</f>
        <v>0</v>
      </c>
      <c r="H741" s="3" t="str">
        <f ca="1">IFERROR(__xludf.DUMMYFUNCTION("""COMPUTED_VALUE"""),"car")</f>
        <v>car</v>
      </c>
      <c r="I741" s="3" t="str">
        <f ca="1">IFERROR(__xludf.DUMMYFUNCTION("""COMPUTED_VALUE"""),"2055-06-02T23:08:04.830091Z")</f>
        <v>2055-06-02T23:08:04.830091Z</v>
      </c>
      <c r="J741" s="3" t="str">
        <f ca="1">IFERROR(__xludf.DUMMYFUNCTION("""COMPUTED_VALUE"""),"2055-06-03T00:22:29.911Z")</f>
        <v>2055-06-03T00:22:29.911Z</v>
      </c>
      <c r="K741" s="3" t="str">
        <f ca="1">IFERROR(__xludf.DUMMYFUNCTION("""COMPUTED_VALUE"""),"2055-06-03T00:17:50.911Z")</f>
        <v>2055-06-03T00:17:50.911Z</v>
      </c>
      <c r="L741" s="3">
        <f ca="1">IFERROR(__xludf.DUMMYFUNCTION("""COMPUTED_VALUE"""),1)</f>
        <v>1</v>
      </c>
      <c r="M741" s="3">
        <f ca="1">IFERROR(__xludf.DUMMYFUNCTION("""COMPUTED_VALUE"""),0)</f>
        <v>0</v>
      </c>
      <c r="N741" s="3" t="str">
        <f ca="1">IFERROR(__xludf.DUMMYFUNCTION("""COMPUTED_VALUE"""),"2055-06-02T23:59:49.168577Z")</f>
        <v>2055-06-02T23:59:49.168577Z</v>
      </c>
      <c r="O741" s="3" t="str">
        <f ca="1">IFERROR(__xludf.DUMMYFUNCTION("""COMPUTED_VALUE"""),"2055-06-03T00:15:19.550535Z")</f>
        <v>2055-06-03T00:15:19.550535Z</v>
      </c>
      <c r="P741" s="3" t="str">
        <f ca="1">IFERROR(__xludf.DUMMYFUNCTION("""COMPUTED_VALUE"""),"2055-06-02T23:45:27.330999Z")</f>
        <v>2055-06-02T23:45:27.330999Z</v>
      </c>
      <c r="Q741" s="3">
        <f ca="1">IFERROR(__xludf.DUMMYFUNCTION("""COMPUTED_VALUE"""),0)</f>
        <v>0</v>
      </c>
      <c r="R741" s="3" t="str">
        <f ca="1">IFERROR(__xludf.DUMMYFUNCTION("""COMPUTED_VALUE"""),"2055-06-02T23:45:40.184463Z")</f>
        <v>2055-06-02T23:45:40.184463Z</v>
      </c>
      <c r="S741" s="3" t="str">
        <f ca="1">IFERROR(__xludf.DUMMYFUNCTION("""COMPUTED_VALUE"""),"2055-06-03T00:00:11.479699Z")</f>
        <v>2055-06-03T00:00:11.479699Z</v>
      </c>
      <c r="T741" s="3"/>
      <c r="U741" s="4">
        <f ca="1">IFERROR(__xludf.DUMMYFUNCTION("""COMPUTED_VALUE"""),56767)</f>
        <v>56767</v>
      </c>
      <c r="V741" s="3">
        <f ca="1">IFERROR(__xludf.DUMMYFUNCTION("""COMPUTED_VALUE"""),4.6)</f>
        <v>4.5999999999999996</v>
      </c>
      <c r="W741" s="3">
        <f ca="1">IFERROR(__xludf.DUMMYFUNCTION("""COMPUTED_VALUE"""),2000)</f>
        <v>2000</v>
      </c>
      <c r="X741" s="3">
        <f ca="1">IFERROR(__xludf.DUMMYFUNCTION("""COMPUTED_VALUE"""),1779)</f>
        <v>1779</v>
      </c>
      <c r="Y741" s="3">
        <f ca="1">IFERROR(__xludf.DUMMYFUNCTION("""COMPUTED_VALUE"""),871)</f>
        <v>871</v>
      </c>
      <c r="Z741" s="3"/>
      <c r="AA741" s="3">
        <f ca="1">IFERROR(__xludf.DUMMYFUNCTION("""COMPUTED_VALUE"""),930)</f>
        <v>930</v>
      </c>
      <c r="AB741" s="3">
        <f ca="1">IFERROR(__xludf.DUMMYFUNCTION("""COMPUTED_VALUE"""),0)</f>
        <v>0</v>
      </c>
      <c r="AC741" s="3">
        <f ca="1">IFERROR(__xludf.DUMMYFUNCTION("""COMPUTED_VALUE"""),2)</f>
        <v>2</v>
      </c>
      <c r="AD741" s="3"/>
      <c r="AE741" s="3" t="str">
        <f ca="1">IFERROR(__xludf.DUMMYFUNCTION("""COMPUTED_VALUE"""),"2055-06-02T19:59:49.168577Z")</f>
        <v>2055-06-02T19:59:49.168577Z</v>
      </c>
      <c r="AF741" s="3" t="str">
        <f ca="1">IFERROR(__xludf.DUMMYFUNCTION("""COMPUTED_VALUE"""),"2055-06-02T20:15:19.550535Z")</f>
        <v>2055-06-02T20:15:19.550535Z</v>
      </c>
      <c r="AG741" s="3" t="str">
        <f ca="1">IFERROR(__xludf.DUMMYFUNCTION("""COMPUTED_VALUE"""),"2055-06-02T19:45:27.330999Z")</f>
        <v>2055-06-02T19:45:27.330999Z</v>
      </c>
      <c r="AH741" s="3" t="str">
        <f ca="1">IFERROR(__xludf.DUMMYFUNCTION("""COMPUTED_VALUE"""),"2055-06-02T20:00:11.479699Z")</f>
        <v>2055-06-02T20:00:11.479699Z</v>
      </c>
      <c r="AI741" s="3">
        <f ca="1">IFERROR(__xludf.DUMMYFUNCTION("""COMPUTED_VALUE"""),4.62)</f>
        <v>4.62</v>
      </c>
      <c r="AJ741" s="3">
        <f ca="1">IFERROR(__xludf.DUMMYFUNCTION("""COMPUTED_VALUE"""),259)</f>
        <v>259</v>
      </c>
      <c r="AK741" s="3">
        <f ca="1">IFERROR(__xludf.DUMMYFUNCTION("""COMPUTED_VALUE"""),604)</f>
        <v>604</v>
      </c>
      <c r="AL741" s="3">
        <f ca="1">IFERROR(__xludf.DUMMYFUNCTION("""COMPUTED_VALUE"""),21)</f>
        <v>21</v>
      </c>
    </row>
    <row r="742" spans="1:38" ht="13">
      <c r="A742" s="3">
        <f ca="1">IFERROR(__xludf.DUMMYFUNCTION("""COMPUTED_VALUE"""),752)</f>
        <v>752</v>
      </c>
      <c r="B742" s="3">
        <f ca="1">IFERROR(__xludf.DUMMYFUNCTION("""COMPUTED_VALUE"""),5)</f>
        <v>5</v>
      </c>
      <c r="C742" s="3">
        <f ca="1">IFERROR(__xludf.DUMMYFUNCTION("""COMPUTED_VALUE"""),4050)</f>
        <v>4050</v>
      </c>
      <c r="D742" s="3" t="str">
        <f ca="1">IFERROR(__xludf.DUMMYFUNCTION("""COMPUTED_VALUE"""),"Doorlanta")</f>
        <v>Doorlanta</v>
      </c>
      <c r="E742" s="3" t="str">
        <f ca="1">IFERROR(__xludf.DUMMYFUNCTION("""COMPUTED_VALUE"""),"Galaxy A")</f>
        <v>Galaxy A</v>
      </c>
      <c r="F742" s="3" t="str">
        <f ca="1">IFERROR(__xludf.DUMMYFUNCTION("""COMPUTED_VALUE"""),"Matt")</f>
        <v>Matt</v>
      </c>
      <c r="G742" s="3">
        <f ca="1">IFERROR(__xludf.DUMMYFUNCTION("""COMPUTED_VALUE"""),0)</f>
        <v>0</v>
      </c>
      <c r="H742" s="3" t="str">
        <f ca="1">IFERROR(__xludf.DUMMYFUNCTION("""COMPUTED_VALUE"""),"car")</f>
        <v>car</v>
      </c>
      <c r="I742" s="3" t="str">
        <f ca="1">IFERROR(__xludf.DUMMYFUNCTION("""COMPUTED_VALUE"""),"2055-06-06T17:49:11.092454Z")</f>
        <v>2055-06-06T17:49:11.092454Z</v>
      </c>
      <c r="J742" s="3" t="str">
        <f ca="1">IFERROR(__xludf.DUMMYFUNCTION("""COMPUTED_VALUE"""),"2055-06-06T18:39:59.194Z")</f>
        <v>2055-06-06T18:39:59.194Z</v>
      </c>
      <c r="K742" s="3" t="str">
        <f ca="1">IFERROR(__xludf.DUMMYFUNCTION("""COMPUTED_VALUE"""),"2055-06-06T18:31:41.194Z")</f>
        <v>2055-06-06T18:31:41.194Z</v>
      </c>
      <c r="L742" s="3">
        <f ca="1">IFERROR(__xludf.DUMMYFUNCTION("""COMPUTED_VALUE"""),1)</f>
        <v>1</v>
      </c>
      <c r="M742" s="3">
        <f ca="1">IFERROR(__xludf.DUMMYFUNCTION("""COMPUTED_VALUE"""),0)</f>
        <v>0</v>
      </c>
      <c r="N742" s="3" t="str">
        <f ca="1">IFERROR(__xludf.DUMMYFUNCTION("""COMPUTED_VALUE"""),"2055-06-06T18:07:19.414716Z")</f>
        <v>2055-06-06T18:07:19.414716Z</v>
      </c>
      <c r="O742" s="3" t="str">
        <f ca="1">IFERROR(__xludf.DUMMYFUNCTION("""COMPUTED_VALUE"""),"2055-06-06T18:21:29.151675Z")</f>
        <v>2055-06-06T18:21:29.151675Z</v>
      </c>
      <c r="P742" s="3" t="str">
        <f ca="1">IFERROR(__xludf.DUMMYFUNCTION("""COMPUTED_VALUE"""),"2055-06-06T17:49:47.36903Z")</f>
        <v>2055-06-06T17:49:47.36903Z</v>
      </c>
      <c r="Q742" s="3">
        <f ca="1">IFERROR(__xludf.DUMMYFUNCTION("""COMPUTED_VALUE"""),0)</f>
        <v>0</v>
      </c>
      <c r="R742" s="3" t="str">
        <f ca="1">IFERROR(__xludf.DUMMYFUNCTION("""COMPUTED_VALUE"""),"2055-06-06T17:49:58.728054Z")</f>
        <v>2055-06-06T17:49:58.728054Z</v>
      </c>
      <c r="S742" s="3"/>
      <c r="T742" s="3"/>
      <c r="U742" s="4">
        <f ca="1">IFERROR(__xludf.DUMMYFUNCTION("""COMPUTED_VALUE"""),56771)</f>
        <v>56771</v>
      </c>
      <c r="V742" s="3">
        <f ca="1">IFERROR(__xludf.DUMMYFUNCTION("""COMPUTED_VALUE"""),4.3)</f>
        <v>4.3</v>
      </c>
      <c r="W742" s="3">
        <f ca="1">IFERROR(__xludf.DUMMYFUNCTION("""COMPUTED_VALUE"""),2000)</f>
        <v>2000</v>
      </c>
      <c r="X742" s="3">
        <f ca="1">IFERROR(__xludf.DUMMYFUNCTION("""COMPUTED_VALUE"""),1891)</f>
        <v>1891</v>
      </c>
      <c r="Y742" s="3"/>
      <c r="Z742" s="3"/>
      <c r="AA742" s="3">
        <f ca="1">IFERROR(__xludf.DUMMYFUNCTION("""COMPUTED_VALUE"""),850)</f>
        <v>850</v>
      </c>
      <c r="AB742" s="3">
        <f ca="1">IFERROR(__xludf.DUMMYFUNCTION("""COMPUTED_VALUE"""),0)</f>
        <v>0</v>
      </c>
      <c r="AC742" s="3">
        <f ca="1">IFERROR(__xludf.DUMMYFUNCTION("""COMPUTED_VALUE"""),2)</f>
        <v>2</v>
      </c>
      <c r="AD742" s="3"/>
      <c r="AE742" s="3" t="str">
        <f ca="1">IFERROR(__xludf.DUMMYFUNCTION("""COMPUTED_VALUE"""),"2055-06-06T14:07:19.414716Z")</f>
        <v>2055-06-06T14:07:19.414716Z</v>
      </c>
      <c r="AF742" s="3" t="str">
        <f ca="1">IFERROR(__xludf.DUMMYFUNCTION("""COMPUTED_VALUE"""),"2055-06-06T14:21:29.151675Z")</f>
        <v>2055-06-06T14:21:29.151675Z</v>
      </c>
      <c r="AG742" s="3" t="str">
        <f ca="1">IFERROR(__xludf.DUMMYFUNCTION("""COMPUTED_VALUE"""),"2055-06-06T13:49:47.36903Z")</f>
        <v>2055-06-06T13:49:47.36903Z</v>
      </c>
      <c r="AH742" s="3"/>
      <c r="AI742" s="3">
        <f ca="1">IFERROR(__xludf.DUMMYFUNCTION("""COMPUTED_VALUE"""),4.22)</f>
        <v>4.22</v>
      </c>
      <c r="AJ742" s="3">
        <f ca="1">IFERROR(__xludf.DUMMYFUNCTION("""COMPUTED_VALUE"""),1551)</f>
        <v>1551</v>
      </c>
      <c r="AK742" s="3">
        <f ca="1">IFERROR(__xludf.DUMMYFUNCTION("""COMPUTED_VALUE"""),4625)</f>
        <v>4625</v>
      </c>
      <c r="AL742" s="3"/>
    </row>
    <row r="743" spans="1:38" ht="13">
      <c r="A743" s="3">
        <f ca="1">IFERROR(__xludf.DUMMYFUNCTION("""COMPUTED_VALUE"""),1245)</f>
        <v>1245</v>
      </c>
      <c r="B743" s="3"/>
      <c r="C743" s="3">
        <f ca="1">IFERROR(__xludf.DUMMYFUNCTION("""COMPUTED_VALUE"""),4001)</f>
        <v>4001</v>
      </c>
      <c r="D743" s="3" t="str">
        <f ca="1">IFERROR(__xludf.DUMMYFUNCTION("""COMPUTED_VALUE"""),"Dashattan")</f>
        <v>Dashattan</v>
      </c>
      <c r="E743" s="3" t="str">
        <f ca="1">IFERROR(__xludf.DUMMYFUNCTION("""COMPUTED_VALUE"""),"Galaxy A")</f>
        <v>Galaxy A</v>
      </c>
      <c r="F743" s="3" t="str">
        <f ca="1">IFERROR(__xludf.DUMMYFUNCTION("""COMPUTED_VALUE"""),"Rojan")</f>
        <v>Rojan</v>
      </c>
      <c r="G743" s="3">
        <f ca="1">IFERROR(__xludf.DUMMYFUNCTION("""COMPUTED_VALUE"""),0)</f>
        <v>0</v>
      </c>
      <c r="H743" s="3" t="str">
        <f ca="1">IFERROR(__xludf.DUMMYFUNCTION("""COMPUTED_VALUE"""),"bicycle")</f>
        <v>bicycle</v>
      </c>
      <c r="I743" s="3" t="str">
        <f ca="1">IFERROR(__xludf.DUMMYFUNCTION("""COMPUTED_VALUE"""),"2055-06-11T15:31:33.730283Z")</f>
        <v>2055-06-11T15:31:33.730283Z</v>
      </c>
      <c r="J743" s="3" t="str">
        <f ca="1">IFERROR(__xludf.DUMMYFUNCTION("""COMPUTED_VALUE"""),"2055-06-11T16:19:19.781Z")</f>
        <v>2055-06-11T16:19:19.781Z</v>
      </c>
      <c r="K743" s="3" t="str">
        <f ca="1">IFERROR(__xludf.DUMMYFUNCTION("""COMPUTED_VALUE"""),"2055-06-11T16:00:26.781Z")</f>
        <v>2055-06-11T16:00:26.781Z</v>
      </c>
      <c r="L743" s="3">
        <f ca="1">IFERROR(__xludf.DUMMYFUNCTION("""COMPUTED_VALUE"""),1)</f>
        <v>1</v>
      </c>
      <c r="M743" s="3">
        <f ca="1">IFERROR(__xludf.DUMMYFUNCTION("""COMPUTED_VALUE"""),0)</f>
        <v>0</v>
      </c>
      <c r="N743" s="3" t="str">
        <f ca="1">IFERROR(__xludf.DUMMYFUNCTION("""COMPUTED_VALUE"""),"2055-06-11T15:53:15.255013Z")</f>
        <v>2055-06-11T15:53:15.255013Z</v>
      </c>
      <c r="O743" s="3" t="str">
        <f ca="1">IFERROR(__xludf.DUMMYFUNCTION("""COMPUTED_VALUE"""),"2055-06-11T16:00:27.133791Z")</f>
        <v>2055-06-11T16:00:27.133791Z</v>
      </c>
      <c r="P743" s="3" t="str">
        <f ca="1">IFERROR(__xludf.DUMMYFUNCTION("""COMPUTED_VALUE"""),"2055-06-11T15:39:34.346896Z")</f>
        <v>2055-06-11T15:39:34.346896Z</v>
      </c>
      <c r="Q743" s="3">
        <f ca="1">IFERROR(__xludf.DUMMYFUNCTION("""COMPUTED_VALUE"""),0)</f>
        <v>0</v>
      </c>
      <c r="R743" s="3" t="str">
        <f ca="1">IFERROR(__xludf.DUMMYFUNCTION("""COMPUTED_VALUE"""),"2055-06-11T15:39:46.897642Z")</f>
        <v>2055-06-11T15:39:46.897642Z</v>
      </c>
      <c r="S743" s="3" t="str">
        <f ca="1">IFERROR(__xludf.DUMMYFUNCTION("""COMPUTED_VALUE"""),"2055-06-11T15:44:56.2778Z")</f>
        <v>2055-06-11T15:44:56.2778Z</v>
      </c>
      <c r="T743" s="3"/>
      <c r="U743" s="4">
        <f ca="1">IFERROR(__xludf.DUMMYFUNCTION("""COMPUTED_VALUE"""),56776)</f>
        <v>56776</v>
      </c>
      <c r="V743" s="3">
        <f ca="1">IFERROR(__xludf.DUMMYFUNCTION("""COMPUTED_VALUE"""),4.5)</f>
        <v>4.5</v>
      </c>
      <c r="W743" s="3">
        <f ca="1">IFERROR(__xludf.DUMMYFUNCTION("""COMPUTED_VALUE"""),2000)</f>
        <v>2000</v>
      </c>
      <c r="X743" s="3">
        <f ca="1">IFERROR(__xludf.DUMMYFUNCTION("""COMPUTED_VALUE"""),1241)</f>
        <v>1241</v>
      </c>
      <c r="Y743" s="3">
        <f ca="1">IFERROR(__xludf.DUMMYFUNCTION("""COMPUTED_VALUE"""),310)</f>
        <v>310</v>
      </c>
      <c r="Z743" s="3">
        <f ca="1">IFERROR(__xludf.DUMMYFUNCTION("""COMPUTED_VALUE"""),499)</f>
        <v>499</v>
      </c>
      <c r="AA743" s="3">
        <f ca="1">IFERROR(__xludf.DUMMYFUNCTION("""COMPUTED_VALUE"""),432)</f>
        <v>432</v>
      </c>
      <c r="AB743" s="3">
        <f ca="1">IFERROR(__xludf.DUMMYFUNCTION("""COMPUTED_VALUE"""),0)</f>
        <v>0</v>
      </c>
      <c r="AC743" s="3">
        <f ca="1">IFERROR(__xludf.DUMMYFUNCTION("""COMPUTED_VALUE"""),2)</f>
        <v>2</v>
      </c>
      <c r="AD743" s="3" t="str">
        <f ca="1">IFERROR(__xludf.DUMMYFUNCTION("""COMPUTED_VALUE"""),"on time")</f>
        <v>on time</v>
      </c>
      <c r="AE743" s="3" t="str">
        <f ca="1">IFERROR(__xludf.DUMMYFUNCTION("""COMPUTED_VALUE"""),"2055-06-11T11:53:15.255013Z")</f>
        <v>2055-06-11T11:53:15.255013Z</v>
      </c>
      <c r="AF743" s="3" t="str">
        <f ca="1">IFERROR(__xludf.DUMMYFUNCTION("""COMPUTED_VALUE"""),"2055-06-11T12:00:27.133791Z")</f>
        <v>2055-06-11T12:00:27.133791Z</v>
      </c>
      <c r="AG743" s="3" t="str">
        <f ca="1">IFERROR(__xludf.DUMMYFUNCTION("""COMPUTED_VALUE"""),"2055-06-11T11:39:34.346896Z")</f>
        <v>2055-06-11T11:39:34.346896Z</v>
      </c>
      <c r="AH743" s="3" t="str">
        <f ca="1">IFERROR(__xludf.DUMMYFUNCTION("""COMPUTED_VALUE"""),"2055-06-11T11:44:56.2778Z")</f>
        <v>2055-06-11T11:44:56.2778Z</v>
      </c>
      <c r="AI743" s="3">
        <f ca="1">IFERROR(__xludf.DUMMYFUNCTION("""COMPUTED_VALUE"""),4.58)</f>
        <v>4.58</v>
      </c>
      <c r="AJ743" s="3">
        <f ca="1">IFERROR(__xludf.DUMMYFUNCTION("""COMPUTED_VALUE"""),254)</f>
        <v>254</v>
      </c>
      <c r="AK743" s="3">
        <f ca="1">IFERROR(__xludf.DUMMYFUNCTION("""COMPUTED_VALUE"""),788)</f>
        <v>788</v>
      </c>
      <c r="AL743" s="3">
        <f ca="1">IFERROR(__xludf.DUMMYFUNCTION("""COMPUTED_VALUE"""),9)</f>
        <v>9</v>
      </c>
    </row>
    <row r="744" spans="1:38" ht="13">
      <c r="A744" s="3">
        <f ca="1">IFERROR(__xludf.DUMMYFUNCTION("""COMPUTED_VALUE"""),188)</f>
        <v>188</v>
      </c>
      <c r="B744" s="3"/>
      <c r="C744" s="3">
        <f ca="1">IFERROR(__xludf.DUMMYFUNCTION("""COMPUTED_VALUE"""),4050)</f>
        <v>4050</v>
      </c>
      <c r="D744" s="3" t="str">
        <f ca="1">IFERROR(__xludf.DUMMYFUNCTION("""COMPUTED_VALUE"""),"Doorlanta")</f>
        <v>Doorlanta</v>
      </c>
      <c r="E744" s="3" t="str">
        <f ca="1">IFERROR(__xludf.DUMMYFUNCTION("""COMPUTED_VALUE"""),"Galaxy A")</f>
        <v>Galaxy A</v>
      </c>
      <c r="F744" s="3" t="str">
        <f ca="1">IFERROR(__xludf.DUMMYFUNCTION("""COMPUTED_VALUE"""),"Elon")</f>
        <v>Elon</v>
      </c>
      <c r="G744" s="3">
        <f ca="1">IFERROR(__xludf.DUMMYFUNCTION("""COMPUTED_VALUE"""),0)</f>
        <v>0</v>
      </c>
      <c r="H744" s="3" t="str">
        <f ca="1">IFERROR(__xludf.DUMMYFUNCTION("""COMPUTED_VALUE"""),"car")</f>
        <v>car</v>
      </c>
      <c r="I744" s="3" t="str">
        <f ca="1">IFERROR(__xludf.DUMMYFUNCTION("""COMPUTED_VALUE"""),"2055-06-02T22:30:32.944453Z")</f>
        <v>2055-06-02T22:30:32.944453Z</v>
      </c>
      <c r="J744" s="3" t="str">
        <f ca="1">IFERROR(__xludf.DUMMYFUNCTION("""COMPUTED_VALUE"""),"2055-06-02T23:28:58.008Z")</f>
        <v>2055-06-02T23:28:58.008Z</v>
      </c>
      <c r="K744" s="3" t="str">
        <f ca="1">IFERROR(__xludf.DUMMYFUNCTION("""COMPUTED_VALUE"""),"2055-06-02T23:10:05.008Z")</f>
        <v>2055-06-02T23:10:05.008Z</v>
      </c>
      <c r="L744" s="3">
        <f ca="1">IFERROR(__xludf.DUMMYFUNCTION("""COMPUTED_VALUE"""),1)</f>
        <v>1</v>
      </c>
      <c r="M744" s="3">
        <f ca="1">IFERROR(__xludf.DUMMYFUNCTION("""COMPUTED_VALUE"""),0)</f>
        <v>0</v>
      </c>
      <c r="N744" s="3" t="str">
        <f ca="1">IFERROR(__xludf.DUMMYFUNCTION("""COMPUTED_VALUE"""),"2055-06-02T22:55:08.775733Z")</f>
        <v>2055-06-02T22:55:08.775733Z</v>
      </c>
      <c r="O744" s="3" t="str">
        <f ca="1">IFERROR(__xludf.DUMMYFUNCTION("""COMPUTED_VALUE"""),"2055-06-02T23:22:04.964569Z")</f>
        <v>2055-06-02T23:22:04.964569Z</v>
      </c>
      <c r="P744" s="3" t="str">
        <f ca="1">IFERROR(__xludf.DUMMYFUNCTION("""COMPUTED_VALUE"""),"2055-06-02T22:30:47.501737Z")</f>
        <v>2055-06-02T22:30:47.501737Z</v>
      </c>
      <c r="Q744" s="3">
        <f ca="1">IFERROR(__xludf.DUMMYFUNCTION("""COMPUTED_VALUE"""),0)</f>
        <v>0</v>
      </c>
      <c r="R744" s="3" t="str">
        <f ca="1">IFERROR(__xludf.DUMMYFUNCTION("""COMPUTED_VALUE"""),"2055-06-02T22:31:05.721608Z")</f>
        <v>2055-06-02T22:31:05.721608Z</v>
      </c>
      <c r="S744" s="3" t="str">
        <f ca="1">IFERROR(__xludf.DUMMYFUNCTION("""COMPUTED_VALUE"""),"2055-06-02T22:40:00.87492Z")</f>
        <v>2055-06-02T22:40:00.87492Z</v>
      </c>
      <c r="T744" s="3"/>
      <c r="U744" s="4">
        <f ca="1">IFERROR(__xludf.DUMMYFUNCTION("""COMPUTED_VALUE"""),56767)</f>
        <v>56767</v>
      </c>
      <c r="V744" s="3">
        <f ca="1">IFERROR(__xludf.DUMMYFUNCTION("""COMPUTED_VALUE"""),4.4)</f>
        <v>4.4000000000000004</v>
      </c>
      <c r="W744" s="3">
        <f ca="1">IFERROR(__xludf.DUMMYFUNCTION("""COMPUTED_VALUE"""),2000)</f>
        <v>2000</v>
      </c>
      <c r="X744" s="3">
        <f ca="1">IFERROR(__xludf.DUMMYFUNCTION("""COMPUTED_VALUE"""),3059)</f>
        <v>3059</v>
      </c>
      <c r="Y744" s="3">
        <f ca="1">IFERROR(__xludf.DUMMYFUNCTION("""COMPUTED_VALUE"""),535)</f>
        <v>535</v>
      </c>
      <c r="Z744" s="3">
        <f ca="1">IFERROR(__xludf.DUMMYFUNCTION("""COMPUTED_VALUE"""),908)</f>
        <v>908</v>
      </c>
      <c r="AA744" s="3">
        <f ca="1">IFERROR(__xludf.DUMMYFUNCTION("""COMPUTED_VALUE"""),1616)</f>
        <v>1616</v>
      </c>
      <c r="AB744" s="3">
        <f ca="1">IFERROR(__xludf.DUMMYFUNCTION("""COMPUTED_VALUE"""),0)</f>
        <v>0</v>
      </c>
      <c r="AC744" s="3">
        <f ca="1">IFERROR(__xludf.DUMMYFUNCTION("""COMPUTED_VALUE"""),2)</f>
        <v>2</v>
      </c>
      <c r="AD744" s="3" t="str">
        <f ca="1">IFERROR(__xludf.DUMMYFUNCTION("""COMPUTED_VALUE"""),"early")</f>
        <v>early</v>
      </c>
      <c r="AE744" s="3" t="str">
        <f ca="1">IFERROR(__xludf.DUMMYFUNCTION("""COMPUTED_VALUE"""),"2055-06-02T18:55:08.775733Z")</f>
        <v>2055-06-02T18:55:08.775733Z</v>
      </c>
      <c r="AF744" s="3" t="str">
        <f ca="1">IFERROR(__xludf.DUMMYFUNCTION("""COMPUTED_VALUE"""),"2055-06-02T19:22:04.964569Z")</f>
        <v>2055-06-02T19:22:04.964569Z</v>
      </c>
      <c r="AG744" s="3" t="str">
        <f ca="1">IFERROR(__xludf.DUMMYFUNCTION("""COMPUTED_VALUE"""),"2055-06-02T18:30:47.501737Z")</f>
        <v>2055-06-02T18:30:47.501737Z</v>
      </c>
      <c r="AH744" s="3" t="str">
        <f ca="1">IFERROR(__xludf.DUMMYFUNCTION("""COMPUTED_VALUE"""),"2055-06-02T18:40:00.87492Z")</f>
        <v>2055-06-02T18:40:00.87492Z</v>
      </c>
      <c r="AI744" s="3">
        <f ca="1">IFERROR(__xludf.DUMMYFUNCTION("""COMPUTED_VALUE"""),4.62)</f>
        <v>4.62</v>
      </c>
      <c r="AJ744" s="3">
        <f ca="1">IFERROR(__xludf.DUMMYFUNCTION("""COMPUTED_VALUE"""),259)</f>
        <v>259</v>
      </c>
      <c r="AK744" s="3">
        <f ca="1">IFERROR(__xludf.DUMMYFUNCTION("""COMPUTED_VALUE"""),604)</f>
        <v>604</v>
      </c>
      <c r="AL744" s="3">
        <f ca="1">IFERROR(__xludf.DUMMYFUNCTION("""COMPUTED_VALUE"""),21)</f>
        <v>21</v>
      </c>
    </row>
    <row r="745" spans="1:38" ht="13">
      <c r="A745" s="3">
        <f ca="1">IFERROR(__xludf.DUMMYFUNCTION("""COMPUTED_VALUE"""),220)</f>
        <v>220</v>
      </c>
      <c r="B745" s="3"/>
      <c r="C745" s="3">
        <f ca="1">IFERROR(__xludf.DUMMYFUNCTION("""COMPUTED_VALUE"""),4050)</f>
        <v>4050</v>
      </c>
      <c r="D745" s="3" t="str">
        <f ca="1">IFERROR(__xludf.DUMMYFUNCTION("""COMPUTED_VALUE"""),"Doorlanta")</f>
        <v>Doorlanta</v>
      </c>
      <c r="E745" s="3" t="str">
        <f ca="1">IFERROR(__xludf.DUMMYFUNCTION("""COMPUTED_VALUE"""),"Galaxy A")</f>
        <v>Galaxy A</v>
      </c>
      <c r="F745" s="3" t="str">
        <f ca="1">IFERROR(__xludf.DUMMYFUNCTION("""COMPUTED_VALUE"""),"Elon")</f>
        <v>Elon</v>
      </c>
      <c r="G745" s="3">
        <f ca="1">IFERROR(__xludf.DUMMYFUNCTION("""COMPUTED_VALUE"""),0)</f>
        <v>0</v>
      </c>
      <c r="H745" s="3" t="str">
        <f ca="1">IFERROR(__xludf.DUMMYFUNCTION("""COMPUTED_VALUE"""),"car")</f>
        <v>car</v>
      </c>
      <c r="I745" s="3" t="str">
        <f ca="1">IFERROR(__xludf.DUMMYFUNCTION("""COMPUTED_VALUE"""),"2055-06-03T00:09:27.82767Z")</f>
        <v>2055-06-03T00:09:27.82767Z</v>
      </c>
      <c r="J745" s="3" t="str">
        <f ca="1">IFERROR(__xludf.DUMMYFUNCTION("""COMPUTED_VALUE"""),"2055-06-03T01:04:27.905Z")</f>
        <v>2055-06-03T01:04:27.905Z</v>
      </c>
      <c r="K745" s="3" t="str">
        <f ca="1">IFERROR(__xludf.DUMMYFUNCTION("""COMPUTED_VALUE"""),"2055-06-03T00:43:02.905Z")</f>
        <v>2055-06-03T00:43:02.905Z</v>
      </c>
      <c r="L745" s="3">
        <f ca="1">IFERROR(__xludf.DUMMYFUNCTION("""COMPUTED_VALUE"""),1)</f>
        <v>1</v>
      </c>
      <c r="M745" s="3">
        <f ca="1">IFERROR(__xludf.DUMMYFUNCTION("""COMPUTED_VALUE"""),0)</f>
        <v>0</v>
      </c>
      <c r="N745" s="3" t="str">
        <f ca="1">IFERROR(__xludf.DUMMYFUNCTION("""COMPUTED_VALUE"""),"2055-06-03T00:31:30.29416Z")</f>
        <v>2055-06-03T00:31:30.29416Z</v>
      </c>
      <c r="O745" s="3" t="str">
        <f ca="1">IFERROR(__xludf.DUMMYFUNCTION("""COMPUTED_VALUE"""),"2055-06-03T00:40:57.824401Z")</f>
        <v>2055-06-03T00:40:57.824401Z</v>
      </c>
      <c r="P745" s="3" t="str">
        <f ca="1">IFERROR(__xludf.DUMMYFUNCTION("""COMPUTED_VALUE"""),"2055-06-03T00:15:27.392936Z")</f>
        <v>2055-06-03T00:15:27.392936Z</v>
      </c>
      <c r="Q745" s="3">
        <f ca="1">IFERROR(__xludf.DUMMYFUNCTION("""COMPUTED_VALUE"""),0)</f>
        <v>0</v>
      </c>
      <c r="R745" s="3" t="str">
        <f ca="1">IFERROR(__xludf.DUMMYFUNCTION("""COMPUTED_VALUE"""),"2055-06-03T00:15:46.209911Z")</f>
        <v>2055-06-03T00:15:46.209911Z</v>
      </c>
      <c r="S745" s="3" t="str">
        <f ca="1">IFERROR(__xludf.DUMMYFUNCTION("""COMPUTED_VALUE"""),"2055-06-03T00:26:09.370408Z")</f>
        <v>2055-06-03T00:26:09.370408Z</v>
      </c>
      <c r="T745" s="3"/>
      <c r="U745" s="4">
        <f ca="1">IFERROR(__xludf.DUMMYFUNCTION("""COMPUTED_VALUE"""),56767)</f>
        <v>56767</v>
      </c>
      <c r="V745" s="3">
        <f ca="1">IFERROR(__xludf.DUMMYFUNCTION("""COMPUTED_VALUE"""),4.3)</f>
        <v>4.3</v>
      </c>
      <c r="W745" s="3">
        <f ca="1">IFERROR(__xludf.DUMMYFUNCTION("""COMPUTED_VALUE"""),2000)</f>
        <v>2000</v>
      </c>
      <c r="X745" s="3">
        <f ca="1">IFERROR(__xludf.DUMMYFUNCTION("""COMPUTED_VALUE"""),1511)</f>
        <v>1511</v>
      </c>
      <c r="Y745" s="3">
        <f ca="1">IFERROR(__xludf.DUMMYFUNCTION("""COMPUTED_VALUE"""),623)</f>
        <v>623</v>
      </c>
      <c r="Z745" s="3">
        <f ca="1">IFERROR(__xludf.DUMMYFUNCTION("""COMPUTED_VALUE"""),321)</f>
        <v>321</v>
      </c>
      <c r="AA745" s="3">
        <f ca="1">IFERROR(__xludf.DUMMYFUNCTION("""COMPUTED_VALUE"""),567)</f>
        <v>567</v>
      </c>
      <c r="AB745" s="3">
        <f ca="1">IFERROR(__xludf.DUMMYFUNCTION("""COMPUTED_VALUE"""),0)</f>
        <v>0</v>
      </c>
      <c r="AC745" s="3">
        <f ca="1">IFERROR(__xludf.DUMMYFUNCTION("""COMPUTED_VALUE"""),2)</f>
        <v>2</v>
      </c>
      <c r="AD745" s="3" t="str">
        <f ca="1">IFERROR(__xludf.DUMMYFUNCTION("""COMPUTED_VALUE"""),"late")</f>
        <v>late</v>
      </c>
      <c r="AE745" s="3" t="str">
        <f ca="1">IFERROR(__xludf.DUMMYFUNCTION("""COMPUTED_VALUE"""),"2055-06-02T20:31:30.29416Z")</f>
        <v>2055-06-02T20:31:30.29416Z</v>
      </c>
      <c r="AF745" s="3" t="str">
        <f ca="1">IFERROR(__xludf.DUMMYFUNCTION("""COMPUTED_VALUE"""),"2055-06-02T20:40:57.824401Z")</f>
        <v>2055-06-02T20:40:57.824401Z</v>
      </c>
      <c r="AG745" s="3" t="str">
        <f ca="1">IFERROR(__xludf.DUMMYFUNCTION("""COMPUTED_VALUE"""),"2055-06-02T20:15:27.392936Z")</f>
        <v>2055-06-02T20:15:27.392936Z</v>
      </c>
      <c r="AH745" s="3" t="str">
        <f ca="1">IFERROR(__xludf.DUMMYFUNCTION("""COMPUTED_VALUE"""),"2055-06-02T20:26:09.370408Z")</f>
        <v>2055-06-02T20:26:09.370408Z</v>
      </c>
      <c r="AI745" s="3">
        <f ca="1">IFERROR(__xludf.DUMMYFUNCTION("""COMPUTED_VALUE"""),4.62)</f>
        <v>4.62</v>
      </c>
      <c r="AJ745" s="3">
        <f ca="1">IFERROR(__xludf.DUMMYFUNCTION("""COMPUTED_VALUE"""),259)</f>
        <v>259</v>
      </c>
      <c r="AK745" s="3">
        <f ca="1">IFERROR(__xludf.DUMMYFUNCTION("""COMPUTED_VALUE"""),604)</f>
        <v>604</v>
      </c>
      <c r="AL745" s="3">
        <f ca="1">IFERROR(__xludf.DUMMYFUNCTION("""COMPUTED_VALUE"""),21)</f>
        <v>21</v>
      </c>
    </row>
    <row r="746" spans="1:38" ht="13">
      <c r="A746" s="3">
        <f ca="1">IFERROR(__xludf.DUMMYFUNCTION("""COMPUTED_VALUE"""),615)</f>
        <v>615</v>
      </c>
      <c r="B746" s="3">
        <f ca="1">IFERROR(__xludf.DUMMYFUNCTION("""COMPUTED_VALUE"""),5)</f>
        <v>5</v>
      </c>
      <c r="C746" s="3">
        <f ca="1">IFERROR(__xludf.DUMMYFUNCTION("""COMPUTED_VALUE"""),4001)</f>
        <v>4001</v>
      </c>
      <c r="D746" s="3" t="str">
        <f ca="1">IFERROR(__xludf.DUMMYFUNCTION("""COMPUTED_VALUE"""),"Dashattan")</f>
        <v>Dashattan</v>
      </c>
      <c r="E746" s="3" t="str">
        <f ca="1">IFERROR(__xludf.DUMMYFUNCTION("""COMPUTED_VALUE"""),"Galaxy A")</f>
        <v>Galaxy A</v>
      </c>
      <c r="F746" s="3" t="str">
        <f ca="1">IFERROR(__xludf.DUMMYFUNCTION("""COMPUTED_VALUE"""),"KC")</f>
        <v>KC</v>
      </c>
      <c r="G746" s="3">
        <f ca="1">IFERROR(__xludf.DUMMYFUNCTION("""COMPUTED_VALUE"""),0)</f>
        <v>0</v>
      </c>
      <c r="H746" s="3" t="str">
        <f ca="1">IFERROR(__xludf.DUMMYFUNCTION("""COMPUTED_VALUE"""),"car")</f>
        <v>car</v>
      </c>
      <c r="I746" s="3" t="str">
        <f ca="1">IFERROR(__xludf.DUMMYFUNCTION("""COMPUTED_VALUE"""),"2055-06-05T20:46:24.472121Z")</f>
        <v>2055-06-05T20:46:24.472121Z</v>
      </c>
      <c r="J746" s="3" t="str">
        <f ca="1">IFERROR(__xludf.DUMMYFUNCTION("""COMPUTED_VALUE"""),"2055-06-05T21:23:28.528Z")</f>
        <v>2055-06-05T21:23:28.528Z</v>
      </c>
      <c r="K746" s="3" t="str">
        <f ca="1">IFERROR(__xludf.DUMMYFUNCTION("""COMPUTED_VALUE"""),"2055-06-05T21:19:35.528Z")</f>
        <v>2055-06-05T21:19:35.528Z</v>
      </c>
      <c r="L746" s="3">
        <f ca="1">IFERROR(__xludf.DUMMYFUNCTION("""COMPUTED_VALUE"""),1)</f>
        <v>1</v>
      </c>
      <c r="M746" s="3">
        <f ca="1">IFERROR(__xludf.DUMMYFUNCTION("""COMPUTED_VALUE"""),0)</f>
        <v>0</v>
      </c>
      <c r="N746" s="3" t="str">
        <f ca="1">IFERROR(__xludf.DUMMYFUNCTION("""COMPUTED_VALUE"""),"2055-06-05T20:59:02.716967Z")</f>
        <v>2055-06-05T20:59:02.716967Z</v>
      </c>
      <c r="O746" s="3" t="str">
        <f ca="1">IFERROR(__xludf.DUMMYFUNCTION("""COMPUTED_VALUE"""),"2055-06-05T21:13:39.090779Z")</f>
        <v>2055-06-05T21:13:39.090779Z</v>
      </c>
      <c r="P746" s="3" t="str">
        <f ca="1">IFERROR(__xludf.DUMMYFUNCTION("""COMPUTED_VALUE"""),"2055-06-05T20:46:34.44873Z")</f>
        <v>2055-06-05T20:46:34.44873Z</v>
      </c>
      <c r="Q746" s="3">
        <f ca="1">IFERROR(__xludf.DUMMYFUNCTION("""COMPUTED_VALUE"""),0)</f>
        <v>0</v>
      </c>
      <c r="R746" s="3" t="str">
        <f ca="1">IFERROR(__xludf.DUMMYFUNCTION("""COMPUTED_VALUE"""),"2055-06-05T20:46:44.946069Z")</f>
        <v>2055-06-05T20:46:44.946069Z</v>
      </c>
      <c r="S746" s="3" t="str">
        <f ca="1">IFERROR(__xludf.DUMMYFUNCTION("""COMPUTED_VALUE"""),"2055-06-05T20:50:30.526274Z")</f>
        <v>2055-06-05T20:50:30.526274Z</v>
      </c>
      <c r="T746" s="3"/>
      <c r="U746" s="4">
        <f ca="1">IFERROR(__xludf.DUMMYFUNCTION("""COMPUTED_VALUE"""),56770)</f>
        <v>56770</v>
      </c>
      <c r="V746" s="3">
        <f ca="1">IFERROR(__xludf.DUMMYFUNCTION("""COMPUTED_VALUE"""),4.4)</f>
        <v>4.4000000000000004</v>
      </c>
      <c r="W746" s="3">
        <f ca="1">IFERROR(__xludf.DUMMYFUNCTION("""COMPUTED_VALUE"""),2000)</f>
        <v>2000</v>
      </c>
      <c r="X746" s="3">
        <f ca="1">IFERROR(__xludf.DUMMYFUNCTION("""COMPUTED_VALUE"""),1615)</f>
        <v>1615</v>
      </c>
      <c r="Y746" s="3">
        <f ca="1">IFERROR(__xludf.DUMMYFUNCTION("""COMPUTED_VALUE"""),226)</f>
        <v>226</v>
      </c>
      <c r="Z746" s="3">
        <f ca="1">IFERROR(__xludf.DUMMYFUNCTION("""COMPUTED_VALUE"""),512)</f>
        <v>512</v>
      </c>
      <c r="AA746" s="3">
        <f ca="1">IFERROR(__xludf.DUMMYFUNCTION("""COMPUTED_VALUE"""),877)</f>
        <v>877</v>
      </c>
      <c r="AB746" s="3">
        <f ca="1">IFERROR(__xludf.DUMMYFUNCTION("""COMPUTED_VALUE"""),0)</f>
        <v>0</v>
      </c>
      <c r="AC746" s="3">
        <f ca="1">IFERROR(__xludf.DUMMYFUNCTION("""COMPUTED_VALUE"""),16)</f>
        <v>16</v>
      </c>
      <c r="AD746" s="3" t="str">
        <f ca="1">IFERROR(__xludf.DUMMYFUNCTION("""COMPUTED_VALUE"""),"on time")</f>
        <v>on time</v>
      </c>
      <c r="AE746" s="3" t="str">
        <f ca="1">IFERROR(__xludf.DUMMYFUNCTION("""COMPUTED_VALUE"""),"2055-06-05T16:59:02.716967Z")</f>
        <v>2055-06-05T16:59:02.716967Z</v>
      </c>
      <c r="AF746" s="3" t="str">
        <f ca="1">IFERROR(__xludf.DUMMYFUNCTION("""COMPUTED_VALUE"""),"2055-06-05T17:13:39.090779Z")</f>
        <v>2055-06-05T17:13:39.090779Z</v>
      </c>
      <c r="AG746" s="3" t="str">
        <f ca="1">IFERROR(__xludf.DUMMYFUNCTION("""COMPUTED_VALUE"""),"2055-06-05T16:46:34.44873Z")</f>
        <v>2055-06-05T16:46:34.44873Z</v>
      </c>
      <c r="AH746" s="3" t="str">
        <f ca="1">IFERROR(__xludf.DUMMYFUNCTION("""COMPUTED_VALUE"""),"2055-06-05T16:50:30.526274Z")</f>
        <v>2055-06-05T16:50:30.526274Z</v>
      </c>
      <c r="AI746" s="3">
        <f ca="1">IFERROR(__xludf.DUMMYFUNCTION("""COMPUTED_VALUE"""),4.54)</f>
        <v>4.54</v>
      </c>
      <c r="AJ746" s="3">
        <f ca="1">IFERROR(__xludf.DUMMYFUNCTION("""COMPUTED_VALUE"""),2229)</f>
        <v>2229</v>
      </c>
      <c r="AK746" s="3">
        <f ca="1">IFERROR(__xludf.DUMMYFUNCTION("""COMPUTED_VALUE"""),6580)</f>
        <v>6580</v>
      </c>
      <c r="AL746" s="3"/>
    </row>
    <row r="747" spans="1:38" ht="13">
      <c r="A747" s="3">
        <f ca="1">IFERROR(__xludf.DUMMYFUNCTION("""COMPUTED_VALUE"""),709)</f>
        <v>709</v>
      </c>
      <c r="B747" s="3"/>
      <c r="C747" s="3">
        <f ca="1">IFERROR(__xludf.DUMMYFUNCTION("""COMPUTED_VALUE"""),4050)</f>
        <v>4050</v>
      </c>
      <c r="D747" s="3" t="str">
        <f ca="1">IFERROR(__xludf.DUMMYFUNCTION("""COMPUTED_VALUE"""),"Doorlanta")</f>
        <v>Doorlanta</v>
      </c>
      <c r="E747" s="3" t="str">
        <f ca="1">IFERROR(__xludf.DUMMYFUNCTION("""COMPUTED_VALUE"""),"Galaxy A")</f>
        <v>Galaxy A</v>
      </c>
      <c r="F747" s="3" t="str">
        <f ca="1">IFERROR(__xludf.DUMMYFUNCTION("""COMPUTED_VALUE"""),"Cate")</f>
        <v>Cate</v>
      </c>
      <c r="G747" s="3">
        <f ca="1">IFERROR(__xludf.DUMMYFUNCTION("""COMPUTED_VALUE"""),0)</f>
        <v>0</v>
      </c>
      <c r="H747" s="3" t="str">
        <f ca="1">IFERROR(__xludf.DUMMYFUNCTION("""COMPUTED_VALUE"""),"car")</f>
        <v>car</v>
      </c>
      <c r="I747" s="3" t="str">
        <f ca="1">IFERROR(__xludf.DUMMYFUNCTION("""COMPUTED_VALUE"""),"2055-06-06T00:49:50.419124Z")</f>
        <v>2055-06-06T00:49:50.419124Z</v>
      </c>
      <c r="J747" s="3" t="str">
        <f ca="1">IFERROR(__xludf.DUMMYFUNCTION("""COMPUTED_VALUE"""),"2055-06-06T01:49:11.503Z")</f>
        <v>2055-06-06T01:49:11.503Z</v>
      </c>
      <c r="K747" s="3" t="str">
        <f ca="1">IFERROR(__xludf.DUMMYFUNCTION("""COMPUTED_VALUE"""),"2055-06-06T01:32:17.503Z")</f>
        <v>2055-06-06T01:32:17.503Z</v>
      </c>
      <c r="L747" s="3">
        <f ca="1">IFERROR(__xludf.DUMMYFUNCTION("""COMPUTED_VALUE"""),1)</f>
        <v>1</v>
      </c>
      <c r="M747" s="3">
        <f ca="1">IFERROR(__xludf.DUMMYFUNCTION("""COMPUTED_VALUE"""),0)</f>
        <v>0</v>
      </c>
      <c r="N747" s="3" t="str">
        <f ca="1">IFERROR(__xludf.DUMMYFUNCTION("""COMPUTED_VALUE"""),"2055-06-06T01:11:09.473117Z")</f>
        <v>2055-06-06T01:11:09.473117Z</v>
      </c>
      <c r="O747" s="3" t="str">
        <f ca="1">IFERROR(__xludf.DUMMYFUNCTION("""COMPUTED_VALUE"""),"2055-06-06T01:26:36.561692Z")</f>
        <v>2055-06-06T01:26:36.561692Z</v>
      </c>
      <c r="P747" s="3" t="str">
        <f ca="1">IFERROR(__xludf.DUMMYFUNCTION("""COMPUTED_VALUE"""),"2055-06-06T00:54:47.602246Z")</f>
        <v>2055-06-06T00:54:47.602246Z</v>
      </c>
      <c r="Q747" s="3">
        <f ca="1">IFERROR(__xludf.DUMMYFUNCTION("""COMPUTED_VALUE"""),0)</f>
        <v>0</v>
      </c>
      <c r="R747" s="3" t="str">
        <f ca="1">IFERROR(__xludf.DUMMYFUNCTION("""COMPUTED_VALUE"""),"2055-06-06T00:54:50.666531Z")</f>
        <v>2055-06-06T00:54:50.666531Z</v>
      </c>
      <c r="S747" s="3"/>
      <c r="T747" s="3"/>
      <c r="U747" s="4">
        <f ca="1">IFERROR(__xludf.DUMMYFUNCTION("""COMPUTED_VALUE"""),56770)</f>
        <v>56770</v>
      </c>
      <c r="V747" s="3">
        <f ca="1">IFERROR(__xludf.DUMMYFUNCTION("""COMPUTED_VALUE"""),4.6)</f>
        <v>4.5999999999999996</v>
      </c>
      <c r="W747" s="3">
        <f ca="1">IFERROR(__xludf.DUMMYFUNCTION("""COMPUTED_VALUE"""),2000)</f>
        <v>2000</v>
      </c>
      <c r="X747" s="3">
        <f ca="1">IFERROR(__xludf.DUMMYFUNCTION("""COMPUTED_VALUE"""),1906)</f>
        <v>1906</v>
      </c>
      <c r="Y747" s="3"/>
      <c r="Z747" s="3"/>
      <c r="AA747" s="3">
        <f ca="1">IFERROR(__xludf.DUMMYFUNCTION("""COMPUTED_VALUE"""),927)</f>
        <v>927</v>
      </c>
      <c r="AB747" s="3">
        <f ca="1">IFERROR(__xludf.DUMMYFUNCTION("""COMPUTED_VALUE"""),0)</f>
        <v>0</v>
      </c>
      <c r="AC747" s="3">
        <f ca="1">IFERROR(__xludf.DUMMYFUNCTION("""COMPUTED_VALUE"""),2)</f>
        <v>2</v>
      </c>
      <c r="AD747" s="3"/>
      <c r="AE747" s="3" t="str">
        <f ca="1">IFERROR(__xludf.DUMMYFUNCTION("""COMPUTED_VALUE"""),"2055-06-05T21:11:09.473117Z")</f>
        <v>2055-06-05T21:11:09.473117Z</v>
      </c>
      <c r="AF747" s="3" t="str">
        <f ca="1">IFERROR(__xludf.DUMMYFUNCTION("""COMPUTED_VALUE"""),"2055-06-05T21:26:36.561692Z")</f>
        <v>2055-06-05T21:26:36.561692Z</v>
      </c>
      <c r="AG747" s="3" t="str">
        <f ca="1">IFERROR(__xludf.DUMMYFUNCTION("""COMPUTED_VALUE"""),"2055-06-05T20:54:47.602246Z")</f>
        <v>2055-06-05T20:54:47.602246Z</v>
      </c>
      <c r="AH747" s="3"/>
      <c r="AI747" s="3">
        <f ca="1">IFERROR(__xludf.DUMMYFUNCTION("""COMPUTED_VALUE"""),4.49)</f>
        <v>4.49</v>
      </c>
      <c r="AJ747" s="3">
        <f ca="1">IFERROR(__xludf.DUMMYFUNCTION("""COMPUTED_VALUE"""),2315)</f>
        <v>2315</v>
      </c>
      <c r="AK747" s="3">
        <f ca="1">IFERROR(__xludf.DUMMYFUNCTION("""COMPUTED_VALUE"""),7039)</f>
        <v>7039</v>
      </c>
      <c r="AL747" s="3">
        <f ca="1">IFERROR(__xludf.DUMMYFUNCTION("""COMPUTED_VALUE"""),763)</f>
        <v>763</v>
      </c>
    </row>
    <row r="748" spans="1:38" ht="13">
      <c r="A748" s="3">
        <f ca="1">IFERROR(__xludf.DUMMYFUNCTION("""COMPUTED_VALUE"""),576)</f>
        <v>576</v>
      </c>
      <c r="B748" s="3"/>
      <c r="C748" s="3">
        <f ca="1">IFERROR(__xludf.DUMMYFUNCTION("""COMPUTED_VALUE"""),4050)</f>
        <v>4050</v>
      </c>
      <c r="D748" s="3" t="str">
        <f ca="1">IFERROR(__xludf.DUMMYFUNCTION("""COMPUTED_VALUE"""),"Doorlanta")</f>
        <v>Doorlanta</v>
      </c>
      <c r="E748" s="3" t="str">
        <f ca="1">IFERROR(__xludf.DUMMYFUNCTION("""COMPUTED_VALUE"""),"Galaxy A")</f>
        <v>Galaxy A</v>
      </c>
      <c r="F748" s="3" t="str">
        <f ca="1">IFERROR(__xludf.DUMMYFUNCTION("""COMPUTED_VALUE"""),"Cate")</f>
        <v>Cate</v>
      </c>
      <c r="G748" s="3">
        <f ca="1">IFERROR(__xludf.DUMMYFUNCTION("""COMPUTED_VALUE"""),0)</f>
        <v>0</v>
      </c>
      <c r="H748" s="3" t="str">
        <f ca="1">IFERROR(__xludf.DUMMYFUNCTION("""COMPUTED_VALUE"""),"car")</f>
        <v>car</v>
      </c>
      <c r="I748" s="3" t="str">
        <f ca="1">IFERROR(__xludf.DUMMYFUNCTION("""COMPUTED_VALUE"""),"2055-06-05T17:27:25.602114Z")</f>
        <v>2055-06-05T17:27:25.602114Z</v>
      </c>
      <c r="J748" s="3" t="str">
        <f ca="1">IFERROR(__xludf.DUMMYFUNCTION("""COMPUTED_VALUE"""),"2055-06-05T18:34:39.666Z")</f>
        <v>2055-06-05T18:34:39.666Z</v>
      </c>
      <c r="K748" s="3" t="str">
        <f ca="1">IFERROR(__xludf.DUMMYFUNCTION("""COMPUTED_VALUE"""),"2055-06-05T18:11:21.666Z")</f>
        <v>2055-06-05T18:11:21.666Z</v>
      </c>
      <c r="L748" s="3">
        <f ca="1">IFERROR(__xludf.DUMMYFUNCTION("""COMPUTED_VALUE"""),1)</f>
        <v>1</v>
      </c>
      <c r="M748" s="3">
        <f ca="1">IFERROR(__xludf.DUMMYFUNCTION("""COMPUTED_VALUE"""),0)</f>
        <v>0</v>
      </c>
      <c r="N748" s="3" t="str">
        <f ca="1">IFERROR(__xludf.DUMMYFUNCTION("""COMPUTED_VALUE"""),"2055-06-05T17:54:58.8838Z")</f>
        <v>2055-06-05T17:54:58.8838Z</v>
      </c>
      <c r="O748" s="3" t="str">
        <f ca="1">IFERROR(__xludf.DUMMYFUNCTION("""COMPUTED_VALUE"""),"2055-06-05T18:26:59.965306Z")</f>
        <v>2055-06-05T18:26:59.965306Z</v>
      </c>
      <c r="P748" s="3" t="str">
        <f ca="1">IFERROR(__xludf.DUMMYFUNCTION("""COMPUTED_VALUE"""),"2055-06-05T17:36:47.412583Z")</f>
        <v>2055-06-05T17:36:47.412583Z</v>
      </c>
      <c r="Q748" s="3">
        <f ca="1">IFERROR(__xludf.DUMMYFUNCTION("""COMPUTED_VALUE"""),0)</f>
        <v>0</v>
      </c>
      <c r="R748" s="3" t="str">
        <f ca="1">IFERROR(__xludf.DUMMYFUNCTION("""COMPUTED_VALUE"""),"2055-06-05T17:36:57.600559Z")</f>
        <v>2055-06-05T17:36:57.600559Z</v>
      </c>
      <c r="S748" s="3" t="str">
        <f ca="1">IFERROR(__xludf.DUMMYFUNCTION("""COMPUTED_VALUE"""),"2055-06-05T17:50:38.681361Z")</f>
        <v>2055-06-05T17:50:38.681361Z</v>
      </c>
      <c r="T748" s="3"/>
      <c r="U748" s="4">
        <f ca="1">IFERROR(__xludf.DUMMYFUNCTION("""COMPUTED_VALUE"""),56770)</f>
        <v>56770</v>
      </c>
      <c r="V748" s="3">
        <f ca="1">IFERROR(__xludf.DUMMYFUNCTION("""COMPUTED_VALUE"""),4.6)</f>
        <v>4.5999999999999996</v>
      </c>
      <c r="W748" s="3">
        <f ca="1">IFERROR(__xludf.DUMMYFUNCTION("""COMPUTED_VALUE"""),2000)</f>
        <v>2000</v>
      </c>
      <c r="X748" s="3">
        <f ca="1">IFERROR(__xludf.DUMMYFUNCTION("""COMPUTED_VALUE"""),3002)</f>
        <v>3002</v>
      </c>
      <c r="Y748" s="3">
        <f ca="1">IFERROR(__xludf.DUMMYFUNCTION("""COMPUTED_VALUE"""),821)</f>
        <v>821</v>
      </c>
      <c r="Z748" s="3">
        <f ca="1">IFERROR(__xludf.DUMMYFUNCTION("""COMPUTED_VALUE"""),260)</f>
        <v>260</v>
      </c>
      <c r="AA748" s="3">
        <f ca="1">IFERROR(__xludf.DUMMYFUNCTION("""COMPUTED_VALUE"""),1921)</f>
        <v>1921</v>
      </c>
      <c r="AB748" s="3">
        <f ca="1">IFERROR(__xludf.DUMMYFUNCTION("""COMPUTED_VALUE"""),1)</f>
        <v>1</v>
      </c>
      <c r="AC748" s="3">
        <f ca="1">IFERROR(__xludf.DUMMYFUNCTION("""COMPUTED_VALUE"""),3)</f>
        <v>3</v>
      </c>
      <c r="AD748" s="3"/>
      <c r="AE748" s="3" t="str">
        <f ca="1">IFERROR(__xludf.DUMMYFUNCTION("""COMPUTED_VALUE"""),"2055-06-05T13:54:58.8838Z")</f>
        <v>2055-06-05T13:54:58.8838Z</v>
      </c>
      <c r="AF748" s="3" t="str">
        <f ca="1">IFERROR(__xludf.DUMMYFUNCTION("""COMPUTED_VALUE"""),"2055-06-05T14:26:59.965306Z")</f>
        <v>2055-06-05T14:26:59.965306Z</v>
      </c>
      <c r="AG748" s="3" t="str">
        <f ca="1">IFERROR(__xludf.DUMMYFUNCTION("""COMPUTED_VALUE"""),"2055-06-05T13:36:47.412583Z")</f>
        <v>2055-06-05T13:36:47.412583Z</v>
      </c>
      <c r="AH748" s="3" t="str">
        <f ca="1">IFERROR(__xludf.DUMMYFUNCTION("""COMPUTED_VALUE"""),"2055-06-05T13:50:38.681361Z")</f>
        <v>2055-06-05T13:50:38.681361Z</v>
      </c>
      <c r="AI748" s="3">
        <f ca="1">IFERROR(__xludf.DUMMYFUNCTION("""COMPUTED_VALUE"""),4.49)</f>
        <v>4.49</v>
      </c>
      <c r="AJ748" s="3">
        <f ca="1">IFERROR(__xludf.DUMMYFUNCTION("""COMPUTED_VALUE"""),2315)</f>
        <v>2315</v>
      </c>
      <c r="AK748" s="3">
        <f ca="1">IFERROR(__xludf.DUMMYFUNCTION("""COMPUTED_VALUE"""),7039)</f>
        <v>7039</v>
      </c>
      <c r="AL748" s="3">
        <f ca="1">IFERROR(__xludf.DUMMYFUNCTION("""COMPUTED_VALUE"""),763)</f>
        <v>763</v>
      </c>
    </row>
    <row r="749" spans="1:38" ht="13">
      <c r="A749" s="3">
        <f ca="1">IFERROR(__xludf.DUMMYFUNCTION("""COMPUTED_VALUE"""),1359)</f>
        <v>1359</v>
      </c>
      <c r="B749" s="3"/>
      <c r="C749" s="3">
        <f ca="1">IFERROR(__xludf.DUMMYFUNCTION("""COMPUTED_VALUE"""),4001)</f>
        <v>4001</v>
      </c>
      <c r="D749" s="3" t="str">
        <f ca="1">IFERROR(__xludf.DUMMYFUNCTION("""COMPUTED_VALUE"""),"Dashattan")</f>
        <v>Dashattan</v>
      </c>
      <c r="E749" s="3" t="str">
        <f ca="1">IFERROR(__xludf.DUMMYFUNCTION("""COMPUTED_VALUE"""),"Galaxy A")</f>
        <v>Galaxy A</v>
      </c>
      <c r="F749" s="3" t="str">
        <f ca="1">IFERROR(__xludf.DUMMYFUNCTION("""COMPUTED_VALUE"""),"Awstin")</f>
        <v>Awstin</v>
      </c>
      <c r="G749" s="3">
        <f ca="1">IFERROR(__xludf.DUMMYFUNCTION("""COMPUTED_VALUE"""),0)</f>
        <v>0</v>
      </c>
      <c r="H749" s="3" t="str">
        <f ca="1">IFERROR(__xludf.DUMMYFUNCTION("""COMPUTED_VALUE"""),"bicycle")</f>
        <v>bicycle</v>
      </c>
      <c r="I749" s="3" t="str">
        <f ca="1">IFERROR(__xludf.DUMMYFUNCTION("""COMPUTED_VALUE"""),"2055-06-12T00:26:21.581549Z")</f>
        <v>2055-06-12T00:26:21.581549Z</v>
      </c>
      <c r="J749" s="3" t="str">
        <f ca="1">IFERROR(__xludf.DUMMYFUNCTION("""COMPUTED_VALUE"""),"2055-06-12T01:28:01.638Z")</f>
        <v>2055-06-12T01:28:01.638Z</v>
      </c>
      <c r="K749" s="3" t="str">
        <f ca="1">IFERROR(__xludf.DUMMYFUNCTION("""COMPUTED_VALUE"""),"2055-06-12T01:07:54.638Z")</f>
        <v>2055-06-12T01:07:54.638Z</v>
      </c>
      <c r="L749" s="3">
        <f ca="1">IFERROR(__xludf.DUMMYFUNCTION("""COMPUTED_VALUE"""),1)</f>
        <v>1</v>
      </c>
      <c r="M749" s="3">
        <f ca="1">IFERROR(__xludf.DUMMYFUNCTION("""COMPUTED_VALUE"""),0)</f>
        <v>0</v>
      </c>
      <c r="N749" s="3" t="str">
        <f ca="1">IFERROR(__xludf.DUMMYFUNCTION("""COMPUTED_VALUE"""),"2055-06-12T01:32:10.046775Z")</f>
        <v>2055-06-12T01:32:10.046775Z</v>
      </c>
      <c r="O749" s="3" t="str">
        <f ca="1">IFERROR(__xludf.DUMMYFUNCTION("""COMPUTED_VALUE"""),"2055-06-12T01:35:54.61142Z")</f>
        <v>2055-06-12T01:35:54.61142Z</v>
      </c>
      <c r="P749" s="3" t="str">
        <f ca="1">IFERROR(__xludf.DUMMYFUNCTION("""COMPUTED_VALUE"""),"2055-06-12T01:03:14.333543Z")</f>
        <v>2055-06-12T01:03:14.333543Z</v>
      </c>
      <c r="Q749" s="3">
        <f ca="1">IFERROR(__xludf.DUMMYFUNCTION("""COMPUTED_VALUE"""),0)</f>
        <v>0</v>
      </c>
      <c r="R749" s="3" t="str">
        <f ca="1">IFERROR(__xludf.DUMMYFUNCTION("""COMPUTED_VALUE"""),"2055-06-12T01:03:19.432661Z")</f>
        <v>2055-06-12T01:03:19.432661Z</v>
      </c>
      <c r="S749" s="3"/>
      <c r="T749" s="3"/>
      <c r="U749" s="4">
        <f ca="1">IFERROR(__xludf.DUMMYFUNCTION("""COMPUTED_VALUE"""),56776)</f>
        <v>56776</v>
      </c>
      <c r="V749" s="3">
        <f ca="1">IFERROR(__xludf.DUMMYFUNCTION("""COMPUTED_VALUE"""),4.3)</f>
        <v>4.3</v>
      </c>
      <c r="W749" s="3">
        <f ca="1">IFERROR(__xludf.DUMMYFUNCTION("""COMPUTED_VALUE"""),2000)</f>
        <v>2000</v>
      </c>
      <c r="X749" s="3">
        <f ca="1">IFERROR(__xludf.DUMMYFUNCTION("""COMPUTED_VALUE"""),1955)</f>
        <v>1955</v>
      </c>
      <c r="Y749" s="3"/>
      <c r="Z749" s="3"/>
      <c r="AA749" s="3">
        <f ca="1">IFERROR(__xludf.DUMMYFUNCTION("""COMPUTED_VALUE"""),224)</f>
        <v>224</v>
      </c>
      <c r="AB749" s="3">
        <f ca="1">IFERROR(__xludf.DUMMYFUNCTION("""COMPUTED_VALUE"""),0)</f>
        <v>0</v>
      </c>
      <c r="AC749" s="3">
        <f ca="1">IFERROR(__xludf.DUMMYFUNCTION("""COMPUTED_VALUE"""),3)</f>
        <v>3</v>
      </c>
      <c r="AD749" s="3"/>
      <c r="AE749" s="3" t="str">
        <f ca="1">IFERROR(__xludf.DUMMYFUNCTION("""COMPUTED_VALUE"""),"2055-06-11T21:32:10.046775Z")</f>
        <v>2055-06-11T21:32:10.046775Z</v>
      </c>
      <c r="AF749" s="3" t="str">
        <f ca="1">IFERROR(__xludf.DUMMYFUNCTION("""COMPUTED_VALUE"""),"2055-06-11T21:35:54.61142Z")</f>
        <v>2055-06-11T21:35:54.61142Z</v>
      </c>
      <c r="AG749" s="3" t="str">
        <f ca="1">IFERROR(__xludf.DUMMYFUNCTION("""COMPUTED_VALUE"""),"2055-06-11T21:03:14.333543Z")</f>
        <v>2055-06-11T21:03:14.333543Z</v>
      </c>
      <c r="AH749" s="3"/>
      <c r="AI749" s="3">
        <f ca="1">IFERROR(__xludf.DUMMYFUNCTION("""COMPUTED_VALUE"""),4.5)</f>
        <v>4.5</v>
      </c>
      <c r="AJ749" s="3">
        <f ca="1">IFERROR(__xludf.DUMMYFUNCTION("""COMPUTED_VALUE"""),394)</f>
        <v>394</v>
      </c>
      <c r="AK749" s="3">
        <f ca="1">IFERROR(__xludf.DUMMYFUNCTION("""COMPUTED_VALUE"""),1403)</f>
        <v>1403</v>
      </c>
      <c r="AL749" s="3"/>
    </row>
    <row r="750" spans="1:38" ht="13">
      <c r="A750" s="3">
        <f ca="1">IFERROR(__xludf.DUMMYFUNCTION("""COMPUTED_VALUE"""),409)</f>
        <v>409</v>
      </c>
      <c r="B750" s="3">
        <f ca="1">IFERROR(__xludf.DUMMYFUNCTION("""COMPUTED_VALUE"""),2)</f>
        <v>2</v>
      </c>
      <c r="C750" s="3">
        <f ca="1">IFERROR(__xludf.DUMMYFUNCTION("""COMPUTED_VALUE"""),4050)</f>
        <v>4050</v>
      </c>
      <c r="D750" s="3" t="str">
        <f ca="1">IFERROR(__xludf.DUMMYFUNCTION("""COMPUTED_VALUE"""),"Doorlanta")</f>
        <v>Doorlanta</v>
      </c>
      <c r="E750" s="3" t="str">
        <f ca="1">IFERROR(__xludf.DUMMYFUNCTION("""COMPUTED_VALUE"""),"Galaxy A")</f>
        <v>Galaxy A</v>
      </c>
      <c r="F750" s="3" t="str">
        <f ca="1">IFERROR(__xludf.DUMMYFUNCTION("""COMPUTED_VALUE"""),"Elon")</f>
        <v>Elon</v>
      </c>
      <c r="G750" s="3">
        <f ca="1">IFERROR(__xludf.DUMMYFUNCTION("""COMPUTED_VALUE"""),0)</f>
        <v>0</v>
      </c>
      <c r="H750" s="3" t="str">
        <f ca="1">IFERROR(__xludf.DUMMYFUNCTION("""COMPUTED_VALUE"""),"car")</f>
        <v>car</v>
      </c>
      <c r="I750" s="3" t="str">
        <f ca="1">IFERROR(__xludf.DUMMYFUNCTION("""COMPUTED_VALUE"""),"2055-06-04T15:54:59.304981Z")</f>
        <v>2055-06-04T15:54:59.304981Z</v>
      </c>
      <c r="J750" s="3" t="str">
        <f ca="1">IFERROR(__xludf.DUMMYFUNCTION("""COMPUTED_VALUE"""),"2055-06-04T16:44:59.388Z")</f>
        <v>2055-06-04T16:44:59.388Z</v>
      </c>
      <c r="K750" s="3" t="str">
        <f ca="1">IFERROR(__xludf.DUMMYFUNCTION("""COMPUTED_VALUE"""),"2055-06-04T16:33:42.388Z")</f>
        <v>2055-06-04T16:33:42.388Z</v>
      </c>
      <c r="L750" s="3">
        <f ca="1">IFERROR(__xludf.DUMMYFUNCTION("""COMPUTED_VALUE"""),1)</f>
        <v>1</v>
      </c>
      <c r="M750" s="3">
        <f ca="1">IFERROR(__xludf.DUMMYFUNCTION("""COMPUTED_VALUE"""),0)</f>
        <v>0</v>
      </c>
      <c r="N750" s="3" t="str">
        <f ca="1">IFERROR(__xludf.DUMMYFUNCTION("""COMPUTED_VALUE"""),"2055-06-04T16:04:07.912242Z")</f>
        <v>2055-06-04T16:04:07.912242Z</v>
      </c>
      <c r="O750" s="3" t="str">
        <f ca="1">IFERROR(__xludf.DUMMYFUNCTION("""COMPUTED_VALUE"""),"2055-06-04T16:20:59.806829Z")</f>
        <v>2055-06-04T16:20:59.806829Z</v>
      </c>
      <c r="P750" s="3" t="str">
        <f ca="1">IFERROR(__xludf.DUMMYFUNCTION("""COMPUTED_VALUE"""),"2055-06-04T15:55:07.279625Z")</f>
        <v>2055-06-04T15:55:07.279625Z</v>
      </c>
      <c r="Q750" s="3">
        <f ca="1">IFERROR(__xludf.DUMMYFUNCTION("""COMPUTED_VALUE"""),0)</f>
        <v>0</v>
      </c>
      <c r="R750" s="3" t="str">
        <f ca="1">IFERROR(__xludf.DUMMYFUNCTION("""COMPUTED_VALUE"""),"2055-06-04T15:55:23.771703Z")</f>
        <v>2055-06-04T15:55:23.771703Z</v>
      </c>
      <c r="S750" s="3" t="str">
        <f ca="1">IFERROR(__xludf.DUMMYFUNCTION("""COMPUTED_VALUE"""),"2055-06-04T15:59:32.59719Z")</f>
        <v>2055-06-04T15:59:32.59719Z</v>
      </c>
      <c r="T750" s="3"/>
      <c r="U750" s="4">
        <f ca="1">IFERROR(__xludf.DUMMYFUNCTION("""COMPUTED_VALUE"""),56769)</f>
        <v>56769</v>
      </c>
      <c r="V750" s="3">
        <f ca="1">IFERROR(__xludf.DUMMYFUNCTION("""COMPUTED_VALUE"""),4.5)</f>
        <v>4.5</v>
      </c>
      <c r="W750" s="3">
        <f ca="1">IFERROR(__xludf.DUMMYFUNCTION("""COMPUTED_VALUE"""),2000)</f>
        <v>2000</v>
      </c>
      <c r="X750" s="3">
        <f ca="1">IFERROR(__xludf.DUMMYFUNCTION("""COMPUTED_VALUE"""),1536)</f>
        <v>1536</v>
      </c>
      <c r="Y750" s="3">
        <f ca="1">IFERROR(__xludf.DUMMYFUNCTION("""COMPUTED_VALUE"""),249)</f>
        <v>249</v>
      </c>
      <c r="Z750" s="3">
        <f ca="1">IFERROR(__xludf.DUMMYFUNCTION("""COMPUTED_VALUE"""),275)</f>
        <v>275</v>
      </c>
      <c r="AA750" s="3">
        <f ca="1">IFERROR(__xludf.DUMMYFUNCTION("""COMPUTED_VALUE"""),1012)</f>
        <v>1012</v>
      </c>
      <c r="AB750" s="3">
        <f ca="1">IFERROR(__xludf.DUMMYFUNCTION("""COMPUTED_VALUE"""),0)</f>
        <v>0</v>
      </c>
      <c r="AC750" s="3">
        <f ca="1">IFERROR(__xludf.DUMMYFUNCTION("""COMPUTED_VALUE"""),2)</f>
        <v>2</v>
      </c>
      <c r="AD750" s="3" t="str">
        <f ca="1">IFERROR(__xludf.DUMMYFUNCTION("""COMPUTED_VALUE"""),"early")</f>
        <v>early</v>
      </c>
      <c r="AE750" s="3" t="str">
        <f ca="1">IFERROR(__xludf.DUMMYFUNCTION("""COMPUTED_VALUE"""),"2055-06-04T12:04:07.912242Z")</f>
        <v>2055-06-04T12:04:07.912242Z</v>
      </c>
      <c r="AF750" s="3" t="str">
        <f ca="1">IFERROR(__xludf.DUMMYFUNCTION("""COMPUTED_VALUE"""),"2055-06-04T12:20:59.806829Z")</f>
        <v>2055-06-04T12:20:59.806829Z</v>
      </c>
      <c r="AG750" s="3" t="str">
        <f ca="1">IFERROR(__xludf.DUMMYFUNCTION("""COMPUTED_VALUE"""),"2055-06-04T11:55:07.279625Z")</f>
        <v>2055-06-04T11:55:07.279625Z</v>
      </c>
      <c r="AH750" s="3" t="str">
        <f ca="1">IFERROR(__xludf.DUMMYFUNCTION("""COMPUTED_VALUE"""),"2055-06-04T11:59:32.59719Z")</f>
        <v>2055-06-04T11:59:32.59719Z</v>
      </c>
      <c r="AI750" s="3">
        <f ca="1">IFERROR(__xludf.DUMMYFUNCTION("""COMPUTED_VALUE"""),4.62)</f>
        <v>4.62</v>
      </c>
      <c r="AJ750" s="3">
        <f ca="1">IFERROR(__xludf.DUMMYFUNCTION("""COMPUTED_VALUE"""),259)</f>
        <v>259</v>
      </c>
      <c r="AK750" s="3">
        <f ca="1">IFERROR(__xludf.DUMMYFUNCTION("""COMPUTED_VALUE"""),604)</f>
        <v>604</v>
      </c>
      <c r="AL750" s="3">
        <f ca="1">IFERROR(__xludf.DUMMYFUNCTION("""COMPUTED_VALUE"""),21)</f>
        <v>21</v>
      </c>
    </row>
    <row r="751" spans="1:38" ht="13">
      <c r="A751" s="3">
        <f ca="1">IFERROR(__xludf.DUMMYFUNCTION("""COMPUTED_VALUE"""),523)</f>
        <v>523</v>
      </c>
      <c r="B751" s="3">
        <f ca="1">IFERROR(__xludf.DUMMYFUNCTION("""COMPUTED_VALUE"""),5)</f>
        <v>5</v>
      </c>
      <c r="C751" s="3">
        <f ca="1">IFERROR(__xludf.DUMMYFUNCTION("""COMPUTED_VALUE"""),4050)</f>
        <v>4050</v>
      </c>
      <c r="D751" s="3" t="str">
        <f ca="1">IFERROR(__xludf.DUMMYFUNCTION("""COMPUTED_VALUE"""),"Doorlanta")</f>
        <v>Doorlanta</v>
      </c>
      <c r="E751" s="3" t="str">
        <f ca="1">IFERROR(__xludf.DUMMYFUNCTION("""COMPUTED_VALUE"""),"Galaxy A")</f>
        <v>Galaxy A</v>
      </c>
      <c r="F751" s="3" t="str">
        <f ca="1">IFERROR(__xludf.DUMMYFUNCTION("""COMPUTED_VALUE"""),"Matthew")</f>
        <v>Matthew</v>
      </c>
      <c r="G751" s="3">
        <f ca="1">IFERROR(__xludf.DUMMYFUNCTION("""COMPUTED_VALUE"""),0)</f>
        <v>0</v>
      </c>
      <c r="H751" s="3" t="str">
        <f ca="1">IFERROR(__xludf.DUMMYFUNCTION("""COMPUTED_VALUE"""),"car")</f>
        <v>car</v>
      </c>
      <c r="I751" s="3" t="str">
        <f ca="1">IFERROR(__xludf.DUMMYFUNCTION("""COMPUTED_VALUE"""),"2055-06-05T01:12:24.038708Z")</f>
        <v>2055-06-05T01:12:24.038708Z</v>
      </c>
      <c r="J751" s="3" t="str">
        <f ca="1">IFERROR(__xludf.DUMMYFUNCTION("""COMPUTED_VALUE"""),"2055-06-05T02:34:37.101Z")</f>
        <v>2055-06-05T02:34:37.101Z</v>
      </c>
      <c r="K751" s="3" t="str">
        <f ca="1">IFERROR(__xludf.DUMMYFUNCTION("""COMPUTED_VALUE"""),"2055-06-05T02:06:24.101Z")</f>
        <v>2055-06-05T02:06:24.101Z</v>
      </c>
      <c r="L751" s="3">
        <f ca="1">IFERROR(__xludf.DUMMYFUNCTION("""COMPUTED_VALUE"""),1)</f>
        <v>1</v>
      </c>
      <c r="M751" s="3">
        <f ca="1">IFERROR(__xludf.DUMMYFUNCTION("""COMPUTED_VALUE"""),0)</f>
        <v>0</v>
      </c>
      <c r="N751" s="3" t="str">
        <f ca="1">IFERROR(__xludf.DUMMYFUNCTION("""COMPUTED_VALUE"""),"2055-06-05T01:42:56.892765Z")</f>
        <v>2055-06-05T01:42:56.892765Z</v>
      </c>
      <c r="O751" s="3" t="str">
        <f ca="1">IFERROR(__xludf.DUMMYFUNCTION("""COMPUTED_VALUE"""),"2055-06-05T01:48:02.645645Z")</f>
        <v>2055-06-05T01:48:02.645645Z</v>
      </c>
      <c r="P751" s="3" t="str">
        <f ca="1">IFERROR(__xludf.DUMMYFUNCTION("""COMPUTED_VALUE"""),"2055-06-05T01:17:07.425375Z")</f>
        <v>2055-06-05T01:17:07.425375Z</v>
      </c>
      <c r="Q751" s="3">
        <f ca="1">IFERROR(__xludf.DUMMYFUNCTION("""COMPUTED_VALUE"""),0)</f>
        <v>0</v>
      </c>
      <c r="R751" s="3" t="str">
        <f ca="1">IFERROR(__xludf.DUMMYFUNCTION("""COMPUTED_VALUE"""),"2055-06-05T01:17:16.436942Z")</f>
        <v>2055-06-05T01:17:16.436942Z</v>
      </c>
      <c r="S751" s="3" t="str">
        <f ca="1">IFERROR(__xludf.DUMMYFUNCTION("""COMPUTED_VALUE"""),"2055-06-05T01:40:05.931321Z")</f>
        <v>2055-06-05T01:40:05.931321Z</v>
      </c>
      <c r="T751" s="3"/>
      <c r="U751" s="4">
        <f ca="1">IFERROR(__xludf.DUMMYFUNCTION("""COMPUTED_VALUE"""),56769)</f>
        <v>56769</v>
      </c>
      <c r="V751" s="3">
        <f ca="1">IFERROR(__xludf.DUMMYFUNCTION("""COMPUTED_VALUE"""),4.6)</f>
        <v>4.5999999999999996</v>
      </c>
      <c r="W751" s="3">
        <f ca="1">IFERROR(__xludf.DUMMYFUNCTION("""COMPUTED_VALUE"""),2000)</f>
        <v>2000</v>
      </c>
      <c r="X751" s="3">
        <f ca="1">IFERROR(__xludf.DUMMYFUNCTION("""COMPUTED_VALUE"""),1846)</f>
        <v>1846</v>
      </c>
      <c r="Y751" s="3">
        <f ca="1">IFERROR(__xludf.DUMMYFUNCTION("""COMPUTED_VALUE"""),1369)</f>
        <v>1369</v>
      </c>
      <c r="Z751" s="3">
        <f ca="1">IFERROR(__xludf.DUMMYFUNCTION("""COMPUTED_VALUE"""),171)</f>
        <v>171</v>
      </c>
      <c r="AA751" s="3">
        <f ca="1">IFERROR(__xludf.DUMMYFUNCTION("""COMPUTED_VALUE"""),306)</f>
        <v>306</v>
      </c>
      <c r="AB751" s="3">
        <f ca="1">IFERROR(__xludf.DUMMYFUNCTION("""COMPUTED_VALUE"""),0)</f>
        <v>0</v>
      </c>
      <c r="AC751" s="3">
        <f ca="1">IFERROR(__xludf.DUMMYFUNCTION("""COMPUTED_VALUE"""),1)</f>
        <v>1</v>
      </c>
      <c r="AD751" s="3" t="str">
        <f ca="1">IFERROR(__xludf.DUMMYFUNCTION("""COMPUTED_VALUE"""),"late")</f>
        <v>late</v>
      </c>
      <c r="AE751" s="3" t="str">
        <f ca="1">IFERROR(__xludf.DUMMYFUNCTION("""COMPUTED_VALUE"""),"2055-06-04T21:42:56.892765Z")</f>
        <v>2055-06-04T21:42:56.892765Z</v>
      </c>
      <c r="AF751" s="3" t="str">
        <f ca="1">IFERROR(__xludf.DUMMYFUNCTION("""COMPUTED_VALUE"""),"2055-06-04T21:48:02.645645Z")</f>
        <v>2055-06-04T21:48:02.645645Z</v>
      </c>
      <c r="AG751" s="3" t="str">
        <f ca="1">IFERROR(__xludf.DUMMYFUNCTION("""COMPUTED_VALUE"""),"2055-06-04T21:17:07.425375Z")</f>
        <v>2055-06-04T21:17:07.425375Z</v>
      </c>
      <c r="AH751" s="3" t="str">
        <f ca="1">IFERROR(__xludf.DUMMYFUNCTION("""COMPUTED_VALUE"""),"2055-06-04T21:40:05.931321Z")</f>
        <v>2055-06-04T21:40:05.931321Z</v>
      </c>
      <c r="AI751" s="3">
        <f ca="1">IFERROR(__xludf.DUMMYFUNCTION("""COMPUTED_VALUE"""),4.411111111)</f>
        <v>4.4111111110000003</v>
      </c>
      <c r="AJ751" s="3">
        <f ca="1">IFERROR(__xludf.DUMMYFUNCTION("""COMPUTED_VALUE"""),68)</f>
        <v>68</v>
      </c>
      <c r="AK751" s="3">
        <f ca="1">IFERROR(__xludf.DUMMYFUNCTION("""COMPUTED_VALUE"""),223)</f>
        <v>223</v>
      </c>
      <c r="AL751" s="3">
        <f ca="1">IFERROR(__xludf.DUMMYFUNCTION("""COMPUTED_VALUE"""),118)</f>
        <v>118</v>
      </c>
    </row>
    <row r="752" spans="1:38" ht="13">
      <c r="A752" s="3">
        <f ca="1">IFERROR(__xludf.DUMMYFUNCTION("""COMPUTED_VALUE"""),655)</f>
        <v>655</v>
      </c>
      <c r="B752" s="3">
        <f ca="1">IFERROR(__xludf.DUMMYFUNCTION("""COMPUTED_VALUE"""),5)</f>
        <v>5</v>
      </c>
      <c r="C752" s="3">
        <f ca="1">IFERROR(__xludf.DUMMYFUNCTION("""COMPUTED_VALUE"""),4001)</f>
        <v>4001</v>
      </c>
      <c r="D752" s="3" t="str">
        <f ca="1">IFERROR(__xludf.DUMMYFUNCTION("""COMPUTED_VALUE"""),"Dashattan")</f>
        <v>Dashattan</v>
      </c>
      <c r="E752" s="3" t="str">
        <f ca="1">IFERROR(__xludf.DUMMYFUNCTION("""COMPUTED_VALUE"""),"Galaxy A")</f>
        <v>Galaxy A</v>
      </c>
      <c r="F752" s="3" t="str">
        <f ca="1">IFERROR(__xludf.DUMMYFUNCTION("""COMPUTED_VALUE"""),"Samm")</f>
        <v>Samm</v>
      </c>
      <c r="G752" s="3">
        <f ca="1">IFERROR(__xludf.DUMMYFUNCTION("""COMPUTED_VALUE"""),0)</f>
        <v>0</v>
      </c>
      <c r="H752" s="3" t="str">
        <f ca="1">IFERROR(__xludf.DUMMYFUNCTION("""COMPUTED_VALUE"""),"car")</f>
        <v>car</v>
      </c>
      <c r="I752" s="3" t="str">
        <f ca="1">IFERROR(__xludf.DUMMYFUNCTION("""COMPUTED_VALUE"""),"2055-06-05T22:37:56.744647Z")</f>
        <v>2055-06-05T22:37:56.744647Z</v>
      </c>
      <c r="J752" s="3" t="str">
        <f ca="1">IFERROR(__xludf.DUMMYFUNCTION("""COMPUTED_VALUE"""),"2055-06-05T23:20:05.803Z")</f>
        <v>2055-06-05T23:20:05.803Z</v>
      </c>
      <c r="K752" s="3" t="str">
        <f ca="1">IFERROR(__xludf.DUMMYFUNCTION("""COMPUTED_VALUE"""),"2055-06-05T23:14:58.803Z")</f>
        <v>2055-06-05T23:14:58.803Z</v>
      </c>
      <c r="L752" s="3">
        <f ca="1">IFERROR(__xludf.DUMMYFUNCTION("""COMPUTED_VALUE"""),1)</f>
        <v>1</v>
      </c>
      <c r="M752" s="3">
        <f ca="1">IFERROR(__xludf.DUMMYFUNCTION("""COMPUTED_VALUE"""),0)</f>
        <v>0</v>
      </c>
      <c r="N752" s="3" t="str">
        <f ca="1">IFERROR(__xludf.DUMMYFUNCTION("""COMPUTED_VALUE"""),"2055-06-05T23:23:01.638715Z")</f>
        <v>2055-06-05T23:23:01.638715Z</v>
      </c>
      <c r="O752" s="3" t="str">
        <f ca="1">IFERROR(__xludf.DUMMYFUNCTION("""COMPUTED_VALUE"""),"2055-06-05T23:34:19.680916Z")</f>
        <v>2055-06-05T23:34:19.680916Z</v>
      </c>
      <c r="P752" s="3" t="str">
        <f ca="1">IFERROR(__xludf.DUMMYFUNCTION("""COMPUTED_VALUE"""),"2055-06-05T22:56:18.12729Z")</f>
        <v>2055-06-05T22:56:18.12729Z</v>
      </c>
      <c r="Q752" s="3">
        <f ca="1">IFERROR(__xludf.DUMMYFUNCTION("""COMPUTED_VALUE"""),0)</f>
        <v>0</v>
      </c>
      <c r="R752" s="3" t="str">
        <f ca="1">IFERROR(__xludf.DUMMYFUNCTION("""COMPUTED_VALUE"""),"2055-06-05T22:56:28.959927Z")</f>
        <v>2055-06-05T22:56:28.959927Z</v>
      </c>
      <c r="S752" s="3" t="str">
        <f ca="1">IFERROR(__xludf.DUMMYFUNCTION("""COMPUTED_VALUE"""),"2055-06-05T23:10:52.309151Z")</f>
        <v>2055-06-05T23:10:52.309151Z</v>
      </c>
      <c r="T752" s="3"/>
      <c r="U752" s="4">
        <f ca="1">IFERROR(__xludf.DUMMYFUNCTION("""COMPUTED_VALUE"""),56770)</f>
        <v>56770</v>
      </c>
      <c r="V752" s="3">
        <f ca="1">IFERROR(__xludf.DUMMYFUNCTION("""COMPUTED_VALUE"""),3.733331346)</f>
        <v>3.7333313459999999</v>
      </c>
      <c r="W752" s="3">
        <f ca="1">IFERROR(__xludf.DUMMYFUNCTION("""COMPUTED_VALUE"""),2000)</f>
        <v>2000</v>
      </c>
      <c r="X752" s="3">
        <f ca="1">IFERROR(__xludf.DUMMYFUNCTION("""COMPUTED_VALUE"""),2271)</f>
        <v>2271</v>
      </c>
      <c r="Y752" s="3">
        <f ca="1">IFERROR(__xludf.DUMMYFUNCTION("""COMPUTED_VALUE"""),864)</f>
        <v>864</v>
      </c>
      <c r="Z752" s="3">
        <f ca="1">IFERROR(__xludf.DUMMYFUNCTION("""COMPUTED_VALUE"""),729)</f>
        <v>729</v>
      </c>
      <c r="AA752" s="3">
        <f ca="1">IFERROR(__xludf.DUMMYFUNCTION("""COMPUTED_VALUE"""),678)</f>
        <v>678</v>
      </c>
      <c r="AB752" s="3">
        <f ca="1">IFERROR(__xludf.DUMMYFUNCTION("""COMPUTED_VALUE"""),0)</f>
        <v>0</v>
      </c>
      <c r="AC752" s="3">
        <f ca="1">IFERROR(__xludf.DUMMYFUNCTION("""COMPUTED_VALUE"""),3)</f>
        <v>3</v>
      </c>
      <c r="AD752" s="3" t="str">
        <f ca="1">IFERROR(__xludf.DUMMYFUNCTION("""COMPUTED_VALUE"""),"on time")</f>
        <v>on time</v>
      </c>
      <c r="AE752" s="3" t="str">
        <f ca="1">IFERROR(__xludf.DUMMYFUNCTION("""COMPUTED_VALUE"""),"2055-06-05T19:23:01.638715Z")</f>
        <v>2055-06-05T19:23:01.638715Z</v>
      </c>
      <c r="AF752" s="3" t="str">
        <f ca="1">IFERROR(__xludf.DUMMYFUNCTION("""COMPUTED_VALUE"""),"2055-06-05T19:34:19.680916Z")</f>
        <v>2055-06-05T19:34:19.680916Z</v>
      </c>
      <c r="AG752" s="3" t="str">
        <f ca="1">IFERROR(__xludf.DUMMYFUNCTION("""COMPUTED_VALUE"""),"2055-06-05T18:56:18.12729Z")</f>
        <v>2055-06-05T18:56:18.12729Z</v>
      </c>
      <c r="AH752" s="3" t="str">
        <f ca="1">IFERROR(__xludf.DUMMYFUNCTION("""COMPUTED_VALUE"""),"2055-06-05T19:10:52.309151Z")</f>
        <v>2055-06-05T19:10:52.309151Z</v>
      </c>
      <c r="AI752" s="3">
        <f ca="1">IFERROR(__xludf.DUMMYFUNCTION("""COMPUTED_VALUE"""),4.03)</f>
        <v>4.03</v>
      </c>
      <c r="AJ752" s="3">
        <f ca="1">IFERROR(__xludf.DUMMYFUNCTION("""COMPUTED_VALUE"""),505)</f>
        <v>505</v>
      </c>
      <c r="AK752" s="3">
        <f ca="1">IFERROR(__xludf.DUMMYFUNCTION("""COMPUTED_VALUE"""),1721)</f>
        <v>1721</v>
      </c>
      <c r="AL752" s="3">
        <f ca="1">IFERROR(__xludf.DUMMYFUNCTION("""COMPUTED_VALUE"""),457)</f>
        <v>457</v>
      </c>
    </row>
    <row r="753" spans="1:38" ht="13">
      <c r="A753" s="3">
        <f ca="1">IFERROR(__xludf.DUMMYFUNCTION("""COMPUTED_VALUE"""),861)</f>
        <v>861</v>
      </c>
      <c r="B753" s="3"/>
      <c r="C753" s="3">
        <f ca="1">IFERROR(__xludf.DUMMYFUNCTION("""COMPUTED_VALUE"""),4050)</f>
        <v>4050</v>
      </c>
      <c r="D753" s="3" t="str">
        <f ca="1">IFERROR(__xludf.DUMMYFUNCTION("""COMPUTED_VALUE"""),"Doorlanta")</f>
        <v>Doorlanta</v>
      </c>
      <c r="E753" s="3" t="str">
        <f ca="1">IFERROR(__xludf.DUMMYFUNCTION("""COMPUTED_VALUE"""),"Galaxy A")</f>
        <v>Galaxy A</v>
      </c>
      <c r="F753" s="3" t="str">
        <f ca="1">IFERROR(__xludf.DUMMYFUNCTION("""COMPUTED_VALUE"""),"Eliot")</f>
        <v>Eliot</v>
      </c>
      <c r="G753" s="3">
        <f ca="1">IFERROR(__xludf.DUMMYFUNCTION("""COMPUTED_VALUE"""),0)</f>
        <v>0</v>
      </c>
      <c r="H753" s="3" t="str">
        <f ca="1">IFERROR(__xludf.DUMMYFUNCTION("""COMPUTED_VALUE"""),"car")</f>
        <v>car</v>
      </c>
      <c r="I753" s="3" t="str">
        <f ca="1">IFERROR(__xludf.DUMMYFUNCTION("""COMPUTED_VALUE"""),"2055-06-07T18:31:15.32354Z")</f>
        <v>2055-06-07T18:31:15.32354Z</v>
      </c>
      <c r="J753" s="3" t="str">
        <f ca="1">IFERROR(__xludf.DUMMYFUNCTION("""COMPUTED_VALUE"""),"2055-06-07T19:26:15.418Z")</f>
        <v>2055-06-07T19:26:15.418Z</v>
      </c>
      <c r="K753" s="3" t="str">
        <f ca="1">IFERROR(__xludf.DUMMYFUNCTION("""COMPUTED_VALUE"""),"2055-06-07T18:57:32.418Z")</f>
        <v>2055-06-07T18:57:32.418Z</v>
      </c>
      <c r="L753" s="3">
        <f ca="1">IFERROR(__xludf.DUMMYFUNCTION("""COMPUTED_VALUE"""),1)</f>
        <v>1</v>
      </c>
      <c r="M753" s="3">
        <f ca="1">IFERROR(__xludf.DUMMYFUNCTION("""COMPUTED_VALUE"""),0)</f>
        <v>0</v>
      </c>
      <c r="N753" s="3" t="str">
        <f ca="1">IFERROR(__xludf.DUMMYFUNCTION("""COMPUTED_VALUE"""),"2055-06-07T18:50:46.702154Z")</f>
        <v>2055-06-07T18:50:46.702154Z</v>
      </c>
      <c r="O753" s="3" t="str">
        <f ca="1">IFERROR(__xludf.DUMMYFUNCTION("""COMPUTED_VALUE"""),"2055-06-07T18:57:42.645294Z")</f>
        <v>2055-06-07T18:57:42.645294Z</v>
      </c>
      <c r="P753" s="3" t="str">
        <f ca="1">IFERROR(__xludf.DUMMYFUNCTION("""COMPUTED_VALUE"""),"2055-06-07T18:31:27.474074Z")</f>
        <v>2055-06-07T18:31:27.474074Z</v>
      </c>
      <c r="Q753" s="3">
        <f ca="1">IFERROR(__xludf.DUMMYFUNCTION("""COMPUTED_VALUE"""),0)</f>
        <v>0</v>
      </c>
      <c r="R753" s="3" t="str">
        <f ca="1">IFERROR(__xludf.DUMMYFUNCTION("""COMPUTED_VALUE"""),"2055-06-07T18:31:38.228391Z")</f>
        <v>2055-06-07T18:31:38.228391Z</v>
      </c>
      <c r="S753" s="3" t="str">
        <f ca="1">IFERROR(__xludf.DUMMYFUNCTION("""COMPUTED_VALUE"""),"2055-06-07T18:45:16.748327Z")</f>
        <v>2055-06-07T18:45:16.748327Z</v>
      </c>
      <c r="T753" s="3"/>
      <c r="U753" s="4">
        <f ca="1">IFERROR(__xludf.DUMMYFUNCTION("""COMPUTED_VALUE"""),56772)</f>
        <v>56772</v>
      </c>
      <c r="V753" s="3">
        <f ca="1">IFERROR(__xludf.DUMMYFUNCTION("""COMPUTED_VALUE"""),4.6)</f>
        <v>4.5999999999999996</v>
      </c>
      <c r="W753" s="3">
        <f ca="1">IFERROR(__xludf.DUMMYFUNCTION("""COMPUTED_VALUE"""),2000)</f>
        <v>2000</v>
      </c>
      <c r="X753" s="3">
        <f ca="1">IFERROR(__xludf.DUMMYFUNCTION("""COMPUTED_VALUE"""),1564)</f>
        <v>1564</v>
      </c>
      <c r="Y753" s="3">
        <f ca="1">IFERROR(__xludf.DUMMYFUNCTION("""COMPUTED_VALUE"""),818)</f>
        <v>818</v>
      </c>
      <c r="Z753" s="3">
        <f ca="1">IFERROR(__xludf.DUMMYFUNCTION("""COMPUTED_VALUE"""),330)</f>
        <v>330</v>
      </c>
      <c r="AA753" s="3">
        <f ca="1">IFERROR(__xludf.DUMMYFUNCTION("""COMPUTED_VALUE"""),416)</f>
        <v>416</v>
      </c>
      <c r="AB753" s="3">
        <f ca="1">IFERROR(__xludf.DUMMYFUNCTION("""COMPUTED_VALUE"""),0)</f>
        <v>0</v>
      </c>
      <c r="AC753" s="3">
        <f ca="1">IFERROR(__xludf.DUMMYFUNCTION("""COMPUTED_VALUE"""),2)</f>
        <v>2</v>
      </c>
      <c r="AD753" s="3" t="str">
        <f ca="1">IFERROR(__xludf.DUMMYFUNCTION("""COMPUTED_VALUE"""),"on time")</f>
        <v>on time</v>
      </c>
      <c r="AE753" s="3" t="str">
        <f ca="1">IFERROR(__xludf.DUMMYFUNCTION("""COMPUTED_VALUE"""),"2055-06-07T14:50:46.702154Z")</f>
        <v>2055-06-07T14:50:46.702154Z</v>
      </c>
      <c r="AF753" s="3" t="str">
        <f ca="1">IFERROR(__xludf.DUMMYFUNCTION("""COMPUTED_VALUE"""),"2055-06-07T14:57:42.645294Z")</f>
        <v>2055-06-07T14:57:42.645294Z</v>
      </c>
      <c r="AG753" s="3" t="str">
        <f ca="1">IFERROR(__xludf.DUMMYFUNCTION("""COMPUTED_VALUE"""),"2055-06-07T14:31:27.474074Z")</f>
        <v>2055-06-07T14:31:27.474074Z</v>
      </c>
      <c r="AH753" s="3" t="str">
        <f ca="1">IFERROR(__xludf.DUMMYFUNCTION("""COMPUTED_VALUE"""),"2055-06-07T14:45:16.748327Z")</f>
        <v>2055-06-07T14:45:16.748327Z</v>
      </c>
      <c r="AI753" s="3">
        <f ca="1">IFERROR(__xludf.DUMMYFUNCTION("""COMPUTED_VALUE"""),4.571428571)</f>
        <v>4.5714285710000002</v>
      </c>
      <c r="AJ753" s="3">
        <f ca="1">IFERROR(__xludf.DUMMYFUNCTION("""COMPUTED_VALUE"""),77)</f>
        <v>77</v>
      </c>
      <c r="AK753" s="3">
        <f ca="1">IFERROR(__xludf.DUMMYFUNCTION("""COMPUTED_VALUE"""),206)</f>
        <v>206</v>
      </c>
      <c r="AL753" s="3">
        <f ca="1">IFERROR(__xludf.DUMMYFUNCTION("""COMPUTED_VALUE"""),11)</f>
        <v>11</v>
      </c>
    </row>
    <row r="754" spans="1:38" ht="13">
      <c r="A754" s="3">
        <f ca="1">IFERROR(__xludf.DUMMYFUNCTION("""COMPUTED_VALUE"""),433)</f>
        <v>433</v>
      </c>
      <c r="B754" s="3"/>
      <c r="C754" s="3">
        <f ca="1">IFERROR(__xludf.DUMMYFUNCTION("""COMPUTED_VALUE"""),4050)</f>
        <v>4050</v>
      </c>
      <c r="D754" s="3" t="str">
        <f ca="1">IFERROR(__xludf.DUMMYFUNCTION("""COMPUTED_VALUE"""),"Doorlanta")</f>
        <v>Doorlanta</v>
      </c>
      <c r="E754" s="3" t="str">
        <f ca="1">IFERROR(__xludf.DUMMYFUNCTION("""COMPUTED_VALUE"""),"Galaxy A")</f>
        <v>Galaxy A</v>
      </c>
      <c r="F754" s="3" t="str">
        <f ca="1">IFERROR(__xludf.DUMMYFUNCTION("""COMPUTED_VALUE"""),"Abhai")</f>
        <v>Abhai</v>
      </c>
      <c r="G754" s="3">
        <f ca="1">IFERROR(__xludf.DUMMYFUNCTION("""COMPUTED_VALUE"""),0)</f>
        <v>0</v>
      </c>
      <c r="H754" s="3" t="str">
        <f ca="1">IFERROR(__xludf.DUMMYFUNCTION("""COMPUTED_VALUE"""),"car")</f>
        <v>car</v>
      </c>
      <c r="I754" s="3" t="str">
        <f ca="1">IFERROR(__xludf.DUMMYFUNCTION("""COMPUTED_VALUE"""),"2055-06-04T19:21:16.433061Z")</f>
        <v>2055-06-04T19:21:16.433061Z</v>
      </c>
      <c r="J754" s="3" t="str">
        <f ca="1">IFERROR(__xludf.DUMMYFUNCTION("""COMPUTED_VALUE"""),"2055-06-04T20:46:20.505Z")</f>
        <v>2055-06-04T20:46:20.505Z</v>
      </c>
      <c r="K754" s="3" t="str">
        <f ca="1">IFERROR(__xludf.DUMMYFUNCTION("""COMPUTED_VALUE"""),"2055-06-04T20:23:07.505Z")</f>
        <v>2055-06-04T20:23:07.505Z</v>
      </c>
      <c r="L754" s="3">
        <f ca="1">IFERROR(__xludf.DUMMYFUNCTION("""COMPUTED_VALUE"""),1)</f>
        <v>1</v>
      </c>
      <c r="M754" s="3">
        <f ca="1">IFERROR(__xludf.DUMMYFUNCTION("""COMPUTED_VALUE"""),0)</f>
        <v>0</v>
      </c>
      <c r="N754" s="3" t="str">
        <f ca="1">IFERROR(__xludf.DUMMYFUNCTION("""COMPUTED_VALUE"""),"2055-06-04T20:00:32.32477Z")</f>
        <v>2055-06-04T20:00:32.32477Z</v>
      </c>
      <c r="O754" s="3" t="str">
        <f ca="1">IFERROR(__xludf.DUMMYFUNCTION("""COMPUTED_VALUE"""),"2055-06-04T20:11:35.375501Z")</f>
        <v>2055-06-04T20:11:35.375501Z</v>
      </c>
      <c r="P754" s="3" t="str">
        <f ca="1">IFERROR(__xludf.DUMMYFUNCTION("""COMPUTED_VALUE"""),"2055-06-04T19:47:07.246635Z")</f>
        <v>2055-06-04T19:47:07.246635Z</v>
      </c>
      <c r="Q754" s="3">
        <f ca="1">IFERROR(__xludf.DUMMYFUNCTION("""COMPUTED_VALUE"""),0)</f>
        <v>0</v>
      </c>
      <c r="R754" s="3" t="str">
        <f ca="1">IFERROR(__xludf.DUMMYFUNCTION("""COMPUTED_VALUE"""),"2055-06-04T19:47:11.96779Z")</f>
        <v>2055-06-04T19:47:11.96779Z</v>
      </c>
      <c r="S754" s="3" t="str">
        <f ca="1">IFERROR(__xludf.DUMMYFUNCTION("""COMPUTED_VALUE"""),"2055-06-04T19:58:30.730928Z")</f>
        <v>2055-06-04T19:58:30.730928Z</v>
      </c>
      <c r="T754" s="3"/>
      <c r="U754" s="4">
        <f ca="1">IFERROR(__xludf.DUMMYFUNCTION("""COMPUTED_VALUE"""),56769)</f>
        <v>56769</v>
      </c>
      <c r="V754" s="3">
        <f ca="1">IFERROR(__xludf.DUMMYFUNCTION("""COMPUTED_VALUE"""),4.5)</f>
        <v>4.5</v>
      </c>
      <c r="W754" s="3">
        <f ca="1">IFERROR(__xludf.DUMMYFUNCTION("""COMPUTED_VALUE"""),2000)</f>
        <v>2000</v>
      </c>
      <c r="X754" s="3">
        <f ca="1">IFERROR(__xludf.DUMMYFUNCTION("""COMPUTED_VALUE"""),1464)</f>
        <v>1464</v>
      </c>
      <c r="Y754" s="3">
        <f ca="1">IFERROR(__xludf.DUMMYFUNCTION("""COMPUTED_VALUE"""),679)</f>
        <v>679</v>
      </c>
      <c r="Z754" s="3">
        <f ca="1">IFERROR(__xludf.DUMMYFUNCTION("""COMPUTED_VALUE"""),122)</f>
        <v>122</v>
      </c>
      <c r="AA754" s="3">
        <f ca="1">IFERROR(__xludf.DUMMYFUNCTION("""COMPUTED_VALUE"""),663)</f>
        <v>663</v>
      </c>
      <c r="AB754" s="3">
        <f ca="1">IFERROR(__xludf.DUMMYFUNCTION("""COMPUTED_VALUE"""),0)</f>
        <v>0</v>
      </c>
      <c r="AC754" s="3">
        <f ca="1">IFERROR(__xludf.DUMMYFUNCTION("""COMPUTED_VALUE"""),1)</f>
        <v>1</v>
      </c>
      <c r="AD754" s="3" t="str">
        <f ca="1">IFERROR(__xludf.DUMMYFUNCTION("""COMPUTED_VALUE"""),"late")</f>
        <v>late</v>
      </c>
      <c r="AE754" s="3" t="str">
        <f ca="1">IFERROR(__xludf.DUMMYFUNCTION("""COMPUTED_VALUE"""),"2055-06-04T16:00:32.32477Z")</f>
        <v>2055-06-04T16:00:32.32477Z</v>
      </c>
      <c r="AF754" s="3" t="str">
        <f ca="1">IFERROR(__xludf.DUMMYFUNCTION("""COMPUTED_VALUE"""),"2055-06-04T16:11:35.375501Z")</f>
        <v>2055-06-04T16:11:35.375501Z</v>
      </c>
      <c r="AG754" s="3" t="str">
        <f ca="1">IFERROR(__xludf.DUMMYFUNCTION("""COMPUTED_VALUE"""),"2055-06-04T15:47:07.246635Z")</f>
        <v>2055-06-04T15:47:07.246635Z</v>
      </c>
      <c r="AH754" s="3" t="str">
        <f ca="1">IFERROR(__xludf.DUMMYFUNCTION("""COMPUTED_VALUE"""),"2055-06-04T15:58:30.730928Z")</f>
        <v>2055-06-04T15:58:30.730928Z</v>
      </c>
      <c r="AI754" s="3">
        <f ca="1">IFERROR(__xludf.DUMMYFUNCTION("""COMPUTED_VALUE"""),4.56)</f>
        <v>4.5599999999999996</v>
      </c>
      <c r="AJ754" s="3">
        <f ca="1">IFERROR(__xludf.DUMMYFUNCTION("""COMPUTED_VALUE"""),344)</f>
        <v>344</v>
      </c>
      <c r="AK754" s="3">
        <f ca="1">IFERROR(__xludf.DUMMYFUNCTION("""COMPUTED_VALUE"""),947)</f>
        <v>947</v>
      </c>
      <c r="AL754" s="3">
        <f ca="1">IFERROR(__xludf.DUMMYFUNCTION("""COMPUTED_VALUE"""),22)</f>
        <v>22</v>
      </c>
    </row>
    <row r="755" spans="1:38" ht="13">
      <c r="A755" s="3">
        <f ca="1">IFERROR(__xludf.DUMMYFUNCTION("""COMPUTED_VALUE"""),724)</f>
        <v>724</v>
      </c>
      <c r="B755" s="3">
        <f ca="1">IFERROR(__xludf.DUMMYFUNCTION("""COMPUTED_VALUE"""),5)</f>
        <v>5</v>
      </c>
      <c r="C755" s="3">
        <f ca="1">IFERROR(__xludf.DUMMYFUNCTION("""COMPUTED_VALUE"""),4050)</f>
        <v>4050</v>
      </c>
      <c r="D755" s="3" t="str">
        <f ca="1">IFERROR(__xludf.DUMMYFUNCTION("""COMPUTED_VALUE"""),"Doorlanta")</f>
        <v>Doorlanta</v>
      </c>
      <c r="E755" s="3" t="str">
        <f ca="1">IFERROR(__xludf.DUMMYFUNCTION("""COMPUTED_VALUE"""),"Galaxy A")</f>
        <v>Galaxy A</v>
      </c>
      <c r="F755" s="3" t="str">
        <f ca="1">IFERROR(__xludf.DUMMYFUNCTION("""COMPUTED_VALUE"""),"Hersh")</f>
        <v>Hersh</v>
      </c>
      <c r="G755" s="3">
        <f ca="1">IFERROR(__xludf.DUMMYFUNCTION("""COMPUTED_VALUE"""),0)</f>
        <v>0</v>
      </c>
      <c r="H755" s="3" t="str">
        <f ca="1">IFERROR(__xludf.DUMMYFUNCTION("""COMPUTED_VALUE"""),"car")</f>
        <v>car</v>
      </c>
      <c r="I755" s="3" t="str">
        <f ca="1">IFERROR(__xludf.DUMMYFUNCTION("""COMPUTED_VALUE"""),"2055-06-06T14:05:43.170736Z")</f>
        <v>2055-06-06T14:05:43.170736Z</v>
      </c>
      <c r="J755" s="3" t="str">
        <f ca="1">IFERROR(__xludf.DUMMYFUNCTION("""COMPUTED_VALUE"""),"2055-06-06T15:00:43.332Z")</f>
        <v>2055-06-06T15:00:43.332Z</v>
      </c>
      <c r="K755" s="3" t="str">
        <f ca="1">IFERROR(__xludf.DUMMYFUNCTION("""COMPUTED_VALUE"""),"2055-06-06T14:37:56.332Z")</f>
        <v>2055-06-06T14:37:56.332Z</v>
      </c>
      <c r="L755" s="3">
        <f ca="1">IFERROR(__xludf.DUMMYFUNCTION("""COMPUTED_VALUE"""),1)</f>
        <v>1</v>
      </c>
      <c r="M755" s="3">
        <f ca="1">IFERROR(__xludf.DUMMYFUNCTION("""COMPUTED_VALUE"""),0)</f>
        <v>0</v>
      </c>
      <c r="N755" s="3" t="str">
        <f ca="1">IFERROR(__xludf.DUMMYFUNCTION("""COMPUTED_VALUE"""),"2055-06-06T14:24:24.38037Z")</f>
        <v>2055-06-06T14:24:24.38037Z</v>
      </c>
      <c r="O755" s="3" t="str">
        <f ca="1">IFERROR(__xludf.DUMMYFUNCTION("""COMPUTED_VALUE"""),"2055-06-06T14:35:09.870947Z")</f>
        <v>2055-06-06T14:35:09.870947Z</v>
      </c>
      <c r="P755" s="3" t="str">
        <f ca="1">IFERROR(__xludf.DUMMYFUNCTION("""COMPUTED_VALUE"""),"2055-06-06T14:05:47.297254Z")</f>
        <v>2055-06-06T14:05:47.297254Z</v>
      </c>
      <c r="Q755" s="3">
        <f ca="1">IFERROR(__xludf.DUMMYFUNCTION("""COMPUTED_VALUE"""),0)</f>
        <v>0</v>
      </c>
      <c r="R755" s="3" t="str">
        <f ca="1">IFERROR(__xludf.DUMMYFUNCTION("""COMPUTED_VALUE"""),"2055-06-06T14:06:02.587923Z")</f>
        <v>2055-06-06T14:06:02.587923Z</v>
      </c>
      <c r="S755" s="3" t="str">
        <f ca="1">IFERROR(__xludf.DUMMYFUNCTION("""COMPUTED_VALUE"""),"2055-06-06T14:12:19.324617Z")</f>
        <v>2055-06-06T14:12:19.324617Z</v>
      </c>
      <c r="T755" s="3"/>
      <c r="U755" s="4">
        <f ca="1">IFERROR(__xludf.DUMMYFUNCTION("""COMPUTED_VALUE"""),56771)</f>
        <v>56771</v>
      </c>
      <c r="V755" s="3">
        <f ca="1">IFERROR(__xludf.DUMMYFUNCTION("""COMPUTED_VALUE"""),4.6)</f>
        <v>4.5999999999999996</v>
      </c>
      <c r="W755" s="3">
        <f ca="1">IFERROR(__xludf.DUMMYFUNCTION("""COMPUTED_VALUE"""),2000)</f>
        <v>2000</v>
      </c>
      <c r="X755" s="3">
        <f ca="1">IFERROR(__xludf.DUMMYFUNCTION("""COMPUTED_VALUE"""),1747)</f>
        <v>1747</v>
      </c>
      <c r="Y755" s="3">
        <f ca="1">IFERROR(__xludf.DUMMYFUNCTION("""COMPUTED_VALUE"""),377)</f>
        <v>377</v>
      </c>
      <c r="Z755" s="3">
        <f ca="1">IFERROR(__xludf.DUMMYFUNCTION("""COMPUTED_VALUE"""),725)</f>
        <v>725</v>
      </c>
      <c r="AA755" s="3">
        <f ca="1">IFERROR(__xludf.DUMMYFUNCTION("""COMPUTED_VALUE"""),645)</f>
        <v>645</v>
      </c>
      <c r="AB755" s="3">
        <f ca="1">IFERROR(__xludf.DUMMYFUNCTION("""COMPUTED_VALUE"""),0)</f>
        <v>0</v>
      </c>
      <c r="AC755" s="3">
        <f ca="1">IFERROR(__xludf.DUMMYFUNCTION("""COMPUTED_VALUE"""),4)</f>
        <v>4</v>
      </c>
      <c r="AD755" s="3" t="str">
        <f ca="1">IFERROR(__xludf.DUMMYFUNCTION("""COMPUTED_VALUE"""),"early")</f>
        <v>early</v>
      </c>
      <c r="AE755" s="3" t="str">
        <f ca="1">IFERROR(__xludf.DUMMYFUNCTION("""COMPUTED_VALUE"""),"2055-06-06T10:24:24.38037Z")</f>
        <v>2055-06-06T10:24:24.38037Z</v>
      </c>
      <c r="AF755" s="3" t="str">
        <f ca="1">IFERROR(__xludf.DUMMYFUNCTION("""COMPUTED_VALUE"""),"2055-06-06T10:35:09.870947Z")</f>
        <v>2055-06-06T10:35:09.870947Z</v>
      </c>
      <c r="AG755" s="3" t="str">
        <f ca="1">IFERROR(__xludf.DUMMYFUNCTION("""COMPUTED_VALUE"""),"2055-06-06T10:05:47.297254Z")</f>
        <v>2055-06-06T10:05:47.297254Z</v>
      </c>
      <c r="AH755" s="3" t="str">
        <f ca="1">IFERROR(__xludf.DUMMYFUNCTION("""COMPUTED_VALUE"""),"2055-06-06T10:12:19.324617Z")</f>
        <v>2055-06-06T10:12:19.324617Z</v>
      </c>
      <c r="AI755" s="3">
        <f ca="1">IFERROR(__xludf.DUMMYFUNCTION("""COMPUTED_VALUE"""),4.7)</f>
        <v>4.7</v>
      </c>
      <c r="AJ755" s="3">
        <f ca="1">IFERROR(__xludf.DUMMYFUNCTION("""COMPUTED_VALUE"""),212)</f>
        <v>212</v>
      </c>
      <c r="AK755" s="3">
        <f ca="1">IFERROR(__xludf.DUMMYFUNCTION("""COMPUTED_VALUE"""),624)</f>
        <v>624</v>
      </c>
      <c r="AL755" s="3">
        <f ca="1">IFERROR(__xludf.DUMMYFUNCTION("""COMPUTED_VALUE"""),347)</f>
        <v>347</v>
      </c>
    </row>
    <row r="756" spans="1:38" ht="13">
      <c r="A756" s="3">
        <f ca="1">IFERROR(__xludf.DUMMYFUNCTION("""COMPUTED_VALUE"""),279)</f>
        <v>279</v>
      </c>
      <c r="B756" s="3"/>
      <c r="C756" s="3">
        <f ca="1">IFERROR(__xludf.DUMMYFUNCTION("""COMPUTED_VALUE"""),4001)</f>
        <v>4001</v>
      </c>
      <c r="D756" s="3" t="str">
        <f ca="1">IFERROR(__xludf.DUMMYFUNCTION("""COMPUTED_VALUE"""),"Dashattan")</f>
        <v>Dashattan</v>
      </c>
      <c r="E756" s="3" t="str">
        <f ca="1">IFERROR(__xludf.DUMMYFUNCTION("""COMPUTED_VALUE"""),"Galaxy A")</f>
        <v>Galaxy A</v>
      </c>
      <c r="F756" s="3" t="str">
        <f ca="1">IFERROR(__xludf.DUMMYFUNCTION("""COMPUTED_VALUE"""),"Sean")</f>
        <v>Sean</v>
      </c>
      <c r="G756" s="3">
        <f ca="1">IFERROR(__xludf.DUMMYFUNCTION("""COMPUTED_VALUE"""),0)</f>
        <v>0</v>
      </c>
      <c r="H756" s="3" t="str">
        <f ca="1">IFERROR(__xludf.DUMMYFUNCTION("""COMPUTED_VALUE"""),"bicycle")</f>
        <v>bicycle</v>
      </c>
      <c r="I756" s="3" t="str">
        <f ca="1">IFERROR(__xludf.DUMMYFUNCTION("""COMPUTED_VALUE"""),"2055-06-03T15:57:39.329746Z")</f>
        <v>2055-06-03T15:57:39.329746Z</v>
      </c>
      <c r="J756" s="3" t="str">
        <f ca="1">IFERROR(__xludf.DUMMYFUNCTION("""COMPUTED_VALUE"""),"2055-06-03T16:48:27.381Z")</f>
        <v>2055-06-03T16:48:27.381Z</v>
      </c>
      <c r="K756" s="3" t="str">
        <f ca="1">IFERROR(__xludf.DUMMYFUNCTION("""COMPUTED_VALUE"""),"2055-06-03T16:28:48.381Z")</f>
        <v>2055-06-03T16:28:48.381Z</v>
      </c>
      <c r="L756" s="3">
        <f ca="1">IFERROR(__xludf.DUMMYFUNCTION("""COMPUTED_VALUE"""),1)</f>
        <v>1</v>
      </c>
      <c r="M756" s="3">
        <f ca="1">IFERROR(__xludf.DUMMYFUNCTION("""COMPUTED_VALUE"""),0)</f>
        <v>0</v>
      </c>
      <c r="N756" s="3" t="str">
        <f ca="1">IFERROR(__xludf.DUMMYFUNCTION("""COMPUTED_VALUE"""),"2055-06-03T16:06:20.053429Z")</f>
        <v>2055-06-03T16:06:20.053429Z</v>
      </c>
      <c r="O756" s="3" t="str">
        <f ca="1">IFERROR(__xludf.DUMMYFUNCTION("""COMPUTED_VALUE"""),"2055-06-03T16:24:05.16074Z")</f>
        <v>2055-06-03T16:24:05.16074Z</v>
      </c>
      <c r="P756" s="3" t="str">
        <f ca="1">IFERROR(__xludf.DUMMYFUNCTION("""COMPUTED_VALUE"""),"2055-06-03T15:57:54.08994Z")</f>
        <v>2055-06-03T15:57:54.08994Z</v>
      </c>
      <c r="Q756" s="3">
        <f ca="1">IFERROR(__xludf.DUMMYFUNCTION("""COMPUTED_VALUE"""),0)</f>
        <v>0</v>
      </c>
      <c r="R756" s="3" t="str">
        <f ca="1">IFERROR(__xludf.DUMMYFUNCTION("""COMPUTED_VALUE"""),"2055-06-03T15:59:01.234217Z")</f>
        <v>2055-06-03T15:59:01.234217Z</v>
      </c>
      <c r="S756" s="3" t="str">
        <f ca="1">IFERROR(__xludf.DUMMYFUNCTION("""COMPUTED_VALUE"""),"2055-06-03T15:58:46.919791Z")</f>
        <v>2055-06-03T15:58:46.919791Z</v>
      </c>
      <c r="T756" s="3"/>
      <c r="U756" s="4">
        <f ca="1">IFERROR(__xludf.DUMMYFUNCTION("""COMPUTED_VALUE"""),56768)</f>
        <v>56768</v>
      </c>
      <c r="V756" s="3">
        <f ca="1">IFERROR(__xludf.DUMMYFUNCTION("""COMPUTED_VALUE"""),3.49339893)</f>
        <v>3.4933989300000001</v>
      </c>
      <c r="W756" s="3">
        <f ca="1">IFERROR(__xludf.DUMMYFUNCTION("""COMPUTED_VALUE"""),2000)</f>
        <v>2000</v>
      </c>
      <c r="X756" s="3">
        <f ca="1">IFERROR(__xludf.DUMMYFUNCTION("""COMPUTED_VALUE"""),1504)</f>
        <v>1504</v>
      </c>
      <c r="Y756" s="3"/>
      <c r="Z756" s="3">
        <f ca="1">IFERROR(__xludf.DUMMYFUNCTION("""COMPUTED_VALUE"""),454)</f>
        <v>454</v>
      </c>
      <c r="AA756" s="3">
        <f ca="1">IFERROR(__xludf.DUMMYFUNCTION("""COMPUTED_VALUE"""),1065)</f>
        <v>1065</v>
      </c>
      <c r="AB756" s="3">
        <f ca="1">IFERROR(__xludf.DUMMYFUNCTION("""COMPUTED_VALUE"""),1)</f>
        <v>1</v>
      </c>
      <c r="AC756" s="3">
        <f ca="1">IFERROR(__xludf.DUMMYFUNCTION("""COMPUTED_VALUE"""),1)</f>
        <v>1</v>
      </c>
      <c r="AD756" s="3"/>
      <c r="AE756" s="3" t="str">
        <f ca="1">IFERROR(__xludf.DUMMYFUNCTION("""COMPUTED_VALUE"""),"2055-06-03T12:06:20.053429Z")</f>
        <v>2055-06-03T12:06:20.053429Z</v>
      </c>
      <c r="AF756" s="3" t="str">
        <f ca="1">IFERROR(__xludf.DUMMYFUNCTION("""COMPUTED_VALUE"""),"2055-06-03T12:24:05.16074Z")</f>
        <v>2055-06-03T12:24:05.16074Z</v>
      </c>
      <c r="AG756" s="3" t="str">
        <f ca="1">IFERROR(__xludf.DUMMYFUNCTION("""COMPUTED_VALUE"""),"2055-06-03T11:57:54.08994Z")</f>
        <v>2055-06-03T11:57:54.08994Z</v>
      </c>
      <c r="AH756" s="3" t="str">
        <f ca="1">IFERROR(__xludf.DUMMYFUNCTION("""COMPUTED_VALUE"""),"2055-06-03T11:58:46.919791Z")</f>
        <v>2055-06-03T11:58:46.919791Z</v>
      </c>
      <c r="AI756" s="3">
        <f ca="1">IFERROR(__xludf.DUMMYFUNCTION("""COMPUTED_VALUE"""),4.52)</f>
        <v>4.5199999999999996</v>
      </c>
      <c r="AJ756" s="3">
        <f ca="1">IFERROR(__xludf.DUMMYFUNCTION("""COMPUTED_VALUE"""),183)</f>
        <v>183</v>
      </c>
      <c r="AK756" s="3">
        <f ca="1">IFERROR(__xludf.DUMMYFUNCTION("""COMPUTED_VALUE"""),522)</f>
        <v>522</v>
      </c>
      <c r="AL756" s="3"/>
    </row>
    <row r="757" spans="1:38" ht="13">
      <c r="A757" s="3">
        <f ca="1">IFERROR(__xludf.DUMMYFUNCTION("""COMPUTED_VALUE"""),335)</f>
        <v>335</v>
      </c>
      <c r="B757" s="3"/>
      <c r="C757" s="3">
        <f ca="1">IFERROR(__xludf.DUMMYFUNCTION("""COMPUTED_VALUE"""),4001)</f>
        <v>4001</v>
      </c>
      <c r="D757" s="3" t="str">
        <f ca="1">IFERROR(__xludf.DUMMYFUNCTION("""COMPUTED_VALUE"""),"Dashattan")</f>
        <v>Dashattan</v>
      </c>
      <c r="E757" s="3" t="str">
        <f ca="1">IFERROR(__xludf.DUMMYFUNCTION("""COMPUTED_VALUE"""),"Galaxy A")</f>
        <v>Galaxy A</v>
      </c>
      <c r="F757" s="3" t="str">
        <f ca="1">IFERROR(__xludf.DUMMYFUNCTION("""COMPUTED_VALUE"""),"Bunje")</f>
        <v>Bunje</v>
      </c>
      <c r="G757" s="3">
        <f ca="1">IFERROR(__xludf.DUMMYFUNCTION("""COMPUTED_VALUE"""),0)</f>
        <v>0</v>
      </c>
      <c r="H757" s="3" t="str">
        <f ca="1">IFERROR(__xludf.DUMMYFUNCTION("""COMPUTED_VALUE"""),"bicycle")</f>
        <v>bicycle</v>
      </c>
      <c r="I757" s="3" t="str">
        <f ca="1">IFERROR(__xludf.DUMMYFUNCTION("""COMPUTED_VALUE"""),"2055-06-03T21:23:16.23345Z")</f>
        <v>2055-06-03T21:23:16.23345Z</v>
      </c>
      <c r="J757" s="3" t="str">
        <f ca="1">IFERROR(__xludf.DUMMYFUNCTION("""COMPUTED_VALUE"""),"2055-06-03T22:04:19.305Z")</f>
        <v>2055-06-03T22:04:19.305Z</v>
      </c>
      <c r="K757" s="3" t="str">
        <f ca="1">IFERROR(__xludf.DUMMYFUNCTION("""COMPUTED_VALUE"""),"2055-06-03T21:55:26.305Z")</f>
        <v>2055-06-03T21:55:26.305Z</v>
      </c>
      <c r="L757" s="3">
        <f ca="1">IFERROR(__xludf.DUMMYFUNCTION("""COMPUTED_VALUE"""),1)</f>
        <v>1</v>
      </c>
      <c r="M757" s="3">
        <f ca="1">IFERROR(__xludf.DUMMYFUNCTION("""COMPUTED_VALUE"""),0)</f>
        <v>0</v>
      </c>
      <c r="N757" s="3" t="str">
        <f ca="1">IFERROR(__xludf.DUMMYFUNCTION("""COMPUTED_VALUE"""),"2055-06-03T21:46:19.590337Z")</f>
        <v>2055-06-03T21:46:19.590337Z</v>
      </c>
      <c r="O757" s="3" t="str">
        <f ca="1">IFERROR(__xludf.DUMMYFUNCTION("""COMPUTED_VALUE"""),"2055-06-03T22:05:15.69864Z")</f>
        <v>2055-06-03T22:05:15.69864Z</v>
      </c>
      <c r="P757" s="3" t="str">
        <f ca="1">IFERROR(__xludf.DUMMYFUNCTION("""COMPUTED_VALUE"""),"2055-06-03T21:29:34.214853Z")</f>
        <v>2055-06-03T21:29:34.214853Z</v>
      </c>
      <c r="Q757" s="3">
        <f ca="1">IFERROR(__xludf.DUMMYFUNCTION("""COMPUTED_VALUE"""),0)</f>
        <v>0</v>
      </c>
      <c r="R757" s="3" t="str">
        <f ca="1">IFERROR(__xludf.DUMMYFUNCTION("""COMPUTED_VALUE"""),"2055-06-03T21:29:44.676856Z")</f>
        <v>2055-06-03T21:29:44.676856Z</v>
      </c>
      <c r="S757" s="3" t="str">
        <f ca="1">IFERROR(__xludf.DUMMYFUNCTION("""COMPUTED_VALUE"""),"2055-06-03T21:34:43.216705Z")</f>
        <v>2055-06-03T21:34:43.216705Z</v>
      </c>
      <c r="T757" s="3"/>
      <c r="U757" s="4">
        <f ca="1">IFERROR(__xludf.DUMMYFUNCTION("""COMPUTED_VALUE"""),56768)</f>
        <v>56768</v>
      </c>
      <c r="V757" s="3">
        <f ca="1">IFERROR(__xludf.DUMMYFUNCTION("""COMPUTED_VALUE"""),4.190212638)</f>
        <v>4.1902126380000002</v>
      </c>
      <c r="W757" s="3">
        <f ca="1">IFERROR(__xludf.DUMMYFUNCTION("""COMPUTED_VALUE"""),2000)</f>
        <v>2000</v>
      </c>
      <c r="X757" s="3">
        <f ca="1">IFERROR(__xludf.DUMMYFUNCTION("""COMPUTED_VALUE"""),2131)</f>
        <v>2131</v>
      </c>
      <c r="Y757" s="3">
        <f ca="1">IFERROR(__xludf.DUMMYFUNCTION("""COMPUTED_VALUE"""),299)</f>
        <v>299</v>
      </c>
      <c r="Z757" s="3">
        <f ca="1">IFERROR(__xludf.DUMMYFUNCTION("""COMPUTED_VALUE"""),696)</f>
        <v>696</v>
      </c>
      <c r="AA757" s="3">
        <f ca="1">IFERROR(__xludf.DUMMYFUNCTION("""COMPUTED_VALUE"""),1136)</f>
        <v>1136</v>
      </c>
      <c r="AB757" s="3">
        <f ca="1">IFERROR(__xludf.DUMMYFUNCTION("""COMPUTED_VALUE"""),0)</f>
        <v>0</v>
      </c>
      <c r="AC757" s="3">
        <f ca="1">IFERROR(__xludf.DUMMYFUNCTION("""COMPUTED_VALUE"""),1)</f>
        <v>1</v>
      </c>
      <c r="AD757" s="3" t="str">
        <f ca="1">IFERROR(__xludf.DUMMYFUNCTION("""COMPUTED_VALUE"""),"early")</f>
        <v>early</v>
      </c>
      <c r="AE757" s="3" t="str">
        <f ca="1">IFERROR(__xludf.DUMMYFUNCTION("""COMPUTED_VALUE"""),"2055-06-03T17:46:19.590337Z")</f>
        <v>2055-06-03T17:46:19.590337Z</v>
      </c>
      <c r="AF757" s="3" t="str">
        <f ca="1">IFERROR(__xludf.DUMMYFUNCTION("""COMPUTED_VALUE"""),"2055-06-03T18:05:15.69864Z")</f>
        <v>2055-06-03T18:05:15.69864Z</v>
      </c>
      <c r="AG757" s="3" t="str">
        <f ca="1">IFERROR(__xludf.DUMMYFUNCTION("""COMPUTED_VALUE"""),"2055-06-03T17:29:34.214853Z")</f>
        <v>2055-06-03T17:29:34.214853Z</v>
      </c>
      <c r="AH757" s="3" t="str">
        <f ca="1">IFERROR(__xludf.DUMMYFUNCTION("""COMPUTED_VALUE"""),"2055-06-03T17:34:43.216705Z")</f>
        <v>2055-06-03T17:34:43.216705Z</v>
      </c>
      <c r="AI757" s="3">
        <f ca="1">IFERROR(__xludf.DUMMYFUNCTION("""COMPUTED_VALUE"""),4.7)</f>
        <v>4.7</v>
      </c>
      <c r="AJ757" s="3">
        <f ca="1">IFERROR(__xludf.DUMMYFUNCTION("""COMPUTED_VALUE"""),443)</f>
        <v>443</v>
      </c>
      <c r="AK757" s="3">
        <f ca="1">IFERROR(__xludf.DUMMYFUNCTION("""COMPUTED_VALUE"""),1579)</f>
        <v>1579</v>
      </c>
      <c r="AL757" s="3"/>
    </row>
    <row r="758" spans="1:38" ht="13">
      <c r="A758" s="3">
        <f ca="1">IFERROR(__xludf.DUMMYFUNCTION("""COMPUTED_VALUE"""),1286)</f>
        <v>1286</v>
      </c>
      <c r="B758" s="3">
        <f ca="1">IFERROR(__xludf.DUMMYFUNCTION("""COMPUTED_VALUE"""),5)</f>
        <v>5</v>
      </c>
      <c r="C758" s="3">
        <f ca="1">IFERROR(__xludf.DUMMYFUNCTION("""COMPUTED_VALUE"""),4001)</f>
        <v>4001</v>
      </c>
      <c r="D758" s="3" t="str">
        <f ca="1">IFERROR(__xludf.DUMMYFUNCTION("""COMPUTED_VALUE"""),"Dashattan")</f>
        <v>Dashattan</v>
      </c>
      <c r="E758" s="3" t="str">
        <f ca="1">IFERROR(__xludf.DUMMYFUNCTION("""COMPUTED_VALUE"""),"Galaxy A")</f>
        <v>Galaxy A</v>
      </c>
      <c r="F758" s="3" t="str">
        <f ca="1">IFERROR(__xludf.DUMMYFUNCTION("""COMPUTED_VALUE"""),"J")</f>
        <v>J</v>
      </c>
      <c r="G758" s="3">
        <f ca="1">IFERROR(__xludf.DUMMYFUNCTION("""COMPUTED_VALUE"""),0)</f>
        <v>0</v>
      </c>
      <c r="H758" s="3" t="str">
        <f ca="1">IFERROR(__xludf.DUMMYFUNCTION("""COMPUTED_VALUE"""),"bicycle")</f>
        <v>bicycle</v>
      </c>
      <c r="I758" s="3" t="str">
        <f ca="1">IFERROR(__xludf.DUMMYFUNCTION("""COMPUTED_VALUE"""),"2055-06-11T19:23:34.851796Z")</f>
        <v>2055-06-11T19:23:34.851796Z</v>
      </c>
      <c r="J758" s="3" t="str">
        <f ca="1">IFERROR(__xludf.DUMMYFUNCTION("""COMPUTED_VALUE"""),"2055-06-11T20:15:00.94Z")</f>
        <v>2055-06-11T20:15:00.94Z</v>
      </c>
      <c r="K758" s="3" t="str">
        <f ca="1">IFERROR(__xludf.DUMMYFUNCTION("""COMPUTED_VALUE"""),"2055-06-11T19:54:53.94Z")</f>
        <v>2055-06-11T19:54:53.94Z</v>
      </c>
      <c r="L758" s="3">
        <f ca="1">IFERROR(__xludf.DUMMYFUNCTION("""COMPUTED_VALUE"""),1)</f>
        <v>1</v>
      </c>
      <c r="M758" s="3">
        <f ca="1">IFERROR(__xludf.DUMMYFUNCTION("""COMPUTED_VALUE"""),0)</f>
        <v>0</v>
      </c>
      <c r="N758" s="3" t="str">
        <f ca="1">IFERROR(__xludf.DUMMYFUNCTION("""COMPUTED_VALUE"""),"2055-06-11T19:44:48.827677Z")</f>
        <v>2055-06-11T19:44:48.827677Z</v>
      </c>
      <c r="O758" s="3" t="str">
        <f ca="1">IFERROR(__xludf.DUMMYFUNCTION("""COMPUTED_VALUE"""),"2055-06-11T20:10:15.888021Z")</f>
        <v>2055-06-11T20:10:15.888021Z</v>
      </c>
      <c r="P758" s="3" t="str">
        <f ca="1">IFERROR(__xludf.DUMMYFUNCTION("""COMPUTED_VALUE"""),"2055-06-11T19:30:54.134211Z")</f>
        <v>2055-06-11T19:30:54.134211Z</v>
      </c>
      <c r="Q758" s="3">
        <f ca="1">IFERROR(__xludf.DUMMYFUNCTION("""COMPUTED_VALUE"""),0)</f>
        <v>0</v>
      </c>
      <c r="R758" s="3" t="str">
        <f ca="1">IFERROR(__xludf.DUMMYFUNCTION("""COMPUTED_VALUE"""),"2055-06-11T19:31:20.305705Z")</f>
        <v>2055-06-11T19:31:20.305705Z</v>
      </c>
      <c r="S758" s="3" t="str">
        <f ca="1">IFERROR(__xludf.DUMMYFUNCTION("""COMPUTED_VALUE"""),"2055-06-11T19:41:47.984916Z")</f>
        <v>2055-06-11T19:41:47.984916Z</v>
      </c>
      <c r="T758" s="3"/>
      <c r="U758" s="4">
        <f ca="1">IFERROR(__xludf.DUMMYFUNCTION("""COMPUTED_VALUE"""),56776)</f>
        <v>56776</v>
      </c>
      <c r="V758" s="3">
        <f ca="1">IFERROR(__xludf.DUMMYFUNCTION("""COMPUTED_VALUE"""),3.49339893)</f>
        <v>3.4933989300000001</v>
      </c>
      <c r="W758" s="3">
        <f ca="1">IFERROR(__xludf.DUMMYFUNCTION("""COMPUTED_VALUE"""),2000)</f>
        <v>2000</v>
      </c>
      <c r="X758" s="3">
        <f ca="1">IFERROR(__xludf.DUMMYFUNCTION("""COMPUTED_VALUE"""),2335)</f>
        <v>2335</v>
      </c>
      <c r="Y758" s="3">
        <f ca="1">IFERROR(__xludf.DUMMYFUNCTION("""COMPUTED_VALUE"""),627)</f>
        <v>627</v>
      </c>
      <c r="Z758" s="3">
        <f ca="1">IFERROR(__xludf.DUMMYFUNCTION("""COMPUTED_VALUE"""),181)</f>
        <v>181</v>
      </c>
      <c r="AA758" s="3">
        <f ca="1">IFERROR(__xludf.DUMMYFUNCTION("""COMPUTED_VALUE"""),1527)</f>
        <v>1527</v>
      </c>
      <c r="AB758" s="3">
        <f ca="1">IFERROR(__xludf.DUMMYFUNCTION("""COMPUTED_VALUE"""),0)</f>
        <v>0</v>
      </c>
      <c r="AC758" s="3">
        <f ca="1">IFERROR(__xludf.DUMMYFUNCTION("""COMPUTED_VALUE"""),2)</f>
        <v>2</v>
      </c>
      <c r="AD758" s="3" t="str">
        <f ca="1">IFERROR(__xludf.DUMMYFUNCTION("""COMPUTED_VALUE"""),"late")</f>
        <v>late</v>
      </c>
      <c r="AE758" s="3" t="str">
        <f ca="1">IFERROR(__xludf.DUMMYFUNCTION("""COMPUTED_VALUE"""),"2055-06-11T15:44:48.827677Z")</f>
        <v>2055-06-11T15:44:48.827677Z</v>
      </c>
      <c r="AF758" s="3" t="str">
        <f ca="1">IFERROR(__xludf.DUMMYFUNCTION("""COMPUTED_VALUE"""),"2055-06-11T16:10:15.888021Z")</f>
        <v>2055-06-11T16:10:15.888021Z</v>
      </c>
      <c r="AG758" s="3" t="str">
        <f ca="1">IFERROR(__xludf.DUMMYFUNCTION("""COMPUTED_VALUE"""),"2055-06-11T15:30:54.134211Z")</f>
        <v>2055-06-11T15:30:54.134211Z</v>
      </c>
      <c r="AH758" s="3" t="str">
        <f ca="1">IFERROR(__xludf.DUMMYFUNCTION("""COMPUTED_VALUE"""),"2055-06-11T15:41:47.984916Z")</f>
        <v>2055-06-11T15:41:47.984916Z</v>
      </c>
      <c r="AI758" s="3">
        <f ca="1">IFERROR(__xludf.DUMMYFUNCTION("""COMPUTED_VALUE"""),4.6)</f>
        <v>4.5999999999999996</v>
      </c>
      <c r="AJ758" s="3">
        <f ca="1">IFERROR(__xludf.DUMMYFUNCTION("""COMPUTED_VALUE"""),292)</f>
        <v>292</v>
      </c>
      <c r="AK758" s="3">
        <f ca="1">IFERROR(__xludf.DUMMYFUNCTION("""COMPUTED_VALUE"""),1027)</f>
        <v>1027</v>
      </c>
      <c r="AL758" s="3">
        <f ca="1">IFERROR(__xludf.DUMMYFUNCTION("""COMPUTED_VALUE"""),26)</f>
        <v>26</v>
      </c>
    </row>
    <row r="759" spans="1:38" ht="13">
      <c r="A759" s="3">
        <f ca="1">IFERROR(__xludf.DUMMYFUNCTION("""COMPUTED_VALUE"""),101)</f>
        <v>101</v>
      </c>
      <c r="B759" s="3"/>
      <c r="C759" s="3">
        <f ca="1">IFERROR(__xludf.DUMMYFUNCTION("""COMPUTED_VALUE"""),4050)</f>
        <v>4050</v>
      </c>
      <c r="D759" s="3" t="str">
        <f ca="1">IFERROR(__xludf.DUMMYFUNCTION("""COMPUTED_VALUE"""),"Doorlanta")</f>
        <v>Doorlanta</v>
      </c>
      <c r="E759" s="3" t="str">
        <f ca="1">IFERROR(__xludf.DUMMYFUNCTION("""COMPUTED_VALUE"""),"Galaxy A")</f>
        <v>Galaxy A</v>
      </c>
      <c r="F759" s="3" t="str">
        <f ca="1">IFERROR(__xludf.DUMMYFUNCTION("""COMPUTED_VALUE"""),"Katelynn")</f>
        <v>Katelynn</v>
      </c>
      <c r="G759" s="3">
        <f ca="1">IFERROR(__xludf.DUMMYFUNCTION("""COMPUTED_VALUE"""),0)</f>
        <v>0</v>
      </c>
      <c r="H759" s="3" t="str">
        <f ca="1">IFERROR(__xludf.DUMMYFUNCTION("""COMPUTED_VALUE"""),"car")</f>
        <v>car</v>
      </c>
      <c r="I759" s="3" t="str">
        <f ca="1">IFERROR(__xludf.DUMMYFUNCTION("""COMPUTED_VALUE"""),"2055-06-02T00:50:39.304415Z")</f>
        <v>2055-06-02T00:50:39.304415Z</v>
      </c>
      <c r="J759" s="3" t="str">
        <f ca="1">IFERROR(__xludf.DUMMYFUNCTION("""COMPUTED_VALUE"""),"2055-06-02T02:04:13.384Z")</f>
        <v>2055-06-02T02:04:13.384Z</v>
      </c>
      <c r="K759" s="3" t="str">
        <f ca="1">IFERROR(__xludf.DUMMYFUNCTION("""COMPUTED_VALUE"""),"2055-06-02T01:44:34.384Z")</f>
        <v>2055-06-02T01:44:34.384Z</v>
      </c>
      <c r="L759" s="3">
        <f ca="1">IFERROR(__xludf.DUMMYFUNCTION("""COMPUTED_VALUE"""),1)</f>
        <v>1</v>
      </c>
      <c r="M759" s="3">
        <f ca="1">IFERROR(__xludf.DUMMYFUNCTION("""COMPUTED_VALUE"""),0)</f>
        <v>0</v>
      </c>
      <c r="N759" s="3" t="str">
        <f ca="1">IFERROR(__xludf.DUMMYFUNCTION("""COMPUTED_VALUE"""),"2055-06-02T01:07:42.666102Z")</f>
        <v>2055-06-02T01:07:42.666102Z</v>
      </c>
      <c r="O759" s="3" t="str">
        <f ca="1">IFERROR(__xludf.DUMMYFUNCTION("""COMPUTED_VALUE"""),"2055-06-02T01:22:17.28611Z")</f>
        <v>2055-06-02T01:22:17.28611Z</v>
      </c>
      <c r="P759" s="3" t="str">
        <f ca="1">IFERROR(__xludf.DUMMYFUNCTION("""COMPUTED_VALUE"""),"2055-06-02T00:50:47.423919Z")</f>
        <v>2055-06-02T00:50:47.423919Z</v>
      </c>
      <c r="Q759" s="3">
        <f ca="1">IFERROR(__xludf.DUMMYFUNCTION("""COMPUTED_VALUE"""),0)</f>
        <v>0</v>
      </c>
      <c r="R759" s="3" t="str">
        <f ca="1">IFERROR(__xludf.DUMMYFUNCTION("""COMPUTED_VALUE"""),"2055-06-02T00:51:37.233052Z")</f>
        <v>2055-06-02T00:51:37.233052Z</v>
      </c>
      <c r="S759" s="3" t="str">
        <f ca="1">IFERROR(__xludf.DUMMYFUNCTION("""COMPUTED_VALUE"""),"2055-06-02T01:02:45.886775Z")</f>
        <v>2055-06-02T01:02:45.886775Z</v>
      </c>
      <c r="T759" s="3"/>
      <c r="U759" s="4">
        <f ca="1">IFERROR(__xludf.DUMMYFUNCTION("""COMPUTED_VALUE"""),56766)</f>
        <v>56766</v>
      </c>
      <c r="V759" s="3">
        <f ca="1">IFERROR(__xludf.DUMMYFUNCTION("""COMPUTED_VALUE"""),4.7)</f>
        <v>4.7</v>
      </c>
      <c r="W759" s="3">
        <f ca="1">IFERROR(__xludf.DUMMYFUNCTION("""COMPUTED_VALUE"""),2000)</f>
        <v>2000</v>
      </c>
      <c r="X759" s="3">
        <f ca="1">IFERROR(__xludf.DUMMYFUNCTION("""COMPUTED_VALUE"""),1840)</f>
        <v>1840</v>
      </c>
      <c r="Y759" s="3">
        <f ca="1">IFERROR(__xludf.DUMMYFUNCTION("""COMPUTED_VALUE"""),668)</f>
        <v>668</v>
      </c>
      <c r="Z759" s="3">
        <f ca="1">IFERROR(__xludf.DUMMYFUNCTION("""COMPUTED_VALUE"""),297)</f>
        <v>297</v>
      </c>
      <c r="AA759" s="3">
        <f ca="1">IFERROR(__xludf.DUMMYFUNCTION("""COMPUTED_VALUE"""),875)</f>
        <v>875</v>
      </c>
      <c r="AB759" s="3">
        <f ca="1">IFERROR(__xludf.DUMMYFUNCTION("""COMPUTED_VALUE"""),0)</f>
        <v>0</v>
      </c>
      <c r="AC759" s="3">
        <f ca="1">IFERROR(__xludf.DUMMYFUNCTION("""COMPUTED_VALUE"""),2)</f>
        <v>2</v>
      </c>
      <c r="AD759" s="3" t="str">
        <f ca="1">IFERROR(__xludf.DUMMYFUNCTION("""COMPUTED_VALUE"""),"early")</f>
        <v>early</v>
      </c>
      <c r="AE759" s="3" t="str">
        <f ca="1">IFERROR(__xludf.DUMMYFUNCTION("""COMPUTED_VALUE"""),"2055-06-01T21:07:42.666102Z")</f>
        <v>2055-06-01T21:07:42.666102Z</v>
      </c>
      <c r="AF759" s="3" t="str">
        <f ca="1">IFERROR(__xludf.DUMMYFUNCTION("""COMPUTED_VALUE"""),"2055-06-01T21:22:17.28611Z")</f>
        <v>2055-06-01T21:22:17.28611Z</v>
      </c>
      <c r="AG759" s="3" t="str">
        <f ca="1">IFERROR(__xludf.DUMMYFUNCTION("""COMPUTED_VALUE"""),"2055-06-01T20:50:47.423919Z")</f>
        <v>2055-06-01T20:50:47.423919Z</v>
      </c>
      <c r="AH759" s="3" t="str">
        <f ca="1">IFERROR(__xludf.DUMMYFUNCTION("""COMPUTED_VALUE"""),"2055-06-01T21:02:45.886775Z")</f>
        <v>2055-06-01T21:02:45.886775Z</v>
      </c>
      <c r="AI759" s="3">
        <f ca="1">IFERROR(__xludf.DUMMYFUNCTION("""COMPUTED_VALUE"""),4.7)</f>
        <v>4.7</v>
      </c>
      <c r="AJ759" s="3">
        <f ca="1">IFERROR(__xludf.DUMMYFUNCTION("""COMPUTED_VALUE"""),1261)</f>
        <v>1261</v>
      </c>
      <c r="AK759" s="3">
        <f ca="1">IFERROR(__xludf.DUMMYFUNCTION("""COMPUTED_VALUE"""),3264)</f>
        <v>3264</v>
      </c>
      <c r="AL759" s="3">
        <f ca="1">IFERROR(__xludf.DUMMYFUNCTION("""COMPUTED_VALUE"""),232)</f>
        <v>232</v>
      </c>
    </row>
    <row r="760" spans="1:38" ht="13">
      <c r="A760" s="3">
        <f ca="1">IFERROR(__xludf.DUMMYFUNCTION("""COMPUTED_VALUE"""),256)</f>
        <v>256</v>
      </c>
      <c r="B760" s="3"/>
      <c r="C760" s="3">
        <f ca="1">IFERROR(__xludf.DUMMYFUNCTION("""COMPUTED_VALUE"""),4050)</f>
        <v>4050</v>
      </c>
      <c r="D760" s="3" t="str">
        <f ca="1">IFERROR(__xludf.DUMMYFUNCTION("""COMPUTED_VALUE"""),"Doorlanta")</f>
        <v>Doorlanta</v>
      </c>
      <c r="E760" s="3" t="str">
        <f ca="1">IFERROR(__xludf.DUMMYFUNCTION("""COMPUTED_VALUE"""),"Galaxy A")</f>
        <v>Galaxy A</v>
      </c>
      <c r="F760" s="3" t="str">
        <f ca="1">IFERROR(__xludf.DUMMYFUNCTION("""COMPUTED_VALUE"""),"Ash")</f>
        <v>Ash</v>
      </c>
      <c r="G760" s="3">
        <f ca="1">IFERROR(__xludf.DUMMYFUNCTION("""COMPUTED_VALUE"""),0)</f>
        <v>0</v>
      </c>
      <c r="H760" s="3" t="str">
        <f ca="1">IFERROR(__xludf.DUMMYFUNCTION("""COMPUTED_VALUE"""),"car")</f>
        <v>car</v>
      </c>
      <c r="I760" s="3" t="str">
        <f ca="1">IFERROR(__xludf.DUMMYFUNCTION("""COMPUTED_VALUE"""),"2055-06-03T14:32:12.679461Z")</f>
        <v>2055-06-03T14:32:12.679461Z</v>
      </c>
      <c r="J760" s="3" t="str">
        <f ca="1">IFERROR(__xludf.DUMMYFUNCTION("""COMPUTED_VALUE"""),"2055-06-03T15:27:12.752Z")</f>
        <v>2055-06-03T15:27:12.752Z</v>
      </c>
      <c r="K760" s="3" t="str">
        <f ca="1">IFERROR(__xludf.DUMMYFUNCTION("""COMPUTED_VALUE"""),"2055-06-03T15:05:07.752Z")</f>
        <v>2055-06-03T15:05:07.752Z</v>
      </c>
      <c r="L760" s="3">
        <f ca="1">IFERROR(__xludf.DUMMYFUNCTION("""COMPUTED_VALUE"""),1)</f>
        <v>1</v>
      </c>
      <c r="M760" s="3">
        <f ca="1">IFERROR(__xludf.DUMMYFUNCTION("""COMPUTED_VALUE"""),0)</f>
        <v>0</v>
      </c>
      <c r="N760" s="3" t="str">
        <f ca="1">IFERROR(__xludf.DUMMYFUNCTION("""COMPUTED_VALUE"""),"2055-06-03T14:53:00.526621Z")</f>
        <v>2055-06-03T14:53:00.526621Z</v>
      </c>
      <c r="O760" s="3" t="str">
        <f ca="1">IFERROR(__xludf.DUMMYFUNCTION("""COMPUTED_VALUE"""),"2055-06-03T15:06:52.834886Z")</f>
        <v>2055-06-03T15:06:52.834886Z</v>
      </c>
      <c r="P760" s="3" t="str">
        <f ca="1">IFERROR(__xludf.DUMMYFUNCTION("""COMPUTED_VALUE"""),"2055-06-03T14:32:27.336124Z")</f>
        <v>2055-06-03T14:32:27.336124Z</v>
      </c>
      <c r="Q760" s="3">
        <f ca="1">IFERROR(__xludf.DUMMYFUNCTION("""COMPUTED_VALUE"""),0)</f>
        <v>0</v>
      </c>
      <c r="R760" s="3" t="str">
        <f ca="1">IFERROR(__xludf.DUMMYFUNCTION("""COMPUTED_VALUE"""),"2055-06-03T14:32:38.790867Z")</f>
        <v>2055-06-03T14:32:38.790867Z</v>
      </c>
      <c r="S760" s="3" t="str">
        <f ca="1">IFERROR(__xludf.DUMMYFUNCTION("""COMPUTED_VALUE"""),"2055-06-03T14:44:39.551675Z")</f>
        <v>2055-06-03T14:44:39.551675Z</v>
      </c>
      <c r="T760" s="3"/>
      <c r="U760" s="4">
        <f ca="1">IFERROR(__xludf.DUMMYFUNCTION("""COMPUTED_VALUE"""),56768)</f>
        <v>56768</v>
      </c>
      <c r="V760" s="3">
        <f ca="1">IFERROR(__xludf.DUMMYFUNCTION("""COMPUTED_VALUE"""),4.6)</f>
        <v>4.5999999999999996</v>
      </c>
      <c r="W760" s="3">
        <f ca="1">IFERROR(__xludf.DUMMYFUNCTION("""COMPUTED_VALUE"""),2000)</f>
        <v>2000</v>
      </c>
      <c r="X760" s="3">
        <f ca="1">IFERROR(__xludf.DUMMYFUNCTION("""COMPUTED_VALUE"""),2054)</f>
        <v>2054</v>
      </c>
      <c r="Y760" s="3">
        <f ca="1">IFERROR(__xludf.DUMMYFUNCTION("""COMPUTED_VALUE"""),721)</f>
        <v>721</v>
      </c>
      <c r="Z760" s="3">
        <f ca="1">IFERROR(__xludf.DUMMYFUNCTION("""COMPUTED_VALUE"""),501)</f>
        <v>501</v>
      </c>
      <c r="AA760" s="3">
        <f ca="1">IFERROR(__xludf.DUMMYFUNCTION("""COMPUTED_VALUE"""),832)</f>
        <v>832</v>
      </c>
      <c r="AB760" s="3">
        <f ca="1">IFERROR(__xludf.DUMMYFUNCTION("""COMPUTED_VALUE"""),0)</f>
        <v>0</v>
      </c>
      <c r="AC760" s="3">
        <f ca="1">IFERROR(__xludf.DUMMYFUNCTION("""COMPUTED_VALUE"""),3)</f>
        <v>3</v>
      </c>
      <c r="AD760" s="3" t="str">
        <f ca="1">IFERROR(__xludf.DUMMYFUNCTION("""COMPUTED_VALUE"""),"on time")</f>
        <v>on time</v>
      </c>
      <c r="AE760" s="3" t="str">
        <f ca="1">IFERROR(__xludf.DUMMYFUNCTION("""COMPUTED_VALUE"""),"2055-06-03T10:53:00.526621Z")</f>
        <v>2055-06-03T10:53:00.526621Z</v>
      </c>
      <c r="AF760" s="3" t="str">
        <f ca="1">IFERROR(__xludf.DUMMYFUNCTION("""COMPUTED_VALUE"""),"2055-06-03T11:06:52.834886Z")</f>
        <v>2055-06-03T11:06:52.834886Z</v>
      </c>
      <c r="AG760" s="3" t="str">
        <f ca="1">IFERROR(__xludf.DUMMYFUNCTION("""COMPUTED_VALUE"""),"2055-06-03T10:32:27.336124Z")</f>
        <v>2055-06-03T10:32:27.336124Z</v>
      </c>
      <c r="AH760" s="3" t="str">
        <f ca="1">IFERROR(__xludf.DUMMYFUNCTION("""COMPUTED_VALUE"""),"2055-06-03T10:44:39.551675Z")</f>
        <v>2055-06-03T10:44:39.551675Z</v>
      </c>
      <c r="AI760" s="3">
        <f ca="1">IFERROR(__xludf.DUMMYFUNCTION("""COMPUTED_VALUE"""),4.66)</f>
        <v>4.66</v>
      </c>
      <c r="AJ760" s="3">
        <f ca="1">IFERROR(__xludf.DUMMYFUNCTION("""COMPUTED_VALUE"""),161)</f>
        <v>161</v>
      </c>
      <c r="AK760" s="3">
        <f ca="1">IFERROR(__xludf.DUMMYFUNCTION("""COMPUTED_VALUE"""),398)</f>
        <v>398</v>
      </c>
      <c r="AL760" s="3"/>
    </row>
    <row r="761" spans="1:38" ht="13">
      <c r="A761" s="3">
        <f ca="1">IFERROR(__xludf.DUMMYFUNCTION("""COMPUTED_VALUE"""),294)</f>
        <v>294</v>
      </c>
      <c r="B761" s="3"/>
      <c r="C761" s="3">
        <f ca="1">IFERROR(__xludf.DUMMYFUNCTION("""COMPUTED_VALUE"""),4050)</f>
        <v>4050</v>
      </c>
      <c r="D761" s="3" t="str">
        <f ca="1">IFERROR(__xludf.DUMMYFUNCTION("""COMPUTED_VALUE"""),"Doorlanta")</f>
        <v>Doorlanta</v>
      </c>
      <c r="E761" s="3" t="str">
        <f ca="1">IFERROR(__xludf.DUMMYFUNCTION("""COMPUTED_VALUE"""),"Galaxy A")</f>
        <v>Galaxy A</v>
      </c>
      <c r="F761" s="3" t="str">
        <f ca="1">IFERROR(__xludf.DUMMYFUNCTION("""COMPUTED_VALUE"""),"Hanna")</f>
        <v>Hanna</v>
      </c>
      <c r="G761" s="3">
        <f ca="1">IFERROR(__xludf.DUMMYFUNCTION("""COMPUTED_VALUE"""),0)</f>
        <v>0</v>
      </c>
      <c r="H761" s="3" t="str">
        <f ca="1">IFERROR(__xludf.DUMMYFUNCTION("""COMPUTED_VALUE"""),"car")</f>
        <v>car</v>
      </c>
      <c r="I761" s="3" t="str">
        <f ca="1">IFERROR(__xludf.DUMMYFUNCTION("""COMPUTED_VALUE"""),"2055-06-03T17:17:07.176678Z")</f>
        <v>2055-06-03T17:17:07.176678Z</v>
      </c>
      <c r="J761" s="3" t="str">
        <f ca="1">IFERROR(__xludf.DUMMYFUNCTION("""COMPUTED_VALUE"""),"2055-06-03T18:07:00.2232Z")</f>
        <v>2055-06-03T18:07:00.2232Z</v>
      </c>
      <c r="K761" s="3" t="str">
        <f ca="1">IFERROR(__xludf.DUMMYFUNCTION("""COMPUTED_VALUE"""),"2055-06-03T17:53:00.2232Z")</f>
        <v>2055-06-03T17:53:00.2232Z</v>
      </c>
      <c r="L761" s="3">
        <f ca="1">IFERROR(__xludf.DUMMYFUNCTION("""COMPUTED_VALUE"""),1)</f>
        <v>1</v>
      </c>
      <c r="M761" s="3">
        <f ca="1">IFERROR(__xludf.DUMMYFUNCTION("""COMPUTED_VALUE"""),0)</f>
        <v>0</v>
      </c>
      <c r="N761" s="3" t="str">
        <f ca="1">IFERROR(__xludf.DUMMYFUNCTION("""COMPUTED_VALUE"""),"2055-06-03T17:48:31.143702Z")</f>
        <v>2055-06-03T17:48:31.143702Z</v>
      </c>
      <c r="O761" s="3" t="str">
        <f ca="1">IFERROR(__xludf.DUMMYFUNCTION("""COMPUTED_VALUE"""),"2055-06-03T17:57:16.517427Z")</f>
        <v>2055-06-03T17:57:16.517427Z</v>
      </c>
      <c r="P761" s="3" t="str">
        <f ca="1">IFERROR(__xludf.DUMMYFUNCTION("""COMPUTED_VALUE"""),"2055-06-03T17:17:27.288875Z")</f>
        <v>2055-06-03T17:17:27.288875Z</v>
      </c>
      <c r="Q761" s="3">
        <f ca="1">IFERROR(__xludf.DUMMYFUNCTION("""COMPUTED_VALUE"""),0)</f>
        <v>0</v>
      </c>
      <c r="R761" s="3" t="str">
        <f ca="1">IFERROR(__xludf.DUMMYFUNCTION("""COMPUTED_VALUE"""),"2055-06-03T17:17:56.351241Z")</f>
        <v>2055-06-03T17:17:56.351241Z</v>
      </c>
      <c r="S761" s="3" t="str">
        <f ca="1">IFERROR(__xludf.DUMMYFUNCTION("""COMPUTED_VALUE"""),"2055-06-03T17:44:59.646889Z")</f>
        <v>2055-06-03T17:44:59.646889Z</v>
      </c>
      <c r="T761" s="3"/>
      <c r="U761" s="4">
        <f ca="1">IFERROR(__xludf.DUMMYFUNCTION("""COMPUTED_VALUE"""),56768)</f>
        <v>56768</v>
      </c>
      <c r="V761" s="3">
        <f ca="1">IFERROR(__xludf.DUMMYFUNCTION("""COMPUTED_VALUE"""),4.7)</f>
        <v>4.7</v>
      </c>
      <c r="W761" s="3">
        <f ca="1">IFERROR(__xludf.DUMMYFUNCTION("""COMPUTED_VALUE"""),2000)</f>
        <v>2000</v>
      </c>
      <c r="X761" s="3">
        <f ca="1">IFERROR(__xludf.DUMMYFUNCTION("""COMPUTED_VALUE"""),2360)</f>
        <v>2360</v>
      </c>
      <c r="Y761" s="3">
        <f ca="1">IFERROR(__xludf.DUMMYFUNCTION("""COMPUTED_VALUE"""),1623)</f>
        <v>1623</v>
      </c>
      <c r="Z761" s="3">
        <f ca="1">IFERROR(__xludf.DUMMYFUNCTION("""COMPUTED_VALUE"""),212)</f>
        <v>212</v>
      </c>
      <c r="AA761" s="3">
        <f ca="1">IFERROR(__xludf.DUMMYFUNCTION("""COMPUTED_VALUE"""),525)</f>
        <v>525</v>
      </c>
      <c r="AB761" s="3">
        <f ca="1">IFERROR(__xludf.DUMMYFUNCTION("""COMPUTED_VALUE"""),1)</f>
        <v>1</v>
      </c>
      <c r="AC761" s="3">
        <f ca="1">IFERROR(__xludf.DUMMYFUNCTION("""COMPUTED_VALUE"""),4)</f>
        <v>4</v>
      </c>
      <c r="AD761" s="3"/>
      <c r="AE761" s="3" t="str">
        <f ca="1">IFERROR(__xludf.DUMMYFUNCTION("""COMPUTED_VALUE"""),"2055-06-03T13:48:31.143702Z")</f>
        <v>2055-06-03T13:48:31.143702Z</v>
      </c>
      <c r="AF761" s="3" t="str">
        <f ca="1">IFERROR(__xludf.DUMMYFUNCTION("""COMPUTED_VALUE"""),"2055-06-03T13:57:16.517427Z")</f>
        <v>2055-06-03T13:57:16.517427Z</v>
      </c>
      <c r="AG761" s="3" t="str">
        <f ca="1">IFERROR(__xludf.DUMMYFUNCTION("""COMPUTED_VALUE"""),"2055-06-03T13:17:27.288875Z")</f>
        <v>2055-06-03T13:17:27.288875Z</v>
      </c>
      <c r="AH761" s="3" t="str">
        <f ca="1">IFERROR(__xludf.DUMMYFUNCTION("""COMPUTED_VALUE"""),"2055-06-03T13:44:59.646889Z")</f>
        <v>2055-06-03T13:44:59.646889Z</v>
      </c>
      <c r="AI761" s="3">
        <f ca="1">IFERROR(__xludf.DUMMYFUNCTION("""COMPUTED_VALUE"""),4.79)</f>
        <v>4.79</v>
      </c>
      <c r="AJ761" s="3">
        <f ca="1">IFERROR(__xludf.DUMMYFUNCTION("""COMPUTED_VALUE"""),1007)</f>
        <v>1007</v>
      </c>
      <c r="AK761" s="3">
        <f ca="1">IFERROR(__xludf.DUMMYFUNCTION("""COMPUTED_VALUE"""),2899)</f>
        <v>2899</v>
      </c>
      <c r="AL761" s="3">
        <f ca="1">IFERROR(__xludf.DUMMYFUNCTION("""COMPUTED_VALUE"""),1301)</f>
        <v>1301</v>
      </c>
    </row>
    <row r="762" spans="1:38" ht="13">
      <c r="A762" s="3">
        <f ca="1">IFERROR(__xludf.DUMMYFUNCTION("""COMPUTED_VALUE"""),434)</f>
        <v>434</v>
      </c>
      <c r="B762" s="3"/>
      <c r="C762" s="3">
        <f ca="1">IFERROR(__xludf.DUMMYFUNCTION("""COMPUTED_VALUE"""),4050)</f>
        <v>4050</v>
      </c>
      <c r="D762" s="3" t="str">
        <f ca="1">IFERROR(__xludf.DUMMYFUNCTION("""COMPUTED_VALUE"""),"Doorlanta")</f>
        <v>Doorlanta</v>
      </c>
      <c r="E762" s="3" t="str">
        <f ca="1">IFERROR(__xludf.DUMMYFUNCTION("""COMPUTED_VALUE"""),"Galaxy A")</f>
        <v>Galaxy A</v>
      </c>
      <c r="F762" s="3" t="str">
        <f ca="1">IFERROR(__xludf.DUMMYFUNCTION("""COMPUTED_VALUE"""),"Katelynn")</f>
        <v>Katelynn</v>
      </c>
      <c r="G762" s="3">
        <f ca="1">IFERROR(__xludf.DUMMYFUNCTION("""COMPUTED_VALUE"""),0)</f>
        <v>0</v>
      </c>
      <c r="H762" s="3" t="str">
        <f ca="1">IFERROR(__xludf.DUMMYFUNCTION("""COMPUTED_VALUE"""),"car")</f>
        <v>car</v>
      </c>
      <c r="I762" s="3" t="str">
        <f ca="1">IFERROR(__xludf.DUMMYFUNCTION("""COMPUTED_VALUE"""),"2055-06-04T19:28:12.748688Z")</f>
        <v>2055-06-04T19:28:12.748688Z</v>
      </c>
      <c r="J762" s="3" t="str">
        <f ca="1">IFERROR(__xludf.DUMMYFUNCTION("""COMPUTED_VALUE"""),"2055-06-04T20:31:32.814Z")</f>
        <v>2055-06-04T20:31:32.814Z</v>
      </c>
      <c r="K762" s="3" t="str">
        <f ca="1">IFERROR(__xludf.DUMMYFUNCTION("""COMPUTED_VALUE"""),"2055-06-04T20:08:14.814Z")</f>
        <v>2055-06-04T20:08:14.814Z</v>
      </c>
      <c r="L762" s="3">
        <f ca="1">IFERROR(__xludf.DUMMYFUNCTION("""COMPUTED_VALUE"""),1)</f>
        <v>1</v>
      </c>
      <c r="M762" s="3">
        <f ca="1">IFERROR(__xludf.DUMMYFUNCTION("""COMPUTED_VALUE"""),0)</f>
        <v>0</v>
      </c>
      <c r="N762" s="3" t="str">
        <f ca="1">IFERROR(__xludf.DUMMYFUNCTION("""COMPUTED_VALUE"""),"2055-06-04T20:09:00.529929Z")</f>
        <v>2055-06-04T20:09:00.529929Z</v>
      </c>
      <c r="O762" s="3" t="str">
        <f ca="1">IFERROR(__xludf.DUMMYFUNCTION("""COMPUTED_VALUE"""),"2055-06-04T20:26:25.556502Z")</f>
        <v>2055-06-04T20:26:25.556502Z</v>
      </c>
      <c r="P762" s="3" t="str">
        <f ca="1">IFERROR(__xludf.DUMMYFUNCTION("""COMPUTED_VALUE"""),"2055-06-04T19:45:47.25693Z")</f>
        <v>2055-06-04T19:45:47.25693Z</v>
      </c>
      <c r="Q762" s="3">
        <f ca="1">IFERROR(__xludf.DUMMYFUNCTION("""COMPUTED_VALUE"""),0)</f>
        <v>0</v>
      </c>
      <c r="R762" s="3" t="str">
        <f ca="1">IFERROR(__xludf.DUMMYFUNCTION("""COMPUTED_VALUE"""),"2055-06-04T19:45:51.678132Z")</f>
        <v>2055-06-04T19:45:51.678132Z</v>
      </c>
      <c r="S762" s="3" t="str">
        <f ca="1">IFERROR(__xludf.DUMMYFUNCTION("""COMPUTED_VALUE"""),"2055-06-04T20:01:41.479862Z")</f>
        <v>2055-06-04T20:01:41.479862Z</v>
      </c>
      <c r="T762" s="3"/>
      <c r="U762" s="4">
        <f ca="1">IFERROR(__xludf.DUMMYFUNCTION("""COMPUTED_VALUE"""),56769)</f>
        <v>56769</v>
      </c>
      <c r="V762" s="3">
        <f ca="1">IFERROR(__xludf.DUMMYFUNCTION("""COMPUTED_VALUE"""),4.8)</f>
        <v>4.8</v>
      </c>
      <c r="W762" s="3">
        <f ca="1">IFERROR(__xludf.DUMMYFUNCTION("""COMPUTED_VALUE"""),1500)</f>
        <v>1500</v>
      </c>
      <c r="X762" s="3">
        <f ca="1">IFERROR(__xludf.DUMMYFUNCTION("""COMPUTED_VALUE"""),2434)</f>
        <v>2434</v>
      </c>
      <c r="Y762" s="3">
        <f ca="1">IFERROR(__xludf.DUMMYFUNCTION("""COMPUTED_VALUE"""),950)</f>
        <v>950</v>
      </c>
      <c r="Z762" s="3">
        <f ca="1">IFERROR(__xludf.DUMMYFUNCTION("""COMPUTED_VALUE"""),439)</f>
        <v>439</v>
      </c>
      <c r="AA762" s="3">
        <f ca="1">IFERROR(__xludf.DUMMYFUNCTION("""COMPUTED_VALUE"""),1045)</f>
        <v>1045</v>
      </c>
      <c r="AB762" s="3">
        <f ca="1">IFERROR(__xludf.DUMMYFUNCTION("""COMPUTED_VALUE"""),0)</f>
        <v>0</v>
      </c>
      <c r="AC762" s="3">
        <f ca="1">IFERROR(__xludf.DUMMYFUNCTION("""COMPUTED_VALUE"""),1)</f>
        <v>1</v>
      </c>
      <c r="AD762" s="3"/>
      <c r="AE762" s="3" t="str">
        <f ca="1">IFERROR(__xludf.DUMMYFUNCTION("""COMPUTED_VALUE"""),"2055-06-04T16:09:00.529929Z")</f>
        <v>2055-06-04T16:09:00.529929Z</v>
      </c>
      <c r="AF762" s="3" t="str">
        <f ca="1">IFERROR(__xludf.DUMMYFUNCTION("""COMPUTED_VALUE"""),"2055-06-04T16:26:25.556502Z")</f>
        <v>2055-06-04T16:26:25.556502Z</v>
      </c>
      <c r="AG762" s="3" t="str">
        <f ca="1">IFERROR(__xludf.DUMMYFUNCTION("""COMPUTED_VALUE"""),"2055-06-04T15:45:47.25693Z")</f>
        <v>2055-06-04T15:45:47.25693Z</v>
      </c>
      <c r="AH762" s="3" t="str">
        <f ca="1">IFERROR(__xludf.DUMMYFUNCTION("""COMPUTED_VALUE"""),"2055-06-04T16:01:41.479862Z")</f>
        <v>2055-06-04T16:01:41.479862Z</v>
      </c>
      <c r="AI762" s="3">
        <f ca="1">IFERROR(__xludf.DUMMYFUNCTION("""COMPUTED_VALUE"""),4.7)</f>
        <v>4.7</v>
      </c>
      <c r="AJ762" s="3">
        <f ca="1">IFERROR(__xludf.DUMMYFUNCTION("""COMPUTED_VALUE"""),1261)</f>
        <v>1261</v>
      </c>
      <c r="AK762" s="3">
        <f ca="1">IFERROR(__xludf.DUMMYFUNCTION("""COMPUTED_VALUE"""),3264)</f>
        <v>3264</v>
      </c>
      <c r="AL762" s="3">
        <f ca="1">IFERROR(__xludf.DUMMYFUNCTION("""COMPUTED_VALUE"""),232)</f>
        <v>232</v>
      </c>
    </row>
    <row r="763" spans="1:38" ht="13">
      <c r="A763" s="3">
        <f ca="1">IFERROR(__xludf.DUMMYFUNCTION("""COMPUTED_VALUE"""),306)</f>
        <v>306</v>
      </c>
      <c r="B763" s="3">
        <f ca="1">IFERROR(__xludf.DUMMYFUNCTION("""COMPUTED_VALUE"""),5)</f>
        <v>5</v>
      </c>
      <c r="C763" s="3">
        <f ca="1">IFERROR(__xludf.DUMMYFUNCTION("""COMPUTED_VALUE"""),4001)</f>
        <v>4001</v>
      </c>
      <c r="D763" s="3" t="str">
        <f ca="1">IFERROR(__xludf.DUMMYFUNCTION("""COMPUTED_VALUE"""),"Dashattan")</f>
        <v>Dashattan</v>
      </c>
      <c r="E763" s="3" t="str">
        <f ca="1">IFERROR(__xludf.DUMMYFUNCTION("""COMPUTED_VALUE"""),"Galaxy A")</f>
        <v>Galaxy A</v>
      </c>
      <c r="F763" s="3" t="str">
        <f ca="1">IFERROR(__xludf.DUMMYFUNCTION("""COMPUTED_VALUE"""),"Samm")</f>
        <v>Samm</v>
      </c>
      <c r="G763" s="3">
        <f ca="1">IFERROR(__xludf.DUMMYFUNCTION("""COMPUTED_VALUE"""),0)</f>
        <v>0</v>
      </c>
      <c r="H763" s="3" t="str">
        <f ca="1">IFERROR(__xludf.DUMMYFUNCTION("""COMPUTED_VALUE"""),"car")</f>
        <v>car</v>
      </c>
      <c r="I763" s="3" t="str">
        <f ca="1">IFERROR(__xludf.DUMMYFUNCTION("""COMPUTED_VALUE"""),"2055-06-03T18:06:01.78891Z")</f>
        <v>2055-06-03T18:06:01.78891Z</v>
      </c>
      <c r="J763" s="3" t="str">
        <f ca="1">IFERROR(__xludf.DUMMYFUNCTION("""COMPUTED_VALUE"""),"2055-06-03T19:08:53.859Z")</f>
        <v>2055-06-03T19:08:53.859Z</v>
      </c>
      <c r="K763" s="3" t="str">
        <f ca="1">IFERROR(__xludf.DUMMYFUNCTION("""COMPUTED_VALUE"""),"2055-06-03T18:46:59.859Z")</f>
        <v>2055-06-03T18:46:59.859Z</v>
      </c>
      <c r="L763" s="3">
        <f ca="1">IFERROR(__xludf.DUMMYFUNCTION("""COMPUTED_VALUE"""),1)</f>
        <v>1</v>
      </c>
      <c r="M763" s="3">
        <f ca="1">IFERROR(__xludf.DUMMYFUNCTION("""COMPUTED_VALUE"""),0)</f>
        <v>0</v>
      </c>
      <c r="N763" s="3" t="str">
        <f ca="1">IFERROR(__xludf.DUMMYFUNCTION("""COMPUTED_VALUE"""),"2055-06-03T18:24:50.824461Z")</f>
        <v>2055-06-03T18:24:50.824461Z</v>
      </c>
      <c r="O763" s="3" t="str">
        <f ca="1">IFERROR(__xludf.DUMMYFUNCTION("""COMPUTED_VALUE"""),"2055-06-03T18:32:15.497536Z")</f>
        <v>2055-06-03T18:32:15.497536Z</v>
      </c>
      <c r="P763" s="3" t="str">
        <f ca="1">IFERROR(__xludf.DUMMYFUNCTION("""COMPUTED_VALUE"""),"2055-06-03T18:12:14.361053Z")</f>
        <v>2055-06-03T18:12:14.361053Z</v>
      </c>
      <c r="Q763" s="3">
        <f ca="1">IFERROR(__xludf.DUMMYFUNCTION("""COMPUTED_VALUE"""),0)</f>
        <v>0</v>
      </c>
      <c r="R763" s="3" t="str">
        <f ca="1">IFERROR(__xludf.DUMMYFUNCTION("""COMPUTED_VALUE"""),"2055-06-03T18:12:21.430208Z")</f>
        <v>2055-06-03T18:12:21.430208Z</v>
      </c>
      <c r="S763" s="3" t="str">
        <f ca="1">IFERROR(__xludf.DUMMYFUNCTION("""COMPUTED_VALUE"""),"2055-06-03T18:19:26.532231Z")</f>
        <v>2055-06-03T18:19:26.532231Z</v>
      </c>
      <c r="T763" s="3"/>
      <c r="U763" s="4">
        <f ca="1">IFERROR(__xludf.DUMMYFUNCTION("""COMPUTED_VALUE"""),56768)</f>
        <v>56768</v>
      </c>
      <c r="V763" s="3">
        <f ca="1">IFERROR(__xludf.DUMMYFUNCTION("""COMPUTED_VALUE"""),4.5)</f>
        <v>4.5</v>
      </c>
      <c r="W763" s="3">
        <f ca="1">IFERROR(__xludf.DUMMYFUNCTION("""COMPUTED_VALUE"""),1500)</f>
        <v>1500</v>
      </c>
      <c r="X763" s="3">
        <f ca="1">IFERROR(__xludf.DUMMYFUNCTION("""COMPUTED_VALUE"""),1194)</f>
        <v>1194</v>
      </c>
      <c r="Y763" s="3">
        <f ca="1">IFERROR(__xludf.DUMMYFUNCTION("""COMPUTED_VALUE"""),425)</f>
        <v>425</v>
      </c>
      <c r="Z763" s="3">
        <f ca="1">IFERROR(__xludf.DUMMYFUNCTION("""COMPUTED_VALUE"""),324)</f>
        <v>324</v>
      </c>
      <c r="AA763" s="3">
        <f ca="1">IFERROR(__xludf.DUMMYFUNCTION("""COMPUTED_VALUE"""),445)</f>
        <v>445</v>
      </c>
      <c r="AB763" s="3">
        <f ca="1">IFERROR(__xludf.DUMMYFUNCTION("""COMPUTED_VALUE"""),1)</f>
        <v>1</v>
      </c>
      <c r="AC763" s="3">
        <f ca="1">IFERROR(__xludf.DUMMYFUNCTION("""COMPUTED_VALUE"""),2)</f>
        <v>2</v>
      </c>
      <c r="AD763" s="3"/>
      <c r="AE763" s="3" t="str">
        <f ca="1">IFERROR(__xludf.DUMMYFUNCTION("""COMPUTED_VALUE"""),"2055-06-03T14:24:50.824461Z")</f>
        <v>2055-06-03T14:24:50.824461Z</v>
      </c>
      <c r="AF763" s="3" t="str">
        <f ca="1">IFERROR(__xludf.DUMMYFUNCTION("""COMPUTED_VALUE"""),"2055-06-03T14:32:15.497536Z")</f>
        <v>2055-06-03T14:32:15.497536Z</v>
      </c>
      <c r="AG763" s="3" t="str">
        <f ca="1">IFERROR(__xludf.DUMMYFUNCTION("""COMPUTED_VALUE"""),"2055-06-03T14:12:14.361053Z")</f>
        <v>2055-06-03T14:12:14.361053Z</v>
      </c>
      <c r="AH763" s="3" t="str">
        <f ca="1">IFERROR(__xludf.DUMMYFUNCTION("""COMPUTED_VALUE"""),"2055-06-03T14:19:26.532231Z")</f>
        <v>2055-06-03T14:19:26.532231Z</v>
      </c>
      <c r="AI763" s="3">
        <f ca="1">IFERROR(__xludf.DUMMYFUNCTION("""COMPUTED_VALUE"""),4.03)</f>
        <v>4.03</v>
      </c>
      <c r="AJ763" s="3">
        <f ca="1">IFERROR(__xludf.DUMMYFUNCTION("""COMPUTED_VALUE"""),505)</f>
        <v>505</v>
      </c>
      <c r="AK763" s="3">
        <f ca="1">IFERROR(__xludf.DUMMYFUNCTION("""COMPUTED_VALUE"""),1721)</f>
        <v>1721</v>
      </c>
      <c r="AL763" s="3">
        <f ca="1">IFERROR(__xludf.DUMMYFUNCTION("""COMPUTED_VALUE"""),457)</f>
        <v>457</v>
      </c>
    </row>
    <row r="764" spans="1:38" ht="13">
      <c r="A764" s="3">
        <f ca="1">IFERROR(__xludf.DUMMYFUNCTION("""COMPUTED_VALUE"""),738)</f>
        <v>738</v>
      </c>
      <c r="B764" s="3"/>
      <c r="C764" s="3">
        <f ca="1">IFERROR(__xludf.DUMMYFUNCTION("""COMPUTED_VALUE"""),4050)</f>
        <v>4050</v>
      </c>
      <c r="D764" s="3" t="str">
        <f ca="1">IFERROR(__xludf.DUMMYFUNCTION("""COMPUTED_VALUE"""),"Doorlanta")</f>
        <v>Doorlanta</v>
      </c>
      <c r="E764" s="3" t="str">
        <f ca="1">IFERROR(__xludf.DUMMYFUNCTION("""COMPUTED_VALUE"""),"Galaxy A")</f>
        <v>Galaxy A</v>
      </c>
      <c r="F764" s="3" t="str">
        <f ca="1">IFERROR(__xludf.DUMMYFUNCTION("""COMPUTED_VALUE"""),"Merissa")</f>
        <v>Merissa</v>
      </c>
      <c r="G764" s="3">
        <f ca="1">IFERROR(__xludf.DUMMYFUNCTION("""COMPUTED_VALUE"""),0)</f>
        <v>0</v>
      </c>
      <c r="H764" s="3" t="str">
        <f ca="1">IFERROR(__xludf.DUMMYFUNCTION("""COMPUTED_VALUE"""),"car")</f>
        <v>car</v>
      </c>
      <c r="I764" s="3" t="str">
        <f ca="1">IFERROR(__xludf.DUMMYFUNCTION("""COMPUTED_VALUE"""),"2055-06-06T16:31:43.65687Z")</f>
        <v>2055-06-06T16:31:43.65687Z</v>
      </c>
      <c r="J764" s="3" t="str">
        <f ca="1">IFERROR(__xludf.DUMMYFUNCTION("""COMPUTED_VALUE"""),"2055-06-06T17:16:43.742Z")</f>
        <v>2055-06-06T17:16:43.742Z</v>
      </c>
      <c r="K764" s="3" t="str">
        <f ca="1">IFERROR(__xludf.DUMMYFUNCTION("""COMPUTED_VALUE"""),"2055-06-06T17:07:29.742Z")</f>
        <v>2055-06-06T17:07:29.742Z</v>
      </c>
      <c r="L764" s="3">
        <f ca="1">IFERROR(__xludf.DUMMYFUNCTION("""COMPUTED_VALUE"""),1)</f>
        <v>1</v>
      </c>
      <c r="M764" s="3">
        <f ca="1">IFERROR(__xludf.DUMMYFUNCTION("""COMPUTED_VALUE"""),0)</f>
        <v>0</v>
      </c>
      <c r="N764" s="3" t="str">
        <f ca="1">IFERROR(__xludf.DUMMYFUNCTION("""COMPUTED_VALUE"""),"2055-06-06T16:52:56.985218Z")</f>
        <v>2055-06-06T16:52:56.985218Z</v>
      </c>
      <c r="O764" s="3" t="str">
        <f ca="1">IFERROR(__xludf.DUMMYFUNCTION("""COMPUTED_VALUE"""),"2055-06-06T17:11:00.13894Z")</f>
        <v>2055-06-06T17:11:00.13894Z</v>
      </c>
      <c r="P764" s="3" t="str">
        <f ca="1">IFERROR(__xludf.DUMMYFUNCTION("""COMPUTED_VALUE"""),"2055-06-06T16:31:47.279525Z")</f>
        <v>2055-06-06T16:31:47.279525Z</v>
      </c>
      <c r="Q764" s="3">
        <f ca="1">IFERROR(__xludf.DUMMYFUNCTION("""COMPUTED_VALUE"""),0)</f>
        <v>0</v>
      </c>
      <c r="R764" s="3" t="str">
        <f ca="1">IFERROR(__xludf.DUMMYFUNCTION("""COMPUTED_VALUE"""),"2055-06-06T16:31:56.859841Z")</f>
        <v>2055-06-06T16:31:56.859841Z</v>
      </c>
      <c r="S764" s="3" t="str">
        <f ca="1">IFERROR(__xludf.DUMMYFUNCTION("""COMPUTED_VALUE"""),"2055-06-06T16:46:56.772114Z")</f>
        <v>2055-06-06T16:46:56.772114Z</v>
      </c>
      <c r="T764" s="3"/>
      <c r="U764" s="4">
        <f ca="1">IFERROR(__xludf.DUMMYFUNCTION("""COMPUTED_VALUE"""),56771)</f>
        <v>56771</v>
      </c>
      <c r="V764" s="3">
        <f ca="1">IFERROR(__xludf.DUMMYFUNCTION("""COMPUTED_VALUE"""),3.439246317)</f>
        <v>3.4392463169999998</v>
      </c>
      <c r="W764" s="3">
        <f ca="1">IFERROR(__xludf.DUMMYFUNCTION("""COMPUTED_VALUE"""),1500)</f>
        <v>1500</v>
      </c>
      <c r="X764" s="3">
        <f ca="1">IFERROR(__xludf.DUMMYFUNCTION("""COMPUTED_VALUE"""),2344)</f>
        <v>2344</v>
      </c>
      <c r="Y764" s="3">
        <f ca="1">IFERROR(__xludf.DUMMYFUNCTION("""COMPUTED_VALUE"""),900)</f>
        <v>900</v>
      </c>
      <c r="Z764" s="3">
        <f ca="1">IFERROR(__xludf.DUMMYFUNCTION("""COMPUTED_VALUE"""),360)</f>
        <v>360</v>
      </c>
      <c r="AA764" s="3">
        <f ca="1">IFERROR(__xludf.DUMMYFUNCTION("""COMPUTED_VALUE"""),1084)</f>
        <v>1084</v>
      </c>
      <c r="AB764" s="3">
        <f ca="1">IFERROR(__xludf.DUMMYFUNCTION("""COMPUTED_VALUE"""),0)</f>
        <v>0</v>
      </c>
      <c r="AC764" s="3">
        <f ca="1">IFERROR(__xludf.DUMMYFUNCTION("""COMPUTED_VALUE"""),1)</f>
        <v>1</v>
      </c>
      <c r="AD764" s="3" t="str">
        <f ca="1">IFERROR(__xludf.DUMMYFUNCTION("""COMPUTED_VALUE"""),"late")</f>
        <v>late</v>
      </c>
      <c r="AE764" s="3" t="str">
        <f ca="1">IFERROR(__xludf.DUMMYFUNCTION("""COMPUTED_VALUE"""),"2055-06-06T12:52:56.985218Z")</f>
        <v>2055-06-06T12:52:56.985218Z</v>
      </c>
      <c r="AF764" s="3" t="str">
        <f ca="1">IFERROR(__xludf.DUMMYFUNCTION("""COMPUTED_VALUE"""),"2055-06-06T13:11:00.13894Z")</f>
        <v>2055-06-06T13:11:00.13894Z</v>
      </c>
      <c r="AG764" s="3" t="str">
        <f ca="1">IFERROR(__xludf.DUMMYFUNCTION("""COMPUTED_VALUE"""),"2055-06-06T12:31:47.279525Z")</f>
        <v>2055-06-06T12:31:47.279525Z</v>
      </c>
      <c r="AH764" s="3" t="str">
        <f ca="1">IFERROR(__xludf.DUMMYFUNCTION("""COMPUTED_VALUE"""),"2055-06-06T12:46:56.772114Z")</f>
        <v>2055-06-06T12:46:56.772114Z</v>
      </c>
      <c r="AI764" s="3">
        <f ca="1">IFERROR(__xludf.DUMMYFUNCTION("""COMPUTED_VALUE"""),4.58)</f>
        <v>4.58</v>
      </c>
      <c r="AJ764" s="3">
        <f ca="1">IFERROR(__xludf.DUMMYFUNCTION("""COMPUTED_VALUE"""),679)</f>
        <v>679</v>
      </c>
      <c r="AK764" s="3">
        <f ca="1">IFERROR(__xludf.DUMMYFUNCTION("""COMPUTED_VALUE"""),2371)</f>
        <v>2371</v>
      </c>
      <c r="AL764" s="3">
        <f ca="1">IFERROR(__xludf.DUMMYFUNCTION("""COMPUTED_VALUE"""),1830)</f>
        <v>1830</v>
      </c>
    </row>
    <row r="765" spans="1:38" ht="13">
      <c r="A765" s="3">
        <f ca="1">IFERROR(__xludf.DUMMYFUNCTION("""COMPUTED_VALUE"""),1230)</f>
        <v>1230</v>
      </c>
      <c r="B765" s="3">
        <f ca="1">IFERROR(__xludf.DUMMYFUNCTION("""COMPUTED_VALUE"""),1)</f>
        <v>1</v>
      </c>
      <c r="C765" s="3">
        <f ca="1">IFERROR(__xludf.DUMMYFUNCTION("""COMPUTED_VALUE"""),4001)</f>
        <v>4001</v>
      </c>
      <c r="D765" s="3" t="str">
        <f ca="1">IFERROR(__xludf.DUMMYFUNCTION("""COMPUTED_VALUE"""),"Dashattan")</f>
        <v>Dashattan</v>
      </c>
      <c r="E765" s="3" t="str">
        <f ca="1">IFERROR(__xludf.DUMMYFUNCTION("""COMPUTED_VALUE"""),"Galaxy A")</f>
        <v>Galaxy A</v>
      </c>
      <c r="F765" s="3" t="str">
        <f ca="1">IFERROR(__xludf.DUMMYFUNCTION("""COMPUTED_VALUE"""),"Awstin")</f>
        <v>Awstin</v>
      </c>
      <c r="G765" s="3">
        <f ca="1">IFERROR(__xludf.DUMMYFUNCTION("""COMPUTED_VALUE"""),0)</f>
        <v>0</v>
      </c>
      <c r="H765" s="3" t="str">
        <f ca="1">IFERROR(__xludf.DUMMYFUNCTION("""COMPUTED_VALUE"""),"bicycle")</f>
        <v>bicycle</v>
      </c>
      <c r="I765" s="3" t="str">
        <f ca="1">IFERROR(__xludf.DUMMYFUNCTION("""COMPUTED_VALUE"""),"2055-06-11T03:05:28.561767Z")</f>
        <v>2055-06-11T03:05:28.561767Z</v>
      </c>
      <c r="J765" s="3" t="str">
        <f ca="1">IFERROR(__xludf.DUMMYFUNCTION("""COMPUTED_VALUE"""),"2055-06-11T04:25:15.631Z")</f>
        <v>2055-06-11T04:25:15.631Z</v>
      </c>
      <c r="K765" s="3" t="str">
        <f ca="1">IFERROR(__xludf.DUMMYFUNCTION("""COMPUTED_VALUE"""),"2055-06-11T03:57:02.631Z")</f>
        <v>2055-06-11T03:57:02.631Z</v>
      </c>
      <c r="L765" s="3">
        <f ca="1">IFERROR(__xludf.DUMMYFUNCTION("""COMPUTED_VALUE"""),1)</f>
        <v>1</v>
      </c>
      <c r="M765" s="3">
        <f ca="1">IFERROR(__xludf.DUMMYFUNCTION("""COMPUTED_VALUE"""),0)</f>
        <v>0</v>
      </c>
      <c r="N765" s="3" t="str">
        <f ca="1">IFERROR(__xludf.DUMMYFUNCTION("""COMPUTED_VALUE"""),"2055-06-11T04:03:01.413988Z")</f>
        <v>2055-06-11T04:03:01.413988Z</v>
      </c>
      <c r="O765" s="3" t="str">
        <f ca="1">IFERROR(__xludf.DUMMYFUNCTION("""COMPUTED_VALUE"""),"2055-06-11T04:18:07.996319Z")</f>
        <v>2055-06-11T04:18:07.996319Z</v>
      </c>
      <c r="P765" s="3" t="str">
        <f ca="1">IFERROR(__xludf.DUMMYFUNCTION("""COMPUTED_VALUE"""),"2055-06-11T03:30:14.16424Z")</f>
        <v>2055-06-11T03:30:14.16424Z</v>
      </c>
      <c r="Q765" s="3">
        <f ca="1">IFERROR(__xludf.DUMMYFUNCTION("""COMPUTED_VALUE"""),0)</f>
        <v>0</v>
      </c>
      <c r="R765" s="3" t="str">
        <f ca="1">IFERROR(__xludf.DUMMYFUNCTION("""COMPUTED_VALUE"""),"2055-06-11T03:30:48.294582Z")</f>
        <v>2055-06-11T03:30:48.294582Z</v>
      </c>
      <c r="S765" s="3" t="str">
        <f ca="1">IFERROR(__xludf.DUMMYFUNCTION("""COMPUTED_VALUE"""),"2055-06-11T04:00:27.635364Z")</f>
        <v>2055-06-11T04:00:27.635364Z</v>
      </c>
      <c r="T765" s="3"/>
      <c r="U765" s="4">
        <f ca="1">IFERROR(__xludf.DUMMYFUNCTION("""COMPUTED_VALUE"""),56776)</f>
        <v>56776</v>
      </c>
      <c r="V765" s="3">
        <f ca="1">IFERROR(__xludf.DUMMYFUNCTION("""COMPUTED_VALUE"""),4.5)</f>
        <v>4.5</v>
      </c>
      <c r="W765" s="3">
        <f ca="1">IFERROR(__xludf.DUMMYFUNCTION("""COMPUTED_VALUE"""),1500)</f>
        <v>1500</v>
      </c>
      <c r="X765" s="3">
        <f ca="1">IFERROR(__xludf.DUMMYFUNCTION("""COMPUTED_VALUE"""),2839)</f>
        <v>2839</v>
      </c>
      <c r="Y765" s="3">
        <f ca="1">IFERROR(__xludf.DUMMYFUNCTION("""COMPUTED_VALUE"""),1779)</f>
        <v>1779</v>
      </c>
      <c r="Z765" s="3">
        <f ca="1">IFERROR(__xludf.DUMMYFUNCTION("""COMPUTED_VALUE"""),154)</f>
        <v>154</v>
      </c>
      <c r="AA765" s="3">
        <f ca="1">IFERROR(__xludf.DUMMYFUNCTION("""COMPUTED_VALUE"""),906)</f>
        <v>906</v>
      </c>
      <c r="AB765" s="3">
        <f ca="1">IFERROR(__xludf.DUMMYFUNCTION("""COMPUTED_VALUE"""),0)</f>
        <v>0</v>
      </c>
      <c r="AC765" s="3">
        <f ca="1">IFERROR(__xludf.DUMMYFUNCTION("""COMPUTED_VALUE"""),1)</f>
        <v>1</v>
      </c>
      <c r="AD765" s="3" t="str">
        <f ca="1">IFERROR(__xludf.DUMMYFUNCTION("""COMPUTED_VALUE"""),"late")</f>
        <v>late</v>
      </c>
      <c r="AE765" s="3" t="str">
        <f ca="1">IFERROR(__xludf.DUMMYFUNCTION("""COMPUTED_VALUE"""),"2055-06-11T00:03:01.413988Z")</f>
        <v>2055-06-11T00:03:01.413988Z</v>
      </c>
      <c r="AF765" s="3" t="str">
        <f ca="1">IFERROR(__xludf.DUMMYFUNCTION("""COMPUTED_VALUE"""),"2055-06-11T00:18:07.996319Z")</f>
        <v>2055-06-11T00:18:07.996319Z</v>
      </c>
      <c r="AG765" s="3" t="str">
        <f ca="1">IFERROR(__xludf.DUMMYFUNCTION("""COMPUTED_VALUE"""),"2055-06-10T23:30:14.16424Z")</f>
        <v>2055-06-10T23:30:14.16424Z</v>
      </c>
      <c r="AH765" s="3" t="str">
        <f ca="1">IFERROR(__xludf.DUMMYFUNCTION("""COMPUTED_VALUE"""),"2055-06-11T00:00:27.635364Z")</f>
        <v>2055-06-11T00:00:27.635364Z</v>
      </c>
      <c r="AI765" s="3">
        <f ca="1">IFERROR(__xludf.DUMMYFUNCTION("""COMPUTED_VALUE"""),4.5)</f>
        <v>4.5</v>
      </c>
      <c r="AJ765" s="3">
        <f ca="1">IFERROR(__xludf.DUMMYFUNCTION("""COMPUTED_VALUE"""),394)</f>
        <v>394</v>
      </c>
      <c r="AK765" s="3">
        <f ca="1">IFERROR(__xludf.DUMMYFUNCTION("""COMPUTED_VALUE"""),1403)</f>
        <v>1403</v>
      </c>
      <c r="AL765" s="3"/>
    </row>
    <row r="766" spans="1:38" ht="13">
      <c r="A766" s="3">
        <f ca="1">IFERROR(__xludf.DUMMYFUNCTION("""COMPUTED_VALUE"""),1394)</f>
        <v>1394</v>
      </c>
      <c r="B766" s="3">
        <f ca="1">IFERROR(__xludf.DUMMYFUNCTION("""COMPUTED_VALUE"""),5)</f>
        <v>5</v>
      </c>
      <c r="C766" s="3">
        <f ca="1">IFERROR(__xludf.DUMMYFUNCTION("""COMPUTED_VALUE"""),4001)</f>
        <v>4001</v>
      </c>
      <c r="D766" s="3" t="str">
        <f ca="1">IFERROR(__xludf.DUMMYFUNCTION("""COMPUTED_VALUE"""),"Dashattan")</f>
        <v>Dashattan</v>
      </c>
      <c r="E766" s="3" t="str">
        <f ca="1">IFERROR(__xludf.DUMMYFUNCTION("""COMPUTED_VALUE"""),"Galaxy A")</f>
        <v>Galaxy A</v>
      </c>
      <c r="F766" s="3" t="str">
        <f ca="1">IFERROR(__xludf.DUMMYFUNCTION("""COMPUTED_VALUE"""),"KC")</f>
        <v>KC</v>
      </c>
      <c r="G766" s="3">
        <f ca="1">IFERROR(__xludf.DUMMYFUNCTION("""COMPUTED_VALUE"""),0)</f>
        <v>0</v>
      </c>
      <c r="H766" s="3" t="str">
        <f ca="1">IFERROR(__xludf.DUMMYFUNCTION("""COMPUTED_VALUE"""),"car")</f>
        <v>car</v>
      </c>
      <c r="I766" s="3" t="str">
        <f ca="1">IFERROR(__xludf.DUMMYFUNCTION("""COMPUTED_VALUE"""),"2055-06-12T15:56:30.469119Z")</f>
        <v>2055-06-12T15:56:30.469119Z</v>
      </c>
      <c r="J766" s="3" t="str">
        <f ca="1">IFERROR(__xludf.DUMMYFUNCTION("""COMPUTED_VALUE"""),"2055-06-12T16:48:08.585Z")</f>
        <v>2055-06-12T16:48:08.585Z</v>
      </c>
      <c r="K766" s="3" t="str">
        <f ca="1">IFERROR(__xludf.DUMMYFUNCTION("""COMPUTED_VALUE"""),"2055-06-12T16:29:15.585Z")</f>
        <v>2055-06-12T16:29:15.585Z</v>
      </c>
      <c r="L766" s="3">
        <f ca="1">IFERROR(__xludf.DUMMYFUNCTION("""COMPUTED_VALUE"""),1)</f>
        <v>1</v>
      </c>
      <c r="M766" s="3">
        <f ca="1">IFERROR(__xludf.DUMMYFUNCTION("""COMPUTED_VALUE"""),0)</f>
        <v>0</v>
      </c>
      <c r="N766" s="3" t="str">
        <f ca="1">IFERROR(__xludf.DUMMYFUNCTION("""COMPUTED_VALUE"""),"2055-06-12T16:25:59.304222Z")</f>
        <v>2055-06-12T16:25:59.304222Z</v>
      </c>
      <c r="O766" s="3" t="str">
        <f ca="1">IFERROR(__xludf.DUMMYFUNCTION("""COMPUTED_VALUE"""),"2055-06-12T16:36:10.692298Z")</f>
        <v>2055-06-12T16:36:10.692298Z</v>
      </c>
      <c r="P766" s="3" t="str">
        <f ca="1">IFERROR(__xludf.DUMMYFUNCTION("""COMPUTED_VALUE"""),"2055-06-12T16:03:14.41371Z")</f>
        <v>2055-06-12T16:03:14.41371Z</v>
      </c>
      <c r="Q766" s="3">
        <f ca="1">IFERROR(__xludf.DUMMYFUNCTION("""COMPUTED_VALUE"""),0)</f>
        <v>0</v>
      </c>
      <c r="R766" s="3" t="str">
        <f ca="1">IFERROR(__xludf.DUMMYFUNCTION("""COMPUTED_VALUE"""),"2055-06-12T16:03:24.523099Z")</f>
        <v>2055-06-12T16:03:24.523099Z</v>
      </c>
      <c r="S766" s="3" t="str">
        <f ca="1">IFERROR(__xludf.DUMMYFUNCTION("""COMPUTED_VALUE"""),"2055-06-12T16:07:05.430224Z")</f>
        <v>2055-06-12T16:07:05.430224Z</v>
      </c>
      <c r="T766" s="3"/>
      <c r="U766" s="4">
        <f ca="1">IFERROR(__xludf.DUMMYFUNCTION("""COMPUTED_VALUE"""),56777)</f>
        <v>56777</v>
      </c>
      <c r="V766" s="3">
        <f ca="1">IFERROR(__xludf.DUMMYFUNCTION("""COMPUTED_VALUE"""),4.5)</f>
        <v>4.5</v>
      </c>
      <c r="W766" s="3">
        <f ca="1">IFERROR(__xludf.DUMMYFUNCTION("""COMPUTED_VALUE"""),1500)</f>
        <v>1500</v>
      </c>
      <c r="X766" s="3">
        <f ca="1">IFERROR(__xludf.DUMMYFUNCTION("""COMPUTED_VALUE"""),1966)</f>
        <v>1966</v>
      </c>
      <c r="Y766" s="3">
        <f ca="1">IFERROR(__xludf.DUMMYFUNCTION("""COMPUTED_VALUE"""),221)</f>
        <v>221</v>
      </c>
      <c r="Z766" s="3">
        <f ca="1">IFERROR(__xludf.DUMMYFUNCTION("""COMPUTED_VALUE"""),1134)</f>
        <v>1134</v>
      </c>
      <c r="AA766" s="3">
        <f ca="1">IFERROR(__xludf.DUMMYFUNCTION("""COMPUTED_VALUE"""),611)</f>
        <v>611</v>
      </c>
      <c r="AB766" s="3">
        <f ca="1">IFERROR(__xludf.DUMMYFUNCTION("""COMPUTED_VALUE"""),0)</f>
        <v>0</v>
      </c>
      <c r="AC766" s="3">
        <f ca="1">IFERROR(__xludf.DUMMYFUNCTION("""COMPUTED_VALUE"""),3)</f>
        <v>3</v>
      </c>
      <c r="AD766" s="3" t="str">
        <f ca="1">IFERROR(__xludf.DUMMYFUNCTION("""COMPUTED_VALUE"""),"early")</f>
        <v>early</v>
      </c>
      <c r="AE766" s="3" t="str">
        <f ca="1">IFERROR(__xludf.DUMMYFUNCTION("""COMPUTED_VALUE"""),"2055-06-12T12:25:59.304222Z")</f>
        <v>2055-06-12T12:25:59.304222Z</v>
      </c>
      <c r="AF766" s="3" t="str">
        <f ca="1">IFERROR(__xludf.DUMMYFUNCTION("""COMPUTED_VALUE"""),"2055-06-12T12:36:10.692298Z")</f>
        <v>2055-06-12T12:36:10.692298Z</v>
      </c>
      <c r="AG766" s="3" t="str">
        <f ca="1">IFERROR(__xludf.DUMMYFUNCTION("""COMPUTED_VALUE"""),"2055-06-12T12:03:14.41371Z")</f>
        <v>2055-06-12T12:03:14.41371Z</v>
      </c>
      <c r="AH766" s="3" t="str">
        <f ca="1">IFERROR(__xludf.DUMMYFUNCTION("""COMPUTED_VALUE"""),"2055-06-12T12:07:05.430224Z")</f>
        <v>2055-06-12T12:07:05.430224Z</v>
      </c>
      <c r="AI766" s="3">
        <f ca="1">IFERROR(__xludf.DUMMYFUNCTION("""COMPUTED_VALUE"""),4.54)</f>
        <v>4.54</v>
      </c>
      <c r="AJ766" s="3">
        <f ca="1">IFERROR(__xludf.DUMMYFUNCTION("""COMPUTED_VALUE"""),2229)</f>
        <v>2229</v>
      </c>
      <c r="AK766" s="3">
        <f ca="1">IFERROR(__xludf.DUMMYFUNCTION("""COMPUTED_VALUE"""),6580)</f>
        <v>6580</v>
      </c>
      <c r="AL766" s="3"/>
    </row>
    <row r="767" spans="1:38" ht="13">
      <c r="A767" s="3">
        <f ca="1">IFERROR(__xludf.DUMMYFUNCTION("""COMPUTED_VALUE"""),530)</f>
        <v>530</v>
      </c>
      <c r="B767" s="3"/>
      <c r="C767" s="3">
        <f ca="1">IFERROR(__xludf.DUMMYFUNCTION("""COMPUTED_VALUE"""),4050)</f>
        <v>4050</v>
      </c>
      <c r="D767" s="3" t="str">
        <f ca="1">IFERROR(__xludf.DUMMYFUNCTION("""COMPUTED_VALUE"""),"Doorlanta")</f>
        <v>Doorlanta</v>
      </c>
      <c r="E767" s="3" t="str">
        <f ca="1">IFERROR(__xludf.DUMMYFUNCTION("""COMPUTED_VALUE"""),"Galaxy A")</f>
        <v>Galaxy A</v>
      </c>
      <c r="F767" s="3" t="str">
        <f ca="1">IFERROR(__xludf.DUMMYFUNCTION("""COMPUTED_VALUE"""),"Merissa")</f>
        <v>Merissa</v>
      </c>
      <c r="G767" s="3">
        <f ca="1">IFERROR(__xludf.DUMMYFUNCTION("""COMPUTED_VALUE"""),0)</f>
        <v>0</v>
      </c>
      <c r="H767" s="3" t="str">
        <f ca="1">IFERROR(__xludf.DUMMYFUNCTION("""COMPUTED_VALUE"""),"car")</f>
        <v>car</v>
      </c>
      <c r="I767" s="3" t="str">
        <f ca="1">IFERROR(__xludf.DUMMYFUNCTION("""COMPUTED_VALUE"""),"2055-06-05T01:36:15.780341Z")</f>
        <v>2055-06-05T01:36:15.780341Z</v>
      </c>
      <c r="J767" s="3" t="str">
        <f ca="1">IFERROR(__xludf.DUMMYFUNCTION("""COMPUTED_VALUE"""),"2055-06-05T02:26:21.869Z")</f>
        <v>2055-06-05T02:26:21.869Z</v>
      </c>
      <c r="K767" s="3" t="str">
        <f ca="1">IFERROR(__xludf.DUMMYFUNCTION("""COMPUTED_VALUE"""),"2055-06-05T02:11:42.869Z")</f>
        <v>2055-06-05T02:11:42.869Z</v>
      </c>
      <c r="L767" s="3">
        <f ca="1">IFERROR(__xludf.DUMMYFUNCTION("""COMPUTED_VALUE"""),1)</f>
        <v>1</v>
      </c>
      <c r="M767" s="3">
        <f ca="1">IFERROR(__xludf.DUMMYFUNCTION("""COMPUTED_VALUE"""),0)</f>
        <v>0</v>
      </c>
      <c r="N767" s="3" t="str">
        <f ca="1">IFERROR(__xludf.DUMMYFUNCTION("""COMPUTED_VALUE"""),"2055-06-05T02:12:59.683802Z")</f>
        <v>2055-06-05T02:12:59.683802Z</v>
      </c>
      <c r="O767" s="3" t="str">
        <f ca="1">IFERROR(__xludf.DUMMYFUNCTION("""COMPUTED_VALUE"""),"2055-06-05T02:37:50.8661Z")</f>
        <v>2055-06-05T02:37:50.8661Z</v>
      </c>
      <c r="P767" s="3" t="str">
        <f ca="1">IFERROR(__xludf.DUMMYFUNCTION("""COMPUTED_VALUE"""),"2055-06-05T01:47:07.293288Z")</f>
        <v>2055-06-05T01:47:07.293288Z</v>
      </c>
      <c r="Q767" s="3">
        <f ca="1">IFERROR(__xludf.DUMMYFUNCTION("""COMPUTED_VALUE"""),0)</f>
        <v>0</v>
      </c>
      <c r="R767" s="3" t="str">
        <f ca="1">IFERROR(__xludf.DUMMYFUNCTION("""COMPUTED_VALUE"""),"2055-06-05T01:47:12.146329Z")</f>
        <v>2055-06-05T01:47:12.146329Z</v>
      </c>
      <c r="S767" s="3" t="str">
        <f ca="1">IFERROR(__xludf.DUMMYFUNCTION("""COMPUTED_VALUE"""),"2055-06-05T02:11:58.20404Z")</f>
        <v>2055-06-05T02:11:58.20404Z</v>
      </c>
      <c r="T767" s="3"/>
      <c r="U767" s="4">
        <f ca="1">IFERROR(__xludf.DUMMYFUNCTION("""COMPUTED_VALUE"""),56769)</f>
        <v>56769</v>
      </c>
      <c r="V767" s="3">
        <f ca="1">IFERROR(__xludf.DUMMYFUNCTION("""COMPUTED_VALUE"""),4.4)</f>
        <v>4.4000000000000004</v>
      </c>
      <c r="W767" s="3">
        <f ca="1">IFERROR(__xludf.DUMMYFUNCTION("""COMPUTED_VALUE"""),1500)</f>
        <v>1500</v>
      </c>
      <c r="X767" s="3">
        <f ca="1">IFERROR(__xludf.DUMMYFUNCTION("""COMPUTED_VALUE"""),3038)</f>
        <v>3038</v>
      </c>
      <c r="Y767" s="3">
        <f ca="1">IFERROR(__xludf.DUMMYFUNCTION("""COMPUTED_VALUE"""),1486)</f>
        <v>1486</v>
      </c>
      <c r="Z767" s="3">
        <f ca="1">IFERROR(__xludf.DUMMYFUNCTION("""COMPUTED_VALUE"""),61)</f>
        <v>61</v>
      </c>
      <c r="AA767" s="3">
        <f ca="1">IFERROR(__xludf.DUMMYFUNCTION("""COMPUTED_VALUE"""),1491)</f>
        <v>1491</v>
      </c>
      <c r="AB767" s="3">
        <f ca="1">IFERROR(__xludf.DUMMYFUNCTION("""COMPUTED_VALUE"""),0)</f>
        <v>0</v>
      </c>
      <c r="AC767" s="3">
        <f ca="1">IFERROR(__xludf.DUMMYFUNCTION("""COMPUTED_VALUE"""),1)</f>
        <v>1</v>
      </c>
      <c r="AD767" s="3" t="str">
        <f ca="1">IFERROR(__xludf.DUMMYFUNCTION("""COMPUTED_VALUE"""),"late")</f>
        <v>late</v>
      </c>
      <c r="AE767" s="3" t="str">
        <f ca="1">IFERROR(__xludf.DUMMYFUNCTION("""COMPUTED_VALUE"""),"2055-06-04T22:12:59.683802Z")</f>
        <v>2055-06-04T22:12:59.683802Z</v>
      </c>
      <c r="AF767" s="3" t="str">
        <f ca="1">IFERROR(__xludf.DUMMYFUNCTION("""COMPUTED_VALUE"""),"2055-06-04T22:37:50.8661Z")</f>
        <v>2055-06-04T22:37:50.8661Z</v>
      </c>
      <c r="AG767" s="3" t="str">
        <f ca="1">IFERROR(__xludf.DUMMYFUNCTION("""COMPUTED_VALUE"""),"2055-06-04T21:47:07.293288Z")</f>
        <v>2055-06-04T21:47:07.293288Z</v>
      </c>
      <c r="AH767" s="3" t="str">
        <f ca="1">IFERROR(__xludf.DUMMYFUNCTION("""COMPUTED_VALUE"""),"2055-06-04T22:11:58.20404Z")</f>
        <v>2055-06-04T22:11:58.20404Z</v>
      </c>
      <c r="AI767" s="3">
        <f ca="1">IFERROR(__xludf.DUMMYFUNCTION("""COMPUTED_VALUE"""),4.58)</f>
        <v>4.58</v>
      </c>
      <c r="AJ767" s="3">
        <f ca="1">IFERROR(__xludf.DUMMYFUNCTION("""COMPUTED_VALUE"""),679)</f>
        <v>679</v>
      </c>
      <c r="AK767" s="3">
        <f ca="1">IFERROR(__xludf.DUMMYFUNCTION("""COMPUTED_VALUE"""),2371)</f>
        <v>2371</v>
      </c>
      <c r="AL767" s="3">
        <f ca="1">IFERROR(__xludf.DUMMYFUNCTION("""COMPUTED_VALUE"""),1830)</f>
        <v>1830</v>
      </c>
    </row>
    <row r="768" spans="1:38" ht="13">
      <c r="A768" s="3">
        <f ca="1">IFERROR(__xludf.DUMMYFUNCTION("""COMPUTED_VALUE"""),662)</f>
        <v>662</v>
      </c>
      <c r="B768" s="3"/>
      <c r="C768" s="3">
        <f ca="1">IFERROR(__xludf.DUMMYFUNCTION("""COMPUTED_VALUE"""),4050)</f>
        <v>4050</v>
      </c>
      <c r="D768" s="3" t="str">
        <f ca="1">IFERROR(__xludf.DUMMYFUNCTION("""COMPUTED_VALUE"""),"Doorlanta")</f>
        <v>Doorlanta</v>
      </c>
      <c r="E768" s="3" t="str">
        <f ca="1">IFERROR(__xludf.DUMMYFUNCTION("""COMPUTED_VALUE"""),"Galaxy A")</f>
        <v>Galaxy A</v>
      </c>
      <c r="F768" s="3" t="str">
        <f ca="1">IFERROR(__xludf.DUMMYFUNCTION("""COMPUTED_VALUE"""),"Joe")</f>
        <v>Joe</v>
      </c>
      <c r="G768" s="3">
        <f ca="1">IFERROR(__xludf.DUMMYFUNCTION("""COMPUTED_VALUE"""),0)</f>
        <v>0</v>
      </c>
      <c r="H768" s="3" t="str">
        <f ca="1">IFERROR(__xludf.DUMMYFUNCTION("""COMPUTED_VALUE"""),"car")</f>
        <v>car</v>
      </c>
      <c r="I768" s="3" t="str">
        <f ca="1">IFERROR(__xludf.DUMMYFUNCTION("""COMPUTED_VALUE"""),"2055-06-05T23:01:38.766198Z")</f>
        <v>2055-06-05T23:01:38.766198Z</v>
      </c>
      <c r="J768" s="3" t="str">
        <f ca="1">IFERROR(__xludf.DUMMYFUNCTION("""COMPUTED_VALUE"""),"2055-06-06T00:05:55.845Z")</f>
        <v>2055-06-06T00:05:55.845Z</v>
      </c>
      <c r="K768" s="3" t="str">
        <f ca="1">IFERROR(__xludf.DUMMYFUNCTION("""COMPUTED_VALUE"""),"2055-06-05T23:44:01.845Z")</f>
        <v>2055-06-05T23:44:01.845Z</v>
      </c>
      <c r="L768" s="3">
        <f ca="1">IFERROR(__xludf.DUMMYFUNCTION("""COMPUTED_VALUE"""),1)</f>
        <v>1</v>
      </c>
      <c r="M768" s="3">
        <f ca="1">IFERROR(__xludf.DUMMYFUNCTION("""COMPUTED_VALUE"""),0)</f>
        <v>0</v>
      </c>
      <c r="N768" s="3" t="str">
        <f ca="1">IFERROR(__xludf.DUMMYFUNCTION("""COMPUTED_VALUE"""),"2055-06-05T23:57:31.812326Z")</f>
        <v>2055-06-05T23:57:31.812326Z</v>
      </c>
      <c r="O768" s="3" t="str">
        <f ca="1">IFERROR(__xludf.DUMMYFUNCTION("""COMPUTED_VALUE"""),"2055-06-05T23:57:38.572805Z")</f>
        <v>2055-06-05T23:57:38.572805Z</v>
      </c>
      <c r="P768" s="3" t="str">
        <f ca="1">IFERROR(__xludf.DUMMYFUNCTION("""COMPUTED_VALUE"""),"2055-06-05T23:06:07.853932Z")</f>
        <v>2055-06-05T23:06:07.853932Z</v>
      </c>
      <c r="Q768" s="3">
        <f ca="1">IFERROR(__xludf.DUMMYFUNCTION("""COMPUTED_VALUE"""),0)</f>
        <v>0</v>
      </c>
      <c r="R768" s="3" t="str">
        <f ca="1">IFERROR(__xludf.DUMMYFUNCTION("""COMPUTED_VALUE"""),"2055-06-05T23:06:14.950693Z")</f>
        <v>2055-06-05T23:06:14.950693Z</v>
      </c>
      <c r="S768" s="3" t="str">
        <f ca="1">IFERROR(__xludf.DUMMYFUNCTION("""COMPUTED_VALUE"""),"2055-06-05T23:39:12.252393Z")</f>
        <v>2055-06-05T23:39:12.252393Z</v>
      </c>
      <c r="T768" s="3"/>
      <c r="U768" s="4">
        <f ca="1">IFERROR(__xludf.DUMMYFUNCTION("""COMPUTED_VALUE"""),56770)</f>
        <v>56770</v>
      </c>
      <c r="V768" s="3">
        <f ca="1">IFERROR(__xludf.DUMMYFUNCTION("""COMPUTED_VALUE"""),4.7)</f>
        <v>4.7</v>
      </c>
      <c r="W768" s="3">
        <f ca="1">IFERROR(__xludf.DUMMYFUNCTION("""COMPUTED_VALUE"""),1500)</f>
        <v>1500</v>
      </c>
      <c r="X768" s="3">
        <f ca="1">IFERROR(__xludf.DUMMYFUNCTION("""COMPUTED_VALUE"""),3084)</f>
        <v>3084</v>
      </c>
      <c r="Y768" s="3">
        <f ca="1">IFERROR(__xludf.DUMMYFUNCTION("""COMPUTED_VALUE"""),1978)</f>
        <v>1978</v>
      </c>
      <c r="Z768" s="3">
        <f ca="1">IFERROR(__xludf.DUMMYFUNCTION("""COMPUTED_VALUE"""),1099)</f>
        <v>1099</v>
      </c>
      <c r="AA768" s="3">
        <f ca="1">IFERROR(__xludf.DUMMYFUNCTION("""COMPUTED_VALUE"""),7)</f>
        <v>7</v>
      </c>
      <c r="AB768" s="3">
        <f ca="1">IFERROR(__xludf.DUMMYFUNCTION("""COMPUTED_VALUE"""),0)</f>
        <v>0</v>
      </c>
      <c r="AC768" s="3">
        <f ca="1">IFERROR(__xludf.DUMMYFUNCTION("""COMPUTED_VALUE"""),2)</f>
        <v>2</v>
      </c>
      <c r="AD768" s="3" t="str">
        <f ca="1">IFERROR(__xludf.DUMMYFUNCTION("""COMPUTED_VALUE"""),"late")</f>
        <v>late</v>
      </c>
      <c r="AE768" s="3" t="str">
        <f ca="1">IFERROR(__xludf.DUMMYFUNCTION("""COMPUTED_VALUE"""),"2055-06-05T19:57:31.812326Z")</f>
        <v>2055-06-05T19:57:31.812326Z</v>
      </c>
      <c r="AF768" s="3" t="str">
        <f ca="1">IFERROR(__xludf.DUMMYFUNCTION("""COMPUTED_VALUE"""),"2055-06-05T19:57:38.572805Z")</f>
        <v>2055-06-05T19:57:38.572805Z</v>
      </c>
      <c r="AG768" s="3" t="str">
        <f ca="1">IFERROR(__xludf.DUMMYFUNCTION("""COMPUTED_VALUE"""),"2055-06-05T19:06:07.853932Z")</f>
        <v>2055-06-05T19:06:07.853932Z</v>
      </c>
      <c r="AH768" s="3" t="str">
        <f ca="1">IFERROR(__xludf.DUMMYFUNCTION("""COMPUTED_VALUE"""),"2055-06-05T19:39:12.252393Z")</f>
        <v>2055-06-05T19:39:12.252393Z</v>
      </c>
      <c r="AI768" s="3">
        <f ca="1">IFERROR(__xludf.DUMMYFUNCTION("""COMPUTED_VALUE"""),4.38)</f>
        <v>4.38</v>
      </c>
      <c r="AJ768" s="3">
        <f ca="1">IFERROR(__xludf.DUMMYFUNCTION("""COMPUTED_VALUE"""),196)</f>
        <v>196</v>
      </c>
      <c r="AK768" s="3">
        <f ca="1">IFERROR(__xludf.DUMMYFUNCTION("""COMPUTED_VALUE"""),626)</f>
        <v>626</v>
      </c>
      <c r="AL768" s="3"/>
    </row>
    <row r="769" spans="1:38" ht="13">
      <c r="A769" s="3">
        <f ca="1">IFERROR(__xludf.DUMMYFUNCTION("""COMPUTED_VALUE"""),1224)</f>
        <v>1224</v>
      </c>
      <c r="B769" s="3">
        <f ca="1">IFERROR(__xludf.DUMMYFUNCTION("""COMPUTED_VALUE"""),4)</f>
        <v>4</v>
      </c>
      <c r="C769" s="3">
        <f ca="1">IFERROR(__xludf.DUMMYFUNCTION("""COMPUTED_VALUE"""),4001)</f>
        <v>4001</v>
      </c>
      <c r="D769" s="3" t="str">
        <f ca="1">IFERROR(__xludf.DUMMYFUNCTION("""COMPUTED_VALUE"""),"Dashattan")</f>
        <v>Dashattan</v>
      </c>
      <c r="E769" s="3" t="str">
        <f ca="1">IFERROR(__xludf.DUMMYFUNCTION("""COMPUTED_VALUE"""),"Galaxy A")</f>
        <v>Galaxy A</v>
      </c>
      <c r="F769" s="3" t="str">
        <f ca="1">IFERROR(__xludf.DUMMYFUNCTION("""COMPUTED_VALUE"""),"Mike")</f>
        <v>Mike</v>
      </c>
      <c r="G769" s="3">
        <f ca="1">IFERROR(__xludf.DUMMYFUNCTION("""COMPUTED_VALUE"""),0)</f>
        <v>0</v>
      </c>
      <c r="H769" s="3" t="str">
        <f ca="1">IFERROR(__xludf.DUMMYFUNCTION("""COMPUTED_VALUE"""),"bicycle")</f>
        <v>bicycle</v>
      </c>
      <c r="I769" s="3" t="str">
        <f ca="1">IFERROR(__xludf.DUMMYFUNCTION("""COMPUTED_VALUE"""),"2055-06-11T01:39:13.053511Z")</f>
        <v>2055-06-11T01:39:13.053511Z</v>
      </c>
      <c r="J769" s="3" t="str">
        <f ca="1">IFERROR(__xludf.DUMMYFUNCTION("""COMPUTED_VALUE"""),"2055-06-11T02:39:56.113Z")</f>
        <v>2055-06-11T02:39:56.113Z</v>
      </c>
      <c r="K769" s="3" t="str">
        <f ca="1">IFERROR(__xludf.DUMMYFUNCTION("""COMPUTED_VALUE"""),"2055-06-11T02:18:02.113Z")</f>
        <v>2055-06-11T02:18:02.113Z</v>
      </c>
      <c r="L769" s="3">
        <f ca="1">IFERROR(__xludf.DUMMYFUNCTION("""COMPUTED_VALUE"""),1)</f>
        <v>1</v>
      </c>
      <c r="M769" s="3">
        <f ca="1">IFERROR(__xludf.DUMMYFUNCTION("""COMPUTED_VALUE"""),0)</f>
        <v>0</v>
      </c>
      <c r="N769" s="3" t="str">
        <f ca="1">IFERROR(__xludf.DUMMYFUNCTION("""COMPUTED_VALUE"""),"2055-06-11T03:11:14.381763Z")</f>
        <v>2055-06-11T03:11:14.381763Z</v>
      </c>
      <c r="O769" s="3" t="str">
        <f ca="1">IFERROR(__xludf.DUMMYFUNCTION("""COMPUTED_VALUE"""),"2055-06-11T03:32:25.934524Z")</f>
        <v>2055-06-11T03:32:25.934524Z</v>
      </c>
      <c r="P769" s="3" t="str">
        <f ca="1">IFERROR(__xludf.DUMMYFUNCTION("""COMPUTED_VALUE"""),"2055-06-11T02:33:54.166135Z")</f>
        <v>2055-06-11T02:33:54.166135Z</v>
      </c>
      <c r="Q769" s="3">
        <f ca="1">IFERROR(__xludf.DUMMYFUNCTION("""COMPUTED_VALUE"""),0)</f>
        <v>0</v>
      </c>
      <c r="R769" s="3" t="str">
        <f ca="1">IFERROR(__xludf.DUMMYFUNCTION("""COMPUTED_VALUE"""),"2055-06-11T02:34:11.341799Z")</f>
        <v>2055-06-11T02:34:11.341799Z</v>
      </c>
      <c r="S769" s="3"/>
      <c r="T769" s="3"/>
      <c r="U769" s="4">
        <f ca="1">IFERROR(__xludf.DUMMYFUNCTION("""COMPUTED_VALUE"""),56775)</f>
        <v>56775</v>
      </c>
      <c r="V769" s="3">
        <f ca="1">IFERROR(__xludf.DUMMYFUNCTION("""COMPUTED_VALUE"""),2.943033048)</f>
        <v>2.9430330480000002</v>
      </c>
      <c r="W769" s="3">
        <f ca="1">IFERROR(__xludf.DUMMYFUNCTION("""COMPUTED_VALUE"""),1500)</f>
        <v>1500</v>
      </c>
      <c r="X769" s="3">
        <f ca="1">IFERROR(__xludf.DUMMYFUNCTION("""COMPUTED_VALUE"""),3494)</f>
        <v>3494</v>
      </c>
      <c r="Y769" s="3"/>
      <c r="Z769" s="3"/>
      <c r="AA769" s="3">
        <f ca="1">IFERROR(__xludf.DUMMYFUNCTION("""COMPUTED_VALUE"""),1271)</f>
        <v>1271</v>
      </c>
      <c r="AB769" s="3">
        <f ca="1">IFERROR(__xludf.DUMMYFUNCTION("""COMPUTED_VALUE"""),0)</f>
        <v>0</v>
      </c>
      <c r="AC769" s="3">
        <f ca="1">IFERROR(__xludf.DUMMYFUNCTION("""COMPUTED_VALUE"""),1)</f>
        <v>1</v>
      </c>
      <c r="AD769" s="3"/>
      <c r="AE769" s="3" t="str">
        <f ca="1">IFERROR(__xludf.DUMMYFUNCTION("""COMPUTED_VALUE"""),"2055-06-10T23:11:14.381763Z")</f>
        <v>2055-06-10T23:11:14.381763Z</v>
      </c>
      <c r="AF769" s="3" t="str">
        <f ca="1">IFERROR(__xludf.DUMMYFUNCTION("""COMPUTED_VALUE"""),"2055-06-10T23:32:25.934524Z")</f>
        <v>2055-06-10T23:32:25.934524Z</v>
      </c>
      <c r="AG769" s="3" t="str">
        <f ca="1">IFERROR(__xludf.DUMMYFUNCTION("""COMPUTED_VALUE"""),"2055-06-10T22:33:54.166135Z")</f>
        <v>2055-06-10T22:33:54.166135Z</v>
      </c>
      <c r="AH769" s="3"/>
      <c r="AI769" s="3">
        <f ca="1">IFERROR(__xludf.DUMMYFUNCTION("""COMPUTED_VALUE"""),4.63)</f>
        <v>4.63</v>
      </c>
      <c r="AJ769" s="3">
        <f ca="1">IFERROR(__xludf.DUMMYFUNCTION("""COMPUTED_VALUE"""),242)</f>
        <v>242</v>
      </c>
      <c r="AK769" s="3">
        <f ca="1">IFERROR(__xludf.DUMMYFUNCTION("""COMPUTED_VALUE"""),736)</f>
        <v>736</v>
      </c>
      <c r="AL769" s="3"/>
    </row>
    <row r="770" spans="1:38" ht="13">
      <c r="A770" s="3">
        <f ca="1">IFERROR(__xludf.DUMMYFUNCTION("""COMPUTED_VALUE"""),1541)</f>
        <v>1541</v>
      </c>
      <c r="B770" s="3"/>
      <c r="C770" s="3">
        <f ca="1">IFERROR(__xludf.DUMMYFUNCTION("""COMPUTED_VALUE"""),4001)</f>
        <v>4001</v>
      </c>
      <c r="D770" s="3" t="str">
        <f ca="1">IFERROR(__xludf.DUMMYFUNCTION("""COMPUTED_VALUE"""),"Dashattan")</f>
        <v>Dashattan</v>
      </c>
      <c r="E770" s="3" t="str">
        <f ca="1">IFERROR(__xludf.DUMMYFUNCTION("""COMPUTED_VALUE"""),"Galaxy A")</f>
        <v>Galaxy A</v>
      </c>
      <c r="F770" s="3" t="str">
        <f ca="1">IFERROR(__xludf.DUMMYFUNCTION("""COMPUTED_VALUE"""),"Rojan")</f>
        <v>Rojan</v>
      </c>
      <c r="G770" s="3">
        <f ca="1">IFERROR(__xludf.DUMMYFUNCTION("""COMPUTED_VALUE"""),0)</f>
        <v>0</v>
      </c>
      <c r="H770" s="3" t="str">
        <f ca="1">IFERROR(__xludf.DUMMYFUNCTION("""COMPUTED_VALUE"""),"bicycle")</f>
        <v>bicycle</v>
      </c>
      <c r="I770" s="3" t="str">
        <f ca="1">IFERROR(__xludf.DUMMYFUNCTION("""COMPUTED_VALUE"""),"2055-06-13T01:33:58.509172Z")</f>
        <v>2055-06-13T01:33:58.509172Z</v>
      </c>
      <c r="J770" s="3" t="str">
        <f ca="1">IFERROR(__xludf.DUMMYFUNCTION("""COMPUTED_VALUE"""),"2055-06-13T02:42:04.59Z")</f>
        <v>2055-06-13T02:42:04.59Z</v>
      </c>
      <c r="K770" s="3" t="str">
        <f ca="1">IFERROR(__xludf.DUMMYFUNCTION("""COMPUTED_VALUE"""),"2055-06-13T02:18:46.59Z")</f>
        <v>2055-06-13T02:18:46.59Z</v>
      </c>
      <c r="L770" s="3">
        <f ca="1">IFERROR(__xludf.DUMMYFUNCTION("""COMPUTED_VALUE"""),1)</f>
        <v>1</v>
      </c>
      <c r="M770" s="3">
        <f ca="1">IFERROR(__xludf.DUMMYFUNCTION("""COMPUTED_VALUE"""),0)</f>
        <v>0</v>
      </c>
      <c r="N770" s="3" t="str">
        <f ca="1">IFERROR(__xludf.DUMMYFUNCTION("""COMPUTED_VALUE"""),"2055-06-13T02:06:25.441866Z")</f>
        <v>2055-06-13T02:06:25.441866Z</v>
      </c>
      <c r="O770" s="3" t="str">
        <f ca="1">IFERROR(__xludf.DUMMYFUNCTION("""COMPUTED_VALUE"""),"2055-06-13T02:15:27.350299Z")</f>
        <v>2055-06-13T02:15:27.350299Z</v>
      </c>
      <c r="P770" s="3" t="str">
        <f ca="1">IFERROR(__xludf.DUMMYFUNCTION("""COMPUTED_VALUE"""),"2055-06-13T01:57:54.377416Z")</f>
        <v>2055-06-13T01:57:54.377416Z</v>
      </c>
      <c r="Q770" s="3">
        <f ca="1">IFERROR(__xludf.DUMMYFUNCTION("""COMPUTED_VALUE"""),0)</f>
        <v>0</v>
      </c>
      <c r="R770" s="3" t="str">
        <f ca="1">IFERROR(__xludf.DUMMYFUNCTION("""COMPUTED_VALUE"""),"2055-06-13T01:57:59.485048Z")</f>
        <v>2055-06-13T01:57:59.485048Z</v>
      </c>
      <c r="S770" s="3"/>
      <c r="T770" s="3"/>
      <c r="U770" s="4">
        <f ca="1">IFERROR(__xludf.DUMMYFUNCTION("""COMPUTED_VALUE"""),56777)</f>
        <v>56777</v>
      </c>
      <c r="V770" s="3">
        <f ca="1">IFERROR(__xludf.DUMMYFUNCTION("""COMPUTED_VALUE"""),4.5)</f>
        <v>4.5</v>
      </c>
      <c r="W770" s="3">
        <f ca="1">IFERROR(__xludf.DUMMYFUNCTION("""COMPUTED_VALUE"""),1500)</f>
        <v>1500</v>
      </c>
      <c r="X770" s="3">
        <f ca="1">IFERROR(__xludf.DUMMYFUNCTION("""COMPUTED_VALUE"""),1048)</f>
        <v>1048</v>
      </c>
      <c r="Y770" s="3"/>
      <c r="Z770" s="3"/>
      <c r="AA770" s="3">
        <f ca="1">IFERROR(__xludf.DUMMYFUNCTION("""COMPUTED_VALUE"""),542)</f>
        <v>542</v>
      </c>
      <c r="AB770" s="3">
        <f ca="1">IFERROR(__xludf.DUMMYFUNCTION("""COMPUTED_VALUE"""),0)</f>
        <v>0</v>
      </c>
      <c r="AC770" s="3">
        <f ca="1">IFERROR(__xludf.DUMMYFUNCTION("""COMPUTED_VALUE"""),2)</f>
        <v>2</v>
      </c>
      <c r="AD770" s="3"/>
      <c r="AE770" s="3" t="str">
        <f ca="1">IFERROR(__xludf.DUMMYFUNCTION("""COMPUTED_VALUE"""),"2055-06-12T22:06:25.441866Z")</f>
        <v>2055-06-12T22:06:25.441866Z</v>
      </c>
      <c r="AF770" s="3" t="str">
        <f ca="1">IFERROR(__xludf.DUMMYFUNCTION("""COMPUTED_VALUE"""),"2055-06-12T22:15:27.350299Z")</f>
        <v>2055-06-12T22:15:27.350299Z</v>
      </c>
      <c r="AG770" s="3" t="str">
        <f ca="1">IFERROR(__xludf.DUMMYFUNCTION("""COMPUTED_VALUE"""),"2055-06-12T21:57:54.377416Z")</f>
        <v>2055-06-12T21:57:54.377416Z</v>
      </c>
      <c r="AH770" s="3"/>
      <c r="AI770" s="3">
        <f ca="1">IFERROR(__xludf.DUMMYFUNCTION("""COMPUTED_VALUE"""),4.58)</f>
        <v>4.58</v>
      </c>
      <c r="AJ770" s="3">
        <f ca="1">IFERROR(__xludf.DUMMYFUNCTION("""COMPUTED_VALUE"""),254)</f>
        <v>254</v>
      </c>
      <c r="AK770" s="3">
        <f ca="1">IFERROR(__xludf.DUMMYFUNCTION("""COMPUTED_VALUE"""),788)</f>
        <v>788</v>
      </c>
      <c r="AL770" s="3">
        <f ca="1">IFERROR(__xludf.DUMMYFUNCTION("""COMPUTED_VALUE"""),9)</f>
        <v>9</v>
      </c>
    </row>
    <row r="771" spans="1:38" ht="13">
      <c r="A771" s="3">
        <f ca="1">IFERROR(__xludf.DUMMYFUNCTION("""COMPUTED_VALUE"""),908)</f>
        <v>908</v>
      </c>
      <c r="B771" s="3"/>
      <c r="C771" s="3">
        <f ca="1">IFERROR(__xludf.DUMMYFUNCTION("""COMPUTED_VALUE"""),4050)</f>
        <v>4050</v>
      </c>
      <c r="D771" s="3" t="str">
        <f ca="1">IFERROR(__xludf.DUMMYFUNCTION("""COMPUTED_VALUE"""),"Doorlanta")</f>
        <v>Doorlanta</v>
      </c>
      <c r="E771" s="3" t="str">
        <f ca="1">IFERROR(__xludf.DUMMYFUNCTION("""COMPUTED_VALUE"""),"Galaxy A")</f>
        <v>Galaxy A</v>
      </c>
      <c r="F771" s="3" t="str">
        <f ca="1">IFERROR(__xludf.DUMMYFUNCTION("""COMPUTED_VALUE"""),"Joe")</f>
        <v>Joe</v>
      </c>
      <c r="G771" s="3">
        <f ca="1">IFERROR(__xludf.DUMMYFUNCTION("""COMPUTED_VALUE"""),0)</f>
        <v>0</v>
      </c>
      <c r="H771" s="3" t="str">
        <f ca="1">IFERROR(__xludf.DUMMYFUNCTION("""COMPUTED_VALUE"""),"car")</f>
        <v>car</v>
      </c>
      <c r="I771" s="3" t="str">
        <f ca="1">IFERROR(__xludf.DUMMYFUNCTION("""COMPUTED_VALUE"""),"2055-06-08T01:00:46.047203Z")</f>
        <v>2055-06-08T01:00:46.047203Z</v>
      </c>
      <c r="J771" s="3" t="str">
        <f ca="1">IFERROR(__xludf.DUMMYFUNCTION("""COMPUTED_VALUE"""),"2055-06-08T01:57:52.103Z")</f>
        <v>2055-06-08T01:57:52.103Z</v>
      </c>
      <c r="K771" s="3" t="str">
        <f ca="1">IFERROR(__xludf.DUMMYFUNCTION("""COMPUTED_VALUE"""),"2055-06-08T01:37:45.103Z")</f>
        <v>2055-06-08T01:37:45.103Z</v>
      </c>
      <c r="L771" s="3">
        <f ca="1">IFERROR(__xludf.DUMMYFUNCTION("""COMPUTED_VALUE"""),1)</f>
        <v>1</v>
      </c>
      <c r="M771" s="3">
        <f ca="1">IFERROR(__xludf.DUMMYFUNCTION("""COMPUTED_VALUE"""),0)</f>
        <v>0</v>
      </c>
      <c r="N771" s="3" t="str">
        <f ca="1">IFERROR(__xludf.DUMMYFUNCTION("""COMPUTED_VALUE"""),"2055-06-08T01:50:38.100033Z")</f>
        <v>2055-06-08T01:50:38.100033Z</v>
      </c>
      <c r="O771" s="3" t="str">
        <f ca="1">IFERROR(__xludf.DUMMYFUNCTION("""COMPUTED_VALUE"""),"2055-06-08T01:57:58.972408Z")</f>
        <v>2055-06-08T01:57:58.972408Z</v>
      </c>
      <c r="P771" s="3" t="str">
        <f ca="1">IFERROR(__xludf.DUMMYFUNCTION("""COMPUTED_VALUE"""),"2055-06-08T01:01:07.299685Z")</f>
        <v>2055-06-08T01:01:07.299685Z</v>
      </c>
      <c r="Q771" s="3">
        <f ca="1">IFERROR(__xludf.DUMMYFUNCTION("""COMPUTED_VALUE"""),0)</f>
        <v>0</v>
      </c>
      <c r="R771" s="3" t="str">
        <f ca="1">IFERROR(__xludf.DUMMYFUNCTION("""COMPUTED_VALUE"""),"2055-06-08T01:01:13.026998Z")</f>
        <v>2055-06-08T01:01:13.026998Z</v>
      </c>
      <c r="S771" s="3" t="str">
        <f ca="1">IFERROR(__xludf.DUMMYFUNCTION("""COMPUTED_VALUE"""),"2055-06-08T01:19:37.442174Z")</f>
        <v>2055-06-08T01:19:37.442174Z</v>
      </c>
      <c r="T771" s="3"/>
      <c r="U771" s="4">
        <f ca="1">IFERROR(__xludf.DUMMYFUNCTION("""COMPUTED_VALUE"""),56772)</f>
        <v>56772</v>
      </c>
      <c r="V771" s="3">
        <f ca="1">IFERROR(__xludf.DUMMYFUNCTION("""COMPUTED_VALUE"""),4.1)</f>
        <v>4.0999999999999996</v>
      </c>
      <c r="W771" s="3">
        <f ca="1">IFERROR(__xludf.DUMMYFUNCTION("""COMPUTED_VALUE"""),1500)</f>
        <v>1500</v>
      </c>
      <c r="X771" s="3">
        <f ca="1">IFERROR(__xludf.DUMMYFUNCTION("""COMPUTED_VALUE"""),3405)</f>
        <v>3405</v>
      </c>
      <c r="Y771" s="3">
        <f ca="1">IFERROR(__xludf.DUMMYFUNCTION("""COMPUTED_VALUE"""),1104)</f>
        <v>1104</v>
      </c>
      <c r="Z771" s="3">
        <f ca="1">IFERROR(__xludf.DUMMYFUNCTION("""COMPUTED_VALUE"""),1861)</f>
        <v>1861</v>
      </c>
      <c r="AA771" s="3">
        <f ca="1">IFERROR(__xludf.DUMMYFUNCTION("""COMPUTED_VALUE"""),440)</f>
        <v>440</v>
      </c>
      <c r="AB771" s="3">
        <f ca="1">IFERROR(__xludf.DUMMYFUNCTION("""COMPUTED_VALUE"""),0)</f>
        <v>0</v>
      </c>
      <c r="AC771" s="3">
        <f ca="1">IFERROR(__xludf.DUMMYFUNCTION("""COMPUTED_VALUE"""),3)</f>
        <v>3</v>
      </c>
      <c r="AD771" s="3" t="str">
        <f ca="1">IFERROR(__xludf.DUMMYFUNCTION("""COMPUTED_VALUE"""),"late")</f>
        <v>late</v>
      </c>
      <c r="AE771" s="3" t="str">
        <f ca="1">IFERROR(__xludf.DUMMYFUNCTION("""COMPUTED_VALUE"""),"2055-06-07T21:50:38.100033Z")</f>
        <v>2055-06-07T21:50:38.100033Z</v>
      </c>
      <c r="AF771" s="3" t="str">
        <f ca="1">IFERROR(__xludf.DUMMYFUNCTION("""COMPUTED_VALUE"""),"2055-06-07T21:57:58.972408Z")</f>
        <v>2055-06-07T21:57:58.972408Z</v>
      </c>
      <c r="AG771" s="3" t="str">
        <f ca="1">IFERROR(__xludf.DUMMYFUNCTION("""COMPUTED_VALUE"""),"2055-06-07T21:01:07.299685Z")</f>
        <v>2055-06-07T21:01:07.299685Z</v>
      </c>
      <c r="AH771" s="3" t="str">
        <f ca="1">IFERROR(__xludf.DUMMYFUNCTION("""COMPUTED_VALUE"""),"2055-06-07T21:19:37.442174Z")</f>
        <v>2055-06-07T21:19:37.442174Z</v>
      </c>
      <c r="AI771" s="3">
        <f ca="1">IFERROR(__xludf.DUMMYFUNCTION("""COMPUTED_VALUE"""),4.38)</f>
        <v>4.38</v>
      </c>
      <c r="AJ771" s="3">
        <f ca="1">IFERROR(__xludf.DUMMYFUNCTION("""COMPUTED_VALUE"""),196)</f>
        <v>196</v>
      </c>
      <c r="AK771" s="3">
        <f ca="1">IFERROR(__xludf.DUMMYFUNCTION("""COMPUTED_VALUE"""),626)</f>
        <v>626</v>
      </c>
      <c r="AL771" s="3"/>
    </row>
    <row r="772" spans="1:38" ht="13">
      <c r="A772" s="3">
        <f ca="1">IFERROR(__xludf.DUMMYFUNCTION("""COMPUTED_VALUE"""),906)</f>
        <v>906</v>
      </c>
      <c r="B772" s="3"/>
      <c r="C772" s="3">
        <f ca="1">IFERROR(__xludf.DUMMYFUNCTION("""COMPUTED_VALUE"""),4050)</f>
        <v>4050</v>
      </c>
      <c r="D772" s="3" t="str">
        <f ca="1">IFERROR(__xludf.DUMMYFUNCTION("""COMPUTED_VALUE"""),"Doorlanta")</f>
        <v>Doorlanta</v>
      </c>
      <c r="E772" s="3" t="str">
        <f ca="1">IFERROR(__xludf.DUMMYFUNCTION("""COMPUTED_VALUE"""),"Galaxy A")</f>
        <v>Galaxy A</v>
      </c>
      <c r="F772" s="3" t="str">
        <f ca="1">IFERROR(__xludf.DUMMYFUNCTION("""COMPUTED_VALUE"""),"Elon")</f>
        <v>Elon</v>
      </c>
      <c r="G772" s="3">
        <f ca="1">IFERROR(__xludf.DUMMYFUNCTION("""COMPUTED_VALUE"""),0)</f>
        <v>0</v>
      </c>
      <c r="H772" s="3" t="str">
        <f ca="1">IFERROR(__xludf.DUMMYFUNCTION("""COMPUTED_VALUE"""),"car")</f>
        <v>car</v>
      </c>
      <c r="I772" s="3" t="str">
        <f ca="1">IFERROR(__xludf.DUMMYFUNCTION("""COMPUTED_VALUE"""),"2055-06-08T00:53:11.039089Z")</f>
        <v>2055-06-08T00:53:11.039089Z</v>
      </c>
      <c r="J772" s="3" t="str">
        <f ca="1">IFERROR(__xludf.DUMMYFUNCTION("""COMPUTED_VALUE"""),"2055-06-08T01:48:11.094Z")</f>
        <v>2055-06-08T01:48:11.094Z</v>
      </c>
      <c r="K772" s="3" t="str">
        <f ca="1">IFERROR(__xludf.DUMMYFUNCTION("""COMPUTED_VALUE"""),"2055-06-08T01:18:10.094Z")</f>
        <v>2055-06-08T01:18:10.094Z</v>
      </c>
      <c r="L772" s="3">
        <f ca="1">IFERROR(__xludf.DUMMYFUNCTION("""COMPUTED_VALUE"""),1)</f>
        <v>1</v>
      </c>
      <c r="M772" s="3">
        <f ca="1">IFERROR(__xludf.DUMMYFUNCTION("""COMPUTED_VALUE"""),0)</f>
        <v>0</v>
      </c>
      <c r="N772" s="3" t="str">
        <f ca="1">IFERROR(__xludf.DUMMYFUNCTION("""COMPUTED_VALUE"""),"2055-06-08T01:01:45.855797Z")</f>
        <v>2055-06-08T01:01:45.855797Z</v>
      </c>
      <c r="O772" s="3" t="str">
        <f ca="1">IFERROR(__xludf.DUMMYFUNCTION("""COMPUTED_VALUE"""),"2055-06-08T01:06:49.293062Z")</f>
        <v>2055-06-08T01:06:49.293062Z</v>
      </c>
      <c r="P772" s="3" t="str">
        <f ca="1">IFERROR(__xludf.DUMMYFUNCTION("""COMPUTED_VALUE"""),"2055-06-08T00:53:27.357026Z")</f>
        <v>2055-06-08T00:53:27.357026Z</v>
      </c>
      <c r="Q772" s="3">
        <f ca="1">IFERROR(__xludf.DUMMYFUNCTION("""COMPUTED_VALUE"""),0)</f>
        <v>0</v>
      </c>
      <c r="R772" s="3" t="str">
        <f ca="1">IFERROR(__xludf.DUMMYFUNCTION("""COMPUTED_VALUE"""),"2055-06-08T00:53:40.649339Z")</f>
        <v>2055-06-08T00:53:40.649339Z</v>
      </c>
      <c r="S772" s="3"/>
      <c r="T772" s="3"/>
      <c r="U772" s="4">
        <f ca="1">IFERROR(__xludf.DUMMYFUNCTION("""COMPUTED_VALUE"""),56772)</f>
        <v>56772</v>
      </c>
      <c r="V772" s="3">
        <f ca="1">IFERROR(__xludf.DUMMYFUNCTION("""COMPUTED_VALUE"""),4.6)</f>
        <v>4.5999999999999996</v>
      </c>
      <c r="W772" s="3">
        <f ca="1">IFERROR(__xludf.DUMMYFUNCTION("""COMPUTED_VALUE"""),1500)</f>
        <v>1500</v>
      </c>
      <c r="X772" s="3">
        <f ca="1">IFERROR(__xludf.DUMMYFUNCTION("""COMPUTED_VALUE"""),789)</f>
        <v>789</v>
      </c>
      <c r="Y772" s="3"/>
      <c r="Z772" s="3"/>
      <c r="AA772" s="3">
        <f ca="1">IFERROR(__xludf.DUMMYFUNCTION("""COMPUTED_VALUE"""),304)</f>
        <v>304</v>
      </c>
      <c r="AB772" s="3">
        <f ca="1">IFERROR(__xludf.DUMMYFUNCTION("""COMPUTED_VALUE"""),0)</f>
        <v>0</v>
      </c>
      <c r="AC772" s="3">
        <f ca="1">IFERROR(__xludf.DUMMYFUNCTION("""COMPUTED_VALUE"""),5)</f>
        <v>5</v>
      </c>
      <c r="AD772" s="3"/>
      <c r="AE772" s="3" t="str">
        <f ca="1">IFERROR(__xludf.DUMMYFUNCTION("""COMPUTED_VALUE"""),"2055-06-07T21:01:45.855797Z")</f>
        <v>2055-06-07T21:01:45.855797Z</v>
      </c>
      <c r="AF772" s="3" t="str">
        <f ca="1">IFERROR(__xludf.DUMMYFUNCTION("""COMPUTED_VALUE"""),"2055-06-07T21:06:49.293062Z")</f>
        <v>2055-06-07T21:06:49.293062Z</v>
      </c>
      <c r="AG772" s="3" t="str">
        <f ca="1">IFERROR(__xludf.DUMMYFUNCTION("""COMPUTED_VALUE"""),"2055-06-07T20:53:27.357026Z")</f>
        <v>2055-06-07T20:53:27.357026Z</v>
      </c>
      <c r="AH772" s="3"/>
      <c r="AI772" s="3">
        <f ca="1">IFERROR(__xludf.DUMMYFUNCTION("""COMPUTED_VALUE"""),4.62)</f>
        <v>4.62</v>
      </c>
      <c r="AJ772" s="3">
        <f ca="1">IFERROR(__xludf.DUMMYFUNCTION("""COMPUTED_VALUE"""),259)</f>
        <v>259</v>
      </c>
      <c r="AK772" s="3">
        <f ca="1">IFERROR(__xludf.DUMMYFUNCTION("""COMPUTED_VALUE"""),604)</f>
        <v>604</v>
      </c>
      <c r="AL772" s="3">
        <f ca="1">IFERROR(__xludf.DUMMYFUNCTION("""COMPUTED_VALUE"""),21)</f>
        <v>21</v>
      </c>
    </row>
    <row r="773" spans="1:38" ht="13">
      <c r="A773" s="3">
        <f ca="1">IFERROR(__xludf.DUMMYFUNCTION("""COMPUTED_VALUE"""),457)</f>
        <v>457</v>
      </c>
      <c r="B773" s="3">
        <f ca="1">IFERROR(__xludf.DUMMYFUNCTION("""COMPUTED_VALUE"""),5)</f>
        <v>5</v>
      </c>
      <c r="C773" s="3">
        <f ca="1">IFERROR(__xludf.DUMMYFUNCTION("""COMPUTED_VALUE"""),4001)</f>
        <v>4001</v>
      </c>
      <c r="D773" s="3" t="str">
        <f ca="1">IFERROR(__xludf.DUMMYFUNCTION("""COMPUTED_VALUE"""),"Dashattan")</f>
        <v>Dashattan</v>
      </c>
      <c r="E773" s="3" t="str">
        <f ca="1">IFERROR(__xludf.DUMMYFUNCTION("""COMPUTED_VALUE"""),"Galaxy A")</f>
        <v>Galaxy A</v>
      </c>
      <c r="F773" s="3" t="str">
        <f ca="1">IFERROR(__xludf.DUMMYFUNCTION("""COMPUTED_VALUE"""),"Rojan")</f>
        <v>Rojan</v>
      </c>
      <c r="G773" s="3">
        <f ca="1">IFERROR(__xludf.DUMMYFUNCTION("""COMPUTED_VALUE"""),0)</f>
        <v>0</v>
      </c>
      <c r="H773" s="3" t="str">
        <f ca="1">IFERROR(__xludf.DUMMYFUNCTION("""COMPUTED_VALUE"""),"bicycle")</f>
        <v>bicycle</v>
      </c>
      <c r="I773" s="3" t="str">
        <f ca="1">IFERROR(__xludf.DUMMYFUNCTION("""COMPUTED_VALUE"""),"2055-06-04T22:05:11.382944Z")</f>
        <v>2055-06-04T22:05:11.382944Z</v>
      </c>
      <c r="J773" s="3" t="str">
        <f ca="1">IFERROR(__xludf.DUMMYFUNCTION("""COMPUTED_VALUE"""),"2055-06-04T22:57:08.455Z")</f>
        <v>2055-06-04T22:57:08.455Z</v>
      </c>
      <c r="K773" s="3" t="str">
        <f ca="1">IFERROR(__xludf.DUMMYFUNCTION("""COMPUTED_VALUE"""),"2055-06-04T22:38:15.455Z")</f>
        <v>2055-06-04T22:38:15.455Z</v>
      </c>
      <c r="L773" s="3">
        <f ca="1">IFERROR(__xludf.DUMMYFUNCTION("""COMPUTED_VALUE"""),1)</f>
        <v>1</v>
      </c>
      <c r="M773" s="3">
        <f ca="1">IFERROR(__xludf.DUMMYFUNCTION("""COMPUTED_VALUE"""),0)</f>
        <v>0</v>
      </c>
      <c r="N773" s="3" t="str">
        <f ca="1">IFERROR(__xludf.DUMMYFUNCTION("""COMPUTED_VALUE"""),"2055-06-04T22:29:04.007739Z")</f>
        <v>2055-06-04T22:29:04.007739Z</v>
      </c>
      <c r="O773" s="3" t="str">
        <f ca="1">IFERROR(__xludf.DUMMYFUNCTION("""COMPUTED_VALUE"""),"2055-06-04T22:38:55.789493Z")</f>
        <v>2055-06-04T22:38:55.789493Z</v>
      </c>
      <c r="P773" s="3" t="str">
        <f ca="1">IFERROR(__xludf.DUMMYFUNCTION("""COMPUTED_VALUE"""),"2055-06-04T22:11:14.692998Z")</f>
        <v>2055-06-04T22:11:14.692998Z</v>
      </c>
      <c r="Q773" s="3">
        <f ca="1">IFERROR(__xludf.DUMMYFUNCTION("""COMPUTED_VALUE"""),0)</f>
        <v>0</v>
      </c>
      <c r="R773" s="3" t="str">
        <f ca="1">IFERROR(__xludf.DUMMYFUNCTION("""COMPUTED_VALUE"""),"2055-06-04T22:11:26.42803Z")</f>
        <v>2055-06-04T22:11:26.42803Z</v>
      </c>
      <c r="S773" s="3" t="str">
        <f ca="1">IFERROR(__xludf.DUMMYFUNCTION("""COMPUTED_VALUE"""),"2055-06-04T22:29:02.104198Z")</f>
        <v>2055-06-04T22:29:02.104198Z</v>
      </c>
      <c r="T773" s="3"/>
      <c r="U773" s="4">
        <f ca="1">IFERROR(__xludf.DUMMYFUNCTION("""COMPUTED_VALUE"""),56769)</f>
        <v>56769</v>
      </c>
      <c r="V773" s="3">
        <f ca="1">IFERROR(__xludf.DUMMYFUNCTION("""COMPUTED_VALUE"""),4.5)</f>
        <v>4.5</v>
      </c>
      <c r="W773" s="3">
        <f ca="1">IFERROR(__xludf.DUMMYFUNCTION("""COMPUTED_VALUE"""),1500)</f>
        <v>1500</v>
      </c>
      <c r="X773" s="3">
        <f ca="1">IFERROR(__xludf.DUMMYFUNCTION("""COMPUTED_VALUE"""),1649)</f>
        <v>1649</v>
      </c>
      <c r="Y773" s="3">
        <f ca="1">IFERROR(__xludf.DUMMYFUNCTION("""COMPUTED_VALUE"""),1056)</f>
        <v>1056</v>
      </c>
      <c r="Z773" s="3">
        <f ca="1">IFERROR(__xludf.DUMMYFUNCTION("""COMPUTED_VALUE"""),2)</f>
        <v>2</v>
      </c>
      <c r="AA773" s="3">
        <f ca="1">IFERROR(__xludf.DUMMYFUNCTION("""COMPUTED_VALUE"""),591)</f>
        <v>591</v>
      </c>
      <c r="AB773" s="3">
        <f ca="1">IFERROR(__xludf.DUMMYFUNCTION("""COMPUTED_VALUE"""),0)</f>
        <v>0</v>
      </c>
      <c r="AC773" s="3">
        <f ca="1">IFERROR(__xludf.DUMMYFUNCTION("""COMPUTED_VALUE"""),3)</f>
        <v>3</v>
      </c>
      <c r="AD773" s="3" t="str">
        <f ca="1">IFERROR(__xludf.DUMMYFUNCTION("""COMPUTED_VALUE"""),"on time")</f>
        <v>on time</v>
      </c>
      <c r="AE773" s="3" t="str">
        <f ca="1">IFERROR(__xludf.DUMMYFUNCTION("""COMPUTED_VALUE"""),"2055-06-04T18:29:04.007739Z")</f>
        <v>2055-06-04T18:29:04.007739Z</v>
      </c>
      <c r="AF773" s="3" t="str">
        <f ca="1">IFERROR(__xludf.DUMMYFUNCTION("""COMPUTED_VALUE"""),"2055-06-04T18:38:55.789493Z")</f>
        <v>2055-06-04T18:38:55.789493Z</v>
      </c>
      <c r="AG773" s="3" t="str">
        <f ca="1">IFERROR(__xludf.DUMMYFUNCTION("""COMPUTED_VALUE"""),"2055-06-04T18:11:14.692998Z")</f>
        <v>2055-06-04T18:11:14.692998Z</v>
      </c>
      <c r="AH773" s="3" t="str">
        <f ca="1">IFERROR(__xludf.DUMMYFUNCTION("""COMPUTED_VALUE"""),"2055-06-04T18:29:02.104198Z")</f>
        <v>2055-06-04T18:29:02.104198Z</v>
      </c>
      <c r="AI773" s="3">
        <f ca="1">IFERROR(__xludf.DUMMYFUNCTION("""COMPUTED_VALUE"""),4.58)</f>
        <v>4.58</v>
      </c>
      <c r="AJ773" s="3">
        <f ca="1">IFERROR(__xludf.DUMMYFUNCTION("""COMPUTED_VALUE"""),254)</f>
        <v>254</v>
      </c>
      <c r="AK773" s="3">
        <f ca="1">IFERROR(__xludf.DUMMYFUNCTION("""COMPUTED_VALUE"""),788)</f>
        <v>788</v>
      </c>
      <c r="AL773" s="3">
        <f ca="1">IFERROR(__xludf.DUMMYFUNCTION("""COMPUTED_VALUE"""),9)</f>
        <v>9</v>
      </c>
    </row>
    <row r="774" spans="1:38" ht="13">
      <c r="A774" s="3">
        <f ca="1">IFERROR(__xludf.DUMMYFUNCTION("""COMPUTED_VALUE"""),569)</f>
        <v>569</v>
      </c>
      <c r="B774" s="3"/>
      <c r="C774" s="3">
        <f ca="1">IFERROR(__xludf.DUMMYFUNCTION("""COMPUTED_VALUE"""),4050)</f>
        <v>4050</v>
      </c>
      <c r="D774" s="3" t="str">
        <f ca="1">IFERROR(__xludf.DUMMYFUNCTION("""COMPUTED_VALUE"""),"Doorlanta")</f>
        <v>Doorlanta</v>
      </c>
      <c r="E774" s="3" t="str">
        <f ca="1">IFERROR(__xludf.DUMMYFUNCTION("""COMPUTED_VALUE"""),"Galaxy A")</f>
        <v>Galaxy A</v>
      </c>
      <c r="F774" s="3" t="str">
        <f ca="1">IFERROR(__xludf.DUMMYFUNCTION("""COMPUTED_VALUE"""),"Elon")</f>
        <v>Elon</v>
      </c>
      <c r="G774" s="3">
        <f ca="1">IFERROR(__xludf.DUMMYFUNCTION("""COMPUTED_VALUE"""),0)</f>
        <v>0</v>
      </c>
      <c r="H774" s="3" t="str">
        <f ca="1">IFERROR(__xludf.DUMMYFUNCTION("""COMPUTED_VALUE"""),"car")</f>
        <v>car</v>
      </c>
      <c r="I774" s="3" t="str">
        <f ca="1">IFERROR(__xludf.DUMMYFUNCTION("""COMPUTED_VALUE"""),"2055-06-05T16:57:16.408526Z")</f>
        <v>2055-06-05T16:57:16.408526Z</v>
      </c>
      <c r="J774" s="3" t="str">
        <f ca="1">IFERROR(__xludf.DUMMYFUNCTION("""COMPUTED_VALUE"""),"2055-06-05T17:54:27.477Z")</f>
        <v>2055-06-05T17:54:27.477Z</v>
      </c>
      <c r="K774" s="3" t="str">
        <f ca="1">IFERROR(__xludf.DUMMYFUNCTION("""COMPUTED_VALUE"""),"2055-06-05T17:34:20.477Z")</f>
        <v>2055-06-05T17:34:20.477Z</v>
      </c>
      <c r="L774" s="3">
        <f ca="1">IFERROR(__xludf.DUMMYFUNCTION("""COMPUTED_VALUE"""),1)</f>
        <v>1</v>
      </c>
      <c r="M774" s="3">
        <f ca="1">IFERROR(__xludf.DUMMYFUNCTION("""COMPUTED_VALUE"""),0)</f>
        <v>0</v>
      </c>
      <c r="N774" s="3" t="str">
        <f ca="1">IFERROR(__xludf.DUMMYFUNCTION("""COMPUTED_VALUE"""),"2055-06-05T17:30:56.924642Z")</f>
        <v>2055-06-05T17:30:56.924642Z</v>
      </c>
      <c r="O774" s="3" t="str">
        <f ca="1">IFERROR(__xludf.DUMMYFUNCTION("""COMPUTED_VALUE"""),"2055-06-05T17:43:52.373212Z")</f>
        <v>2055-06-05T17:43:52.373212Z</v>
      </c>
      <c r="P774" s="3" t="str">
        <f ca="1">IFERROR(__xludf.DUMMYFUNCTION("""COMPUTED_VALUE"""),"2055-06-05T17:19:55.341305Z")</f>
        <v>2055-06-05T17:19:55.341305Z</v>
      </c>
      <c r="Q774" s="3">
        <f ca="1">IFERROR(__xludf.DUMMYFUNCTION("""COMPUTED_VALUE"""),0)</f>
        <v>0</v>
      </c>
      <c r="R774" s="3" t="str">
        <f ca="1">IFERROR(__xludf.DUMMYFUNCTION("""COMPUTED_VALUE"""),"2055-06-05T17:20:12.712664Z")</f>
        <v>2055-06-05T17:20:12.712664Z</v>
      </c>
      <c r="S774" s="3" t="str">
        <f ca="1">IFERROR(__xludf.DUMMYFUNCTION("""COMPUTED_VALUE"""),"2055-06-05T17:29:45.389599Z")</f>
        <v>2055-06-05T17:29:45.389599Z</v>
      </c>
      <c r="T774" s="3"/>
      <c r="U774" s="4">
        <f ca="1">IFERROR(__xludf.DUMMYFUNCTION("""COMPUTED_VALUE"""),56770)</f>
        <v>56770</v>
      </c>
      <c r="V774" s="3">
        <f ca="1">IFERROR(__xludf.DUMMYFUNCTION("""COMPUTED_VALUE"""),4.4)</f>
        <v>4.4000000000000004</v>
      </c>
      <c r="W774" s="3">
        <f ca="1">IFERROR(__xludf.DUMMYFUNCTION("""COMPUTED_VALUE"""),1500)</f>
        <v>1500</v>
      </c>
      <c r="X774" s="3">
        <f ca="1">IFERROR(__xludf.DUMMYFUNCTION("""COMPUTED_VALUE"""),1420)</f>
        <v>1420</v>
      </c>
      <c r="Y774" s="3">
        <f ca="1">IFERROR(__xludf.DUMMYFUNCTION("""COMPUTED_VALUE"""),573)</f>
        <v>573</v>
      </c>
      <c r="Z774" s="3">
        <f ca="1">IFERROR(__xludf.DUMMYFUNCTION("""COMPUTED_VALUE"""),71)</f>
        <v>71</v>
      </c>
      <c r="AA774" s="3">
        <f ca="1">IFERROR(__xludf.DUMMYFUNCTION("""COMPUTED_VALUE"""),776)</f>
        <v>776</v>
      </c>
      <c r="AB774" s="3">
        <f ca="1">IFERROR(__xludf.DUMMYFUNCTION("""COMPUTED_VALUE"""),0)</f>
        <v>0</v>
      </c>
      <c r="AC774" s="3">
        <f ca="1">IFERROR(__xludf.DUMMYFUNCTION("""COMPUTED_VALUE"""),1)</f>
        <v>1</v>
      </c>
      <c r="AD774" s="3" t="str">
        <f ca="1">IFERROR(__xludf.DUMMYFUNCTION("""COMPUTED_VALUE"""),"late")</f>
        <v>late</v>
      </c>
      <c r="AE774" s="3" t="str">
        <f ca="1">IFERROR(__xludf.DUMMYFUNCTION("""COMPUTED_VALUE"""),"2055-06-05T13:30:56.924642Z")</f>
        <v>2055-06-05T13:30:56.924642Z</v>
      </c>
      <c r="AF774" s="3" t="str">
        <f ca="1">IFERROR(__xludf.DUMMYFUNCTION("""COMPUTED_VALUE"""),"2055-06-05T13:43:52.373212Z")</f>
        <v>2055-06-05T13:43:52.373212Z</v>
      </c>
      <c r="AG774" s="3" t="str">
        <f ca="1">IFERROR(__xludf.DUMMYFUNCTION("""COMPUTED_VALUE"""),"2055-06-05T13:19:55.341305Z")</f>
        <v>2055-06-05T13:19:55.341305Z</v>
      </c>
      <c r="AH774" s="3" t="str">
        <f ca="1">IFERROR(__xludf.DUMMYFUNCTION("""COMPUTED_VALUE"""),"2055-06-05T13:29:45.389599Z")</f>
        <v>2055-06-05T13:29:45.389599Z</v>
      </c>
      <c r="AI774" s="3">
        <f ca="1">IFERROR(__xludf.DUMMYFUNCTION("""COMPUTED_VALUE"""),4.62)</f>
        <v>4.62</v>
      </c>
      <c r="AJ774" s="3">
        <f ca="1">IFERROR(__xludf.DUMMYFUNCTION("""COMPUTED_VALUE"""),259)</f>
        <v>259</v>
      </c>
      <c r="AK774" s="3">
        <f ca="1">IFERROR(__xludf.DUMMYFUNCTION("""COMPUTED_VALUE"""),604)</f>
        <v>604</v>
      </c>
      <c r="AL774" s="3">
        <f ca="1">IFERROR(__xludf.DUMMYFUNCTION("""COMPUTED_VALUE"""),21)</f>
        <v>21</v>
      </c>
    </row>
    <row r="775" spans="1:38" ht="13">
      <c r="A775" s="3">
        <f ca="1">IFERROR(__xludf.DUMMYFUNCTION("""COMPUTED_VALUE"""),643)</f>
        <v>643</v>
      </c>
      <c r="B775" s="3"/>
      <c r="C775" s="3">
        <f ca="1">IFERROR(__xludf.DUMMYFUNCTION("""COMPUTED_VALUE"""),4001)</f>
        <v>4001</v>
      </c>
      <c r="D775" s="3" t="str">
        <f ca="1">IFERROR(__xludf.DUMMYFUNCTION("""COMPUTED_VALUE"""),"Dashattan")</f>
        <v>Dashattan</v>
      </c>
      <c r="E775" s="3" t="str">
        <f ca="1">IFERROR(__xludf.DUMMYFUNCTION("""COMPUTED_VALUE"""),"Galaxy A")</f>
        <v>Galaxy A</v>
      </c>
      <c r="F775" s="3" t="str">
        <f ca="1">IFERROR(__xludf.DUMMYFUNCTION("""COMPUTED_VALUE"""),"Arya")</f>
        <v>Arya</v>
      </c>
      <c r="G775" s="3">
        <f ca="1">IFERROR(__xludf.DUMMYFUNCTION("""COMPUTED_VALUE"""),0)</f>
        <v>0</v>
      </c>
      <c r="H775" s="3" t="str">
        <f ca="1">IFERROR(__xludf.DUMMYFUNCTION("""COMPUTED_VALUE"""),"bicycle")</f>
        <v>bicycle</v>
      </c>
      <c r="I775" s="3" t="str">
        <f ca="1">IFERROR(__xludf.DUMMYFUNCTION("""COMPUTED_VALUE"""),"2055-06-05T22:15:11.150479Z")</f>
        <v>2055-06-05T22:15:11.150479Z</v>
      </c>
      <c r="J775" s="3" t="str">
        <f ca="1">IFERROR(__xludf.DUMMYFUNCTION("""COMPUTED_VALUE"""),"2055-06-05T23:18:18.217Z")</f>
        <v>2055-06-05T23:18:18.217Z</v>
      </c>
      <c r="K775" s="3" t="str">
        <f ca="1">IFERROR(__xludf.DUMMYFUNCTION("""COMPUTED_VALUE"""),"2055-06-05T22:58:39.217Z")</f>
        <v>2055-06-05T22:58:39.217Z</v>
      </c>
      <c r="L775" s="3">
        <f ca="1">IFERROR(__xludf.DUMMYFUNCTION("""COMPUTED_VALUE"""),1)</f>
        <v>1</v>
      </c>
      <c r="M775" s="3">
        <f ca="1">IFERROR(__xludf.DUMMYFUNCTION("""COMPUTED_VALUE"""),0)</f>
        <v>0</v>
      </c>
      <c r="N775" s="3" t="str">
        <f ca="1">IFERROR(__xludf.DUMMYFUNCTION("""COMPUTED_VALUE"""),"2055-06-05T23:42:35.32698Z")</f>
        <v>2055-06-05T23:42:35.32698Z</v>
      </c>
      <c r="O775" s="3" t="str">
        <f ca="1">IFERROR(__xludf.DUMMYFUNCTION("""COMPUTED_VALUE"""),"2055-06-05T23:47:12.19938Z")</f>
        <v>2055-06-05T23:47:12.19938Z</v>
      </c>
      <c r="P775" s="3" t="str">
        <f ca="1">IFERROR(__xludf.DUMMYFUNCTION("""COMPUTED_VALUE"""),"2055-06-05T22:19:15.967801Z")</f>
        <v>2055-06-05T22:19:15.967801Z</v>
      </c>
      <c r="Q775" s="3">
        <f ca="1">IFERROR(__xludf.DUMMYFUNCTION("""COMPUTED_VALUE"""),0)</f>
        <v>0</v>
      </c>
      <c r="R775" s="3" t="str">
        <f ca="1">IFERROR(__xludf.DUMMYFUNCTION("""COMPUTED_VALUE"""),"2055-06-05T22:19:20.826115Z")</f>
        <v>2055-06-05T22:19:20.826115Z</v>
      </c>
      <c r="S775" s="3" t="str">
        <f ca="1">IFERROR(__xludf.DUMMYFUNCTION("""COMPUTED_VALUE"""),"2055-06-05T23:42:24.336577Z")</f>
        <v>2055-06-05T23:42:24.336577Z</v>
      </c>
      <c r="T775" s="3"/>
      <c r="U775" s="4">
        <f ca="1">IFERROR(__xludf.DUMMYFUNCTION("""COMPUTED_VALUE"""),56770)</f>
        <v>56770</v>
      </c>
      <c r="V775" s="3">
        <f ca="1">IFERROR(__xludf.DUMMYFUNCTION("""COMPUTED_VALUE"""),4.4)</f>
        <v>4.4000000000000004</v>
      </c>
      <c r="W775" s="3">
        <f ca="1">IFERROR(__xludf.DUMMYFUNCTION("""COMPUTED_VALUE"""),1500)</f>
        <v>1500</v>
      </c>
      <c r="X775" s="3">
        <f ca="1">IFERROR(__xludf.DUMMYFUNCTION("""COMPUTED_VALUE"""),5272)</f>
        <v>5272</v>
      </c>
      <c r="Y775" s="3">
        <f ca="1">IFERROR(__xludf.DUMMYFUNCTION("""COMPUTED_VALUE"""),4984)</f>
        <v>4984</v>
      </c>
      <c r="Z775" s="3">
        <f ca="1">IFERROR(__xludf.DUMMYFUNCTION("""COMPUTED_VALUE"""),11)</f>
        <v>11</v>
      </c>
      <c r="AA775" s="3">
        <f ca="1">IFERROR(__xludf.DUMMYFUNCTION("""COMPUTED_VALUE"""),277)</f>
        <v>277</v>
      </c>
      <c r="AB775" s="3">
        <f ca="1">IFERROR(__xludf.DUMMYFUNCTION("""COMPUTED_VALUE"""),1)</f>
        <v>1</v>
      </c>
      <c r="AC775" s="3">
        <f ca="1">IFERROR(__xludf.DUMMYFUNCTION("""COMPUTED_VALUE"""),1)</f>
        <v>1</v>
      </c>
      <c r="AD775" s="3"/>
      <c r="AE775" s="3" t="str">
        <f ca="1">IFERROR(__xludf.DUMMYFUNCTION("""COMPUTED_VALUE"""),"2055-06-05T19:42:35.32698Z")</f>
        <v>2055-06-05T19:42:35.32698Z</v>
      </c>
      <c r="AF775" s="3" t="str">
        <f ca="1">IFERROR(__xludf.DUMMYFUNCTION("""COMPUTED_VALUE"""),"2055-06-05T19:47:12.19938Z")</f>
        <v>2055-06-05T19:47:12.19938Z</v>
      </c>
      <c r="AG775" s="3" t="str">
        <f ca="1">IFERROR(__xludf.DUMMYFUNCTION("""COMPUTED_VALUE"""),"2055-06-05T18:19:15.967801Z")</f>
        <v>2055-06-05T18:19:15.967801Z</v>
      </c>
      <c r="AH775" s="3" t="str">
        <f ca="1">IFERROR(__xludf.DUMMYFUNCTION("""COMPUTED_VALUE"""),"2055-06-05T19:42:24.336577Z")</f>
        <v>2055-06-05T19:42:24.336577Z</v>
      </c>
      <c r="AI775" s="3">
        <f ca="1">IFERROR(__xludf.DUMMYFUNCTION("""COMPUTED_VALUE"""),4.17)</f>
        <v>4.17</v>
      </c>
      <c r="AJ775" s="3">
        <f ca="1">IFERROR(__xludf.DUMMYFUNCTION("""COMPUTED_VALUE"""),457)</f>
        <v>457</v>
      </c>
      <c r="AK775" s="3">
        <f ca="1">IFERROR(__xludf.DUMMYFUNCTION("""COMPUTED_VALUE"""),1599)</f>
        <v>1599</v>
      </c>
      <c r="AL775" s="3"/>
    </row>
    <row r="776" spans="1:38" ht="13">
      <c r="A776" s="3">
        <f ca="1">IFERROR(__xludf.DUMMYFUNCTION("""COMPUTED_VALUE"""),880)</f>
        <v>880</v>
      </c>
      <c r="B776" s="3">
        <f ca="1">IFERROR(__xludf.DUMMYFUNCTION("""COMPUTED_VALUE"""),1)</f>
        <v>1</v>
      </c>
      <c r="C776" s="3">
        <f ca="1">IFERROR(__xludf.DUMMYFUNCTION("""COMPUTED_VALUE"""),4050)</f>
        <v>4050</v>
      </c>
      <c r="D776" s="3" t="str">
        <f ca="1">IFERROR(__xludf.DUMMYFUNCTION("""COMPUTED_VALUE"""),"Doorlanta")</f>
        <v>Doorlanta</v>
      </c>
      <c r="E776" s="3" t="str">
        <f ca="1">IFERROR(__xludf.DUMMYFUNCTION("""COMPUTED_VALUE"""),"Galaxy A")</f>
        <v>Galaxy A</v>
      </c>
      <c r="F776" s="3" t="str">
        <f ca="1">IFERROR(__xludf.DUMMYFUNCTION("""COMPUTED_VALUE"""),"Carol")</f>
        <v>Carol</v>
      </c>
      <c r="G776" s="3">
        <f ca="1">IFERROR(__xludf.DUMMYFUNCTION("""COMPUTED_VALUE"""),0)</f>
        <v>0</v>
      </c>
      <c r="H776" s="3" t="str">
        <f ca="1">IFERROR(__xludf.DUMMYFUNCTION("""COMPUTED_VALUE"""),"car")</f>
        <v>car</v>
      </c>
      <c r="I776" s="3" t="str">
        <f ca="1">IFERROR(__xludf.DUMMYFUNCTION("""COMPUTED_VALUE"""),"2055-06-07T22:17:30.618251Z")</f>
        <v>2055-06-07T22:17:30.618251Z</v>
      </c>
      <c r="J776" s="3" t="str">
        <f ca="1">IFERROR(__xludf.DUMMYFUNCTION("""COMPUTED_VALUE"""),"2055-06-07T23:20:15.711Z")</f>
        <v>2055-06-07T23:20:15.711Z</v>
      </c>
      <c r="K776" s="3" t="str">
        <f ca="1">IFERROR(__xludf.DUMMYFUNCTION("""COMPUTED_VALUE"""),"2055-06-07T23:06:22.711Z")</f>
        <v>2055-06-07T23:06:22.711Z</v>
      </c>
      <c r="L776" s="3">
        <f ca="1">IFERROR(__xludf.DUMMYFUNCTION("""COMPUTED_VALUE"""),1)</f>
        <v>1</v>
      </c>
      <c r="M776" s="3">
        <f ca="1">IFERROR(__xludf.DUMMYFUNCTION("""COMPUTED_VALUE"""),0)</f>
        <v>0</v>
      </c>
      <c r="N776" s="3" t="str">
        <f ca="1">IFERROR(__xludf.DUMMYFUNCTION("""COMPUTED_VALUE"""),"2055-06-07T23:40:25.936182Z")</f>
        <v>2055-06-07T23:40:25.936182Z</v>
      </c>
      <c r="O776" s="3" t="str">
        <f ca="1">IFERROR(__xludf.DUMMYFUNCTION("""COMPUTED_VALUE"""),"2055-06-08T00:01:56.730891Z")</f>
        <v>2055-06-08T00:01:56.730891Z</v>
      </c>
      <c r="P776" s="3" t="str">
        <f ca="1">IFERROR(__xludf.DUMMYFUNCTION("""COMPUTED_VALUE"""),"2055-06-07T22:17:47.258699Z")</f>
        <v>2055-06-07T22:17:47.258699Z</v>
      </c>
      <c r="Q776" s="3">
        <f ca="1">IFERROR(__xludf.DUMMYFUNCTION("""COMPUTED_VALUE"""),0)</f>
        <v>0</v>
      </c>
      <c r="R776" s="3" t="str">
        <f ca="1">IFERROR(__xludf.DUMMYFUNCTION("""COMPUTED_VALUE"""),"2055-06-07T22:18:09.007528Z")</f>
        <v>2055-06-07T22:18:09.007528Z</v>
      </c>
      <c r="S776" s="3" t="str">
        <f ca="1">IFERROR(__xludf.DUMMYFUNCTION("""COMPUTED_VALUE"""),"2055-06-07T23:39:14.515013Z")</f>
        <v>2055-06-07T23:39:14.515013Z</v>
      </c>
      <c r="T776" s="3"/>
      <c r="U776" s="4">
        <f ca="1">IFERROR(__xludf.DUMMYFUNCTION("""COMPUTED_VALUE"""),56772)</f>
        <v>56772</v>
      </c>
      <c r="V776" s="3">
        <f ca="1">IFERROR(__xludf.DUMMYFUNCTION("""COMPUTED_VALUE"""),4.8)</f>
        <v>4.8</v>
      </c>
      <c r="W776" s="3">
        <f ca="1">IFERROR(__xludf.DUMMYFUNCTION("""COMPUTED_VALUE"""),1500)</f>
        <v>1500</v>
      </c>
      <c r="X776" s="3">
        <f ca="1">IFERROR(__xludf.DUMMYFUNCTION("""COMPUTED_VALUE"""),6227)</f>
        <v>6227</v>
      </c>
      <c r="Y776" s="3">
        <f ca="1">IFERROR(__xludf.DUMMYFUNCTION("""COMPUTED_VALUE"""),4865)</f>
        <v>4865</v>
      </c>
      <c r="Z776" s="3">
        <f ca="1">IFERROR(__xludf.DUMMYFUNCTION("""COMPUTED_VALUE"""),71)</f>
        <v>71</v>
      </c>
      <c r="AA776" s="3">
        <f ca="1">IFERROR(__xludf.DUMMYFUNCTION("""COMPUTED_VALUE"""),1291)</f>
        <v>1291</v>
      </c>
      <c r="AB776" s="3">
        <f ca="1">IFERROR(__xludf.DUMMYFUNCTION("""COMPUTED_VALUE"""),0)</f>
        <v>0</v>
      </c>
      <c r="AC776" s="3">
        <f ca="1">IFERROR(__xludf.DUMMYFUNCTION("""COMPUTED_VALUE"""),1)</f>
        <v>1</v>
      </c>
      <c r="AD776" s="3" t="str">
        <f ca="1">IFERROR(__xludf.DUMMYFUNCTION("""COMPUTED_VALUE"""),"late")</f>
        <v>late</v>
      </c>
      <c r="AE776" s="3" t="str">
        <f ca="1">IFERROR(__xludf.DUMMYFUNCTION("""COMPUTED_VALUE"""),"2055-06-07T19:40:25.936182Z")</f>
        <v>2055-06-07T19:40:25.936182Z</v>
      </c>
      <c r="AF776" s="3" t="str">
        <f ca="1">IFERROR(__xludf.DUMMYFUNCTION("""COMPUTED_VALUE"""),"2055-06-07T20:01:56.730891Z")</f>
        <v>2055-06-07T20:01:56.730891Z</v>
      </c>
      <c r="AG776" s="3" t="str">
        <f ca="1">IFERROR(__xludf.DUMMYFUNCTION("""COMPUTED_VALUE"""),"2055-06-07T18:17:47.258699Z")</f>
        <v>2055-06-07T18:17:47.258699Z</v>
      </c>
      <c r="AH776" s="3" t="str">
        <f ca="1">IFERROR(__xludf.DUMMYFUNCTION("""COMPUTED_VALUE"""),"2055-06-07T19:39:14.515013Z")</f>
        <v>2055-06-07T19:39:14.515013Z</v>
      </c>
      <c r="AI776" s="3">
        <f ca="1">IFERROR(__xludf.DUMMYFUNCTION("""COMPUTED_VALUE"""),4.452054795)</f>
        <v>4.4520547949999996</v>
      </c>
      <c r="AJ776" s="3">
        <f ca="1">IFERROR(__xludf.DUMMYFUNCTION("""COMPUTED_VALUE"""),59)</f>
        <v>59</v>
      </c>
      <c r="AK776" s="3">
        <f ca="1">IFERROR(__xludf.DUMMYFUNCTION("""COMPUTED_VALUE"""),171)</f>
        <v>171</v>
      </c>
      <c r="AL776" s="3">
        <f ca="1">IFERROR(__xludf.DUMMYFUNCTION("""COMPUTED_VALUE"""),52)</f>
        <v>52</v>
      </c>
    </row>
    <row r="777" spans="1:38" ht="13">
      <c r="A777" s="3">
        <f ca="1">IFERROR(__xludf.DUMMYFUNCTION("""COMPUTED_VALUE"""),1575)</f>
        <v>1575</v>
      </c>
      <c r="B777" s="3"/>
      <c r="C777" s="3">
        <f ca="1">IFERROR(__xludf.DUMMYFUNCTION("""COMPUTED_VALUE"""),4001)</f>
        <v>4001</v>
      </c>
      <c r="D777" s="3" t="str">
        <f ca="1">IFERROR(__xludf.DUMMYFUNCTION("""COMPUTED_VALUE"""),"Dashattan")</f>
        <v>Dashattan</v>
      </c>
      <c r="E777" s="3" t="str">
        <f ca="1">IFERROR(__xludf.DUMMYFUNCTION("""COMPUTED_VALUE"""),"Galaxy A")</f>
        <v>Galaxy A</v>
      </c>
      <c r="F777" s="3" t="str">
        <f ca="1">IFERROR(__xludf.DUMMYFUNCTION("""COMPUTED_VALUE"""),"Sean")</f>
        <v>Sean</v>
      </c>
      <c r="G777" s="3">
        <f ca="1">IFERROR(__xludf.DUMMYFUNCTION("""COMPUTED_VALUE"""),0)</f>
        <v>0</v>
      </c>
      <c r="H777" s="3" t="str">
        <f ca="1">IFERROR(__xludf.DUMMYFUNCTION("""COMPUTED_VALUE"""),"bicycle")</f>
        <v>bicycle</v>
      </c>
      <c r="I777" s="3" t="str">
        <f ca="1">IFERROR(__xludf.DUMMYFUNCTION("""COMPUTED_VALUE"""),"2055-06-13T16:33:07.37941Z")</f>
        <v>2055-06-13T16:33:07.37941Z</v>
      </c>
      <c r="J777" s="3" t="str">
        <f ca="1">IFERROR(__xludf.DUMMYFUNCTION("""COMPUTED_VALUE"""),"2055-06-13T17:24:26.441Z")</f>
        <v>2055-06-13T17:24:26.441Z</v>
      </c>
      <c r="K777" s="3" t="str">
        <f ca="1">IFERROR(__xludf.DUMMYFUNCTION("""COMPUTED_VALUE"""),"2055-06-13T17:04:19.441Z")</f>
        <v>2055-06-13T17:04:19.441Z</v>
      </c>
      <c r="L777" s="3">
        <f ca="1">IFERROR(__xludf.DUMMYFUNCTION("""COMPUTED_VALUE"""),1)</f>
        <v>1</v>
      </c>
      <c r="M777" s="3">
        <f ca="1">IFERROR(__xludf.DUMMYFUNCTION("""COMPUTED_VALUE"""),0)</f>
        <v>0</v>
      </c>
      <c r="N777" s="3" t="str">
        <f ca="1">IFERROR(__xludf.DUMMYFUNCTION("""COMPUTED_VALUE"""),"2055-06-13T16:45:39.420048Z")</f>
        <v>2055-06-13T16:45:39.420048Z</v>
      </c>
      <c r="O777" s="3" t="str">
        <f ca="1">IFERROR(__xludf.DUMMYFUNCTION("""COMPUTED_VALUE"""),"2055-06-13T16:52:44.408066Z")</f>
        <v>2055-06-13T16:52:44.408066Z</v>
      </c>
      <c r="P777" s="3" t="str">
        <f ca="1">IFERROR(__xludf.DUMMYFUNCTION("""COMPUTED_VALUE"""),"2055-06-13T16:33:14.075537Z")</f>
        <v>2055-06-13T16:33:14.075537Z</v>
      </c>
      <c r="Q777" s="3">
        <f ca="1">IFERROR(__xludf.DUMMYFUNCTION("""COMPUTED_VALUE"""),0)</f>
        <v>0</v>
      </c>
      <c r="R777" s="3" t="str">
        <f ca="1">IFERROR(__xludf.DUMMYFUNCTION("""COMPUTED_VALUE"""),"2055-06-13T16:33:42.715824Z")</f>
        <v>2055-06-13T16:33:42.715824Z</v>
      </c>
      <c r="S777" s="3" t="str">
        <f ca="1">IFERROR(__xludf.DUMMYFUNCTION("""COMPUTED_VALUE"""),"2055-06-13T16:38:16.828025Z")</f>
        <v>2055-06-13T16:38:16.828025Z</v>
      </c>
      <c r="T777" s="3"/>
      <c r="U777" s="4">
        <f ca="1">IFERROR(__xludf.DUMMYFUNCTION("""COMPUTED_VALUE"""),56778)</f>
        <v>56778</v>
      </c>
      <c r="V777" s="3">
        <f ca="1">IFERROR(__xludf.DUMMYFUNCTION("""COMPUTED_VALUE"""),4.6)</f>
        <v>4.5999999999999996</v>
      </c>
      <c r="W777" s="3">
        <f ca="1">IFERROR(__xludf.DUMMYFUNCTION("""COMPUTED_VALUE"""),1500)</f>
        <v>1500</v>
      </c>
      <c r="X777" s="3">
        <f ca="1">IFERROR(__xludf.DUMMYFUNCTION("""COMPUTED_VALUE"""),1142)</f>
        <v>1142</v>
      </c>
      <c r="Y777" s="3">
        <f ca="1">IFERROR(__xludf.DUMMYFUNCTION("""COMPUTED_VALUE"""),274)</f>
        <v>274</v>
      </c>
      <c r="Z777" s="3">
        <f ca="1">IFERROR(__xludf.DUMMYFUNCTION("""COMPUTED_VALUE"""),443)</f>
        <v>443</v>
      </c>
      <c r="AA777" s="3">
        <f ca="1">IFERROR(__xludf.DUMMYFUNCTION("""COMPUTED_VALUE"""),425)</f>
        <v>425</v>
      </c>
      <c r="AB777" s="3">
        <f ca="1">IFERROR(__xludf.DUMMYFUNCTION("""COMPUTED_VALUE"""),1)</f>
        <v>1</v>
      </c>
      <c r="AC777" s="3">
        <f ca="1">IFERROR(__xludf.DUMMYFUNCTION("""COMPUTED_VALUE"""),1)</f>
        <v>1</v>
      </c>
      <c r="AD777" s="3"/>
      <c r="AE777" s="3" t="str">
        <f ca="1">IFERROR(__xludf.DUMMYFUNCTION("""COMPUTED_VALUE"""),"2055-06-13T12:45:39.420048Z")</f>
        <v>2055-06-13T12:45:39.420048Z</v>
      </c>
      <c r="AF777" s="3" t="str">
        <f ca="1">IFERROR(__xludf.DUMMYFUNCTION("""COMPUTED_VALUE"""),"2055-06-13T12:52:44.408066Z")</f>
        <v>2055-06-13T12:52:44.408066Z</v>
      </c>
      <c r="AG777" s="3" t="str">
        <f ca="1">IFERROR(__xludf.DUMMYFUNCTION("""COMPUTED_VALUE"""),"2055-06-13T12:33:14.075537Z")</f>
        <v>2055-06-13T12:33:14.075537Z</v>
      </c>
      <c r="AH777" s="3" t="str">
        <f ca="1">IFERROR(__xludf.DUMMYFUNCTION("""COMPUTED_VALUE"""),"2055-06-13T12:38:16.828025Z")</f>
        <v>2055-06-13T12:38:16.828025Z</v>
      </c>
      <c r="AI777" s="3">
        <f ca="1">IFERROR(__xludf.DUMMYFUNCTION("""COMPUTED_VALUE"""),4.52)</f>
        <v>4.5199999999999996</v>
      </c>
      <c r="AJ777" s="3">
        <f ca="1">IFERROR(__xludf.DUMMYFUNCTION("""COMPUTED_VALUE"""),183)</f>
        <v>183</v>
      </c>
      <c r="AK777" s="3">
        <f ca="1">IFERROR(__xludf.DUMMYFUNCTION("""COMPUTED_VALUE"""),522)</f>
        <v>522</v>
      </c>
      <c r="AL777" s="3"/>
    </row>
    <row r="778" spans="1:38" ht="13">
      <c r="A778" s="3">
        <f ca="1">IFERROR(__xludf.DUMMYFUNCTION("""COMPUTED_VALUE"""),233)</f>
        <v>233</v>
      </c>
      <c r="B778" s="3"/>
      <c r="C778" s="3">
        <f ca="1">IFERROR(__xludf.DUMMYFUNCTION("""COMPUTED_VALUE"""),4001)</f>
        <v>4001</v>
      </c>
      <c r="D778" s="3" t="str">
        <f ca="1">IFERROR(__xludf.DUMMYFUNCTION("""COMPUTED_VALUE"""),"Dashattan")</f>
        <v>Dashattan</v>
      </c>
      <c r="E778" s="3" t="str">
        <f ca="1">IFERROR(__xludf.DUMMYFUNCTION("""COMPUTED_VALUE"""),"Galaxy A")</f>
        <v>Galaxy A</v>
      </c>
      <c r="F778" s="3" t="str">
        <f ca="1">IFERROR(__xludf.DUMMYFUNCTION("""COMPUTED_VALUE"""),"Arya")</f>
        <v>Arya</v>
      </c>
      <c r="G778" s="3">
        <f ca="1">IFERROR(__xludf.DUMMYFUNCTION("""COMPUTED_VALUE"""),0)</f>
        <v>0</v>
      </c>
      <c r="H778" s="3" t="str">
        <f ca="1">IFERROR(__xludf.DUMMYFUNCTION("""COMPUTED_VALUE"""),"bicycle")</f>
        <v>bicycle</v>
      </c>
      <c r="I778" s="3" t="str">
        <f ca="1">IFERROR(__xludf.DUMMYFUNCTION("""COMPUTED_VALUE"""),"2055-06-03T00:55:36.83944Z")</f>
        <v>2055-06-03T00:55:36.83944Z</v>
      </c>
      <c r="J778" s="3" t="str">
        <f ca="1">IFERROR(__xludf.DUMMYFUNCTION("""COMPUTED_VALUE"""),"2055-06-03T01:42:46.897Z")</f>
        <v>2055-06-03T01:42:46.897Z</v>
      </c>
      <c r="K778" s="3" t="str">
        <f ca="1">IFERROR(__xludf.DUMMYFUNCTION("""COMPUTED_VALUE"""),"2055-06-03T01:23:07.897Z")</f>
        <v>2055-06-03T01:23:07.897Z</v>
      </c>
      <c r="L778" s="3">
        <f ca="1">IFERROR(__xludf.DUMMYFUNCTION("""COMPUTED_VALUE"""),1)</f>
        <v>1</v>
      </c>
      <c r="M778" s="3">
        <f ca="1">IFERROR(__xludf.DUMMYFUNCTION("""COMPUTED_VALUE"""),0)</f>
        <v>0</v>
      </c>
      <c r="N778" s="3" t="str">
        <f ca="1">IFERROR(__xludf.DUMMYFUNCTION("""COMPUTED_VALUE"""),"2055-06-03T01:28:10.049871Z")</f>
        <v>2055-06-03T01:28:10.049871Z</v>
      </c>
      <c r="O778" s="3" t="str">
        <f ca="1">IFERROR(__xludf.DUMMYFUNCTION("""COMPUTED_VALUE"""),"2055-06-03T01:36:42.752315Z")</f>
        <v>2055-06-03T01:36:42.752315Z</v>
      </c>
      <c r="P778" s="3" t="str">
        <f ca="1">IFERROR(__xludf.DUMMYFUNCTION("""COMPUTED_VALUE"""),"2055-06-03T01:01:54.875911Z")</f>
        <v>2055-06-03T01:01:54.875911Z</v>
      </c>
      <c r="Q778" s="3">
        <f ca="1">IFERROR(__xludf.DUMMYFUNCTION("""COMPUTED_VALUE"""),0)</f>
        <v>0</v>
      </c>
      <c r="R778" s="3" t="str">
        <f ca="1">IFERROR(__xludf.DUMMYFUNCTION("""COMPUTED_VALUE"""),"2055-06-03T01:02:01.507672Z")</f>
        <v>2055-06-03T01:02:01.507672Z</v>
      </c>
      <c r="S778" s="3" t="str">
        <f ca="1">IFERROR(__xludf.DUMMYFUNCTION("""COMPUTED_VALUE"""),"2055-06-03T01:25:18.595718Z")</f>
        <v>2055-06-03T01:25:18.595718Z</v>
      </c>
      <c r="T778" s="3"/>
      <c r="U778" s="4">
        <f ca="1">IFERROR(__xludf.DUMMYFUNCTION("""COMPUTED_VALUE"""),56767)</f>
        <v>56767</v>
      </c>
      <c r="V778" s="3">
        <f ca="1">IFERROR(__xludf.DUMMYFUNCTION("""COMPUTED_VALUE"""),4.5)</f>
        <v>4.5</v>
      </c>
      <c r="W778" s="3">
        <f ca="1">IFERROR(__xludf.DUMMYFUNCTION("""COMPUTED_VALUE"""),1500)</f>
        <v>1500</v>
      </c>
      <c r="X778" s="3">
        <f ca="1">IFERROR(__xludf.DUMMYFUNCTION("""COMPUTED_VALUE"""),2081)</f>
        <v>2081</v>
      </c>
      <c r="Y778" s="3">
        <f ca="1">IFERROR(__xludf.DUMMYFUNCTION("""COMPUTED_VALUE"""),1397)</f>
        <v>1397</v>
      </c>
      <c r="Z778" s="3">
        <f ca="1">IFERROR(__xludf.DUMMYFUNCTION("""COMPUTED_VALUE"""),172)</f>
        <v>172</v>
      </c>
      <c r="AA778" s="3">
        <f ca="1">IFERROR(__xludf.DUMMYFUNCTION("""COMPUTED_VALUE"""),512)</f>
        <v>512</v>
      </c>
      <c r="AB778" s="3">
        <f ca="1">IFERROR(__xludf.DUMMYFUNCTION("""COMPUTED_VALUE"""),0)</f>
        <v>0</v>
      </c>
      <c r="AC778" s="3">
        <f ca="1">IFERROR(__xludf.DUMMYFUNCTION("""COMPUTED_VALUE"""),2)</f>
        <v>2</v>
      </c>
      <c r="AD778" s="3" t="str">
        <f ca="1">IFERROR(__xludf.DUMMYFUNCTION("""COMPUTED_VALUE"""),"on time")</f>
        <v>on time</v>
      </c>
      <c r="AE778" s="3" t="str">
        <f ca="1">IFERROR(__xludf.DUMMYFUNCTION("""COMPUTED_VALUE"""),"2055-06-02T21:28:10.049871Z")</f>
        <v>2055-06-02T21:28:10.049871Z</v>
      </c>
      <c r="AF778" s="3" t="str">
        <f ca="1">IFERROR(__xludf.DUMMYFUNCTION("""COMPUTED_VALUE"""),"2055-06-02T21:36:42.752315Z")</f>
        <v>2055-06-02T21:36:42.752315Z</v>
      </c>
      <c r="AG778" s="3" t="str">
        <f ca="1">IFERROR(__xludf.DUMMYFUNCTION("""COMPUTED_VALUE"""),"2055-06-02T21:01:54.875911Z")</f>
        <v>2055-06-02T21:01:54.875911Z</v>
      </c>
      <c r="AH778" s="3" t="str">
        <f ca="1">IFERROR(__xludf.DUMMYFUNCTION("""COMPUTED_VALUE"""),"2055-06-02T21:25:18.595718Z")</f>
        <v>2055-06-02T21:25:18.595718Z</v>
      </c>
      <c r="AI778" s="3">
        <f ca="1">IFERROR(__xludf.DUMMYFUNCTION("""COMPUTED_VALUE"""),4.17)</f>
        <v>4.17</v>
      </c>
      <c r="AJ778" s="3">
        <f ca="1">IFERROR(__xludf.DUMMYFUNCTION("""COMPUTED_VALUE"""),457)</f>
        <v>457</v>
      </c>
      <c r="AK778" s="3">
        <f ca="1">IFERROR(__xludf.DUMMYFUNCTION("""COMPUTED_VALUE"""),1599)</f>
        <v>1599</v>
      </c>
      <c r="AL778" s="3"/>
    </row>
    <row r="779" spans="1:38" ht="13">
      <c r="A779" s="3">
        <f ca="1">IFERROR(__xludf.DUMMYFUNCTION("""COMPUTED_VALUE"""),391)</f>
        <v>391</v>
      </c>
      <c r="B779" s="3">
        <f ca="1">IFERROR(__xludf.DUMMYFUNCTION("""COMPUTED_VALUE"""),5)</f>
        <v>5</v>
      </c>
      <c r="C779" s="3">
        <f ca="1">IFERROR(__xludf.DUMMYFUNCTION("""COMPUTED_VALUE"""),4050)</f>
        <v>4050</v>
      </c>
      <c r="D779" s="3" t="str">
        <f ca="1">IFERROR(__xludf.DUMMYFUNCTION("""COMPUTED_VALUE"""),"Doorlanta")</f>
        <v>Doorlanta</v>
      </c>
      <c r="E779" s="3" t="str">
        <f ca="1">IFERROR(__xludf.DUMMYFUNCTION("""COMPUTED_VALUE"""),"Galaxy A")</f>
        <v>Galaxy A</v>
      </c>
      <c r="F779" s="3" t="str">
        <f ca="1">IFERROR(__xludf.DUMMYFUNCTION("""COMPUTED_VALUE"""),"Andy")</f>
        <v>Andy</v>
      </c>
      <c r="G779" s="3">
        <f ca="1">IFERROR(__xludf.DUMMYFUNCTION("""COMPUTED_VALUE"""),0)</f>
        <v>0</v>
      </c>
      <c r="H779" s="3" t="str">
        <f ca="1">IFERROR(__xludf.DUMMYFUNCTION("""COMPUTED_VALUE"""),"car")</f>
        <v>car</v>
      </c>
      <c r="I779" s="3" t="str">
        <f ca="1">IFERROR(__xludf.DUMMYFUNCTION("""COMPUTED_VALUE"""),"2055-06-04T01:21:35.116607Z")</f>
        <v>2055-06-04T01:21:35.116607Z</v>
      </c>
      <c r="J779" s="3" t="str">
        <f ca="1">IFERROR(__xludf.DUMMYFUNCTION("""COMPUTED_VALUE"""),"2055-06-04T02:18:53.21Z")</f>
        <v>2055-06-04T02:18:53.21Z</v>
      </c>
      <c r="K779" s="3" t="str">
        <f ca="1">IFERROR(__xludf.DUMMYFUNCTION("""COMPUTED_VALUE"""),"2055-06-04T02:00:00.21Z")</f>
        <v>2055-06-04T02:00:00.21Z</v>
      </c>
      <c r="L779" s="3">
        <f ca="1">IFERROR(__xludf.DUMMYFUNCTION("""COMPUTED_VALUE"""),1)</f>
        <v>1</v>
      </c>
      <c r="M779" s="3">
        <f ca="1">IFERROR(__xludf.DUMMYFUNCTION("""COMPUTED_VALUE"""),0)</f>
        <v>0</v>
      </c>
      <c r="N779" s="3" t="str">
        <f ca="1">IFERROR(__xludf.DUMMYFUNCTION("""COMPUTED_VALUE"""),"2055-06-04T01:50:39.149124Z")</f>
        <v>2055-06-04T01:50:39.149124Z</v>
      </c>
      <c r="O779" s="3" t="str">
        <f ca="1">IFERROR(__xludf.DUMMYFUNCTION("""COMPUTED_VALUE"""),"2055-06-04T02:05:00.996048Z")</f>
        <v>2055-06-04T02:05:00.996048Z</v>
      </c>
      <c r="P779" s="3" t="str">
        <f ca="1">IFERROR(__xludf.DUMMYFUNCTION("""COMPUTED_VALUE"""),"2055-06-04T01:33:07.336214Z")</f>
        <v>2055-06-04T01:33:07.336214Z</v>
      </c>
      <c r="Q779" s="3">
        <f ca="1">IFERROR(__xludf.DUMMYFUNCTION("""COMPUTED_VALUE"""),0)</f>
        <v>0</v>
      </c>
      <c r="R779" s="3" t="str">
        <f ca="1">IFERROR(__xludf.DUMMYFUNCTION("""COMPUTED_VALUE"""),"2055-06-04T01:33:11.078277Z")</f>
        <v>2055-06-04T01:33:11.078277Z</v>
      </c>
      <c r="S779" s="3" t="str">
        <f ca="1">IFERROR(__xludf.DUMMYFUNCTION("""COMPUTED_VALUE"""),"2055-06-04T01:43:29.309963Z")</f>
        <v>2055-06-04T01:43:29.309963Z</v>
      </c>
      <c r="T779" s="3"/>
      <c r="U779" s="4">
        <f ca="1">IFERROR(__xludf.DUMMYFUNCTION("""COMPUTED_VALUE"""),56768)</f>
        <v>56768</v>
      </c>
      <c r="V779" s="3">
        <f ca="1">IFERROR(__xludf.DUMMYFUNCTION("""COMPUTED_VALUE"""),4.3)</f>
        <v>4.3</v>
      </c>
      <c r="W779" s="3">
        <f ca="1">IFERROR(__xludf.DUMMYFUNCTION("""COMPUTED_VALUE"""),1500)</f>
        <v>1500</v>
      </c>
      <c r="X779" s="3">
        <f ca="1">IFERROR(__xludf.DUMMYFUNCTION("""COMPUTED_VALUE"""),1909)</f>
        <v>1909</v>
      </c>
      <c r="Y779" s="3">
        <f ca="1">IFERROR(__xludf.DUMMYFUNCTION("""COMPUTED_VALUE"""),618)</f>
        <v>618</v>
      </c>
      <c r="Z779" s="3">
        <f ca="1">IFERROR(__xludf.DUMMYFUNCTION("""COMPUTED_VALUE"""),430)</f>
        <v>430</v>
      </c>
      <c r="AA779" s="3">
        <f ca="1">IFERROR(__xludf.DUMMYFUNCTION("""COMPUTED_VALUE"""),861)</f>
        <v>861</v>
      </c>
      <c r="AB779" s="3">
        <f ca="1">IFERROR(__xludf.DUMMYFUNCTION("""COMPUTED_VALUE"""),0)</f>
        <v>0</v>
      </c>
      <c r="AC779" s="3">
        <f ca="1">IFERROR(__xludf.DUMMYFUNCTION("""COMPUTED_VALUE"""),2)</f>
        <v>2</v>
      </c>
      <c r="AD779" s="3" t="str">
        <f ca="1">IFERROR(__xludf.DUMMYFUNCTION("""COMPUTED_VALUE"""),"on time")</f>
        <v>on time</v>
      </c>
      <c r="AE779" s="3" t="str">
        <f ca="1">IFERROR(__xludf.DUMMYFUNCTION("""COMPUTED_VALUE"""),"2055-06-03T21:50:39.149124Z")</f>
        <v>2055-06-03T21:50:39.149124Z</v>
      </c>
      <c r="AF779" s="3" t="str">
        <f ca="1">IFERROR(__xludf.DUMMYFUNCTION("""COMPUTED_VALUE"""),"2055-06-03T22:05:00.996048Z")</f>
        <v>2055-06-03T22:05:00.996048Z</v>
      </c>
      <c r="AG779" s="3" t="str">
        <f ca="1">IFERROR(__xludf.DUMMYFUNCTION("""COMPUTED_VALUE"""),"2055-06-03T21:33:07.336214Z")</f>
        <v>2055-06-03T21:33:07.336214Z</v>
      </c>
      <c r="AH779" s="3" t="str">
        <f ca="1">IFERROR(__xludf.DUMMYFUNCTION("""COMPUTED_VALUE"""),"2055-06-03T21:43:29.309963Z")</f>
        <v>2055-06-03T21:43:29.309963Z</v>
      </c>
      <c r="AI779" s="3">
        <f ca="1">IFERROR(__xludf.DUMMYFUNCTION("""COMPUTED_VALUE"""),4.5)</f>
        <v>4.5</v>
      </c>
      <c r="AJ779" s="3">
        <f ca="1">IFERROR(__xludf.DUMMYFUNCTION("""COMPUTED_VALUE"""),55)</f>
        <v>55</v>
      </c>
      <c r="AK779" s="3">
        <f ca="1">IFERROR(__xludf.DUMMYFUNCTION("""COMPUTED_VALUE"""),211)</f>
        <v>211</v>
      </c>
      <c r="AL779" s="3">
        <f ca="1">IFERROR(__xludf.DUMMYFUNCTION("""COMPUTED_VALUE"""),6)</f>
        <v>6</v>
      </c>
    </row>
    <row r="780" spans="1:38" ht="13">
      <c r="A780" s="3">
        <f ca="1">IFERROR(__xludf.DUMMYFUNCTION("""COMPUTED_VALUE"""),809)</f>
        <v>809</v>
      </c>
      <c r="B780" s="3">
        <f ca="1">IFERROR(__xludf.DUMMYFUNCTION("""COMPUTED_VALUE"""),5)</f>
        <v>5</v>
      </c>
      <c r="C780" s="3">
        <f ca="1">IFERROR(__xludf.DUMMYFUNCTION("""COMPUTED_VALUE"""),4001)</f>
        <v>4001</v>
      </c>
      <c r="D780" s="3" t="str">
        <f ca="1">IFERROR(__xludf.DUMMYFUNCTION("""COMPUTED_VALUE"""),"Dashattan")</f>
        <v>Dashattan</v>
      </c>
      <c r="E780" s="3" t="str">
        <f ca="1">IFERROR(__xludf.DUMMYFUNCTION("""COMPUTED_VALUE"""),"Galaxy A")</f>
        <v>Galaxy A</v>
      </c>
      <c r="F780" s="3" t="str">
        <f ca="1">IFERROR(__xludf.DUMMYFUNCTION("""COMPUTED_VALUE"""),"Rachael")</f>
        <v>Rachael</v>
      </c>
      <c r="G780" s="3">
        <f ca="1">IFERROR(__xludf.DUMMYFUNCTION("""COMPUTED_VALUE"""),0)</f>
        <v>0</v>
      </c>
      <c r="H780" s="3" t="str">
        <f ca="1">IFERROR(__xludf.DUMMYFUNCTION("""COMPUTED_VALUE"""),"bicycle")</f>
        <v>bicycle</v>
      </c>
      <c r="I780" s="3" t="str">
        <f ca="1">IFERROR(__xludf.DUMMYFUNCTION("""COMPUTED_VALUE"""),"2055-06-07T00:34:29.550476Z")</f>
        <v>2055-06-07T00:34:29.550476Z</v>
      </c>
      <c r="J780" s="3" t="str">
        <f ca="1">IFERROR(__xludf.DUMMYFUNCTION("""COMPUTED_VALUE"""),"2055-06-07T01:53:12.611Z")</f>
        <v>2055-06-07T01:53:12.611Z</v>
      </c>
      <c r="K780" s="3" t="str">
        <f ca="1">IFERROR(__xludf.DUMMYFUNCTION("""COMPUTED_VALUE"""),"2055-06-07T01:33:05.611Z")</f>
        <v>2055-06-07T01:33:05.611Z</v>
      </c>
      <c r="L780" s="3">
        <f ca="1">IFERROR(__xludf.DUMMYFUNCTION("""COMPUTED_VALUE"""),1)</f>
        <v>1</v>
      </c>
      <c r="M780" s="3">
        <f ca="1">IFERROR(__xludf.DUMMYFUNCTION("""COMPUTED_VALUE"""),0)</f>
        <v>0</v>
      </c>
      <c r="N780" s="3" t="str">
        <f ca="1">IFERROR(__xludf.DUMMYFUNCTION("""COMPUTED_VALUE"""),"2055-06-07T01:13:50.909796Z")</f>
        <v>2055-06-07T01:13:50.909796Z</v>
      </c>
      <c r="O780" s="3" t="str">
        <f ca="1">IFERROR(__xludf.DUMMYFUNCTION("""COMPUTED_VALUE"""),"2055-06-07T01:50:25.956107Z")</f>
        <v>2055-06-07T01:50:25.956107Z</v>
      </c>
      <c r="P780" s="3" t="str">
        <f ca="1">IFERROR(__xludf.DUMMYFUNCTION("""COMPUTED_VALUE"""),"2055-06-07T00:34:35.092687Z")</f>
        <v>2055-06-07T00:34:35.092687Z</v>
      </c>
      <c r="Q780" s="3">
        <f ca="1">IFERROR(__xludf.DUMMYFUNCTION("""COMPUTED_VALUE"""),0)</f>
        <v>0</v>
      </c>
      <c r="R780" s="3" t="str">
        <f ca="1">IFERROR(__xludf.DUMMYFUNCTION("""COMPUTED_VALUE"""),"2055-06-07T00:35:21.091482Z")</f>
        <v>2055-06-07T00:35:21.091482Z</v>
      </c>
      <c r="S780" s="3" t="str">
        <f ca="1">IFERROR(__xludf.DUMMYFUNCTION("""COMPUTED_VALUE"""),"2055-06-07T00:53:04.267687Z")</f>
        <v>2055-06-07T00:53:04.267687Z</v>
      </c>
      <c r="T780" s="3"/>
      <c r="U780" s="4">
        <f ca="1">IFERROR(__xludf.DUMMYFUNCTION("""COMPUTED_VALUE"""),56771)</f>
        <v>56771</v>
      </c>
      <c r="V780" s="3">
        <f ca="1">IFERROR(__xludf.DUMMYFUNCTION("""COMPUTED_VALUE"""),4.3)</f>
        <v>4.3</v>
      </c>
      <c r="W780" s="3">
        <f ca="1">IFERROR(__xludf.DUMMYFUNCTION("""COMPUTED_VALUE"""),1500)</f>
        <v>1500</v>
      </c>
      <c r="X780" s="3">
        <f ca="1">IFERROR(__xludf.DUMMYFUNCTION("""COMPUTED_VALUE"""),4504)</f>
        <v>4504</v>
      </c>
      <c r="Y780" s="3">
        <f ca="1">IFERROR(__xludf.DUMMYFUNCTION("""COMPUTED_VALUE"""),1063)</f>
        <v>1063</v>
      </c>
      <c r="Z780" s="3">
        <f ca="1">IFERROR(__xludf.DUMMYFUNCTION("""COMPUTED_VALUE"""),1246)</f>
        <v>1246</v>
      </c>
      <c r="AA780" s="3">
        <f ca="1">IFERROR(__xludf.DUMMYFUNCTION("""COMPUTED_VALUE"""),2195)</f>
        <v>2195</v>
      </c>
      <c r="AB780" s="3">
        <f ca="1">IFERROR(__xludf.DUMMYFUNCTION("""COMPUTED_VALUE"""),0)</f>
        <v>0</v>
      </c>
      <c r="AC780" s="3">
        <f ca="1">IFERROR(__xludf.DUMMYFUNCTION("""COMPUTED_VALUE"""),2)</f>
        <v>2</v>
      </c>
      <c r="AD780" s="3" t="str">
        <f ca="1">IFERROR(__xludf.DUMMYFUNCTION("""COMPUTED_VALUE"""),"early")</f>
        <v>early</v>
      </c>
      <c r="AE780" s="3" t="str">
        <f ca="1">IFERROR(__xludf.DUMMYFUNCTION("""COMPUTED_VALUE"""),"2055-06-06T21:13:50.909796Z")</f>
        <v>2055-06-06T21:13:50.909796Z</v>
      </c>
      <c r="AF780" s="3" t="str">
        <f ca="1">IFERROR(__xludf.DUMMYFUNCTION("""COMPUTED_VALUE"""),"2055-06-06T21:50:25.956107Z")</f>
        <v>2055-06-06T21:50:25.956107Z</v>
      </c>
      <c r="AG780" s="3" t="str">
        <f ca="1">IFERROR(__xludf.DUMMYFUNCTION("""COMPUTED_VALUE"""),"2055-06-06T20:34:35.092687Z")</f>
        <v>2055-06-06T20:34:35.092687Z</v>
      </c>
      <c r="AH780" s="3" t="str">
        <f ca="1">IFERROR(__xludf.DUMMYFUNCTION("""COMPUTED_VALUE"""),"2055-06-06T20:53:04.267687Z")</f>
        <v>2055-06-06T20:53:04.267687Z</v>
      </c>
      <c r="AI780" s="3">
        <f ca="1">IFERROR(__xludf.DUMMYFUNCTION("""COMPUTED_VALUE"""),4.47)</f>
        <v>4.47</v>
      </c>
      <c r="AJ780" s="3">
        <f ca="1">IFERROR(__xludf.DUMMYFUNCTION("""COMPUTED_VALUE"""),78)</f>
        <v>78</v>
      </c>
      <c r="AK780" s="3">
        <f ca="1">IFERROR(__xludf.DUMMYFUNCTION("""COMPUTED_VALUE"""),278)</f>
        <v>278</v>
      </c>
      <c r="AL780" s="3">
        <f ca="1">IFERROR(__xludf.DUMMYFUNCTION("""COMPUTED_VALUE"""),26)</f>
        <v>26</v>
      </c>
    </row>
    <row r="781" spans="1:38" ht="13">
      <c r="A781" s="3">
        <f ca="1">IFERROR(__xludf.DUMMYFUNCTION("""COMPUTED_VALUE"""),1419)</f>
        <v>1419</v>
      </c>
      <c r="B781" s="3"/>
      <c r="C781" s="3">
        <f ca="1">IFERROR(__xludf.DUMMYFUNCTION("""COMPUTED_VALUE"""),4001)</f>
        <v>4001</v>
      </c>
      <c r="D781" s="3" t="str">
        <f ca="1">IFERROR(__xludf.DUMMYFUNCTION("""COMPUTED_VALUE"""),"Dashattan")</f>
        <v>Dashattan</v>
      </c>
      <c r="E781" s="3" t="str">
        <f ca="1">IFERROR(__xludf.DUMMYFUNCTION("""COMPUTED_VALUE"""),"Galaxy A")</f>
        <v>Galaxy A</v>
      </c>
      <c r="F781" s="3" t="str">
        <f ca="1">IFERROR(__xludf.DUMMYFUNCTION("""COMPUTED_VALUE"""),"KC")</f>
        <v>KC</v>
      </c>
      <c r="G781" s="3">
        <f ca="1">IFERROR(__xludf.DUMMYFUNCTION("""COMPUTED_VALUE"""),0)</f>
        <v>0</v>
      </c>
      <c r="H781" s="3" t="str">
        <f ca="1">IFERROR(__xludf.DUMMYFUNCTION("""COMPUTED_VALUE"""),"car")</f>
        <v>car</v>
      </c>
      <c r="I781" s="3" t="str">
        <f ca="1">IFERROR(__xludf.DUMMYFUNCTION("""COMPUTED_VALUE"""),"2055-06-12T17:52:42.912085Z")</f>
        <v>2055-06-12T17:52:42.912085Z</v>
      </c>
      <c r="J781" s="3" t="str">
        <f ca="1">IFERROR(__xludf.DUMMYFUNCTION("""COMPUTED_VALUE"""),"2055-06-12T18:47:32.965Z")</f>
        <v>2055-06-12T18:47:32.965Z</v>
      </c>
      <c r="K781" s="3" t="str">
        <f ca="1">IFERROR(__xludf.DUMMYFUNCTION("""COMPUTED_VALUE"""),"2055-06-12T18:38:39.965Z")</f>
        <v>2055-06-12T18:38:39.965Z</v>
      </c>
      <c r="L781" s="3">
        <f ca="1">IFERROR(__xludf.DUMMYFUNCTION("""COMPUTED_VALUE"""),1)</f>
        <v>1</v>
      </c>
      <c r="M781" s="3">
        <f ca="1">IFERROR(__xludf.DUMMYFUNCTION("""COMPUTED_VALUE"""),0)</f>
        <v>0</v>
      </c>
      <c r="N781" s="3" t="str">
        <f ca="1">IFERROR(__xludf.DUMMYFUNCTION("""COMPUTED_VALUE"""),"2055-06-12T18:24:22.370055Z")</f>
        <v>2055-06-12T18:24:22.370055Z</v>
      </c>
      <c r="O781" s="3" t="str">
        <f ca="1">IFERROR(__xludf.DUMMYFUNCTION("""COMPUTED_VALUE"""),"2055-06-12T18:37:52.951179Z")</f>
        <v>2055-06-12T18:37:52.951179Z</v>
      </c>
      <c r="P781" s="3" t="str">
        <f ca="1">IFERROR(__xludf.DUMMYFUNCTION("""COMPUTED_VALUE"""),"2055-06-12T17:57:14.441497Z")</f>
        <v>2055-06-12T17:57:14.441497Z</v>
      </c>
      <c r="Q781" s="3">
        <f ca="1">IFERROR(__xludf.DUMMYFUNCTION("""COMPUTED_VALUE"""),0)</f>
        <v>0</v>
      </c>
      <c r="R781" s="3" t="str">
        <f ca="1">IFERROR(__xludf.DUMMYFUNCTION("""COMPUTED_VALUE"""),"2055-06-12T17:57:32.941183Z")</f>
        <v>2055-06-12T17:57:32.941183Z</v>
      </c>
      <c r="S781" s="3"/>
      <c r="T781" s="3"/>
      <c r="U781" s="4">
        <f ca="1">IFERROR(__xludf.DUMMYFUNCTION("""COMPUTED_VALUE"""),56777)</f>
        <v>56777</v>
      </c>
      <c r="V781" s="3">
        <f ca="1">IFERROR(__xludf.DUMMYFUNCTION("""COMPUTED_VALUE"""),4.3)</f>
        <v>4.3</v>
      </c>
      <c r="W781" s="3">
        <f ca="1">IFERROR(__xludf.DUMMYFUNCTION("""COMPUTED_VALUE"""),1500)</f>
        <v>1500</v>
      </c>
      <c r="X781" s="3">
        <f ca="1">IFERROR(__xludf.DUMMYFUNCTION("""COMPUTED_VALUE"""),2420)</f>
        <v>2420</v>
      </c>
      <c r="Y781" s="3"/>
      <c r="Z781" s="3"/>
      <c r="AA781" s="3">
        <f ca="1">IFERROR(__xludf.DUMMYFUNCTION("""COMPUTED_VALUE"""),810)</f>
        <v>810</v>
      </c>
      <c r="AB781" s="3">
        <f ca="1">IFERROR(__xludf.DUMMYFUNCTION("""COMPUTED_VALUE"""),0)</f>
        <v>0</v>
      </c>
      <c r="AC781" s="3">
        <f ca="1">IFERROR(__xludf.DUMMYFUNCTION("""COMPUTED_VALUE"""),3)</f>
        <v>3</v>
      </c>
      <c r="AD781" s="3" t="str">
        <f ca="1">IFERROR(__xludf.DUMMYFUNCTION("""COMPUTED_VALUE"""),"early")</f>
        <v>early</v>
      </c>
      <c r="AE781" s="3" t="str">
        <f ca="1">IFERROR(__xludf.DUMMYFUNCTION("""COMPUTED_VALUE"""),"2055-06-12T14:24:22.370055Z")</f>
        <v>2055-06-12T14:24:22.370055Z</v>
      </c>
      <c r="AF781" s="3" t="str">
        <f ca="1">IFERROR(__xludf.DUMMYFUNCTION("""COMPUTED_VALUE"""),"2055-06-12T14:37:52.951179Z")</f>
        <v>2055-06-12T14:37:52.951179Z</v>
      </c>
      <c r="AG781" s="3" t="str">
        <f ca="1">IFERROR(__xludf.DUMMYFUNCTION("""COMPUTED_VALUE"""),"2055-06-12T13:57:14.441497Z")</f>
        <v>2055-06-12T13:57:14.441497Z</v>
      </c>
      <c r="AH781" s="3"/>
      <c r="AI781" s="3">
        <f ca="1">IFERROR(__xludf.DUMMYFUNCTION("""COMPUTED_VALUE"""),4.54)</f>
        <v>4.54</v>
      </c>
      <c r="AJ781" s="3">
        <f ca="1">IFERROR(__xludf.DUMMYFUNCTION("""COMPUTED_VALUE"""),2229)</f>
        <v>2229</v>
      </c>
      <c r="AK781" s="3">
        <f ca="1">IFERROR(__xludf.DUMMYFUNCTION("""COMPUTED_VALUE"""),6580)</f>
        <v>6580</v>
      </c>
      <c r="AL781" s="3"/>
    </row>
    <row r="782" spans="1:38" ht="13">
      <c r="A782" s="3">
        <f ca="1">IFERROR(__xludf.DUMMYFUNCTION("""COMPUTED_VALUE"""),686)</f>
        <v>686</v>
      </c>
      <c r="B782" s="3"/>
      <c r="C782" s="3">
        <f ca="1">IFERROR(__xludf.DUMMYFUNCTION("""COMPUTED_VALUE"""),4050)</f>
        <v>4050</v>
      </c>
      <c r="D782" s="3" t="str">
        <f ca="1">IFERROR(__xludf.DUMMYFUNCTION("""COMPUTED_VALUE"""),"Doorlanta")</f>
        <v>Doorlanta</v>
      </c>
      <c r="E782" s="3" t="str">
        <f ca="1">IFERROR(__xludf.DUMMYFUNCTION("""COMPUTED_VALUE"""),"Galaxy A")</f>
        <v>Galaxy A</v>
      </c>
      <c r="F782" s="3" t="str">
        <f ca="1">IFERROR(__xludf.DUMMYFUNCTION("""COMPUTED_VALUE"""),"Cate")</f>
        <v>Cate</v>
      </c>
      <c r="G782" s="3">
        <f ca="1">IFERROR(__xludf.DUMMYFUNCTION("""COMPUTED_VALUE"""),0)</f>
        <v>0</v>
      </c>
      <c r="H782" s="3" t="str">
        <f ca="1">IFERROR(__xludf.DUMMYFUNCTION("""COMPUTED_VALUE"""),"car")</f>
        <v>car</v>
      </c>
      <c r="I782" s="3" t="str">
        <f ca="1">IFERROR(__xludf.DUMMYFUNCTION("""COMPUTED_VALUE"""),"2055-06-05T23:45:42.99689Z")</f>
        <v>2055-06-05T23:45:42.99689Z</v>
      </c>
      <c r="J782" s="3" t="str">
        <f ca="1">IFERROR(__xludf.DUMMYFUNCTION("""COMPUTED_VALUE"""),"2055-06-06T01:14:51.068Z")</f>
        <v>2055-06-06T01:14:51.068Z</v>
      </c>
      <c r="K782" s="3" t="str">
        <f ca="1">IFERROR(__xludf.DUMMYFUNCTION("""COMPUTED_VALUE"""),"2055-06-06T00:51:33.068Z")</f>
        <v>2055-06-06T00:51:33.068Z</v>
      </c>
      <c r="L782" s="3">
        <f ca="1">IFERROR(__xludf.DUMMYFUNCTION("""COMPUTED_VALUE"""),1)</f>
        <v>1</v>
      </c>
      <c r="M782" s="3">
        <f ca="1">IFERROR(__xludf.DUMMYFUNCTION("""COMPUTED_VALUE"""),0)</f>
        <v>0</v>
      </c>
      <c r="N782" s="3" t="str">
        <f ca="1">IFERROR(__xludf.DUMMYFUNCTION("""COMPUTED_VALUE"""),"2055-06-06T00:38:19.734113Z")</f>
        <v>2055-06-06T00:38:19.734113Z</v>
      </c>
      <c r="O782" s="3" t="str">
        <f ca="1">IFERROR(__xludf.DUMMYFUNCTION("""COMPUTED_VALUE"""),"2055-06-06T00:48:45.745753Z")</f>
        <v>2055-06-06T00:48:45.745753Z</v>
      </c>
      <c r="P782" s="3" t="str">
        <f ca="1">IFERROR(__xludf.DUMMYFUNCTION("""COMPUTED_VALUE"""),"2055-06-05T23:55:07.665518Z")</f>
        <v>2055-06-05T23:55:07.665518Z</v>
      </c>
      <c r="Q782" s="3">
        <f ca="1">IFERROR(__xludf.DUMMYFUNCTION("""COMPUTED_VALUE"""),0)</f>
        <v>0</v>
      </c>
      <c r="R782" s="3" t="str">
        <f ca="1">IFERROR(__xludf.DUMMYFUNCTION("""COMPUTED_VALUE"""),"2055-06-05T23:55:11.060043Z")</f>
        <v>2055-06-05T23:55:11.060043Z</v>
      </c>
      <c r="S782" s="3" t="str">
        <f ca="1">IFERROR(__xludf.DUMMYFUNCTION("""COMPUTED_VALUE"""),"2055-06-06T00:04:14.786684Z")</f>
        <v>2055-06-06T00:04:14.786684Z</v>
      </c>
      <c r="T782" s="3"/>
      <c r="U782" s="4">
        <f ca="1">IFERROR(__xludf.DUMMYFUNCTION("""COMPUTED_VALUE"""),56770)</f>
        <v>56770</v>
      </c>
      <c r="V782" s="3">
        <f ca="1">IFERROR(__xludf.DUMMYFUNCTION("""COMPUTED_VALUE"""),4.6)</f>
        <v>4.5999999999999996</v>
      </c>
      <c r="W782" s="3">
        <f ca="1">IFERROR(__xludf.DUMMYFUNCTION("""COMPUTED_VALUE"""),1500)</f>
        <v>1500</v>
      </c>
      <c r="X782" s="3">
        <f ca="1">IFERROR(__xludf.DUMMYFUNCTION("""COMPUTED_VALUE"""),3214)</f>
        <v>3214</v>
      </c>
      <c r="Y782" s="3">
        <f ca="1">IFERROR(__xludf.DUMMYFUNCTION("""COMPUTED_VALUE"""),543)</f>
        <v>543</v>
      </c>
      <c r="Z782" s="3">
        <f ca="1">IFERROR(__xludf.DUMMYFUNCTION("""COMPUTED_VALUE"""),2045)</f>
        <v>2045</v>
      </c>
      <c r="AA782" s="3">
        <f ca="1">IFERROR(__xludf.DUMMYFUNCTION("""COMPUTED_VALUE"""),626)</f>
        <v>626</v>
      </c>
      <c r="AB782" s="3">
        <f ca="1">IFERROR(__xludf.DUMMYFUNCTION("""COMPUTED_VALUE"""),1)</f>
        <v>1</v>
      </c>
      <c r="AC782" s="3">
        <f ca="1">IFERROR(__xludf.DUMMYFUNCTION("""COMPUTED_VALUE"""),3)</f>
        <v>3</v>
      </c>
      <c r="AD782" s="3"/>
      <c r="AE782" s="3" t="str">
        <f ca="1">IFERROR(__xludf.DUMMYFUNCTION("""COMPUTED_VALUE"""),"2055-06-05T20:38:19.734113Z")</f>
        <v>2055-06-05T20:38:19.734113Z</v>
      </c>
      <c r="AF782" s="3" t="str">
        <f ca="1">IFERROR(__xludf.DUMMYFUNCTION("""COMPUTED_VALUE"""),"2055-06-05T20:48:45.745753Z")</f>
        <v>2055-06-05T20:48:45.745753Z</v>
      </c>
      <c r="AG782" s="3" t="str">
        <f ca="1">IFERROR(__xludf.DUMMYFUNCTION("""COMPUTED_VALUE"""),"2055-06-05T19:55:07.665518Z")</f>
        <v>2055-06-05T19:55:07.665518Z</v>
      </c>
      <c r="AH782" s="3" t="str">
        <f ca="1">IFERROR(__xludf.DUMMYFUNCTION("""COMPUTED_VALUE"""),"2055-06-05T20:04:14.786684Z")</f>
        <v>2055-06-05T20:04:14.786684Z</v>
      </c>
      <c r="AI782" s="3">
        <f ca="1">IFERROR(__xludf.DUMMYFUNCTION("""COMPUTED_VALUE"""),4.49)</f>
        <v>4.49</v>
      </c>
      <c r="AJ782" s="3">
        <f ca="1">IFERROR(__xludf.DUMMYFUNCTION("""COMPUTED_VALUE"""),2315)</f>
        <v>2315</v>
      </c>
      <c r="AK782" s="3">
        <f ca="1">IFERROR(__xludf.DUMMYFUNCTION("""COMPUTED_VALUE"""),7039)</f>
        <v>7039</v>
      </c>
      <c r="AL782" s="3">
        <f ca="1">IFERROR(__xludf.DUMMYFUNCTION("""COMPUTED_VALUE"""),763)</f>
        <v>763</v>
      </c>
    </row>
    <row r="783" spans="1:38" ht="13">
      <c r="A783" s="3">
        <f ca="1">IFERROR(__xludf.DUMMYFUNCTION("""COMPUTED_VALUE"""),1075)</f>
        <v>1075</v>
      </c>
      <c r="B783" s="3"/>
      <c r="C783" s="3">
        <f ca="1">IFERROR(__xludf.DUMMYFUNCTION("""COMPUTED_VALUE"""),4001)</f>
        <v>4001</v>
      </c>
      <c r="D783" s="3" t="str">
        <f ca="1">IFERROR(__xludf.DUMMYFUNCTION("""COMPUTED_VALUE"""),"Dashattan")</f>
        <v>Dashattan</v>
      </c>
      <c r="E783" s="3" t="str">
        <f ca="1">IFERROR(__xludf.DUMMYFUNCTION("""COMPUTED_VALUE"""),"Galaxy A")</f>
        <v>Galaxy A</v>
      </c>
      <c r="F783" s="3" t="str">
        <f ca="1">IFERROR(__xludf.DUMMYFUNCTION("""COMPUTED_VALUE"""),"Arya")</f>
        <v>Arya</v>
      </c>
      <c r="G783" s="3">
        <f ca="1">IFERROR(__xludf.DUMMYFUNCTION("""COMPUTED_VALUE"""),0)</f>
        <v>0</v>
      </c>
      <c r="H783" s="3" t="str">
        <f ca="1">IFERROR(__xludf.DUMMYFUNCTION("""COMPUTED_VALUE"""),"bicycle")</f>
        <v>bicycle</v>
      </c>
      <c r="I783" s="3" t="str">
        <f ca="1">IFERROR(__xludf.DUMMYFUNCTION("""COMPUTED_VALUE"""),"2055-06-09T22:58:56.253475Z")</f>
        <v>2055-06-09T22:58:56.253475Z</v>
      </c>
      <c r="J783" s="3" t="str">
        <f ca="1">IFERROR(__xludf.DUMMYFUNCTION("""COMPUTED_VALUE"""),"2055-06-09T23:46:36.321Z")</f>
        <v>2055-06-09T23:46:36.321Z</v>
      </c>
      <c r="K783" s="3" t="str">
        <f ca="1">IFERROR(__xludf.DUMMYFUNCTION("""COMPUTED_VALUE"""),"2055-06-09T23:42:43.321Z")</f>
        <v>2055-06-09T23:42:43.321Z</v>
      </c>
      <c r="L783" s="3">
        <f ca="1">IFERROR(__xludf.DUMMYFUNCTION("""COMPUTED_VALUE"""),1)</f>
        <v>1</v>
      </c>
      <c r="M783" s="3">
        <f ca="1">IFERROR(__xludf.DUMMYFUNCTION("""COMPUTED_VALUE"""),0)</f>
        <v>0</v>
      </c>
      <c r="N783" s="3" t="str">
        <f ca="1">IFERROR(__xludf.DUMMYFUNCTION("""COMPUTED_VALUE"""),"2055-06-09T23:41:02.044004Z")</f>
        <v>2055-06-09T23:41:02.044004Z</v>
      </c>
      <c r="O783" s="3" t="str">
        <f ca="1">IFERROR(__xludf.DUMMYFUNCTION("""COMPUTED_VALUE"""),"2055-06-10T00:23:47.77575Z")</f>
        <v>2055-06-10T00:23:47.77575Z</v>
      </c>
      <c r="P783" s="3" t="str">
        <f ca="1">IFERROR(__xludf.DUMMYFUNCTION("""COMPUTED_VALUE"""),"2055-06-09T22:59:14.114474Z")</f>
        <v>2055-06-09T22:59:14.114474Z</v>
      </c>
      <c r="Q783" s="3">
        <f ca="1">IFERROR(__xludf.DUMMYFUNCTION("""COMPUTED_VALUE"""),0)</f>
        <v>0</v>
      </c>
      <c r="R783" s="3" t="str">
        <f ca="1">IFERROR(__xludf.DUMMYFUNCTION("""COMPUTED_VALUE"""),"2055-06-09T22:59:37.202782Z")</f>
        <v>2055-06-09T22:59:37.202782Z</v>
      </c>
      <c r="S783" s="3" t="str">
        <f ca="1">IFERROR(__xludf.DUMMYFUNCTION("""COMPUTED_VALUE"""),"2055-06-09T23:36:24.536014Z")</f>
        <v>2055-06-09T23:36:24.536014Z</v>
      </c>
      <c r="T783" s="3"/>
      <c r="U783" s="4">
        <f ca="1">IFERROR(__xludf.DUMMYFUNCTION("""COMPUTED_VALUE"""),56774)</f>
        <v>56774</v>
      </c>
      <c r="V783" s="3">
        <f ca="1">IFERROR(__xludf.DUMMYFUNCTION("""COMPUTED_VALUE"""),2.856812235)</f>
        <v>2.856812235</v>
      </c>
      <c r="W783" s="3">
        <f ca="1">IFERROR(__xludf.DUMMYFUNCTION("""COMPUTED_VALUE"""),1500)</f>
        <v>1500</v>
      </c>
      <c r="X783" s="3">
        <f ca="1">IFERROR(__xludf.DUMMYFUNCTION("""COMPUTED_VALUE"""),5050)</f>
        <v>5050</v>
      </c>
      <c r="Y783" s="3">
        <f ca="1">IFERROR(__xludf.DUMMYFUNCTION("""COMPUTED_VALUE"""),2207)</f>
        <v>2207</v>
      </c>
      <c r="Z783" s="3">
        <f ca="1">IFERROR(__xludf.DUMMYFUNCTION("""COMPUTED_VALUE"""),278)</f>
        <v>278</v>
      </c>
      <c r="AA783" s="3">
        <f ca="1">IFERROR(__xludf.DUMMYFUNCTION("""COMPUTED_VALUE"""),2565)</f>
        <v>2565</v>
      </c>
      <c r="AB783" s="3">
        <f ca="1">IFERROR(__xludf.DUMMYFUNCTION("""COMPUTED_VALUE"""),1)</f>
        <v>1</v>
      </c>
      <c r="AC783" s="3">
        <f ca="1">IFERROR(__xludf.DUMMYFUNCTION("""COMPUTED_VALUE"""),3)</f>
        <v>3</v>
      </c>
      <c r="AD783" s="3"/>
      <c r="AE783" s="3" t="str">
        <f ca="1">IFERROR(__xludf.DUMMYFUNCTION("""COMPUTED_VALUE"""),"2055-06-09T19:41:02.044004Z")</f>
        <v>2055-06-09T19:41:02.044004Z</v>
      </c>
      <c r="AF783" s="3" t="str">
        <f ca="1">IFERROR(__xludf.DUMMYFUNCTION("""COMPUTED_VALUE"""),"2055-06-09T20:23:47.77575Z")</f>
        <v>2055-06-09T20:23:47.77575Z</v>
      </c>
      <c r="AG783" s="3" t="str">
        <f ca="1">IFERROR(__xludf.DUMMYFUNCTION("""COMPUTED_VALUE"""),"2055-06-09T18:59:14.114474Z")</f>
        <v>2055-06-09T18:59:14.114474Z</v>
      </c>
      <c r="AH783" s="3" t="str">
        <f ca="1">IFERROR(__xludf.DUMMYFUNCTION("""COMPUTED_VALUE"""),"2055-06-09T19:36:24.536014Z")</f>
        <v>2055-06-09T19:36:24.536014Z</v>
      </c>
      <c r="AI783" s="3">
        <f ca="1">IFERROR(__xludf.DUMMYFUNCTION("""COMPUTED_VALUE"""),4.17)</f>
        <v>4.17</v>
      </c>
      <c r="AJ783" s="3">
        <f ca="1">IFERROR(__xludf.DUMMYFUNCTION("""COMPUTED_VALUE"""),457)</f>
        <v>457</v>
      </c>
      <c r="AK783" s="3">
        <f ca="1">IFERROR(__xludf.DUMMYFUNCTION("""COMPUTED_VALUE"""),1599)</f>
        <v>1599</v>
      </c>
      <c r="AL783" s="3"/>
    </row>
    <row r="784" spans="1:38" ht="13">
      <c r="A784" s="3">
        <f ca="1">IFERROR(__xludf.DUMMYFUNCTION("""COMPUTED_VALUE"""),499)</f>
        <v>499</v>
      </c>
      <c r="B784" s="3"/>
      <c r="C784" s="3">
        <f ca="1">IFERROR(__xludf.DUMMYFUNCTION("""COMPUTED_VALUE"""),4001)</f>
        <v>4001</v>
      </c>
      <c r="D784" s="3" t="str">
        <f ca="1">IFERROR(__xludf.DUMMYFUNCTION("""COMPUTED_VALUE"""),"Dashattan")</f>
        <v>Dashattan</v>
      </c>
      <c r="E784" s="3" t="str">
        <f ca="1">IFERROR(__xludf.DUMMYFUNCTION("""COMPUTED_VALUE"""),"Galaxy A")</f>
        <v>Galaxy A</v>
      </c>
      <c r="F784" s="3" t="str">
        <f ca="1">IFERROR(__xludf.DUMMYFUNCTION("""COMPUTED_VALUE"""),"Rojan")</f>
        <v>Rojan</v>
      </c>
      <c r="G784" s="3">
        <f ca="1">IFERROR(__xludf.DUMMYFUNCTION("""COMPUTED_VALUE"""),0)</f>
        <v>0</v>
      </c>
      <c r="H784" s="3" t="str">
        <f ca="1">IFERROR(__xludf.DUMMYFUNCTION("""COMPUTED_VALUE"""),"bicycle")</f>
        <v>bicycle</v>
      </c>
      <c r="I784" s="3" t="str">
        <f ca="1">IFERROR(__xludf.DUMMYFUNCTION("""COMPUTED_VALUE"""),"2055-06-04T23:57:45.591225Z")</f>
        <v>2055-06-04T23:57:45.591225Z</v>
      </c>
      <c r="J784" s="3" t="str">
        <f ca="1">IFERROR(__xludf.DUMMYFUNCTION("""COMPUTED_VALUE"""),"2055-06-05T00:47:45.656Z")</f>
        <v>2055-06-05T00:47:45.656Z</v>
      </c>
      <c r="K784" s="3" t="str">
        <f ca="1">IFERROR(__xludf.DUMMYFUNCTION("""COMPUTED_VALUE"""),"2055-06-05T00:27:38.656Z")</f>
        <v>2055-06-05T00:27:38.656Z</v>
      </c>
      <c r="L784" s="3">
        <f ca="1">IFERROR(__xludf.DUMMYFUNCTION("""COMPUTED_VALUE"""),1)</f>
        <v>1</v>
      </c>
      <c r="M784" s="3">
        <f ca="1">IFERROR(__xludf.DUMMYFUNCTION("""COMPUTED_VALUE"""),0)</f>
        <v>0</v>
      </c>
      <c r="N784" s="3" t="str">
        <f ca="1">IFERROR(__xludf.DUMMYFUNCTION("""COMPUTED_VALUE"""),"2055-06-05T00:18:34.071525Z")</f>
        <v>2055-06-05T00:18:34.071525Z</v>
      </c>
      <c r="O784" s="3" t="str">
        <f ca="1">IFERROR(__xludf.DUMMYFUNCTION("""COMPUTED_VALUE"""),"2055-06-05T00:28:26.427863Z")</f>
        <v>2055-06-05T00:28:26.427863Z</v>
      </c>
      <c r="P784" s="3" t="str">
        <f ca="1">IFERROR(__xludf.DUMMYFUNCTION("""COMPUTED_VALUE"""),"2055-06-05T00:02:15.312321Z")</f>
        <v>2055-06-05T00:02:15.312321Z</v>
      </c>
      <c r="Q784" s="3">
        <f ca="1">IFERROR(__xludf.DUMMYFUNCTION("""COMPUTED_VALUE"""),0)</f>
        <v>0</v>
      </c>
      <c r="R784" s="3" t="str">
        <f ca="1">IFERROR(__xludf.DUMMYFUNCTION("""COMPUTED_VALUE"""),"2055-06-05T00:02:20.371559Z")</f>
        <v>2055-06-05T00:02:20.371559Z</v>
      </c>
      <c r="S784" s="3" t="str">
        <f ca="1">IFERROR(__xludf.DUMMYFUNCTION("""COMPUTED_VALUE"""),"2055-06-05T00:12:25.024029Z")</f>
        <v>2055-06-05T00:12:25.024029Z</v>
      </c>
      <c r="T784" s="3"/>
      <c r="U784" s="4">
        <f ca="1">IFERROR(__xludf.DUMMYFUNCTION("""COMPUTED_VALUE"""),56769)</f>
        <v>56769</v>
      </c>
      <c r="V784" s="3">
        <f ca="1">IFERROR(__xludf.DUMMYFUNCTION("""COMPUTED_VALUE"""),4.6)</f>
        <v>4.5999999999999996</v>
      </c>
      <c r="W784" s="3">
        <f ca="1">IFERROR(__xludf.DUMMYFUNCTION("""COMPUTED_VALUE"""),1500)</f>
        <v>1500</v>
      </c>
      <c r="X784" s="3">
        <f ca="1">IFERROR(__xludf.DUMMYFUNCTION("""COMPUTED_VALUE"""),1566)</f>
        <v>1566</v>
      </c>
      <c r="Y784" s="3">
        <f ca="1">IFERROR(__xludf.DUMMYFUNCTION("""COMPUTED_VALUE"""),605)</f>
        <v>605</v>
      </c>
      <c r="Z784" s="3">
        <f ca="1">IFERROR(__xludf.DUMMYFUNCTION("""COMPUTED_VALUE"""),369)</f>
        <v>369</v>
      </c>
      <c r="AA784" s="3">
        <f ca="1">IFERROR(__xludf.DUMMYFUNCTION("""COMPUTED_VALUE"""),592)</f>
        <v>592</v>
      </c>
      <c r="AB784" s="3">
        <f ca="1">IFERROR(__xludf.DUMMYFUNCTION("""COMPUTED_VALUE"""),0)</f>
        <v>0</v>
      </c>
      <c r="AC784" s="3">
        <f ca="1">IFERROR(__xludf.DUMMYFUNCTION("""COMPUTED_VALUE"""),2)</f>
        <v>2</v>
      </c>
      <c r="AD784" s="3" t="str">
        <f ca="1">IFERROR(__xludf.DUMMYFUNCTION("""COMPUTED_VALUE"""),"on time")</f>
        <v>on time</v>
      </c>
      <c r="AE784" s="3" t="str">
        <f ca="1">IFERROR(__xludf.DUMMYFUNCTION("""COMPUTED_VALUE"""),"2055-06-04T20:18:34.071525Z")</f>
        <v>2055-06-04T20:18:34.071525Z</v>
      </c>
      <c r="AF784" s="3" t="str">
        <f ca="1">IFERROR(__xludf.DUMMYFUNCTION("""COMPUTED_VALUE"""),"2055-06-04T20:28:26.427863Z")</f>
        <v>2055-06-04T20:28:26.427863Z</v>
      </c>
      <c r="AG784" s="3" t="str">
        <f ca="1">IFERROR(__xludf.DUMMYFUNCTION("""COMPUTED_VALUE"""),"2055-06-04T20:02:15.312321Z")</f>
        <v>2055-06-04T20:02:15.312321Z</v>
      </c>
      <c r="AH784" s="3" t="str">
        <f ca="1">IFERROR(__xludf.DUMMYFUNCTION("""COMPUTED_VALUE"""),"2055-06-04T20:12:25.024029Z")</f>
        <v>2055-06-04T20:12:25.024029Z</v>
      </c>
      <c r="AI784" s="3">
        <f ca="1">IFERROR(__xludf.DUMMYFUNCTION("""COMPUTED_VALUE"""),4.58)</f>
        <v>4.58</v>
      </c>
      <c r="AJ784" s="3">
        <f ca="1">IFERROR(__xludf.DUMMYFUNCTION("""COMPUTED_VALUE"""),254)</f>
        <v>254</v>
      </c>
      <c r="AK784" s="3">
        <f ca="1">IFERROR(__xludf.DUMMYFUNCTION("""COMPUTED_VALUE"""),788)</f>
        <v>788</v>
      </c>
      <c r="AL784" s="3">
        <f ca="1">IFERROR(__xludf.DUMMYFUNCTION("""COMPUTED_VALUE"""),9)</f>
        <v>9</v>
      </c>
    </row>
    <row r="785" spans="1:38" ht="13">
      <c r="A785" s="3">
        <f ca="1">IFERROR(__xludf.DUMMYFUNCTION("""COMPUTED_VALUE"""),588)</f>
        <v>588</v>
      </c>
      <c r="B785" s="3"/>
      <c r="C785" s="3">
        <f ca="1">IFERROR(__xludf.DUMMYFUNCTION("""COMPUTED_VALUE"""),4050)</f>
        <v>4050</v>
      </c>
      <c r="D785" s="3" t="str">
        <f ca="1">IFERROR(__xludf.DUMMYFUNCTION("""COMPUTED_VALUE"""),"Doorlanta")</f>
        <v>Doorlanta</v>
      </c>
      <c r="E785" s="3" t="str">
        <f ca="1">IFERROR(__xludf.DUMMYFUNCTION("""COMPUTED_VALUE"""),"Galaxy A")</f>
        <v>Galaxy A</v>
      </c>
      <c r="F785" s="3" t="str">
        <f ca="1">IFERROR(__xludf.DUMMYFUNCTION("""COMPUTED_VALUE"""),"Elon")</f>
        <v>Elon</v>
      </c>
      <c r="G785" s="3">
        <f ca="1">IFERROR(__xludf.DUMMYFUNCTION("""COMPUTED_VALUE"""),0)</f>
        <v>0</v>
      </c>
      <c r="H785" s="3" t="str">
        <f ca="1">IFERROR(__xludf.DUMMYFUNCTION("""COMPUTED_VALUE"""),"car")</f>
        <v>car</v>
      </c>
      <c r="I785" s="3" t="str">
        <f ca="1">IFERROR(__xludf.DUMMYFUNCTION("""COMPUTED_VALUE"""),"2055-06-05T18:31:56.645814Z")</f>
        <v>2055-06-05T18:31:56.645814Z</v>
      </c>
      <c r="J785" s="3" t="str">
        <f ca="1">IFERROR(__xludf.DUMMYFUNCTION("""COMPUTED_VALUE"""),"2055-06-05T19:29:07.73Z")</f>
        <v>2055-06-05T19:29:07.73Z</v>
      </c>
      <c r="K785" s="3" t="str">
        <f ca="1">IFERROR(__xludf.DUMMYFUNCTION("""COMPUTED_VALUE"""),"2055-06-05T19:05:49.73Z")</f>
        <v>2055-06-05T19:05:49.73Z</v>
      </c>
      <c r="L785" s="3">
        <f ca="1">IFERROR(__xludf.DUMMYFUNCTION("""COMPUTED_VALUE"""),1)</f>
        <v>1</v>
      </c>
      <c r="M785" s="3">
        <f ca="1">IFERROR(__xludf.DUMMYFUNCTION("""COMPUTED_VALUE"""),0)</f>
        <v>0</v>
      </c>
      <c r="N785" s="3" t="str">
        <f ca="1">IFERROR(__xludf.DUMMYFUNCTION("""COMPUTED_VALUE"""),"2055-06-05T18:54:10.765613Z")</f>
        <v>2055-06-05T18:54:10.765613Z</v>
      </c>
      <c r="O785" s="3" t="str">
        <f ca="1">IFERROR(__xludf.DUMMYFUNCTION("""COMPUTED_VALUE"""),"2055-06-05T19:06:39.859257Z")</f>
        <v>2055-06-05T19:06:39.859257Z</v>
      </c>
      <c r="P785" s="3" t="str">
        <f ca="1">IFERROR(__xludf.DUMMYFUNCTION("""COMPUTED_VALUE"""),"2055-06-05T18:41:07.531702Z")</f>
        <v>2055-06-05T18:41:07.531702Z</v>
      </c>
      <c r="Q785" s="3">
        <f ca="1">IFERROR(__xludf.DUMMYFUNCTION("""COMPUTED_VALUE"""),0)</f>
        <v>0</v>
      </c>
      <c r="R785" s="3" t="str">
        <f ca="1">IFERROR(__xludf.DUMMYFUNCTION("""COMPUTED_VALUE"""),"2055-06-05T18:41:23.750057Z")</f>
        <v>2055-06-05T18:41:23.750057Z</v>
      </c>
      <c r="S785" s="3" t="str">
        <f ca="1">IFERROR(__xludf.DUMMYFUNCTION("""COMPUTED_VALUE"""),"2055-06-05T18:58:18.311582Z")</f>
        <v>2055-06-05T18:58:18.311582Z</v>
      </c>
      <c r="T785" s="3"/>
      <c r="U785" s="4">
        <f ca="1">IFERROR(__xludf.DUMMYFUNCTION("""COMPUTED_VALUE"""),56770)</f>
        <v>56770</v>
      </c>
      <c r="V785" s="3">
        <f ca="1">IFERROR(__xludf.DUMMYFUNCTION("""COMPUTED_VALUE"""),4.5)</f>
        <v>4.5</v>
      </c>
      <c r="W785" s="3">
        <f ca="1">IFERROR(__xludf.DUMMYFUNCTION("""COMPUTED_VALUE"""),1500)</f>
        <v>1500</v>
      </c>
      <c r="X785" s="3">
        <f ca="1">IFERROR(__xludf.DUMMYFUNCTION("""COMPUTED_VALUE"""),1516)</f>
        <v>1516</v>
      </c>
      <c r="Y785" s="3">
        <f ca="1">IFERROR(__xludf.DUMMYFUNCTION("""COMPUTED_VALUE"""),1015)</f>
        <v>1015</v>
      </c>
      <c r="Z785" s="3"/>
      <c r="AA785" s="3">
        <f ca="1">IFERROR(__xludf.DUMMYFUNCTION("""COMPUTED_VALUE"""),749)</f>
        <v>749</v>
      </c>
      <c r="AB785" s="3">
        <f ca="1">IFERROR(__xludf.DUMMYFUNCTION("""COMPUTED_VALUE"""),1)</f>
        <v>1</v>
      </c>
      <c r="AC785" s="3">
        <f ca="1">IFERROR(__xludf.DUMMYFUNCTION("""COMPUTED_VALUE"""),1)</f>
        <v>1</v>
      </c>
      <c r="AD785" s="3"/>
      <c r="AE785" s="3" t="str">
        <f ca="1">IFERROR(__xludf.DUMMYFUNCTION("""COMPUTED_VALUE"""),"2055-06-05T14:54:10.765613Z")</f>
        <v>2055-06-05T14:54:10.765613Z</v>
      </c>
      <c r="AF785" s="3" t="str">
        <f ca="1">IFERROR(__xludf.DUMMYFUNCTION("""COMPUTED_VALUE"""),"2055-06-05T15:06:39.859257Z")</f>
        <v>2055-06-05T15:06:39.859257Z</v>
      </c>
      <c r="AG785" s="3" t="str">
        <f ca="1">IFERROR(__xludf.DUMMYFUNCTION("""COMPUTED_VALUE"""),"2055-06-05T14:41:07.531702Z")</f>
        <v>2055-06-05T14:41:07.531702Z</v>
      </c>
      <c r="AH785" s="3" t="str">
        <f ca="1">IFERROR(__xludf.DUMMYFUNCTION("""COMPUTED_VALUE"""),"2055-06-05T14:58:18.311582Z")</f>
        <v>2055-06-05T14:58:18.311582Z</v>
      </c>
      <c r="AI785" s="3">
        <f ca="1">IFERROR(__xludf.DUMMYFUNCTION("""COMPUTED_VALUE"""),4.62)</f>
        <v>4.62</v>
      </c>
      <c r="AJ785" s="3">
        <f ca="1">IFERROR(__xludf.DUMMYFUNCTION("""COMPUTED_VALUE"""),259)</f>
        <v>259</v>
      </c>
      <c r="AK785" s="3">
        <f ca="1">IFERROR(__xludf.DUMMYFUNCTION("""COMPUTED_VALUE"""),604)</f>
        <v>604</v>
      </c>
      <c r="AL785" s="3">
        <f ca="1">IFERROR(__xludf.DUMMYFUNCTION("""COMPUTED_VALUE"""),21)</f>
        <v>21</v>
      </c>
    </row>
    <row r="786" spans="1:38" ht="13">
      <c r="A786" s="3">
        <f ca="1">IFERROR(__xludf.DUMMYFUNCTION("""COMPUTED_VALUE"""),568)</f>
        <v>568</v>
      </c>
      <c r="B786" s="3"/>
      <c r="C786" s="3">
        <f ca="1">IFERROR(__xludf.DUMMYFUNCTION("""COMPUTED_VALUE"""),4050)</f>
        <v>4050</v>
      </c>
      <c r="D786" s="3" t="str">
        <f ca="1">IFERROR(__xludf.DUMMYFUNCTION("""COMPUTED_VALUE"""),"Doorlanta")</f>
        <v>Doorlanta</v>
      </c>
      <c r="E786" s="3" t="str">
        <f ca="1">IFERROR(__xludf.DUMMYFUNCTION("""COMPUTED_VALUE"""),"Galaxy A")</f>
        <v>Galaxy A</v>
      </c>
      <c r="F786" s="3" t="str">
        <f ca="1">IFERROR(__xludf.DUMMYFUNCTION("""COMPUTED_VALUE"""),"Ajay")</f>
        <v>Ajay</v>
      </c>
      <c r="G786" s="3">
        <f ca="1">IFERROR(__xludf.DUMMYFUNCTION("""COMPUTED_VALUE"""),0)</f>
        <v>0</v>
      </c>
      <c r="H786" s="3" t="str">
        <f ca="1">IFERROR(__xludf.DUMMYFUNCTION("""COMPUTED_VALUE"""),"car")</f>
        <v>car</v>
      </c>
      <c r="I786" s="3" t="str">
        <f ca="1">IFERROR(__xludf.DUMMYFUNCTION("""COMPUTED_VALUE"""),"2055-06-05T16:45:32.237169Z")</f>
        <v>2055-06-05T16:45:32.237169Z</v>
      </c>
      <c r="J786" s="3" t="str">
        <f ca="1">IFERROR(__xludf.DUMMYFUNCTION("""COMPUTED_VALUE"""),"2055-06-05T17:40:32.323Z")</f>
        <v>2055-06-05T17:40:32.323Z</v>
      </c>
      <c r="K786" s="3" t="str">
        <f ca="1">IFERROR(__xludf.DUMMYFUNCTION("""COMPUTED_VALUE"""),"2055-06-05T17:16:43.323Z")</f>
        <v>2055-06-05T17:16:43.323Z</v>
      </c>
      <c r="L786" s="3">
        <f ca="1">IFERROR(__xludf.DUMMYFUNCTION("""COMPUTED_VALUE"""),1)</f>
        <v>1</v>
      </c>
      <c r="M786" s="3">
        <f ca="1">IFERROR(__xludf.DUMMYFUNCTION("""COMPUTED_VALUE"""),0)</f>
        <v>0</v>
      </c>
      <c r="N786" s="3" t="str">
        <f ca="1">IFERROR(__xludf.DUMMYFUNCTION("""COMPUTED_VALUE"""),"2055-06-05T17:24:09.103853Z")</f>
        <v>2055-06-05T17:24:09.103853Z</v>
      </c>
      <c r="O786" s="3" t="str">
        <f ca="1">IFERROR(__xludf.DUMMYFUNCTION("""COMPUTED_VALUE"""),"2055-06-05T17:34:07.888132Z")</f>
        <v>2055-06-05T17:34:07.888132Z</v>
      </c>
      <c r="P786" s="3" t="str">
        <f ca="1">IFERROR(__xludf.DUMMYFUNCTION("""COMPUTED_VALUE"""),"2055-06-05T17:07:07.441017Z")</f>
        <v>2055-06-05T17:07:07.441017Z</v>
      </c>
      <c r="Q786" s="3">
        <f ca="1">IFERROR(__xludf.DUMMYFUNCTION("""COMPUTED_VALUE"""),0)</f>
        <v>0</v>
      </c>
      <c r="R786" s="3" t="str">
        <f ca="1">IFERROR(__xludf.DUMMYFUNCTION("""COMPUTED_VALUE"""),"2055-06-05T17:07:11.110513Z")</f>
        <v>2055-06-05T17:07:11.110513Z</v>
      </c>
      <c r="S786" s="3" t="str">
        <f ca="1">IFERROR(__xludf.DUMMYFUNCTION("""COMPUTED_VALUE"""),"2055-06-05T17:20:03.763516Z")</f>
        <v>2055-06-05T17:20:03.763516Z</v>
      </c>
      <c r="T786" s="3"/>
      <c r="U786" s="4">
        <f ca="1">IFERROR(__xludf.DUMMYFUNCTION("""COMPUTED_VALUE"""),56770)</f>
        <v>56770</v>
      </c>
      <c r="V786" s="3">
        <f ca="1">IFERROR(__xludf.DUMMYFUNCTION("""COMPUTED_VALUE"""),4.6)</f>
        <v>4.5999999999999996</v>
      </c>
      <c r="W786" s="3">
        <f ca="1">IFERROR(__xludf.DUMMYFUNCTION("""COMPUTED_VALUE"""),1500)</f>
        <v>1500</v>
      </c>
      <c r="X786" s="3">
        <f ca="1">IFERROR(__xludf.DUMMYFUNCTION("""COMPUTED_VALUE"""),1616)</f>
        <v>1616</v>
      </c>
      <c r="Y786" s="3">
        <f ca="1">IFERROR(__xludf.DUMMYFUNCTION("""COMPUTED_VALUE"""),772)</f>
        <v>772</v>
      </c>
      <c r="Z786" s="3">
        <f ca="1">IFERROR(__xludf.DUMMYFUNCTION("""COMPUTED_VALUE"""),246)</f>
        <v>246</v>
      </c>
      <c r="AA786" s="3">
        <f ca="1">IFERROR(__xludf.DUMMYFUNCTION("""COMPUTED_VALUE"""),598)</f>
        <v>598</v>
      </c>
      <c r="AB786" s="3">
        <f ca="1">IFERROR(__xludf.DUMMYFUNCTION("""COMPUTED_VALUE"""),0)</f>
        <v>0</v>
      </c>
      <c r="AC786" s="3">
        <f ca="1">IFERROR(__xludf.DUMMYFUNCTION("""COMPUTED_VALUE"""),2)</f>
        <v>2</v>
      </c>
      <c r="AD786" s="3" t="str">
        <f ca="1">IFERROR(__xludf.DUMMYFUNCTION("""COMPUTED_VALUE"""),"late")</f>
        <v>late</v>
      </c>
      <c r="AE786" s="3" t="str">
        <f ca="1">IFERROR(__xludf.DUMMYFUNCTION("""COMPUTED_VALUE"""),"2055-06-05T13:24:09.103853Z")</f>
        <v>2055-06-05T13:24:09.103853Z</v>
      </c>
      <c r="AF786" s="3" t="str">
        <f ca="1">IFERROR(__xludf.DUMMYFUNCTION("""COMPUTED_VALUE"""),"2055-06-05T13:34:07.888132Z")</f>
        <v>2055-06-05T13:34:07.888132Z</v>
      </c>
      <c r="AG786" s="3" t="str">
        <f ca="1">IFERROR(__xludf.DUMMYFUNCTION("""COMPUTED_VALUE"""),"2055-06-05T13:07:07.441017Z")</f>
        <v>2055-06-05T13:07:07.441017Z</v>
      </c>
      <c r="AH786" s="3" t="str">
        <f ca="1">IFERROR(__xludf.DUMMYFUNCTION("""COMPUTED_VALUE"""),"2055-06-05T13:20:03.763516Z")</f>
        <v>2055-06-05T13:20:03.763516Z</v>
      </c>
      <c r="AI786" s="3">
        <f ca="1">IFERROR(__xludf.DUMMYFUNCTION("""COMPUTED_VALUE"""),4.57)</f>
        <v>4.57</v>
      </c>
      <c r="AJ786" s="3">
        <f ca="1">IFERROR(__xludf.DUMMYFUNCTION("""COMPUTED_VALUE"""),234)</f>
        <v>234</v>
      </c>
      <c r="AK786" s="3">
        <f ca="1">IFERROR(__xludf.DUMMYFUNCTION("""COMPUTED_VALUE"""),726)</f>
        <v>726</v>
      </c>
      <c r="AL786" s="3">
        <f ca="1">IFERROR(__xludf.DUMMYFUNCTION("""COMPUTED_VALUE"""),99)</f>
        <v>99</v>
      </c>
    </row>
    <row r="787" spans="1:38" ht="13">
      <c r="A787" s="3">
        <f ca="1">IFERROR(__xludf.DUMMYFUNCTION("""COMPUTED_VALUE"""),1339)</f>
        <v>1339</v>
      </c>
      <c r="B787" s="3">
        <f ca="1">IFERROR(__xludf.DUMMYFUNCTION("""COMPUTED_VALUE"""),1)</f>
        <v>1</v>
      </c>
      <c r="C787" s="3">
        <f ca="1">IFERROR(__xludf.DUMMYFUNCTION("""COMPUTED_VALUE"""),4001)</f>
        <v>4001</v>
      </c>
      <c r="D787" s="3" t="str">
        <f ca="1">IFERROR(__xludf.DUMMYFUNCTION("""COMPUTED_VALUE"""),"Dashattan")</f>
        <v>Dashattan</v>
      </c>
      <c r="E787" s="3" t="str">
        <f ca="1">IFERROR(__xludf.DUMMYFUNCTION("""COMPUTED_VALUE"""),"Galaxy A")</f>
        <v>Galaxy A</v>
      </c>
      <c r="F787" s="3" t="str">
        <f ca="1">IFERROR(__xludf.DUMMYFUNCTION("""COMPUTED_VALUE"""),"KC")</f>
        <v>KC</v>
      </c>
      <c r="G787" s="3">
        <f ca="1">IFERROR(__xludf.DUMMYFUNCTION("""COMPUTED_VALUE"""),0)</f>
        <v>0</v>
      </c>
      <c r="H787" s="3" t="str">
        <f ca="1">IFERROR(__xludf.DUMMYFUNCTION("""COMPUTED_VALUE"""),"car")</f>
        <v>car</v>
      </c>
      <c r="I787" s="3" t="str">
        <f ca="1">IFERROR(__xludf.DUMMYFUNCTION("""COMPUTED_VALUE"""),"2055-06-11T23:15:38.596112Z")</f>
        <v>2055-06-11T23:15:38.596112Z</v>
      </c>
      <c r="J787" s="3" t="str">
        <f ca="1">IFERROR(__xludf.DUMMYFUNCTION("""COMPUTED_VALUE"""),"2055-06-12T00:07:51.648Z")</f>
        <v>2055-06-12T00:07:51.648Z</v>
      </c>
      <c r="K787" s="3" t="str">
        <f ca="1">IFERROR(__xludf.DUMMYFUNCTION("""COMPUTED_VALUE"""),"2055-06-11T23:47:44.648Z")</f>
        <v>2055-06-11T23:47:44.648Z</v>
      </c>
      <c r="L787" s="3">
        <f ca="1">IFERROR(__xludf.DUMMYFUNCTION("""COMPUTED_VALUE"""),1)</f>
        <v>1</v>
      </c>
      <c r="M787" s="3">
        <f ca="1">IFERROR(__xludf.DUMMYFUNCTION("""COMPUTED_VALUE"""),0)</f>
        <v>0</v>
      </c>
      <c r="N787" s="3" t="str">
        <f ca="1">IFERROR(__xludf.DUMMYFUNCTION("""COMPUTED_VALUE"""),"2055-06-11T23:41:41.150079Z")</f>
        <v>2055-06-11T23:41:41.150079Z</v>
      </c>
      <c r="O787" s="3" t="str">
        <f ca="1">IFERROR(__xludf.DUMMYFUNCTION("""COMPUTED_VALUE"""),"2055-06-11T23:56:07.826347Z")</f>
        <v>2055-06-11T23:56:07.826347Z</v>
      </c>
      <c r="P787" s="3" t="str">
        <f ca="1">IFERROR(__xludf.DUMMYFUNCTION("""COMPUTED_VALUE"""),"2055-06-11T23:22:14.666551Z")</f>
        <v>2055-06-11T23:22:14.666551Z</v>
      </c>
      <c r="Q787" s="3">
        <f ca="1">IFERROR(__xludf.DUMMYFUNCTION("""COMPUTED_VALUE"""),0)</f>
        <v>0</v>
      </c>
      <c r="R787" s="3" t="str">
        <f ca="1">IFERROR(__xludf.DUMMYFUNCTION("""COMPUTED_VALUE"""),"2055-06-11T23:22:31.669049Z")</f>
        <v>2055-06-11T23:22:31.669049Z</v>
      </c>
      <c r="S787" s="3" t="str">
        <f ca="1">IFERROR(__xludf.DUMMYFUNCTION("""COMPUTED_VALUE"""),"2055-06-11T23:31:26.960699Z")</f>
        <v>2055-06-11T23:31:26.960699Z</v>
      </c>
      <c r="T787" s="3"/>
      <c r="U787" s="4">
        <f ca="1">IFERROR(__xludf.DUMMYFUNCTION("""COMPUTED_VALUE"""),56776)</f>
        <v>56776</v>
      </c>
      <c r="V787" s="3">
        <f ca="1">IFERROR(__xludf.DUMMYFUNCTION("""COMPUTED_VALUE"""),4)</f>
        <v>4</v>
      </c>
      <c r="W787" s="3">
        <f ca="1">IFERROR(__xludf.DUMMYFUNCTION("""COMPUTED_VALUE"""),1500)</f>
        <v>1500</v>
      </c>
      <c r="X787" s="3">
        <f ca="1">IFERROR(__xludf.DUMMYFUNCTION("""COMPUTED_VALUE"""),2055)</f>
        <v>2055</v>
      </c>
      <c r="Y787" s="3">
        <f ca="1">IFERROR(__xludf.DUMMYFUNCTION("""COMPUTED_VALUE"""),535)</f>
        <v>535</v>
      </c>
      <c r="Z787" s="3">
        <f ca="1">IFERROR(__xludf.DUMMYFUNCTION("""COMPUTED_VALUE"""),615)</f>
        <v>615</v>
      </c>
      <c r="AA787" s="3">
        <f ca="1">IFERROR(__xludf.DUMMYFUNCTION("""COMPUTED_VALUE"""),866)</f>
        <v>866</v>
      </c>
      <c r="AB787" s="3">
        <f ca="1">IFERROR(__xludf.DUMMYFUNCTION("""COMPUTED_VALUE"""),0)</f>
        <v>0</v>
      </c>
      <c r="AC787" s="3">
        <f ca="1">IFERROR(__xludf.DUMMYFUNCTION("""COMPUTED_VALUE"""),3)</f>
        <v>3</v>
      </c>
      <c r="AD787" s="3" t="str">
        <f ca="1">IFERROR(__xludf.DUMMYFUNCTION("""COMPUTED_VALUE"""),"late")</f>
        <v>late</v>
      </c>
      <c r="AE787" s="3" t="str">
        <f ca="1">IFERROR(__xludf.DUMMYFUNCTION("""COMPUTED_VALUE"""),"2055-06-11T19:41:41.150079Z")</f>
        <v>2055-06-11T19:41:41.150079Z</v>
      </c>
      <c r="AF787" s="3" t="str">
        <f ca="1">IFERROR(__xludf.DUMMYFUNCTION("""COMPUTED_VALUE"""),"2055-06-11T19:56:07.826347Z")</f>
        <v>2055-06-11T19:56:07.826347Z</v>
      </c>
      <c r="AG787" s="3" t="str">
        <f ca="1">IFERROR(__xludf.DUMMYFUNCTION("""COMPUTED_VALUE"""),"2055-06-11T19:22:14.666551Z")</f>
        <v>2055-06-11T19:22:14.666551Z</v>
      </c>
      <c r="AH787" s="3" t="str">
        <f ca="1">IFERROR(__xludf.DUMMYFUNCTION("""COMPUTED_VALUE"""),"2055-06-11T19:31:26.960699Z")</f>
        <v>2055-06-11T19:31:26.960699Z</v>
      </c>
      <c r="AI787" s="3">
        <f ca="1">IFERROR(__xludf.DUMMYFUNCTION("""COMPUTED_VALUE"""),4.54)</f>
        <v>4.54</v>
      </c>
      <c r="AJ787" s="3">
        <f ca="1">IFERROR(__xludf.DUMMYFUNCTION("""COMPUTED_VALUE"""),2229)</f>
        <v>2229</v>
      </c>
      <c r="AK787" s="3">
        <f ca="1">IFERROR(__xludf.DUMMYFUNCTION("""COMPUTED_VALUE"""),6580)</f>
        <v>6580</v>
      </c>
      <c r="AL787" s="3"/>
    </row>
    <row r="788" spans="1:38" ht="13">
      <c r="A788" s="3">
        <f ca="1">IFERROR(__xludf.DUMMYFUNCTION("""COMPUTED_VALUE"""),421)</f>
        <v>421</v>
      </c>
      <c r="B788" s="3">
        <f ca="1">IFERROR(__xludf.DUMMYFUNCTION("""COMPUTED_VALUE"""),5)</f>
        <v>5</v>
      </c>
      <c r="C788" s="3">
        <f ca="1">IFERROR(__xludf.DUMMYFUNCTION("""COMPUTED_VALUE"""),4050)</f>
        <v>4050</v>
      </c>
      <c r="D788" s="3" t="str">
        <f ca="1">IFERROR(__xludf.DUMMYFUNCTION("""COMPUTED_VALUE"""),"Doorlanta")</f>
        <v>Doorlanta</v>
      </c>
      <c r="E788" s="3" t="str">
        <f ca="1">IFERROR(__xludf.DUMMYFUNCTION("""COMPUTED_VALUE"""),"Galaxy A")</f>
        <v>Galaxy A</v>
      </c>
      <c r="F788" s="3" t="str">
        <f ca="1">IFERROR(__xludf.DUMMYFUNCTION("""COMPUTED_VALUE"""),"Cate")</f>
        <v>Cate</v>
      </c>
      <c r="G788" s="3">
        <f ca="1">IFERROR(__xludf.DUMMYFUNCTION("""COMPUTED_VALUE"""),0)</f>
        <v>0</v>
      </c>
      <c r="H788" s="3" t="str">
        <f ca="1">IFERROR(__xludf.DUMMYFUNCTION("""COMPUTED_VALUE"""),"car")</f>
        <v>car</v>
      </c>
      <c r="I788" s="3" t="str">
        <f ca="1">IFERROR(__xludf.DUMMYFUNCTION("""COMPUTED_VALUE"""),"2055-06-04T17:20:20.633028Z")</f>
        <v>2055-06-04T17:20:20.633028Z</v>
      </c>
      <c r="J788" s="3" t="str">
        <f ca="1">IFERROR(__xludf.DUMMYFUNCTION("""COMPUTED_VALUE"""),"2055-06-04T19:30:00Z")</f>
        <v>2055-06-04T19:30:00Z</v>
      </c>
      <c r="K788" s="3" t="str">
        <f ca="1">IFERROR(__xludf.DUMMYFUNCTION("""COMPUTED_VALUE"""),"2055-06-04T19:30:00Z")</f>
        <v>2055-06-04T19:30:00Z</v>
      </c>
      <c r="L788" s="3">
        <f ca="1">IFERROR(__xludf.DUMMYFUNCTION("""COMPUTED_VALUE"""),0)</f>
        <v>0</v>
      </c>
      <c r="M788" s="3">
        <f ca="1">IFERROR(__xludf.DUMMYFUNCTION("""COMPUTED_VALUE"""),0)</f>
        <v>0</v>
      </c>
      <c r="N788" s="3" t="str">
        <f ca="1">IFERROR(__xludf.DUMMYFUNCTION("""COMPUTED_VALUE"""),"2055-06-04T18:56:50.665248Z")</f>
        <v>2055-06-04T18:56:50.665248Z</v>
      </c>
      <c r="O788" s="3" t="str">
        <f ca="1">IFERROR(__xludf.DUMMYFUNCTION("""COMPUTED_VALUE"""),"2055-06-04T19:15:33.304812Z")</f>
        <v>2055-06-04T19:15:33.304812Z</v>
      </c>
      <c r="P788" s="3" t="str">
        <f ca="1">IFERROR(__xludf.DUMMYFUNCTION("""COMPUTED_VALUE"""),"2055-06-04T18:30:07.297256Z")</f>
        <v>2055-06-04T18:30:07.297256Z</v>
      </c>
      <c r="Q788" s="3">
        <f ca="1">IFERROR(__xludf.DUMMYFUNCTION("""COMPUTED_VALUE"""),0)</f>
        <v>0</v>
      </c>
      <c r="R788" s="3" t="str">
        <f ca="1">IFERROR(__xludf.DUMMYFUNCTION("""COMPUTED_VALUE"""),"2055-06-04T18:30:16.350942Z")</f>
        <v>2055-06-04T18:30:16.350942Z</v>
      </c>
      <c r="S788" s="3" t="str">
        <f ca="1">IFERROR(__xludf.DUMMYFUNCTION("""COMPUTED_VALUE"""),"2055-06-04T18:45:16.829783Z")</f>
        <v>2055-06-04T18:45:16.829783Z</v>
      </c>
      <c r="T788" s="3"/>
      <c r="U788" s="4">
        <f ca="1">IFERROR(__xludf.DUMMYFUNCTION("""COMPUTED_VALUE"""),56769)</f>
        <v>56769</v>
      </c>
      <c r="V788" s="3">
        <f ca="1">IFERROR(__xludf.DUMMYFUNCTION("""COMPUTED_VALUE"""),3.501498169)</f>
        <v>3.501498169</v>
      </c>
      <c r="W788" s="3">
        <f ca="1">IFERROR(__xludf.DUMMYFUNCTION("""COMPUTED_VALUE"""),1500)</f>
        <v>1500</v>
      </c>
      <c r="X788" s="3">
        <f ca="1">IFERROR(__xludf.DUMMYFUNCTION("""COMPUTED_VALUE"""),2717)</f>
        <v>2717</v>
      </c>
      <c r="Y788" s="3">
        <f ca="1">IFERROR(__xludf.DUMMYFUNCTION("""COMPUTED_VALUE"""),900)</f>
        <v>900</v>
      </c>
      <c r="Z788" s="3">
        <f ca="1">IFERROR(__xludf.DUMMYFUNCTION("""COMPUTED_VALUE"""),694)</f>
        <v>694</v>
      </c>
      <c r="AA788" s="3">
        <f ca="1">IFERROR(__xludf.DUMMYFUNCTION("""COMPUTED_VALUE"""),1123)</f>
        <v>1123</v>
      </c>
      <c r="AB788" s="3">
        <f ca="1">IFERROR(__xludf.DUMMYFUNCTION("""COMPUTED_VALUE"""),0)</f>
        <v>0</v>
      </c>
      <c r="AC788" s="3">
        <f ca="1">IFERROR(__xludf.DUMMYFUNCTION("""COMPUTED_VALUE"""),2)</f>
        <v>2</v>
      </c>
      <c r="AD788" s="3" t="str">
        <f ca="1">IFERROR(__xludf.DUMMYFUNCTION("""COMPUTED_VALUE"""),"late")</f>
        <v>late</v>
      </c>
      <c r="AE788" s="3" t="str">
        <f ca="1">IFERROR(__xludf.DUMMYFUNCTION("""COMPUTED_VALUE"""),"2055-06-04T14:56:50.665248Z")</f>
        <v>2055-06-04T14:56:50.665248Z</v>
      </c>
      <c r="AF788" s="3" t="str">
        <f ca="1">IFERROR(__xludf.DUMMYFUNCTION("""COMPUTED_VALUE"""),"2055-06-04T15:15:33.304812Z")</f>
        <v>2055-06-04T15:15:33.304812Z</v>
      </c>
      <c r="AG788" s="3" t="str">
        <f ca="1">IFERROR(__xludf.DUMMYFUNCTION("""COMPUTED_VALUE"""),"2055-06-04T14:30:07.297256Z")</f>
        <v>2055-06-04T14:30:07.297256Z</v>
      </c>
      <c r="AH788" s="3" t="str">
        <f ca="1">IFERROR(__xludf.DUMMYFUNCTION("""COMPUTED_VALUE"""),"2055-06-04T14:45:16.829783Z")</f>
        <v>2055-06-04T14:45:16.829783Z</v>
      </c>
      <c r="AI788" s="3">
        <f ca="1">IFERROR(__xludf.DUMMYFUNCTION("""COMPUTED_VALUE"""),4.49)</f>
        <v>4.49</v>
      </c>
      <c r="AJ788" s="3">
        <f ca="1">IFERROR(__xludf.DUMMYFUNCTION("""COMPUTED_VALUE"""),2315)</f>
        <v>2315</v>
      </c>
      <c r="AK788" s="3">
        <f ca="1">IFERROR(__xludf.DUMMYFUNCTION("""COMPUTED_VALUE"""),7039)</f>
        <v>7039</v>
      </c>
      <c r="AL788" s="3">
        <f ca="1">IFERROR(__xludf.DUMMYFUNCTION("""COMPUTED_VALUE"""),763)</f>
        <v>763</v>
      </c>
    </row>
    <row r="789" spans="1:38" ht="13">
      <c r="A789" s="3">
        <f ca="1">IFERROR(__xludf.DUMMYFUNCTION("""COMPUTED_VALUE"""),16)</f>
        <v>16</v>
      </c>
      <c r="B789" s="3"/>
      <c r="C789" s="3">
        <f ca="1">IFERROR(__xludf.DUMMYFUNCTION("""COMPUTED_VALUE"""),4050)</f>
        <v>4050</v>
      </c>
      <c r="D789" s="3" t="str">
        <f ca="1">IFERROR(__xludf.DUMMYFUNCTION("""COMPUTED_VALUE"""),"Doorlanta")</f>
        <v>Doorlanta</v>
      </c>
      <c r="E789" s="3" t="str">
        <f ca="1">IFERROR(__xludf.DUMMYFUNCTION("""COMPUTED_VALUE"""),"Galaxy A")</f>
        <v>Galaxy A</v>
      </c>
      <c r="F789" s="3" t="str">
        <f ca="1">IFERROR(__xludf.DUMMYFUNCTION("""COMPUTED_VALUE"""),"Jagar")</f>
        <v>Jagar</v>
      </c>
      <c r="G789" s="3">
        <f ca="1">IFERROR(__xludf.DUMMYFUNCTION("""COMPUTED_VALUE"""),0)</f>
        <v>0</v>
      </c>
      <c r="H789" s="3" t="str">
        <f ca="1">IFERROR(__xludf.DUMMYFUNCTION("""COMPUTED_VALUE"""),"car")</f>
        <v>car</v>
      </c>
      <c r="I789" s="3" t="str">
        <f ca="1">IFERROR(__xludf.DUMMYFUNCTION("""COMPUTED_VALUE"""),"2055-06-01T16:19:52.696007Z")</f>
        <v>2055-06-01T16:19:52.696007Z</v>
      </c>
      <c r="J789" s="3" t="str">
        <f ca="1">IFERROR(__xludf.DUMMYFUNCTION("""COMPUTED_VALUE"""),"2055-06-01T17:14:52.777Z")</f>
        <v>2055-06-01T17:14:52.777Z</v>
      </c>
      <c r="K789" s="3" t="str">
        <f ca="1">IFERROR(__xludf.DUMMYFUNCTION("""COMPUTED_VALUE"""),"2055-06-01T16:50:47.777Z")</f>
        <v>2055-06-01T16:50:47.777Z</v>
      </c>
      <c r="L789" s="3">
        <f ca="1">IFERROR(__xludf.DUMMYFUNCTION("""COMPUTED_VALUE"""),1)</f>
        <v>1</v>
      </c>
      <c r="M789" s="3">
        <f ca="1">IFERROR(__xludf.DUMMYFUNCTION("""COMPUTED_VALUE"""),0)</f>
        <v>0</v>
      </c>
      <c r="N789" s="3" t="str">
        <f ca="1">IFERROR(__xludf.DUMMYFUNCTION("""COMPUTED_VALUE"""),"2055-06-01T16:38:57.376002Z")</f>
        <v>2055-06-01T16:38:57.376002Z</v>
      </c>
      <c r="O789" s="3" t="str">
        <f ca="1">IFERROR(__xludf.DUMMYFUNCTION("""COMPUTED_VALUE"""),"2055-06-01T16:51:32.783262Z")</f>
        <v>2055-06-01T16:51:32.783262Z</v>
      </c>
      <c r="P789" s="3" t="str">
        <f ca="1">IFERROR(__xludf.DUMMYFUNCTION("""COMPUTED_VALUE"""),"2055-06-01T16:21:27.312008Z")</f>
        <v>2055-06-01T16:21:27.312008Z</v>
      </c>
      <c r="Q789" s="3">
        <f ca="1">IFERROR(__xludf.DUMMYFUNCTION("""COMPUTED_VALUE"""),0)</f>
        <v>0</v>
      </c>
      <c r="R789" s="3" t="str">
        <f ca="1">IFERROR(__xludf.DUMMYFUNCTION("""COMPUTED_VALUE"""),"2055-06-01T16:21:30.839191Z")</f>
        <v>2055-06-01T16:21:30.839191Z</v>
      </c>
      <c r="S789" s="3" t="str">
        <f ca="1">IFERROR(__xludf.DUMMYFUNCTION("""COMPUTED_VALUE"""),"2055-06-01T16:34:00.179133Z")</f>
        <v>2055-06-01T16:34:00.179133Z</v>
      </c>
      <c r="T789" s="3"/>
      <c r="U789" s="4">
        <f ca="1">IFERROR(__xludf.DUMMYFUNCTION("""COMPUTED_VALUE"""),56766)</f>
        <v>56766</v>
      </c>
      <c r="V789" s="3">
        <f ca="1">IFERROR(__xludf.DUMMYFUNCTION("""COMPUTED_VALUE"""),4.8)</f>
        <v>4.8</v>
      </c>
      <c r="W789" s="3">
        <f ca="1">IFERROR(__xludf.DUMMYFUNCTION("""COMPUTED_VALUE"""),1500)</f>
        <v>1500</v>
      </c>
      <c r="X789" s="3">
        <f ca="1">IFERROR(__xludf.DUMMYFUNCTION("""COMPUTED_VALUE"""),1802)</f>
        <v>1802</v>
      </c>
      <c r="Y789" s="3">
        <f ca="1">IFERROR(__xludf.DUMMYFUNCTION("""COMPUTED_VALUE"""),750)</f>
        <v>750</v>
      </c>
      <c r="Z789" s="3">
        <f ca="1">IFERROR(__xludf.DUMMYFUNCTION("""COMPUTED_VALUE"""),297)</f>
        <v>297</v>
      </c>
      <c r="AA789" s="3">
        <f ca="1">IFERROR(__xludf.DUMMYFUNCTION("""COMPUTED_VALUE"""),755)</f>
        <v>755</v>
      </c>
      <c r="AB789" s="3">
        <f ca="1">IFERROR(__xludf.DUMMYFUNCTION("""COMPUTED_VALUE"""),0)</f>
        <v>0</v>
      </c>
      <c r="AC789" s="3">
        <f ca="1">IFERROR(__xludf.DUMMYFUNCTION("""COMPUTED_VALUE"""),3)</f>
        <v>3</v>
      </c>
      <c r="AD789" s="3" t="str">
        <f ca="1">IFERROR(__xludf.DUMMYFUNCTION("""COMPUTED_VALUE"""),"on time")</f>
        <v>on time</v>
      </c>
      <c r="AE789" s="3" t="str">
        <f ca="1">IFERROR(__xludf.DUMMYFUNCTION("""COMPUTED_VALUE"""),"2055-06-01T12:38:57.376002Z")</f>
        <v>2055-06-01T12:38:57.376002Z</v>
      </c>
      <c r="AF789" s="3" t="str">
        <f ca="1">IFERROR(__xludf.DUMMYFUNCTION("""COMPUTED_VALUE"""),"2055-06-01T12:51:32.783262Z")</f>
        <v>2055-06-01T12:51:32.783262Z</v>
      </c>
      <c r="AG789" s="3" t="str">
        <f ca="1">IFERROR(__xludf.DUMMYFUNCTION("""COMPUTED_VALUE"""),"2055-06-01T12:21:27.312008Z")</f>
        <v>2055-06-01T12:21:27.312008Z</v>
      </c>
      <c r="AH789" s="3" t="str">
        <f ca="1">IFERROR(__xludf.DUMMYFUNCTION("""COMPUTED_VALUE"""),"2055-06-01T12:34:00.179133Z")</f>
        <v>2055-06-01T12:34:00.179133Z</v>
      </c>
      <c r="AI789" s="3">
        <f ca="1">IFERROR(__xludf.DUMMYFUNCTION("""COMPUTED_VALUE"""),4.89)</f>
        <v>4.8899999999999997</v>
      </c>
      <c r="AJ789" s="3">
        <f ca="1">IFERROR(__xludf.DUMMYFUNCTION("""COMPUTED_VALUE"""),1778)</f>
        <v>1778</v>
      </c>
      <c r="AK789" s="3">
        <f ca="1">IFERROR(__xludf.DUMMYFUNCTION("""COMPUTED_VALUE"""),5138)</f>
        <v>5138</v>
      </c>
      <c r="AL789" s="3">
        <f ca="1">IFERROR(__xludf.DUMMYFUNCTION("""COMPUTED_VALUE"""),314)</f>
        <v>314</v>
      </c>
    </row>
    <row r="790" spans="1:38" ht="13">
      <c r="A790" s="3">
        <f ca="1">IFERROR(__xludf.DUMMYFUNCTION("""COMPUTED_VALUE"""),942)</f>
        <v>942</v>
      </c>
      <c r="B790" s="3">
        <f ca="1">IFERROR(__xludf.DUMMYFUNCTION("""COMPUTED_VALUE"""),5)</f>
        <v>5</v>
      </c>
      <c r="C790" s="3">
        <f ca="1">IFERROR(__xludf.DUMMYFUNCTION("""COMPUTED_VALUE"""),4001)</f>
        <v>4001</v>
      </c>
      <c r="D790" s="3" t="str">
        <f ca="1">IFERROR(__xludf.DUMMYFUNCTION("""COMPUTED_VALUE"""),"Dashattan")</f>
        <v>Dashattan</v>
      </c>
      <c r="E790" s="3" t="str">
        <f ca="1">IFERROR(__xludf.DUMMYFUNCTION("""COMPUTED_VALUE"""),"Galaxy A")</f>
        <v>Galaxy A</v>
      </c>
      <c r="F790" s="3" t="str">
        <f ca="1">IFERROR(__xludf.DUMMYFUNCTION("""COMPUTED_VALUE"""),"Sean")</f>
        <v>Sean</v>
      </c>
      <c r="G790" s="3">
        <f ca="1">IFERROR(__xludf.DUMMYFUNCTION("""COMPUTED_VALUE"""),0)</f>
        <v>0</v>
      </c>
      <c r="H790" s="3" t="str">
        <f ca="1">IFERROR(__xludf.DUMMYFUNCTION("""COMPUTED_VALUE"""),"bicycle")</f>
        <v>bicycle</v>
      </c>
      <c r="I790" s="3" t="str">
        <f ca="1">IFERROR(__xludf.DUMMYFUNCTION("""COMPUTED_VALUE"""),"2055-06-08T16:17:06.205862Z")</f>
        <v>2055-06-08T16:17:06.205862Z</v>
      </c>
      <c r="J790" s="3" t="str">
        <f ca="1">IFERROR(__xludf.DUMMYFUNCTION("""COMPUTED_VALUE"""),"2055-06-08T17:21:35.267Z")</f>
        <v>2055-06-08T17:21:35.267Z</v>
      </c>
      <c r="K790" s="3" t="str">
        <f ca="1">IFERROR(__xludf.DUMMYFUNCTION("""COMPUTED_VALUE"""),"2055-06-08T17:06:56.267Z")</f>
        <v>2055-06-08T17:06:56.267Z</v>
      </c>
      <c r="L790" s="3">
        <f ca="1">IFERROR(__xludf.DUMMYFUNCTION("""COMPUTED_VALUE"""),1)</f>
        <v>1</v>
      </c>
      <c r="M790" s="3">
        <f ca="1">IFERROR(__xludf.DUMMYFUNCTION("""COMPUTED_VALUE"""),0)</f>
        <v>0</v>
      </c>
      <c r="N790" s="3" t="str">
        <f ca="1">IFERROR(__xludf.DUMMYFUNCTION("""COMPUTED_VALUE"""),"2055-06-08T16:53:56.915232Z")</f>
        <v>2055-06-08T16:53:56.915232Z</v>
      </c>
      <c r="O790" s="3" t="str">
        <f ca="1">IFERROR(__xludf.DUMMYFUNCTION("""COMPUTED_VALUE"""),"2055-06-08T16:56:59.223153Z")</f>
        <v>2055-06-08T16:56:59.223153Z</v>
      </c>
      <c r="P790" s="3" t="str">
        <f ca="1">IFERROR(__xludf.DUMMYFUNCTION("""COMPUTED_VALUE"""),"2055-06-08T16:35:34.886217Z")</f>
        <v>2055-06-08T16:35:34.886217Z</v>
      </c>
      <c r="Q790" s="3">
        <f ca="1">IFERROR(__xludf.DUMMYFUNCTION("""COMPUTED_VALUE"""),0)</f>
        <v>0</v>
      </c>
      <c r="R790" s="3" t="str">
        <f ca="1">IFERROR(__xludf.DUMMYFUNCTION("""COMPUTED_VALUE"""),"2055-06-08T16:36:00.432193Z")</f>
        <v>2055-06-08T16:36:00.432193Z</v>
      </c>
      <c r="S790" s="3" t="str">
        <f ca="1">IFERROR(__xludf.DUMMYFUNCTION("""COMPUTED_VALUE"""),"2055-06-08T16:45:04.833624Z")</f>
        <v>2055-06-08T16:45:04.833624Z</v>
      </c>
      <c r="T790" s="3"/>
      <c r="U790" s="4">
        <f ca="1">IFERROR(__xludf.DUMMYFUNCTION("""COMPUTED_VALUE"""),56773)</f>
        <v>56773</v>
      </c>
      <c r="V790" s="3">
        <f ca="1">IFERROR(__xludf.DUMMYFUNCTION("""COMPUTED_VALUE"""),4.4)</f>
        <v>4.4000000000000004</v>
      </c>
      <c r="W790" s="3">
        <f ca="1">IFERROR(__xludf.DUMMYFUNCTION("""COMPUTED_VALUE"""),1500)</f>
        <v>1500</v>
      </c>
      <c r="X790" s="3">
        <f ca="1">IFERROR(__xludf.DUMMYFUNCTION("""COMPUTED_VALUE"""),1259)</f>
        <v>1259</v>
      </c>
      <c r="Y790" s="3">
        <f ca="1">IFERROR(__xludf.DUMMYFUNCTION("""COMPUTED_VALUE"""),544)</f>
        <v>544</v>
      </c>
      <c r="Z790" s="3">
        <f ca="1">IFERROR(__xludf.DUMMYFUNCTION("""COMPUTED_VALUE"""),532)</f>
        <v>532</v>
      </c>
      <c r="AA790" s="3">
        <f ca="1">IFERROR(__xludf.DUMMYFUNCTION("""COMPUTED_VALUE"""),183)</f>
        <v>183</v>
      </c>
      <c r="AB790" s="3">
        <f ca="1">IFERROR(__xludf.DUMMYFUNCTION("""COMPUTED_VALUE"""),1)</f>
        <v>1</v>
      </c>
      <c r="AC790" s="3">
        <f ca="1">IFERROR(__xludf.DUMMYFUNCTION("""COMPUTED_VALUE"""),1)</f>
        <v>1</v>
      </c>
      <c r="AD790" s="3"/>
      <c r="AE790" s="3" t="str">
        <f ca="1">IFERROR(__xludf.DUMMYFUNCTION("""COMPUTED_VALUE"""),"2055-06-08T12:53:56.915232Z")</f>
        <v>2055-06-08T12:53:56.915232Z</v>
      </c>
      <c r="AF790" s="3" t="str">
        <f ca="1">IFERROR(__xludf.DUMMYFUNCTION("""COMPUTED_VALUE"""),"2055-06-08T12:56:59.223153Z")</f>
        <v>2055-06-08T12:56:59.223153Z</v>
      </c>
      <c r="AG790" s="3" t="str">
        <f ca="1">IFERROR(__xludf.DUMMYFUNCTION("""COMPUTED_VALUE"""),"2055-06-08T12:35:34.886217Z")</f>
        <v>2055-06-08T12:35:34.886217Z</v>
      </c>
      <c r="AH790" s="3" t="str">
        <f ca="1">IFERROR(__xludf.DUMMYFUNCTION("""COMPUTED_VALUE"""),"2055-06-08T12:45:04.833624Z")</f>
        <v>2055-06-08T12:45:04.833624Z</v>
      </c>
      <c r="AI790" s="3">
        <f ca="1">IFERROR(__xludf.DUMMYFUNCTION("""COMPUTED_VALUE"""),4.52)</f>
        <v>4.5199999999999996</v>
      </c>
      <c r="AJ790" s="3">
        <f ca="1">IFERROR(__xludf.DUMMYFUNCTION("""COMPUTED_VALUE"""),183)</f>
        <v>183</v>
      </c>
      <c r="AK790" s="3">
        <f ca="1">IFERROR(__xludf.DUMMYFUNCTION("""COMPUTED_VALUE"""),522)</f>
        <v>522</v>
      </c>
      <c r="AL790" s="3"/>
    </row>
    <row r="791" spans="1:38" ht="13">
      <c r="A791" s="3">
        <f ca="1">IFERROR(__xludf.DUMMYFUNCTION("""COMPUTED_VALUE"""),1039)</f>
        <v>1039</v>
      </c>
      <c r="B791" s="3"/>
      <c r="C791" s="3">
        <f ca="1">IFERROR(__xludf.DUMMYFUNCTION("""COMPUTED_VALUE"""),4001)</f>
        <v>4001</v>
      </c>
      <c r="D791" s="3" t="str">
        <f ca="1">IFERROR(__xludf.DUMMYFUNCTION("""COMPUTED_VALUE"""),"Dashattan")</f>
        <v>Dashattan</v>
      </c>
      <c r="E791" s="3" t="str">
        <f ca="1">IFERROR(__xludf.DUMMYFUNCTION("""COMPUTED_VALUE"""),"Galaxy A")</f>
        <v>Galaxy A</v>
      </c>
      <c r="F791" s="3" t="str">
        <f ca="1">IFERROR(__xludf.DUMMYFUNCTION("""COMPUTED_VALUE"""),"Sean")</f>
        <v>Sean</v>
      </c>
      <c r="G791" s="3">
        <f ca="1">IFERROR(__xludf.DUMMYFUNCTION("""COMPUTED_VALUE"""),0)</f>
        <v>0</v>
      </c>
      <c r="H791" s="3" t="str">
        <f ca="1">IFERROR(__xludf.DUMMYFUNCTION("""COMPUTED_VALUE"""),"bicycle")</f>
        <v>bicycle</v>
      </c>
      <c r="I791" s="3" t="str">
        <f ca="1">IFERROR(__xludf.DUMMYFUNCTION("""COMPUTED_VALUE"""),"2055-06-09T17:32:06.222914Z")</f>
        <v>2055-06-09T17:32:06.222914Z</v>
      </c>
      <c r="J791" s="3" t="str">
        <f ca="1">IFERROR(__xludf.DUMMYFUNCTION("""COMPUTED_VALUE"""),"2055-06-09T18:59:13.27Z")</f>
        <v>2055-06-09T18:59:13.27Z</v>
      </c>
      <c r="K791" s="3" t="str">
        <f ca="1">IFERROR(__xludf.DUMMYFUNCTION("""COMPUTED_VALUE"""),"2055-06-09T18:38:24.27Z")</f>
        <v>2055-06-09T18:38:24.27Z</v>
      </c>
      <c r="L791" s="3">
        <f ca="1">IFERROR(__xludf.DUMMYFUNCTION("""COMPUTED_VALUE"""),1)</f>
        <v>1</v>
      </c>
      <c r="M791" s="3">
        <f ca="1">IFERROR(__xludf.DUMMYFUNCTION("""COMPUTED_VALUE"""),0)</f>
        <v>0</v>
      </c>
      <c r="N791" s="3" t="str">
        <f ca="1">IFERROR(__xludf.DUMMYFUNCTION("""COMPUTED_VALUE"""),"2055-06-09T18:10:55.280808Z")</f>
        <v>2055-06-09T18:10:55.280808Z</v>
      </c>
      <c r="O791" s="3" t="str">
        <f ca="1">IFERROR(__xludf.DUMMYFUNCTION("""COMPUTED_VALUE"""),"2055-06-09T18:21:48.314663Z")</f>
        <v>2055-06-09T18:21:48.314663Z</v>
      </c>
      <c r="P791" s="3" t="str">
        <f ca="1">IFERROR(__xludf.DUMMYFUNCTION("""COMPUTED_VALUE"""),"2055-06-09T17:38:54.373661Z")</f>
        <v>2055-06-09T17:38:54.373661Z</v>
      </c>
      <c r="Q791" s="3">
        <f ca="1">IFERROR(__xludf.DUMMYFUNCTION("""COMPUTED_VALUE"""),0)</f>
        <v>0</v>
      </c>
      <c r="R791" s="3" t="str">
        <f ca="1">IFERROR(__xludf.DUMMYFUNCTION("""COMPUTED_VALUE"""),"2055-06-09T17:39:15.930459Z")</f>
        <v>2055-06-09T17:39:15.930459Z</v>
      </c>
      <c r="S791" s="3" t="str">
        <f ca="1">IFERROR(__xludf.DUMMYFUNCTION("""COMPUTED_VALUE"""),"2055-06-09T17:57:33.485499Z")</f>
        <v>2055-06-09T17:57:33.485499Z</v>
      </c>
      <c r="T791" s="3"/>
      <c r="U791" s="4">
        <f ca="1">IFERROR(__xludf.DUMMYFUNCTION("""COMPUTED_VALUE"""),56774)</f>
        <v>56774</v>
      </c>
      <c r="V791" s="3">
        <f ca="1">IFERROR(__xludf.DUMMYFUNCTION("""COMPUTED_VALUE"""),4.4)</f>
        <v>4.4000000000000004</v>
      </c>
      <c r="W791" s="3">
        <f ca="1">IFERROR(__xludf.DUMMYFUNCTION("""COMPUTED_VALUE"""),1500)</f>
        <v>1500</v>
      </c>
      <c r="X791" s="3">
        <f ca="1">IFERROR(__xludf.DUMMYFUNCTION("""COMPUTED_VALUE"""),2553)</f>
        <v>2553</v>
      </c>
      <c r="Y791" s="3">
        <f ca="1">IFERROR(__xludf.DUMMYFUNCTION("""COMPUTED_VALUE"""),1098)</f>
        <v>1098</v>
      </c>
      <c r="Z791" s="3">
        <f ca="1">IFERROR(__xludf.DUMMYFUNCTION("""COMPUTED_VALUE"""),802)</f>
        <v>802</v>
      </c>
      <c r="AA791" s="3">
        <f ca="1">IFERROR(__xludf.DUMMYFUNCTION("""COMPUTED_VALUE"""),653)</f>
        <v>653</v>
      </c>
      <c r="AB791" s="3">
        <f ca="1">IFERROR(__xludf.DUMMYFUNCTION("""COMPUTED_VALUE"""),0)</f>
        <v>0</v>
      </c>
      <c r="AC791" s="3">
        <f ca="1">IFERROR(__xludf.DUMMYFUNCTION("""COMPUTED_VALUE"""),3)</f>
        <v>3</v>
      </c>
      <c r="AD791" s="3" t="str">
        <f ca="1">IFERROR(__xludf.DUMMYFUNCTION("""COMPUTED_VALUE"""),"early")</f>
        <v>early</v>
      </c>
      <c r="AE791" s="3" t="str">
        <f ca="1">IFERROR(__xludf.DUMMYFUNCTION("""COMPUTED_VALUE"""),"2055-06-09T14:10:55.280808Z")</f>
        <v>2055-06-09T14:10:55.280808Z</v>
      </c>
      <c r="AF791" s="3" t="str">
        <f ca="1">IFERROR(__xludf.DUMMYFUNCTION("""COMPUTED_VALUE"""),"2055-06-09T14:21:48.314663Z")</f>
        <v>2055-06-09T14:21:48.314663Z</v>
      </c>
      <c r="AG791" s="3" t="str">
        <f ca="1">IFERROR(__xludf.DUMMYFUNCTION("""COMPUTED_VALUE"""),"2055-06-09T13:38:54.373661Z")</f>
        <v>2055-06-09T13:38:54.373661Z</v>
      </c>
      <c r="AH791" s="3" t="str">
        <f ca="1">IFERROR(__xludf.DUMMYFUNCTION("""COMPUTED_VALUE"""),"2055-06-09T13:57:33.485499Z")</f>
        <v>2055-06-09T13:57:33.485499Z</v>
      </c>
      <c r="AI791" s="3">
        <f ca="1">IFERROR(__xludf.DUMMYFUNCTION("""COMPUTED_VALUE"""),4.52)</f>
        <v>4.5199999999999996</v>
      </c>
      <c r="AJ791" s="3">
        <f ca="1">IFERROR(__xludf.DUMMYFUNCTION("""COMPUTED_VALUE"""),183)</f>
        <v>183</v>
      </c>
      <c r="AK791" s="3">
        <f ca="1">IFERROR(__xludf.DUMMYFUNCTION("""COMPUTED_VALUE"""),522)</f>
        <v>522</v>
      </c>
      <c r="AL791" s="3"/>
    </row>
    <row r="792" spans="1:38" ht="13">
      <c r="A792" s="3">
        <f ca="1">IFERROR(__xludf.DUMMYFUNCTION("""COMPUTED_VALUE"""),135)</f>
        <v>135</v>
      </c>
      <c r="B792" s="3"/>
      <c r="C792" s="3">
        <f ca="1">IFERROR(__xludf.DUMMYFUNCTION("""COMPUTED_VALUE"""),4050)</f>
        <v>4050</v>
      </c>
      <c r="D792" s="3" t="str">
        <f ca="1">IFERROR(__xludf.DUMMYFUNCTION("""COMPUTED_VALUE"""),"Doorlanta")</f>
        <v>Doorlanta</v>
      </c>
      <c r="E792" s="3" t="str">
        <f ca="1">IFERROR(__xludf.DUMMYFUNCTION("""COMPUTED_VALUE"""),"Galaxy A")</f>
        <v>Galaxy A</v>
      </c>
      <c r="F792" s="3" t="str">
        <f ca="1">IFERROR(__xludf.DUMMYFUNCTION("""COMPUTED_VALUE"""),"Katelynn")</f>
        <v>Katelynn</v>
      </c>
      <c r="G792" s="3">
        <f ca="1">IFERROR(__xludf.DUMMYFUNCTION("""COMPUTED_VALUE"""),0)</f>
        <v>0</v>
      </c>
      <c r="H792" s="3" t="str">
        <f ca="1">IFERROR(__xludf.DUMMYFUNCTION("""COMPUTED_VALUE"""),"car")</f>
        <v>car</v>
      </c>
      <c r="I792" s="3" t="str">
        <f ca="1">IFERROR(__xludf.DUMMYFUNCTION("""COMPUTED_VALUE"""),"2055-06-02T16:11:22.576352Z")</f>
        <v>2055-06-02T16:11:22.576352Z</v>
      </c>
      <c r="J792" s="3" t="str">
        <f ca="1">IFERROR(__xludf.DUMMYFUNCTION("""COMPUTED_VALUE"""),"2055-06-02T17:06:22.684Z")</f>
        <v>2055-06-02T17:06:22.684Z</v>
      </c>
      <c r="K792" s="3" t="str">
        <f ca="1">IFERROR(__xludf.DUMMYFUNCTION("""COMPUTED_VALUE"""),"2055-06-02T16:41:30.684Z")</f>
        <v>2055-06-02T16:41:30.684Z</v>
      </c>
      <c r="L792" s="3">
        <f ca="1">IFERROR(__xludf.DUMMYFUNCTION("""COMPUTED_VALUE"""),1)</f>
        <v>1</v>
      </c>
      <c r="M792" s="3">
        <f ca="1">IFERROR(__xludf.DUMMYFUNCTION("""COMPUTED_VALUE"""),0)</f>
        <v>0</v>
      </c>
      <c r="N792" s="3" t="str">
        <f ca="1">IFERROR(__xludf.DUMMYFUNCTION("""COMPUTED_VALUE"""),"2055-06-02T16:34:42.714417Z")</f>
        <v>2055-06-02T16:34:42.714417Z</v>
      </c>
      <c r="O792" s="3" t="str">
        <f ca="1">IFERROR(__xludf.DUMMYFUNCTION("""COMPUTED_VALUE"""),"2055-06-02T16:50:56.616208Z")</f>
        <v>2055-06-02T16:50:56.616208Z</v>
      </c>
      <c r="P792" s="3" t="str">
        <f ca="1">IFERROR(__xludf.DUMMYFUNCTION("""COMPUTED_VALUE"""),"2055-06-02T16:11:27.304484Z")</f>
        <v>2055-06-02T16:11:27.304484Z</v>
      </c>
      <c r="Q792" s="3">
        <f ca="1">IFERROR(__xludf.DUMMYFUNCTION("""COMPUTED_VALUE"""),0)</f>
        <v>0</v>
      </c>
      <c r="R792" s="3" t="str">
        <f ca="1">IFERROR(__xludf.DUMMYFUNCTION("""COMPUTED_VALUE"""),"2055-06-02T16:11:36.350014Z")</f>
        <v>2055-06-02T16:11:36.350014Z</v>
      </c>
      <c r="S792" s="3" t="str">
        <f ca="1">IFERROR(__xludf.DUMMYFUNCTION("""COMPUTED_VALUE"""),"2055-06-02T16:16:04.546755Z")</f>
        <v>2055-06-02T16:16:04.546755Z</v>
      </c>
      <c r="T792" s="3"/>
      <c r="U792" s="4">
        <f ca="1">IFERROR(__xludf.DUMMYFUNCTION("""COMPUTED_VALUE"""),56767)</f>
        <v>56767</v>
      </c>
      <c r="V792" s="3">
        <f ca="1">IFERROR(__xludf.DUMMYFUNCTION("""COMPUTED_VALUE"""),4.6)</f>
        <v>4.5999999999999996</v>
      </c>
      <c r="W792" s="3">
        <f ca="1">IFERROR(__xludf.DUMMYFUNCTION("""COMPUTED_VALUE"""),1500)</f>
        <v>1500</v>
      </c>
      <c r="X792" s="3">
        <f ca="1">IFERROR(__xludf.DUMMYFUNCTION("""COMPUTED_VALUE"""),2360)</f>
        <v>2360</v>
      </c>
      <c r="Y792" s="3">
        <f ca="1">IFERROR(__xludf.DUMMYFUNCTION("""COMPUTED_VALUE"""),268)</f>
        <v>268</v>
      </c>
      <c r="Z792" s="3">
        <f ca="1">IFERROR(__xludf.DUMMYFUNCTION("""COMPUTED_VALUE"""),1118)</f>
        <v>1118</v>
      </c>
      <c r="AA792" s="3">
        <f ca="1">IFERROR(__xludf.DUMMYFUNCTION("""COMPUTED_VALUE"""),974)</f>
        <v>974</v>
      </c>
      <c r="AB792" s="3">
        <f ca="1">IFERROR(__xludf.DUMMYFUNCTION("""COMPUTED_VALUE"""),1)</f>
        <v>1</v>
      </c>
      <c r="AC792" s="3">
        <f ca="1">IFERROR(__xludf.DUMMYFUNCTION("""COMPUTED_VALUE"""),3)</f>
        <v>3</v>
      </c>
      <c r="AD792" s="3"/>
      <c r="AE792" s="3" t="str">
        <f ca="1">IFERROR(__xludf.DUMMYFUNCTION("""COMPUTED_VALUE"""),"2055-06-02T12:34:42.714417Z")</f>
        <v>2055-06-02T12:34:42.714417Z</v>
      </c>
      <c r="AF792" s="3" t="str">
        <f ca="1">IFERROR(__xludf.DUMMYFUNCTION("""COMPUTED_VALUE"""),"2055-06-02T12:50:56.616208Z")</f>
        <v>2055-06-02T12:50:56.616208Z</v>
      </c>
      <c r="AG792" s="3" t="str">
        <f ca="1">IFERROR(__xludf.DUMMYFUNCTION("""COMPUTED_VALUE"""),"2055-06-02T12:11:27.304484Z")</f>
        <v>2055-06-02T12:11:27.304484Z</v>
      </c>
      <c r="AH792" s="3" t="str">
        <f ca="1">IFERROR(__xludf.DUMMYFUNCTION("""COMPUTED_VALUE"""),"2055-06-02T12:16:04.546755Z")</f>
        <v>2055-06-02T12:16:04.546755Z</v>
      </c>
      <c r="AI792" s="3">
        <f ca="1">IFERROR(__xludf.DUMMYFUNCTION("""COMPUTED_VALUE"""),4.7)</f>
        <v>4.7</v>
      </c>
      <c r="AJ792" s="3">
        <f ca="1">IFERROR(__xludf.DUMMYFUNCTION("""COMPUTED_VALUE"""),1261)</f>
        <v>1261</v>
      </c>
      <c r="AK792" s="3">
        <f ca="1">IFERROR(__xludf.DUMMYFUNCTION("""COMPUTED_VALUE"""),3264)</f>
        <v>3264</v>
      </c>
      <c r="AL792" s="3">
        <f ca="1">IFERROR(__xludf.DUMMYFUNCTION("""COMPUTED_VALUE"""),232)</f>
        <v>232</v>
      </c>
    </row>
    <row r="793" spans="1:38" ht="13">
      <c r="A793" s="3">
        <f ca="1">IFERROR(__xludf.DUMMYFUNCTION("""COMPUTED_VALUE"""),191)</f>
        <v>191</v>
      </c>
      <c r="B793" s="3"/>
      <c r="C793" s="3">
        <f ca="1">IFERROR(__xludf.DUMMYFUNCTION("""COMPUTED_VALUE"""),4050)</f>
        <v>4050</v>
      </c>
      <c r="D793" s="3" t="str">
        <f ca="1">IFERROR(__xludf.DUMMYFUNCTION("""COMPUTED_VALUE"""),"Doorlanta")</f>
        <v>Doorlanta</v>
      </c>
      <c r="E793" s="3" t="str">
        <f ca="1">IFERROR(__xludf.DUMMYFUNCTION("""COMPUTED_VALUE"""),"Galaxy A")</f>
        <v>Galaxy A</v>
      </c>
      <c r="F793" s="3" t="str">
        <f ca="1">IFERROR(__xludf.DUMMYFUNCTION("""COMPUTED_VALUE"""),"Jagar")</f>
        <v>Jagar</v>
      </c>
      <c r="G793" s="3">
        <f ca="1">IFERROR(__xludf.DUMMYFUNCTION("""COMPUTED_VALUE"""),0)</f>
        <v>0</v>
      </c>
      <c r="H793" s="3" t="str">
        <f ca="1">IFERROR(__xludf.DUMMYFUNCTION("""COMPUTED_VALUE"""),"car")</f>
        <v>car</v>
      </c>
      <c r="I793" s="3" t="str">
        <f ca="1">IFERROR(__xludf.DUMMYFUNCTION("""COMPUTED_VALUE"""),"2055-06-02T22:37:56.010487Z")</f>
        <v>2055-06-02T22:37:56.010487Z</v>
      </c>
      <c r="J793" s="3" t="str">
        <f ca="1">IFERROR(__xludf.DUMMYFUNCTION("""COMPUTED_VALUE"""),"2055-06-02T23:41:38.07Z")</f>
        <v>2055-06-02T23:41:38.07Z</v>
      </c>
      <c r="K793" s="3" t="str">
        <f ca="1">IFERROR(__xludf.DUMMYFUNCTION("""COMPUTED_VALUE"""),"2055-06-02T23:18:20.07Z")</f>
        <v>2055-06-02T23:18:20.07Z</v>
      </c>
      <c r="L793" s="3">
        <f ca="1">IFERROR(__xludf.DUMMYFUNCTION("""COMPUTED_VALUE"""),1)</f>
        <v>1</v>
      </c>
      <c r="M793" s="3">
        <f ca="1">IFERROR(__xludf.DUMMYFUNCTION("""COMPUTED_VALUE"""),0)</f>
        <v>0</v>
      </c>
      <c r="N793" s="3" t="str">
        <f ca="1">IFERROR(__xludf.DUMMYFUNCTION("""COMPUTED_VALUE"""),"2055-06-02T23:02:49.986649Z")</f>
        <v>2055-06-02T23:02:49.986649Z</v>
      </c>
      <c r="O793" s="3" t="str">
        <f ca="1">IFERROR(__xludf.DUMMYFUNCTION("""COMPUTED_VALUE"""),"2055-06-02T23:10:20.579946Z")</f>
        <v>2055-06-02T23:10:20.579946Z</v>
      </c>
      <c r="P793" s="3" t="str">
        <f ca="1">IFERROR(__xludf.DUMMYFUNCTION("""COMPUTED_VALUE"""),"2055-06-02T22:44:07.334498Z")</f>
        <v>2055-06-02T22:44:07.334498Z</v>
      </c>
      <c r="Q793" s="3">
        <f ca="1">IFERROR(__xludf.DUMMYFUNCTION("""COMPUTED_VALUE"""),0)</f>
        <v>0</v>
      </c>
      <c r="R793" s="3" t="str">
        <f ca="1">IFERROR(__xludf.DUMMYFUNCTION("""COMPUTED_VALUE"""),"2055-06-02T22:44:18.415824Z")</f>
        <v>2055-06-02T22:44:18.415824Z</v>
      </c>
      <c r="S793" s="3" t="str">
        <f ca="1">IFERROR(__xludf.DUMMYFUNCTION("""COMPUTED_VALUE"""),"2055-06-02T22:57:48.346624Z")</f>
        <v>2055-06-02T22:57:48.346624Z</v>
      </c>
      <c r="T793" s="3"/>
      <c r="U793" s="4">
        <f ca="1">IFERROR(__xludf.DUMMYFUNCTION("""COMPUTED_VALUE"""),56767)</f>
        <v>56767</v>
      </c>
      <c r="V793" s="3">
        <f ca="1">IFERROR(__xludf.DUMMYFUNCTION("""COMPUTED_VALUE"""),4.6)</f>
        <v>4.5999999999999996</v>
      </c>
      <c r="W793" s="3">
        <f ca="1">IFERROR(__xludf.DUMMYFUNCTION("""COMPUTED_VALUE"""),1500)</f>
        <v>1500</v>
      </c>
      <c r="X793" s="3">
        <f ca="1">IFERROR(__xludf.DUMMYFUNCTION("""COMPUTED_VALUE"""),1562)</f>
        <v>1562</v>
      </c>
      <c r="Y793" s="3">
        <f ca="1">IFERROR(__xludf.DUMMYFUNCTION("""COMPUTED_VALUE"""),810)</f>
        <v>810</v>
      </c>
      <c r="Z793" s="3">
        <f ca="1">IFERROR(__xludf.DUMMYFUNCTION("""COMPUTED_VALUE"""),301)</f>
        <v>301</v>
      </c>
      <c r="AA793" s="3">
        <f ca="1">IFERROR(__xludf.DUMMYFUNCTION("""COMPUTED_VALUE"""),451)</f>
        <v>451</v>
      </c>
      <c r="AB793" s="3">
        <f ca="1">IFERROR(__xludf.DUMMYFUNCTION("""COMPUTED_VALUE"""),0)</f>
        <v>0</v>
      </c>
      <c r="AC793" s="3">
        <f ca="1">IFERROR(__xludf.DUMMYFUNCTION("""COMPUTED_VALUE"""),1)</f>
        <v>1</v>
      </c>
      <c r="AD793" s="3" t="str">
        <f ca="1">IFERROR(__xludf.DUMMYFUNCTION("""COMPUTED_VALUE"""),"late")</f>
        <v>late</v>
      </c>
      <c r="AE793" s="3" t="str">
        <f ca="1">IFERROR(__xludf.DUMMYFUNCTION("""COMPUTED_VALUE"""),"2055-06-02T19:02:49.986649Z")</f>
        <v>2055-06-02T19:02:49.986649Z</v>
      </c>
      <c r="AF793" s="3" t="str">
        <f ca="1">IFERROR(__xludf.DUMMYFUNCTION("""COMPUTED_VALUE"""),"2055-06-02T19:10:20.579946Z")</f>
        <v>2055-06-02T19:10:20.579946Z</v>
      </c>
      <c r="AG793" s="3" t="str">
        <f ca="1">IFERROR(__xludf.DUMMYFUNCTION("""COMPUTED_VALUE"""),"2055-06-02T18:44:07.334498Z")</f>
        <v>2055-06-02T18:44:07.334498Z</v>
      </c>
      <c r="AH793" s="3" t="str">
        <f ca="1">IFERROR(__xludf.DUMMYFUNCTION("""COMPUTED_VALUE"""),"2055-06-02T18:57:48.346624Z")</f>
        <v>2055-06-02T18:57:48.346624Z</v>
      </c>
      <c r="AI793" s="3">
        <f ca="1">IFERROR(__xludf.DUMMYFUNCTION("""COMPUTED_VALUE"""),4.89)</f>
        <v>4.8899999999999997</v>
      </c>
      <c r="AJ793" s="3">
        <f ca="1">IFERROR(__xludf.DUMMYFUNCTION("""COMPUTED_VALUE"""),1778)</f>
        <v>1778</v>
      </c>
      <c r="AK793" s="3">
        <f ca="1">IFERROR(__xludf.DUMMYFUNCTION("""COMPUTED_VALUE"""),5138)</f>
        <v>5138</v>
      </c>
      <c r="AL793" s="3">
        <f ca="1">IFERROR(__xludf.DUMMYFUNCTION("""COMPUTED_VALUE"""),314)</f>
        <v>314</v>
      </c>
    </row>
    <row r="794" spans="1:38" ht="13">
      <c r="A794" s="3">
        <f ca="1">IFERROR(__xludf.DUMMYFUNCTION("""COMPUTED_VALUE"""),892)</f>
        <v>892</v>
      </c>
      <c r="B794" s="3">
        <f ca="1">IFERROR(__xludf.DUMMYFUNCTION("""COMPUTED_VALUE"""),5)</f>
        <v>5</v>
      </c>
      <c r="C794" s="3">
        <f ca="1">IFERROR(__xludf.DUMMYFUNCTION("""COMPUTED_VALUE"""),4050)</f>
        <v>4050</v>
      </c>
      <c r="D794" s="3" t="str">
        <f ca="1">IFERROR(__xludf.DUMMYFUNCTION("""COMPUTED_VALUE"""),"Doorlanta")</f>
        <v>Doorlanta</v>
      </c>
      <c r="E794" s="3" t="str">
        <f ca="1">IFERROR(__xludf.DUMMYFUNCTION("""COMPUTED_VALUE"""),"Galaxy A")</f>
        <v>Galaxy A</v>
      </c>
      <c r="F794" s="3" t="str">
        <f ca="1">IFERROR(__xludf.DUMMYFUNCTION("""COMPUTED_VALUE"""),"Joe")</f>
        <v>Joe</v>
      </c>
      <c r="G794" s="3">
        <f ca="1">IFERROR(__xludf.DUMMYFUNCTION("""COMPUTED_VALUE"""),0)</f>
        <v>0</v>
      </c>
      <c r="H794" s="3" t="str">
        <f ca="1">IFERROR(__xludf.DUMMYFUNCTION("""COMPUTED_VALUE"""),"car")</f>
        <v>car</v>
      </c>
      <c r="I794" s="3" t="str">
        <f ca="1">IFERROR(__xludf.DUMMYFUNCTION("""COMPUTED_VALUE"""),"2055-06-07T23:27:23.633757Z")</f>
        <v>2055-06-07T23:27:23.633757Z</v>
      </c>
      <c r="J794" s="3" t="str">
        <f ca="1">IFERROR(__xludf.DUMMYFUNCTION("""COMPUTED_VALUE"""),"2055-06-08T00:12:23.692Z")</f>
        <v>2055-06-08T00:12:23.692Z</v>
      </c>
      <c r="K794" s="3" t="str">
        <f ca="1">IFERROR(__xludf.DUMMYFUNCTION("""COMPUTED_VALUE"""),"2055-06-08T00:02:27.692Z")</f>
        <v>2055-06-08T00:02:27.692Z</v>
      </c>
      <c r="L794" s="3">
        <f ca="1">IFERROR(__xludf.DUMMYFUNCTION("""COMPUTED_VALUE"""),1)</f>
        <v>1</v>
      </c>
      <c r="M794" s="3">
        <f ca="1">IFERROR(__xludf.DUMMYFUNCTION("""COMPUTED_VALUE"""),0)</f>
        <v>0</v>
      </c>
      <c r="N794" s="3" t="str">
        <f ca="1">IFERROR(__xludf.DUMMYFUNCTION("""COMPUTED_VALUE"""),"2055-06-07T23:48:43.232948Z")</f>
        <v>2055-06-07T23:48:43.232948Z</v>
      </c>
      <c r="O794" s="3" t="str">
        <f ca="1">IFERROR(__xludf.DUMMYFUNCTION("""COMPUTED_VALUE"""),"2055-06-07T23:59:05.564205Z")</f>
        <v>2055-06-07T23:59:05.564205Z</v>
      </c>
      <c r="P794" s="3" t="str">
        <f ca="1">IFERROR(__xludf.DUMMYFUNCTION("""COMPUTED_VALUE"""),"2055-06-07T23:27:27.476696Z")</f>
        <v>2055-06-07T23:27:27.476696Z</v>
      </c>
      <c r="Q794" s="3">
        <f ca="1">IFERROR(__xludf.DUMMYFUNCTION("""COMPUTED_VALUE"""),0)</f>
        <v>0</v>
      </c>
      <c r="R794" s="3" t="str">
        <f ca="1">IFERROR(__xludf.DUMMYFUNCTION("""COMPUTED_VALUE"""),"2055-06-07T23:27:47.134Z")</f>
        <v>2055-06-07T23:27:47.134Z</v>
      </c>
      <c r="S794" s="3" t="str">
        <f ca="1">IFERROR(__xludf.DUMMYFUNCTION("""COMPUTED_VALUE"""),"2055-06-07T23:48:36.669768Z")</f>
        <v>2055-06-07T23:48:36.669768Z</v>
      </c>
      <c r="T794" s="3"/>
      <c r="U794" s="4">
        <f ca="1">IFERROR(__xludf.DUMMYFUNCTION("""COMPUTED_VALUE"""),56772)</f>
        <v>56772</v>
      </c>
      <c r="V794" s="3">
        <f ca="1">IFERROR(__xludf.DUMMYFUNCTION("""COMPUTED_VALUE"""),4.7)</f>
        <v>4.7</v>
      </c>
      <c r="W794" s="3">
        <f ca="1">IFERROR(__xludf.DUMMYFUNCTION("""COMPUTED_VALUE"""),1500)</f>
        <v>1500</v>
      </c>
      <c r="X794" s="3">
        <f ca="1">IFERROR(__xludf.DUMMYFUNCTION("""COMPUTED_VALUE"""),1878)</f>
        <v>1878</v>
      </c>
      <c r="Y794" s="3">
        <f ca="1">IFERROR(__xludf.DUMMYFUNCTION("""COMPUTED_VALUE"""),1249)</f>
        <v>1249</v>
      </c>
      <c r="Z794" s="3">
        <f ca="1">IFERROR(__xludf.DUMMYFUNCTION("""COMPUTED_VALUE"""),7)</f>
        <v>7</v>
      </c>
      <c r="AA794" s="3">
        <f ca="1">IFERROR(__xludf.DUMMYFUNCTION("""COMPUTED_VALUE"""),622)</f>
        <v>622</v>
      </c>
      <c r="AB794" s="3">
        <f ca="1">IFERROR(__xludf.DUMMYFUNCTION("""COMPUTED_VALUE"""),0)</f>
        <v>0</v>
      </c>
      <c r="AC794" s="3">
        <f ca="1">IFERROR(__xludf.DUMMYFUNCTION("""COMPUTED_VALUE"""),1)</f>
        <v>1</v>
      </c>
      <c r="AD794" s="3" t="str">
        <f ca="1">IFERROR(__xludf.DUMMYFUNCTION("""COMPUTED_VALUE"""),"late")</f>
        <v>late</v>
      </c>
      <c r="AE794" s="3" t="str">
        <f ca="1">IFERROR(__xludf.DUMMYFUNCTION("""COMPUTED_VALUE"""),"2055-06-07T19:48:43.232948Z")</f>
        <v>2055-06-07T19:48:43.232948Z</v>
      </c>
      <c r="AF794" s="3" t="str">
        <f ca="1">IFERROR(__xludf.DUMMYFUNCTION("""COMPUTED_VALUE"""),"2055-06-07T19:59:05.564205Z")</f>
        <v>2055-06-07T19:59:05.564205Z</v>
      </c>
      <c r="AG794" s="3" t="str">
        <f ca="1">IFERROR(__xludf.DUMMYFUNCTION("""COMPUTED_VALUE"""),"2055-06-07T19:27:27.476696Z")</f>
        <v>2055-06-07T19:27:27.476696Z</v>
      </c>
      <c r="AH794" s="3" t="str">
        <f ca="1">IFERROR(__xludf.DUMMYFUNCTION("""COMPUTED_VALUE"""),"2055-06-07T19:48:36.669768Z")</f>
        <v>2055-06-07T19:48:36.669768Z</v>
      </c>
      <c r="AI794" s="3">
        <f ca="1">IFERROR(__xludf.DUMMYFUNCTION("""COMPUTED_VALUE"""),4.38)</f>
        <v>4.38</v>
      </c>
      <c r="AJ794" s="3">
        <f ca="1">IFERROR(__xludf.DUMMYFUNCTION("""COMPUTED_VALUE"""),196)</f>
        <v>196</v>
      </c>
      <c r="AK794" s="3">
        <f ca="1">IFERROR(__xludf.DUMMYFUNCTION("""COMPUTED_VALUE"""),626)</f>
        <v>626</v>
      </c>
      <c r="AL794" s="3"/>
    </row>
    <row r="795" spans="1:38" ht="13">
      <c r="A795" s="3">
        <f ca="1">IFERROR(__xludf.DUMMYFUNCTION("""COMPUTED_VALUE"""),1382)</f>
        <v>1382</v>
      </c>
      <c r="B795" s="3"/>
      <c r="C795" s="3">
        <f ca="1">IFERROR(__xludf.DUMMYFUNCTION("""COMPUTED_VALUE"""),4001)</f>
        <v>4001</v>
      </c>
      <c r="D795" s="3" t="str">
        <f ca="1">IFERROR(__xludf.DUMMYFUNCTION("""COMPUTED_VALUE"""),"Dashattan")</f>
        <v>Dashattan</v>
      </c>
      <c r="E795" s="3" t="str">
        <f ca="1">IFERROR(__xludf.DUMMYFUNCTION("""COMPUTED_VALUE"""),"Galaxy A")</f>
        <v>Galaxy A</v>
      </c>
      <c r="F795" s="3" t="str">
        <f ca="1">IFERROR(__xludf.DUMMYFUNCTION("""COMPUTED_VALUE"""),"Rojan")</f>
        <v>Rojan</v>
      </c>
      <c r="G795" s="3">
        <f ca="1">IFERROR(__xludf.DUMMYFUNCTION("""COMPUTED_VALUE"""),0)</f>
        <v>0</v>
      </c>
      <c r="H795" s="3" t="str">
        <f ca="1">IFERROR(__xludf.DUMMYFUNCTION("""COMPUTED_VALUE"""),"bicycle")</f>
        <v>bicycle</v>
      </c>
      <c r="I795" s="3" t="str">
        <f ca="1">IFERROR(__xludf.DUMMYFUNCTION("""COMPUTED_VALUE"""),"2055-06-12T12:41:00.535167Z")</f>
        <v>2055-06-12T12:41:00.535167Z</v>
      </c>
      <c r="J795" s="3" t="str">
        <f ca="1">IFERROR(__xludf.DUMMYFUNCTION("""COMPUTED_VALUE"""),"2055-06-12T13:29:51.611Z")</f>
        <v>2055-06-12T13:29:51.611Z</v>
      </c>
      <c r="K795" s="3" t="str">
        <f ca="1">IFERROR(__xludf.DUMMYFUNCTION("""COMPUTED_VALUE"""),"2055-06-12T13:19:12.611Z")</f>
        <v>2055-06-12T13:19:12.611Z</v>
      </c>
      <c r="L795" s="3">
        <f ca="1">IFERROR(__xludf.DUMMYFUNCTION("""COMPUTED_VALUE"""),1)</f>
        <v>1</v>
      </c>
      <c r="M795" s="3">
        <f ca="1">IFERROR(__xludf.DUMMYFUNCTION("""COMPUTED_VALUE"""),0)</f>
        <v>0</v>
      </c>
      <c r="N795" s="3" t="str">
        <f ca="1">IFERROR(__xludf.DUMMYFUNCTION("""COMPUTED_VALUE"""),"2055-06-12T13:53:37.040419Z")</f>
        <v>2055-06-12T13:53:37.040419Z</v>
      </c>
      <c r="O795" s="3" t="str">
        <f ca="1">IFERROR(__xludf.DUMMYFUNCTION("""COMPUTED_VALUE"""),"2055-06-12T14:21:56.129489Z")</f>
        <v>2055-06-12T14:21:56.129489Z</v>
      </c>
      <c r="P795" s="3" t="str">
        <f ca="1">IFERROR(__xludf.DUMMYFUNCTION("""COMPUTED_VALUE"""),"2055-06-12T13:03:54.067469Z")</f>
        <v>2055-06-12T13:03:54.067469Z</v>
      </c>
      <c r="Q795" s="3">
        <f ca="1">IFERROR(__xludf.DUMMYFUNCTION("""COMPUTED_VALUE"""),0)</f>
        <v>0</v>
      </c>
      <c r="R795" s="3" t="str">
        <f ca="1">IFERROR(__xludf.DUMMYFUNCTION("""COMPUTED_VALUE"""),"2055-06-12T13:03:58.800367Z")</f>
        <v>2055-06-12T13:03:58.800367Z</v>
      </c>
      <c r="S795" s="3"/>
      <c r="T795" s="3"/>
      <c r="U795" s="4">
        <f ca="1">IFERROR(__xludf.DUMMYFUNCTION("""COMPUTED_VALUE"""),56777)</f>
        <v>56777</v>
      </c>
      <c r="V795" s="3">
        <f ca="1">IFERROR(__xludf.DUMMYFUNCTION("""COMPUTED_VALUE"""),3.9)</f>
        <v>3.9</v>
      </c>
      <c r="W795" s="3">
        <f ca="1">IFERROR(__xludf.DUMMYFUNCTION("""COMPUTED_VALUE"""),1500)</f>
        <v>1500</v>
      </c>
      <c r="X795" s="3">
        <f ca="1">IFERROR(__xludf.DUMMYFUNCTION("""COMPUTED_VALUE"""),4678)</f>
        <v>4678</v>
      </c>
      <c r="Y795" s="3"/>
      <c r="Z795" s="3"/>
      <c r="AA795" s="3">
        <f ca="1">IFERROR(__xludf.DUMMYFUNCTION("""COMPUTED_VALUE"""),1699)</f>
        <v>1699</v>
      </c>
      <c r="AB795" s="3">
        <f ca="1">IFERROR(__xludf.DUMMYFUNCTION("""COMPUTED_VALUE"""),0)</f>
        <v>0</v>
      </c>
      <c r="AC795" s="3">
        <f ca="1">IFERROR(__xludf.DUMMYFUNCTION("""COMPUTED_VALUE"""),3)</f>
        <v>3</v>
      </c>
      <c r="AD795" s="3"/>
      <c r="AE795" s="3" t="str">
        <f ca="1">IFERROR(__xludf.DUMMYFUNCTION("""COMPUTED_VALUE"""),"2055-06-12T09:53:37.040419Z")</f>
        <v>2055-06-12T09:53:37.040419Z</v>
      </c>
      <c r="AF795" s="3" t="str">
        <f ca="1">IFERROR(__xludf.DUMMYFUNCTION("""COMPUTED_VALUE"""),"2055-06-12T10:21:56.129489Z")</f>
        <v>2055-06-12T10:21:56.129489Z</v>
      </c>
      <c r="AG795" s="3" t="str">
        <f ca="1">IFERROR(__xludf.DUMMYFUNCTION("""COMPUTED_VALUE"""),"2055-06-12T09:03:54.067469Z")</f>
        <v>2055-06-12T09:03:54.067469Z</v>
      </c>
      <c r="AH795" s="3"/>
      <c r="AI795" s="3">
        <f ca="1">IFERROR(__xludf.DUMMYFUNCTION("""COMPUTED_VALUE"""),4.58)</f>
        <v>4.58</v>
      </c>
      <c r="AJ795" s="3">
        <f ca="1">IFERROR(__xludf.DUMMYFUNCTION("""COMPUTED_VALUE"""),254)</f>
        <v>254</v>
      </c>
      <c r="AK795" s="3">
        <f ca="1">IFERROR(__xludf.DUMMYFUNCTION("""COMPUTED_VALUE"""),788)</f>
        <v>788</v>
      </c>
      <c r="AL795" s="3">
        <f ca="1">IFERROR(__xludf.DUMMYFUNCTION("""COMPUTED_VALUE"""),9)</f>
        <v>9</v>
      </c>
    </row>
    <row r="796" spans="1:38" ht="13">
      <c r="A796" s="3">
        <f ca="1">IFERROR(__xludf.DUMMYFUNCTION("""COMPUTED_VALUE"""),1426)</f>
        <v>1426</v>
      </c>
      <c r="B796" s="3">
        <f ca="1">IFERROR(__xludf.DUMMYFUNCTION("""COMPUTED_VALUE"""),5)</f>
        <v>5</v>
      </c>
      <c r="C796" s="3">
        <f ca="1">IFERROR(__xludf.DUMMYFUNCTION("""COMPUTED_VALUE"""),4001)</f>
        <v>4001</v>
      </c>
      <c r="D796" s="3" t="str">
        <f ca="1">IFERROR(__xludf.DUMMYFUNCTION("""COMPUTED_VALUE"""),"Dashattan")</f>
        <v>Dashattan</v>
      </c>
      <c r="E796" s="3" t="str">
        <f ca="1">IFERROR(__xludf.DUMMYFUNCTION("""COMPUTED_VALUE"""),"Galaxy A")</f>
        <v>Galaxy A</v>
      </c>
      <c r="F796" s="3" t="str">
        <f ca="1">IFERROR(__xludf.DUMMYFUNCTION("""COMPUTED_VALUE"""),"Carlee")</f>
        <v>Carlee</v>
      </c>
      <c r="G796" s="3">
        <f ca="1">IFERROR(__xludf.DUMMYFUNCTION("""COMPUTED_VALUE"""),0)</f>
        <v>0</v>
      </c>
      <c r="H796" s="3" t="str">
        <f ca="1">IFERROR(__xludf.DUMMYFUNCTION("""COMPUTED_VALUE"""),"car")</f>
        <v>car</v>
      </c>
      <c r="I796" s="3" t="str">
        <f ca="1">IFERROR(__xludf.DUMMYFUNCTION("""COMPUTED_VALUE"""),"2055-06-12T18:24:51.09646Z")</f>
        <v>2055-06-12T18:24:51.09646Z</v>
      </c>
      <c r="J796" s="3" t="str">
        <f ca="1">IFERROR(__xludf.DUMMYFUNCTION("""COMPUTED_VALUE"""),"2055-06-12T19:44:20.142Z")</f>
        <v>2055-06-12T19:44:20.142Z</v>
      </c>
      <c r="K796" s="3" t="str">
        <f ca="1">IFERROR(__xludf.DUMMYFUNCTION("""COMPUTED_VALUE"""),"2055-06-12T19:16:07.142Z")</f>
        <v>2055-06-12T19:16:07.142Z</v>
      </c>
      <c r="L796" s="3">
        <f ca="1">IFERROR(__xludf.DUMMYFUNCTION("""COMPUTED_VALUE"""),1)</f>
        <v>1</v>
      </c>
      <c r="M796" s="3">
        <f ca="1">IFERROR(__xludf.DUMMYFUNCTION("""COMPUTED_VALUE"""),0)</f>
        <v>0</v>
      </c>
      <c r="N796" s="3" t="str">
        <f ca="1">IFERROR(__xludf.DUMMYFUNCTION("""COMPUTED_VALUE"""),"2055-06-12T19:18:39.999022Z")</f>
        <v>2055-06-12T19:18:39.999022Z</v>
      </c>
      <c r="O796" s="3" t="str">
        <f ca="1">IFERROR(__xludf.DUMMYFUNCTION("""COMPUTED_VALUE"""),"2055-06-12T19:23:52.909756Z")</f>
        <v>2055-06-12T19:23:52.909756Z</v>
      </c>
      <c r="P796" s="3" t="str">
        <f ca="1">IFERROR(__xludf.DUMMYFUNCTION("""COMPUTED_VALUE"""),"2055-06-12T18:48:34.219391Z")</f>
        <v>2055-06-12T18:48:34.219391Z</v>
      </c>
      <c r="Q796" s="3">
        <f ca="1">IFERROR(__xludf.DUMMYFUNCTION("""COMPUTED_VALUE"""),0)</f>
        <v>0</v>
      </c>
      <c r="R796" s="3" t="str">
        <f ca="1">IFERROR(__xludf.DUMMYFUNCTION("""COMPUTED_VALUE"""),"2055-06-12T18:48:41.178916Z")</f>
        <v>2055-06-12T18:48:41.178916Z</v>
      </c>
      <c r="S796" s="3" t="str">
        <f ca="1">IFERROR(__xludf.DUMMYFUNCTION("""COMPUTED_VALUE"""),"2055-06-12T19:15:30.331253Z")</f>
        <v>2055-06-12T19:15:30.331253Z</v>
      </c>
      <c r="T796" s="3"/>
      <c r="U796" s="4">
        <f ca="1">IFERROR(__xludf.DUMMYFUNCTION("""COMPUTED_VALUE"""),56777)</f>
        <v>56777</v>
      </c>
      <c r="V796" s="3">
        <f ca="1">IFERROR(__xludf.DUMMYFUNCTION("""COMPUTED_VALUE"""),4.5)</f>
        <v>4.5</v>
      </c>
      <c r="W796" s="3">
        <f ca="1">IFERROR(__xludf.DUMMYFUNCTION("""COMPUTED_VALUE"""),1500)</f>
        <v>1500</v>
      </c>
      <c r="X796" s="3">
        <f ca="1">IFERROR(__xludf.DUMMYFUNCTION("""COMPUTED_VALUE"""),2111)</f>
        <v>2111</v>
      </c>
      <c r="Y796" s="3">
        <f ca="1">IFERROR(__xludf.DUMMYFUNCTION("""COMPUTED_VALUE"""),1609)</f>
        <v>1609</v>
      </c>
      <c r="Z796" s="3">
        <f ca="1">IFERROR(__xludf.DUMMYFUNCTION("""COMPUTED_VALUE"""),189)</f>
        <v>189</v>
      </c>
      <c r="AA796" s="3">
        <f ca="1">IFERROR(__xludf.DUMMYFUNCTION("""COMPUTED_VALUE"""),313)</f>
        <v>313</v>
      </c>
      <c r="AB796" s="3">
        <f ca="1">IFERROR(__xludf.DUMMYFUNCTION("""COMPUTED_VALUE"""),0)</f>
        <v>0</v>
      </c>
      <c r="AC796" s="3">
        <f ca="1">IFERROR(__xludf.DUMMYFUNCTION("""COMPUTED_VALUE"""),1)</f>
        <v>1</v>
      </c>
      <c r="AD796" s="3" t="str">
        <f ca="1">IFERROR(__xludf.DUMMYFUNCTION("""COMPUTED_VALUE"""),"late")</f>
        <v>late</v>
      </c>
      <c r="AE796" s="3" t="str">
        <f ca="1">IFERROR(__xludf.DUMMYFUNCTION("""COMPUTED_VALUE"""),"2055-06-12T15:18:39.999022Z")</f>
        <v>2055-06-12T15:18:39.999022Z</v>
      </c>
      <c r="AF796" s="3" t="str">
        <f ca="1">IFERROR(__xludf.DUMMYFUNCTION("""COMPUTED_VALUE"""),"2055-06-12T15:23:52.909756Z")</f>
        <v>2055-06-12T15:23:52.909756Z</v>
      </c>
      <c r="AG796" s="3" t="str">
        <f ca="1">IFERROR(__xludf.DUMMYFUNCTION("""COMPUTED_VALUE"""),"2055-06-12T14:48:34.219391Z")</f>
        <v>2055-06-12T14:48:34.219391Z</v>
      </c>
      <c r="AH796" s="3" t="str">
        <f ca="1">IFERROR(__xludf.DUMMYFUNCTION("""COMPUTED_VALUE"""),"2055-06-12T15:15:30.331253Z")</f>
        <v>2055-06-12T15:15:30.331253Z</v>
      </c>
      <c r="AI796" s="3">
        <f ca="1">IFERROR(__xludf.DUMMYFUNCTION("""COMPUTED_VALUE"""),4.52)</f>
        <v>4.5199999999999996</v>
      </c>
      <c r="AJ796" s="3">
        <f ca="1">IFERROR(__xludf.DUMMYFUNCTION("""COMPUTED_VALUE"""),269)</f>
        <v>269</v>
      </c>
      <c r="AK796" s="3">
        <f ca="1">IFERROR(__xludf.DUMMYFUNCTION("""COMPUTED_VALUE"""),895)</f>
        <v>895</v>
      </c>
      <c r="AL796" s="3">
        <f ca="1">IFERROR(__xludf.DUMMYFUNCTION("""COMPUTED_VALUE"""),23)</f>
        <v>23</v>
      </c>
    </row>
    <row r="797" spans="1:38" ht="13">
      <c r="A797" s="3">
        <f ca="1">IFERROR(__xludf.DUMMYFUNCTION("""COMPUTED_VALUE"""),293)</f>
        <v>293</v>
      </c>
      <c r="B797" s="3">
        <f ca="1">IFERROR(__xludf.DUMMYFUNCTION("""COMPUTED_VALUE"""),5)</f>
        <v>5</v>
      </c>
      <c r="C797" s="3">
        <f ca="1">IFERROR(__xludf.DUMMYFUNCTION("""COMPUTED_VALUE"""),4050)</f>
        <v>4050</v>
      </c>
      <c r="D797" s="3" t="str">
        <f ca="1">IFERROR(__xludf.DUMMYFUNCTION("""COMPUTED_VALUE"""),"Doorlanta")</f>
        <v>Doorlanta</v>
      </c>
      <c r="E797" s="3" t="str">
        <f ca="1">IFERROR(__xludf.DUMMYFUNCTION("""COMPUTED_VALUE"""),"Galaxy A")</f>
        <v>Galaxy A</v>
      </c>
      <c r="F797" s="3" t="str">
        <f ca="1">IFERROR(__xludf.DUMMYFUNCTION("""COMPUTED_VALUE"""),"Lauran")</f>
        <v>Lauran</v>
      </c>
      <c r="G797" s="3">
        <f ca="1">IFERROR(__xludf.DUMMYFUNCTION("""COMPUTED_VALUE"""),0)</f>
        <v>0</v>
      </c>
      <c r="H797" s="3" t="str">
        <f ca="1">IFERROR(__xludf.DUMMYFUNCTION("""COMPUTED_VALUE"""),"car")</f>
        <v>car</v>
      </c>
      <c r="I797" s="3" t="str">
        <f ca="1">IFERROR(__xludf.DUMMYFUNCTION("""COMPUTED_VALUE"""),"2055-06-03T17:13:06.12248Z")</f>
        <v>2055-06-03T17:13:06.12248Z</v>
      </c>
      <c r="J797" s="3" t="str">
        <f ca="1">IFERROR(__xludf.DUMMYFUNCTION("""COMPUTED_VALUE"""),"2055-06-03T18:05:30.208Z")</f>
        <v>2055-06-03T18:05:30.208Z</v>
      </c>
      <c r="K797" s="3" t="str">
        <f ca="1">IFERROR(__xludf.DUMMYFUNCTION("""COMPUTED_VALUE"""),"2055-06-03T18:04:51.208Z")</f>
        <v>2055-06-03T18:04:51.208Z</v>
      </c>
      <c r="L797" s="3">
        <f ca="1">IFERROR(__xludf.DUMMYFUNCTION("""COMPUTED_VALUE"""),1)</f>
        <v>1</v>
      </c>
      <c r="M797" s="3">
        <f ca="1">IFERROR(__xludf.DUMMYFUNCTION("""COMPUTED_VALUE"""),0)</f>
        <v>0</v>
      </c>
      <c r="N797" s="3" t="str">
        <f ca="1">IFERROR(__xludf.DUMMYFUNCTION("""COMPUTED_VALUE"""),"2055-06-03T17:36:13.66701Z")</f>
        <v>2055-06-03T17:36:13.66701Z</v>
      </c>
      <c r="O797" s="3" t="str">
        <f ca="1">IFERROR(__xludf.DUMMYFUNCTION("""COMPUTED_VALUE"""),"2055-06-03T18:02:11.044368Z")</f>
        <v>2055-06-03T18:02:11.044368Z</v>
      </c>
      <c r="P797" s="3" t="str">
        <f ca="1">IFERROR(__xludf.DUMMYFUNCTION("""COMPUTED_VALUE"""),"2055-06-03T17:13:27.238847Z")</f>
        <v>2055-06-03T17:13:27.238847Z</v>
      </c>
      <c r="Q797" s="3">
        <f ca="1">IFERROR(__xludf.DUMMYFUNCTION("""COMPUTED_VALUE"""),0)</f>
        <v>0</v>
      </c>
      <c r="R797" s="3" t="str">
        <f ca="1">IFERROR(__xludf.DUMMYFUNCTION("""COMPUTED_VALUE"""),"2055-06-03T17:13:49.428691Z")</f>
        <v>2055-06-03T17:13:49.428691Z</v>
      </c>
      <c r="S797" s="3" t="str">
        <f ca="1">IFERROR(__xludf.DUMMYFUNCTION("""COMPUTED_VALUE"""),"2055-06-03T17:26:10.823543Z")</f>
        <v>2055-06-03T17:26:10.823543Z</v>
      </c>
      <c r="T797" s="3"/>
      <c r="U797" s="4">
        <f ca="1">IFERROR(__xludf.DUMMYFUNCTION("""COMPUTED_VALUE"""),56768)</f>
        <v>56768</v>
      </c>
      <c r="V797" s="3">
        <f ca="1">IFERROR(__xludf.DUMMYFUNCTION("""COMPUTED_VALUE"""),4.7)</f>
        <v>4.7</v>
      </c>
      <c r="W797" s="3">
        <f ca="1">IFERROR(__xludf.DUMMYFUNCTION("""COMPUTED_VALUE"""),1500)</f>
        <v>1500</v>
      </c>
      <c r="X797" s="3">
        <f ca="1">IFERROR(__xludf.DUMMYFUNCTION("""COMPUTED_VALUE"""),2902)</f>
        <v>2902</v>
      </c>
      <c r="Y797" s="3">
        <f ca="1">IFERROR(__xludf.DUMMYFUNCTION("""COMPUTED_VALUE"""),741)</f>
        <v>741</v>
      </c>
      <c r="Z797" s="3">
        <f ca="1">IFERROR(__xludf.DUMMYFUNCTION("""COMPUTED_VALUE"""),603)</f>
        <v>603</v>
      </c>
      <c r="AA797" s="3">
        <f ca="1">IFERROR(__xludf.DUMMYFUNCTION("""COMPUTED_VALUE"""),1558)</f>
        <v>1558</v>
      </c>
      <c r="AB797" s="3">
        <f ca="1">IFERROR(__xludf.DUMMYFUNCTION("""COMPUTED_VALUE"""),0)</f>
        <v>0</v>
      </c>
      <c r="AC797" s="3">
        <f ca="1">IFERROR(__xludf.DUMMYFUNCTION("""COMPUTED_VALUE"""),2)</f>
        <v>2</v>
      </c>
      <c r="AD797" s="3" t="str">
        <f ca="1">IFERROR(__xludf.DUMMYFUNCTION("""COMPUTED_VALUE"""),"early")</f>
        <v>early</v>
      </c>
      <c r="AE797" s="3" t="str">
        <f ca="1">IFERROR(__xludf.DUMMYFUNCTION("""COMPUTED_VALUE"""),"2055-06-03T13:36:13.66701Z")</f>
        <v>2055-06-03T13:36:13.66701Z</v>
      </c>
      <c r="AF797" s="3" t="str">
        <f ca="1">IFERROR(__xludf.DUMMYFUNCTION("""COMPUTED_VALUE"""),"2055-06-03T14:02:11.044368Z")</f>
        <v>2055-06-03T14:02:11.044368Z</v>
      </c>
      <c r="AG797" s="3" t="str">
        <f ca="1">IFERROR(__xludf.DUMMYFUNCTION("""COMPUTED_VALUE"""),"2055-06-03T13:13:27.238847Z")</f>
        <v>2055-06-03T13:13:27.238847Z</v>
      </c>
      <c r="AH797" s="3" t="str">
        <f ca="1">IFERROR(__xludf.DUMMYFUNCTION("""COMPUTED_VALUE"""),"2055-06-03T13:26:10.823543Z")</f>
        <v>2055-06-03T13:26:10.823543Z</v>
      </c>
      <c r="AI797" s="3">
        <f ca="1">IFERROR(__xludf.DUMMYFUNCTION("""COMPUTED_VALUE"""),4.42)</f>
        <v>4.42</v>
      </c>
      <c r="AJ797" s="3">
        <f ca="1">IFERROR(__xludf.DUMMYFUNCTION("""COMPUTED_VALUE"""),1396)</f>
        <v>1396</v>
      </c>
      <c r="AK797" s="3">
        <f ca="1">IFERROR(__xludf.DUMMYFUNCTION("""COMPUTED_VALUE"""),4836)</f>
        <v>4836</v>
      </c>
      <c r="AL797" s="3">
        <f ca="1">IFERROR(__xludf.DUMMYFUNCTION("""COMPUTED_VALUE"""),1278)</f>
        <v>1278</v>
      </c>
    </row>
    <row r="798" spans="1:38" ht="13">
      <c r="A798" s="3">
        <f ca="1">IFERROR(__xludf.DUMMYFUNCTION("""COMPUTED_VALUE"""),727)</f>
        <v>727</v>
      </c>
      <c r="B798" s="3">
        <f ca="1">IFERROR(__xludf.DUMMYFUNCTION("""COMPUTED_VALUE"""),5)</f>
        <v>5</v>
      </c>
      <c r="C798" s="3">
        <f ca="1">IFERROR(__xludf.DUMMYFUNCTION("""COMPUTED_VALUE"""),4050)</f>
        <v>4050</v>
      </c>
      <c r="D798" s="3" t="str">
        <f ca="1">IFERROR(__xludf.DUMMYFUNCTION("""COMPUTED_VALUE"""),"Doorlanta")</f>
        <v>Doorlanta</v>
      </c>
      <c r="E798" s="3" t="str">
        <f ca="1">IFERROR(__xludf.DUMMYFUNCTION("""COMPUTED_VALUE"""),"Galaxy A")</f>
        <v>Galaxy A</v>
      </c>
      <c r="F798" s="3" t="str">
        <f ca="1">IFERROR(__xludf.DUMMYFUNCTION("""COMPUTED_VALUE"""),"Hanna")</f>
        <v>Hanna</v>
      </c>
      <c r="G798" s="3">
        <f ca="1">IFERROR(__xludf.DUMMYFUNCTION("""COMPUTED_VALUE"""),0)</f>
        <v>0</v>
      </c>
      <c r="H798" s="3" t="str">
        <f ca="1">IFERROR(__xludf.DUMMYFUNCTION("""COMPUTED_VALUE"""),"car")</f>
        <v>car</v>
      </c>
      <c r="I798" s="3" t="str">
        <f ca="1">IFERROR(__xludf.DUMMYFUNCTION("""COMPUTED_VALUE"""),"2055-06-06T15:17:05.337045Z")</f>
        <v>2055-06-06T15:17:05.337045Z</v>
      </c>
      <c r="J798" s="3" t="str">
        <f ca="1">IFERROR(__xludf.DUMMYFUNCTION("""COMPUTED_VALUE"""),"2055-06-06T16:12:05.416Z")</f>
        <v>2055-06-06T16:12:05.416Z</v>
      </c>
      <c r="K798" s="3" t="str">
        <f ca="1">IFERROR(__xludf.DUMMYFUNCTION("""COMPUTED_VALUE"""),"2055-06-06T15:49:24.416Z")</f>
        <v>2055-06-06T15:49:24.416Z</v>
      </c>
      <c r="L798" s="3">
        <f ca="1">IFERROR(__xludf.DUMMYFUNCTION("""COMPUTED_VALUE"""),1)</f>
        <v>1</v>
      </c>
      <c r="M798" s="3">
        <f ca="1">IFERROR(__xludf.DUMMYFUNCTION("""COMPUTED_VALUE"""),0)</f>
        <v>0</v>
      </c>
      <c r="N798" s="3" t="str">
        <f ca="1">IFERROR(__xludf.DUMMYFUNCTION("""COMPUTED_VALUE"""),"2055-06-06T15:35:09.106874Z")</f>
        <v>2055-06-06T15:35:09.106874Z</v>
      </c>
      <c r="O798" s="3" t="str">
        <f ca="1">IFERROR(__xludf.DUMMYFUNCTION("""COMPUTED_VALUE"""),"2055-06-06T15:49:20.949602Z")</f>
        <v>2055-06-06T15:49:20.949602Z</v>
      </c>
      <c r="P798" s="3" t="str">
        <f ca="1">IFERROR(__xludf.DUMMYFUNCTION("""COMPUTED_VALUE"""),"2055-06-06T15:19:27.337964Z")</f>
        <v>2055-06-06T15:19:27.337964Z</v>
      </c>
      <c r="Q798" s="3">
        <f ca="1">IFERROR(__xludf.DUMMYFUNCTION("""COMPUTED_VALUE"""),0)</f>
        <v>0</v>
      </c>
      <c r="R798" s="3" t="str">
        <f ca="1">IFERROR(__xludf.DUMMYFUNCTION("""COMPUTED_VALUE"""),"2055-06-06T15:19:45.431231Z")</f>
        <v>2055-06-06T15:19:45.431231Z</v>
      </c>
      <c r="S798" s="3" t="str">
        <f ca="1">IFERROR(__xludf.DUMMYFUNCTION("""COMPUTED_VALUE"""),"2055-06-06T15:27:52.505906Z")</f>
        <v>2055-06-06T15:27:52.505906Z</v>
      </c>
      <c r="T798" s="3"/>
      <c r="U798" s="4">
        <f ca="1">IFERROR(__xludf.DUMMYFUNCTION("""COMPUTED_VALUE"""),56771)</f>
        <v>56771</v>
      </c>
      <c r="V798" s="3">
        <f ca="1">IFERROR(__xludf.DUMMYFUNCTION("""COMPUTED_VALUE"""),4)</f>
        <v>4</v>
      </c>
      <c r="W798" s="3">
        <f ca="1">IFERROR(__xludf.DUMMYFUNCTION("""COMPUTED_VALUE"""),1500)</f>
        <v>1500</v>
      </c>
      <c r="X798" s="3">
        <f ca="1">IFERROR(__xludf.DUMMYFUNCTION("""COMPUTED_VALUE"""),1775)</f>
        <v>1775</v>
      </c>
      <c r="Y798" s="3">
        <f ca="1">IFERROR(__xludf.DUMMYFUNCTION("""COMPUTED_VALUE"""),487)</f>
        <v>487</v>
      </c>
      <c r="Z798" s="3">
        <f ca="1">IFERROR(__xludf.DUMMYFUNCTION("""COMPUTED_VALUE"""),437)</f>
        <v>437</v>
      </c>
      <c r="AA798" s="3">
        <f ca="1">IFERROR(__xludf.DUMMYFUNCTION("""COMPUTED_VALUE"""),851)</f>
        <v>851</v>
      </c>
      <c r="AB798" s="3">
        <f ca="1">IFERROR(__xludf.DUMMYFUNCTION("""COMPUTED_VALUE"""),0)</f>
        <v>0</v>
      </c>
      <c r="AC798" s="3">
        <f ca="1">IFERROR(__xludf.DUMMYFUNCTION("""COMPUTED_VALUE"""),2)</f>
        <v>2</v>
      </c>
      <c r="AD798" s="3" t="str">
        <f ca="1">IFERROR(__xludf.DUMMYFUNCTION("""COMPUTED_VALUE"""),"on time")</f>
        <v>on time</v>
      </c>
      <c r="AE798" s="3" t="str">
        <f ca="1">IFERROR(__xludf.DUMMYFUNCTION("""COMPUTED_VALUE"""),"2055-06-06T11:35:09.106874Z")</f>
        <v>2055-06-06T11:35:09.106874Z</v>
      </c>
      <c r="AF798" s="3" t="str">
        <f ca="1">IFERROR(__xludf.DUMMYFUNCTION("""COMPUTED_VALUE"""),"2055-06-06T11:49:20.949602Z")</f>
        <v>2055-06-06T11:49:20.949602Z</v>
      </c>
      <c r="AG798" s="3" t="str">
        <f ca="1">IFERROR(__xludf.DUMMYFUNCTION("""COMPUTED_VALUE"""),"2055-06-06T11:19:27.337964Z")</f>
        <v>2055-06-06T11:19:27.337964Z</v>
      </c>
      <c r="AH798" s="3" t="str">
        <f ca="1">IFERROR(__xludf.DUMMYFUNCTION("""COMPUTED_VALUE"""),"2055-06-06T11:27:52.505906Z")</f>
        <v>2055-06-06T11:27:52.505906Z</v>
      </c>
      <c r="AI798" s="3">
        <f ca="1">IFERROR(__xludf.DUMMYFUNCTION("""COMPUTED_VALUE"""),4.79)</f>
        <v>4.79</v>
      </c>
      <c r="AJ798" s="3">
        <f ca="1">IFERROR(__xludf.DUMMYFUNCTION("""COMPUTED_VALUE"""),1007)</f>
        <v>1007</v>
      </c>
      <c r="AK798" s="3">
        <f ca="1">IFERROR(__xludf.DUMMYFUNCTION("""COMPUTED_VALUE"""),2899)</f>
        <v>2899</v>
      </c>
      <c r="AL798" s="3">
        <f ca="1">IFERROR(__xludf.DUMMYFUNCTION("""COMPUTED_VALUE"""),1301)</f>
        <v>1301</v>
      </c>
    </row>
    <row r="799" spans="1:38" ht="13">
      <c r="A799" s="3">
        <f ca="1">IFERROR(__xludf.DUMMYFUNCTION("""COMPUTED_VALUE"""),732)</f>
        <v>732</v>
      </c>
      <c r="B799" s="3">
        <f ca="1">IFERROR(__xludf.DUMMYFUNCTION("""COMPUTED_VALUE"""),5)</f>
        <v>5</v>
      </c>
      <c r="C799" s="3">
        <f ca="1">IFERROR(__xludf.DUMMYFUNCTION("""COMPUTED_VALUE"""),4050)</f>
        <v>4050</v>
      </c>
      <c r="D799" s="3" t="str">
        <f ca="1">IFERROR(__xludf.DUMMYFUNCTION("""COMPUTED_VALUE"""),"Doorlanta")</f>
        <v>Doorlanta</v>
      </c>
      <c r="E799" s="3" t="str">
        <f ca="1">IFERROR(__xludf.DUMMYFUNCTION("""COMPUTED_VALUE"""),"Galaxy A")</f>
        <v>Galaxy A</v>
      </c>
      <c r="F799" s="3" t="str">
        <f ca="1">IFERROR(__xludf.DUMMYFUNCTION("""COMPUTED_VALUE"""),"Joe")</f>
        <v>Joe</v>
      </c>
      <c r="G799" s="3">
        <f ca="1">IFERROR(__xludf.DUMMYFUNCTION("""COMPUTED_VALUE"""),0)</f>
        <v>0</v>
      </c>
      <c r="H799" s="3" t="str">
        <f ca="1">IFERROR(__xludf.DUMMYFUNCTION("""COMPUTED_VALUE"""),"car")</f>
        <v>car</v>
      </c>
      <c r="I799" s="3" t="str">
        <f ca="1">IFERROR(__xludf.DUMMYFUNCTION("""COMPUTED_VALUE"""),"2055-06-06T15:54:41.47297Z")</f>
        <v>2055-06-06T15:54:41.47297Z</v>
      </c>
      <c r="J799" s="3" t="str">
        <f ca="1">IFERROR(__xludf.DUMMYFUNCTION("""COMPUTED_VALUE"""),"2055-06-06T16:53:37.553Z")</f>
        <v>2055-06-06T16:53:37.553Z</v>
      </c>
      <c r="K799" s="3" t="str">
        <f ca="1">IFERROR(__xludf.DUMMYFUNCTION("""COMPUTED_VALUE"""),"2055-06-06T16:33:30.553Z")</f>
        <v>2055-06-06T16:33:30.553Z</v>
      </c>
      <c r="L799" s="3">
        <f ca="1">IFERROR(__xludf.DUMMYFUNCTION("""COMPUTED_VALUE"""),1)</f>
        <v>1</v>
      </c>
      <c r="M799" s="3">
        <f ca="1">IFERROR(__xludf.DUMMYFUNCTION("""COMPUTED_VALUE"""),0)</f>
        <v>0</v>
      </c>
      <c r="N799" s="3" t="str">
        <f ca="1">IFERROR(__xludf.DUMMYFUNCTION("""COMPUTED_VALUE"""),"2055-06-06T16:37:56.310404Z")</f>
        <v>2055-06-06T16:37:56.310404Z</v>
      </c>
      <c r="O799" s="3" t="str">
        <f ca="1">IFERROR(__xludf.DUMMYFUNCTION("""COMPUTED_VALUE"""),"2055-06-06T16:53:17.426992Z")</f>
        <v>2055-06-06T16:53:17.426992Z</v>
      </c>
      <c r="P799" s="3" t="str">
        <f ca="1">IFERROR(__xludf.DUMMYFUNCTION("""COMPUTED_VALUE"""),"2055-06-06T15:56:47.336993Z")</f>
        <v>2055-06-06T15:56:47.336993Z</v>
      </c>
      <c r="Q799" s="3">
        <f ca="1">IFERROR(__xludf.DUMMYFUNCTION("""COMPUTED_VALUE"""),0)</f>
        <v>0</v>
      </c>
      <c r="R799" s="3" t="str">
        <f ca="1">IFERROR(__xludf.DUMMYFUNCTION("""COMPUTED_VALUE"""),"2055-06-06T15:56:50.701085Z")</f>
        <v>2055-06-06T15:56:50.701085Z</v>
      </c>
      <c r="S799" s="3" t="str">
        <f ca="1">IFERROR(__xludf.DUMMYFUNCTION("""COMPUTED_VALUE"""),"2055-06-06T16:27:48.305697Z")</f>
        <v>2055-06-06T16:27:48.305697Z</v>
      </c>
      <c r="T799" s="3"/>
      <c r="U799" s="4">
        <f ca="1">IFERROR(__xludf.DUMMYFUNCTION("""COMPUTED_VALUE"""),56771)</f>
        <v>56771</v>
      </c>
      <c r="V799" s="3">
        <f ca="1">IFERROR(__xludf.DUMMYFUNCTION("""COMPUTED_VALUE"""),4.7)</f>
        <v>4.7</v>
      </c>
      <c r="W799" s="3">
        <f ca="1">IFERROR(__xludf.DUMMYFUNCTION("""COMPUTED_VALUE"""),1500)</f>
        <v>1500</v>
      </c>
      <c r="X799" s="3">
        <f ca="1">IFERROR(__xludf.DUMMYFUNCTION("""COMPUTED_VALUE"""),3387)</f>
        <v>3387</v>
      </c>
      <c r="Y799" s="3">
        <f ca="1">IFERROR(__xludf.DUMMYFUNCTION("""COMPUTED_VALUE"""),1858)</f>
        <v>1858</v>
      </c>
      <c r="Z799" s="3">
        <f ca="1">IFERROR(__xludf.DUMMYFUNCTION("""COMPUTED_VALUE"""),608)</f>
        <v>608</v>
      </c>
      <c r="AA799" s="3">
        <f ca="1">IFERROR(__xludf.DUMMYFUNCTION("""COMPUTED_VALUE"""),921)</f>
        <v>921</v>
      </c>
      <c r="AB799" s="3">
        <f ca="1">IFERROR(__xludf.DUMMYFUNCTION("""COMPUTED_VALUE"""),0)</f>
        <v>0</v>
      </c>
      <c r="AC799" s="3">
        <f ca="1">IFERROR(__xludf.DUMMYFUNCTION("""COMPUTED_VALUE"""),2)</f>
        <v>2</v>
      </c>
      <c r="AD799" s="3" t="str">
        <f ca="1">IFERROR(__xludf.DUMMYFUNCTION("""COMPUTED_VALUE"""),"late")</f>
        <v>late</v>
      </c>
      <c r="AE799" s="3" t="str">
        <f ca="1">IFERROR(__xludf.DUMMYFUNCTION("""COMPUTED_VALUE"""),"2055-06-06T12:37:56.310404Z")</f>
        <v>2055-06-06T12:37:56.310404Z</v>
      </c>
      <c r="AF799" s="3" t="str">
        <f ca="1">IFERROR(__xludf.DUMMYFUNCTION("""COMPUTED_VALUE"""),"2055-06-06T12:53:17.426992Z")</f>
        <v>2055-06-06T12:53:17.426992Z</v>
      </c>
      <c r="AG799" s="3" t="str">
        <f ca="1">IFERROR(__xludf.DUMMYFUNCTION("""COMPUTED_VALUE"""),"2055-06-06T11:56:47.336993Z")</f>
        <v>2055-06-06T11:56:47.336993Z</v>
      </c>
      <c r="AH799" s="3" t="str">
        <f ca="1">IFERROR(__xludf.DUMMYFUNCTION("""COMPUTED_VALUE"""),"2055-06-06T12:27:48.305697Z")</f>
        <v>2055-06-06T12:27:48.305697Z</v>
      </c>
      <c r="AI799" s="3">
        <f ca="1">IFERROR(__xludf.DUMMYFUNCTION("""COMPUTED_VALUE"""),4.38)</f>
        <v>4.38</v>
      </c>
      <c r="AJ799" s="3">
        <f ca="1">IFERROR(__xludf.DUMMYFUNCTION("""COMPUTED_VALUE"""),196)</f>
        <v>196</v>
      </c>
      <c r="AK799" s="3">
        <f ca="1">IFERROR(__xludf.DUMMYFUNCTION("""COMPUTED_VALUE"""),626)</f>
        <v>626</v>
      </c>
      <c r="AL799" s="3"/>
    </row>
    <row r="800" spans="1:38" ht="13">
      <c r="A800" s="3">
        <f ca="1">IFERROR(__xludf.DUMMYFUNCTION("""COMPUTED_VALUE"""),610)</f>
        <v>610</v>
      </c>
      <c r="B800" s="3">
        <f ca="1">IFERROR(__xludf.DUMMYFUNCTION("""COMPUTED_VALUE"""),5)</f>
        <v>5</v>
      </c>
      <c r="C800" s="3">
        <f ca="1">IFERROR(__xludf.DUMMYFUNCTION("""COMPUTED_VALUE"""),4050)</f>
        <v>4050</v>
      </c>
      <c r="D800" s="3" t="str">
        <f ca="1">IFERROR(__xludf.DUMMYFUNCTION("""COMPUTED_VALUE"""),"Doorlanta")</f>
        <v>Doorlanta</v>
      </c>
      <c r="E800" s="3" t="str">
        <f ca="1">IFERROR(__xludf.DUMMYFUNCTION("""COMPUTED_VALUE"""),"Galaxy A")</f>
        <v>Galaxy A</v>
      </c>
      <c r="F800" s="3" t="str">
        <f ca="1">IFERROR(__xludf.DUMMYFUNCTION("""COMPUTED_VALUE"""),"Cate")</f>
        <v>Cate</v>
      </c>
      <c r="G800" s="3">
        <f ca="1">IFERROR(__xludf.DUMMYFUNCTION("""COMPUTED_VALUE"""),0)</f>
        <v>0</v>
      </c>
      <c r="H800" s="3" t="str">
        <f ca="1">IFERROR(__xludf.DUMMYFUNCTION("""COMPUTED_VALUE"""),"car")</f>
        <v>car</v>
      </c>
      <c r="I800" s="3" t="str">
        <f ca="1">IFERROR(__xludf.DUMMYFUNCTION("""COMPUTED_VALUE"""),"2055-06-05T20:26:16.988255Z")</f>
        <v>2055-06-05T20:26:16.988255Z</v>
      </c>
      <c r="J800" s="3" t="str">
        <f ca="1">IFERROR(__xludf.DUMMYFUNCTION("""COMPUTED_VALUE"""),"2055-06-05T21:21:17.047Z")</f>
        <v>2055-06-05T21:21:17.047Z</v>
      </c>
      <c r="K800" s="3" t="str">
        <f ca="1">IFERROR(__xludf.DUMMYFUNCTION("""COMPUTED_VALUE"""),"2055-06-05T20:57:39.047Z")</f>
        <v>2055-06-05T20:57:39.047Z</v>
      </c>
      <c r="L800" s="3">
        <f ca="1">IFERROR(__xludf.DUMMYFUNCTION("""COMPUTED_VALUE"""),1)</f>
        <v>1</v>
      </c>
      <c r="M800" s="3">
        <f ca="1">IFERROR(__xludf.DUMMYFUNCTION("""COMPUTED_VALUE"""),0)</f>
        <v>0</v>
      </c>
      <c r="N800" s="3" t="str">
        <f ca="1">IFERROR(__xludf.DUMMYFUNCTION("""COMPUTED_VALUE"""),"2055-06-05T20:44:49.674309Z")</f>
        <v>2055-06-05T20:44:49.674309Z</v>
      </c>
      <c r="O800" s="3" t="str">
        <f ca="1">IFERROR(__xludf.DUMMYFUNCTION("""COMPUTED_VALUE"""),"2055-06-05T21:04:24.708772Z")</f>
        <v>2055-06-05T21:04:24.708772Z</v>
      </c>
      <c r="P800" s="3" t="str">
        <f ca="1">IFERROR(__xludf.DUMMYFUNCTION("""COMPUTED_VALUE"""),"2055-06-05T20:27:47.335345Z")</f>
        <v>2055-06-05T20:27:47.335345Z</v>
      </c>
      <c r="Q800" s="3">
        <f ca="1">IFERROR(__xludf.DUMMYFUNCTION("""COMPUTED_VALUE"""),0)</f>
        <v>0</v>
      </c>
      <c r="R800" s="3" t="str">
        <f ca="1">IFERROR(__xludf.DUMMYFUNCTION("""COMPUTED_VALUE"""),"2055-06-05T20:28:31.59779Z")</f>
        <v>2055-06-05T20:28:31.59779Z</v>
      </c>
      <c r="S800" s="3" t="str">
        <f ca="1">IFERROR(__xludf.DUMMYFUNCTION("""COMPUTED_VALUE"""),"2055-06-05T20:44:14.427071Z")</f>
        <v>2055-06-05T20:44:14.427071Z</v>
      </c>
      <c r="T800" s="3"/>
      <c r="U800" s="4">
        <f ca="1">IFERROR(__xludf.DUMMYFUNCTION("""COMPUTED_VALUE"""),56770)</f>
        <v>56770</v>
      </c>
      <c r="V800" s="3">
        <f ca="1">IFERROR(__xludf.DUMMYFUNCTION("""COMPUTED_VALUE"""),4.6)</f>
        <v>4.5999999999999996</v>
      </c>
      <c r="W800" s="3">
        <f ca="1">IFERROR(__xludf.DUMMYFUNCTION("""COMPUTED_VALUE"""),1500)</f>
        <v>1500</v>
      </c>
      <c r="X800" s="3">
        <f ca="1">IFERROR(__xludf.DUMMYFUNCTION("""COMPUTED_VALUE"""),2153)</f>
        <v>2153</v>
      </c>
      <c r="Y800" s="3">
        <f ca="1">IFERROR(__xludf.DUMMYFUNCTION("""COMPUTED_VALUE"""),943)</f>
        <v>943</v>
      </c>
      <c r="Z800" s="3">
        <f ca="1">IFERROR(__xludf.DUMMYFUNCTION("""COMPUTED_VALUE"""),35)</f>
        <v>35</v>
      </c>
      <c r="AA800" s="3">
        <f ca="1">IFERROR(__xludf.DUMMYFUNCTION("""COMPUTED_VALUE"""),1175)</f>
        <v>1175</v>
      </c>
      <c r="AB800" s="3">
        <f ca="1">IFERROR(__xludf.DUMMYFUNCTION("""COMPUTED_VALUE"""),0)</f>
        <v>0</v>
      </c>
      <c r="AC800" s="3">
        <f ca="1">IFERROR(__xludf.DUMMYFUNCTION("""COMPUTED_VALUE"""),2)</f>
        <v>2</v>
      </c>
      <c r="AD800" s="3" t="str">
        <f ca="1">IFERROR(__xludf.DUMMYFUNCTION("""COMPUTED_VALUE"""),"late")</f>
        <v>late</v>
      </c>
      <c r="AE800" s="3" t="str">
        <f ca="1">IFERROR(__xludf.DUMMYFUNCTION("""COMPUTED_VALUE"""),"2055-06-05T16:44:49.674309Z")</f>
        <v>2055-06-05T16:44:49.674309Z</v>
      </c>
      <c r="AF800" s="3" t="str">
        <f ca="1">IFERROR(__xludf.DUMMYFUNCTION("""COMPUTED_VALUE"""),"2055-06-05T17:04:24.708772Z")</f>
        <v>2055-06-05T17:04:24.708772Z</v>
      </c>
      <c r="AG800" s="3" t="str">
        <f ca="1">IFERROR(__xludf.DUMMYFUNCTION("""COMPUTED_VALUE"""),"2055-06-05T16:27:47.335345Z")</f>
        <v>2055-06-05T16:27:47.335345Z</v>
      </c>
      <c r="AH800" s="3" t="str">
        <f ca="1">IFERROR(__xludf.DUMMYFUNCTION("""COMPUTED_VALUE"""),"2055-06-05T16:44:14.427071Z")</f>
        <v>2055-06-05T16:44:14.427071Z</v>
      </c>
      <c r="AI800" s="3">
        <f ca="1">IFERROR(__xludf.DUMMYFUNCTION("""COMPUTED_VALUE"""),4.49)</f>
        <v>4.49</v>
      </c>
      <c r="AJ800" s="3">
        <f ca="1">IFERROR(__xludf.DUMMYFUNCTION("""COMPUTED_VALUE"""),2315)</f>
        <v>2315</v>
      </c>
      <c r="AK800" s="3">
        <f ca="1">IFERROR(__xludf.DUMMYFUNCTION("""COMPUTED_VALUE"""),7039)</f>
        <v>7039</v>
      </c>
      <c r="AL800" s="3">
        <f ca="1">IFERROR(__xludf.DUMMYFUNCTION("""COMPUTED_VALUE"""),763)</f>
        <v>763</v>
      </c>
    </row>
    <row r="801" spans="1:41" ht="13">
      <c r="A801" s="3">
        <f ca="1">IFERROR(__xludf.DUMMYFUNCTION("""COMPUTED_VALUE"""),690)</f>
        <v>690</v>
      </c>
      <c r="B801" s="3"/>
      <c r="C801" s="3">
        <f ca="1">IFERROR(__xludf.DUMMYFUNCTION("""COMPUTED_VALUE"""),4001)</f>
        <v>4001</v>
      </c>
      <c r="D801" s="3" t="str">
        <f ca="1">IFERROR(__xludf.DUMMYFUNCTION("""COMPUTED_VALUE"""),"Dashattan")</f>
        <v>Dashattan</v>
      </c>
      <c r="E801" s="3" t="str">
        <f ca="1">IFERROR(__xludf.DUMMYFUNCTION("""COMPUTED_VALUE"""),"Galaxy A")</f>
        <v>Galaxy A</v>
      </c>
      <c r="F801" s="3" t="str">
        <f ca="1">IFERROR(__xludf.DUMMYFUNCTION("""COMPUTED_VALUE"""),"KC")</f>
        <v>KC</v>
      </c>
      <c r="G801" s="3">
        <f ca="1">IFERROR(__xludf.DUMMYFUNCTION("""COMPUTED_VALUE"""),0)</f>
        <v>0</v>
      </c>
      <c r="H801" s="3" t="str">
        <f ca="1">IFERROR(__xludf.DUMMYFUNCTION("""COMPUTED_VALUE"""),"car")</f>
        <v>car</v>
      </c>
      <c r="I801" s="3" t="str">
        <f ca="1">IFERROR(__xludf.DUMMYFUNCTION("""COMPUTED_VALUE"""),"2055-06-06T00:01:14.79773Z")</f>
        <v>2055-06-06T00:01:14.79773Z</v>
      </c>
      <c r="J801" s="3" t="str">
        <f ca="1">IFERROR(__xludf.DUMMYFUNCTION("""COMPUTED_VALUE"""),"2055-06-06T01:14:26.449Z")</f>
        <v>2055-06-06T01:14:26.449Z</v>
      </c>
      <c r="K801" s="3" t="str">
        <f ca="1">IFERROR(__xludf.DUMMYFUNCTION("""COMPUTED_VALUE"""),"2055-06-06T00:54:45.449Z")</f>
        <v>2055-06-06T00:54:45.449Z</v>
      </c>
      <c r="L801" s="3">
        <f ca="1">IFERROR(__xludf.DUMMYFUNCTION("""COMPUTED_VALUE"""),1)</f>
        <v>1</v>
      </c>
      <c r="M801" s="3">
        <f ca="1">IFERROR(__xludf.DUMMYFUNCTION("""COMPUTED_VALUE"""),0)</f>
        <v>0</v>
      </c>
      <c r="N801" s="3" t="str">
        <f ca="1">IFERROR(__xludf.DUMMYFUNCTION("""COMPUTED_VALUE"""),"2055-06-06T01:18:22.543279Z")</f>
        <v>2055-06-06T01:18:22.543279Z</v>
      </c>
      <c r="O801" s="3" t="str">
        <f ca="1">IFERROR(__xludf.DUMMYFUNCTION("""COMPUTED_VALUE"""),"2055-06-06T01:24:37.891441Z")</f>
        <v>2055-06-06T01:24:37.891441Z</v>
      </c>
      <c r="P801" s="3" t="str">
        <f ca="1">IFERROR(__xludf.DUMMYFUNCTION("""COMPUTED_VALUE"""),"2055-06-06T00:50:14.276108Z")</f>
        <v>2055-06-06T00:50:14.276108Z</v>
      </c>
      <c r="Q801" s="3">
        <f ca="1">IFERROR(__xludf.DUMMYFUNCTION("""COMPUTED_VALUE"""),0)</f>
        <v>0</v>
      </c>
      <c r="R801" s="3" t="str">
        <f ca="1">IFERROR(__xludf.DUMMYFUNCTION("""COMPUTED_VALUE"""),"2055-06-06T00:50:37.143557Z")</f>
        <v>2055-06-06T00:50:37.143557Z</v>
      </c>
      <c r="S801" s="3" t="str">
        <f ca="1">IFERROR(__xludf.DUMMYFUNCTION("""COMPUTED_VALUE"""),"2055-06-06T01:03:11.195885Z")</f>
        <v>2055-06-06T01:03:11.195885Z</v>
      </c>
      <c r="T801" s="3"/>
      <c r="U801" s="4">
        <f ca="1">IFERROR(__xludf.DUMMYFUNCTION("""COMPUTED_VALUE"""),56770)</f>
        <v>56770</v>
      </c>
      <c r="V801" s="3">
        <f ca="1">IFERROR(__xludf.DUMMYFUNCTION("""COMPUTED_VALUE"""),4.2)</f>
        <v>4.2</v>
      </c>
      <c r="W801" s="3">
        <f ca="1">IFERROR(__xludf.DUMMYFUNCTION("""COMPUTED_VALUE"""),1500)</f>
        <v>1500</v>
      </c>
      <c r="X801" s="3">
        <f ca="1">IFERROR(__xludf.DUMMYFUNCTION("""COMPUTED_VALUE"""),2040)</f>
        <v>2040</v>
      </c>
      <c r="Y801" s="3">
        <f ca="1">IFERROR(__xludf.DUMMYFUNCTION("""COMPUTED_VALUE"""),754)</f>
        <v>754</v>
      </c>
      <c r="Z801" s="3">
        <f ca="1">IFERROR(__xludf.DUMMYFUNCTION("""COMPUTED_VALUE"""),911)</f>
        <v>911</v>
      </c>
      <c r="AA801" s="3">
        <f ca="1">IFERROR(__xludf.DUMMYFUNCTION("""COMPUTED_VALUE"""),375)</f>
        <v>375</v>
      </c>
      <c r="AB801" s="3">
        <f ca="1">IFERROR(__xludf.DUMMYFUNCTION("""COMPUTED_VALUE"""),1)</f>
        <v>1</v>
      </c>
      <c r="AC801" s="3">
        <f ca="1">IFERROR(__xludf.DUMMYFUNCTION("""COMPUTED_VALUE"""),4)</f>
        <v>4</v>
      </c>
      <c r="AD801" s="3"/>
      <c r="AE801" s="3" t="str">
        <f ca="1">IFERROR(__xludf.DUMMYFUNCTION("""COMPUTED_VALUE"""),"2055-06-05T21:18:22.543279Z")</f>
        <v>2055-06-05T21:18:22.543279Z</v>
      </c>
      <c r="AF801" s="3" t="str">
        <f ca="1">IFERROR(__xludf.DUMMYFUNCTION("""COMPUTED_VALUE"""),"2055-06-05T21:24:37.891441Z")</f>
        <v>2055-06-05T21:24:37.891441Z</v>
      </c>
      <c r="AG801" s="3" t="str">
        <f ca="1">IFERROR(__xludf.DUMMYFUNCTION("""COMPUTED_VALUE"""),"2055-06-05T20:50:14.276108Z")</f>
        <v>2055-06-05T20:50:14.276108Z</v>
      </c>
      <c r="AH801" s="3" t="str">
        <f ca="1">IFERROR(__xludf.DUMMYFUNCTION("""COMPUTED_VALUE"""),"2055-06-05T21:03:11.195885Z")</f>
        <v>2055-06-05T21:03:11.195885Z</v>
      </c>
      <c r="AI801" s="3">
        <f ca="1">IFERROR(__xludf.DUMMYFUNCTION("""COMPUTED_VALUE"""),4.54)</f>
        <v>4.54</v>
      </c>
      <c r="AJ801" s="3">
        <f ca="1">IFERROR(__xludf.DUMMYFUNCTION("""COMPUTED_VALUE"""),2229)</f>
        <v>2229</v>
      </c>
      <c r="AK801" s="3">
        <f ca="1">IFERROR(__xludf.DUMMYFUNCTION("""COMPUTED_VALUE"""),6580)</f>
        <v>6580</v>
      </c>
      <c r="AL801" s="3"/>
    </row>
    <row r="802" spans="1:41" ht="13">
      <c r="A802" s="3">
        <f ca="1">IFERROR(__xludf.DUMMYFUNCTION("""COMPUTED_VALUE"""),921)</f>
        <v>921</v>
      </c>
      <c r="B802" s="3">
        <f ca="1">IFERROR(__xludf.DUMMYFUNCTION("""COMPUTED_VALUE"""),5)</f>
        <v>5</v>
      </c>
      <c r="C802" s="3">
        <f ca="1">IFERROR(__xludf.DUMMYFUNCTION("""COMPUTED_VALUE"""),4001)</f>
        <v>4001</v>
      </c>
      <c r="D802" s="3" t="str">
        <f ca="1">IFERROR(__xludf.DUMMYFUNCTION("""COMPUTED_VALUE"""),"Dashattan")</f>
        <v>Dashattan</v>
      </c>
      <c r="E802" s="3" t="str">
        <f ca="1">IFERROR(__xludf.DUMMYFUNCTION("""COMPUTED_VALUE"""),"Galaxy A")</f>
        <v>Galaxy A</v>
      </c>
      <c r="F802" s="3" t="str">
        <f ca="1">IFERROR(__xludf.DUMMYFUNCTION("""COMPUTED_VALUE"""),"Rojan")</f>
        <v>Rojan</v>
      </c>
      <c r="G802" s="3">
        <f ca="1">IFERROR(__xludf.DUMMYFUNCTION("""COMPUTED_VALUE"""),0)</f>
        <v>0</v>
      </c>
      <c r="H802" s="3" t="str">
        <f ca="1">IFERROR(__xludf.DUMMYFUNCTION("""COMPUTED_VALUE"""),"bicycle")</f>
        <v>bicycle</v>
      </c>
      <c r="I802" s="3" t="str">
        <f ca="1">IFERROR(__xludf.DUMMYFUNCTION("""COMPUTED_VALUE"""),"2055-06-08T12:21:13.041744Z")</f>
        <v>2055-06-08T12:21:13.041744Z</v>
      </c>
      <c r="J802" s="3" t="str">
        <f ca="1">IFERROR(__xludf.DUMMYFUNCTION("""COMPUTED_VALUE"""),"2055-06-08T13:15:00Z")</f>
        <v>2055-06-08T13:15:00Z</v>
      </c>
      <c r="K802" s="3" t="str">
        <f ca="1">IFERROR(__xludf.DUMMYFUNCTION("""COMPUTED_VALUE"""),"2055-06-08T13:15:00Z")</f>
        <v>2055-06-08T13:15:00Z</v>
      </c>
      <c r="L802" s="3">
        <f ca="1">IFERROR(__xludf.DUMMYFUNCTION("""COMPUTED_VALUE"""),0)</f>
        <v>0</v>
      </c>
      <c r="M802" s="3">
        <f ca="1">IFERROR(__xludf.DUMMYFUNCTION("""COMPUTED_VALUE"""),0)</f>
        <v>0</v>
      </c>
      <c r="N802" s="3" t="str">
        <f ca="1">IFERROR(__xludf.DUMMYFUNCTION("""COMPUTED_VALUE"""),"2055-06-08T13:18:31.986311Z")</f>
        <v>2055-06-08T13:18:31.986311Z</v>
      </c>
      <c r="O802" s="3" t="str">
        <f ca="1">IFERROR(__xludf.DUMMYFUNCTION("""COMPUTED_VALUE"""),"2055-06-08T13:28:43.570354Z")</f>
        <v>2055-06-08T13:28:43.570354Z</v>
      </c>
      <c r="P802" s="3" t="str">
        <f ca="1">IFERROR(__xludf.DUMMYFUNCTION("""COMPUTED_VALUE"""),"2055-06-08T13:00:34.058333Z")</f>
        <v>2055-06-08T13:00:34.058333Z</v>
      </c>
      <c r="Q802" s="3">
        <f ca="1">IFERROR(__xludf.DUMMYFUNCTION("""COMPUTED_VALUE"""),0)</f>
        <v>0</v>
      </c>
      <c r="R802" s="3" t="str">
        <f ca="1">IFERROR(__xludf.DUMMYFUNCTION("""COMPUTED_VALUE"""),"2055-06-08T13:00:37.846603Z")</f>
        <v>2055-06-08T13:00:37.846603Z</v>
      </c>
      <c r="S802" s="3" t="str">
        <f ca="1">IFERROR(__xludf.DUMMYFUNCTION("""COMPUTED_VALUE"""),"2055-06-08T13:13:15.14856Z")</f>
        <v>2055-06-08T13:13:15.14856Z</v>
      </c>
      <c r="T802" s="3"/>
      <c r="U802" s="4">
        <f ca="1">IFERROR(__xludf.DUMMYFUNCTION("""COMPUTED_VALUE"""),56773)</f>
        <v>56773</v>
      </c>
      <c r="V802" s="3">
        <f ca="1">IFERROR(__xludf.DUMMYFUNCTION("""COMPUTED_VALUE"""),3.885187863)</f>
        <v>3.8851878630000001</v>
      </c>
      <c r="W802" s="3">
        <f ca="1">IFERROR(__xludf.DUMMYFUNCTION("""COMPUTED_VALUE"""),1500)</f>
        <v>1500</v>
      </c>
      <c r="X802" s="3">
        <f ca="1">IFERROR(__xludf.DUMMYFUNCTION("""COMPUTED_VALUE"""),1686)</f>
        <v>1686</v>
      </c>
      <c r="Y802" s="3">
        <f ca="1">IFERROR(__xludf.DUMMYFUNCTION("""COMPUTED_VALUE"""),758)</f>
        <v>758</v>
      </c>
      <c r="Z802" s="3">
        <f ca="1">IFERROR(__xludf.DUMMYFUNCTION("""COMPUTED_VALUE"""),316)</f>
        <v>316</v>
      </c>
      <c r="AA802" s="3">
        <f ca="1">IFERROR(__xludf.DUMMYFUNCTION("""COMPUTED_VALUE"""),612)</f>
        <v>612</v>
      </c>
      <c r="AB802" s="3">
        <f ca="1">IFERROR(__xludf.DUMMYFUNCTION("""COMPUTED_VALUE"""),1)</f>
        <v>1</v>
      </c>
      <c r="AC802" s="3">
        <f ca="1">IFERROR(__xludf.DUMMYFUNCTION("""COMPUTED_VALUE"""),3)</f>
        <v>3</v>
      </c>
      <c r="AD802" s="3"/>
      <c r="AE802" s="3" t="str">
        <f ca="1">IFERROR(__xludf.DUMMYFUNCTION("""COMPUTED_VALUE"""),"2055-06-08T09:18:31.986311Z")</f>
        <v>2055-06-08T09:18:31.986311Z</v>
      </c>
      <c r="AF802" s="3" t="str">
        <f ca="1">IFERROR(__xludf.DUMMYFUNCTION("""COMPUTED_VALUE"""),"2055-06-08T09:28:43.570354Z")</f>
        <v>2055-06-08T09:28:43.570354Z</v>
      </c>
      <c r="AG802" s="3" t="str">
        <f ca="1">IFERROR(__xludf.DUMMYFUNCTION("""COMPUTED_VALUE"""),"2055-06-08T09:00:34.058333Z")</f>
        <v>2055-06-08T09:00:34.058333Z</v>
      </c>
      <c r="AH802" s="3" t="str">
        <f ca="1">IFERROR(__xludf.DUMMYFUNCTION("""COMPUTED_VALUE"""),"2055-06-08T09:13:15.14856Z")</f>
        <v>2055-06-08T09:13:15.14856Z</v>
      </c>
      <c r="AI802" s="3">
        <f ca="1">IFERROR(__xludf.DUMMYFUNCTION("""COMPUTED_VALUE"""),4.58)</f>
        <v>4.58</v>
      </c>
      <c r="AJ802" s="3">
        <f ca="1">IFERROR(__xludf.DUMMYFUNCTION("""COMPUTED_VALUE"""),254)</f>
        <v>254</v>
      </c>
      <c r="AK802" s="3">
        <f ca="1">IFERROR(__xludf.DUMMYFUNCTION("""COMPUTED_VALUE"""),788)</f>
        <v>788</v>
      </c>
      <c r="AL802" s="3">
        <f ca="1">IFERROR(__xludf.DUMMYFUNCTION("""COMPUTED_VALUE"""),9)</f>
        <v>9</v>
      </c>
    </row>
    <row r="803" spans="1:41" ht="13">
      <c r="A803" s="3">
        <f ca="1">IFERROR(__xludf.DUMMYFUNCTION("""COMPUTED_VALUE"""),28)</f>
        <v>28</v>
      </c>
      <c r="B803" s="3"/>
      <c r="C803" s="3">
        <f ca="1">IFERROR(__xludf.DUMMYFUNCTION("""COMPUTED_VALUE"""),4050)</f>
        <v>4050</v>
      </c>
      <c r="D803" s="3" t="str">
        <f ca="1">IFERROR(__xludf.DUMMYFUNCTION("""COMPUTED_VALUE"""),"Doorlanta")</f>
        <v>Doorlanta</v>
      </c>
      <c r="E803" s="3" t="str">
        <f ca="1">IFERROR(__xludf.DUMMYFUNCTION("""COMPUTED_VALUE"""),"Galaxy A")</f>
        <v>Galaxy A</v>
      </c>
      <c r="F803" s="3" t="str">
        <f ca="1">IFERROR(__xludf.DUMMYFUNCTION("""COMPUTED_VALUE"""),"Katelynn")</f>
        <v>Katelynn</v>
      </c>
      <c r="G803" s="3">
        <f ca="1">IFERROR(__xludf.DUMMYFUNCTION("""COMPUTED_VALUE"""),0)</f>
        <v>0</v>
      </c>
      <c r="H803" s="3" t="str">
        <f ca="1">IFERROR(__xludf.DUMMYFUNCTION("""COMPUTED_VALUE"""),"car")</f>
        <v>car</v>
      </c>
      <c r="I803" s="3" t="str">
        <f ca="1">IFERROR(__xludf.DUMMYFUNCTION("""COMPUTED_VALUE"""),"2055-06-01T19:23:52.515432Z")</f>
        <v>2055-06-01T19:23:52.515432Z</v>
      </c>
      <c r="J803" s="3" t="str">
        <f ca="1">IFERROR(__xludf.DUMMYFUNCTION("""COMPUTED_VALUE"""),"2055-06-01T20:05:24.609Z")</f>
        <v>2055-06-01T20:05:24.609Z</v>
      </c>
      <c r="K803" s="3" t="str">
        <f ca="1">IFERROR(__xludf.DUMMYFUNCTION("""COMPUTED_VALUE"""),"2055-06-01T20:00:17.609Z")</f>
        <v>2055-06-01T20:00:17.609Z</v>
      </c>
      <c r="L803" s="3">
        <f ca="1">IFERROR(__xludf.DUMMYFUNCTION("""COMPUTED_VALUE"""),1)</f>
        <v>1</v>
      </c>
      <c r="M803" s="3">
        <f ca="1">IFERROR(__xludf.DUMMYFUNCTION("""COMPUTED_VALUE"""),0)</f>
        <v>0</v>
      </c>
      <c r="N803" s="3" t="str">
        <f ca="1">IFERROR(__xludf.DUMMYFUNCTION("""COMPUTED_VALUE"""),"2055-06-01T20:29:44.240917Z")</f>
        <v>2055-06-01T20:29:44.240917Z</v>
      </c>
      <c r="O803" s="3" t="str">
        <f ca="1">IFERROR(__xludf.DUMMYFUNCTION("""COMPUTED_VALUE"""),"2055-06-01T20:44:26.10762Z")</f>
        <v>2055-06-01T20:44:26.10762Z</v>
      </c>
      <c r="P803" s="3" t="str">
        <f ca="1">IFERROR(__xludf.DUMMYFUNCTION("""COMPUTED_VALUE"""),"2055-06-01T20:19:28.771241Z")</f>
        <v>2055-06-01T20:19:28.771241Z</v>
      </c>
      <c r="Q803" s="3">
        <f ca="1">IFERROR(__xludf.DUMMYFUNCTION("""COMPUTED_VALUE"""),1)</f>
        <v>1</v>
      </c>
      <c r="R803" s="3" t="str">
        <f ca="1">IFERROR(__xludf.DUMMYFUNCTION("""COMPUTED_VALUE"""),"2055-06-01T20:19:49.14161Z")</f>
        <v>2055-06-01T20:19:49.14161Z</v>
      </c>
      <c r="S803" s="3" t="str">
        <f ca="1">IFERROR(__xludf.DUMMYFUNCTION("""COMPUTED_VALUE"""),"2055-06-01T20:27:44.456667Z")</f>
        <v>2055-06-01T20:27:44.456667Z</v>
      </c>
      <c r="T803" s="3"/>
      <c r="U803" s="4">
        <f ca="1">IFERROR(__xludf.DUMMYFUNCTION("""COMPUTED_VALUE"""),56766)</f>
        <v>56766</v>
      </c>
      <c r="V803" s="3">
        <f ca="1">IFERROR(__xludf.DUMMYFUNCTION("""COMPUTED_VALUE"""),2.546793532)</f>
        <v>2.5467935320000001</v>
      </c>
      <c r="W803" s="3">
        <f ca="1">IFERROR(__xludf.DUMMYFUNCTION("""COMPUTED_VALUE"""),1500)</f>
        <v>1500</v>
      </c>
      <c r="X803" s="3">
        <f ca="1">IFERROR(__xludf.DUMMYFUNCTION("""COMPUTED_VALUE"""),1477)</f>
        <v>1477</v>
      </c>
      <c r="Y803" s="3">
        <f ca="1">IFERROR(__xludf.DUMMYFUNCTION("""COMPUTED_VALUE"""),475)</f>
        <v>475</v>
      </c>
      <c r="Z803" s="3">
        <f ca="1">IFERROR(__xludf.DUMMYFUNCTION("""COMPUTED_VALUE"""),120)</f>
        <v>120</v>
      </c>
      <c r="AA803" s="3">
        <f ca="1">IFERROR(__xludf.DUMMYFUNCTION("""COMPUTED_VALUE"""),882)</f>
        <v>882</v>
      </c>
      <c r="AB803" s="3">
        <f ca="1">IFERROR(__xludf.DUMMYFUNCTION("""COMPUTED_VALUE"""),0)</f>
        <v>0</v>
      </c>
      <c r="AC803" s="3">
        <f ca="1">IFERROR(__xludf.DUMMYFUNCTION("""COMPUTED_VALUE"""),1)</f>
        <v>1</v>
      </c>
      <c r="AD803" s="3" t="str">
        <f ca="1">IFERROR(__xludf.DUMMYFUNCTION("""COMPUTED_VALUE"""),"late")</f>
        <v>late</v>
      </c>
      <c r="AE803" s="3" t="str">
        <f ca="1">IFERROR(__xludf.DUMMYFUNCTION("""COMPUTED_VALUE"""),"2055-06-01T16:29:44.240917Z")</f>
        <v>2055-06-01T16:29:44.240917Z</v>
      </c>
      <c r="AF803" s="3" t="str">
        <f ca="1">IFERROR(__xludf.DUMMYFUNCTION("""COMPUTED_VALUE"""),"2055-06-01T16:44:26.10762Z")</f>
        <v>2055-06-01T16:44:26.10762Z</v>
      </c>
      <c r="AG803" s="3" t="str">
        <f ca="1">IFERROR(__xludf.DUMMYFUNCTION("""COMPUTED_VALUE"""),"2055-06-01T16:19:28.771241Z")</f>
        <v>2055-06-01T16:19:28.771241Z</v>
      </c>
      <c r="AH803" s="3" t="str">
        <f ca="1">IFERROR(__xludf.DUMMYFUNCTION("""COMPUTED_VALUE"""),"2055-06-01T16:27:44.456667Z")</f>
        <v>2055-06-01T16:27:44.456667Z</v>
      </c>
      <c r="AI803" s="3">
        <f ca="1">IFERROR(__xludf.DUMMYFUNCTION("""COMPUTED_VALUE"""),4.7)</f>
        <v>4.7</v>
      </c>
      <c r="AJ803" s="3">
        <f ca="1">IFERROR(__xludf.DUMMYFUNCTION("""COMPUTED_VALUE"""),1261)</f>
        <v>1261</v>
      </c>
      <c r="AK803" s="3">
        <f ca="1">IFERROR(__xludf.DUMMYFUNCTION("""COMPUTED_VALUE"""),3264)</f>
        <v>3264</v>
      </c>
      <c r="AL803" s="3">
        <f ca="1">IFERROR(__xludf.DUMMYFUNCTION("""COMPUTED_VALUE"""),232)</f>
        <v>232</v>
      </c>
    </row>
    <row r="804" spans="1:41" ht="13">
      <c r="A804" s="3">
        <f ca="1">IFERROR(__xludf.DUMMYFUNCTION("""COMPUTED_VALUE"""),403)</f>
        <v>403</v>
      </c>
      <c r="B804" s="3">
        <f ca="1">IFERROR(__xludf.DUMMYFUNCTION("""COMPUTED_VALUE"""),5)</f>
        <v>5</v>
      </c>
      <c r="C804" s="3">
        <f ca="1">IFERROR(__xludf.DUMMYFUNCTION("""COMPUTED_VALUE"""),4050)</f>
        <v>4050</v>
      </c>
      <c r="D804" s="3" t="str">
        <f ca="1">IFERROR(__xludf.DUMMYFUNCTION("""COMPUTED_VALUE"""),"Doorlanta")</f>
        <v>Doorlanta</v>
      </c>
      <c r="E804" s="3" t="str">
        <f ca="1">IFERROR(__xludf.DUMMYFUNCTION("""COMPUTED_VALUE"""),"Galaxy A")</f>
        <v>Galaxy A</v>
      </c>
      <c r="F804" s="3" t="str">
        <f ca="1">IFERROR(__xludf.DUMMYFUNCTION("""COMPUTED_VALUE"""),"Elon")</f>
        <v>Elon</v>
      </c>
      <c r="G804" s="3">
        <f ca="1">IFERROR(__xludf.DUMMYFUNCTION("""COMPUTED_VALUE"""),0)</f>
        <v>0</v>
      </c>
      <c r="H804" s="3" t="str">
        <f ca="1">IFERROR(__xludf.DUMMYFUNCTION("""COMPUTED_VALUE"""),"car")</f>
        <v>car</v>
      </c>
      <c r="I804" s="3" t="str">
        <f ca="1">IFERROR(__xludf.DUMMYFUNCTION("""COMPUTED_VALUE"""),"2055-06-04T14:29:15.266468Z")</f>
        <v>2055-06-04T14:29:15.266468Z</v>
      </c>
      <c r="J804" s="3" t="str">
        <f ca="1">IFERROR(__xludf.DUMMYFUNCTION("""COMPUTED_VALUE"""),"2055-06-04T16:00:00Z")</f>
        <v>2055-06-04T16:00:00Z</v>
      </c>
      <c r="K804" s="3" t="str">
        <f ca="1">IFERROR(__xludf.DUMMYFUNCTION("""COMPUTED_VALUE"""),"2055-06-04T16:00:00Z")</f>
        <v>2055-06-04T16:00:00Z</v>
      </c>
      <c r="L804" s="3">
        <f ca="1">IFERROR(__xludf.DUMMYFUNCTION("""COMPUTED_VALUE"""),0)</f>
        <v>0</v>
      </c>
      <c r="M804" s="3">
        <f ca="1">IFERROR(__xludf.DUMMYFUNCTION("""COMPUTED_VALUE"""),0)</f>
        <v>0</v>
      </c>
      <c r="N804" s="3" t="str">
        <f ca="1">IFERROR(__xludf.DUMMYFUNCTION("""COMPUTED_VALUE"""),"2055-06-04T15:23:39.818362Z")</f>
        <v>2055-06-04T15:23:39.818362Z</v>
      </c>
      <c r="O804" s="3" t="str">
        <f ca="1">IFERROR(__xludf.DUMMYFUNCTION("""COMPUTED_VALUE"""),"2055-06-04T15:38:32.810947Z")</f>
        <v>2055-06-04T15:38:32.810947Z</v>
      </c>
      <c r="P804" s="3" t="str">
        <f ca="1">IFERROR(__xludf.DUMMYFUNCTION("""COMPUTED_VALUE"""),"2055-06-04T15:00:07.435925Z")</f>
        <v>2055-06-04T15:00:07.435925Z</v>
      </c>
      <c r="Q804" s="3">
        <f ca="1">IFERROR(__xludf.DUMMYFUNCTION("""COMPUTED_VALUE"""),0)</f>
        <v>0</v>
      </c>
      <c r="R804" s="3" t="str">
        <f ca="1">IFERROR(__xludf.DUMMYFUNCTION("""COMPUTED_VALUE"""),"2055-06-04T15:00:20.204501Z")</f>
        <v>2055-06-04T15:00:20.204501Z</v>
      </c>
      <c r="S804" s="3" t="str">
        <f ca="1">IFERROR(__xludf.DUMMYFUNCTION("""COMPUTED_VALUE"""),"2055-06-04T15:09:55.460671Z")</f>
        <v>2055-06-04T15:09:55.460671Z</v>
      </c>
      <c r="T804" s="3"/>
      <c r="U804" s="4">
        <f ca="1">IFERROR(__xludf.DUMMYFUNCTION("""COMPUTED_VALUE"""),56769)</f>
        <v>56769</v>
      </c>
      <c r="V804" s="3">
        <f ca="1">IFERROR(__xludf.DUMMYFUNCTION("""COMPUTED_VALUE"""),3.089402272)</f>
        <v>3.0894022720000001</v>
      </c>
      <c r="W804" s="3">
        <f ca="1">IFERROR(__xludf.DUMMYFUNCTION("""COMPUTED_VALUE"""),1500)</f>
        <v>1500</v>
      </c>
      <c r="X804" s="3">
        <f ca="1">IFERROR(__xludf.DUMMYFUNCTION("""COMPUTED_VALUE"""),2292)</f>
        <v>2292</v>
      </c>
      <c r="Y804" s="3">
        <f ca="1">IFERROR(__xludf.DUMMYFUNCTION("""COMPUTED_VALUE"""),575)</f>
        <v>575</v>
      </c>
      <c r="Z804" s="3">
        <f ca="1">IFERROR(__xludf.DUMMYFUNCTION("""COMPUTED_VALUE"""),824)</f>
        <v>824</v>
      </c>
      <c r="AA804" s="3">
        <f ca="1">IFERROR(__xludf.DUMMYFUNCTION("""COMPUTED_VALUE"""),893)</f>
        <v>893</v>
      </c>
      <c r="AB804" s="3">
        <f ca="1">IFERROR(__xludf.DUMMYFUNCTION("""COMPUTED_VALUE"""),0)</f>
        <v>0</v>
      </c>
      <c r="AC804" s="3">
        <f ca="1">IFERROR(__xludf.DUMMYFUNCTION("""COMPUTED_VALUE"""),2)</f>
        <v>2</v>
      </c>
      <c r="AD804" s="3" t="str">
        <f ca="1">IFERROR(__xludf.DUMMYFUNCTION("""COMPUTED_VALUE"""),"early")</f>
        <v>early</v>
      </c>
      <c r="AE804" s="3" t="str">
        <f ca="1">IFERROR(__xludf.DUMMYFUNCTION("""COMPUTED_VALUE"""),"2055-06-04T11:23:39.818362Z")</f>
        <v>2055-06-04T11:23:39.818362Z</v>
      </c>
      <c r="AF804" s="3" t="str">
        <f ca="1">IFERROR(__xludf.DUMMYFUNCTION("""COMPUTED_VALUE"""),"2055-06-04T11:38:32.810947Z")</f>
        <v>2055-06-04T11:38:32.810947Z</v>
      </c>
      <c r="AG804" s="3" t="str">
        <f ca="1">IFERROR(__xludf.DUMMYFUNCTION("""COMPUTED_VALUE"""),"2055-06-04T11:00:07.435925Z")</f>
        <v>2055-06-04T11:00:07.435925Z</v>
      </c>
      <c r="AH804" s="3" t="str">
        <f ca="1">IFERROR(__xludf.DUMMYFUNCTION("""COMPUTED_VALUE"""),"2055-06-04T11:09:55.460671Z")</f>
        <v>2055-06-04T11:09:55.460671Z</v>
      </c>
      <c r="AI804" s="3">
        <f ca="1">IFERROR(__xludf.DUMMYFUNCTION("""COMPUTED_VALUE"""),4.62)</f>
        <v>4.62</v>
      </c>
      <c r="AJ804" s="3">
        <f ca="1">IFERROR(__xludf.DUMMYFUNCTION("""COMPUTED_VALUE"""),259)</f>
        <v>259</v>
      </c>
      <c r="AK804" s="3">
        <f ca="1">IFERROR(__xludf.DUMMYFUNCTION("""COMPUTED_VALUE"""),604)</f>
        <v>604</v>
      </c>
      <c r="AL804" s="3">
        <f ca="1">IFERROR(__xludf.DUMMYFUNCTION("""COMPUTED_VALUE"""),21)</f>
        <v>21</v>
      </c>
    </row>
    <row r="805" spans="1:41" ht="13">
      <c r="A805" s="3">
        <f ca="1">IFERROR(__xludf.DUMMYFUNCTION("""COMPUTED_VALUE"""),1353)</f>
        <v>1353</v>
      </c>
      <c r="B805" s="3">
        <f ca="1">IFERROR(__xludf.DUMMYFUNCTION("""COMPUTED_VALUE"""),5)</f>
        <v>5</v>
      </c>
      <c r="C805" s="3">
        <f ca="1">IFERROR(__xludf.DUMMYFUNCTION("""COMPUTED_VALUE"""),4001)</f>
        <v>4001</v>
      </c>
      <c r="D805" s="3" t="str">
        <f ca="1">IFERROR(__xludf.DUMMYFUNCTION("""COMPUTED_VALUE"""),"Dashattan")</f>
        <v>Dashattan</v>
      </c>
      <c r="E805" s="3" t="str">
        <f ca="1">IFERROR(__xludf.DUMMYFUNCTION("""COMPUTED_VALUE"""),"Galaxy A")</f>
        <v>Galaxy A</v>
      </c>
      <c r="F805" s="3" t="str">
        <f ca="1">IFERROR(__xludf.DUMMYFUNCTION("""COMPUTED_VALUE"""),"Rojan")</f>
        <v>Rojan</v>
      </c>
      <c r="G805" s="3">
        <f ca="1">IFERROR(__xludf.DUMMYFUNCTION("""COMPUTED_VALUE"""),0)</f>
        <v>0</v>
      </c>
      <c r="H805" s="3" t="str">
        <f ca="1">IFERROR(__xludf.DUMMYFUNCTION("""COMPUTED_VALUE"""),"bicycle")</f>
        <v>bicycle</v>
      </c>
      <c r="I805" s="3" t="str">
        <f ca="1">IFERROR(__xludf.DUMMYFUNCTION("""COMPUTED_VALUE"""),"2055-06-11T23:54:40.885916Z")</f>
        <v>2055-06-11T23:54:40.885916Z</v>
      </c>
      <c r="J805" s="3" t="str">
        <f ca="1">IFERROR(__xludf.DUMMYFUNCTION("""COMPUTED_VALUE"""),"2055-06-12T00:39:46.935Z")</f>
        <v>2055-06-12T00:39:46.935Z</v>
      </c>
      <c r="K805" s="3" t="str">
        <f ca="1">IFERROR(__xludf.DUMMYFUNCTION("""COMPUTED_VALUE"""),"2055-06-12T00:35:07.935Z")</f>
        <v>2055-06-12T00:35:07.935Z</v>
      </c>
      <c r="L805" s="3">
        <f ca="1">IFERROR(__xludf.DUMMYFUNCTION("""COMPUTED_VALUE"""),1)</f>
        <v>1</v>
      </c>
      <c r="M805" s="3">
        <f ca="1">IFERROR(__xludf.DUMMYFUNCTION("""COMPUTED_VALUE"""),0)</f>
        <v>0</v>
      </c>
      <c r="N805" s="3" t="str">
        <f ca="1">IFERROR(__xludf.DUMMYFUNCTION("""COMPUTED_VALUE"""),"2055-06-12T00:33:20.300392Z")</f>
        <v>2055-06-12T00:33:20.300392Z</v>
      </c>
      <c r="O805" s="3" t="str">
        <f ca="1">IFERROR(__xludf.DUMMYFUNCTION("""COMPUTED_VALUE"""),"2055-06-12T00:49:25.134404Z")</f>
        <v>2055-06-12T00:49:25.134404Z</v>
      </c>
      <c r="P805" s="3" t="str">
        <f ca="1">IFERROR(__xludf.DUMMYFUNCTION("""COMPUTED_VALUE"""),"2055-06-11T23:54:54.137086Z")</f>
        <v>2055-06-11T23:54:54.137086Z</v>
      </c>
      <c r="Q805" s="3">
        <f ca="1">IFERROR(__xludf.DUMMYFUNCTION("""COMPUTED_VALUE"""),0)</f>
        <v>0</v>
      </c>
      <c r="R805" s="3" t="str">
        <f ca="1">IFERROR(__xludf.DUMMYFUNCTION("""COMPUTED_VALUE"""),"2055-06-11T23:55:12.523427Z")</f>
        <v>2055-06-11T23:55:12.523427Z</v>
      </c>
      <c r="S805" s="3" t="str">
        <f ca="1">IFERROR(__xludf.DUMMYFUNCTION("""COMPUTED_VALUE"""),"2055-06-11T23:57:46.416395Z")</f>
        <v>2055-06-11T23:57:46.416395Z</v>
      </c>
      <c r="T805" s="3"/>
      <c r="U805" s="4">
        <f ca="1">IFERROR(__xludf.DUMMYFUNCTION("""COMPUTED_VALUE"""),56776)</f>
        <v>56776</v>
      </c>
      <c r="V805" s="3">
        <f ca="1">IFERROR(__xludf.DUMMYFUNCTION("""COMPUTED_VALUE"""),4.3)</f>
        <v>4.3</v>
      </c>
      <c r="W805" s="3">
        <f ca="1">IFERROR(__xludf.DUMMYFUNCTION("""COMPUTED_VALUE"""),1500)</f>
        <v>1500</v>
      </c>
      <c r="X805" s="3">
        <f ca="1">IFERROR(__xludf.DUMMYFUNCTION("""COMPUTED_VALUE"""),3253)</f>
        <v>3253</v>
      </c>
      <c r="Y805" s="3">
        <f ca="1">IFERROR(__xludf.DUMMYFUNCTION("""COMPUTED_VALUE"""),154)</f>
        <v>154</v>
      </c>
      <c r="Z805" s="3">
        <f ca="1">IFERROR(__xludf.DUMMYFUNCTION("""COMPUTED_VALUE"""),2134)</f>
        <v>2134</v>
      </c>
      <c r="AA805" s="3">
        <f ca="1">IFERROR(__xludf.DUMMYFUNCTION("""COMPUTED_VALUE"""),965)</f>
        <v>965</v>
      </c>
      <c r="AB805" s="3">
        <f ca="1">IFERROR(__xludf.DUMMYFUNCTION("""COMPUTED_VALUE"""),1)</f>
        <v>1</v>
      </c>
      <c r="AC805" s="3">
        <f ca="1">IFERROR(__xludf.DUMMYFUNCTION("""COMPUTED_VALUE"""),3)</f>
        <v>3</v>
      </c>
      <c r="AD805" s="3"/>
      <c r="AE805" s="3" t="str">
        <f ca="1">IFERROR(__xludf.DUMMYFUNCTION("""COMPUTED_VALUE"""),"2055-06-11T20:33:20.300392Z")</f>
        <v>2055-06-11T20:33:20.300392Z</v>
      </c>
      <c r="AF805" s="3" t="str">
        <f ca="1">IFERROR(__xludf.DUMMYFUNCTION("""COMPUTED_VALUE"""),"2055-06-11T20:49:25.134404Z")</f>
        <v>2055-06-11T20:49:25.134404Z</v>
      </c>
      <c r="AG805" s="3" t="str">
        <f ca="1">IFERROR(__xludf.DUMMYFUNCTION("""COMPUTED_VALUE"""),"2055-06-11T19:54:54.137086Z")</f>
        <v>2055-06-11T19:54:54.137086Z</v>
      </c>
      <c r="AH805" s="3" t="str">
        <f ca="1">IFERROR(__xludf.DUMMYFUNCTION("""COMPUTED_VALUE"""),"2055-06-11T19:57:46.416395Z")</f>
        <v>2055-06-11T19:57:46.416395Z</v>
      </c>
      <c r="AI805" s="3">
        <f ca="1">IFERROR(__xludf.DUMMYFUNCTION("""COMPUTED_VALUE"""),4.58)</f>
        <v>4.58</v>
      </c>
      <c r="AJ805" s="3">
        <f ca="1">IFERROR(__xludf.DUMMYFUNCTION("""COMPUTED_VALUE"""),254)</f>
        <v>254</v>
      </c>
      <c r="AK805" s="3">
        <f ca="1">IFERROR(__xludf.DUMMYFUNCTION("""COMPUTED_VALUE"""),788)</f>
        <v>788</v>
      </c>
      <c r="AL805" s="3">
        <f ca="1">IFERROR(__xludf.DUMMYFUNCTION("""COMPUTED_VALUE"""),9)</f>
        <v>9</v>
      </c>
    </row>
    <row r="806" spans="1:41" ht="13">
      <c r="A806" s="3">
        <f ca="1">IFERROR(__xludf.DUMMYFUNCTION("""COMPUTED_VALUE"""),804)</f>
        <v>804</v>
      </c>
      <c r="B806" s="3">
        <f ca="1">IFERROR(__xludf.DUMMYFUNCTION("""COMPUTED_VALUE"""),5)</f>
        <v>5</v>
      </c>
      <c r="C806" s="3">
        <f ca="1">IFERROR(__xludf.DUMMYFUNCTION("""COMPUTED_VALUE"""),4050)</f>
        <v>4050</v>
      </c>
      <c r="D806" s="3" t="str">
        <f ca="1">IFERROR(__xludf.DUMMYFUNCTION("""COMPUTED_VALUE"""),"Doorlanta")</f>
        <v>Doorlanta</v>
      </c>
      <c r="E806" s="3" t="str">
        <f ca="1">IFERROR(__xludf.DUMMYFUNCTION("""COMPUTED_VALUE"""),"Galaxy A")</f>
        <v>Galaxy A</v>
      </c>
      <c r="F806" s="3" t="str">
        <f ca="1">IFERROR(__xludf.DUMMYFUNCTION("""COMPUTED_VALUE"""),"Drew")</f>
        <v>Drew</v>
      </c>
      <c r="G806" s="3">
        <f ca="1">IFERROR(__xludf.DUMMYFUNCTION("""COMPUTED_VALUE"""),0)</f>
        <v>0</v>
      </c>
      <c r="H806" s="3" t="str">
        <f ca="1">IFERROR(__xludf.DUMMYFUNCTION("""COMPUTED_VALUE"""),"car")</f>
        <v>car</v>
      </c>
      <c r="I806" s="3" t="str">
        <f ca="1">IFERROR(__xludf.DUMMYFUNCTION("""COMPUTED_VALUE"""),"2055-06-07T00:10:15.652103Z")</f>
        <v>2055-06-07T00:10:15.652103Z</v>
      </c>
      <c r="J806" s="3" t="str">
        <f ca="1">IFERROR(__xludf.DUMMYFUNCTION("""COMPUTED_VALUE"""),"2055-06-07T01:05:15.726Z")</f>
        <v>2055-06-07T01:05:15.726Z</v>
      </c>
      <c r="K806" s="3" t="str">
        <f ca="1">IFERROR(__xludf.DUMMYFUNCTION("""COMPUTED_VALUE"""),"2055-06-07T00:42:46.726Z")</f>
        <v>2055-06-07T00:42:46.726Z</v>
      </c>
      <c r="L806" s="3">
        <f ca="1">IFERROR(__xludf.DUMMYFUNCTION("""COMPUTED_VALUE"""),1)</f>
        <v>1</v>
      </c>
      <c r="M806" s="3">
        <f ca="1">IFERROR(__xludf.DUMMYFUNCTION("""COMPUTED_VALUE"""),0)</f>
        <v>0</v>
      </c>
      <c r="N806" s="3" t="str">
        <f ca="1">IFERROR(__xludf.DUMMYFUNCTION("""COMPUTED_VALUE"""),"2055-06-07T00:27:45.350095Z")</f>
        <v>2055-06-07T00:27:45.350095Z</v>
      </c>
      <c r="O806" s="3" t="str">
        <f ca="1">IFERROR(__xludf.DUMMYFUNCTION("""COMPUTED_VALUE"""),"2055-06-07T00:37:41.431327Z")</f>
        <v>2055-06-07T00:37:41.431327Z</v>
      </c>
      <c r="P806" s="3" t="str">
        <f ca="1">IFERROR(__xludf.DUMMYFUNCTION("""COMPUTED_VALUE"""),"2055-06-07T00:10:27.317166Z")</f>
        <v>2055-06-07T00:10:27.317166Z</v>
      </c>
      <c r="Q806" s="3">
        <f ca="1">IFERROR(__xludf.DUMMYFUNCTION("""COMPUTED_VALUE"""),0)</f>
        <v>0</v>
      </c>
      <c r="R806" s="3" t="str">
        <f ca="1">IFERROR(__xludf.DUMMYFUNCTION("""COMPUTED_VALUE"""),"2055-06-07T00:10:40.597102Z")</f>
        <v>2055-06-07T00:10:40.597102Z</v>
      </c>
      <c r="S806" s="3" t="str">
        <f ca="1">IFERROR(__xludf.DUMMYFUNCTION("""COMPUTED_VALUE"""),"2055-06-07T00:22:28.298232Z")</f>
        <v>2055-06-07T00:22:28.298232Z</v>
      </c>
      <c r="T806" s="3"/>
      <c r="U806" s="4">
        <f ca="1">IFERROR(__xludf.DUMMYFUNCTION("""COMPUTED_VALUE"""),56771)</f>
        <v>56771</v>
      </c>
      <c r="V806" s="3">
        <f ca="1">IFERROR(__xludf.DUMMYFUNCTION("""COMPUTED_VALUE"""),4.7)</f>
        <v>4.7</v>
      </c>
      <c r="W806" s="3">
        <f ca="1">IFERROR(__xludf.DUMMYFUNCTION("""COMPUTED_VALUE"""),1500)</f>
        <v>1500</v>
      </c>
      <c r="X806" s="3">
        <f ca="1">IFERROR(__xludf.DUMMYFUNCTION("""COMPUTED_VALUE"""),1621)</f>
        <v>1621</v>
      </c>
      <c r="Y806" s="3">
        <f ca="1">IFERROR(__xludf.DUMMYFUNCTION("""COMPUTED_VALUE"""),708)</f>
        <v>708</v>
      </c>
      <c r="Z806" s="3">
        <f ca="1">IFERROR(__xludf.DUMMYFUNCTION("""COMPUTED_VALUE"""),317)</f>
        <v>317</v>
      </c>
      <c r="AA806" s="3">
        <f ca="1">IFERROR(__xludf.DUMMYFUNCTION("""COMPUTED_VALUE"""),596)</f>
        <v>596</v>
      </c>
      <c r="AB806" s="3">
        <f ca="1">IFERROR(__xludf.DUMMYFUNCTION("""COMPUTED_VALUE"""),0)</f>
        <v>0</v>
      </c>
      <c r="AC806" s="3">
        <f ca="1">IFERROR(__xludf.DUMMYFUNCTION("""COMPUTED_VALUE"""),2)</f>
        <v>2</v>
      </c>
      <c r="AD806" s="3" t="str">
        <f ca="1">IFERROR(__xludf.DUMMYFUNCTION("""COMPUTED_VALUE"""),"on time")</f>
        <v>on time</v>
      </c>
      <c r="AE806" s="3" t="str">
        <f ca="1">IFERROR(__xludf.DUMMYFUNCTION("""COMPUTED_VALUE"""),"2055-06-06T20:27:45.350095Z")</f>
        <v>2055-06-06T20:27:45.350095Z</v>
      </c>
      <c r="AF806" s="3" t="str">
        <f ca="1">IFERROR(__xludf.DUMMYFUNCTION("""COMPUTED_VALUE"""),"2055-06-06T20:37:41.431327Z")</f>
        <v>2055-06-06T20:37:41.431327Z</v>
      </c>
      <c r="AG806" s="3" t="str">
        <f ca="1">IFERROR(__xludf.DUMMYFUNCTION("""COMPUTED_VALUE"""),"2055-06-06T20:10:27.317166Z")</f>
        <v>2055-06-06T20:10:27.317166Z</v>
      </c>
      <c r="AH806" s="3" t="str">
        <f ca="1">IFERROR(__xludf.DUMMYFUNCTION("""COMPUTED_VALUE"""),"2055-06-06T20:22:28.298232Z")</f>
        <v>2055-06-06T20:22:28.298232Z</v>
      </c>
      <c r="AI806" s="3">
        <f ca="1">IFERROR(__xludf.DUMMYFUNCTION("""COMPUTED_VALUE"""),4.79)</f>
        <v>4.79</v>
      </c>
      <c r="AJ806" s="3">
        <f ca="1">IFERROR(__xludf.DUMMYFUNCTION("""COMPUTED_VALUE"""),213)</f>
        <v>213</v>
      </c>
      <c r="AK806" s="3">
        <f ca="1">IFERROR(__xludf.DUMMYFUNCTION("""COMPUTED_VALUE"""),611)</f>
        <v>611</v>
      </c>
      <c r="AL806" s="3">
        <f ca="1">IFERROR(__xludf.DUMMYFUNCTION("""COMPUTED_VALUE"""),122)</f>
        <v>122</v>
      </c>
    </row>
    <row r="807" spans="1:41" ht="13">
      <c r="A807" s="3">
        <f ca="1">IFERROR(__xludf.DUMMYFUNCTION("""COMPUTED_VALUE"""),204)</f>
        <v>204</v>
      </c>
      <c r="B807" s="3"/>
      <c r="C807" s="3">
        <f ca="1">IFERROR(__xludf.DUMMYFUNCTION("""COMPUTED_VALUE"""),4001)</f>
        <v>4001</v>
      </c>
      <c r="D807" s="3" t="str">
        <f ca="1">IFERROR(__xludf.DUMMYFUNCTION("""COMPUTED_VALUE"""),"Dashattan")</f>
        <v>Dashattan</v>
      </c>
      <c r="E807" s="3" t="str">
        <f ca="1">IFERROR(__xludf.DUMMYFUNCTION("""COMPUTED_VALUE"""),"Galaxy A")</f>
        <v>Galaxy A</v>
      </c>
      <c r="F807" s="3" t="str">
        <f ca="1">IFERROR(__xludf.DUMMYFUNCTION("""COMPUTED_VALUE"""),"Arya")</f>
        <v>Arya</v>
      </c>
      <c r="G807" s="3">
        <f ca="1">IFERROR(__xludf.DUMMYFUNCTION("""COMPUTED_VALUE"""),0)</f>
        <v>0</v>
      </c>
      <c r="H807" s="3" t="str">
        <f ca="1">IFERROR(__xludf.DUMMYFUNCTION("""COMPUTED_VALUE"""),"bicycle")</f>
        <v>bicycle</v>
      </c>
      <c r="I807" s="3" t="str">
        <f ca="1">IFERROR(__xludf.DUMMYFUNCTION("""COMPUTED_VALUE"""),"2055-06-02T23:24:09.354965Z")</f>
        <v>2055-06-02T23:24:09.354965Z</v>
      </c>
      <c r="J807" s="3" t="str">
        <f ca="1">IFERROR(__xludf.DUMMYFUNCTION("""COMPUTED_VALUE"""),"2055-06-03T00:03:15.42Z")</f>
        <v>2055-06-03T00:03:15.42Z</v>
      </c>
      <c r="K807" s="3" t="str">
        <f ca="1">IFERROR(__xludf.DUMMYFUNCTION("""COMPUTED_VALUE"""),"2055-06-02T23:58:36.42Z")</f>
        <v>2055-06-02T23:58:36.42Z</v>
      </c>
      <c r="L807" s="3">
        <f ca="1">IFERROR(__xludf.DUMMYFUNCTION("""COMPUTED_VALUE"""),1)</f>
        <v>1</v>
      </c>
      <c r="M807" s="3">
        <f ca="1">IFERROR(__xludf.DUMMYFUNCTION("""COMPUTED_VALUE"""),0)</f>
        <v>0</v>
      </c>
      <c r="N807" s="3" t="str">
        <f ca="1">IFERROR(__xludf.DUMMYFUNCTION("""COMPUTED_VALUE"""),"2055-06-02T23:47:09.134836Z")</f>
        <v>2055-06-02T23:47:09.134836Z</v>
      </c>
      <c r="O807" s="3" t="str">
        <f ca="1">IFERROR(__xludf.DUMMYFUNCTION("""COMPUTED_VALUE"""),"2055-06-03T00:03:22.385791Z")</f>
        <v>2055-06-03T00:03:22.385791Z</v>
      </c>
      <c r="P807" s="3" t="str">
        <f ca="1">IFERROR(__xludf.DUMMYFUNCTION("""COMPUTED_VALUE"""),"2055-06-02T23:30:34.957186Z")</f>
        <v>2055-06-02T23:30:34.957186Z</v>
      </c>
      <c r="Q807" s="3">
        <f ca="1">IFERROR(__xludf.DUMMYFUNCTION("""COMPUTED_VALUE"""),0)</f>
        <v>0</v>
      </c>
      <c r="R807" s="3" t="str">
        <f ca="1">IFERROR(__xludf.DUMMYFUNCTION("""COMPUTED_VALUE"""),"2055-06-02T23:30:42.491818Z")</f>
        <v>2055-06-02T23:30:42.491818Z</v>
      </c>
      <c r="S807" s="3" t="str">
        <f ca="1">IFERROR(__xludf.DUMMYFUNCTION("""COMPUTED_VALUE"""),"2055-06-02T23:45:09.912936Z")</f>
        <v>2055-06-02T23:45:09.912936Z</v>
      </c>
      <c r="T807" s="3"/>
      <c r="U807" s="4">
        <f ca="1">IFERROR(__xludf.DUMMYFUNCTION("""COMPUTED_VALUE"""),56767)</f>
        <v>56767</v>
      </c>
      <c r="V807" s="3">
        <f ca="1">IFERROR(__xludf.DUMMYFUNCTION("""COMPUTED_VALUE"""),4.4)</f>
        <v>4.4000000000000004</v>
      </c>
      <c r="W807" s="3">
        <f ca="1">IFERROR(__xludf.DUMMYFUNCTION("""COMPUTED_VALUE"""),1500)</f>
        <v>1500</v>
      </c>
      <c r="X807" s="3">
        <f ca="1">IFERROR(__xludf.DUMMYFUNCTION("""COMPUTED_VALUE"""),1960)</f>
        <v>1960</v>
      </c>
      <c r="Y807" s="3">
        <f ca="1">IFERROR(__xludf.DUMMYFUNCTION("""COMPUTED_VALUE"""),867)</f>
        <v>867</v>
      </c>
      <c r="Z807" s="3">
        <f ca="1">IFERROR(__xludf.DUMMYFUNCTION("""COMPUTED_VALUE"""),120)</f>
        <v>120</v>
      </c>
      <c r="AA807" s="3">
        <f ca="1">IFERROR(__xludf.DUMMYFUNCTION("""COMPUTED_VALUE"""),973)</f>
        <v>973</v>
      </c>
      <c r="AB807" s="3">
        <f ca="1">IFERROR(__xludf.DUMMYFUNCTION("""COMPUTED_VALUE"""),0)</f>
        <v>0</v>
      </c>
      <c r="AC807" s="3">
        <f ca="1">IFERROR(__xludf.DUMMYFUNCTION("""COMPUTED_VALUE"""),2)</f>
        <v>2</v>
      </c>
      <c r="AD807" s="3" t="str">
        <f ca="1">IFERROR(__xludf.DUMMYFUNCTION("""COMPUTED_VALUE"""),"late")</f>
        <v>late</v>
      </c>
      <c r="AE807" s="3" t="str">
        <f ca="1">IFERROR(__xludf.DUMMYFUNCTION("""COMPUTED_VALUE"""),"2055-06-02T19:47:09.134836Z")</f>
        <v>2055-06-02T19:47:09.134836Z</v>
      </c>
      <c r="AF807" s="3" t="str">
        <f ca="1">IFERROR(__xludf.DUMMYFUNCTION("""COMPUTED_VALUE"""),"2055-06-02T20:03:22.385791Z")</f>
        <v>2055-06-02T20:03:22.385791Z</v>
      </c>
      <c r="AG807" s="3" t="str">
        <f ca="1">IFERROR(__xludf.DUMMYFUNCTION("""COMPUTED_VALUE"""),"2055-06-02T19:30:34.957186Z")</f>
        <v>2055-06-02T19:30:34.957186Z</v>
      </c>
      <c r="AH807" s="3" t="str">
        <f ca="1">IFERROR(__xludf.DUMMYFUNCTION("""COMPUTED_VALUE"""),"2055-06-02T19:45:09.912936Z")</f>
        <v>2055-06-02T19:45:09.912936Z</v>
      </c>
      <c r="AI807" s="3">
        <f ca="1">IFERROR(__xludf.DUMMYFUNCTION("""COMPUTED_VALUE"""),4.17)</f>
        <v>4.17</v>
      </c>
      <c r="AJ807" s="3">
        <f ca="1">IFERROR(__xludf.DUMMYFUNCTION("""COMPUTED_VALUE"""),457)</f>
        <v>457</v>
      </c>
      <c r="AK807" s="3">
        <f ca="1">IFERROR(__xludf.DUMMYFUNCTION("""COMPUTED_VALUE"""),1599)</f>
        <v>1599</v>
      </c>
      <c r="AL807" s="3"/>
    </row>
    <row r="808" spans="1:41" ht="13">
      <c r="A808" s="3">
        <f ca="1">IFERROR(__xludf.DUMMYFUNCTION("""COMPUTED_VALUE"""),307)</f>
        <v>307</v>
      </c>
      <c r="B808" s="3">
        <f ca="1">IFERROR(__xludf.DUMMYFUNCTION("""COMPUTED_VALUE"""),4)</f>
        <v>4</v>
      </c>
      <c r="C808" s="3">
        <f ca="1">IFERROR(__xludf.DUMMYFUNCTION("""COMPUTED_VALUE"""),4050)</f>
        <v>4050</v>
      </c>
      <c r="D808" s="3" t="str">
        <f ca="1">IFERROR(__xludf.DUMMYFUNCTION("""COMPUTED_VALUE"""),"Doorlanta")</f>
        <v>Doorlanta</v>
      </c>
      <c r="E808" s="3" t="str">
        <f ca="1">IFERROR(__xludf.DUMMYFUNCTION("""COMPUTED_VALUE"""),"Galaxy A")</f>
        <v>Galaxy A</v>
      </c>
      <c r="F808" s="3" t="str">
        <f ca="1">IFERROR(__xludf.DUMMYFUNCTION("""COMPUTED_VALUE"""),"Hersh")</f>
        <v>Hersh</v>
      </c>
      <c r="G808" s="3">
        <f ca="1">IFERROR(__xludf.DUMMYFUNCTION("""COMPUTED_VALUE"""),0)</f>
        <v>0</v>
      </c>
      <c r="H808" s="3" t="str">
        <f ca="1">IFERROR(__xludf.DUMMYFUNCTION("""COMPUTED_VALUE"""),"car")</f>
        <v>car</v>
      </c>
      <c r="I808" s="3" t="str">
        <f ca="1">IFERROR(__xludf.DUMMYFUNCTION("""COMPUTED_VALUE"""),"2055-06-03T18:06:38.119521Z")</f>
        <v>2055-06-03T18:06:38.119521Z</v>
      </c>
      <c r="J808" s="3" t="str">
        <f ca="1">IFERROR(__xludf.DUMMYFUNCTION("""COMPUTED_VALUE"""),"2055-06-03T18:51:11.179Z")</f>
        <v>2055-06-03T18:51:11.179Z</v>
      </c>
      <c r="K808" s="3" t="str">
        <f ca="1">IFERROR(__xludf.DUMMYFUNCTION("""COMPUTED_VALUE"""),"2055-06-03T18:42:53.179Z")</f>
        <v>2055-06-03T18:42:53.179Z</v>
      </c>
      <c r="L808" s="3">
        <f ca="1">IFERROR(__xludf.DUMMYFUNCTION("""COMPUTED_VALUE"""),1)</f>
        <v>1</v>
      </c>
      <c r="M808" s="3">
        <f ca="1">IFERROR(__xludf.DUMMYFUNCTION("""COMPUTED_VALUE"""),0)</f>
        <v>0</v>
      </c>
      <c r="N808" s="3" t="str">
        <f ca="1">IFERROR(__xludf.DUMMYFUNCTION("""COMPUTED_VALUE"""),"2055-06-03T18:27:16.873006Z")</f>
        <v>2055-06-03T18:27:16.873006Z</v>
      </c>
      <c r="O808" s="3" t="str">
        <f ca="1">IFERROR(__xludf.DUMMYFUNCTION("""COMPUTED_VALUE"""),"2055-06-03T18:48:18.193885Z")</f>
        <v>2055-06-03T18:48:18.193885Z</v>
      </c>
      <c r="P808" s="3" t="str">
        <f ca="1">IFERROR(__xludf.DUMMYFUNCTION("""COMPUTED_VALUE"""),"2055-06-03T18:06:47.335948Z")</f>
        <v>2055-06-03T18:06:47.335948Z</v>
      </c>
      <c r="Q808" s="3">
        <f ca="1">IFERROR(__xludf.DUMMYFUNCTION("""COMPUTED_VALUE"""),0)</f>
        <v>0</v>
      </c>
      <c r="R808" s="3" t="str">
        <f ca="1">IFERROR(__xludf.DUMMYFUNCTION("""COMPUTED_VALUE"""),"2055-06-03T18:06:58.812676Z")</f>
        <v>2055-06-03T18:06:58.812676Z</v>
      </c>
      <c r="S808" s="3" t="str">
        <f ca="1">IFERROR(__xludf.DUMMYFUNCTION("""COMPUTED_VALUE"""),"2055-06-03T18:24:43.249927Z")</f>
        <v>2055-06-03T18:24:43.249927Z</v>
      </c>
      <c r="T808" s="3"/>
      <c r="U808" s="4">
        <f ca="1">IFERROR(__xludf.DUMMYFUNCTION("""COMPUTED_VALUE"""),56768)</f>
        <v>56768</v>
      </c>
      <c r="V808" s="3">
        <f ca="1">IFERROR(__xludf.DUMMYFUNCTION("""COMPUTED_VALUE"""),4.5)</f>
        <v>4.5</v>
      </c>
      <c r="W808" s="3">
        <f ca="1">IFERROR(__xludf.DUMMYFUNCTION("""COMPUTED_VALUE"""),1500)</f>
        <v>1500</v>
      </c>
      <c r="X808" s="3">
        <f ca="1">IFERROR(__xludf.DUMMYFUNCTION("""COMPUTED_VALUE"""),2480)</f>
        <v>2480</v>
      </c>
      <c r="Y808" s="3">
        <f ca="1">IFERROR(__xludf.DUMMYFUNCTION("""COMPUTED_VALUE"""),1065)</f>
        <v>1065</v>
      </c>
      <c r="Z808" s="3">
        <f ca="1">IFERROR(__xludf.DUMMYFUNCTION("""COMPUTED_VALUE"""),153)</f>
        <v>153</v>
      </c>
      <c r="AA808" s="3">
        <f ca="1">IFERROR(__xludf.DUMMYFUNCTION("""COMPUTED_VALUE"""),1262)</f>
        <v>1262</v>
      </c>
      <c r="AB808" s="3">
        <f ca="1">IFERROR(__xludf.DUMMYFUNCTION("""COMPUTED_VALUE"""),0)</f>
        <v>0</v>
      </c>
      <c r="AC808" s="3">
        <f ca="1">IFERROR(__xludf.DUMMYFUNCTION("""COMPUTED_VALUE"""),1)</f>
        <v>1</v>
      </c>
      <c r="AD808" s="3" t="str">
        <f ca="1">IFERROR(__xludf.DUMMYFUNCTION("""COMPUTED_VALUE"""),"on time")</f>
        <v>on time</v>
      </c>
      <c r="AE808" s="3" t="str">
        <f ca="1">IFERROR(__xludf.DUMMYFUNCTION("""COMPUTED_VALUE"""),"2055-06-03T14:27:16.873006Z")</f>
        <v>2055-06-03T14:27:16.873006Z</v>
      </c>
      <c r="AF808" s="3" t="str">
        <f ca="1">IFERROR(__xludf.DUMMYFUNCTION("""COMPUTED_VALUE"""),"2055-06-03T14:48:18.193885Z")</f>
        <v>2055-06-03T14:48:18.193885Z</v>
      </c>
      <c r="AG808" s="3" t="str">
        <f ca="1">IFERROR(__xludf.DUMMYFUNCTION("""COMPUTED_VALUE"""),"2055-06-03T14:06:47.335948Z")</f>
        <v>2055-06-03T14:06:47.335948Z</v>
      </c>
      <c r="AH808" s="3" t="str">
        <f ca="1">IFERROR(__xludf.DUMMYFUNCTION("""COMPUTED_VALUE"""),"2055-06-03T14:24:43.249927Z")</f>
        <v>2055-06-03T14:24:43.249927Z</v>
      </c>
      <c r="AI808" s="3">
        <f ca="1">IFERROR(__xludf.DUMMYFUNCTION("""COMPUTED_VALUE"""),4.7)</f>
        <v>4.7</v>
      </c>
      <c r="AJ808" s="3">
        <f ca="1">IFERROR(__xludf.DUMMYFUNCTION("""COMPUTED_VALUE"""),212)</f>
        <v>212</v>
      </c>
      <c r="AK808" s="3">
        <f ca="1">IFERROR(__xludf.DUMMYFUNCTION("""COMPUTED_VALUE"""),624)</f>
        <v>624</v>
      </c>
      <c r="AL808" s="3">
        <f ca="1">IFERROR(__xludf.DUMMYFUNCTION("""COMPUTED_VALUE"""),347)</f>
        <v>347</v>
      </c>
    </row>
    <row r="809" spans="1:41" ht="13">
      <c r="A809" s="3">
        <f ca="1">IFERROR(__xludf.DUMMYFUNCTION("""COMPUTED_VALUE"""),338)</f>
        <v>338</v>
      </c>
      <c r="B809" s="3"/>
      <c r="C809" s="3">
        <f ca="1">IFERROR(__xludf.DUMMYFUNCTION("""COMPUTED_VALUE"""),4050)</f>
        <v>4050</v>
      </c>
      <c r="D809" s="3" t="str">
        <f ca="1">IFERROR(__xludf.DUMMYFUNCTION("""COMPUTED_VALUE"""),"Doorlanta")</f>
        <v>Doorlanta</v>
      </c>
      <c r="E809" s="3" t="str">
        <f ca="1">IFERROR(__xludf.DUMMYFUNCTION("""COMPUTED_VALUE"""),"Galaxy A")</f>
        <v>Galaxy A</v>
      </c>
      <c r="F809" s="3" t="str">
        <f ca="1">IFERROR(__xludf.DUMMYFUNCTION("""COMPUTED_VALUE"""),"Hersh")</f>
        <v>Hersh</v>
      </c>
      <c r="G809" s="3">
        <f ca="1">IFERROR(__xludf.DUMMYFUNCTION("""COMPUTED_VALUE"""),0)</f>
        <v>0</v>
      </c>
      <c r="H809" s="3" t="str">
        <f ca="1">IFERROR(__xludf.DUMMYFUNCTION("""COMPUTED_VALUE"""),"car")</f>
        <v>car</v>
      </c>
      <c r="I809" s="3" t="str">
        <f ca="1">IFERROR(__xludf.DUMMYFUNCTION("""COMPUTED_VALUE"""),"2055-06-03T21:53:10.813059Z")</f>
        <v>2055-06-03T21:53:10.813059Z</v>
      </c>
      <c r="J809" s="3" t="str">
        <f ca="1">IFERROR(__xludf.DUMMYFUNCTION("""COMPUTED_VALUE"""),"2055-06-03T22:43:10.912Z")</f>
        <v>2055-06-03T22:43:10.912Z</v>
      </c>
      <c r="K809" s="3" t="str">
        <f ca="1">IFERROR(__xludf.DUMMYFUNCTION("""COMPUTED_VALUE"""),"2055-06-03T22:20:32.912Z")</f>
        <v>2055-06-03T22:20:32.912Z</v>
      </c>
      <c r="L809" s="3">
        <f ca="1">IFERROR(__xludf.DUMMYFUNCTION("""COMPUTED_VALUE"""),1)</f>
        <v>1</v>
      </c>
      <c r="M809" s="3">
        <f ca="1">IFERROR(__xludf.DUMMYFUNCTION("""COMPUTED_VALUE"""),0)</f>
        <v>0</v>
      </c>
      <c r="N809" s="3" t="str">
        <f ca="1">IFERROR(__xludf.DUMMYFUNCTION("""COMPUTED_VALUE"""),"2055-06-03T22:24:43.773719Z")</f>
        <v>2055-06-03T22:24:43.773719Z</v>
      </c>
      <c r="O809" s="3" t="str">
        <f ca="1">IFERROR(__xludf.DUMMYFUNCTION("""COMPUTED_VALUE"""),"2055-06-03T22:33:51.195108Z")</f>
        <v>2055-06-03T22:33:51.195108Z</v>
      </c>
      <c r="P809" s="3" t="str">
        <f ca="1">IFERROR(__xludf.DUMMYFUNCTION("""COMPUTED_VALUE"""),"2055-06-03T21:55:07.475772Z")</f>
        <v>2055-06-03T21:55:07.475772Z</v>
      </c>
      <c r="Q809" s="3">
        <f ca="1">IFERROR(__xludf.DUMMYFUNCTION("""COMPUTED_VALUE"""),0)</f>
        <v>0</v>
      </c>
      <c r="R809" s="3" t="str">
        <f ca="1">IFERROR(__xludf.DUMMYFUNCTION("""COMPUTED_VALUE"""),"2055-06-03T21:55:15.528813Z")</f>
        <v>2055-06-03T21:55:15.528813Z</v>
      </c>
      <c r="S809" s="3" t="str">
        <f ca="1">IFERROR(__xludf.DUMMYFUNCTION("""COMPUTED_VALUE"""),"2055-06-03T22:09:50.354321Z")</f>
        <v>2055-06-03T22:09:50.354321Z</v>
      </c>
      <c r="T809" s="3"/>
      <c r="U809" s="4">
        <f ca="1">IFERROR(__xludf.DUMMYFUNCTION("""COMPUTED_VALUE"""),56768)</f>
        <v>56768</v>
      </c>
      <c r="V809" s="3">
        <f ca="1">IFERROR(__xludf.DUMMYFUNCTION("""COMPUTED_VALUE"""),4.5)</f>
        <v>4.5</v>
      </c>
      <c r="W809" s="3">
        <f ca="1">IFERROR(__xludf.DUMMYFUNCTION("""COMPUTED_VALUE"""),1500)</f>
        <v>1500</v>
      </c>
      <c r="X809" s="3">
        <f ca="1">IFERROR(__xludf.DUMMYFUNCTION("""COMPUTED_VALUE"""),2316)</f>
        <v>2316</v>
      </c>
      <c r="Y809" s="3">
        <f ca="1">IFERROR(__xludf.DUMMYFUNCTION("""COMPUTED_VALUE"""),875)</f>
        <v>875</v>
      </c>
      <c r="Z809" s="3">
        <f ca="1">IFERROR(__xludf.DUMMYFUNCTION("""COMPUTED_VALUE"""),893)</f>
        <v>893</v>
      </c>
      <c r="AA809" s="3">
        <f ca="1">IFERROR(__xludf.DUMMYFUNCTION("""COMPUTED_VALUE"""),548)</f>
        <v>548</v>
      </c>
      <c r="AB809" s="3">
        <f ca="1">IFERROR(__xludf.DUMMYFUNCTION("""COMPUTED_VALUE"""),0)</f>
        <v>0</v>
      </c>
      <c r="AC809" s="3">
        <f ca="1">IFERROR(__xludf.DUMMYFUNCTION("""COMPUTED_VALUE"""),2)</f>
        <v>2</v>
      </c>
      <c r="AD809" s="3" t="str">
        <f ca="1">IFERROR(__xludf.DUMMYFUNCTION("""COMPUTED_VALUE"""),"early")</f>
        <v>early</v>
      </c>
      <c r="AE809" s="3" t="str">
        <f ca="1">IFERROR(__xludf.DUMMYFUNCTION("""COMPUTED_VALUE"""),"2055-06-03T18:24:43.773719Z")</f>
        <v>2055-06-03T18:24:43.773719Z</v>
      </c>
      <c r="AF809" s="3" t="str">
        <f ca="1">IFERROR(__xludf.DUMMYFUNCTION("""COMPUTED_VALUE"""),"2055-06-03T18:33:51.195108Z")</f>
        <v>2055-06-03T18:33:51.195108Z</v>
      </c>
      <c r="AG809" s="3" t="str">
        <f ca="1">IFERROR(__xludf.DUMMYFUNCTION("""COMPUTED_VALUE"""),"2055-06-03T17:55:07.475772Z")</f>
        <v>2055-06-03T17:55:07.475772Z</v>
      </c>
      <c r="AH809" s="3" t="str">
        <f ca="1">IFERROR(__xludf.DUMMYFUNCTION("""COMPUTED_VALUE"""),"2055-06-03T18:09:50.354321Z")</f>
        <v>2055-06-03T18:09:50.354321Z</v>
      </c>
      <c r="AI809" s="3">
        <f ca="1">IFERROR(__xludf.DUMMYFUNCTION("""COMPUTED_VALUE"""),4.7)</f>
        <v>4.7</v>
      </c>
      <c r="AJ809" s="3">
        <f ca="1">IFERROR(__xludf.DUMMYFUNCTION("""COMPUTED_VALUE"""),212)</f>
        <v>212</v>
      </c>
      <c r="AK809" s="3">
        <f ca="1">IFERROR(__xludf.DUMMYFUNCTION("""COMPUTED_VALUE"""),624)</f>
        <v>624</v>
      </c>
      <c r="AL809" s="3">
        <f ca="1">IFERROR(__xludf.DUMMYFUNCTION("""COMPUTED_VALUE"""),347)</f>
        <v>347</v>
      </c>
      <c r="AM809" s="3">
        <f>IFERROR(Raw_Data!AL809 / Raw_Data!AK809, "")</f>
        <v>0.55608974358974361</v>
      </c>
      <c r="AN809" s="3" t="str">
        <f>IF(ISBLANK(Raw_Data!AL809), "No", "Yes")</f>
        <v>Yes</v>
      </c>
      <c r="AO809" s="3">
        <f>IFERROR(Raw_Data!Z809/60, "")</f>
        <v>14.883333333333333</v>
      </c>
    </row>
    <row r="810" spans="1:41" ht="13">
      <c r="A810" s="3">
        <f ca="1">IFERROR(__xludf.DUMMYFUNCTION("""COMPUTED_VALUE"""),656)</f>
        <v>656</v>
      </c>
      <c r="B810" s="3"/>
      <c r="C810" s="3">
        <f ca="1">IFERROR(__xludf.DUMMYFUNCTION("""COMPUTED_VALUE"""),4001)</f>
        <v>4001</v>
      </c>
      <c r="D810" s="3" t="str">
        <f ca="1">IFERROR(__xludf.DUMMYFUNCTION("""COMPUTED_VALUE"""),"Dashattan")</f>
        <v>Dashattan</v>
      </c>
      <c r="E810" s="3" t="str">
        <f ca="1">IFERROR(__xludf.DUMMYFUNCTION("""COMPUTED_VALUE"""),"Galaxy A")</f>
        <v>Galaxy A</v>
      </c>
      <c r="F810" s="3" t="str">
        <f ca="1">IFERROR(__xludf.DUMMYFUNCTION("""COMPUTED_VALUE"""),"KC")</f>
        <v>KC</v>
      </c>
      <c r="G810" s="3">
        <f ca="1">IFERROR(__xludf.DUMMYFUNCTION("""COMPUTED_VALUE"""),0)</f>
        <v>0</v>
      </c>
      <c r="H810" s="3" t="str">
        <f ca="1">IFERROR(__xludf.DUMMYFUNCTION("""COMPUTED_VALUE"""),"car")</f>
        <v>car</v>
      </c>
      <c r="I810" s="3" t="str">
        <f ca="1">IFERROR(__xludf.DUMMYFUNCTION("""COMPUTED_VALUE"""),"2055-06-05T22:41:51.992509Z")</f>
        <v>2055-06-05T22:41:51.992509Z</v>
      </c>
      <c r="J810" s="3" t="str">
        <f ca="1">IFERROR(__xludf.DUMMYFUNCTION("""COMPUTED_VALUE"""),"2055-06-05T23:35:40.048Z")</f>
        <v>2055-06-05T23:35:40.048Z</v>
      </c>
      <c r="K810" s="3" t="str">
        <f ca="1">IFERROR(__xludf.DUMMYFUNCTION("""COMPUTED_VALUE"""),"2055-06-05T23:13:46.048Z")</f>
        <v>2055-06-05T23:13:46.048Z</v>
      </c>
      <c r="L810" s="3">
        <f ca="1">IFERROR(__xludf.DUMMYFUNCTION("""COMPUTED_VALUE"""),1)</f>
        <v>1</v>
      </c>
      <c r="M810" s="3">
        <f ca="1">IFERROR(__xludf.DUMMYFUNCTION("""COMPUTED_VALUE"""),0)</f>
        <v>0</v>
      </c>
      <c r="N810" s="3" t="str">
        <f ca="1">IFERROR(__xludf.DUMMYFUNCTION("""COMPUTED_VALUE"""),"2055-06-05T22:59:50.716872Z")</f>
        <v>2055-06-05T22:59:50.716872Z</v>
      </c>
      <c r="O810" s="3" t="str">
        <f ca="1">IFERROR(__xludf.DUMMYFUNCTION("""COMPUTED_VALUE"""),"2055-06-05T23:15:56.527497Z")</f>
        <v>2055-06-05T23:15:56.527497Z</v>
      </c>
      <c r="P810" s="3" t="str">
        <f ca="1">IFERROR(__xludf.DUMMYFUNCTION("""COMPUTED_VALUE"""),"2055-06-05T22:49:17.723157Z")</f>
        <v>2055-06-05T22:49:17.723157Z</v>
      </c>
      <c r="Q810" s="3">
        <f ca="1">IFERROR(__xludf.DUMMYFUNCTION("""COMPUTED_VALUE"""),0)</f>
        <v>0</v>
      </c>
      <c r="R810" s="3" t="str">
        <f ca="1">IFERROR(__xludf.DUMMYFUNCTION("""COMPUTED_VALUE"""),"2055-06-05T22:49:26.151697Z")</f>
        <v>2055-06-05T22:49:26.151697Z</v>
      </c>
      <c r="S810" s="3" t="str">
        <f ca="1">IFERROR(__xludf.DUMMYFUNCTION("""COMPUTED_VALUE"""),"2055-06-05T22:58:05.661337Z")</f>
        <v>2055-06-05T22:58:05.661337Z</v>
      </c>
      <c r="T810" s="3"/>
      <c r="U810" s="4">
        <f ca="1">IFERROR(__xludf.DUMMYFUNCTION("""COMPUTED_VALUE"""),56770)</f>
        <v>56770</v>
      </c>
      <c r="V810" s="3">
        <f ca="1">IFERROR(__xludf.DUMMYFUNCTION("""COMPUTED_VALUE"""),3.703999355)</f>
        <v>3.7039993550000001</v>
      </c>
      <c r="W810" s="3">
        <f ca="1">IFERROR(__xludf.DUMMYFUNCTION("""COMPUTED_VALUE"""),1500)</f>
        <v>1500</v>
      </c>
      <c r="X810" s="3">
        <f ca="1">IFERROR(__xludf.DUMMYFUNCTION("""COMPUTED_VALUE"""),1590)</f>
        <v>1590</v>
      </c>
      <c r="Y810" s="3">
        <f ca="1">IFERROR(__xludf.DUMMYFUNCTION("""COMPUTED_VALUE"""),519)</f>
        <v>519</v>
      </c>
      <c r="Z810" s="3">
        <f ca="1">IFERROR(__xludf.DUMMYFUNCTION("""COMPUTED_VALUE"""),105)</f>
        <v>105</v>
      </c>
      <c r="AA810" s="3">
        <f ca="1">IFERROR(__xludf.DUMMYFUNCTION("""COMPUTED_VALUE"""),966)</f>
        <v>966</v>
      </c>
      <c r="AB810" s="3">
        <f ca="1">IFERROR(__xludf.DUMMYFUNCTION("""COMPUTED_VALUE"""),1)</f>
        <v>1</v>
      </c>
      <c r="AC810" s="3">
        <f ca="1">IFERROR(__xludf.DUMMYFUNCTION("""COMPUTED_VALUE"""),1)</f>
        <v>1</v>
      </c>
      <c r="AD810" s="3"/>
      <c r="AE810" s="3" t="str">
        <f ca="1">IFERROR(__xludf.DUMMYFUNCTION("""COMPUTED_VALUE"""),"2055-06-05T18:59:50.716872Z")</f>
        <v>2055-06-05T18:59:50.716872Z</v>
      </c>
      <c r="AF810" s="3" t="str">
        <f ca="1">IFERROR(__xludf.DUMMYFUNCTION("""COMPUTED_VALUE"""),"2055-06-05T19:15:56.527497Z")</f>
        <v>2055-06-05T19:15:56.527497Z</v>
      </c>
      <c r="AG810" s="3" t="str">
        <f ca="1">IFERROR(__xludf.DUMMYFUNCTION("""COMPUTED_VALUE"""),"2055-06-05T18:49:17.723157Z")</f>
        <v>2055-06-05T18:49:17.723157Z</v>
      </c>
      <c r="AH810" s="3" t="str">
        <f ca="1">IFERROR(__xludf.DUMMYFUNCTION("""COMPUTED_VALUE"""),"2055-06-05T18:58:05.661337Z")</f>
        <v>2055-06-05T18:58:05.661337Z</v>
      </c>
      <c r="AI810" s="3">
        <f ca="1">IFERROR(__xludf.DUMMYFUNCTION("""COMPUTED_VALUE"""),4.54)</f>
        <v>4.54</v>
      </c>
      <c r="AJ810" s="3">
        <f ca="1">IFERROR(__xludf.DUMMYFUNCTION("""COMPUTED_VALUE"""),2229)</f>
        <v>2229</v>
      </c>
      <c r="AK810" s="3">
        <f ca="1">IFERROR(__xludf.DUMMYFUNCTION("""COMPUTED_VALUE"""),6580)</f>
        <v>6580</v>
      </c>
      <c r="AL810" s="3"/>
      <c r="AM810" s="3">
        <f>IFERROR(Raw_Data!AL810 / Raw_Data!AK810, "")</f>
        <v>0</v>
      </c>
      <c r="AN810" s="3" t="str">
        <f>IF(ISBLANK(Raw_Data!AL810), "No", "Yes")</f>
        <v>No</v>
      </c>
      <c r="AO810" s="3">
        <f>IFERROR(Raw_Data!Z810/60, "")</f>
        <v>1.75</v>
      </c>
    </row>
    <row r="811" spans="1:41" ht="13">
      <c r="A811" s="3">
        <f ca="1">IFERROR(__xludf.DUMMYFUNCTION("""COMPUTED_VALUE"""),674)</f>
        <v>674</v>
      </c>
      <c r="B811" s="3"/>
      <c r="C811" s="3">
        <f ca="1">IFERROR(__xludf.DUMMYFUNCTION("""COMPUTED_VALUE"""),4001)</f>
        <v>4001</v>
      </c>
      <c r="D811" s="3" t="str">
        <f ca="1">IFERROR(__xludf.DUMMYFUNCTION("""COMPUTED_VALUE"""),"Dashattan")</f>
        <v>Dashattan</v>
      </c>
      <c r="E811" s="3" t="str">
        <f ca="1">IFERROR(__xludf.DUMMYFUNCTION("""COMPUTED_VALUE"""),"Galaxy A")</f>
        <v>Galaxy A</v>
      </c>
      <c r="F811" s="3" t="str">
        <f ca="1">IFERROR(__xludf.DUMMYFUNCTION("""COMPUTED_VALUE"""),"KC")</f>
        <v>KC</v>
      </c>
      <c r="G811" s="3">
        <f ca="1">IFERROR(__xludf.DUMMYFUNCTION("""COMPUTED_VALUE"""),0)</f>
        <v>0</v>
      </c>
      <c r="H811" s="3" t="str">
        <f ca="1">IFERROR(__xludf.DUMMYFUNCTION("""COMPUTED_VALUE"""),"car")</f>
        <v>car</v>
      </c>
      <c r="I811" s="3" t="str">
        <f ca="1">IFERROR(__xludf.DUMMYFUNCTION("""COMPUTED_VALUE"""),"2055-06-05T23:16:12.256511Z")</f>
        <v>2055-06-05T23:16:12.256511Z</v>
      </c>
      <c r="J811" s="3" t="str">
        <f ca="1">IFERROR(__xludf.DUMMYFUNCTION("""COMPUTED_VALUE"""),"2055-06-06T00:20:39.328Z")</f>
        <v>2055-06-06T00:20:39.328Z</v>
      </c>
      <c r="K811" s="3" t="str">
        <f ca="1">IFERROR(__xludf.DUMMYFUNCTION("""COMPUTED_VALUE"""),"2055-06-06T00:00:58.328Z")</f>
        <v>2055-06-06T00:00:58.328Z</v>
      </c>
      <c r="L811" s="3">
        <f ca="1">IFERROR(__xludf.DUMMYFUNCTION("""COMPUTED_VALUE"""),1)</f>
        <v>1</v>
      </c>
      <c r="M811" s="3">
        <f ca="1">IFERROR(__xludf.DUMMYFUNCTION("""COMPUTED_VALUE"""),0)</f>
        <v>0</v>
      </c>
      <c r="N811" s="3" t="str">
        <f ca="1">IFERROR(__xludf.DUMMYFUNCTION("""COMPUTED_VALUE"""),"2055-06-05T23:37:46.752319Z")</f>
        <v>2055-06-05T23:37:46.752319Z</v>
      </c>
      <c r="O811" s="3" t="str">
        <f ca="1">IFERROR(__xludf.DUMMYFUNCTION("""COMPUTED_VALUE"""),"2055-06-05T23:42:01.723792Z")</f>
        <v>2055-06-05T23:42:01.723792Z</v>
      </c>
      <c r="P811" s="3" t="str">
        <f ca="1">IFERROR(__xludf.DUMMYFUNCTION("""COMPUTED_VALUE"""),"2055-06-05T23:30:38.616263Z")</f>
        <v>2055-06-05T23:30:38.616263Z</v>
      </c>
      <c r="Q811" s="3">
        <f ca="1">IFERROR(__xludf.DUMMYFUNCTION("""COMPUTED_VALUE"""),0)</f>
        <v>0</v>
      </c>
      <c r="R811" s="3" t="str">
        <f ca="1">IFERROR(__xludf.DUMMYFUNCTION("""COMPUTED_VALUE"""),"2055-06-05T23:31:09.322175Z")</f>
        <v>2055-06-05T23:31:09.322175Z</v>
      </c>
      <c r="S811" s="3" t="str">
        <f ca="1">IFERROR(__xludf.DUMMYFUNCTION("""COMPUTED_VALUE"""),"2055-06-05T23:36:42.302454Z")</f>
        <v>2055-06-05T23:36:42.302454Z</v>
      </c>
      <c r="T811" s="3"/>
      <c r="U811" s="4">
        <f ca="1">IFERROR(__xludf.DUMMYFUNCTION("""COMPUTED_VALUE"""),56770)</f>
        <v>56770</v>
      </c>
      <c r="V811" s="3">
        <f ca="1">IFERROR(__xludf.DUMMYFUNCTION("""COMPUTED_VALUE"""),4.4)</f>
        <v>4.4000000000000004</v>
      </c>
      <c r="W811" s="3">
        <f ca="1">IFERROR(__xludf.DUMMYFUNCTION("""COMPUTED_VALUE"""),1500)</f>
        <v>1500</v>
      </c>
      <c r="X811" s="3">
        <f ca="1">IFERROR(__xludf.DUMMYFUNCTION("""COMPUTED_VALUE"""),652)</f>
        <v>652</v>
      </c>
      <c r="Y811" s="3">
        <f ca="1">IFERROR(__xludf.DUMMYFUNCTION("""COMPUTED_VALUE"""),333)</f>
        <v>333</v>
      </c>
      <c r="Z811" s="3">
        <f ca="1">IFERROR(__xludf.DUMMYFUNCTION("""COMPUTED_VALUE"""),64)</f>
        <v>64</v>
      </c>
      <c r="AA811" s="3">
        <f ca="1">IFERROR(__xludf.DUMMYFUNCTION("""COMPUTED_VALUE"""),255)</f>
        <v>255</v>
      </c>
      <c r="AB811" s="3">
        <f ca="1">IFERROR(__xludf.DUMMYFUNCTION("""COMPUTED_VALUE"""),1)</f>
        <v>1</v>
      </c>
      <c r="AC811" s="3">
        <f ca="1">IFERROR(__xludf.DUMMYFUNCTION("""COMPUTED_VALUE"""),1)</f>
        <v>1</v>
      </c>
      <c r="AD811" s="3"/>
      <c r="AE811" s="3" t="str">
        <f ca="1">IFERROR(__xludf.DUMMYFUNCTION("""COMPUTED_VALUE"""),"2055-06-05T19:37:46.752319Z")</f>
        <v>2055-06-05T19:37:46.752319Z</v>
      </c>
      <c r="AF811" s="3" t="str">
        <f ca="1">IFERROR(__xludf.DUMMYFUNCTION("""COMPUTED_VALUE"""),"2055-06-05T19:42:01.723792Z")</f>
        <v>2055-06-05T19:42:01.723792Z</v>
      </c>
      <c r="AG811" s="3" t="str">
        <f ca="1">IFERROR(__xludf.DUMMYFUNCTION("""COMPUTED_VALUE"""),"2055-06-05T19:30:38.616263Z")</f>
        <v>2055-06-05T19:30:38.616263Z</v>
      </c>
      <c r="AH811" s="3" t="str">
        <f ca="1">IFERROR(__xludf.DUMMYFUNCTION("""COMPUTED_VALUE"""),"2055-06-05T19:36:42.302454Z")</f>
        <v>2055-06-05T19:36:42.302454Z</v>
      </c>
      <c r="AI811" s="3">
        <f ca="1">IFERROR(__xludf.DUMMYFUNCTION("""COMPUTED_VALUE"""),4.54)</f>
        <v>4.54</v>
      </c>
      <c r="AJ811" s="3">
        <f ca="1">IFERROR(__xludf.DUMMYFUNCTION("""COMPUTED_VALUE"""),2229)</f>
        <v>2229</v>
      </c>
      <c r="AK811" s="3">
        <f ca="1">IFERROR(__xludf.DUMMYFUNCTION("""COMPUTED_VALUE"""),6580)</f>
        <v>6580</v>
      </c>
      <c r="AL811" s="3"/>
      <c r="AM811" s="3">
        <f>IFERROR(Raw_Data!AL811 / Raw_Data!AK811, "")</f>
        <v>0</v>
      </c>
      <c r="AN811" s="3" t="str">
        <f>IF(ISBLANK(Raw_Data!AL811), "No", "Yes")</f>
        <v>No</v>
      </c>
      <c r="AO811" s="3">
        <f>IFERROR(Raw_Data!Z811/60, "")</f>
        <v>1.0666666666666667</v>
      </c>
    </row>
    <row r="812" spans="1:41" ht="13">
      <c r="A812" s="3">
        <f ca="1">IFERROR(__xludf.DUMMYFUNCTION("""COMPUTED_VALUE"""),992)</f>
        <v>992</v>
      </c>
      <c r="B812" s="3"/>
      <c r="C812" s="3">
        <f ca="1">IFERROR(__xludf.DUMMYFUNCTION("""COMPUTED_VALUE"""),4001)</f>
        <v>4001</v>
      </c>
      <c r="D812" s="3" t="str">
        <f ca="1">IFERROR(__xludf.DUMMYFUNCTION("""COMPUTED_VALUE"""),"Dashattan")</f>
        <v>Dashattan</v>
      </c>
      <c r="E812" s="3" t="str">
        <f ca="1">IFERROR(__xludf.DUMMYFUNCTION("""COMPUTED_VALUE"""),"Galaxy A")</f>
        <v>Galaxy A</v>
      </c>
      <c r="F812" s="3" t="str">
        <f ca="1">IFERROR(__xludf.DUMMYFUNCTION("""COMPUTED_VALUE"""),"KC")</f>
        <v>KC</v>
      </c>
      <c r="G812" s="3">
        <f ca="1">IFERROR(__xludf.DUMMYFUNCTION("""COMPUTED_VALUE"""),0)</f>
        <v>0</v>
      </c>
      <c r="H812" s="3" t="str">
        <f ca="1">IFERROR(__xludf.DUMMYFUNCTION("""COMPUTED_VALUE"""),"car")</f>
        <v>car</v>
      </c>
      <c r="I812" s="3" t="str">
        <f ca="1">IFERROR(__xludf.DUMMYFUNCTION("""COMPUTED_VALUE"""),"2055-06-08T23:50:10.798653Z")</f>
        <v>2055-06-08T23:50:10.798653Z</v>
      </c>
      <c r="J812" s="3" t="str">
        <f ca="1">IFERROR(__xludf.DUMMYFUNCTION("""COMPUTED_VALUE"""),"2055-06-09T01:02:02.862Z")</f>
        <v>2055-06-09T01:02:02.862Z</v>
      </c>
      <c r="K812" s="3" t="str">
        <f ca="1">IFERROR(__xludf.DUMMYFUNCTION("""COMPUTED_VALUE"""),"2055-06-09T00:40:08.862Z")</f>
        <v>2055-06-09T00:40:08.862Z</v>
      </c>
      <c r="L812" s="3">
        <f ca="1">IFERROR(__xludf.DUMMYFUNCTION("""COMPUTED_VALUE"""),1)</f>
        <v>1</v>
      </c>
      <c r="M812" s="3">
        <f ca="1">IFERROR(__xludf.DUMMYFUNCTION("""COMPUTED_VALUE"""),0)</f>
        <v>0</v>
      </c>
      <c r="N812" s="3" t="str">
        <f ca="1">IFERROR(__xludf.DUMMYFUNCTION("""COMPUTED_VALUE"""),"2055-06-09T00:28:03.319105Z")</f>
        <v>2055-06-09T00:28:03.319105Z</v>
      </c>
      <c r="O812" s="3" t="str">
        <f ca="1">IFERROR(__xludf.DUMMYFUNCTION("""COMPUTED_VALUE"""),"2055-06-09T01:00:44.073317Z")</f>
        <v>2055-06-09T01:00:44.073317Z</v>
      </c>
      <c r="P812" s="3" t="str">
        <f ca="1">IFERROR(__xludf.DUMMYFUNCTION("""COMPUTED_VALUE"""),"2055-06-08T23:58:35.145386Z")</f>
        <v>2055-06-08T23:58:35.145386Z</v>
      </c>
      <c r="Q812" s="3">
        <f ca="1">IFERROR(__xludf.DUMMYFUNCTION("""COMPUTED_VALUE"""),0)</f>
        <v>0</v>
      </c>
      <c r="R812" s="3" t="str">
        <f ca="1">IFERROR(__xludf.DUMMYFUNCTION("""COMPUTED_VALUE"""),"2055-06-08T23:59:01.467898Z")</f>
        <v>2055-06-08T23:59:01.467898Z</v>
      </c>
      <c r="S812" s="3" t="str">
        <f ca="1">IFERROR(__xludf.DUMMYFUNCTION("""COMPUTED_VALUE"""),"2055-06-09T00:06:01.243226Z")</f>
        <v>2055-06-09T00:06:01.243226Z</v>
      </c>
      <c r="T812" s="3"/>
      <c r="U812" s="4">
        <f ca="1">IFERROR(__xludf.DUMMYFUNCTION("""COMPUTED_VALUE"""),56773)</f>
        <v>56773</v>
      </c>
      <c r="V812" s="3">
        <f ca="1">IFERROR(__xludf.DUMMYFUNCTION("""COMPUTED_VALUE"""),4.3)</f>
        <v>4.3</v>
      </c>
      <c r="W812" s="3">
        <f ca="1">IFERROR(__xludf.DUMMYFUNCTION("""COMPUTED_VALUE"""),1500)</f>
        <v>1500</v>
      </c>
      <c r="X812" s="3">
        <f ca="1">IFERROR(__xludf.DUMMYFUNCTION("""COMPUTED_VALUE"""),3703)</f>
        <v>3703</v>
      </c>
      <c r="Y812" s="3">
        <f ca="1">IFERROR(__xludf.DUMMYFUNCTION("""COMPUTED_VALUE"""),420)</f>
        <v>420</v>
      </c>
      <c r="Z812" s="3">
        <f ca="1">IFERROR(__xludf.DUMMYFUNCTION("""COMPUTED_VALUE"""),1322)</f>
        <v>1322</v>
      </c>
      <c r="AA812" s="3">
        <f ca="1">IFERROR(__xludf.DUMMYFUNCTION("""COMPUTED_VALUE"""),1961)</f>
        <v>1961</v>
      </c>
      <c r="AB812" s="3">
        <f ca="1">IFERROR(__xludf.DUMMYFUNCTION("""COMPUTED_VALUE"""),0)</f>
        <v>0</v>
      </c>
      <c r="AC812" s="3">
        <f ca="1">IFERROR(__xludf.DUMMYFUNCTION("""COMPUTED_VALUE"""),1)</f>
        <v>1</v>
      </c>
      <c r="AD812" s="3"/>
      <c r="AE812" s="3" t="str">
        <f ca="1">IFERROR(__xludf.DUMMYFUNCTION("""COMPUTED_VALUE"""),"2055-06-08T20:28:03.319105Z")</f>
        <v>2055-06-08T20:28:03.319105Z</v>
      </c>
      <c r="AF812" s="3" t="str">
        <f ca="1">IFERROR(__xludf.DUMMYFUNCTION("""COMPUTED_VALUE"""),"2055-06-08T21:00:44.073317Z")</f>
        <v>2055-06-08T21:00:44.073317Z</v>
      </c>
      <c r="AG812" s="3" t="str">
        <f ca="1">IFERROR(__xludf.DUMMYFUNCTION("""COMPUTED_VALUE"""),"2055-06-08T19:58:35.145386Z")</f>
        <v>2055-06-08T19:58:35.145386Z</v>
      </c>
      <c r="AH812" s="3" t="str">
        <f ca="1">IFERROR(__xludf.DUMMYFUNCTION("""COMPUTED_VALUE"""),"2055-06-08T20:06:01.243226Z")</f>
        <v>2055-06-08T20:06:01.243226Z</v>
      </c>
      <c r="AI812" s="3">
        <f ca="1">IFERROR(__xludf.DUMMYFUNCTION("""COMPUTED_VALUE"""),4.54)</f>
        <v>4.54</v>
      </c>
      <c r="AJ812" s="3">
        <f ca="1">IFERROR(__xludf.DUMMYFUNCTION("""COMPUTED_VALUE"""),2229)</f>
        <v>2229</v>
      </c>
      <c r="AK812" s="3">
        <f ca="1">IFERROR(__xludf.DUMMYFUNCTION("""COMPUTED_VALUE"""),6580)</f>
        <v>6580</v>
      </c>
      <c r="AL812" s="3"/>
      <c r="AM812" s="3">
        <f>IFERROR(Raw_Data!AL812 / Raw_Data!AK812, "")</f>
        <v>0</v>
      </c>
      <c r="AN812" s="3" t="str">
        <f>IF(ISBLANK(Raw_Data!AL812), "No", "Yes")</f>
        <v>No</v>
      </c>
      <c r="AO812" s="3">
        <f>IFERROR(Raw_Data!Z812/60, "")</f>
        <v>22.033333333333335</v>
      </c>
    </row>
    <row r="813" spans="1:41" ht="13">
      <c r="A813" s="3">
        <f ca="1">IFERROR(__xludf.DUMMYFUNCTION("""COMPUTED_VALUE"""),1008)</f>
        <v>1008</v>
      </c>
      <c r="B813" s="3"/>
      <c r="C813" s="3">
        <f ca="1">IFERROR(__xludf.DUMMYFUNCTION("""COMPUTED_VALUE"""),4001)</f>
        <v>4001</v>
      </c>
      <c r="D813" s="3" t="str">
        <f ca="1">IFERROR(__xludf.DUMMYFUNCTION("""COMPUTED_VALUE"""),"Dashattan")</f>
        <v>Dashattan</v>
      </c>
      <c r="E813" s="3" t="str">
        <f ca="1">IFERROR(__xludf.DUMMYFUNCTION("""COMPUTED_VALUE"""),"Galaxy A")</f>
        <v>Galaxy A</v>
      </c>
      <c r="F813" s="3" t="str">
        <f ca="1">IFERROR(__xludf.DUMMYFUNCTION("""COMPUTED_VALUE"""),"Bret")</f>
        <v>Bret</v>
      </c>
      <c r="G813" s="3">
        <f ca="1">IFERROR(__xludf.DUMMYFUNCTION("""COMPUTED_VALUE"""),0)</f>
        <v>0</v>
      </c>
      <c r="H813" s="3" t="str">
        <f ca="1">IFERROR(__xludf.DUMMYFUNCTION("""COMPUTED_VALUE"""),"car")</f>
        <v>car</v>
      </c>
      <c r="I813" s="3" t="str">
        <f ca="1">IFERROR(__xludf.DUMMYFUNCTION("""COMPUTED_VALUE"""),"2055-06-09T12:57:00.570495Z")</f>
        <v>2055-06-09T12:57:00.570495Z</v>
      </c>
      <c r="J813" s="3" t="str">
        <f ca="1">IFERROR(__xludf.DUMMYFUNCTION("""COMPUTED_VALUE"""),"2055-06-09T13:45:27.711Z")</f>
        <v>2055-06-09T13:45:27.711Z</v>
      </c>
      <c r="K813" s="3" t="str">
        <f ca="1">IFERROR(__xludf.DUMMYFUNCTION("""COMPUTED_VALUE"""),"2055-06-09T13:26:34.711Z")</f>
        <v>2055-06-09T13:26:34.711Z</v>
      </c>
      <c r="L813" s="3">
        <f ca="1">IFERROR(__xludf.DUMMYFUNCTION("""COMPUTED_VALUE"""),1)</f>
        <v>1</v>
      </c>
      <c r="M813" s="3">
        <f ca="1">IFERROR(__xludf.DUMMYFUNCTION("""COMPUTED_VALUE"""),0)</f>
        <v>0</v>
      </c>
      <c r="N813" s="3" t="str">
        <f ca="1">IFERROR(__xludf.DUMMYFUNCTION("""COMPUTED_VALUE"""),"2055-06-09T13:16:59.551145Z")</f>
        <v>2055-06-09T13:16:59.551145Z</v>
      </c>
      <c r="O813" s="3" t="str">
        <f ca="1">IFERROR(__xludf.DUMMYFUNCTION("""COMPUTED_VALUE"""),"2055-06-09T14:04:30.871122Z")</f>
        <v>2055-06-09T14:04:30.871122Z</v>
      </c>
      <c r="P813" s="3" t="str">
        <f ca="1">IFERROR(__xludf.DUMMYFUNCTION("""COMPUTED_VALUE"""),"2055-06-09T13:01:34.105077Z")</f>
        <v>2055-06-09T13:01:34.105077Z</v>
      </c>
      <c r="Q813" s="3">
        <f ca="1">IFERROR(__xludf.DUMMYFUNCTION("""COMPUTED_VALUE"""),0)</f>
        <v>0</v>
      </c>
      <c r="R813" s="3" t="str">
        <f ca="1">IFERROR(__xludf.DUMMYFUNCTION("""COMPUTED_VALUE"""),"2055-06-09T13:01:45.74112Z")</f>
        <v>2055-06-09T13:01:45.74112Z</v>
      </c>
      <c r="S813" s="3" t="str">
        <f ca="1">IFERROR(__xludf.DUMMYFUNCTION("""COMPUTED_VALUE"""),"2055-06-09T13:14:52.275326Z")</f>
        <v>2055-06-09T13:14:52.275326Z</v>
      </c>
      <c r="T813" s="3"/>
      <c r="U813" s="4">
        <f ca="1">IFERROR(__xludf.DUMMYFUNCTION("""COMPUTED_VALUE"""),56774)</f>
        <v>56774</v>
      </c>
      <c r="V813" s="3">
        <f ca="1">IFERROR(__xludf.DUMMYFUNCTION("""COMPUTED_VALUE"""),3.9)</f>
        <v>3.9</v>
      </c>
      <c r="W813" s="3">
        <f ca="1">IFERROR(__xludf.DUMMYFUNCTION("""COMPUTED_VALUE"""),1500)</f>
        <v>1500</v>
      </c>
      <c r="X813" s="3">
        <f ca="1">IFERROR(__xludf.DUMMYFUNCTION("""COMPUTED_VALUE"""),3765)</f>
        <v>3765</v>
      </c>
      <c r="Y813" s="3">
        <f ca="1">IFERROR(__xludf.DUMMYFUNCTION("""COMPUTED_VALUE"""),787)</f>
        <v>787</v>
      </c>
      <c r="Z813" s="3">
        <f ca="1">IFERROR(__xludf.DUMMYFUNCTION("""COMPUTED_VALUE"""),127)</f>
        <v>127</v>
      </c>
      <c r="AA813" s="3">
        <f ca="1">IFERROR(__xludf.DUMMYFUNCTION("""COMPUTED_VALUE"""),2851)</f>
        <v>2851</v>
      </c>
      <c r="AB813" s="3">
        <f ca="1">IFERROR(__xludf.DUMMYFUNCTION("""COMPUTED_VALUE"""),0)</f>
        <v>0</v>
      </c>
      <c r="AC813" s="3">
        <f ca="1">IFERROR(__xludf.DUMMYFUNCTION("""COMPUTED_VALUE"""),1)</f>
        <v>1</v>
      </c>
      <c r="AD813" s="3" t="str">
        <f ca="1">IFERROR(__xludf.DUMMYFUNCTION("""COMPUTED_VALUE"""),"late")</f>
        <v>late</v>
      </c>
      <c r="AE813" s="3" t="str">
        <f ca="1">IFERROR(__xludf.DUMMYFUNCTION("""COMPUTED_VALUE"""),"2055-06-09T09:16:59.551145Z")</f>
        <v>2055-06-09T09:16:59.551145Z</v>
      </c>
      <c r="AF813" s="3" t="str">
        <f ca="1">IFERROR(__xludf.DUMMYFUNCTION("""COMPUTED_VALUE"""),"2055-06-09T10:04:30.871122Z")</f>
        <v>2055-06-09T10:04:30.871122Z</v>
      </c>
      <c r="AG813" s="3" t="str">
        <f ca="1">IFERROR(__xludf.DUMMYFUNCTION("""COMPUTED_VALUE"""),"2055-06-09T09:01:34.105077Z")</f>
        <v>2055-06-09T09:01:34.105077Z</v>
      </c>
      <c r="AH813" s="3" t="str">
        <f ca="1">IFERROR(__xludf.DUMMYFUNCTION("""COMPUTED_VALUE"""),"2055-06-09T09:14:52.275326Z")</f>
        <v>2055-06-09T09:14:52.275326Z</v>
      </c>
      <c r="AI813" s="3">
        <f ca="1">IFERROR(__xludf.DUMMYFUNCTION("""COMPUTED_VALUE"""),3.82)</f>
        <v>3.82</v>
      </c>
      <c r="AJ813" s="3">
        <f ca="1">IFERROR(__xludf.DUMMYFUNCTION("""COMPUTED_VALUE"""),174)</f>
        <v>174</v>
      </c>
      <c r="AK813" s="3">
        <f ca="1">IFERROR(__xludf.DUMMYFUNCTION("""COMPUTED_VALUE"""),773)</f>
        <v>773</v>
      </c>
      <c r="AL813" s="3"/>
      <c r="AM813" s="3">
        <f>IFERROR(Raw_Data!AL813 / Raw_Data!AK813, "")</f>
        <v>0</v>
      </c>
      <c r="AN813" s="3" t="str">
        <f>IF(ISBLANK(Raw_Data!AL813), "No", "Yes")</f>
        <v>No</v>
      </c>
      <c r="AO813" s="3">
        <f>IFERROR(Raw_Data!Z813/60, "")</f>
        <v>2.1166666666666667</v>
      </c>
    </row>
    <row r="814" spans="1:41" ht="13">
      <c r="A814" s="3">
        <f ca="1">IFERROR(__xludf.DUMMYFUNCTION("""COMPUTED_VALUE"""),1154)</f>
        <v>1154</v>
      </c>
      <c r="B814" s="3">
        <f ca="1">IFERROR(__xludf.DUMMYFUNCTION("""COMPUTED_VALUE"""),5)</f>
        <v>5</v>
      </c>
      <c r="C814" s="3">
        <f ca="1">IFERROR(__xludf.DUMMYFUNCTION("""COMPUTED_VALUE"""),4001)</f>
        <v>4001</v>
      </c>
      <c r="D814" s="3" t="str">
        <f ca="1">IFERROR(__xludf.DUMMYFUNCTION("""COMPUTED_VALUE"""),"Dashattan")</f>
        <v>Dashattan</v>
      </c>
      <c r="E814" s="3" t="str">
        <f ca="1">IFERROR(__xludf.DUMMYFUNCTION("""COMPUTED_VALUE"""),"Galaxy A")</f>
        <v>Galaxy A</v>
      </c>
      <c r="F814" s="3" t="str">
        <f ca="1">IFERROR(__xludf.DUMMYFUNCTION("""COMPUTED_VALUE"""),"KC")</f>
        <v>KC</v>
      </c>
      <c r="G814" s="3">
        <f ca="1">IFERROR(__xludf.DUMMYFUNCTION("""COMPUTED_VALUE"""),0)</f>
        <v>0</v>
      </c>
      <c r="H814" s="3" t="str">
        <f ca="1">IFERROR(__xludf.DUMMYFUNCTION("""COMPUTED_VALUE"""),"car")</f>
        <v>car</v>
      </c>
      <c r="I814" s="3" t="str">
        <f ca="1">IFERROR(__xludf.DUMMYFUNCTION("""COMPUTED_VALUE"""),"2055-06-10T18:54:57.483512Z")</f>
        <v>2055-06-10T18:54:57.483512Z</v>
      </c>
      <c r="J814" s="3" t="str">
        <f ca="1">IFERROR(__xludf.DUMMYFUNCTION("""COMPUTED_VALUE"""),"2055-06-10T19:39:42.552Z")</f>
        <v>2055-06-10T19:39:42.552Z</v>
      </c>
      <c r="K814" s="3" t="str">
        <f ca="1">IFERROR(__xludf.DUMMYFUNCTION("""COMPUTED_VALUE"""),"2055-06-10T19:20:49.552Z")</f>
        <v>2055-06-10T19:20:49.552Z</v>
      </c>
      <c r="L814" s="3">
        <f ca="1">IFERROR(__xludf.DUMMYFUNCTION("""COMPUTED_VALUE"""),1)</f>
        <v>1</v>
      </c>
      <c r="M814" s="3">
        <f ca="1">IFERROR(__xludf.DUMMYFUNCTION("""COMPUTED_VALUE"""),0)</f>
        <v>0</v>
      </c>
      <c r="N814" s="3" t="str">
        <f ca="1">IFERROR(__xludf.DUMMYFUNCTION("""COMPUTED_VALUE"""),"2055-06-10T19:13:32.331941Z")</f>
        <v>2055-06-10T19:13:32.331941Z</v>
      </c>
      <c r="O814" s="3" t="str">
        <f ca="1">IFERROR(__xludf.DUMMYFUNCTION("""COMPUTED_VALUE"""),"2055-06-10T19:21:22.370389Z")</f>
        <v>2055-06-10T19:21:22.370389Z</v>
      </c>
      <c r="P814" s="3" t="str">
        <f ca="1">IFERROR(__xludf.DUMMYFUNCTION("""COMPUTED_VALUE"""),"2055-06-10T19:02:34.128633Z")</f>
        <v>2055-06-10T19:02:34.128633Z</v>
      </c>
      <c r="Q814" s="3">
        <f ca="1">IFERROR(__xludf.DUMMYFUNCTION("""COMPUTED_VALUE"""),0)</f>
        <v>0</v>
      </c>
      <c r="R814" s="3" t="str">
        <f ca="1">IFERROR(__xludf.DUMMYFUNCTION("""COMPUTED_VALUE"""),"2055-06-10T19:02:54.318848Z")</f>
        <v>2055-06-10T19:02:54.318848Z</v>
      </c>
      <c r="S814" s="3" t="str">
        <f ca="1">IFERROR(__xludf.DUMMYFUNCTION("""COMPUTED_VALUE"""),"2055-06-10T19:09:56.638694Z")</f>
        <v>2055-06-10T19:09:56.638694Z</v>
      </c>
      <c r="T814" s="3"/>
      <c r="U814" s="4">
        <f ca="1">IFERROR(__xludf.DUMMYFUNCTION("""COMPUTED_VALUE"""),56775)</f>
        <v>56775</v>
      </c>
      <c r="V814" s="3">
        <f ca="1">IFERROR(__xludf.DUMMYFUNCTION("""COMPUTED_VALUE"""),4.4)</f>
        <v>4.4000000000000004</v>
      </c>
      <c r="W814" s="3">
        <f ca="1">IFERROR(__xludf.DUMMYFUNCTION("""COMPUTED_VALUE"""),1500)</f>
        <v>1500</v>
      </c>
      <c r="X814" s="3">
        <f ca="1">IFERROR(__xludf.DUMMYFUNCTION("""COMPUTED_VALUE"""),1108)</f>
        <v>1108</v>
      </c>
      <c r="Y814" s="3">
        <f ca="1">IFERROR(__xludf.DUMMYFUNCTION("""COMPUTED_VALUE"""),422)</f>
        <v>422</v>
      </c>
      <c r="Z814" s="3">
        <f ca="1">IFERROR(__xludf.DUMMYFUNCTION("""COMPUTED_VALUE"""),216)</f>
        <v>216</v>
      </c>
      <c r="AA814" s="3">
        <f ca="1">IFERROR(__xludf.DUMMYFUNCTION("""COMPUTED_VALUE"""),470)</f>
        <v>470</v>
      </c>
      <c r="AB814" s="3">
        <f ca="1">IFERROR(__xludf.DUMMYFUNCTION("""COMPUTED_VALUE"""),0)</f>
        <v>0</v>
      </c>
      <c r="AC814" s="3">
        <f ca="1">IFERROR(__xludf.DUMMYFUNCTION("""COMPUTED_VALUE"""),1)</f>
        <v>1</v>
      </c>
      <c r="AD814" s="3" t="str">
        <f ca="1">IFERROR(__xludf.DUMMYFUNCTION("""COMPUTED_VALUE"""),"on time")</f>
        <v>on time</v>
      </c>
      <c r="AE814" s="3" t="str">
        <f ca="1">IFERROR(__xludf.DUMMYFUNCTION("""COMPUTED_VALUE"""),"2055-06-10T15:13:32.331941Z")</f>
        <v>2055-06-10T15:13:32.331941Z</v>
      </c>
      <c r="AF814" s="3" t="str">
        <f ca="1">IFERROR(__xludf.DUMMYFUNCTION("""COMPUTED_VALUE"""),"2055-06-10T15:21:22.370389Z")</f>
        <v>2055-06-10T15:21:22.370389Z</v>
      </c>
      <c r="AG814" s="3" t="str">
        <f ca="1">IFERROR(__xludf.DUMMYFUNCTION("""COMPUTED_VALUE"""),"2055-06-10T15:02:34.128633Z")</f>
        <v>2055-06-10T15:02:34.128633Z</v>
      </c>
      <c r="AH814" s="3" t="str">
        <f ca="1">IFERROR(__xludf.DUMMYFUNCTION("""COMPUTED_VALUE"""),"2055-06-10T15:09:56.638694Z")</f>
        <v>2055-06-10T15:09:56.638694Z</v>
      </c>
      <c r="AI814" s="3">
        <f ca="1">IFERROR(__xludf.DUMMYFUNCTION("""COMPUTED_VALUE"""),4.54)</f>
        <v>4.54</v>
      </c>
      <c r="AJ814" s="3">
        <f ca="1">IFERROR(__xludf.DUMMYFUNCTION("""COMPUTED_VALUE"""),2229)</f>
        <v>2229</v>
      </c>
      <c r="AK814" s="3">
        <f ca="1">IFERROR(__xludf.DUMMYFUNCTION("""COMPUTED_VALUE"""),6580)</f>
        <v>6580</v>
      </c>
      <c r="AL814" s="3"/>
      <c r="AM814" s="3">
        <f>IFERROR(Raw_Data!AL814 / Raw_Data!AK814, "")</f>
        <v>0</v>
      </c>
      <c r="AN814" s="3" t="str">
        <f>IF(ISBLANK(Raw_Data!AL814), "No", "Yes")</f>
        <v>No</v>
      </c>
      <c r="AO814" s="3">
        <f>IFERROR(Raw_Data!Z814/60, "")</f>
        <v>3.6</v>
      </c>
    </row>
    <row r="815" spans="1:41" ht="13">
      <c r="A815" s="3">
        <f ca="1">IFERROR(__xludf.DUMMYFUNCTION("""COMPUTED_VALUE"""),1445)</f>
        <v>1445</v>
      </c>
      <c r="B815" s="3">
        <f ca="1">IFERROR(__xludf.DUMMYFUNCTION("""COMPUTED_VALUE"""),5)</f>
        <v>5</v>
      </c>
      <c r="C815" s="3">
        <f ca="1">IFERROR(__xludf.DUMMYFUNCTION("""COMPUTED_VALUE"""),4001)</f>
        <v>4001</v>
      </c>
      <c r="D815" s="3" t="str">
        <f ca="1">IFERROR(__xludf.DUMMYFUNCTION("""COMPUTED_VALUE"""),"Dashattan")</f>
        <v>Dashattan</v>
      </c>
      <c r="E815" s="3" t="str">
        <f ca="1">IFERROR(__xludf.DUMMYFUNCTION("""COMPUTED_VALUE"""),"Galaxy A")</f>
        <v>Galaxy A</v>
      </c>
      <c r="F815" s="3" t="str">
        <f ca="1">IFERROR(__xludf.DUMMYFUNCTION("""COMPUTED_VALUE"""),"KC")</f>
        <v>KC</v>
      </c>
      <c r="G815" s="3">
        <f ca="1">IFERROR(__xludf.DUMMYFUNCTION("""COMPUTED_VALUE"""),0)</f>
        <v>0</v>
      </c>
      <c r="H815" s="3" t="str">
        <f ca="1">IFERROR(__xludf.DUMMYFUNCTION("""COMPUTED_VALUE"""),"car")</f>
        <v>car</v>
      </c>
      <c r="I815" s="3" t="str">
        <f ca="1">IFERROR(__xludf.DUMMYFUNCTION("""COMPUTED_VALUE"""),"2055-06-12T20:08:12.539572Z")</f>
        <v>2055-06-12T20:08:12.539572Z</v>
      </c>
      <c r="J815" s="3" t="str">
        <f ca="1">IFERROR(__xludf.DUMMYFUNCTION("""COMPUTED_VALUE"""),"2055-06-12T21:04:07.61Z")</f>
        <v>2055-06-12T21:04:07.61Z</v>
      </c>
      <c r="K815" s="3" t="str">
        <f ca="1">IFERROR(__xludf.DUMMYFUNCTION("""COMPUTED_VALUE"""),"2055-06-12T20:45:14.61Z")</f>
        <v>2055-06-12T20:45:14.61Z</v>
      </c>
      <c r="L815" s="3">
        <f ca="1">IFERROR(__xludf.DUMMYFUNCTION("""COMPUTED_VALUE"""),1)</f>
        <v>1</v>
      </c>
      <c r="M815" s="3">
        <f ca="1">IFERROR(__xludf.DUMMYFUNCTION("""COMPUTED_VALUE"""),0)</f>
        <v>0</v>
      </c>
      <c r="N815" s="3" t="str">
        <f ca="1">IFERROR(__xludf.DUMMYFUNCTION("""COMPUTED_VALUE"""),"2055-06-12T20:24:02.736024Z")</f>
        <v>2055-06-12T20:24:02.736024Z</v>
      </c>
      <c r="O815" s="3" t="str">
        <f ca="1">IFERROR(__xludf.DUMMYFUNCTION("""COMPUTED_VALUE"""),"2055-06-12T20:38:24.050271Z")</f>
        <v>2055-06-12T20:38:24.050271Z</v>
      </c>
      <c r="P815" s="3" t="str">
        <f ca="1">IFERROR(__xludf.DUMMYFUNCTION("""COMPUTED_VALUE"""),"2055-06-12T20:13:14.189866Z")</f>
        <v>2055-06-12T20:13:14.189866Z</v>
      </c>
      <c r="Q815" s="3">
        <f ca="1">IFERROR(__xludf.DUMMYFUNCTION("""COMPUTED_VALUE"""),0)</f>
        <v>0</v>
      </c>
      <c r="R815" s="3" t="str">
        <f ca="1">IFERROR(__xludf.DUMMYFUNCTION("""COMPUTED_VALUE"""),"2055-06-12T20:13:29.519928Z")</f>
        <v>2055-06-12T20:13:29.519928Z</v>
      </c>
      <c r="S815" s="3" t="str">
        <f ca="1">IFERROR(__xludf.DUMMYFUNCTION("""COMPUTED_VALUE"""),"2055-06-12T20:15:13.336669Z")</f>
        <v>2055-06-12T20:15:13.336669Z</v>
      </c>
      <c r="T815" s="3"/>
      <c r="U815" s="4">
        <f ca="1">IFERROR(__xludf.DUMMYFUNCTION("""COMPUTED_VALUE"""),56777)</f>
        <v>56777</v>
      </c>
      <c r="V815" s="3">
        <f ca="1">IFERROR(__xludf.DUMMYFUNCTION("""COMPUTED_VALUE"""),2.854354331)</f>
        <v>2.8543543310000001</v>
      </c>
      <c r="W815" s="3">
        <f ca="1">IFERROR(__xludf.DUMMYFUNCTION("""COMPUTED_VALUE"""),1500)</f>
        <v>1500</v>
      </c>
      <c r="X815" s="3">
        <f ca="1">IFERROR(__xludf.DUMMYFUNCTION("""COMPUTED_VALUE"""),1495)</f>
        <v>1495</v>
      </c>
      <c r="Y815" s="3">
        <f ca="1">IFERROR(__xludf.DUMMYFUNCTION("""COMPUTED_VALUE"""),104)</f>
        <v>104</v>
      </c>
      <c r="Z815" s="3">
        <f ca="1">IFERROR(__xludf.DUMMYFUNCTION("""COMPUTED_VALUE"""),529)</f>
        <v>529</v>
      </c>
      <c r="AA815" s="3">
        <f ca="1">IFERROR(__xludf.DUMMYFUNCTION("""COMPUTED_VALUE"""),862)</f>
        <v>862</v>
      </c>
      <c r="AB815" s="3">
        <f ca="1">IFERROR(__xludf.DUMMYFUNCTION("""COMPUTED_VALUE"""),0)</f>
        <v>0</v>
      </c>
      <c r="AC815" s="3">
        <f ca="1">IFERROR(__xludf.DUMMYFUNCTION("""COMPUTED_VALUE"""),1)</f>
        <v>1</v>
      </c>
      <c r="AD815" s="3" t="str">
        <f ca="1">IFERROR(__xludf.DUMMYFUNCTION("""COMPUTED_VALUE"""),"on time")</f>
        <v>on time</v>
      </c>
      <c r="AE815" s="3" t="str">
        <f ca="1">IFERROR(__xludf.DUMMYFUNCTION("""COMPUTED_VALUE"""),"2055-06-12T16:24:02.736024Z")</f>
        <v>2055-06-12T16:24:02.736024Z</v>
      </c>
      <c r="AF815" s="3" t="str">
        <f ca="1">IFERROR(__xludf.DUMMYFUNCTION("""COMPUTED_VALUE"""),"2055-06-12T16:38:24.050271Z")</f>
        <v>2055-06-12T16:38:24.050271Z</v>
      </c>
      <c r="AG815" s="3" t="str">
        <f ca="1">IFERROR(__xludf.DUMMYFUNCTION("""COMPUTED_VALUE"""),"2055-06-12T16:13:14.189866Z")</f>
        <v>2055-06-12T16:13:14.189866Z</v>
      </c>
      <c r="AH815" s="3" t="str">
        <f ca="1">IFERROR(__xludf.DUMMYFUNCTION("""COMPUTED_VALUE"""),"2055-06-12T16:15:13.336669Z")</f>
        <v>2055-06-12T16:15:13.336669Z</v>
      </c>
      <c r="AI815" s="3">
        <f ca="1">IFERROR(__xludf.DUMMYFUNCTION("""COMPUTED_VALUE"""),4.54)</f>
        <v>4.54</v>
      </c>
      <c r="AJ815" s="3">
        <f ca="1">IFERROR(__xludf.DUMMYFUNCTION("""COMPUTED_VALUE"""),2229)</f>
        <v>2229</v>
      </c>
      <c r="AK815" s="3">
        <f ca="1">IFERROR(__xludf.DUMMYFUNCTION("""COMPUTED_VALUE"""),6580)</f>
        <v>6580</v>
      </c>
      <c r="AL815" s="3"/>
      <c r="AM815" s="3">
        <f>IFERROR(Raw_Data!AL815 / Raw_Data!AK815, "")</f>
        <v>0</v>
      </c>
      <c r="AN815" s="3" t="str">
        <f>IF(ISBLANK(Raw_Data!AL815), "No", "Yes")</f>
        <v>No</v>
      </c>
      <c r="AO815" s="3">
        <f>IFERROR(Raw_Data!Z815/60, "")</f>
        <v>8.8166666666666664</v>
      </c>
    </row>
    <row r="816" spans="1:41" ht="13">
      <c r="A816" s="3">
        <f ca="1">IFERROR(__xludf.DUMMYFUNCTION("""COMPUTED_VALUE"""),575)</f>
        <v>575</v>
      </c>
      <c r="B816" s="3"/>
      <c r="C816" s="3">
        <f ca="1">IFERROR(__xludf.DUMMYFUNCTION("""COMPUTED_VALUE"""),4001)</f>
        <v>4001</v>
      </c>
      <c r="D816" s="3" t="str">
        <f ca="1">IFERROR(__xludf.DUMMYFUNCTION("""COMPUTED_VALUE"""),"Dashattan")</f>
        <v>Dashattan</v>
      </c>
      <c r="E816" s="3" t="str">
        <f ca="1">IFERROR(__xludf.DUMMYFUNCTION("""COMPUTED_VALUE"""),"Galaxy A")</f>
        <v>Galaxy A</v>
      </c>
      <c r="F816" s="3" t="str">
        <f ca="1">IFERROR(__xludf.DUMMYFUNCTION("""COMPUTED_VALUE"""),"KC")</f>
        <v>KC</v>
      </c>
      <c r="G816" s="3">
        <f ca="1">IFERROR(__xludf.DUMMYFUNCTION("""COMPUTED_VALUE"""),0)</f>
        <v>0</v>
      </c>
      <c r="H816" s="3" t="str">
        <f ca="1">IFERROR(__xludf.DUMMYFUNCTION("""COMPUTED_VALUE"""),"car")</f>
        <v>car</v>
      </c>
      <c r="I816" s="3" t="str">
        <f ca="1">IFERROR(__xludf.DUMMYFUNCTION("""COMPUTED_VALUE"""),"2055-06-05T17:25:22.320109Z")</f>
        <v>2055-06-05T17:25:22.320109Z</v>
      </c>
      <c r="J816" s="3" t="str">
        <f ca="1">IFERROR(__xludf.DUMMYFUNCTION("""COMPUTED_VALUE"""),"2055-06-05T18:27:50.383Z")</f>
        <v>2055-06-05T18:27:50.383Z</v>
      </c>
      <c r="K816" s="3" t="str">
        <f ca="1">IFERROR(__xludf.DUMMYFUNCTION("""COMPUTED_VALUE"""),"2055-06-05T18:05:56.383Z")</f>
        <v>2055-06-05T18:05:56.383Z</v>
      </c>
      <c r="L816" s="3">
        <f ca="1">IFERROR(__xludf.DUMMYFUNCTION("""COMPUTED_VALUE"""),1)</f>
        <v>1</v>
      </c>
      <c r="M816" s="3">
        <f ca="1">IFERROR(__xludf.DUMMYFUNCTION("""COMPUTED_VALUE"""),0)</f>
        <v>0</v>
      </c>
      <c r="N816" s="3" t="str">
        <f ca="1">IFERROR(__xludf.DUMMYFUNCTION("""COMPUTED_VALUE"""),"2055-06-05T17:51:53.942717Z")</f>
        <v>2055-06-05T17:51:53.942717Z</v>
      </c>
      <c r="O816" s="3" t="str">
        <f ca="1">IFERROR(__xludf.DUMMYFUNCTION("""COMPUTED_VALUE"""),"2055-06-05T17:59:46.488208Z")</f>
        <v>2055-06-05T17:59:46.488208Z</v>
      </c>
      <c r="P816" s="3" t="str">
        <f ca="1">IFERROR(__xludf.DUMMYFUNCTION("""COMPUTED_VALUE"""),"2055-06-05T17:33:34.807027Z")</f>
        <v>2055-06-05T17:33:34.807027Z</v>
      </c>
      <c r="Q816" s="3">
        <f ca="1">IFERROR(__xludf.DUMMYFUNCTION("""COMPUTED_VALUE"""),0)</f>
        <v>0</v>
      </c>
      <c r="R816" s="3" t="str">
        <f ca="1">IFERROR(__xludf.DUMMYFUNCTION("""COMPUTED_VALUE"""),"2055-06-05T17:33:44.706075Z")</f>
        <v>2055-06-05T17:33:44.706075Z</v>
      </c>
      <c r="S816" s="3" t="str">
        <f ca="1">IFERROR(__xludf.DUMMYFUNCTION("""COMPUTED_VALUE"""),"2055-06-05T17:47:23.550401Z")</f>
        <v>2055-06-05T17:47:23.550401Z</v>
      </c>
      <c r="T816" s="3"/>
      <c r="U816" s="4">
        <f ca="1">IFERROR(__xludf.DUMMYFUNCTION("""COMPUTED_VALUE"""),56770)</f>
        <v>56770</v>
      </c>
      <c r="V816" s="3">
        <f ca="1">IFERROR(__xludf.DUMMYFUNCTION("""COMPUTED_VALUE"""),4.5)</f>
        <v>4.5</v>
      </c>
      <c r="W816" s="3">
        <f ca="1">IFERROR(__xludf.DUMMYFUNCTION("""COMPUTED_VALUE"""),1500)</f>
        <v>1500</v>
      </c>
      <c r="X816" s="3">
        <f ca="1">IFERROR(__xludf.DUMMYFUNCTION("""COMPUTED_VALUE"""),1562)</f>
        <v>1562</v>
      </c>
      <c r="Y816" s="3">
        <f ca="1">IFERROR(__xludf.DUMMYFUNCTION("""COMPUTED_VALUE"""),819)</f>
        <v>819</v>
      </c>
      <c r="Z816" s="3">
        <f ca="1">IFERROR(__xludf.DUMMYFUNCTION("""COMPUTED_VALUE"""),270)</f>
        <v>270</v>
      </c>
      <c r="AA816" s="3">
        <f ca="1">IFERROR(__xludf.DUMMYFUNCTION("""COMPUTED_VALUE"""),473)</f>
        <v>473</v>
      </c>
      <c r="AB816" s="3">
        <f ca="1">IFERROR(__xludf.DUMMYFUNCTION("""COMPUTED_VALUE"""),0)</f>
        <v>0</v>
      </c>
      <c r="AC816" s="3">
        <f ca="1">IFERROR(__xludf.DUMMYFUNCTION("""COMPUTED_VALUE"""),2)</f>
        <v>2</v>
      </c>
      <c r="AD816" s="3" t="str">
        <f ca="1">IFERROR(__xludf.DUMMYFUNCTION("""COMPUTED_VALUE"""),"on time")</f>
        <v>on time</v>
      </c>
      <c r="AE816" s="3" t="str">
        <f ca="1">IFERROR(__xludf.DUMMYFUNCTION("""COMPUTED_VALUE"""),"2055-06-05T13:51:53.942717Z")</f>
        <v>2055-06-05T13:51:53.942717Z</v>
      </c>
      <c r="AF816" s="3" t="str">
        <f ca="1">IFERROR(__xludf.DUMMYFUNCTION("""COMPUTED_VALUE"""),"2055-06-05T13:59:46.488208Z")</f>
        <v>2055-06-05T13:59:46.488208Z</v>
      </c>
      <c r="AG816" s="3" t="str">
        <f ca="1">IFERROR(__xludf.DUMMYFUNCTION("""COMPUTED_VALUE"""),"2055-06-05T13:33:34.807027Z")</f>
        <v>2055-06-05T13:33:34.807027Z</v>
      </c>
      <c r="AH816" s="3" t="str">
        <f ca="1">IFERROR(__xludf.DUMMYFUNCTION("""COMPUTED_VALUE"""),"2055-06-05T13:47:23.550401Z")</f>
        <v>2055-06-05T13:47:23.550401Z</v>
      </c>
      <c r="AI816" s="3">
        <f ca="1">IFERROR(__xludf.DUMMYFUNCTION("""COMPUTED_VALUE"""),4.54)</f>
        <v>4.54</v>
      </c>
      <c r="AJ816" s="3">
        <f ca="1">IFERROR(__xludf.DUMMYFUNCTION("""COMPUTED_VALUE"""),2229)</f>
        <v>2229</v>
      </c>
      <c r="AK816" s="3">
        <f ca="1">IFERROR(__xludf.DUMMYFUNCTION("""COMPUTED_VALUE"""),6580)</f>
        <v>6580</v>
      </c>
      <c r="AL816" s="3"/>
      <c r="AM816" s="3">
        <f>IFERROR(Raw_Data!AL816 / Raw_Data!AK816, "")</f>
        <v>0</v>
      </c>
      <c r="AN816" s="3" t="str">
        <f>IF(ISBLANK(Raw_Data!AL816), "No", "Yes")</f>
        <v>No</v>
      </c>
      <c r="AO816" s="3">
        <f>IFERROR(Raw_Data!Z816/60, "")</f>
        <v>4.5</v>
      </c>
    </row>
    <row r="817" spans="1:41" ht="13">
      <c r="A817" s="3">
        <f ca="1">IFERROR(__xludf.DUMMYFUNCTION("""COMPUTED_VALUE"""),666)</f>
        <v>666</v>
      </c>
      <c r="B817" s="3">
        <f ca="1">IFERROR(__xludf.DUMMYFUNCTION("""COMPUTED_VALUE"""),2)</f>
        <v>2</v>
      </c>
      <c r="C817" s="3">
        <f ca="1">IFERROR(__xludf.DUMMYFUNCTION("""COMPUTED_VALUE"""),4050)</f>
        <v>4050</v>
      </c>
      <c r="D817" s="3" t="str">
        <f ca="1">IFERROR(__xludf.DUMMYFUNCTION("""COMPUTED_VALUE"""),"Doorlanta")</f>
        <v>Doorlanta</v>
      </c>
      <c r="E817" s="3" t="str">
        <f ca="1">IFERROR(__xludf.DUMMYFUNCTION("""COMPUTED_VALUE"""),"Galaxy A")</f>
        <v>Galaxy A</v>
      </c>
      <c r="F817" s="3" t="str">
        <f ca="1">IFERROR(__xludf.DUMMYFUNCTION("""COMPUTED_VALUE"""),"Anisha")</f>
        <v>Anisha</v>
      </c>
      <c r="G817" s="3">
        <f ca="1">IFERROR(__xludf.DUMMYFUNCTION("""COMPUTED_VALUE"""),0)</f>
        <v>0</v>
      </c>
      <c r="H817" s="3" t="str">
        <f ca="1">IFERROR(__xludf.DUMMYFUNCTION("""COMPUTED_VALUE"""),"car")</f>
        <v>car</v>
      </c>
      <c r="I817" s="3" t="str">
        <f ca="1">IFERROR(__xludf.DUMMYFUNCTION("""COMPUTED_VALUE"""),"2055-06-05T23:08:39.214117Z")</f>
        <v>2055-06-05T23:08:39.214117Z</v>
      </c>
      <c r="J817" s="3" t="str">
        <f ca="1">IFERROR(__xludf.DUMMYFUNCTION("""COMPUTED_VALUE"""),"2055-06-05T23:49:38.292Z")</f>
        <v>2055-06-05T23:49:38.292Z</v>
      </c>
      <c r="K817" s="3" t="str">
        <f ca="1">IFERROR(__xludf.DUMMYFUNCTION("""COMPUTED_VALUE"""),"2055-06-05T23:44:31.292Z")</f>
        <v>2055-06-05T23:44:31.292Z</v>
      </c>
      <c r="L817" s="3">
        <f ca="1">IFERROR(__xludf.DUMMYFUNCTION("""COMPUTED_VALUE"""),1)</f>
        <v>1</v>
      </c>
      <c r="M817" s="3">
        <f ca="1">IFERROR(__xludf.DUMMYFUNCTION("""COMPUTED_VALUE"""),0)</f>
        <v>0</v>
      </c>
      <c r="N817" s="3" t="str">
        <f ca="1">IFERROR(__xludf.DUMMYFUNCTION("""COMPUTED_VALUE"""),"2055-06-05T23:38:41.075379Z")</f>
        <v>2055-06-05T23:38:41.075379Z</v>
      </c>
      <c r="O817" s="3" t="str">
        <f ca="1">IFERROR(__xludf.DUMMYFUNCTION("""COMPUTED_VALUE"""),"2055-06-05T23:47:22.605559Z")</f>
        <v>2055-06-05T23:47:22.605559Z</v>
      </c>
      <c r="P817" s="3" t="str">
        <f ca="1">IFERROR(__xludf.DUMMYFUNCTION("""COMPUTED_VALUE"""),"2055-06-05T23:08:47.99216Z")</f>
        <v>2055-06-05T23:08:47.99216Z</v>
      </c>
      <c r="Q817" s="3">
        <f ca="1">IFERROR(__xludf.DUMMYFUNCTION("""COMPUTED_VALUE"""),0)</f>
        <v>0</v>
      </c>
      <c r="R817" s="3" t="str">
        <f ca="1">IFERROR(__xludf.DUMMYFUNCTION("""COMPUTED_VALUE"""),"2055-06-05T23:08:58.335593Z")</f>
        <v>2055-06-05T23:08:58.335593Z</v>
      </c>
      <c r="S817" s="3" t="str">
        <f ca="1">IFERROR(__xludf.DUMMYFUNCTION("""COMPUTED_VALUE"""),"2055-06-05T23:29:19.207488Z")</f>
        <v>2055-06-05T23:29:19.207488Z</v>
      </c>
      <c r="T817" s="3"/>
      <c r="U817" s="4">
        <f ca="1">IFERROR(__xludf.DUMMYFUNCTION("""COMPUTED_VALUE"""),56770)</f>
        <v>56770</v>
      </c>
      <c r="V817" s="3">
        <f ca="1">IFERROR(__xludf.DUMMYFUNCTION("""COMPUTED_VALUE"""),3.6)</f>
        <v>3.6</v>
      </c>
      <c r="W817" s="3">
        <f ca="1">IFERROR(__xludf.DUMMYFUNCTION("""COMPUTED_VALUE"""),1500)</f>
        <v>1500</v>
      </c>
      <c r="X817" s="3">
        <f ca="1">IFERROR(__xludf.DUMMYFUNCTION("""COMPUTED_VALUE"""),2304)</f>
        <v>2304</v>
      </c>
      <c r="Y817" s="3">
        <f ca="1">IFERROR(__xludf.DUMMYFUNCTION("""COMPUTED_VALUE"""),1221)</f>
        <v>1221</v>
      </c>
      <c r="Z817" s="3">
        <f ca="1">IFERROR(__xludf.DUMMYFUNCTION("""COMPUTED_VALUE"""),562)</f>
        <v>562</v>
      </c>
      <c r="AA817" s="3">
        <f ca="1">IFERROR(__xludf.DUMMYFUNCTION("""COMPUTED_VALUE"""),521)</f>
        <v>521</v>
      </c>
      <c r="AB817" s="3">
        <f ca="1">IFERROR(__xludf.DUMMYFUNCTION("""COMPUTED_VALUE"""),0)</f>
        <v>0</v>
      </c>
      <c r="AC817" s="3">
        <f ca="1">IFERROR(__xludf.DUMMYFUNCTION("""COMPUTED_VALUE"""),2)</f>
        <v>2</v>
      </c>
      <c r="AD817" s="3" t="str">
        <f ca="1">IFERROR(__xludf.DUMMYFUNCTION("""COMPUTED_VALUE"""),"early")</f>
        <v>early</v>
      </c>
      <c r="AE817" s="3" t="str">
        <f ca="1">IFERROR(__xludf.DUMMYFUNCTION("""COMPUTED_VALUE"""),"2055-06-05T19:38:41.075379Z")</f>
        <v>2055-06-05T19:38:41.075379Z</v>
      </c>
      <c r="AF817" s="3" t="str">
        <f ca="1">IFERROR(__xludf.DUMMYFUNCTION("""COMPUTED_VALUE"""),"2055-06-05T19:47:22.605559Z")</f>
        <v>2055-06-05T19:47:22.605559Z</v>
      </c>
      <c r="AG817" s="3" t="str">
        <f ca="1">IFERROR(__xludf.DUMMYFUNCTION("""COMPUTED_VALUE"""),"2055-06-05T19:08:47.99216Z")</f>
        <v>2055-06-05T19:08:47.99216Z</v>
      </c>
      <c r="AH817" s="3" t="str">
        <f ca="1">IFERROR(__xludf.DUMMYFUNCTION("""COMPUTED_VALUE"""),"2055-06-05T19:29:19.207488Z")</f>
        <v>2055-06-05T19:29:19.207488Z</v>
      </c>
      <c r="AI817" s="3">
        <f ca="1">IFERROR(__xludf.DUMMYFUNCTION("""COMPUTED_VALUE"""),4.7)</f>
        <v>4.7</v>
      </c>
      <c r="AJ817" s="3">
        <f ca="1">IFERROR(__xludf.DUMMYFUNCTION("""COMPUTED_VALUE"""),272)</f>
        <v>272</v>
      </c>
      <c r="AK817" s="3">
        <f ca="1">IFERROR(__xludf.DUMMYFUNCTION("""COMPUTED_VALUE"""),931)</f>
        <v>931</v>
      </c>
      <c r="AL817" s="3">
        <f ca="1">IFERROR(__xludf.DUMMYFUNCTION("""COMPUTED_VALUE"""),144)</f>
        <v>144</v>
      </c>
      <c r="AM817" s="3">
        <f>IFERROR(Raw_Data!AL817 / Raw_Data!AK817, "")</f>
        <v>0.15467239527389903</v>
      </c>
      <c r="AN817" s="3" t="str">
        <f>IF(ISBLANK(Raw_Data!AL817), "No", "Yes")</f>
        <v>Yes</v>
      </c>
      <c r="AO817" s="3">
        <f>IFERROR(Raw_Data!Z817/60, "")</f>
        <v>9.3666666666666671</v>
      </c>
    </row>
    <row r="818" spans="1:41" ht="13">
      <c r="A818" s="3">
        <f ca="1">IFERROR(__xludf.DUMMYFUNCTION("""COMPUTED_VALUE"""),640)</f>
        <v>640</v>
      </c>
      <c r="B818" s="3">
        <f ca="1">IFERROR(__xludf.DUMMYFUNCTION("""COMPUTED_VALUE"""),1)</f>
        <v>1</v>
      </c>
      <c r="C818" s="3">
        <f ca="1">IFERROR(__xludf.DUMMYFUNCTION("""COMPUTED_VALUE"""),4050)</f>
        <v>4050</v>
      </c>
      <c r="D818" s="3" t="str">
        <f ca="1">IFERROR(__xludf.DUMMYFUNCTION("""COMPUTED_VALUE"""),"Doorlanta")</f>
        <v>Doorlanta</v>
      </c>
      <c r="E818" s="3" t="str">
        <f ca="1">IFERROR(__xludf.DUMMYFUNCTION("""COMPUTED_VALUE"""),"Galaxy A")</f>
        <v>Galaxy A</v>
      </c>
      <c r="F818" s="3" t="str">
        <f ca="1">IFERROR(__xludf.DUMMYFUNCTION("""COMPUTED_VALUE"""),"Hanna")</f>
        <v>Hanna</v>
      </c>
      <c r="G818" s="3">
        <f ca="1">IFERROR(__xludf.DUMMYFUNCTION("""COMPUTED_VALUE"""),0)</f>
        <v>0</v>
      </c>
      <c r="H818" s="3" t="str">
        <f ca="1">IFERROR(__xludf.DUMMYFUNCTION("""COMPUTED_VALUE"""),"car")</f>
        <v>car</v>
      </c>
      <c r="I818" s="3" t="str">
        <f ca="1">IFERROR(__xludf.DUMMYFUNCTION("""COMPUTED_VALUE"""),"2055-06-05T22:07:57.300431Z")</f>
        <v>2055-06-05T22:07:57.300431Z</v>
      </c>
      <c r="J818" s="3" t="str">
        <f ca="1">IFERROR(__xludf.DUMMYFUNCTION("""COMPUTED_VALUE"""),"2055-06-05T23:07:54.373Z")</f>
        <v>2055-06-05T23:07:54.373Z</v>
      </c>
      <c r="K818" s="3" t="str">
        <f ca="1">IFERROR(__xludf.DUMMYFUNCTION("""COMPUTED_VALUE"""),"2055-06-05T22:57:47.373Z")</f>
        <v>2055-06-05T22:57:47.373Z</v>
      </c>
      <c r="L818" s="3">
        <f ca="1">IFERROR(__xludf.DUMMYFUNCTION("""COMPUTED_VALUE"""),1)</f>
        <v>1</v>
      </c>
      <c r="M818" s="3">
        <f ca="1">IFERROR(__xludf.DUMMYFUNCTION("""COMPUTED_VALUE"""),0)</f>
        <v>0</v>
      </c>
      <c r="N818" s="3" t="str">
        <f ca="1">IFERROR(__xludf.DUMMYFUNCTION("""COMPUTED_VALUE"""),"2055-06-05T22:36:53.344933Z")</f>
        <v>2055-06-05T22:36:53.344933Z</v>
      </c>
      <c r="O818" s="3" t="str">
        <f ca="1">IFERROR(__xludf.DUMMYFUNCTION("""COMPUTED_VALUE"""),"2055-06-05T22:42:35.817959Z")</f>
        <v>2055-06-05T22:42:35.817959Z</v>
      </c>
      <c r="P818" s="3" t="str">
        <f ca="1">IFERROR(__xludf.DUMMYFUNCTION("""COMPUTED_VALUE"""),"2055-06-05T22:25:07.393942Z")</f>
        <v>2055-06-05T22:25:07.393942Z</v>
      </c>
      <c r="Q818" s="3">
        <f ca="1">IFERROR(__xludf.DUMMYFUNCTION("""COMPUTED_VALUE"""),0)</f>
        <v>0</v>
      </c>
      <c r="R818" s="3" t="str">
        <f ca="1">IFERROR(__xludf.DUMMYFUNCTION("""COMPUTED_VALUE"""),"2055-06-05T22:25:09.742606Z")</f>
        <v>2055-06-05T22:25:09.742606Z</v>
      </c>
      <c r="S818" s="3" t="str">
        <f ca="1">IFERROR(__xludf.DUMMYFUNCTION("""COMPUTED_VALUE"""),"2055-06-05T22:30:12.695245Z")</f>
        <v>2055-06-05T22:30:12.695245Z</v>
      </c>
      <c r="T818" s="3"/>
      <c r="U818" s="4">
        <f ca="1">IFERROR(__xludf.DUMMYFUNCTION("""COMPUTED_VALUE"""),56770)</f>
        <v>56770</v>
      </c>
      <c r="V818" s="3">
        <f ca="1">IFERROR(__xludf.DUMMYFUNCTION("""COMPUTED_VALUE"""),4.5)</f>
        <v>4.5</v>
      </c>
      <c r="W818" s="3">
        <f ca="1">IFERROR(__xludf.DUMMYFUNCTION("""COMPUTED_VALUE"""),1500)</f>
        <v>1500</v>
      </c>
      <c r="X818" s="3">
        <f ca="1">IFERROR(__xludf.DUMMYFUNCTION("""COMPUTED_VALUE"""),1046)</f>
        <v>1046</v>
      </c>
      <c r="Y818" s="3">
        <f ca="1">IFERROR(__xludf.DUMMYFUNCTION("""COMPUTED_VALUE"""),303)</f>
        <v>303</v>
      </c>
      <c r="Z818" s="3">
        <f ca="1">IFERROR(__xludf.DUMMYFUNCTION("""COMPUTED_VALUE"""),401)</f>
        <v>401</v>
      </c>
      <c r="AA818" s="3">
        <f ca="1">IFERROR(__xludf.DUMMYFUNCTION("""COMPUTED_VALUE"""),342)</f>
        <v>342</v>
      </c>
      <c r="AB818" s="3">
        <f ca="1">IFERROR(__xludf.DUMMYFUNCTION("""COMPUTED_VALUE"""),0)</f>
        <v>0</v>
      </c>
      <c r="AC818" s="3">
        <f ca="1">IFERROR(__xludf.DUMMYFUNCTION("""COMPUTED_VALUE"""),2)</f>
        <v>2</v>
      </c>
      <c r="AD818" s="3" t="str">
        <f ca="1">IFERROR(__xludf.DUMMYFUNCTION("""COMPUTED_VALUE"""),"early")</f>
        <v>early</v>
      </c>
      <c r="AE818" s="3" t="str">
        <f ca="1">IFERROR(__xludf.DUMMYFUNCTION("""COMPUTED_VALUE"""),"2055-06-05T18:36:53.344933Z")</f>
        <v>2055-06-05T18:36:53.344933Z</v>
      </c>
      <c r="AF818" s="3" t="str">
        <f ca="1">IFERROR(__xludf.DUMMYFUNCTION("""COMPUTED_VALUE"""),"2055-06-05T18:42:35.817959Z")</f>
        <v>2055-06-05T18:42:35.817959Z</v>
      </c>
      <c r="AG818" s="3" t="str">
        <f ca="1">IFERROR(__xludf.DUMMYFUNCTION("""COMPUTED_VALUE"""),"2055-06-05T18:25:07.393942Z")</f>
        <v>2055-06-05T18:25:07.393942Z</v>
      </c>
      <c r="AH818" s="3" t="str">
        <f ca="1">IFERROR(__xludf.DUMMYFUNCTION("""COMPUTED_VALUE"""),"2055-06-05T18:30:12.695245Z")</f>
        <v>2055-06-05T18:30:12.695245Z</v>
      </c>
      <c r="AI818" s="3">
        <f ca="1">IFERROR(__xludf.DUMMYFUNCTION("""COMPUTED_VALUE"""),4.79)</f>
        <v>4.79</v>
      </c>
      <c r="AJ818" s="3">
        <f ca="1">IFERROR(__xludf.DUMMYFUNCTION("""COMPUTED_VALUE"""),1007)</f>
        <v>1007</v>
      </c>
      <c r="AK818" s="3">
        <f ca="1">IFERROR(__xludf.DUMMYFUNCTION("""COMPUTED_VALUE"""),2899)</f>
        <v>2899</v>
      </c>
      <c r="AL818" s="3">
        <f ca="1">IFERROR(__xludf.DUMMYFUNCTION("""COMPUTED_VALUE"""),1301)</f>
        <v>1301</v>
      </c>
      <c r="AM818" s="3">
        <f>IFERROR(Raw_Data!AL818 / Raw_Data!AK818, "")</f>
        <v>0.44877543980682993</v>
      </c>
      <c r="AN818" s="3" t="str">
        <f>IF(ISBLANK(Raw_Data!AL818), "No", "Yes")</f>
        <v>Yes</v>
      </c>
      <c r="AO818" s="3">
        <f>IFERROR(Raw_Data!Z818/60, "")</f>
        <v>6.6833333333333336</v>
      </c>
    </row>
    <row r="819" spans="1:41" ht="13">
      <c r="A819" s="3">
        <f ca="1">IFERROR(__xludf.DUMMYFUNCTION("""COMPUTED_VALUE"""),382)</f>
        <v>382</v>
      </c>
      <c r="B819" s="3">
        <f ca="1">IFERROR(__xludf.DUMMYFUNCTION("""COMPUTED_VALUE"""),5)</f>
        <v>5</v>
      </c>
      <c r="C819" s="3">
        <f ca="1">IFERROR(__xludf.DUMMYFUNCTION("""COMPUTED_VALUE"""),4050)</f>
        <v>4050</v>
      </c>
      <c r="D819" s="3" t="str">
        <f ca="1">IFERROR(__xludf.DUMMYFUNCTION("""COMPUTED_VALUE"""),"Doorlanta")</f>
        <v>Doorlanta</v>
      </c>
      <c r="E819" s="3" t="str">
        <f ca="1">IFERROR(__xludf.DUMMYFUNCTION("""COMPUTED_VALUE"""),"Galaxy A")</f>
        <v>Galaxy A</v>
      </c>
      <c r="F819" s="3" t="str">
        <f ca="1">IFERROR(__xludf.DUMMYFUNCTION("""COMPUTED_VALUE"""),"Elon")</f>
        <v>Elon</v>
      </c>
      <c r="G819" s="3">
        <f ca="1">IFERROR(__xludf.DUMMYFUNCTION("""COMPUTED_VALUE"""),0)</f>
        <v>0</v>
      </c>
      <c r="H819" s="3" t="str">
        <f ca="1">IFERROR(__xludf.DUMMYFUNCTION("""COMPUTED_VALUE"""),"car")</f>
        <v>car</v>
      </c>
      <c r="I819" s="3" t="str">
        <f ca="1">IFERROR(__xludf.DUMMYFUNCTION("""COMPUTED_VALUE"""),"2055-06-04T00:37:17.174745Z")</f>
        <v>2055-06-04T00:37:17.174745Z</v>
      </c>
      <c r="J819" s="3" t="str">
        <f ca="1">IFERROR(__xludf.DUMMYFUNCTION("""COMPUTED_VALUE"""),"2055-06-04T01:27:17.236Z")</f>
        <v>2055-06-04T01:27:17.236Z</v>
      </c>
      <c r="K819" s="3" t="str">
        <f ca="1">IFERROR(__xludf.DUMMYFUNCTION("""COMPUTED_VALUE"""),"2055-06-04T01:10:33.236Z")</f>
        <v>2055-06-04T01:10:33.236Z</v>
      </c>
      <c r="L819" s="3">
        <f ca="1">IFERROR(__xludf.DUMMYFUNCTION("""COMPUTED_VALUE"""),1)</f>
        <v>1</v>
      </c>
      <c r="M819" s="3">
        <f ca="1">IFERROR(__xludf.DUMMYFUNCTION("""COMPUTED_VALUE"""),0)</f>
        <v>0</v>
      </c>
      <c r="N819" s="3" t="str">
        <f ca="1">IFERROR(__xludf.DUMMYFUNCTION("""COMPUTED_VALUE"""),"2055-06-04T00:54:40.161343Z")</f>
        <v>2055-06-04T00:54:40.161343Z</v>
      </c>
      <c r="O819" s="3" t="str">
        <f ca="1">IFERROR(__xludf.DUMMYFUNCTION("""COMPUTED_VALUE"""),"2055-06-04T01:07:48.416637Z")</f>
        <v>2055-06-04T01:07:48.416637Z</v>
      </c>
      <c r="P819" s="3" t="str">
        <f ca="1">IFERROR(__xludf.DUMMYFUNCTION("""COMPUTED_VALUE"""),"2055-06-04T00:39:07.332585Z")</f>
        <v>2055-06-04T00:39:07.332585Z</v>
      </c>
      <c r="Q819" s="3">
        <f ca="1">IFERROR(__xludf.DUMMYFUNCTION("""COMPUTED_VALUE"""),0)</f>
        <v>0</v>
      </c>
      <c r="R819" s="3" t="str">
        <f ca="1">IFERROR(__xludf.DUMMYFUNCTION("""COMPUTED_VALUE"""),"2055-06-04T00:39:14.743282Z")</f>
        <v>2055-06-04T00:39:14.743282Z</v>
      </c>
      <c r="S819" s="3" t="str">
        <f ca="1">IFERROR(__xludf.DUMMYFUNCTION("""COMPUTED_VALUE"""),"2055-06-04T00:51:39.3429Z")</f>
        <v>2055-06-04T00:51:39.3429Z</v>
      </c>
      <c r="T819" s="3"/>
      <c r="U819" s="4">
        <f ca="1">IFERROR(__xludf.DUMMYFUNCTION("""COMPUTED_VALUE"""),56768)</f>
        <v>56768</v>
      </c>
      <c r="V819" s="3">
        <f ca="1">IFERROR(__xludf.DUMMYFUNCTION("""COMPUTED_VALUE"""),4.6)</f>
        <v>4.5999999999999996</v>
      </c>
      <c r="W819" s="3">
        <f ca="1">IFERROR(__xludf.DUMMYFUNCTION("""COMPUTED_VALUE"""),1500)</f>
        <v>1500</v>
      </c>
      <c r="X819" s="3">
        <f ca="1">IFERROR(__xludf.DUMMYFUNCTION("""COMPUTED_VALUE"""),1714)</f>
        <v>1714</v>
      </c>
      <c r="Y819" s="3">
        <f ca="1">IFERROR(__xludf.DUMMYFUNCTION("""COMPUTED_VALUE"""),745)</f>
        <v>745</v>
      </c>
      <c r="Z819" s="3">
        <f ca="1">IFERROR(__xludf.DUMMYFUNCTION("""COMPUTED_VALUE"""),181)</f>
        <v>181</v>
      </c>
      <c r="AA819" s="3">
        <f ca="1">IFERROR(__xludf.DUMMYFUNCTION("""COMPUTED_VALUE"""),788)</f>
        <v>788</v>
      </c>
      <c r="AB819" s="3">
        <f ca="1">IFERROR(__xludf.DUMMYFUNCTION("""COMPUTED_VALUE"""),0)</f>
        <v>0</v>
      </c>
      <c r="AC819" s="3">
        <f ca="1">IFERROR(__xludf.DUMMYFUNCTION("""COMPUTED_VALUE"""),1)</f>
        <v>1</v>
      </c>
      <c r="AD819" s="3" t="str">
        <f ca="1">IFERROR(__xludf.DUMMYFUNCTION("""COMPUTED_VALUE"""),"on time")</f>
        <v>on time</v>
      </c>
      <c r="AE819" s="3" t="str">
        <f ca="1">IFERROR(__xludf.DUMMYFUNCTION("""COMPUTED_VALUE"""),"2055-06-03T20:54:40.161343Z")</f>
        <v>2055-06-03T20:54:40.161343Z</v>
      </c>
      <c r="AF819" s="3" t="str">
        <f ca="1">IFERROR(__xludf.DUMMYFUNCTION("""COMPUTED_VALUE"""),"2055-06-03T21:07:48.416637Z")</f>
        <v>2055-06-03T21:07:48.416637Z</v>
      </c>
      <c r="AG819" s="3" t="str">
        <f ca="1">IFERROR(__xludf.DUMMYFUNCTION("""COMPUTED_VALUE"""),"2055-06-03T20:39:07.332585Z")</f>
        <v>2055-06-03T20:39:07.332585Z</v>
      </c>
      <c r="AH819" s="3" t="str">
        <f ca="1">IFERROR(__xludf.DUMMYFUNCTION("""COMPUTED_VALUE"""),"2055-06-03T20:51:39.3429Z")</f>
        <v>2055-06-03T20:51:39.3429Z</v>
      </c>
      <c r="AI819" s="3">
        <f ca="1">IFERROR(__xludf.DUMMYFUNCTION("""COMPUTED_VALUE"""),4.62)</f>
        <v>4.62</v>
      </c>
      <c r="AJ819" s="3">
        <f ca="1">IFERROR(__xludf.DUMMYFUNCTION("""COMPUTED_VALUE"""),259)</f>
        <v>259</v>
      </c>
      <c r="AK819" s="3">
        <f ca="1">IFERROR(__xludf.DUMMYFUNCTION("""COMPUTED_VALUE"""),604)</f>
        <v>604</v>
      </c>
      <c r="AL819" s="3">
        <f ca="1">IFERROR(__xludf.DUMMYFUNCTION("""COMPUTED_VALUE"""),21)</f>
        <v>21</v>
      </c>
      <c r="AM819" s="3">
        <f>IFERROR(Raw_Data!AL819 / Raw_Data!AK819, "")</f>
        <v>3.4768211920529798E-2</v>
      </c>
      <c r="AN819" s="3" t="str">
        <f>IF(ISBLANK(Raw_Data!AL819), "No", "Yes")</f>
        <v>Yes</v>
      </c>
      <c r="AO819" s="3">
        <f>IFERROR(Raw_Data!Z819/60, "")</f>
        <v>3.0166666666666666</v>
      </c>
    </row>
    <row r="820" spans="1:41" ht="13">
      <c r="A820" s="3">
        <f ca="1">IFERROR(__xludf.DUMMYFUNCTION("""COMPUTED_VALUE"""),580)</f>
        <v>580</v>
      </c>
      <c r="B820" s="3"/>
      <c r="C820" s="3">
        <f ca="1">IFERROR(__xludf.DUMMYFUNCTION("""COMPUTED_VALUE"""),4001)</f>
        <v>4001</v>
      </c>
      <c r="D820" s="3" t="str">
        <f ca="1">IFERROR(__xludf.DUMMYFUNCTION("""COMPUTED_VALUE"""),"Dashattan")</f>
        <v>Dashattan</v>
      </c>
      <c r="E820" s="3" t="str">
        <f ca="1">IFERROR(__xludf.DUMMYFUNCTION("""COMPUTED_VALUE"""),"Galaxy A")</f>
        <v>Galaxy A</v>
      </c>
      <c r="F820" s="3" t="str">
        <f ca="1">IFERROR(__xludf.DUMMYFUNCTION("""COMPUTED_VALUE"""),"KC")</f>
        <v>KC</v>
      </c>
      <c r="G820" s="3">
        <f ca="1">IFERROR(__xludf.DUMMYFUNCTION("""COMPUTED_VALUE"""),0)</f>
        <v>0</v>
      </c>
      <c r="H820" s="3" t="str">
        <f ca="1">IFERROR(__xludf.DUMMYFUNCTION("""COMPUTED_VALUE"""),"car")</f>
        <v>car</v>
      </c>
      <c r="I820" s="3" t="str">
        <f ca="1">IFERROR(__xludf.DUMMYFUNCTION("""COMPUTED_VALUE"""),"2055-06-05T17:44:27.152651Z")</f>
        <v>2055-06-05T17:44:27.152651Z</v>
      </c>
      <c r="J820" s="3" t="str">
        <f ca="1">IFERROR(__xludf.DUMMYFUNCTION("""COMPUTED_VALUE"""),"2055-06-05T19:01:36.209Z")</f>
        <v>2055-06-05T19:01:36.209Z</v>
      </c>
      <c r="K820" s="3" t="str">
        <f ca="1">IFERROR(__xludf.DUMMYFUNCTION("""COMPUTED_VALUE"""),"2055-06-05T18:38:18.209Z")</f>
        <v>2055-06-05T18:38:18.209Z</v>
      </c>
      <c r="L820" s="3">
        <f ca="1">IFERROR(__xludf.DUMMYFUNCTION("""COMPUTED_VALUE"""),1)</f>
        <v>1</v>
      </c>
      <c r="M820" s="3">
        <f ca="1">IFERROR(__xludf.DUMMYFUNCTION("""COMPUTED_VALUE"""),0)</f>
        <v>0</v>
      </c>
      <c r="N820" s="3" t="str">
        <f ca="1">IFERROR(__xludf.DUMMYFUNCTION("""COMPUTED_VALUE"""),"2055-06-05T18:09:53.635618Z")</f>
        <v>2055-06-05T18:09:53.635618Z</v>
      </c>
      <c r="O820" s="3" t="str">
        <f ca="1">IFERROR(__xludf.DUMMYFUNCTION("""COMPUTED_VALUE"""),"2055-06-05T18:27:13.358474Z")</f>
        <v>2055-06-05T18:27:13.358474Z</v>
      </c>
      <c r="P820" s="3" t="str">
        <f ca="1">IFERROR(__xludf.DUMMYFUNCTION("""COMPUTED_VALUE"""),"2055-06-05T18:00:34.299646Z")</f>
        <v>2055-06-05T18:00:34.299646Z</v>
      </c>
      <c r="Q820" s="3">
        <f ca="1">IFERROR(__xludf.DUMMYFUNCTION("""COMPUTED_VALUE"""),0)</f>
        <v>0</v>
      </c>
      <c r="R820" s="3" t="str">
        <f ca="1">IFERROR(__xludf.DUMMYFUNCTION("""COMPUTED_VALUE"""),"2055-06-05T18:00:52.242263Z")</f>
        <v>2055-06-05T18:00:52.242263Z</v>
      </c>
      <c r="S820" s="3" t="str">
        <f ca="1">IFERROR(__xludf.DUMMYFUNCTION("""COMPUTED_VALUE"""),"2055-06-05T18:05:38.450366Z")</f>
        <v>2055-06-05T18:05:38.450366Z</v>
      </c>
      <c r="T820" s="3"/>
      <c r="U820" s="4">
        <f ca="1">IFERROR(__xludf.DUMMYFUNCTION("""COMPUTED_VALUE"""),56770)</f>
        <v>56770</v>
      </c>
      <c r="V820" s="3">
        <f ca="1">IFERROR(__xludf.DUMMYFUNCTION("""COMPUTED_VALUE"""),4.4)</f>
        <v>4.4000000000000004</v>
      </c>
      <c r="W820" s="3">
        <f ca="1">IFERROR(__xludf.DUMMYFUNCTION("""COMPUTED_VALUE"""),1500)</f>
        <v>1500</v>
      </c>
      <c r="X820" s="3">
        <f ca="1">IFERROR(__xludf.DUMMYFUNCTION("""COMPUTED_VALUE"""),1581)</f>
        <v>1581</v>
      </c>
      <c r="Y820" s="3">
        <f ca="1">IFERROR(__xludf.DUMMYFUNCTION("""COMPUTED_VALUE"""),286)</f>
        <v>286</v>
      </c>
      <c r="Z820" s="3">
        <f ca="1">IFERROR(__xludf.DUMMYFUNCTION("""COMPUTED_VALUE"""),255)</f>
        <v>255</v>
      </c>
      <c r="AA820" s="3">
        <f ca="1">IFERROR(__xludf.DUMMYFUNCTION("""COMPUTED_VALUE"""),1040)</f>
        <v>1040</v>
      </c>
      <c r="AB820" s="3">
        <f ca="1">IFERROR(__xludf.DUMMYFUNCTION("""COMPUTED_VALUE"""),1)</f>
        <v>1</v>
      </c>
      <c r="AC820" s="3">
        <f ca="1">IFERROR(__xludf.DUMMYFUNCTION("""COMPUTED_VALUE"""),1)</f>
        <v>1</v>
      </c>
      <c r="AD820" s="3"/>
      <c r="AE820" s="3" t="str">
        <f ca="1">IFERROR(__xludf.DUMMYFUNCTION("""COMPUTED_VALUE"""),"2055-06-05T14:09:53.635618Z")</f>
        <v>2055-06-05T14:09:53.635618Z</v>
      </c>
      <c r="AF820" s="3" t="str">
        <f ca="1">IFERROR(__xludf.DUMMYFUNCTION("""COMPUTED_VALUE"""),"2055-06-05T14:27:13.358474Z")</f>
        <v>2055-06-05T14:27:13.358474Z</v>
      </c>
      <c r="AG820" s="3" t="str">
        <f ca="1">IFERROR(__xludf.DUMMYFUNCTION("""COMPUTED_VALUE"""),"2055-06-05T14:00:34.299646Z")</f>
        <v>2055-06-05T14:00:34.299646Z</v>
      </c>
      <c r="AH820" s="3" t="str">
        <f ca="1">IFERROR(__xludf.DUMMYFUNCTION("""COMPUTED_VALUE"""),"2055-06-05T14:05:38.450366Z")</f>
        <v>2055-06-05T14:05:38.450366Z</v>
      </c>
      <c r="AI820" s="3">
        <f ca="1">IFERROR(__xludf.DUMMYFUNCTION("""COMPUTED_VALUE"""),4.54)</f>
        <v>4.54</v>
      </c>
      <c r="AJ820" s="3">
        <f ca="1">IFERROR(__xludf.DUMMYFUNCTION("""COMPUTED_VALUE"""),2229)</f>
        <v>2229</v>
      </c>
      <c r="AK820" s="3">
        <f ca="1">IFERROR(__xludf.DUMMYFUNCTION("""COMPUTED_VALUE"""),6580)</f>
        <v>6580</v>
      </c>
      <c r="AL820" s="3"/>
      <c r="AM820" s="3">
        <f>IFERROR(Raw_Data!AL820 / Raw_Data!AK820, "")</f>
        <v>0</v>
      </c>
      <c r="AN820" s="3" t="str">
        <f>IF(ISBLANK(Raw_Data!AL820), "No", "Yes")</f>
        <v>No</v>
      </c>
      <c r="AO820" s="3">
        <f>IFERROR(Raw_Data!Z820/60, "")</f>
        <v>4.25</v>
      </c>
    </row>
    <row r="821" spans="1:41" ht="13">
      <c r="A821" s="3">
        <f ca="1">IFERROR(__xludf.DUMMYFUNCTION("""COMPUTED_VALUE"""),715)</f>
        <v>715</v>
      </c>
      <c r="B821" s="3">
        <f ca="1">IFERROR(__xludf.DUMMYFUNCTION("""COMPUTED_VALUE"""),5)</f>
        <v>5</v>
      </c>
      <c r="C821" s="3">
        <f ca="1">IFERROR(__xludf.DUMMYFUNCTION("""COMPUTED_VALUE"""),4050)</f>
        <v>4050</v>
      </c>
      <c r="D821" s="3" t="str">
        <f ca="1">IFERROR(__xludf.DUMMYFUNCTION("""COMPUTED_VALUE"""),"Doorlanta")</f>
        <v>Doorlanta</v>
      </c>
      <c r="E821" s="3" t="str">
        <f ca="1">IFERROR(__xludf.DUMMYFUNCTION("""COMPUTED_VALUE"""),"Galaxy A")</f>
        <v>Galaxy A</v>
      </c>
      <c r="F821" s="3" t="str">
        <f ca="1">IFERROR(__xludf.DUMMYFUNCTION("""COMPUTED_VALUE"""),"Hanna")</f>
        <v>Hanna</v>
      </c>
      <c r="G821" s="3">
        <f ca="1">IFERROR(__xludf.DUMMYFUNCTION("""COMPUTED_VALUE"""),0)</f>
        <v>0</v>
      </c>
      <c r="H821" s="3" t="str">
        <f ca="1">IFERROR(__xludf.DUMMYFUNCTION("""COMPUTED_VALUE"""),"car")</f>
        <v>car</v>
      </c>
      <c r="I821" s="3" t="str">
        <f ca="1">IFERROR(__xludf.DUMMYFUNCTION("""COMPUTED_VALUE"""),"2055-06-06T01:16:33.483731Z")</f>
        <v>2055-06-06T01:16:33.483731Z</v>
      </c>
      <c r="J821" s="3" t="str">
        <f ca="1">IFERROR(__xludf.DUMMYFUNCTION("""COMPUTED_VALUE"""),"2055-06-06T02:06:33.558Z")</f>
        <v>2055-06-06T02:06:33.558Z</v>
      </c>
      <c r="K821" s="3" t="str">
        <f ca="1">IFERROR(__xludf.DUMMYFUNCTION("""COMPUTED_VALUE"""),"2055-06-06T01:49:39.558Z")</f>
        <v>2055-06-06T01:49:39.558Z</v>
      </c>
      <c r="L821" s="3">
        <f ca="1">IFERROR(__xludf.DUMMYFUNCTION("""COMPUTED_VALUE"""),1)</f>
        <v>1</v>
      </c>
      <c r="M821" s="3">
        <f ca="1">IFERROR(__xludf.DUMMYFUNCTION("""COMPUTED_VALUE"""),0)</f>
        <v>0</v>
      </c>
      <c r="N821" s="3" t="str">
        <f ca="1">IFERROR(__xludf.DUMMYFUNCTION("""COMPUTED_VALUE"""),"2055-06-06T01:35:21.224979Z")</f>
        <v>2055-06-06T01:35:21.224979Z</v>
      </c>
      <c r="O821" s="3" t="str">
        <f ca="1">IFERROR(__xludf.DUMMYFUNCTION("""COMPUTED_VALUE"""),"2055-06-06T01:48:43.681942Z")</f>
        <v>2055-06-06T01:48:43.681942Z</v>
      </c>
      <c r="P821" s="3" t="str">
        <f ca="1">IFERROR(__xludf.DUMMYFUNCTION("""COMPUTED_VALUE"""),"2055-06-06T01:16:47.384446Z")</f>
        <v>2055-06-06T01:16:47.384446Z</v>
      </c>
      <c r="Q821" s="3">
        <f ca="1">IFERROR(__xludf.DUMMYFUNCTION("""COMPUTED_VALUE"""),0)</f>
        <v>0</v>
      </c>
      <c r="R821" s="3" t="str">
        <f ca="1">IFERROR(__xludf.DUMMYFUNCTION("""COMPUTED_VALUE"""),"2055-06-06T01:17:20.642852Z")</f>
        <v>2055-06-06T01:17:20.642852Z</v>
      </c>
      <c r="S821" s="3" t="str">
        <f ca="1">IFERROR(__xludf.DUMMYFUNCTION("""COMPUTED_VALUE"""),"2055-06-06T01:32:15.458145Z")</f>
        <v>2055-06-06T01:32:15.458145Z</v>
      </c>
      <c r="T821" s="3"/>
      <c r="U821" s="4">
        <f ca="1">IFERROR(__xludf.DUMMYFUNCTION("""COMPUTED_VALUE"""),56770)</f>
        <v>56770</v>
      </c>
      <c r="V821" s="3">
        <f ca="1">IFERROR(__xludf.DUMMYFUNCTION("""COMPUTED_VALUE"""),4.5)</f>
        <v>4.5</v>
      </c>
      <c r="W821" s="3">
        <f ca="1">IFERROR(__xludf.DUMMYFUNCTION("""COMPUTED_VALUE"""),1500)</f>
        <v>1500</v>
      </c>
      <c r="X821" s="3">
        <f ca="1">IFERROR(__xludf.DUMMYFUNCTION("""COMPUTED_VALUE"""),1883)</f>
        <v>1883</v>
      </c>
      <c r="Y821" s="3">
        <f ca="1">IFERROR(__xludf.DUMMYFUNCTION("""COMPUTED_VALUE"""),895)</f>
        <v>895</v>
      </c>
      <c r="Z821" s="3">
        <f ca="1">IFERROR(__xludf.DUMMYFUNCTION("""COMPUTED_VALUE"""),186)</f>
        <v>186</v>
      </c>
      <c r="AA821" s="3">
        <f ca="1">IFERROR(__xludf.DUMMYFUNCTION("""COMPUTED_VALUE"""),802)</f>
        <v>802</v>
      </c>
      <c r="AB821" s="3">
        <f ca="1">IFERROR(__xludf.DUMMYFUNCTION("""COMPUTED_VALUE"""),0)</f>
        <v>0</v>
      </c>
      <c r="AC821" s="3">
        <f ca="1">IFERROR(__xludf.DUMMYFUNCTION("""COMPUTED_VALUE"""),1)</f>
        <v>1</v>
      </c>
      <c r="AD821" s="3" t="str">
        <f ca="1">IFERROR(__xludf.DUMMYFUNCTION("""COMPUTED_VALUE"""),"late")</f>
        <v>late</v>
      </c>
      <c r="AE821" s="3" t="str">
        <f ca="1">IFERROR(__xludf.DUMMYFUNCTION("""COMPUTED_VALUE"""),"2055-06-05T21:35:21.224979Z")</f>
        <v>2055-06-05T21:35:21.224979Z</v>
      </c>
      <c r="AF821" s="3" t="str">
        <f ca="1">IFERROR(__xludf.DUMMYFUNCTION("""COMPUTED_VALUE"""),"2055-06-05T21:48:43.681942Z")</f>
        <v>2055-06-05T21:48:43.681942Z</v>
      </c>
      <c r="AG821" s="3" t="str">
        <f ca="1">IFERROR(__xludf.DUMMYFUNCTION("""COMPUTED_VALUE"""),"2055-06-05T21:16:47.384446Z")</f>
        <v>2055-06-05T21:16:47.384446Z</v>
      </c>
      <c r="AH821" s="3" t="str">
        <f ca="1">IFERROR(__xludf.DUMMYFUNCTION("""COMPUTED_VALUE"""),"2055-06-05T21:32:15.458145Z")</f>
        <v>2055-06-05T21:32:15.458145Z</v>
      </c>
      <c r="AI821" s="3">
        <f ca="1">IFERROR(__xludf.DUMMYFUNCTION("""COMPUTED_VALUE"""),4.79)</f>
        <v>4.79</v>
      </c>
      <c r="AJ821" s="3">
        <f ca="1">IFERROR(__xludf.DUMMYFUNCTION("""COMPUTED_VALUE"""),1007)</f>
        <v>1007</v>
      </c>
      <c r="AK821" s="3">
        <f ca="1">IFERROR(__xludf.DUMMYFUNCTION("""COMPUTED_VALUE"""),2899)</f>
        <v>2899</v>
      </c>
      <c r="AL821" s="3">
        <f ca="1">IFERROR(__xludf.DUMMYFUNCTION("""COMPUTED_VALUE"""),1301)</f>
        <v>1301</v>
      </c>
      <c r="AM821" s="3">
        <f>IFERROR(Raw_Data!AL821 / Raw_Data!AK821, "")</f>
        <v>0.44877543980682993</v>
      </c>
      <c r="AN821" s="3" t="str">
        <f>IF(ISBLANK(Raw_Data!AL821), "No", "Yes")</f>
        <v>Yes</v>
      </c>
      <c r="AO821" s="3">
        <f>IFERROR(Raw_Data!Z821/60, "")</f>
        <v>3.1</v>
      </c>
    </row>
    <row r="822" spans="1:41" ht="13">
      <c r="A822" s="3">
        <f ca="1">IFERROR(__xludf.DUMMYFUNCTION("""COMPUTED_VALUE"""),881)</f>
        <v>881</v>
      </c>
      <c r="B822" s="3">
        <f ca="1">IFERROR(__xludf.DUMMYFUNCTION("""COMPUTED_VALUE"""),5)</f>
        <v>5</v>
      </c>
      <c r="C822" s="3">
        <f ca="1">IFERROR(__xludf.DUMMYFUNCTION("""COMPUTED_VALUE"""),4050)</f>
        <v>4050</v>
      </c>
      <c r="D822" s="3" t="str">
        <f ca="1">IFERROR(__xludf.DUMMYFUNCTION("""COMPUTED_VALUE"""),"Doorlanta")</f>
        <v>Doorlanta</v>
      </c>
      <c r="E822" s="3" t="str">
        <f ca="1">IFERROR(__xludf.DUMMYFUNCTION("""COMPUTED_VALUE"""),"Galaxy A")</f>
        <v>Galaxy A</v>
      </c>
      <c r="F822" s="3" t="str">
        <f ca="1">IFERROR(__xludf.DUMMYFUNCTION("""COMPUTED_VALUE"""),"Hanna")</f>
        <v>Hanna</v>
      </c>
      <c r="G822" s="3">
        <f ca="1">IFERROR(__xludf.DUMMYFUNCTION("""COMPUTED_VALUE"""),0)</f>
        <v>0</v>
      </c>
      <c r="H822" s="3" t="str">
        <f ca="1">IFERROR(__xludf.DUMMYFUNCTION("""COMPUTED_VALUE"""),"car")</f>
        <v>car</v>
      </c>
      <c r="I822" s="3" t="str">
        <f ca="1">IFERROR(__xludf.DUMMYFUNCTION("""COMPUTED_VALUE"""),"2055-06-07T22:18:06.514074Z")</f>
        <v>2055-06-07T22:18:06.514074Z</v>
      </c>
      <c r="J822" s="3" t="str">
        <f ca="1">IFERROR(__xludf.DUMMYFUNCTION("""COMPUTED_VALUE"""),"2055-06-07T23:25:01.565Z")</f>
        <v>2055-06-07T23:25:01.565Z</v>
      </c>
      <c r="K822" s="3" t="str">
        <f ca="1">IFERROR(__xludf.DUMMYFUNCTION("""COMPUTED_VALUE"""),"2055-06-07T23:03:07.565Z")</f>
        <v>2055-06-07T23:03:07.565Z</v>
      </c>
      <c r="L822" s="3">
        <f ca="1">IFERROR(__xludf.DUMMYFUNCTION("""COMPUTED_VALUE"""),1)</f>
        <v>1</v>
      </c>
      <c r="M822" s="3">
        <f ca="1">IFERROR(__xludf.DUMMYFUNCTION("""COMPUTED_VALUE"""),0)</f>
        <v>0</v>
      </c>
      <c r="N822" s="3" t="str">
        <f ca="1">IFERROR(__xludf.DUMMYFUNCTION("""COMPUTED_VALUE"""),"2055-06-07T22:31:43.407075Z")</f>
        <v>2055-06-07T22:31:43.407075Z</v>
      </c>
      <c r="O822" s="3" t="str">
        <f ca="1">IFERROR(__xludf.DUMMYFUNCTION("""COMPUTED_VALUE"""),"2055-06-07T22:53:19.278747Z")</f>
        <v>2055-06-07T22:53:19.278747Z</v>
      </c>
      <c r="P822" s="3" t="str">
        <f ca="1">IFERROR(__xludf.DUMMYFUNCTION("""COMPUTED_VALUE"""),"2055-06-07T22:21:47.286427Z")</f>
        <v>2055-06-07T22:21:47.286427Z</v>
      </c>
      <c r="Q822" s="3">
        <f ca="1">IFERROR(__xludf.DUMMYFUNCTION("""COMPUTED_VALUE"""),0)</f>
        <v>0</v>
      </c>
      <c r="R822" s="3" t="str">
        <f ca="1">IFERROR(__xludf.DUMMYFUNCTION("""COMPUTED_VALUE"""),"2055-06-07T22:22:00.257538Z")</f>
        <v>2055-06-07T22:22:00.257538Z</v>
      </c>
      <c r="S822" s="3" t="str">
        <f ca="1">IFERROR(__xludf.DUMMYFUNCTION("""COMPUTED_VALUE"""),"2055-06-07T22:30:36.33177Z")</f>
        <v>2055-06-07T22:30:36.33177Z</v>
      </c>
      <c r="T822" s="3"/>
      <c r="U822" s="4">
        <f ca="1">IFERROR(__xludf.DUMMYFUNCTION("""COMPUTED_VALUE"""),56772)</f>
        <v>56772</v>
      </c>
      <c r="V822" s="3">
        <f ca="1">IFERROR(__xludf.DUMMYFUNCTION("""COMPUTED_VALUE"""),4.6)</f>
        <v>4.5999999999999996</v>
      </c>
      <c r="W822" s="3">
        <f ca="1">IFERROR(__xludf.DUMMYFUNCTION("""COMPUTED_VALUE"""),1500)</f>
        <v>1500</v>
      </c>
      <c r="X822" s="3">
        <f ca="1">IFERROR(__xludf.DUMMYFUNCTION("""COMPUTED_VALUE"""),1879)</f>
        <v>1879</v>
      </c>
      <c r="Y822" s="3">
        <f ca="1">IFERROR(__xludf.DUMMYFUNCTION("""COMPUTED_VALUE"""),516)</f>
        <v>516</v>
      </c>
      <c r="Z822" s="3">
        <f ca="1">IFERROR(__xludf.DUMMYFUNCTION("""COMPUTED_VALUE"""),67)</f>
        <v>67</v>
      </c>
      <c r="AA822" s="3">
        <f ca="1">IFERROR(__xludf.DUMMYFUNCTION("""COMPUTED_VALUE"""),1296)</f>
        <v>1296</v>
      </c>
      <c r="AB822" s="3">
        <f ca="1">IFERROR(__xludf.DUMMYFUNCTION("""COMPUTED_VALUE"""),0)</f>
        <v>0</v>
      </c>
      <c r="AC822" s="3">
        <f ca="1">IFERROR(__xludf.DUMMYFUNCTION("""COMPUTED_VALUE"""),1)</f>
        <v>1</v>
      </c>
      <c r="AD822" s="3" t="str">
        <f ca="1">IFERROR(__xludf.DUMMYFUNCTION("""COMPUTED_VALUE"""),"on time")</f>
        <v>on time</v>
      </c>
      <c r="AE822" s="3" t="str">
        <f ca="1">IFERROR(__xludf.DUMMYFUNCTION("""COMPUTED_VALUE"""),"2055-06-07T18:31:43.407075Z")</f>
        <v>2055-06-07T18:31:43.407075Z</v>
      </c>
      <c r="AF822" s="3" t="str">
        <f ca="1">IFERROR(__xludf.DUMMYFUNCTION("""COMPUTED_VALUE"""),"2055-06-07T18:53:19.278747Z")</f>
        <v>2055-06-07T18:53:19.278747Z</v>
      </c>
      <c r="AG822" s="3" t="str">
        <f ca="1">IFERROR(__xludf.DUMMYFUNCTION("""COMPUTED_VALUE"""),"2055-06-07T18:21:47.286427Z")</f>
        <v>2055-06-07T18:21:47.286427Z</v>
      </c>
      <c r="AH822" s="3" t="str">
        <f ca="1">IFERROR(__xludf.DUMMYFUNCTION("""COMPUTED_VALUE"""),"2055-06-07T18:30:36.33177Z")</f>
        <v>2055-06-07T18:30:36.33177Z</v>
      </c>
      <c r="AI822" s="3">
        <f ca="1">IFERROR(__xludf.DUMMYFUNCTION("""COMPUTED_VALUE"""),4.79)</f>
        <v>4.79</v>
      </c>
      <c r="AJ822" s="3">
        <f ca="1">IFERROR(__xludf.DUMMYFUNCTION("""COMPUTED_VALUE"""),1007)</f>
        <v>1007</v>
      </c>
      <c r="AK822" s="3">
        <f ca="1">IFERROR(__xludf.DUMMYFUNCTION("""COMPUTED_VALUE"""),2899)</f>
        <v>2899</v>
      </c>
      <c r="AL822" s="3">
        <f ca="1">IFERROR(__xludf.DUMMYFUNCTION("""COMPUTED_VALUE"""),1301)</f>
        <v>1301</v>
      </c>
      <c r="AM822" s="3">
        <f>IFERROR(Raw_Data!AL822 / Raw_Data!AK822, "")</f>
        <v>0.44877543980682993</v>
      </c>
      <c r="AN822" s="3" t="str">
        <f>IF(ISBLANK(Raw_Data!AL822), "No", "Yes")</f>
        <v>Yes</v>
      </c>
      <c r="AO822" s="3">
        <f>IFERROR(Raw_Data!Z822/60, "")</f>
        <v>1.1166666666666667</v>
      </c>
    </row>
    <row r="823" spans="1:41" ht="13">
      <c r="A823" s="3">
        <f ca="1">IFERROR(__xludf.DUMMYFUNCTION("""COMPUTED_VALUE"""),1289)</f>
        <v>1289</v>
      </c>
      <c r="B823" s="3"/>
      <c r="C823" s="3">
        <f ca="1">IFERROR(__xludf.DUMMYFUNCTION("""COMPUTED_VALUE"""),4001)</f>
        <v>4001</v>
      </c>
      <c r="D823" s="3" t="str">
        <f ca="1">IFERROR(__xludf.DUMMYFUNCTION("""COMPUTED_VALUE"""),"Dashattan")</f>
        <v>Dashattan</v>
      </c>
      <c r="E823" s="3" t="str">
        <f ca="1">IFERROR(__xludf.DUMMYFUNCTION("""COMPUTED_VALUE"""),"Galaxy A")</f>
        <v>Galaxy A</v>
      </c>
      <c r="F823" s="3" t="str">
        <f ca="1">IFERROR(__xludf.DUMMYFUNCTION("""COMPUTED_VALUE"""),"KC")</f>
        <v>KC</v>
      </c>
      <c r="G823" s="3">
        <f ca="1">IFERROR(__xludf.DUMMYFUNCTION("""COMPUTED_VALUE"""),0)</f>
        <v>0</v>
      </c>
      <c r="H823" s="3" t="str">
        <f ca="1">IFERROR(__xludf.DUMMYFUNCTION("""COMPUTED_VALUE"""),"car")</f>
        <v>car</v>
      </c>
      <c r="I823" s="3" t="str">
        <f ca="1">IFERROR(__xludf.DUMMYFUNCTION("""COMPUTED_VALUE"""),"2055-06-11T19:33:28.728796Z")</f>
        <v>2055-06-11T19:33:28.728796Z</v>
      </c>
      <c r="J823" s="3" t="str">
        <f ca="1">IFERROR(__xludf.DUMMYFUNCTION("""COMPUTED_VALUE"""),"2055-06-11T20:52:04.799Z")</f>
        <v>2055-06-11T20:52:04.799Z</v>
      </c>
      <c r="K823" s="3" t="str">
        <f ca="1">IFERROR(__xludf.DUMMYFUNCTION("""COMPUTED_VALUE"""),"2055-06-11T20:28:46.799Z")</f>
        <v>2055-06-11T20:28:46.799Z</v>
      </c>
      <c r="L823" s="3">
        <f ca="1">IFERROR(__xludf.DUMMYFUNCTION("""COMPUTED_VALUE"""),1)</f>
        <v>1</v>
      </c>
      <c r="M823" s="3">
        <f ca="1">IFERROR(__xludf.DUMMYFUNCTION("""COMPUTED_VALUE"""),0)</f>
        <v>0</v>
      </c>
      <c r="N823" s="3" t="str">
        <f ca="1">IFERROR(__xludf.DUMMYFUNCTION("""COMPUTED_VALUE"""),"2055-06-11T20:11:32.659707Z")</f>
        <v>2055-06-11T20:11:32.659707Z</v>
      </c>
      <c r="O823" s="3" t="str">
        <f ca="1">IFERROR(__xludf.DUMMYFUNCTION("""COMPUTED_VALUE"""),"2055-06-11T20:32:17.932906Z")</f>
        <v>2055-06-11T20:32:17.932906Z</v>
      </c>
      <c r="P823" s="3" t="str">
        <f ca="1">IFERROR(__xludf.DUMMYFUNCTION("""COMPUTED_VALUE"""),"2055-06-11T19:54:34.231688Z")</f>
        <v>2055-06-11T19:54:34.231688Z</v>
      </c>
      <c r="Q823" s="3">
        <f ca="1">IFERROR(__xludf.DUMMYFUNCTION("""COMPUTED_VALUE"""),0)</f>
        <v>0</v>
      </c>
      <c r="R823" s="3" t="str">
        <f ca="1">IFERROR(__xludf.DUMMYFUNCTION("""COMPUTED_VALUE"""),"2055-06-11T19:54:53.610009Z")</f>
        <v>2055-06-11T19:54:53.610009Z</v>
      </c>
      <c r="S823" s="3"/>
      <c r="T823" s="3"/>
      <c r="U823" s="4">
        <f ca="1">IFERROR(__xludf.DUMMYFUNCTION("""COMPUTED_VALUE"""),56776)</f>
        <v>56776</v>
      </c>
      <c r="V823" s="3">
        <f ca="1">IFERROR(__xludf.DUMMYFUNCTION("""COMPUTED_VALUE"""),4.3)</f>
        <v>4.3</v>
      </c>
      <c r="W823" s="3">
        <f ca="1">IFERROR(__xludf.DUMMYFUNCTION("""COMPUTED_VALUE"""),1500)</f>
        <v>1500</v>
      </c>
      <c r="X823" s="3">
        <f ca="1">IFERROR(__xludf.DUMMYFUNCTION("""COMPUTED_VALUE"""),2244)</f>
        <v>2244</v>
      </c>
      <c r="Y823" s="3"/>
      <c r="Z823" s="3"/>
      <c r="AA823" s="3">
        <f ca="1">IFERROR(__xludf.DUMMYFUNCTION("""COMPUTED_VALUE"""),1245)</f>
        <v>1245</v>
      </c>
      <c r="AB823" s="3">
        <f ca="1">IFERROR(__xludf.DUMMYFUNCTION("""COMPUTED_VALUE"""),0)</f>
        <v>0</v>
      </c>
      <c r="AC823" s="3">
        <f ca="1">IFERROR(__xludf.DUMMYFUNCTION("""COMPUTED_VALUE"""),2)</f>
        <v>2</v>
      </c>
      <c r="AD823" s="3" t="str">
        <f ca="1">IFERROR(__xludf.DUMMYFUNCTION("""COMPUTED_VALUE"""),"early")</f>
        <v>early</v>
      </c>
      <c r="AE823" s="3" t="str">
        <f ca="1">IFERROR(__xludf.DUMMYFUNCTION("""COMPUTED_VALUE"""),"2055-06-11T16:11:32.659707Z")</f>
        <v>2055-06-11T16:11:32.659707Z</v>
      </c>
      <c r="AF823" s="3" t="str">
        <f ca="1">IFERROR(__xludf.DUMMYFUNCTION("""COMPUTED_VALUE"""),"2055-06-11T16:32:17.932906Z")</f>
        <v>2055-06-11T16:32:17.932906Z</v>
      </c>
      <c r="AG823" s="3" t="str">
        <f ca="1">IFERROR(__xludf.DUMMYFUNCTION("""COMPUTED_VALUE"""),"2055-06-11T15:54:34.231688Z")</f>
        <v>2055-06-11T15:54:34.231688Z</v>
      </c>
      <c r="AH823" s="3"/>
      <c r="AI823" s="3">
        <f ca="1">IFERROR(__xludf.DUMMYFUNCTION("""COMPUTED_VALUE"""),4.54)</f>
        <v>4.54</v>
      </c>
      <c r="AJ823" s="3">
        <f ca="1">IFERROR(__xludf.DUMMYFUNCTION("""COMPUTED_VALUE"""),2229)</f>
        <v>2229</v>
      </c>
      <c r="AK823" s="3">
        <f ca="1">IFERROR(__xludf.DUMMYFUNCTION("""COMPUTED_VALUE"""),6580)</f>
        <v>6580</v>
      </c>
      <c r="AL823" s="3"/>
      <c r="AM823" s="3">
        <f>IFERROR(Raw_Data!AL823 / Raw_Data!AK823, "")</f>
        <v>0</v>
      </c>
      <c r="AN823" s="3" t="str">
        <f>IF(ISBLANK(Raw_Data!AL823), "No", "Yes")</f>
        <v>No</v>
      </c>
      <c r="AO823" s="3">
        <f>IFERROR(Raw_Data!Z823/60, "")</f>
        <v>0</v>
      </c>
    </row>
    <row r="824" spans="1:41" ht="13">
      <c r="A824" s="3">
        <f ca="1">IFERROR(__xludf.DUMMYFUNCTION("""COMPUTED_VALUE"""),228)</f>
        <v>228</v>
      </c>
      <c r="B824" s="3">
        <f ca="1">IFERROR(__xludf.DUMMYFUNCTION("""COMPUTED_VALUE"""),5)</f>
        <v>5</v>
      </c>
      <c r="C824" s="3">
        <f ca="1">IFERROR(__xludf.DUMMYFUNCTION("""COMPUTED_VALUE"""),4050)</f>
        <v>4050</v>
      </c>
      <c r="D824" s="3" t="str">
        <f ca="1">IFERROR(__xludf.DUMMYFUNCTION("""COMPUTED_VALUE"""),"Doorlanta")</f>
        <v>Doorlanta</v>
      </c>
      <c r="E824" s="3" t="str">
        <f ca="1">IFERROR(__xludf.DUMMYFUNCTION("""COMPUTED_VALUE"""),"Galaxy A")</f>
        <v>Galaxy A</v>
      </c>
      <c r="F824" s="3" t="str">
        <f ca="1">IFERROR(__xludf.DUMMYFUNCTION("""COMPUTED_VALUE"""),"Katelynn")</f>
        <v>Katelynn</v>
      </c>
      <c r="G824" s="3">
        <f ca="1">IFERROR(__xludf.DUMMYFUNCTION("""COMPUTED_VALUE"""),0)</f>
        <v>0</v>
      </c>
      <c r="H824" s="3" t="str">
        <f ca="1">IFERROR(__xludf.DUMMYFUNCTION("""COMPUTED_VALUE"""),"car")</f>
        <v>car</v>
      </c>
      <c r="I824" s="3" t="str">
        <f ca="1">IFERROR(__xludf.DUMMYFUNCTION("""COMPUTED_VALUE"""),"2055-06-03T00:37:41.867254Z")</f>
        <v>2055-06-03T00:37:41.867254Z</v>
      </c>
      <c r="J824" s="3" t="str">
        <f ca="1">IFERROR(__xludf.DUMMYFUNCTION("""COMPUTED_VALUE"""),"2055-06-03T01:50:58.964Z")</f>
        <v>2055-06-03T01:50:58.964Z</v>
      </c>
      <c r="K824" s="3" t="str">
        <f ca="1">IFERROR(__xludf.DUMMYFUNCTION("""COMPUTED_VALUE"""),"2055-06-03T01:31:19.964Z")</f>
        <v>2055-06-03T01:31:19.964Z</v>
      </c>
      <c r="L824" s="3">
        <f ca="1">IFERROR(__xludf.DUMMYFUNCTION("""COMPUTED_VALUE"""),1)</f>
        <v>1</v>
      </c>
      <c r="M824" s="3">
        <f ca="1">IFERROR(__xludf.DUMMYFUNCTION("""COMPUTED_VALUE"""),0)</f>
        <v>0</v>
      </c>
      <c r="N824" s="3" t="str">
        <f ca="1">IFERROR(__xludf.DUMMYFUNCTION("""COMPUTED_VALUE"""),"2055-06-03T00:57:57.980786Z")</f>
        <v>2055-06-03T00:57:57.980786Z</v>
      </c>
      <c r="O824" s="3" t="str">
        <f ca="1">IFERROR(__xludf.DUMMYFUNCTION("""COMPUTED_VALUE"""),"2055-06-03T01:09:35.104916Z")</f>
        <v>2055-06-03T01:09:35.104916Z</v>
      </c>
      <c r="P824" s="3" t="str">
        <f ca="1">IFERROR(__xludf.DUMMYFUNCTION("""COMPUTED_VALUE"""),"2055-06-03T00:40:27.298079Z")</f>
        <v>2055-06-03T00:40:27.298079Z</v>
      </c>
      <c r="Q824" s="3">
        <f ca="1">IFERROR(__xludf.DUMMYFUNCTION("""COMPUTED_VALUE"""),0)</f>
        <v>0</v>
      </c>
      <c r="R824" s="3" t="str">
        <f ca="1">IFERROR(__xludf.DUMMYFUNCTION("""COMPUTED_VALUE"""),"2055-06-03T00:40:55.54872Z")</f>
        <v>2055-06-03T00:40:55.54872Z</v>
      </c>
      <c r="S824" s="3" t="str">
        <f ca="1">IFERROR(__xludf.DUMMYFUNCTION("""COMPUTED_VALUE"""),"2055-06-03T00:55:15.383572Z")</f>
        <v>2055-06-03T00:55:15.383572Z</v>
      </c>
      <c r="T824" s="3"/>
      <c r="U824" s="4">
        <f ca="1">IFERROR(__xludf.DUMMYFUNCTION("""COMPUTED_VALUE"""),56767)</f>
        <v>56767</v>
      </c>
      <c r="V824" s="3">
        <f ca="1">IFERROR(__xludf.DUMMYFUNCTION("""COMPUTED_VALUE"""),4.4)</f>
        <v>4.4000000000000004</v>
      </c>
      <c r="W824" s="3">
        <f ca="1">IFERROR(__xludf.DUMMYFUNCTION("""COMPUTED_VALUE"""),1500)</f>
        <v>1500</v>
      </c>
      <c r="X824" s="3">
        <f ca="1">IFERROR(__xludf.DUMMYFUNCTION("""COMPUTED_VALUE"""),1720)</f>
        <v>1720</v>
      </c>
      <c r="Y824" s="3">
        <f ca="1">IFERROR(__xludf.DUMMYFUNCTION("""COMPUTED_VALUE"""),860)</f>
        <v>860</v>
      </c>
      <c r="Z824" s="3">
        <f ca="1">IFERROR(__xludf.DUMMYFUNCTION("""COMPUTED_VALUE"""),162)</f>
        <v>162</v>
      </c>
      <c r="AA824" s="3">
        <f ca="1">IFERROR(__xludf.DUMMYFUNCTION("""COMPUTED_VALUE"""),698)</f>
        <v>698</v>
      </c>
      <c r="AB824" s="3">
        <f ca="1">IFERROR(__xludf.DUMMYFUNCTION("""COMPUTED_VALUE"""),0)</f>
        <v>0</v>
      </c>
      <c r="AC824" s="3">
        <f ca="1">IFERROR(__xludf.DUMMYFUNCTION("""COMPUTED_VALUE"""),2)</f>
        <v>2</v>
      </c>
      <c r="AD824" s="3" t="str">
        <f ca="1">IFERROR(__xludf.DUMMYFUNCTION("""COMPUTED_VALUE"""),"early")</f>
        <v>early</v>
      </c>
      <c r="AE824" s="3" t="str">
        <f ca="1">IFERROR(__xludf.DUMMYFUNCTION("""COMPUTED_VALUE"""),"2055-06-02T20:57:57.980786Z")</f>
        <v>2055-06-02T20:57:57.980786Z</v>
      </c>
      <c r="AF824" s="3" t="str">
        <f ca="1">IFERROR(__xludf.DUMMYFUNCTION("""COMPUTED_VALUE"""),"2055-06-02T21:09:35.104916Z")</f>
        <v>2055-06-02T21:09:35.104916Z</v>
      </c>
      <c r="AG824" s="3" t="str">
        <f ca="1">IFERROR(__xludf.DUMMYFUNCTION("""COMPUTED_VALUE"""),"2055-06-02T20:40:27.298079Z")</f>
        <v>2055-06-02T20:40:27.298079Z</v>
      </c>
      <c r="AH824" s="3" t="str">
        <f ca="1">IFERROR(__xludf.DUMMYFUNCTION("""COMPUTED_VALUE"""),"2055-06-02T20:55:15.383572Z")</f>
        <v>2055-06-02T20:55:15.383572Z</v>
      </c>
      <c r="AI824" s="3">
        <f ca="1">IFERROR(__xludf.DUMMYFUNCTION("""COMPUTED_VALUE"""),4.7)</f>
        <v>4.7</v>
      </c>
      <c r="AJ824" s="3">
        <f ca="1">IFERROR(__xludf.DUMMYFUNCTION("""COMPUTED_VALUE"""),1261)</f>
        <v>1261</v>
      </c>
      <c r="AK824" s="3">
        <f ca="1">IFERROR(__xludf.DUMMYFUNCTION("""COMPUTED_VALUE"""),3264)</f>
        <v>3264</v>
      </c>
      <c r="AL824" s="3">
        <f ca="1">IFERROR(__xludf.DUMMYFUNCTION("""COMPUTED_VALUE"""),232)</f>
        <v>232</v>
      </c>
      <c r="AM824" s="3">
        <f>IFERROR(Raw_Data!AL824 / Raw_Data!AK824, "")</f>
        <v>7.1078431372549017E-2</v>
      </c>
      <c r="AN824" s="3" t="str">
        <f>IF(ISBLANK(Raw_Data!AL824), "No", "Yes")</f>
        <v>Yes</v>
      </c>
      <c r="AO824" s="3">
        <f>IFERROR(Raw_Data!Z824/60, "")</f>
        <v>2.7</v>
      </c>
    </row>
    <row r="825" spans="1:41" ht="13">
      <c r="A825" s="3">
        <f ca="1">IFERROR(__xludf.DUMMYFUNCTION("""COMPUTED_VALUE"""),37)</f>
        <v>37</v>
      </c>
      <c r="B825" s="3">
        <f ca="1">IFERROR(__xludf.DUMMYFUNCTION("""COMPUTED_VALUE"""),5)</f>
        <v>5</v>
      </c>
      <c r="C825" s="3">
        <f ca="1">IFERROR(__xludf.DUMMYFUNCTION("""COMPUTED_VALUE"""),4001)</f>
        <v>4001</v>
      </c>
      <c r="D825" s="3" t="str">
        <f ca="1">IFERROR(__xludf.DUMMYFUNCTION("""COMPUTED_VALUE"""),"Dashattan")</f>
        <v>Dashattan</v>
      </c>
      <c r="E825" s="3" t="str">
        <f ca="1">IFERROR(__xludf.DUMMYFUNCTION("""COMPUTED_VALUE"""),"Galaxy A")</f>
        <v>Galaxy A</v>
      </c>
      <c r="F825" s="3" t="str">
        <f ca="1">IFERROR(__xludf.DUMMYFUNCTION("""COMPUTED_VALUE"""),"Bunje")</f>
        <v>Bunje</v>
      </c>
      <c r="G825" s="3">
        <f ca="1">IFERROR(__xludf.DUMMYFUNCTION("""COMPUTED_VALUE"""),0)</f>
        <v>0</v>
      </c>
      <c r="H825" s="3" t="str">
        <f ca="1">IFERROR(__xludf.DUMMYFUNCTION("""COMPUTED_VALUE"""),"bicycle")</f>
        <v>bicycle</v>
      </c>
      <c r="I825" s="3" t="str">
        <f ca="1">IFERROR(__xludf.DUMMYFUNCTION("""COMPUTED_VALUE"""),"2055-06-01T21:01:35.091374Z")</f>
        <v>2055-06-01T21:01:35.091374Z</v>
      </c>
      <c r="J825" s="3" t="str">
        <f ca="1">IFERROR(__xludf.DUMMYFUNCTION("""COMPUTED_VALUE"""),"2055-06-02T01:00:00Z")</f>
        <v>2055-06-02T01:00:00Z</v>
      </c>
      <c r="K825" s="3" t="str">
        <f ca="1">IFERROR(__xludf.DUMMYFUNCTION("""COMPUTED_VALUE"""),"2055-06-02T01:00:00Z")</f>
        <v>2055-06-02T01:00:00Z</v>
      </c>
      <c r="L825" s="3">
        <f ca="1">IFERROR(__xludf.DUMMYFUNCTION("""COMPUTED_VALUE"""),0)</f>
        <v>0</v>
      </c>
      <c r="M825" s="3">
        <f ca="1">IFERROR(__xludf.DUMMYFUNCTION("""COMPUTED_VALUE"""),0)</f>
        <v>0</v>
      </c>
      <c r="N825" s="3" t="str">
        <f ca="1">IFERROR(__xludf.DUMMYFUNCTION("""COMPUTED_VALUE"""),"2055-06-02T00:22:35.875142Z")</f>
        <v>2055-06-02T00:22:35.875142Z</v>
      </c>
      <c r="O825" s="3" t="str">
        <f ca="1">IFERROR(__xludf.DUMMYFUNCTION("""COMPUTED_VALUE"""),"2055-06-02T00:34:19.896596Z")</f>
        <v>2055-06-02T00:34:19.896596Z</v>
      </c>
      <c r="P825" s="3" t="str">
        <f ca="1">IFERROR(__xludf.DUMMYFUNCTION("""COMPUTED_VALUE"""),"2055-06-02T00:04:35.079079Z")</f>
        <v>2055-06-02T00:04:35.079079Z</v>
      </c>
      <c r="Q825" s="3">
        <f ca="1">IFERROR(__xludf.DUMMYFUNCTION("""COMPUTED_VALUE"""),0)</f>
        <v>0</v>
      </c>
      <c r="R825" s="3" t="str">
        <f ca="1">IFERROR(__xludf.DUMMYFUNCTION("""COMPUTED_VALUE"""),"2055-06-02T00:04:44.7747Z")</f>
        <v>2055-06-02T00:04:44.7747Z</v>
      </c>
      <c r="S825" s="3" t="str">
        <f ca="1">IFERROR(__xludf.DUMMYFUNCTION("""COMPUTED_VALUE"""),"2055-06-02T00:14:31.588039Z")</f>
        <v>2055-06-02T00:14:31.588039Z</v>
      </c>
      <c r="T825" s="3"/>
      <c r="U825" s="4">
        <f ca="1">IFERROR(__xludf.DUMMYFUNCTION("""COMPUTED_VALUE"""),56766)</f>
        <v>56766</v>
      </c>
      <c r="V825" s="3">
        <f ca="1">IFERROR(__xludf.DUMMYFUNCTION("""COMPUTED_VALUE"""),4.3)</f>
        <v>4.3</v>
      </c>
      <c r="W825" s="3">
        <f ca="1">IFERROR(__xludf.DUMMYFUNCTION("""COMPUTED_VALUE"""),1500)</f>
        <v>1500</v>
      </c>
      <c r="X825" s="3">
        <f ca="1">IFERROR(__xludf.DUMMYFUNCTION("""COMPUTED_VALUE"""),1775)</f>
        <v>1775</v>
      </c>
      <c r="Y825" s="3">
        <f ca="1">IFERROR(__xludf.DUMMYFUNCTION("""COMPUTED_VALUE"""),587)</f>
        <v>587</v>
      </c>
      <c r="Z825" s="3">
        <f ca="1">IFERROR(__xludf.DUMMYFUNCTION("""COMPUTED_VALUE"""),484)</f>
        <v>484</v>
      </c>
      <c r="AA825" s="3">
        <f ca="1">IFERROR(__xludf.DUMMYFUNCTION("""COMPUTED_VALUE"""),704)</f>
        <v>704</v>
      </c>
      <c r="AB825" s="3">
        <f ca="1">IFERROR(__xludf.DUMMYFUNCTION("""COMPUTED_VALUE"""),0)</f>
        <v>0</v>
      </c>
      <c r="AC825" s="3">
        <f ca="1">IFERROR(__xludf.DUMMYFUNCTION("""COMPUTED_VALUE"""),3)</f>
        <v>3</v>
      </c>
      <c r="AD825" s="3" t="str">
        <f ca="1">IFERROR(__xludf.DUMMYFUNCTION("""COMPUTED_VALUE"""),"on time")</f>
        <v>on time</v>
      </c>
      <c r="AE825" s="3" t="str">
        <f ca="1">IFERROR(__xludf.DUMMYFUNCTION("""COMPUTED_VALUE"""),"2055-06-01T20:22:35.875142Z")</f>
        <v>2055-06-01T20:22:35.875142Z</v>
      </c>
      <c r="AF825" s="3" t="str">
        <f ca="1">IFERROR(__xludf.DUMMYFUNCTION("""COMPUTED_VALUE"""),"2055-06-01T20:34:19.896596Z")</f>
        <v>2055-06-01T20:34:19.896596Z</v>
      </c>
      <c r="AG825" s="3" t="str">
        <f ca="1">IFERROR(__xludf.DUMMYFUNCTION("""COMPUTED_VALUE"""),"2055-06-01T20:04:35.079079Z")</f>
        <v>2055-06-01T20:04:35.079079Z</v>
      </c>
      <c r="AH825" s="3" t="str">
        <f ca="1">IFERROR(__xludf.DUMMYFUNCTION("""COMPUTED_VALUE"""),"2055-06-01T20:14:31.588039Z")</f>
        <v>2055-06-01T20:14:31.588039Z</v>
      </c>
      <c r="AI825" s="3">
        <f ca="1">IFERROR(__xludf.DUMMYFUNCTION("""COMPUTED_VALUE"""),4.7)</f>
        <v>4.7</v>
      </c>
      <c r="AJ825" s="3">
        <f ca="1">IFERROR(__xludf.DUMMYFUNCTION("""COMPUTED_VALUE"""),443)</f>
        <v>443</v>
      </c>
      <c r="AK825" s="3">
        <f ca="1">IFERROR(__xludf.DUMMYFUNCTION("""COMPUTED_VALUE"""),1579)</f>
        <v>1579</v>
      </c>
      <c r="AL825" s="3"/>
      <c r="AM825" s="3">
        <f>IFERROR(Raw_Data!AL825 / Raw_Data!AK825, "")</f>
        <v>0</v>
      </c>
      <c r="AN825" s="3" t="str">
        <f>IF(ISBLANK(Raw_Data!AL825), "No", "Yes")</f>
        <v>No</v>
      </c>
      <c r="AO825" s="3">
        <f>IFERROR(Raw_Data!Z825/60, "")</f>
        <v>8.0666666666666664</v>
      </c>
    </row>
    <row r="826" spans="1:41" ht="13">
      <c r="A826" s="3">
        <f ca="1">IFERROR(__xludf.DUMMYFUNCTION("""COMPUTED_VALUE"""),803)</f>
        <v>803</v>
      </c>
      <c r="B826" s="3"/>
      <c r="C826" s="3">
        <f ca="1">IFERROR(__xludf.DUMMYFUNCTION("""COMPUTED_VALUE"""),4001)</f>
        <v>4001</v>
      </c>
      <c r="D826" s="3" t="str">
        <f ca="1">IFERROR(__xludf.DUMMYFUNCTION("""COMPUTED_VALUE"""),"Dashattan")</f>
        <v>Dashattan</v>
      </c>
      <c r="E826" s="3" t="str">
        <f ca="1">IFERROR(__xludf.DUMMYFUNCTION("""COMPUTED_VALUE"""),"Galaxy A")</f>
        <v>Galaxy A</v>
      </c>
      <c r="F826" s="3" t="str">
        <f ca="1">IFERROR(__xludf.DUMMYFUNCTION("""COMPUTED_VALUE"""),"Arya")</f>
        <v>Arya</v>
      </c>
      <c r="G826" s="3">
        <f ca="1">IFERROR(__xludf.DUMMYFUNCTION("""COMPUTED_VALUE"""),0)</f>
        <v>0</v>
      </c>
      <c r="H826" s="3" t="str">
        <f ca="1">IFERROR(__xludf.DUMMYFUNCTION("""COMPUTED_VALUE"""),"bicycle")</f>
        <v>bicycle</v>
      </c>
      <c r="I826" s="3" t="str">
        <f ca="1">IFERROR(__xludf.DUMMYFUNCTION("""COMPUTED_VALUE"""),"2055-06-07T00:05:46.995223Z")</f>
        <v>2055-06-07T00:05:46.995223Z</v>
      </c>
      <c r="J826" s="3" t="str">
        <f ca="1">IFERROR(__xludf.DUMMYFUNCTION("""COMPUTED_VALUE"""),"2055-06-07T00:53:37.062Z")</f>
        <v>2055-06-07T00:53:37.062Z</v>
      </c>
      <c r="K826" s="3" t="str">
        <f ca="1">IFERROR(__xludf.DUMMYFUNCTION("""COMPUTED_VALUE"""),"2055-06-07T00:38:58.062Z")</f>
        <v>2055-06-07T00:38:58.062Z</v>
      </c>
      <c r="L826" s="3">
        <f ca="1">IFERROR(__xludf.DUMMYFUNCTION("""COMPUTED_VALUE"""),1)</f>
        <v>1</v>
      </c>
      <c r="M826" s="3">
        <f ca="1">IFERROR(__xludf.DUMMYFUNCTION("""COMPUTED_VALUE"""),0)</f>
        <v>0</v>
      </c>
      <c r="N826" s="3" t="str">
        <f ca="1">IFERROR(__xludf.DUMMYFUNCTION("""COMPUTED_VALUE"""),"2055-06-07T00:43:48.213651Z")</f>
        <v>2055-06-07T00:43:48.213651Z</v>
      </c>
      <c r="O826" s="3" t="str">
        <f ca="1">IFERROR(__xludf.DUMMYFUNCTION("""COMPUTED_VALUE"""),"2055-06-07T00:50:46.296786Z")</f>
        <v>2055-06-07T00:50:46.296786Z</v>
      </c>
      <c r="P826" s="3" t="str">
        <f ca="1">IFERROR(__xludf.DUMMYFUNCTION("""COMPUTED_VALUE"""),"2055-06-07T00:08:14.84775Z")</f>
        <v>2055-06-07T00:08:14.84775Z</v>
      </c>
      <c r="Q826" s="3">
        <f ca="1">IFERROR(__xludf.DUMMYFUNCTION("""COMPUTED_VALUE"""),0)</f>
        <v>0</v>
      </c>
      <c r="R826" s="3" t="str">
        <f ca="1">IFERROR(__xludf.DUMMYFUNCTION("""COMPUTED_VALUE"""),"2055-06-07T00:08:22.291323Z")</f>
        <v>2055-06-07T00:08:22.291323Z</v>
      </c>
      <c r="S826" s="3" t="str">
        <f ca="1">IFERROR(__xludf.DUMMYFUNCTION("""COMPUTED_VALUE"""),"2055-06-07T00:32:09.644569Z")</f>
        <v>2055-06-07T00:32:09.644569Z</v>
      </c>
      <c r="T826" s="3"/>
      <c r="U826" s="4">
        <f ca="1">IFERROR(__xludf.DUMMYFUNCTION("""COMPUTED_VALUE"""),56771)</f>
        <v>56771</v>
      </c>
      <c r="V826" s="3">
        <f ca="1">IFERROR(__xludf.DUMMYFUNCTION("""COMPUTED_VALUE"""),4.4)</f>
        <v>4.4000000000000004</v>
      </c>
      <c r="W826" s="3">
        <f ca="1">IFERROR(__xludf.DUMMYFUNCTION("""COMPUTED_VALUE"""),1500)</f>
        <v>1500</v>
      </c>
      <c r="X826" s="3">
        <f ca="1">IFERROR(__xludf.DUMMYFUNCTION("""COMPUTED_VALUE"""),2544)</f>
        <v>2544</v>
      </c>
      <c r="Y826" s="3">
        <f ca="1">IFERROR(__xludf.DUMMYFUNCTION("""COMPUTED_VALUE"""),1427)</f>
        <v>1427</v>
      </c>
      <c r="Z826" s="3">
        <f ca="1">IFERROR(__xludf.DUMMYFUNCTION("""COMPUTED_VALUE"""),699)</f>
        <v>699</v>
      </c>
      <c r="AA826" s="3">
        <f ca="1">IFERROR(__xludf.DUMMYFUNCTION("""COMPUTED_VALUE"""),418)</f>
        <v>418</v>
      </c>
      <c r="AB826" s="3">
        <f ca="1">IFERROR(__xludf.DUMMYFUNCTION("""COMPUTED_VALUE"""),0)</f>
        <v>0</v>
      </c>
      <c r="AC826" s="3">
        <f ca="1">IFERROR(__xludf.DUMMYFUNCTION("""COMPUTED_VALUE"""),3)</f>
        <v>3</v>
      </c>
      <c r="AD826" s="3" t="str">
        <f ca="1">IFERROR(__xludf.DUMMYFUNCTION("""COMPUTED_VALUE"""),"on time")</f>
        <v>on time</v>
      </c>
      <c r="AE826" s="3" t="str">
        <f ca="1">IFERROR(__xludf.DUMMYFUNCTION("""COMPUTED_VALUE"""),"2055-06-06T20:43:48.213651Z")</f>
        <v>2055-06-06T20:43:48.213651Z</v>
      </c>
      <c r="AF826" s="3" t="str">
        <f ca="1">IFERROR(__xludf.DUMMYFUNCTION("""COMPUTED_VALUE"""),"2055-06-06T20:50:46.296786Z")</f>
        <v>2055-06-06T20:50:46.296786Z</v>
      </c>
      <c r="AG826" s="3" t="str">
        <f ca="1">IFERROR(__xludf.DUMMYFUNCTION("""COMPUTED_VALUE"""),"2055-06-06T20:08:14.84775Z")</f>
        <v>2055-06-06T20:08:14.84775Z</v>
      </c>
      <c r="AH826" s="3" t="str">
        <f ca="1">IFERROR(__xludf.DUMMYFUNCTION("""COMPUTED_VALUE"""),"2055-06-06T20:32:09.644569Z")</f>
        <v>2055-06-06T20:32:09.644569Z</v>
      </c>
      <c r="AI826" s="3">
        <f ca="1">IFERROR(__xludf.DUMMYFUNCTION("""COMPUTED_VALUE"""),4.17)</f>
        <v>4.17</v>
      </c>
      <c r="AJ826" s="3">
        <f ca="1">IFERROR(__xludf.DUMMYFUNCTION("""COMPUTED_VALUE"""),457)</f>
        <v>457</v>
      </c>
      <c r="AK826" s="3">
        <f ca="1">IFERROR(__xludf.DUMMYFUNCTION("""COMPUTED_VALUE"""),1599)</f>
        <v>1599</v>
      </c>
      <c r="AL826" s="3"/>
      <c r="AM826" s="3">
        <f>IFERROR(Raw_Data!AL826 / Raw_Data!AK826, "")</f>
        <v>0</v>
      </c>
      <c r="AN826" s="3" t="str">
        <f>IF(ISBLANK(Raw_Data!AL826), "No", "Yes")</f>
        <v>No</v>
      </c>
      <c r="AO826" s="3">
        <f>IFERROR(Raw_Data!Z826/60, "")</f>
        <v>11.65</v>
      </c>
    </row>
    <row r="827" spans="1:41" ht="13">
      <c r="A827" s="3">
        <f ca="1">IFERROR(__xludf.DUMMYFUNCTION("""COMPUTED_VALUE"""),323)</f>
        <v>323</v>
      </c>
      <c r="B827" s="3">
        <f ca="1">IFERROR(__xludf.DUMMYFUNCTION("""COMPUTED_VALUE"""),5)</f>
        <v>5</v>
      </c>
      <c r="C827" s="3">
        <f ca="1">IFERROR(__xludf.DUMMYFUNCTION("""COMPUTED_VALUE"""),4050)</f>
        <v>4050</v>
      </c>
      <c r="D827" s="3" t="str">
        <f ca="1">IFERROR(__xludf.DUMMYFUNCTION("""COMPUTED_VALUE"""),"Doorlanta")</f>
        <v>Doorlanta</v>
      </c>
      <c r="E827" s="3" t="str">
        <f ca="1">IFERROR(__xludf.DUMMYFUNCTION("""COMPUTED_VALUE"""),"Galaxy A")</f>
        <v>Galaxy A</v>
      </c>
      <c r="F827" s="3" t="str">
        <f ca="1">IFERROR(__xludf.DUMMYFUNCTION("""COMPUTED_VALUE"""),"Lauran")</f>
        <v>Lauran</v>
      </c>
      <c r="G827" s="3">
        <f ca="1">IFERROR(__xludf.DUMMYFUNCTION("""COMPUTED_VALUE"""),0)</f>
        <v>0</v>
      </c>
      <c r="H827" s="3" t="str">
        <f ca="1">IFERROR(__xludf.DUMMYFUNCTION("""COMPUTED_VALUE"""),"car")</f>
        <v>car</v>
      </c>
      <c r="I827" s="3" t="str">
        <f ca="1">IFERROR(__xludf.DUMMYFUNCTION("""COMPUTED_VALUE"""),"2055-06-03T20:07:39.515121Z")</f>
        <v>2055-06-03T20:07:39.515121Z</v>
      </c>
      <c r="J827" s="3" t="str">
        <f ca="1">IFERROR(__xludf.DUMMYFUNCTION("""COMPUTED_VALUE"""),"2055-06-03T21:24:19.607Z")</f>
        <v>2055-06-03T21:24:19.607Z</v>
      </c>
      <c r="K827" s="3" t="str">
        <f ca="1">IFERROR(__xludf.DUMMYFUNCTION("""COMPUTED_VALUE"""),"2055-06-03T21:04:12.607Z")</f>
        <v>2055-06-03T21:04:12.607Z</v>
      </c>
      <c r="L827" s="3">
        <f ca="1">IFERROR(__xludf.DUMMYFUNCTION("""COMPUTED_VALUE"""),1)</f>
        <v>1</v>
      </c>
      <c r="M827" s="3">
        <f ca="1">IFERROR(__xludf.DUMMYFUNCTION("""COMPUTED_VALUE"""),0)</f>
        <v>0</v>
      </c>
      <c r="N827" s="3" t="str">
        <f ca="1">IFERROR(__xludf.DUMMYFUNCTION("""COMPUTED_VALUE"""),"2055-06-03T20:49:51.134399Z")</f>
        <v>2055-06-03T20:49:51.134399Z</v>
      </c>
      <c r="O827" s="3" t="str">
        <f ca="1">IFERROR(__xludf.DUMMYFUNCTION("""COMPUTED_VALUE"""),"2055-06-03T21:12:53.728548Z")</f>
        <v>2055-06-03T21:12:53.728548Z</v>
      </c>
      <c r="P827" s="3" t="str">
        <f ca="1">IFERROR(__xludf.DUMMYFUNCTION("""COMPUTED_VALUE"""),"2055-06-03T20:14:07.331319Z")</f>
        <v>2055-06-03T20:14:07.331319Z</v>
      </c>
      <c r="Q827" s="3">
        <f ca="1">IFERROR(__xludf.DUMMYFUNCTION("""COMPUTED_VALUE"""),0)</f>
        <v>0</v>
      </c>
      <c r="R827" s="3" t="str">
        <f ca="1">IFERROR(__xludf.DUMMYFUNCTION("""COMPUTED_VALUE"""),"2055-06-03T20:14:46.732258Z")</f>
        <v>2055-06-03T20:14:46.732258Z</v>
      </c>
      <c r="S827" s="3" t="str">
        <f ca="1">IFERROR(__xludf.DUMMYFUNCTION("""COMPUTED_VALUE"""),"2055-06-03T20:41:10.261989Z")</f>
        <v>2055-06-03T20:41:10.261989Z</v>
      </c>
      <c r="T827" s="3"/>
      <c r="U827" s="4">
        <f ca="1">IFERROR(__xludf.DUMMYFUNCTION("""COMPUTED_VALUE"""),56768)</f>
        <v>56768</v>
      </c>
      <c r="V827" s="3">
        <f ca="1">IFERROR(__xludf.DUMMYFUNCTION("""COMPUTED_VALUE"""),4.1)</f>
        <v>4.0999999999999996</v>
      </c>
      <c r="W827" s="3">
        <f ca="1">IFERROR(__xludf.DUMMYFUNCTION("""COMPUTED_VALUE"""),1500)</f>
        <v>1500</v>
      </c>
      <c r="X827" s="3">
        <f ca="1">IFERROR(__xludf.DUMMYFUNCTION("""COMPUTED_VALUE"""),3487)</f>
        <v>3487</v>
      </c>
      <c r="Y827" s="3">
        <f ca="1">IFERROR(__xludf.DUMMYFUNCTION("""COMPUTED_VALUE"""),1584)</f>
        <v>1584</v>
      </c>
      <c r="Z827" s="3">
        <f ca="1">IFERROR(__xludf.DUMMYFUNCTION("""COMPUTED_VALUE"""),521)</f>
        <v>521</v>
      </c>
      <c r="AA827" s="3">
        <f ca="1">IFERROR(__xludf.DUMMYFUNCTION("""COMPUTED_VALUE"""),1382)</f>
        <v>1382</v>
      </c>
      <c r="AB827" s="3">
        <f ca="1">IFERROR(__xludf.DUMMYFUNCTION("""COMPUTED_VALUE"""),0)</f>
        <v>0</v>
      </c>
      <c r="AC827" s="3">
        <f ca="1">IFERROR(__xludf.DUMMYFUNCTION("""COMPUTED_VALUE"""),5)</f>
        <v>5</v>
      </c>
      <c r="AD827" s="3" t="str">
        <f ca="1">IFERROR(__xludf.DUMMYFUNCTION("""COMPUTED_VALUE"""),"early")</f>
        <v>early</v>
      </c>
      <c r="AE827" s="3" t="str">
        <f ca="1">IFERROR(__xludf.DUMMYFUNCTION("""COMPUTED_VALUE"""),"2055-06-03T16:49:51.134399Z")</f>
        <v>2055-06-03T16:49:51.134399Z</v>
      </c>
      <c r="AF827" s="3" t="str">
        <f ca="1">IFERROR(__xludf.DUMMYFUNCTION("""COMPUTED_VALUE"""),"2055-06-03T17:12:53.728548Z")</f>
        <v>2055-06-03T17:12:53.728548Z</v>
      </c>
      <c r="AG827" s="3" t="str">
        <f ca="1">IFERROR(__xludf.DUMMYFUNCTION("""COMPUTED_VALUE"""),"2055-06-03T16:14:07.331319Z")</f>
        <v>2055-06-03T16:14:07.331319Z</v>
      </c>
      <c r="AH827" s="3" t="str">
        <f ca="1">IFERROR(__xludf.DUMMYFUNCTION("""COMPUTED_VALUE"""),"2055-06-03T16:41:10.261989Z")</f>
        <v>2055-06-03T16:41:10.261989Z</v>
      </c>
      <c r="AI827" s="3">
        <f ca="1">IFERROR(__xludf.DUMMYFUNCTION("""COMPUTED_VALUE"""),4.42)</f>
        <v>4.42</v>
      </c>
      <c r="AJ827" s="3">
        <f ca="1">IFERROR(__xludf.DUMMYFUNCTION("""COMPUTED_VALUE"""),1396)</f>
        <v>1396</v>
      </c>
      <c r="AK827" s="3">
        <f ca="1">IFERROR(__xludf.DUMMYFUNCTION("""COMPUTED_VALUE"""),4836)</f>
        <v>4836</v>
      </c>
      <c r="AL827" s="3">
        <f ca="1">IFERROR(__xludf.DUMMYFUNCTION("""COMPUTED_VALUE"""),1278)</f>
        <v>1278</v>
      </c>
      <c r="AM827" s="3">
        <f>IFERROR(Raw_Data!AL827 / Raw_Data!AK827, "")</f>
        <v>0.26426799007444168</v>
      </c>
      <c r="AN827" s="3" t="str">
        <f>IF(ISBLANK(Raw_Data!AL827), "No", "Yes")</f>
        <v>Yes</v>
      </c>
      <c r="AO827" s="3">
        <f>IFERROR(Raw_Data!Z827/60, "")</f>
        <v>8.6833333333333336</v>
      </c>
    </row>
    <row r="828" spans="1:41" ht="13">
      <c r="A828" s="3">
        <f ca="1">IFERROR(__xludf.DUMMYFUNCTION("""COMPUTED_VALUE"""),199)</f>
        <v>199</v>
      </c>
      <c r="B828" s="3"/>
      <c r="C828" s="3">
        <f ca="1">IFERROR(__xludf.DUMMYFUNCTION("""COMPUTED_VALUE"""),4050)</f>
        <v>4050</v>
      </c>
      <c r="D828" s="3" t="str">
        <f ca="1">IFERROR(__xludf.DUMMYFUNCTION("""COMPUTED_VALUE"""),"Doorlanta")</f>
        <v>Doorlanta</v>
      </c>
      <c r="E828" s="3" t="str">
        <f ca="1">IFERROR(__xludf.DUMMYFUNCTION("""COMPUTED_VALUE"""),"Galaxy A")</f>
        <v>Galaxy A</v>
      </c>
      <c r="F828" s="3" t="str">
        <f ca="1">IFERROR(__xludf.DUMMYFUNCTION("""COMPUTED_VALUE"""),"Sal")</f>
        <v>Sal</v>
      </c>
      <c r="G828" s="3">
        <f ca="1">IFERROR(__xludf.DUMMYFUNCTION("""COMPUTED_VALUE"""),0)</f>
        <v>0</v>
      </c>
      <c r="H828" s="3" t="str">
        <f ca="1">IFERROR(__xludf.DUMMYFUNCTION("""COMPUTED_VALUE"""),"car")</f>
        <v>car</v>
      </c>
      <c r="I828" s="3" t="str">
        <f ca="1">IFERROR(__xludf.DUMMYFUNCTION("""COMPUTED_VALUE"""),"2055-06-02T23:03:06.634786Z")</f>
        <v>2055-06-02T23:03:06.634786Z</v>
      </c>
      <c r="J828" s="3" t="str">
        <f ca="1">IFERROR(__xludf.DUMMYFUNCTION("""COMPUTED_VALUE"""),"2055-06-03T00:00:25.726Z")</f>
        <v>2055-06-03T00:00:25.726Z</v>
      </c>
      <c r="K828" s="3" t="str">
        <f ca="1">IFERROR(__xludf.DUMMYFUNCTION("""COMPUTED_VALUE"""),"2055-06-02T23:41:32.726Z")</f>
        <v>2055-06-02T23:41:32.726Z</v>
      </c>
      <c r="L828" s="3">
        <f ca="1">IFERROR(__xludf.DUMMYFUNCTION("""COMPUTED_VALUE"""),1)</f>
        <v>1</v>
      </c>
      <c r="M828" s="3">
        <f ca="1">IFERROR(__xludf.DUMMYFUNCTION("""COMPUTED_VALUE"""),0)</f>
        <v>0</v>
      </c>
      <c r="N828" s="3" t="str">
        <f ca="1">IFERROR(__xludf.DUMMYFUNCTION("""COMPUTED_VALUE"""),"2055-06-03T00:19:21.332993Z")</f>
        <v>2055-06-03T00:19:21.332993Z</v>
      </c>
      <c r="O828" s="3" t="str">
        <f ca="1">IFERROR(__xludf.DUMMYFUNCTION("""COMPUTED_VALUE"""),"2055-06-03T00:33:06.412328Z")</f>
        <v>2055-06-03T00:33:06.412328Z</v>
      </c>
      <c r="P828" s="3" t="str">
        <f ca="1">IFERROR(__xludf.DUMMYFUNCTION("""COMPUTED_VALUE"""),"2055-06-02T23:03:27.374552Z")</f>
        <v>2055-06-02T23:03:27.374552Z</v>
      </c>
      <c r="Q828" s="3">
        <f ca="1">IFERROR(__xludf.DUMMYFUNCTION("""COMPUTED_VALUE"""),0)</f>
        <v>0</v>
      </c>
      <c r="R828" s="3" t="str">
        <f ca="1">IFERROR(__xludf.DUMMYFUNCTION("""COMPUTED_VALUE"""),"2055-06-02T23:03:33.925627Z")</f>
        <v>2055-06-02T23:03:33.925627Z</v>
      </c>
      <c r="S828" s="3" t="str">
        <f ca="1">IFERROR(__xludf.DUMMYFUNCTION("""COMPUTED_VALUE"""),"2055-06-03T00:11:50.969424Z")</f>
        <v>2055-06-03T00:11:50.969424Z</v>
      </c>
      <c r="T828" s="3"/>
      <c r="U828" s="4">
        <f ca="1">IFERROR(__xludf.DUMMYFUNCTION("""COMPUTED_VALUE"""),56767)</f>
        <v>56767</v>
      </c>
      <c r="V828" s="3">
        <f ca="1">IFERROR(__xludf.DUMMYFUNCTION("""COMPUTED_VALUE"""),4.5)</f>
        <v>4.5</v>
      </c>
      <c r="W828" s="3">
        <f ca="1">IFERROR(__xludf.DUMMYFUNCTION("""COMPUTED_VALUE"""),1500)</f>
        <v>1500</v>
      </c>
      <c r="X828" s="3">
        <f ca="1">IFERROR(__xludf.DUMMYFUNCTION("""COMPUTED_VALUE"""),5373)</f>
        <v>5373</v>
      </c>
      <c r="Y828" s="3">
        <f ca="1">IFERROR(__xludf.DUMMYFUNCTION("""COMPUTED_VALUE"""),4097)</f>
        <v>4097</v>
      </c>
      <c r="Z828" s="3">
        <f ca="1">IFERROR(__xludf.DUMMYFUNCTION("""COMPUTED_VALUE"""),451)</f>
        <v>451</v>
      </c>
      <c r="AA828" s="3">
        <f ca="1">IFERROR(__xludf.DUMMYFUNCTION("""COMPUTED_VALUE"""),825)</f>
        <v>825</v>
      </c>
      <c r="AB828" s="3">
        <f ca="1">IFERROR(__xludf.DUMMYFUNCTION("""COMPUTED_VALUE"""),0)</f>
        <v>0</v>
      </c>
      <c r="AC828" s="3">
        <f ca="1">IFERROR(__xludf.DUMMYFUNCTION("""COMPUTED_VALUE"""),2)</f>
        <v>2</v>
      </c>
      <c r="AD828" s="3" t="str">
        <f ca="1">IFERROR(__xludf.DUMMYFUNCTION("""COMPUTED_VALUE"""),"late")</f>
        <v>late</v>
      </c>
      <c r="AE828" s="3" t="str">
        <f ca="1">IFERROR(__xludf.DUMMYFUNCTION("""COMPUTED_VALUE"""),"2055-06-02T20:19:21.332993Z")</f>
        <v>2055-06-02T20:19:21.332993Z</v>
      </c>
      <c r="AF828" s="3" t="str">
        <f ca="1">IFERROR(__xludf.DUMMYFUNCTION("""COMPUTED_VALUE"""),"2055-06-02T20:33:06.412328Z")</f>
        <v>2055-06-02T20:33:06.412328Z</v>
      </c>
      <c r="AG828" s="3" t="str">
        <f ca="1">IFERROR(__xludf.DUMMYFUNCTION("""COMPUTED_VALUE"""),"2055-06-02T19:03:27.374552Z")</f>
        <v>2055-06-02T19:03:27.374552Z</v>
      </c>
      <c r="AH828" s="3" t="str">
        <f ca="1">IFERROR(__xludf.DUMMYFUNCTION("""COMPUTED_VALUE"""),"2055-06-02T20:11:50.969424Z")</f>
        <v>2055-06-02T20:11:50.969424Z</v>
      </c>
      <c r="AI828" s="3">
        <f ca="1">IFERROR(__xludf.DUMMYFUNCTION("""COMPUTED_VALUE"""),4.46)</f>
        <v>4.46</v>
      </c>
      <c r="AJ828" s="3">
        <f ca="1">IFERROR(__xludf.DUMMYFUNCTION("""COMPUTED_VALUE"""),349)</f>
        <v>349</v>
      </c>
      <c r="AK828" s="3">
        <f ca="1">IFERROR(__xludf.DUMMYFUNCTION("""COMPUTED_VALUE"""),779)</f>
        <v>779</v>
      </c>
      <c r="AL828" s="3"/>
      <c r="AM828" s="3">
        <f>IFERROR(Raw_Data!AL828 / Raw_Data!AK828, "")</f>
        <v>0</v>
      </c>
      <c r="AN828" s="3" t="str">
        <f>IF(ISBLANK(Raw_Data!AL828), "No", "Yes")</f>
        <v>No</v>
      </c>
      <c r="AO828" s="3">
        <f>IFERROR(Raw_Data!Z828/60, "")</f>
        <v>7.5166666666666666</v>
      </c>
    </row>
    <row r="829" spans="1:41" ht="13">
      <c r="A829" s="3">
        <f ca="1">IFERROR(__xludf.DUMMYFUNCTION("""COMPUTED_VALUE"""),819)</f>
        <v>819</v>
      </c>
      <c r="B829" s="3">
        <f ca="1">IFERROR(__xludf.DUMMYFUNCTION("""COMPUTED_VALUE"""),5)</f>
        <v>5</v>
      </c>
      <c r="C829" s="3">
        <f ca="1">IFERROR(__xludf.DUMMYFUNCTION("""COMPUTED_VALUE"""),4001)</f>
        <v>4001</v>
      </c>
      <c r="D829" s="3" t="str">
        <f ca="1">IFERROR(__xludf.DUMMYFUNCTION("""COMPUTED_VALUE"""),"Dashattan")</f>
        <v>Dashattan</v>
      </c>
      <c r="E829" s="3" t="str">
        <f ca="1">IFERROR(__xludf.DUMMYFUNCTION("""COMPUTED_VALUE"""),"Galaxy A")</f>
        <v>Galaxy A</v>
      </c>
      <c r="F829" s="3" t="str">
        <f ca="1">IFERROR(__xludf.DUMMYFUNCTION("""COMPUTED_VALUE"""),"J")</f>
        <v>J</v>
      </c>
      <c r="G829" s="3">
        <f ca="1">IFERROR(__xludf.DUMMYFUNCTION("""COMPUTED_VALUE"""),0)</f>
        <v>0</v>
      </c>
      <c r="H829" s="3" t="str">
        <f ca="1">IFERROR(__xludf.DUMMYFUNCTION("""COMPUTED_VALUE"""),"bicycle")</f>
        <v>bicycle</v>
      </c>
      <c r="I829" s="3" t="str">
        <f ca="1">IFERROR(__xludf.DUMMYFUNCTION("""COMPUTED_VALUE"""),"2055-06-07T02:22:27.545215Z")</f>
        <v>2055-06-07T02:22:27.545215Z</v>
      </c>
      <c r="J829" s="3" t="str">
        <f ca="1">IFERROR(__xludf.DUMMYFUNCTION("""COMPUTED_VALUE"""),"2055-06-07T03:13:02.606Z")</f>
        <v>2055-06-07T03:13:02.606Z</v>
      </c>
      <c r="K829" s="3" t="str">
        <f ca="1">IFERROR(__xludf.DUMMYFUNCTION("""COMPUTED_VALUE"""),"2055-06-07T02:54:09.606Z")</f>
        <v>2055-06-07T02:54:09.606Z</v>
      </c>
      <c r="L829" s="3">
        <f ca="1">IFERROR(__xludf.DUMMYFUNCTION("""COMPUTED_VALUE"""),1)</f>
        <v>1</v>
      </c>
      <c r="M829" s="3">
        <f ca="1">IFERROR(__xludf.DUMMYFUNCTION("""COMPUTED_VALUE"""),0)</f>
        <v>0</v>
      </c>
      <c r="N829" s="3" t="str">
        <f ca="1">IFERROR(__xludf.DUMMYFUNCTION("""COMPUTED_VALUE"""),"2055-06-07T02:48:53.686411Z")</f>
        <v>2055-06-07T02:48:53.686411Z</v>
      </c>
      <c r="O829" s="3" t="str">
        <f ca="1">IFERROR(__xludf.DUMMYFUNCTION("""COMPUTED_VALUE"""),"2055-06-07T03:02:37.495597Z")</f>
        <v>2055-06-07T03:02:37.495597Z</v>
      </c>
      <c r="P829" s="3" t="str">
        <f ca="1">IFERROR(__xludf.DUMMYFUNCTION("""COMPUTED_VALUE"""),"2055-06-07T02:29:14.121804Z")</f>
        <v>2055-06-07T02:29:14.121804Z</v>
      </c>
      <c r="Q829" s="3">
        <f ca="1">IFERROR(__xludf.DUMMYFUNCTION("""COMPUTED_VALUE"""),0)</f>
        <v>0</v>
      </c>
      <c r="R829" s="3" t="str">
        <f ca="1">IFERROR(__xludf.DUMMYFUNCTION("""COMPUTED_VALUE"""),"2055-06-07T02:30:50.189079Z")</f>
        <v>2055-06-07T02:30:50.189079Z</v>
      </c>
      <c r="S829" s="3"/>
      <c r="T829" s="3"/>
      <c r="U829" s="4">
        <f ca="1">IFERROR(__xludf.DUMMYFUNCTION("""COMPUTED_VALUE"""),56771)</f>
        <v>56771</v>
      </c>
      <c r="V829" s="3">
        <f ca="1">IFERROR(__xludf.DUMMYFUNCTION("""COMPUTED_VALUE"""),4.5)</f>
        <v>4.5</v>
      </c>
      <c r="W829" s="3">
        <f ca="1">IFERROR(__xludf.DUMMYFUNCTION("""COMPUTED_VALUE"""),1500)</f>
        <v>1500</v>
      </c>
      <c r="X829" s="3">
        <f ca="1">IFERROR(__xludf.DUMMYFUNCTION("""COMPUTED_VALUE"""),1907)</f>
        <v>1907</v>
      </c>
      <c r="Y829" s="3"/>
      <c r="Z829" s="3"/>
      <c r="AA829" s="3">
        <f ca="1">IFERROR(__xludf.DUMMYFUNCTION("""COMPUTED_VALUE"""),824)</f>
        <v>824</v>
      </c>
      <c r="AB829" s="3">
        <f ca="1">IFERROR(__xludf.DUMMYFUNCTION("""COMPUTED_VALUE"""),0)</f>
        <v>0</v>
      </c>
      <c r="AC829" s="3">
        <f ca="1">IFERROR(__xludf.DUMMYFUNCTION("""COMPUTED_VALUE"""),2)</f>
        <v>2</v>
      </c>
      <c r="AD829" s="3"/>
      <c r="AE829" s="3" t="str">
        <f ca="1">IFERROR(__xludf.DUMMYFUNCTION("""COMPUTED_VALUE"""),"2055-06-06T22:48:53.686411Z")</f>
        <v>2055-06-06T22:48:53.686411Z</v>
      </c>
      <c r="AF829" s="3" t="str">
        <f ca="1">IFERROR(__xludf.DUMMYFUNCTION("""COMPUTED_VALUE"""),"2055-06-06T23:02:37.495597Z")</f>
        <v>2055-06-06T23:02:37.495597Z</v>
      </c>
      <c r="AG829" s="3" t="str">
        <f ca="1">IFERROR(__xludf.DUMMYFUNCTION("""COMPUTED_VALUE"""),"2055-06-06T22:29:14.121804Z")</f>
        <v>2055-06-06T22:29:14.121804Z</v>
      </c>
      <c r="AH829" s="3"/>
      <c r="AI829" s="3">
        <f ca="1">IFERROR(__xludf.DUMMYFUNCTION("""COMPUTED_VALUE"""),4.6)</f>
        <v>4.5999999999999996</v>
      </c>
      <c r="AJ829" s="3">
        <f ca="1">IFERROR(__xludf.DUMMYFUNCTION("""COMPUTED_VALUE"""),292)</f>
        <v>292</v>
      </c>
      <c r="AK829" s="3">
        <f ca="1">IFERROR(__xludf.DUMMYFUNCTION("""COMPUTED_VALUE"""),1027)</f>
        <v>1027</v>
      </c>
      <c r="AL829" s="3">
        <f ca="1">IFERROR(__xludf.DUMMYFUNCTION("""COMPUTED_VALUE"""),26)</f>
        <v>26</v>
      </c>
      <c r="AM829" s="3">
        <f>IFERROR(Raw_Data!AL829 / Raw_Data!AK829, "")</f>
        <v>2.5316455696202531E-2</v>
      </c>
      <c r="AN829" s="3" t="str">
        <f>IF(ISBLANK(Raw_Data!AL829), "No", "Yes")</f>
        <v>Yes</v>
      </c>
      <c r="AO829" s="3">
        <f>IFERROR(Raw_Data!Z829/60, "")</f>
        <v>0</v>
      </c>
    </row>
    <row r="830" spans="1:41" ht="13">
      <c r="A830" s="3">
        <f ca="1">IFERROR(__xludf.DUMMYFUNCTION("""COMPUTED_VALUE"""),405)</f>
        <v>405</v>
      </c>
      <c r="B830" s="3"/>
      <c r="C830" s="3">
        <f ca="1">IFERROR(__xludf.DUMMYFUNCTION("""COMPUTED_VALUE"""),4050)</f>
        <v>4050</v>
      </c>
      <c r="D830" s="3" t="str">
        <f ca="1">IFERROR(__xludf.DUMMYFUNCTION("""COMPUTED_VALUE"""),"Doorlanta")</f>
        <v>Doorlanta</v>
      </c>
      <c r="E830" s="3" t="str">
        <f ca="1">IFERROR(__xludf.DUMMYFUNCTION("""COMPUTED_VALUE"""),"Galaxy A")</f>
        <v>Galaxy A</v>
      </c>
      <c r="F830" s="3" t="str">
        <f ca="1">IFERROR(__xludf.DUMMYFUNCTION("""COMPUTED_VALUE"""),"Josh")</f>
        <v>Josh</v>
      </c>
      <c r="G830" s="3">
        <f ca="1">IFERROR(__xludf.DUMMYFUNCTION("""COMPUTED_VALUE"""),0)</f>
        <v>0</v>
      </c>
      <c r="H830" s="3" t="str">
        <f ca="1">IFERROR(__xludf.DUMMYFUNCTION("""COMPUTED_VALUE"""),"car")</f>
        <v>car</v>
      </c>
      <c r="I830" s="3" t="str">
        <f ca="1">IFERROR(__xludf.DUMMYFUNCTION("""COMPUTED_VALUE"""),"2055-06-04T15:19:29.398664Z")</f>
        <v>2055-06-04T15:19:29.398664Z</v>
      </c>
      <c r="J830" s="3" t="str">
        <f ca="1">IFERROR(__xludf.DUMMYFUNCTION("""COMPUTED_VALUE"""),"2055-06-04T16:05:54.466207Z")</f>
        <v>2055-06-04T16:05:54.466207Z</v>
      </c>
      <c r="K830" s="3" t="str">
        <f ca="1">IFERROR(__xludf.DUMMYFUNCTION("""COMPUTED_VALUE"""),"2055-06-04T16:01:54.466207Z")</f>
        <v>2055-06-04T16:01:54.466207Z</v>
      </c>
      <c r="L830" s="3">
        <f ca="1">IFERROR(__xludf.DUMMYFUNCTION("""COMPUTED_VALUE"""),1)</f>
        <v>1</v>
      </c>
      <c r="M830" s="3">
        <f ca="1">IFERROR(__xludf.DUMMYFUNCTION("""COMPUTED_VALUE"""),0)</f>
        <v>0</v>
      </c>
      <c r="N830" s="3" t="str">
        <f ca="1">IFERROR(__xludf.DUMMYFUNCTION("""COMPUTED_VALUE"""),"2055-06-04T15:53:54.097898Z")</f>
        <v>2055-06-04T15:53:54.097898Z</v>
      </c>
      <c r="O830" s="3" t="str">
        <f ca="1">IFERROR(__xludf.DUMMYFUNCTION("""COMPUTED_VALUE"""),"2055-06-04T16:10:56.387099Z")</f>
        <v>2055-06-04T16:10:56.387099Z</v>
      </c>
      <c r="P830" s="3" t="str">
        <f ca="1">IFERROR(__xludf.DUMMYFUNCTION("""COMPUTED_VALUE"""),"2055-06-04T15:19:47.281471Z")</f>
        <v>2055-06-04T15:19:47.281471Z</v>
      </c>
      <c r="Q830" s="3">
        <f ca="1">IFERROR(__xludf.DUMMYFUNCTION("""COMPUTED_VALUE"""),0)</f>
        <v>0</v>
      </c>
      <c r="R830" s="3" t="str">
        <f ca="1">IFERROR(__xludf.DUMMYFUNCTION("""COMPUTED_VALUE"""),"2055-06-04T15:19:50.963333Z")</f>
        <v>2055-06-04T15:19:50.963333Z</v>
      </c>
      <c r="S830" s="3" t="str">
        <f ca="1">IFERROR(__xludf.DUMMYFUNCTION("""COMPUTED_VALUE"""),"2055-06-04T15:29:42.607379Z")</f>
        <v>2055-06-04T15:29:42.607379Z</v>
      </c>
      <c r="T830" s="3"/>
      <c r="U830" s="4">
        <f ca="1">IFERROR(__xludf.DUMMYFUNCTION("""COMPUTED_VALUE"""),56769)</f>
        <v>56769</v>
      </c>
      <c r="V830" s="3">
        <f ca="1">IFERROR(__xludf.DUMMYFUNCTION("""COMPUTED_VALUE"""),4.2)</f>
        <v>4.2</v>
      </c>
      <c r="W830" s="3">
        <f ca="1">IFERROR(__xludf.DUMMYFUNCTION("""COMPUTED_VALUE"""),1500)</f>
        <v>1500</v>
      </c>
      <c r="X830" s="3">
        <f ca="1">IFERROR(__xludf.DUMMYFUNCTION("""COMPUTED_VALUE"""),3066)</f>
        <v>3066</v>
      </c>
      <c r="Y830" s="3">
        <f ca="1">IFERROR(__xludf.DUMMYFUNCTION("""COMPUTED_VALUE"""),592)</f>
        <v>592</v>
      </c>
      <c r="Z830" s="3">
        <f ca="1">IFERROR(__xludf.DUMMYFUNCTION("""COMPUTED_VALUE"""),1452)</f>
        <v>1452</v>
      </c>
      <c r="AA830" s="3">
        <f ca="1">IFERROR(__xludf.DUMMYFUNCTION("""COMPUTED_VALUE"""),1022)</f>
        <v>1022</v>
      </c>
      <c r="AB830" s="3">
        <f ca="1">IFERROR(__xludf.DUMMYFUNCTION("""COMPUTED_VALUE"""),0)</f>
        <v>0</v>
      </c>
      <c r="AC830" s="3">
        <f ca="1">IFERROR(__xludf.DUMMYFUNCTION("""COMPUTED_VALUE"""),2)</f>
        <v>2</v>
      </c>
      <c r="AD830" s="3" t="str">
        <f ca="1">IFERROR(__xludf.DUMMYFUNCTION("""COMPUTED_VALUE"""),"early")</f>
        <v>early</v>
      </c>
      <c r="AE830" s="3" t="str">
        <f ca="1">IFERROR(__xludf.DUMMYFUNCTION("""COMPUTED_VALUE"""),"2055-06-04T11:53:54.097898Z")</f>
        <v>2055-06-04T11:53:54.097898Z</v>
      </c>
      <c r="AF830" s="3" t="str">
        <f ca="1">IFERROR(__xludf.DUMMYFUNCTION("""COMPUTED_VALUE"""),"2055-06-04T12:10:56.387099Z")</f>
        <v>2055-06-04T12:10:56.387099Z</v>
      </c>
      <c r="AG830" s="3" t="str">
        <f ca="1">IFERROR(__xludf.DUMMYFUNCTION("""COMPUTED_VALUE"""),"2055-06-04T11:19:47.281471Z")</f>
        <v>2055-06-04T11:19:47.281471Z</v>
      </c>
      <c r="AH830" s="3" t="str">
        <f ca="1">IFERROR(__xludf.DUMMYFUNCTION("""COMPUTED_VALUE"""),"2055-06-04T11:29:42.607379Z")</f>
        <v>2055-06-04T11:29:42.607379Z</v>
      </c>
      <c r="AI830" s="3">
        <f ca="1">IFERROR(__xludf.DUMMYFUNCTION("""COMPUTED_VALUE"""),4.77)</f>
        <v>4.7699999999999996</v>
      </c>
      <c r="AJ830" s="3">
        <f ca="1">IFERROR(__xludf.DUMMYFUNCTION("""COMPUTED_VALUE"""),426)</f>
        <v>426</v>
      </c>
      <c r="AK830" s="3">
        <f ca="1">IFERROR(__xludf.DUMMYFUNCTION("""COMPUTED_VALUE"""),1226)</f>
        <v>1226</v>
      </c>
      <c r="AL830" s="3">
        <f ca="1">IFERROR(__xludf.DUMMYFUNCTION("""COMPUTED_VALUE"""),85)</f>
        <v>85</v>
      </c>
      <c r="AM830" s="3">
        <f>IFERROR(Raw_Data!AL830 / Raw_Data!AK830, "")</f>
        <v>6.9331158238172916E-2</v>
      </c>
      <c r="AN830" s="3" t="str">
        <f>IF(ISBLANK(Raw_Data!AL830), "No", "Yes")</f>
        <v>Yes</v>
      </c>
      <c r="AO830" s="3">
        <f>IFERROR(Raw_Data!Z830/60, "")</f>
        <v>24.2</v>
      </c>
    </row>
    <row r="831" spans="1:41" ht="13">
      <c r="A831" s="3">
        <f ca="1">IFERROR(__xludf.DUMMYFUNCTION("""COMPUTED_VALUE"""),545)</f>
        <v>545</v>
      </c>
      <c r="B831" s="3">
        <f ca="1">IFERROR(__xludf.DUMMYFUNCTION("""COMPUTED_VALUE"""),3)</f>
        <v>3</v>
      </c>
      <c r="C831" s="3">
        <f ca="1">IFERROR(__xludf.DUMMYFUNCTION("""COMPUTED_VALUE"""),4001)</f>
        <v>4001</v>
      </c>
      <c r="D831" s="3" t="str">
        <f ca="1">IFERROR(__xludf.DUMMYFUNCTION("""COMPUTED_VALUE"""),"Dashattan")</f>
        <v>Dashattan</v>
      </c>
      <c r="E831" s="3" t="str">
        <f ca="1">IFERROR(__xludf.DUMMYFUNCTION("""COMPUTED_VALUE"""),"Galaxy A")</f>
        <v>Galaxy A</v>
      </c>
      <c r="F831" s="3" t="str">
        <f ca="1">IFERROR(__xludf.DUMMYFUNCTION("""COMPUTED_VALUE"""),"Rojan")</f>
        <v>Rojan</v>
      </c>
      <c r="G831" s="3">
        <f ca="1">IFERROR(__xludf.DUMMYFUNCTION("""COMPUTED_VALUE"""),0)</f>
        <v>0</v>
      </c>
      <c r="H831" s="3" t="str">
        <f ca="1">IFERROR(__xludf.DUMMYFUNCTION("""COMPUTED_VALUE"""),"bicycle")</f>
        <v>bicycle</v>
      </c>
      <c r="I831" s="3" t="str">
        <f ca="1">IFERROR(__xludf.DUMMYFUNCTION("""COMPUTED_VALUE"""),"2055-06-05T14:31:02.561609Z")</f>
        <v>2055-06-05T14:31:02.561609Z</v>
      </c>
      <c r="J831" s="3" t="str">
        <f ca="1">IFERROR(__xludf.DUMMYFUNCTION("""COMPUTED_VALUE"""),"2055-06-05T15:28:58.653Z")</f>
        <v>2055-06-05T15:28:58.653Z</v>
      </c>
      <c r="K831" s="3" t="str">
        <f ca="1">IFERROR(__xludf.DUMMYFUNCTION("""COMPUTED_VALUE"""),"2055-06-05T15:09:19.653Z")</f>
        <v>2055-06-05T15:09:19.653Z</v>
      </c>
      <c r="L831" s="3">
        <f ca="1">IFERROR(__xludf.DUMMYFUNCTION("""COMPUTED_VALUE"""),1)</f>
        <v>1</v>
      </c>
      <c r="M831" s="3">
        <f ca="1">IFERROR(__xludf.DUMMYFUNCTION("""COMPUTED_VALUE"""),0)</f>
        <v>0</v>
      </c>
      <c r="N831" s="3" t="str">
        <f ca="1">IFERROR(__xludf.DUMMYFUNCTION("""COMPUTED_VALUE"""),"2055-06-05T15:03:39.759208Z")</f>
        <v>2055-06-05T15:03:39.759208Z</v>
      </c>
      <c r="O831" s="3" t="str">
        <f ca="1">IFERROR(__xludf.DUMMYFUNCTION("""COMPUTED_VALUE"""),"2055-06-05T15:23:01.792368Z")</f>
        <v>2055-06-05T15:23:01.792368Z</v>
      </c>
      <c r="P831" s="3" t="str">
        <f ca="1">IFERROR(__xludf.DUMMYFUNCTION("""COMPUTED_VALUE"""),"2055-06-05T14:41:14.16763Z")</f>
        <v>2055-06-05T14:41:14.16763Z</v>
      </c>
      <c r="Q831" s="3">
        <f ca="1">IFERROR(__xludf.DUMMYFUNCTION("""COMPUTED_VALUE"""),0)</f>
        <v>0</v>
      </c>
      <c r="R831" s="3" t="str">
        <f ca="1">IFERROR(__xludf.DUMMYFUNCTION("""COMPUTED_VALUE"""),"2055-06-05T14:41:22.762572Z")</f>
        <v>2055-06-05T14:41:22.762572Z</v>
      </c>
      <c r="S831" s="3" t="str">
        <f ca="1">IFERROR(__xludf.DUMMYFUNCTION("""COMPUTED_VALUE"""),"2055-06-05T15:00:08.81583Z")</f>
        <v>2055-06-05T15:00:08.81583Z</v>
      </c>
      <c r="T831" s="3"/>
      <c r="U831" s="4">
        <f ca="1">IFERROR(__xludf.DUMMYFUNCTION("""COMPUTED_VALUE"""),56770)</f>
        <v>56770</v>
      </c>
      <c r="V831" s="3">
        <f ca="1">IFERROR(__xludf.DUMMYFUNCTION("""COMPUTED_VALUE"""),4.6)</f>
        <v>4.5999999999999996</v>
      </c>
      <c r="W831" s="3">
        <f ca="1">IFERROR(__xludf.DUMMYFUNCTION("""COMPUTED_VALUE"""),1500)</f>
        <v>1500</v>
      </c>
      <c r="X831" s="3">
        <f ca="1">IFERROR(__xludf.DUMMYFUNCTION("""COMPUTED_VALUE"""),2499)</f>
        <v>2499</v>
      </c>
      <c r="Y831" s="3">
        <f ca="1">IFERROR(__xludf.DUMMYFUNCTION("""COMPUTED_VALUE"""),1126)</f>
        <v>1126</v>
      </c>
      <c r="Z831" s="3">
        <f ca="1">IFERROR(__xludf.DUMMYFUNCTION("""COMPUTED_VALUE"""),211)</f>
        <v>211</v>
      </c>
      <c r="AA831" s="3">
        <f ca="1">IFERROR(__xludf.DUMMYFUNCTION("""COMPUTED_VALUE"""),1162)</f>
        <v>1162</v>
      </c>
      <c r="AB831" s="3">
        <f ca="1">IFERROR(__xludf.DUMMYFUNCTION("""COMPUTED_VALUE"""),0)</f>
        <v>0</v>
      </c>
      <c r="AC831" s="3">
        <f ca="1">IFERROR(__xludf.DUMMYFUNCTION("""COMPUTED_VALUE"""),3)</f>
        <v>3</v>
      </c>
      <c r="AD831" s="3" t="str">
        <f ca="1">IFERROR(__xludf.DUMMYFUNCTION("""COMPUTED_VALUE"""),"late")</f>
        <v>late</v>
      </c>
      <c r="AE831" s="3" t="str">
        <f ca="1">IFERROR(__xludf.DUMMYFUNCTION("""COMPUTED_VALUE"""),"2055-06-05T11:03:39.759208Z")</f>
        <v>2055-06-05T11:03:39.759208Z</v>
      </c>
      <c r="AF831" s="3" t="str">
        <f ca="1">IFERROR(__xludf.DUMMYFUNCTION("""COMPUTED_VALUE"""),"2055-06-05T11:23:01.792368Z")</f>
        <v>2055-06-05T11:23:01.792368Z</v>
      </c>
      <c r="AG831" s="3" t="str">
        <f ca="1">IFERROR(__xludf.DUMMYFUNCTION("""COMPUTED_VALUE"""),"2055-06-05T10:41:14.16763Z")</f>
        <v>2055-06-05T10:41:14.16763Z</v>
      </c>
      <c r="AH831" s="3" t="str">
        <f ca="1">IFERROR(__xludf.DUMMYFUNCTION("""COMPUTED_VALUE"""),"2055-06-05T11:00:08.81583Z")</f>
        <v>2055-06-05T11:00:08.81583Z</v>
      </c>
      <c r="AI831" s="3">
        <f ca="1">IFERROR(__xludf.DUMMYFUNCTION("""COMPUTED_VALUE"""),4.58)</f>
        <v>4.58</v>
      </c>
      <c r="AJ831" s="3">
        <f ca="1">IFERROR(__xludf.DUMMYFUNCTION("""COMPUTED_VALUE"""),254)</f>
        <v>254</v>
      </c>
      <c r="AK831" s="3">
        <f ca="1">IFERROR(__xludf.DUMMYFUNCTION("""COMPUTED_VALUE"""),788)</f>
        <v>788</v>
      </c>
      <c r="AL831" s="3">
        <f ca="1">IFERROR(__xludf.DUMMYFUNCTION("""COMPUTED_VALUE"""),9)</f>
        <v>9</v>
      </c>
      <c r="AM831" s="3">
        <f>IFERROR(Raw_Data!AL831 / Raw_Data!AK831, "")</f>
        <v>1.1421319796954314E-2</v>
      </c>
      <c r="AN831" s="3" t="str">
        <f>IF(ISBLANK(Raw_Data!AL831), "No", "Yes")</f>
        <v>Yes</v>
      </c>
      <c r="AO831" s="3">
        <f>IFERROR(Raw_Data!Z831/60, "")</f>
        <v>3.5166666666666666</v>
      </c>
    </row>
    <row r="832" spans="1:41" ht="13">
      <c r="A832" s="3">
        <f ca="1">IFERROR(__xludf.DUMMYFUNCTION("""COMPUTED_VALUE"""),1296)</f>
        <v>1296</v>
      </c>
      <c r="B832" s="3">
        <f ca="1">IFERROR(__xludf.DUMMYFUNCTION("""COMPUTED_VALUE"""),5)</f>
        <v>5</v>
      </c>
      <c r="C832" s="3">
        <f ca="1">IFERROR(__xludf.DUMMYFUNCTION("""COMPUTED_VALUE"""),4001)</f>
        <v>4001</v>
      </c>
      <c r="D832" s="3" t="str">
        <f ca="1">IFERROR(__xludf.DUMMYFUNCTION("""COMPUTED_VALUE"""),"Dashattan")</f>
        <v>Dashattan</v>
      </c>
      <c r="E832" s="3" t="str">
        <f ca="1">IFERROR(__xludf.DUMMYFUNCTION("""COMPUTED_VALUE"""),"Galaxy A")</f>
        <v>Galaxy A</v>
      </c>
      <c r="F832" s="3" t="str">
        <f ca="1">IFERROR(__xludf.DUMMYFUNCTION("""COMPUTED_VALUE"""),"KC")</f>
        <v>KC</v>
      </c>
      <c r="G832" s="3">
        <f ca="1">IFERROR(__xludf.DUMMYFUNCTION("""COMPUTED_VALUE"""),0)</f>
        <v>0</v>
      </c>
      <c r="H832" s="3" t="str">
        <f ca="1">IFERROR(__xludf.DUMMYFUNCTION("""COMPUTED_VALUE"""),"car")</f>
        <v>car</v>
      </c>
      <c r="I832" s="3" t="str">
        <f ca="1">IFERROR(__xludf.DUMMYFUNCTION("""COMPUTED_VALUE"""),"2055-06-11T20:19:07.131927Z")</f>
        <v>2055-06-11T20:19:07.131927Z</v>
      </c>
      <c r="J832" s="3" t="str">
        <f ca="1">IFERROR(__xludf.DUMMYFUNCTION("""COMPUTED_VALUE"""),"2055-06-11T21:55:24.188Z")</f>
        <v>2055-06-11T21:55:24.188Z</v>
      </c>
      <c r="K832" s="3" t="str">
        <f ca="1">IFERROR(__xludf.DUMMYFUNCTION("""COMPUTED_VALUE"""),"2055-06-11T21:33:30.188Z")</f>
        <v>2055-06-11T21:33:30.188Z</v>
      </c>
      <c r="L832" s="3">
        <f ca="1">IFERROR(__xludf.DUMMYFUNCTION("""COMPUTED_VALUE"""),1)</f>
        <v>1</v>
      </c>
      <c r="M832" s="3">
        <f ca="1">IFERROR(__xludf.DUMMYFUNCTION("""COMPUTED_VALUE"""),0)</f>
        <v>0</v>
      </c>
      <c r="N832" s="3" t="str">
        <f ca="1">IFERROR(__xludf.DUMMYFUNCTION("""COMPUTED_VALUE"""),"2055-06-11T21:02:35.78012Z")</f>
        <v>2055-06-11T21:02:35.78012Z</v>
      </c>
      <c r="O832" s="3" t="str">
        <f ca="1">IFERROR(__xludf.DUMMYFUNCTION("""COMPUTED_VALUE"""),"2055-06-11T21:14:29.932345Z")</f>
        <v>2055-06-11T21:14:29.932345Z</v>
      </c>
      <c r="P832" s="3" t="str">
        <f ca="1">IFERROR(__xludf.DUMMYFUNCTION("""COMPUTED_VALUE"""),"2055-06-11T20:33:34.288869Z")</f>
        <v>2055-06-11T20:33:34.288869Z</v>
      </c>
      <c r="Q832" s="3">
        <f ca="1">IFERROR(__xludf.DUMMYFUNCTION("""COMPUTED_VALUE"""),0)</f>
        <v>0</v>
      </c>
      <c r="R832" s="3" t="str">
        <f ca="1">IFERROR(__xludf.DUMMYFUNCTION("""COMPUTED_VALUE"""),"2055-06-11T20:33:46.270184Z")</f>
        <v>2055-06-11T20:33:46.270184Z</v>
      </c>
      <c r="S832" s="3" t="str">
        <f ca="1">IFERROR(__xludf.DUMMYFUNCTION("""COMPUTED_VALUE"""),"2055-06-11T20:52:52.201414Z")</f>
        <v>2055-06-11T20:52:52.201414Z</v>
      </c>
      <c r="T832" s="3"/>
      <c r="U832" s="4">
        <f ca="1">IFERROR(__xludf.DUMMYFUNCTION("""COMPUTED_VALUE"""),56776)</f>
        <v>56776</v>
      </c>
      <c r="V832" s="3">
        <f ca="1">IFERROR(__xludf.DUMMYFUNCTION("""COMPUTED_VALUE"""),3.11586321)</f>
        <v>3.1158632100000001</v>
      </c>
      <c r="W832" s="3">
        <f ca="1">IFERROR(__xludf.DUMMYFUNCTION("""COMPUTED_VALUE"""),1500)</f>
        <v>1500</v>
      </c>
      <c r="X832" s="3">
        <f ca="1">IFERROR(__xludf.DUMMYFUNCTION("""COMPUTED_VALUE"""),2443)</f>
        <v>2443</v>
      </c>
      <c r="Y832" s="3">
        <f ca="1">IFERROR(__xludf.DUMMYFUNCTION("""COMPUTED_VALUE"""),1146)</f>
        <v>1146</v>
      </c>
      <c r="Z832" s="3">
        <f ca="1">IFERROR(__xludf.DUMMYFUNCTION("""COMPUTED_VALUE"""),583)</f>
        <v>583</v>
      </c>
      <c r="AA832" s="3">
        <f ca="1">IFERROR(__xludf.DUMMYFUNCTION("""COMPUTED_VALUE"""),714)</f>
        <v>714</v>
      </c>
      <c r="AB832" s="3">
        <f ca="1">IFERROR(__xludf.DUMMYFUNCTION("""COMPUTED_VALUE"""),0)</f>
        <v>0</v>
      </c>
      <c r="AC832" s="3">
        <f ca="1">IFERROR(__xludf.DUMMYFUNCTION("""COMPUTED_VALUE"""),2)</f>
        <v>2</v>
      </c>
      <c r="AD832" s="3" t="str">
        <f ca="1">IFERROR(__xludf.DUMMYFUNCTION("""COMPUTED_VALUE"""),"early")</f>
        <v>early</v>
      </c>
      <c r="AE832" s="3" t="str">
        <f ca="1">IFERROR(__xludf.DUMMYFUNCTION("""COMPUTED_VALUE"""),"2055-06-11T17:02:35.78012Z")</f>
        <v>2055-06-11T17:02:35.78012Z</v>
      </c>
      <c r="AF832" s="3" t="str">
        <f ca="1">IFERROR(__xludf.DUMMYFUNCTION("""COMPUTED_VALUE"""),"2055-06-11T17:14:29.932345Z")</f>
        <v>2055-06-11T17:14:29.932345Z</v>
      </c>
      <c r="AG832" s="3" t="str">
        <f ca="1">IFERROR(__xludf.DUMMYFUNCTION("""COMPUTED_VALUE"""),"2055-06-11T16:33:34.288869Z")</f>
        <v>2055-06-11T16:33:34.288869Z</v>
      </c>
      <c r="AH832" s="3" t="str">
        <f ca="1">IFERROR(__xludf.DUMMYFUNCTION("""COMPUTED_VALUE"""),"2055-06-11T16:52:52.201414Z")</f>
        <v>2055-06-11T16:52:52.201414Z</v>
      </c>
      <c r="AI832" s="3">
        <f ca="1">IFERROR(__xludf.DUMMYFUNCTION("""COMPUTED_VALUE"""),4.54)</f>
        <v>4.54</v>
      </c>
      <c r="AJ832" s="3">
        <f ca="1">IFERROR(__xludf.DUMMYFUNCTION("""COMPUTED_VALUE"""),2229)</f>
        <v>2229</v>
      </c>
      <c r="AK832" s="3">
        <f ca="1">IFERROR(__xludf.DUMMYFUNCTION("""COMPUTED_VALUE"""),6580)</f>
        <v>6580</v>
      </c>
      <c r="AL832" s="3"/>
      <c r="AM832" s="3">
        <f>IFERROR(Raw_Data!AL832 / Raw_Data!AK832, "")</f>
        <v>0</v>
      </c>
      <c r="AN832" s="3" t="str">
        <f>IF(ISBLANK(Raw_Data!AL832), "No", "Yes")</f>
        <v>No</v>
      </c>
      <c r="AO832" s="3">
        <f>IFERROR(Raw_Data!Z832/60, "")</f>
        <v>9.7166666666666668</v>
      </c>
    </row>
    <row r="833" spans="1:41" ht="13">
      <c r="A833" s="3">
        <f ca="1">IFERROR(__xludf.DUMMYFUNCTION("""COMPUTED_VALUE"""),327)</f>
        <v>327</v>
      </c>
      <c r="B833" s="3">
        <f ca="1">IFERROR(__xludf.DUMMYFUNCTION("""COMPUTED_VALUE"""),5)</f>
        <v>5</v>
      </c>
      <c r="C833" s="3">
        <f ca="1">IFERROR(__xludf.DUMMYFUNCTION("""COMPUTED_VALUE"""),4001)</f>
        <v>4001</v>
      </c>
      <c r="D833" s="3" t="str">
        <f ca="1">IFERROR(__xludf.DUMMYFUNCTION("""COMPUTED_VALUE"""),"Dashattan")</f>
        <v>Dashattan</v>
      </c>
      <c r="E833" s="3" t="str">
        <f ca="1">IFERROR(__xludf.DUMMYFUNCTION("""COMPUTED_VALUE"""),"Galaxy A")</f>
        <v>Galaxy A</v>
      </c>
      <c r="F833" s="3" t="str">
        <f ca="1">IFERROR(__xludf.DUMMYFUNCTION("""COMPUTED_VALUE"""),"Bunje")</f>
        <v>Bunje</v>
      </c>
      <c r="G833" s="3">
        <f ca="1">IFERROR(__xludf.DUMMYFUNCTION("""COMPUTED_VALUE"""),0)</f>
        <v>0</v>
      </c>
      <c r="H833" s="3" t="str">
        <f ca="1">IFERROR(__xludf.DUMMYFUNCTION("""COMPUTED_VALUE"""),"bicycle")</f>
        <v>bicycle</v>
      </c>
      <c r="I833" s="3" t="str">
        <f ca="1">IFERROR(__xludf.DUMMYFUNCTION("""COMPUTED_VALUE"""),"2055-06-03T20:47:00.257701Z")</f>
        <v>2055-06-03T20:47:00.257701Z</v>
      </c>
      <c r="J833" s="3" t="str">
        <f ca="1">IFERROR(__xludf.DUMMYFUNCTION("""COMPUTED_VALUE"""),"2055-06-03T21:39:03.361Z")</f>
        <v>2055-06-03T21:39:03.361Z</v>
      </c>
      <c r="K833" s="3" t="str">
        <f ca="1">IFERROR(__xludf.DUMMYFUNCTION("""COMPUTED_VALUE"""),"2055-06-03T21:30:10.361Z")</f>
        <v>2055-06-03T21:30:10.361Z</v>
      </c>
      <c r="L833" s="3">
        <f ca="1">IFERROR(__xludf.DUMMYFUNCTION("""COMPUTED_VALUE"""),1)</f>
        <v>1</v>
      </c>
      <c r="M833" s="3">
        <f ca="1">IFERROR(__xludf.DUMMYFUNCTION("""COMPUTED_VALUE"""),0)</f>
        <v>0</v>
      </c>
      <c r="N833" s="3" t="str">
        <f ca="1">IFERROR(__xludf.DUMMYFUNCTION("""COMPUTED_VALUE"""),"2055-06-03T21:07:06.862978Z")</f>
        <v>2055-06-03T21:07:06.862978Z</v>
      </c>
      <c r="O833" s="3" t="str">
        <f ca="1">IFERROR(__xludf.DUMMYFUNCTION("""COMPUTED_VALUE"""),"2055-06-03T21:26:50.75461Z")</f>
        <v>2055-06-03T21:26:50.75461Z</v>
      </c>
      <c r="P833" s="3" t="str">
        <f ca="1">IFERROR(__xludf.DUMMYFUNCTION("""COMPUTED_VALUE"""),"2055-06-03T20:47:14.1592Z")</f>
        <v>2055-06-03T20:47:14.1592Z</v>
      </c>
      <c r="Q833" s="3">
        <f ca="1">IFERROR(__xludf.DUMMYFUNCTION("""COMPUTED_VALUE"""),0)</f>
        <v>0</v>
      </c>
      <c r="R833" s="3" t="str">
        <f ca="1">IFERROR(__xludf.DUMMYFUNCTION("""COMPUTED_VALUE"""),"2055-06-03T20:47:23.915284Z")</f>
        <v>2055-06-03T20:47:23.915284Z</v>
      </c>
      <c r="S833" s="3" t="str">
        <f ca="1">IFERROR(__xludf.DUMMYFUNCTION("""COMPUTED_VALUE"""),"2055-06-03T21:05:46.532487Z")</f>
        <v>2055-06-03T21:05:46.532487Z</v>
      </c>
      <c r="T833" s="3"/>
      <c r="U833" s="4">
        <f ca="1">IFERROR(__xludf.DUMMYFUNCTION("""COMPUTED_VALUE"""),56768)</f>
        <v>56768</v>
      </c>
      <c r="V833" s="3">
        <f ca="1">IFERROR(__xludf.DUMMYFUNCTION("""COMPUTED_VALUE"""),4.2)</f>
        <v>4.2</v>
      </c>
      <c r="W833" s="3">
        <f ca="1">IFERROR(__xludf.DUMMYFUNCTION("""COMPUTED_VALUE"""),1500)</f>
        <v>1500</v>
      </c>
      <c r="X833" s="3">
        <f ca="1">IFERROR(__xludf.DUMMYFUNCTION("""COMPUTED_VALUE"""),2367)</f>
        <v>2367</v>
      </c>
      <c r="Y833" s="3">
        <f ca="1">IFERROR(__xludf.DUMMYFUNCTION("""COMPUTED_VALUE"""),1103)</f>
        <v>1103</v>
      </c>
      <c r="Z833" s="3">
        <f ca="1">IFERROR(__xludf.DUMMYFUNCTION("""COMPUTED_VALUE"""),80)</f>
        <v>80</v>
      </c>
      <c r="AA833" s="3">
        <f ca="1">IFERROR(__xludf.DUMMYFUNCTION("""COMPUTED_VALUE"""),1184)</f>
        <v>1184</v>
      </c>
      <c r="AB833" s="3">
        <f ca="1">IFERROR(__xludf.DUMMYFUNCTION("""COMPUTED_VALUE"""),0)</f>
        <v>0</v>
      </c>
      <c r="AC833" s="3">
        <f ca="1">IFERROR(__xludf.DUMMYFUNCTION("""COMPUTED_VALUE"""),2)</f>
        <v>2</v>
      </c>
      <c r="AD833" s="3" t="str">
        <f ca="1">IFERROR(__xludf.DUMMYFUNCTION("""COMPUTED_VALUE"""),"on time")</f>
        <v>on time</v>
      </c>
      <c r="AE833" s="3" t="str">
        <f ca="1">IFERROR(__xludf.DUMMYFUNCTION("""COMPUTED_VALUE"""),"2055-06-03T17:07:06.862978Z")</f>
        <v>2055-06-03T17:07:06.862978Z</v>
      </c>
      <c r="AF833" s="3" t="str">
        <f ca="1">IFERROR(__xludf.DUMMYFUNCTION("""COMPUTED_VALUE"""),"2055-06-03T17:26:50.75461Z")</f>
        <v>2055-06-03T17:26:50.75461Z</v>
      </c>
      <c r="AG833" s="3" t="str">
        <f ca="1">IFERROR(__xludf.DUMMYFUNCTION("""COMPUTED_VALUE"""),"2055-06-03T16:47:14.1592Z")</f>
        <v>2055-06-03T16:47:14.1592Z</v>
      </c>
      <c r="AH833" s="3" t="str">
        <f ca="1">IFERROR(__xludf.DUMMYFUNCTION("""COMPUTED_VALUE"""),"2055-06-03T17:05:46.532487Z")</f>
        <v>2055-06-03T17:05:46.532487Z</v>
      </c>
      <c r="AI833" s="3">
        <f ca="1">IFERROR(__xludf.DUMMYFUNCTION("""COMPUTED_VALUE"""),4.7)</f>
        <v>4.7</v>
      </c>
      <c r="AJ833" s="3">
        <f ca="1">IFERROR(__xludf.DUMMYFUNCTION("""COMPUTED_VALUE"""),443)</f>
        <v>443</v>
      </c>
      <c r="AK833" s="3">
        <f ca="1">IFERROR(__xludf.DUMMYFUNCTION("""COMPUTED_VALUE"""),1579)</f>
        <v>1579</v>
      </c>
      <c r="AL833" s="3"/>
      <c r="AM833" s="3">
        <f>IFERROR(Raw_Data!AL833 / Raw_Data!AK833, "")</f>
        <v>0</v>
      </c>
      <c r="AN833" s="3" t="str">
        <f>IF(ISBLANK(Raw_Data!AL833), "No", "Yes")</f>
        <v>No</v>
      </c>
      <c r="AO833" s="3">
        <f>IFERROR(Raw_Data!Z833/60, "")</f>
        <v>1.3333333333333333</v>
      </c>
    </row>
    <row r="834" spans="1:41" ht="13">
      <c r="A834" s="3">
        <f ca="1">IFERROR(__xludf.DUMMYFUNCTION("""COMPUTED_VALUE"""),187)</f>
        <v>187</v>
      </c>
      <c r="B834" s="3">
        <f ca="1">IFERROR(__xludf.DUMMYFUNCTION("""COMPUTED_VALUE"""),5)</f>
        <v>5</v>
      </c>
      <c r="C834" s="3">
        <f ca="1">IFERROR(__xludf.DUMMYFUNCTION("""COMPUTED_VALUE"""),4001)</f>
        <v>4001</v>
      </c>
      <c r="D834" s="3" t="str">
        <f ca="1">IFERROR(__xludf.DUMMYFUNCTION("""COMPUTED_VALUE"""),"Dashattan")</f>
        <v>Dashattan</v>
      </c>
      <c r="E834" s="3" t="str">
        <f ca="1">IFERROR(__xludf.DUMMYFUNCTION("""COMPUTED_VALUE"""),"Galaxy A")</f>
        <v>Galaxy A</v>
      </c>
      <c r="F834" s="3" t="str">
        <f ca="1">IFERROR(__xludf.DUMMYFUNCTION("""COMPUTED_VALUE"""),"Ron")</f>
        <v>Ron</v>
      </c>
      <c r="G834" s="3">
        <f ca="1">IFERROR(__xludf.DUMMYFUNCTION("""COMPUTED_VALUE"""),0)</f>
        <v>0</v>
      </c>
      <c r="H834" s="3" t="str">
        <f ca="1">IFERROR(__xludf.DUMMYFUNCTION("""COMPUTED_VALUE"""),"bicycle")</f>
        <v>bicycle</v>
      </c>
      <c r="I834" s="3" t="str">
        <f ca="1">IFERROR(__xludf.DUMMYFUNCTION("""COMPUTED_VALUE"""),"2055-06-02T22:27:03.778209Z")</f>
        <v>2055-06-02T22:27:03.778209Z</v>
      </c>
      <c r="J834" s="3" t="str">
        <f ca="1">IFERROR(__xludf.DUMMYFUNCTION("""COMPUTED_VALUE"""),"2055-06-02T23:09:40.825Z")</f>
        <v>2055-06-02T23:09:40.825Z</v>
      </c>
      <c r="K834" s="3" t="str">
        <f ca="1">IFERROR(__xludf.DUMMYFUNCTION("""COMPUTED_VALUE"""),"2055-06-02T23:00:01.825Z")</f>
        <v>2055-06-02T23:00:01.825Z</v>
      </c>
      <c r="L834" s="3">
        <f ca="1">IFERROR(__xludf.DUMMYFUNCTION("""COMPUTED_VALUE"""),1)</f>
        <v>1</v>
      </c>
      <c r="M834" s="3">
        <f ca="1">IFERROR(__xludf.DUMMYFUNCTION("""COMPUTED_VALUE"""),0)</f>
        <v>0</v>
      </c>
      <c r="N834" s="3" t="str">
        <f ca="1">IFERROR(__xludf.DUMMYFUNCTION("""COMPUTED_VALUE"""),"2055-06-02T22:40:00.938928Z")</f>
        <v>2055-06-02T22:40:00.938928Z</v>
      </c>
      <c r="O834" s="3" t="str">
        <f ca="1">IFERROR(__xludf.DUMMYFUNCTION("""COMPUTED_VALUE"""),"2055-06-02T22:53:58.805496Z")</f>
        <v>2055-06-02T22:53:58.805496Z</v>
      </c>
      <c r="P834" s="3" t="str">
        <f ca="1">IFERROR(__xludf.DUMMYFUNCTION("""COMPUTED_VALUE"""),"2055-06-02T22:32:34.372769Z")</f>
        <v>2055-06-02T22:32:34.372769Z</v>
      </c>
      <c r="Q834" s="3">
        <f ca="1">IFERROR(__xludf.DUMMYFUNCTION("""COMPUTED_VALUE"""),0)</f>
        <v>0</v>
      </c>
      <c r="R834" s="3" t="str">
        <f ca="1">IFERROR(__xludf.DUMMYFUNCTION("""COMPUTED_VALUE"""),"2055-06-02T22:32:42.433733Z")</f>
        <v>2055-06-02T22:32:42.433733Z</v>
      </c>
      <c r="S834" s="3" t="str">
        <f ca="1">IFERROR(__xludf.DUMMYFUNCTION("""COMPUTED_VALUE"""),"2055-06-02T22:45:54.227591Z")</f>
        <v>2055-06-02T22:45:54.227591Z</v>
      </c>
      <c r="T834" s="3"/>
      <c r="U834" s="4">
        <f ca="1">IFERROR(__xludf.DUMMYFUNCTION("""COMPUTED_VALUE"""),56767)</f>
        <v>56767</v>
      </c>
      <c r="V834" s="3">
        <f ca="1">IFERROR(__xludf.DUMMYFUNCTION("""COMPUTED_VALUE"""),4.3)</f>
        <v>4.3</v>
      </c>
      <c r="W834" s="3">
        <f ca="1">IFERROR(__xludf.DUMMYFUNCTION("""COMPUTED_VALUE"""),1500)</f>
        <v>1500</v>
      </c>
      <c r="X834" s="3">
        <f ca="1">IFERROR(__xludf.DUMMYFUNCTION("""COMPUTED_VALUE"""),1276)</f>
        <v>1276</v>
      </c>
      <c r="Y834" s="3">
        <f ca="1">IFERROR(__xludf.DUMMYFUNCTION("""COMPUTED_VALUE"""),792)</f>
        <v>792</v>
      </c>
      <c r="Z834" s="3"/>
      <c r="AA834" s="3">
        <f ca="1">IFERROR(__xludf.DUMMYFUNCTION("""COMPUTED_VALUE"""),838)</f>
        <v>838</v>
      </c>
      <c r="AB834" s="3">
        <f ca="1">IFERROR(__xludf.DUMMYFUNCTION("""COMPUTED_VALUE"""),0)</f>
        <v>0</v>
      </c>
      <c r="AC834" s="3">
        <f ca="1">IFERROR(__xludf.DUMMYFUNCTION("""COMPUTED_VALUE"""),1)</f>
        <v>1</v>
      </c>
      <c r="AD834" s="3" t="str">
        <f ca="1">IFERROR(__xludf.DUMMYFUNCTION("""COMPUTED_VALUE"""),"late")</f>
        <v>late</v>
      </c>
      <c r="AE834" s="3" t="str">
        <f ca="1">IFERROR(__xludf.DUMMYFUNCTION("""COMPUTED_VALUE"""),"2055-06-02T18:40:00.938928Z")</f>
        <v>2055-06-02T18:40:00.938928Z</v>
      </c>
      <c r="AF834" s="3" t="str">
        <f ca="1">IFERROR(__xludf.DUMMYFUNCTION("""COMPUTED_VALUE"""),"2055-06-02T18:53:58.805496Z")</f>
        <v>2055-06-02T18:53:58.805496Z</v>
      </c>
      <c r="AG834" s="3" t="str">
        <f ca="1">IFERROR(__xludf.DUMMYFUNCTION("""COMPUTED_VALUE"""),"2055-06-02T18:32:34.372769Z")</f>
        <v>2055-06-02T18:32:34.372769Z</v>
      </c>
      <c r="AH834" s="3" t="str">
        <f ca="1">IFERROR(__xludf.DUMMYFUNCTION("""COMPUTED_VALUE"""),"2055-06-02T18:45:54.227591Z")</f>
        <v>2055-06-02T18:45:54.227591Z</v>
      </c>
      <c r="AI834" s="3">
        <f ca="1">IFERROR(__xludf.DUMMYFUNCTION("""COMPUTED_VALUE"""),4.56)</f>
        <v>4.5599999999999996</v>
      </c>
      <c r="AJ834" s="3">
        <f ca="1">IFERROR(__xludf.DUMMYFUNCTION("""COMPUTED_VALUE"""),765)</f>
        <v>765</v>
      </c>
      <c r="AK834" s="3">
        <f ca="1">IFERROR(__xludf.DUMMYFUNCTION("""COMPUTED_VALUE"""),2618)</f>
        <v>2618</v>
      </c>
      <c r="AL834" s="3"/>
      <c r="AM834" s="3">
        <f>IFERROR(Raw_Data!AL834 / Raw_Data!AK834, "")</f>
        <v>0</v>
      </c>
      <c r="AN834" s="3" t="str">
        <f>IF(ISBLANK(Raw_Data!AL834), "No", "Yes")</f>
        <v>No</v>
      </c>
      <c r="AO834" s="3">
        <f>IFERROR(Raw_Data!Z834/60, "")</f>
        <v>0</v>
      </c>
    </row>
    <row r="835" spans="1:41" ht="13">
      <c r="A835" s="3">
        <f ca="1">IFERROR(__xludf.DUMMYFUNCTION("""COMPUTED_VALUE"""),1276)</f>
        <v>1276</v>
      </c>
      <c r="B835" s="3">
        <f ca="1">IFERROR(__xludf.DUMMYFUNCTION("""COMPUTED_VALUE"""),5)</f>
        <v>5</v>
      </c>
      <c r="C835" s="3">
        <f ca="1">IFERROR(__xludf.DUMMYFUNCTION("""COMPUTED_VALUE"""),4001)</f>
        <v>4001</v>
      </c>
      <c r="D835" s="3" t="str">
        <f ca="1">IFERROR(__xludf.DUMMYFUNCTION("""COMPUTED_VALUE"""),"Dashattan")</f>
        <v>Dashattan</v>
      </c>
      <c r="E835" s="3" t="str">
        <f ca="1">IFERROR(__xludf.DUMMYFUNCTION("""COMPUTED_VALUE"""),"Galaxy A")</f>
        <v>Galaxy A</v>
      </c>
      <c r="F835" s="3" t="str">
        <f ca="1">IFERROR(__xludf.DUMMYFUNCTION("""COMPUTED_VALUE"""),"KC")</f>
        <v>KC</v>
      </c>
      <c r="G835" s="3">
        <f ca="1">IFERROR(__xludf.DUMMYFUNCTION("""COMPUTED_VALUE"""),0)</f>
        <v>0</v>
      </c>
      <c r="H835" s="3" t="str">
        <f ca="1">IFERROR(__xludf.DUMMYFUNCTION("""COMPUTED_VALUE"""),"car")</f>
        <v>car</v>
      </c>
      <c r="I835" s="3" t="str">
        <f ca="1">IFERROR(__xludf.DUMMYFUNCTION("""COMPUTED_VALUE"""),"2055-06-11T17:36:51.888263Z")</f>
        <v>2055-06-11T17:36:51.888263Z</v>
      </c>
      <c r="J835" s="3" t="str">
        <f ca="1">IFERROR(__xludf.DUMMYFUNCTION("""COMPUTED_VALUE"""),"2055-06-11T18:52:43.975Z")</f>
        <v>2055-06-11T18:52:43.975Z</v>
      </c>
      <c r="K835" s="3" t="str">
        <f ca="1">IFERROR(__xludf.DUMMYFUNCTION("""COMPUTED_VALUE"""),"2055-06-11T18:28:02.975Z")</f>
        <v>2055-06-11T18:28:02.975Z</v>
      </c>
      <c r="L835" s="3">
        <f ca="1">IFERROR(__xludf.DUMMYFUNCTION("""COMPUTED_VALUE"""),1)</f>
        <v>1</v>
      </c>
      <c r="M835" s="3">
        <f ca="1">IFERROR(__xludf.DUMMYFUNCTION("""COMPUTED_VALUE"""),0)</f>
        <v>0</v>
      </c>
      <c r="N835" s="3" t="str">
        <f ca="1">IFERROR(__xludf.DUMMYFUNCTION("""COMPUTED_VALUE"""),"2055-06-11T18:07:37.866992Z")</f>
        <v>2055-06-11T18:07:37.866992Z</v>
      </c>
      <c r="O835" s="3" t="str">
        <f ca="1">IFERROR(__xludf.DUMMYFUNCTION("""COMPUTED_VALUE"""),"2055-06-11T18:22:04.821352Z")</f>
        <v>2055-06-11T18:22:04.821352Z</v>
      </c>
      <c r="P835" s="3" t="str">
        <f ca="1">IFERROR(__xludf.DUMMYFUNCTION("""COMPUTED_VALUE"""),"2055-06-11T17:43:54.587565Z")</f>
        <v>2055-06-11T17:43:54.587565Z</v>
      </c>
      <c r="Q835" s="3">
        <f ca="1">IFERROR(__xludf.DUMMYFUNCTION("""COMPUTED_VALUE"""),0)</f>
        <v>0</v>
      </c>
      <c r="R835" s="3" t="str">
        <f ca="1">IFERROR(__xludf.DUMMYFUNCTION("""COMPUTED_VALUE"""),"2055-06-11T17:44:17.946325Z")</f>
        <v>2055-06-11T17:44:17.946325Z</v>
      </c>
      <c r="S835" s="3" t="str">
        <f ca="1">IFERROR(__xludf.DUMMYFUNCTION("""COMPUTED_VALUE"""),"2055-06-11T17:56:58.205573Z")</f>
        <v>2055-06-11T17:56:58.205573Z</v>
      </c>
      <c r="T835" s="3"/>
      <c r="U835" s="4">
        <f ca="1">IFERROR(__xludf.DUMMYFUNCTION("""COMPUTED_VALUE"""),56776)</f>
        <v>56776</v>
      </c>
      <c r="V835" s="3">
        <f ca="1">IFERROR(__xludf.DUMMYFUNCTION("""COMPUTED_VALUE"""),4.2)</f>
        <v>4.2</v>
      </c>
      <c r="W835" s="3">
        <f ca="1">IFERROR(__xludf.DUMMYFUNCTION("""COMPUTED_VALUE"""),1500)</f>
        <v>1500</v>
      </c>
      <c r="X835" s="3">
        <f ca="1">IFERROR(__xludf.DUMMYFUNCTION("""COMPUTED_VALUE"""),2267)</f>
        <v>2267</v>
      </c>
      <c r="Y835" s="3">
        <f ca="1">IFERROR(__xludf.DUMMYFUNCTION("""COMPUTED_VALUE"""),761)</f>
        <v>761</v>
      </c>
      <c r="Z835" s="3">
        <f ca="1">IFERROR(__xludf.DUMMYFUNCTION("""COMPUTED_VALUE"""),639)</f>
        <v>639</v>
      </c>
      <c r="AA835" s="3">
        <f ca="1">IFERROR(__xludf.DUMMYFUNCTION("""COMPUTED_VALUE"""),867)</f>
        <v>867</v>
      </c>
      <c r="AB835" s="3">
        <f ca="1">IFERROR(__xludf.DUMMYFUNCTION("""COMPUTED_VALUE"""),0)</f>
        <v>0</v>
      </c>
      <c r="AC835" s="3">
        <f ca="1">IFERROR(__xludf.DUMMYFUNCTION("""COMPUTED_VALUE"""),3)</f>
        <v>3</v>
      </c>
      <c r="AD835" s="3" t="str">
        <f ca="1">IFERROR(__xludf.DUMMYFUNCTION("""COMPUTED_VALUE"""),"on time")</f>
        <v>on time</v>
      </c>
      <c r="AE835" s="3" t="str">
        <f ca="1">IFERROR(__xludf.DUMMYFUNCTION("""COMPUTED_VALUE"""),"2055-06-11T14:07:37.866992Z")</f>
        <v>2055-06-11T14:07:37.866992Z</v>
      </c>
      <c r="AF835" s="3" t="str">
        <f ca="1">IFERROR(__xludf.DUMMYFUNCTION("""COMPUTED_VALUE"""),"2055-06-11T14:22:04.821352Z")</f>
        <v>2055-06-11T14:22:04.821352Z</v>
      </c>
      <c r="AG835" s="3" t="str">
        <f ca="1">IFERROR(__xludf.DUMMYFUNCTION("""COMPUTED_VALUE"""),"2055-06-11T13:43:54.587565Z")</f>
        <v>2055-06-11T13:43:54.587565Z</v>
      </c>
      <c r="AH835" s="3" t="str">
        <f ca="1">IFERROR(__xludf.DUMMYFUNCTION("""COMPUTED_VALUE"""),"2055-06-11T13:56:58.205573Z")</f>
        <v>2055-06-11T13:56:58.205573Z</v>
      </c>
      <c r="AI835" s="3">
        <f ca="1">IFERROR(__xludf.DUMMYFUNCTION("""COMPUTED_VALUE"""),4.54)</f>
        <v>4.54</v>
      </c>
      <c r="AJ835" s="3">
        <f ca="1">IFERROR(__xludf.DUMMYFUNCTION("""COMPUTED_VALUE"""),2229)</f>
        <v>2229</v>
      </c>
      <c r="AK835" s="3">
        <f ca="1">IFERROR(__xludf.DUMMYFUNCTION("""COMPUTED_VALUE"""),6580)</f>
        <v>6580</v>
      </c>
      <c r="AL835" s="3"/>
      <c r="AM835" s="3">
        <f>IFERROR(Raw_Data!AL835 / Raw_Data!AK835, "")</f>
        <v>0</v>
      </c>
      <c r="AN835" s="3" t="str">
        <f>IF(ISBLANK(Raw_Data!AL835), "No", "Yes")</f>
        <v>No</v>
      </c>
      <c r="AO835" s="3">
        <f>IFERROR(Raw_Data!Z835/60, "")</f>
        <v>10.65</v>
      </c>
    </row>
    <row r="836" spans="1:41" ht="13">
      <c r="A836" s="3">
        <f ca="1">IFERROR(__xludf.DUMMYFUNCTION("""COMPUTED_VALUE"""),30)</f>
        <v>30</v>
      </c>
      <c r="B836" s="3">
        <f ca="1">IFERROR(__xludf.DUMMYFUNCTION("""COMPUTED_VALUE"""),5)</f>
        <v>5</v>
      </c>
      <c r="C836" s="3">
        <f ca="1">IFERROR(__xludf.DUMMYFUNCTION("""COMPUTED_VALUE"""),4050)</f>
        <v>4050</v>
      </c>
      <c r="D836" s="3" t="str">
        <f ca="1">IFERROR(__xludf.DUMMYFUNCTION("""COMPUTED_VALUE"""),"Doorlanta")</f>
        <v>Doorlanta</v>
      </c>
      <c r="E836" s="3" t="str">
        <f ca="1">IFERROR(__xludf.DUMMYFUNCTION("""COMPUTED_VALUE"""),"Galaxy A")</f>
        <v>Galaxy A</v>
      </c>
      <c r="F836" s="3" t="str">
        <f ca="1">IFERROR(__xludf.DUMMYFUNCTION("""COMPUTED_VALUE"""),"Matt")</f>
        <v>Matt</v>
      </c>
      <c r="G836" s="3">
        <f ca="1">IFERROR(__xludf.DUMMYFUNCTION("""COMPUTED_VALUE"""),0)</f>
        <v>0</v>
      </c>
      <c r="H836" s="3" t="str">
        <f ca="1">IFERROR(__xludf.DUMMYFUNCTION("""COMPUTED_VALUE"""),"car")</f>
        <v>car</v>
      </c>
      <c r="I836" s="3" t="str">
        <f ca="1">IFERROR(__xludf.DUMMYFUNCTION("""COMPUTED_VALUE"""),"2055-06-01T20:09:20.279843Z")</f>
        <v>2055-06-01T20:09:20.279843Z</v>
      </c>
      <c r="J836" s="3" t="str">
        <f ca="1">IFERROR(__xludf.DUMMYFUNCTION("""COMPUTED_VALUE"""),"2055-06-01T21:08:08.352Z")</f>
        <v>2055-06-01T21:08:08.352Z</v>
      </c>
      <c r="K836" s="3" t="str">
        <f ca="1">IFERROR(__xludf.DUMMYFUNCTION("""COMPUTED_VALUE"""),"2055-06-01T20:53:27.352Z")</f>
        <v>2055-06-01T20:53:27.352Z</v>
      </c>
      <c r="L836" s="3">
        <f ca="1">IFERROR(__xludf.DUMMYFUNCTION("""COMPUTED_VALUE"""),1)</f>
        <v>1</v>
      </c>
      <c r="M836" s="3">
        <f ca="1">IFERROR(__xludf.DUMMYFUNCTION("""COMPUTED_VALUE"""),0)</f>
        <v>0</v>
      </c>
      <c r="N836" s="3" t="str">
        <f ca="1">IFERROR(__xludf.DUMMYFUNCTION("""COMPUTED_VALUE"""),"2055-06-01T20:39:38.134448Z")</f>
        <v>2055-06-01T20:39:38.134448Z</v>
      </c>
      <c r="O836" s="3" t="str">
        <f ca="1">IFERROR(__xludf.DUMMYFUNCTION("""COMPUTED_VALUE"""),"2055-06-01T20:56:38.134468Z")</f>
        <v>2055-06-01T20:56:38.134468Z</v>
      </c>
      <c r="P836" s="3" t="str">
        <f ca="1">IFERROR(__xludf.DUMMYFUNCTION("""COMPUTED_VALUE"""),"2055-06-01T20:09:27.323837Z")</f>
        <v>2055-06-01T20:09:27.323837Z</v>
      </c>
      <c r="Q836" s="3">
        <f ca="1">IFERROR(__xludf.DUMMYFUNCTION("""COMPUTED_VALUE"""),0)</f>
        <v>0</v>
      </c>
      <c r="R836" s="3" t="str">
        <f ca="1">IFERROR(__xludf.DUMMYFUNCTION("""COMPUTED_VALUE"""),"2055-06-01T20:09:46.676562Z")</f>
        <v>2055-06-01T20:09:46.676562Z</v>
      </c>
      <c r="S836" s="3" t="str">
        <f ca="1">IFERROR(__xludf.DUMMYFUNCTION("""COMPUTED_VALUE"""),"2055-06-01T20:31:52.141061Z")</f>
        <v>2055-06-01T20:31:52.141061Z</v>
      </c>
      <c r="T836" s="3"/>
      <c r="U836" s="4">
        <f ca="1">IFERROR(__xludf.DUMMYFUNCTION("""COMPUTED_VALUE"""),56766)</f>
        <v>56766</v>
      </c>
      <c r="V836" s="3">
        <f ca="1">IFERROR(__xludf.DUMMYFUNCTION("""COMPUTED_VALUE"""),4.6)</f>
        <v>4.5999999999999996</v>
      </c>
      <c r="W836" s="3">
        <f ca="1">IFERROR(__xludf.DUMMYFUNCTION("""COMPUTED_VALUE"""),1500)</f>
        <v>1500</v>
      </c>
      <c r="X836" s="3">
        <f ca="1">IFERROR(__xludf.DUMMYFUNCTION("""COMPUTED_VALUE"""),2812)</f>
        <v>2812</v>
      </c>
      <c r="Y836" s="3">
        <f ca="1">IFERROR(__xludf.DUMMYFUNCTION("""COMPUTED_VALUE"""),1326)</f>
        <v>1326</v>
      </c>
      <c r="Z836" s="3">
        <f ca="1">IFERROR(__xludf.DUMMYFUNCTION("""COMPUTED_VALUE"""),466)</f>
        <v>466</v>
      </c>
      <c r="AA836" s="3">
        <f ca="1">IFERROR(__xludf.DUMMYFUNCTION("""COMPUTED_VALUE"""),1020)</f>
        <v>1020</v>
      </c>
      <c r="AB836" s="3">
        <f ca="1">IFERROR(__xludf.DUMMYFUNCTION("""COMPUTED_VALUE"""),0)</f>
        <v>0</v>
      </c>
      <c r="AC836" s="3">
        <f ca="1">IFERROR(__xludf.DUMMYFUNCTION("""COMPUTED_VALUE"""),1)</f>
        <v>1</v>
      </c>
      <c r="AD836" s="3" t="str">
        <f ca="1">IFERROR(__xludf.DUMMYFUNCTION("""COMPUTED_VALUE"""),"late")</f>
        <v>late</v>
      </c>
      <c r="AE836" s="3" t="str">
        <f ca="1">IFERROR(__xludf.DUMMYFUNCTION("""COMPUTED_VALUE"""),"2055-06-01T16:39:38.134448Z")</f>
        <v>2055-06-01T16:39:38.134448Z</v>
      </c>
      <c r="AF836" s="3" t="str">
        <f ca="1">IFERROR(__xludf.DUMMYFUNCTION("""COMPUTED_VALUE"""),"2055-06-01T16:56:38.134468Z")</f>
        <v>2055-06-01T16:56:38.134468Z</v>
      </c>
      <c r="AG836" s="3" t="str">
        <f ca="1">IFERROR(__xludf.DUMMYFUNCTION("""COMPUTED_VALUE"""),"2055-06-01T16:09:27.323837Z")</f>
        <v>2055-06-01T16:09:27.323837Z</v>
      </c>
      <c r="AH836" s="3" t="str">
        <f ca="1">IFERROR(__xludf.DUMMYFUNCTION("""COMPUTED_VALUE"""),"2055-06-01T16:31:52.141061Z")</f>
        <v>2055-06-01T16:31:52.141061Z</v>
      </c>
      <c r="AI836" s="3">
        <f ca="1">IFERROR(__xludf.DUMMYFUNCTION("""COMPUTED_VALUE"""),4.22)</f>
        <v>4.22</v>
      </c>
      <c r="AJ836" s="3">
        <f ca="1">IFERROR(__xludf.DUMMYFUNCTION("""COMPUTED_VALUE"""),1551)</f>
        <v>1551</v>
      </c>
      <c r="AK836" s="3">
        <f ca="1">IFERROR(__xludf.DUMMYFUNCTION("""COMPUTED_VALUE"""),4625)</f>
        <v>4625</v>
      </c>
      <c r="AL836" s="3"/>
      <c r="AM836" s="3">
        <f>IFERROR(Raw_Data!AL836 / Raw_Data!AK836, "")</f>
        <v>0</v>
      </c>
      <c r="AN836" s="3" t="str">
        <f>IF(ISBLANK(Raw_Data!AL836), "No", "Yes")</f>
        <v>No</v>
      </c>
      <c r="AO836" s="3">
        <f>IFERROR(Raw_Data!Z836/60, "")</f>
        <v>7.7666666666666666</v>
      </c>
    </row>
    <row r="837" spans="1:41" ht="13">
      <c r="A837" s="3">
        <f ca="1">IFERROR(__xludf.DUMMYFUNCTION("""COMPUTED_VALUE"""),73)</f>
        <v>73</v>
      </c>
      <c r="B837" s="3"/>
      <c r="C837" s="3">
        <f ca="1">IFERROR(__xludf.DUMMYFUNCTION("""COMPUTED_VALUE"""),4001)</f>
        <v>4001</v>
      </c>
      <c r="D837" s="3" t="str">
        <f ca="1">IFERROR(__xludf.DUMMYFUNCTION("""COMPUTED_VALUE"""),"Dashattan")</f>
        <v>Dashattan</v>
      </c>
      <c r="E837" s="3" t="str">
        <f ca="1">IFERROR(__xludf.DUMMYFUNCTION("""COMPUTED_VALUE"""),"Galaxy A")</f>
        <v>Galaxy A</v>
      </c>
      <c r="F837" s="3" t="str">
        <f ca="1">IFERROR(__xludf.DUMMYFUNCTION("""COMPUTED_VALUE"""),"Ron")</f>
        <v>Ron</v>
      </c>
      <c r="G837" s="3">
        <f ca="1">IFERROR(__xludf.DUMMYFUNCTION("""COMPUTED_VALUE"""),0)</f>
        <v>0</v>
      </c>
      <c r="H837" s="3" t="str">
        <f ca="1">IFERROR(__xludf.DUMMYFUNCTION("""COMPUTED_VALUE"""),"bicycle")</f>
        <v>bicycle</v>
      </c>
      <c r="I837" s="3" t="str">
        <f ca="1">IFERROR(__xludf.DUMMYFUNCTION("""COMPUTED_VALUE"""),"2055-06-01T23:10:11.932289Z")</f>
        <v>2055-06-01T23:10:11.932289Z</v>
      </c>
      <c r="J837" s="3" t="str">
        <f ca="1">IFERROR(__xludf.DUMMYFUNCTION("""COMPUTED_VALUE"""),"2055-06-02T00:05:19.997Z")</f>
        <v>2055-06-02T00:05:19.997Z</v>
      </c>
      <c r="K837" s="3" t="str">
        <f ca="1">IFERROR(__xludf.DUMMYFUNCTION("""COMPUTED_VALUE"""),"2055-06-01T23:45:12.997Z")</f>
        <v>2055-06-01T23:45:12.997Z</v>
      </c>
      <c r="L837" s="3">
        <f ca="1">IFERROR(__xludf.DUMMYFUNCTION("""COMPUTED_VALUE"""),1)</f>
        <v>1</v>
      </c>
      <c r="M837" s="3">
        <f ca="1">IFERROR(__xludf.DUMMYFUNCTION("""COMPUTED_VALUE"""),0)</f>
        <v>0</v>
      </c>
      <c r="N837" s="3" t="str">
        <f ca="1">IFERROR(__xludf.DUMMYFUNCTION("""COMPUTED_VALUE"""),"2055-06-01T23:39:41.760692Z")</f>
        <v>2055-06-01T23:39:41.760692Z</v>
      </c>
      <c r="O837" s="3" t="str">
        <f ca="1">IFERROR(__xludf.DUMMYFUNCTION("""COMPUTED_VALUE"""),"2055-06-01T23:53:25.378035Z")</f>
        <v>2055-06-01T23:53:25.378035Z</v>
      </c>
      <c r="P837" s="3" t="str">
        <f ca="1">IFERROR(__xludf.DUMMYFUNCTION("""COMPUTED_VALUE"""),"2055-06-01T23:16:35.648776Z")</f>
        <v>2055-06-01T23:16:35.648776Z</v>
      </c>
      <c r="Q837" s="3">
        <f ca="1">IFERROR(__xludf.DUMMYFUNCTION("""COMPUTED_VALUE"""),0)</f>
        <v>0</v>
      </c>
      <c r="R837" s="3" t="str">
        <f ca="1">IFERROR(__xludf.DUMMYFUNCTION("""COMPUTED_VALUE"""),"2055-06-01T23:17:02.767846Z")</f>
        <v>2055-06-01T23:17:02.767846Z</v>
      </c>
      <c r="S837" s="3" t="str">
        <f ca="1">IFERROR(__xludf.DUMMYFUNCTION("""COMPUTED_VALUE"""),"2055-06-01T23:39:54.272092Z")</f>
        <v>2055-06-01T23:39:54.272092Z</v>
      </c>
      <c r="T837" s="3"/>
      <c r="U837" s="4">
        <f ca="1">IFERROR(__xludf.DUMMYFUNCTION("""COMPUTED_VALUE"""),56766)</f>
        <v>56766</v>
      </c>
      <c r="V837" s="3">
        <f ca="1">IFERROR(__xludf.DUMMYFUNCTION("""COMPUTED_VALUE"""),4.3)</f>
        <v>4.3</v>
      </c>
      <c r="W837" s="3">
        <f ca="1">IFERROR(__xludf.DUMMYFUNCTION("""COMPUTED_VALUE"""),1500)</f>
        <v>1500</v>
      </c>
      <c r="X837" s="3">
        <f ca="1">IFERROR(__xludf.DUMMYFUNCTION("""COMPUTED_VALUE"""),2183)</f>
        <v>2183</v>
      </c>
      <c r="Y837" s="3">
        <f ca="1">IFERROR(__xludf.DUMMYFUNCTION("""COMPUTED_VALUE"""),1372)</f>
        <v>1372</v>
      </c>
      <c r="Z837" s="3"/>
      <c r="AA837" s="3">
        <f ca="1">IFERROR(__xludf.DUMMYFUNCTION("""COMPUTED_VALUE"""),824)</f>
        <v>824</v>
      </c>
      <c r="AB837" s="3">
        <f ca="1">IFERROR(__xludf.DUMMYFUNCTION("""COMPUTED_VALUE"""),0)</f>
        <v>0</v>
      </c>
      <c r="AC837" s="3">
        <f ca="1">IFERROR(__xludf.DUMMYFUNCTION("""COMPUTED_VALUE"""),1)</f>
        <v>1</v>
      </c>
      <c r="AD837" s="3" t="str">
        <f ca="1">IFERROR(__xludf.DUMMYFUNCTION("""COMPUTED_VALUE"""),"late")</f>
        <v>late</v>
      </c>
      <c r="AE837" s="3" t="str">
        <f ca="1">IFERROR(__xludf.DUMMYFUNCTION("""COMPUTED_VALUE"""),"2055-06-01T19:39:41.760692Z")</f>
        <v>2055-06-01T19:39:41.760692Z</v>
      </c>
      <c r="AF837" s="3" t="str">
        <f ca="1">IFERROR(__xludf.DUMMYFUNCTION("""COMPUTED_VALUE"""),"2055-06-01T19:53:25.378035Z")</f>
        <v>2055-06-01T19:53:25.378035Z</v>
      </c>
      <c r="AG837" s="3" t="str">
        <f ca="1">IFERROR(__xludf.DUMMYFUNCTION("""COMPUTED_VALUE"""),"2055-06-01T19:16:35.648776Z")</f>
        <v>2055-06-01T19:16:35.648776Z</v>
      </c>
      <c r="AH837" s="3" t="str">
        <f ca="1">IFERROR(__xludf.DUMMYFUNCTION("""COMPUTED_VALUE"""),"2055-06-01T19:39:54.272092Z")</f>
        <v>2055-06-01T19:39:54.272092Z</v>
      </c>
      <c r="AI837" s="3">
        <f ca="1">IFERROR(__xludf.DUMMYFUNCTION("""COMPUTED_VALUE"""),4.56)</f>
        <v>4.5599999999999996</v>
      </c>
      <c r="AJ837" s="3">
        <f ca="1">IFERROR(__xludf.DUMMYFUNCTION("""COMPUTED_VALUE"""),765)</f>
        <v>765</v>
      </c>
      <c r="AK837" s="3">
        <f ca="1">IFERROR(__xludf.DUMMYFUNCTION("""COMPUTED_VALUE"""),2618)</f>
        <v>2618</v>
      </c>
      <c r="AL837" s="3"/>
      <c r="AM837" s="3">
        <f>IFERROR(Raw_Data!AL837 / Raw_Data!AK837, "")</f>
        <v>0</v>
      </c>
      <c r="AN837" s="3" t="str">
        <f>IF(ISBLANK(Raw_Data!AL837), "No", "Yes")</f>
        <v>No</v>
      </c>
      <c r="AO837" s="3">
        <f>IFERROR(Raw_Data!Z837/60, "")</f>
        <v>0</v>
      </c>
    </row>
    <row r="838" spans="1:41" ht="13">
      <c r="A838" s="3">
        <f ca="1">IFERROR(__xludf.DUMMYFUNCTION("""COMPUTED_VALUE"""),168)</f>
        <v>168</v>
      </c>
      <c r="B838" s="3">
        <f ca="1">IFERROR(__xludf.DUMMYFUNCTION("""COMPUTED_VALUE"""),5)</f>
        <v>5</v>
      </c>
      <c r="C838" s="3">
        <f ca="1">IFERROR(__xludf.DUMMYFUNCTION("""COMPUTED_VALUE"""),4001)</f>
        <v>4001</v>
      </c>
      <c r="D838" s="3" t="str">
        <f ca="1">IFERROR(__xludf.DUMMYFUNCTION("""COMPUTED_VALUE"""),"Dashattan")</f>
        <v>Dashattan</v>
      </c>
      <c r="E838" s="3" t="str">
        <f ca="1">IFERROR(__xludf.DUMMYFUNCTION("""COMPUTED_VALUE"""),"Galaxy A")</f>
        <v>Galaxy A</v>
      </c>
      <c r="F838" s="3" t="str">
        <f ca="1">IFERROR(__xludf.DUMMYFUNCTION("""COMPUTED_VALUE"""),"Rojan")</f>
        <v>Rojan</v>
      </c>
      <c r="G838" s="3">
        <f ca="1">IFERROR(__xludf.DUMMYFUNCTION("""COMPUTED_VALUE"""),0)</f>
        <v>0</v>
      </c>
      <c r="H838" s="3" t="str">
        <f ca="1">IFERROR(__xludf.DUMMYFUNCTION("""COMPUTED_VALUE"""),"bicycle")</f>
        <v>bicycle</v>
      </c>
      <c r="I838" s="3" t="str">
        <f ca="1">IFERROR(__xludf.DUMMYFUNCTION("""COMPUTED_VALUE"""),"2055-06-02T21:17:03.01643Z")</f>
        <v>2055-06-02T21:17:03.01643Z</v>
      </c>
      <c r="J838" s="3" t="str">
        <f ca="1">IFERROR(__xludf.DUMMYFUNCTION("""COMPUTED_VALUE"""),"2055-06-02T22:06:02.075Z")</f>
        <v>2055-06-02T22:06:02.075Z</v>
      </c>
      <c r="K838" s="3" t="str">
        <f ca="1">IFERROR(__xludf.DUMMYFUNCTION("""COMPUTED_VALUE"""),"2055-06-02T21:45:55.075Z")</f>
        <v>2055-06-02T21:45:55.075Z</v>
      </c>
      <c r="L838" s="3">
        <f ca="1">IFERROR(__xludf.DUMMYFUNCTION("""COMPUTED_VALUE"""),1)</f>
        <v>1</v>
      </c>
      <c r="M838" s="3">
        <f ca="1">IFERROR(__xludf.DUMMYFUNCTION("""COMPUTED_VALUE"""),0)</f>
        <v>0</v>
      </c>
      <c r="N838" s="3" t="str">
        <f ca="1">IFERROR(__xludf.DUMMYFUNCTION("""COMPUTED_VALUE"""),"2055-06-02T21:30:05.429519Z")</f>
        <v>2055-06-02T21:30:05.429519Z</v>
      </c>
      <c r="O838" s="3" t="str">
        <f ca="1">IFERROR(__xludf.DUMMYFUNCTION("""COMPUTED_VALUE"""),"2055-06-02T21:41:27.789054Z")</f>
        <v>2055-06-02T21:41:27.789054Z</v>
      </c>
      <c r="P838" s="3" t="str">
        <f ca="1">IFERROR(__xludf.DUMMYFUNCTION("""COMPUTED_VALUE"""),"2055-06-02T21:18:34.184265Z")</f>
        <v>2055-06-02T21:18:34.184265Z</v>
      </c>
      <c r="Q838" s="3">
        <f ca="1">IFERROR(__xludf.DUMMYFUNCTION("""COMPUTED_VALUE"""),0)</f>
        <v>0</v>
      </c>
      <c r="R838" s="3" t="str">
        <f ca="1">IFERROR(__xludf.DUMMYFUNCTION("""COMPUTED_VALUE"""),"2055-06-02T21:18:52.087548Z")</f>
        <v>2055-06-02T21:18:52.087548Z</v>
      </c>
      <c r="S838" s="3" t="str">
        <f ca="1">IFERROR(__xludf.DUMMYFUNCTION("""COMPUTED_VALUE"""),"2055-06-02T21:21:44.685954Z")</f>
        <v>2055-06-02T21:21:44.685954Z</v>
      </c>
      <c r="T838" s="3"/>
      <c r="U838" s="4">
        <f ca="1">IFERROR(__xludf.DUMMYFUNCTION("""COMPUTED_VALUE"""),56767)</f>
        <v>56767</v>
      </c>
      <c r="V838" s="3">
        <f ca="1">IFERROR(__xludf.DUMMYFUNCTION("""COMPUTED_VALUE"""),3.379793039)</f>
        <v>3.3797930389999999</v>
      </c>
      <c r="W838" s="3">
        <f ca="1">IFERROR(__xludf.DUMMYFUNCTION("""COMPUTED_VALUE"""),1500)</f>
        <v>1500</v>
      </c>
      <c r="X838" s="3">
        <f ca="1">IFERROR(__xludf.DUMMYFUNCTION("""COMPUTED_VALUE"""),1355)</f>
        <v>1355</v>
      </c>
      <c r="Y838" s="3">
        <f ca="1">IFERROR(__xludf.DUMMYFUNCTION("""COMPUTED_VALUE"""),172)</f>
        <v>172</v>
      </c>
      <c r="Z838" s="3">
        <f ca="1">IFERROR(__xludf.DUMMYFUNCTION("""COMPUTED_VALUE"""),501)</f>
        <v>501</v>
      </c>
      <c r="AA838" s="3">
        <f ca="1">IFERROR(__xludf.DUMMYFUNCTION("""COMPUTED_VALUE"""),682)</f>
        <v>682</v>
      </c>
      <c r="AB838" s="3">
        <f ca="1">IFERROR(__xludf.DUMMYFUNCTION("""COMPUTED_VALUE"""),0)</f>
        <v>0</v>
      </c>
      <c r="AC838" s="3">
        <f ca="1">IFERROR(__xludf.DUMMYFUNCTION("""COMPUTED_VALUE"""),1)</f>
        <v>1</v>
      </c>
      <c r="AD838" s="3" t="str">
        <f ca="1">IFERROR(__xludf.DUMMYFUNCTION("""COMPUTED_VALUE"""),"on time")</f>
        <v>on time</v>
      </c>
      <c r="AE838" s="3" t="str">
        <f ca="1">IFERROR(__xludf.DUMMYFUNCTION("""COMPUTED_VALUE"""),"2055-06-02T17:30:05.429519Z")</f>
        <v>2055-06-02T17:30:05.429519Z</v>
      </c>
      <c r="AF838" s="3" t="str">
        <f ca="1">IFERROR(__xludf.DUMMYFUNCTION("""COMPUTED_VALUE"""),"2055-06-02T17:41:27.789054Z")</f>
        <v>2055-06-02T17:41:27.789054Z</v>
      </c>
      <c r="AG838" s="3" t="str">
        <f ca="1">IFERROR(__xludf.DUMMYFUNCTION("""COMPUTED_VALUE"""),"2055-06-02T17:18:34.184265Z")</f>
        <v>2055-06-02T17:18:34.184265Z</v>
      </c>
      <c r="AH838" s="3" t="str">
        <f ca="1">IFERROR(__xludf.DUMMYFUNCTION("""COMPUTED_VALUE"""),"2055-06-02T17:21:44.685954Z")</f>
        <v>2055-06-02T17:21:44.685954Z</v>
      </c>
      <c r="AI838" s="3">
        <f ca="1">IFERROR(__xludf.DUMMYFUNCTION("""COMPUTED_VALUE"""),4.58)</f>
        <v>4.58</v>
      </c>
      <c r="AJ838" s="3">
        <f ca="1">IFERROR(__xludf.DUMMYFUNCTION("""COMPUTED_VALUE"""),254)</f>
        <v>254</v>
      </c>
      <c r="AK838" s="3">
        <f ca="1">IFERROR(__xludf.DUMMYFUNCTION("""COMPUTED_VALUE"""),788)</f>
        <v>788</v>
      </c>
      <c r="AL838" s="3">
        <f ca="1">IFERROR(__xludf.DUMMYFUNCTION("""COMPUTED_VALUE"""),9)</f>
        <v>9</v>
      </c>
      <c r="AM838" s="3">
        <f>IFERROR(Raw_Data!AL838 / Raw_Data!AK838, "")</f>
        <v>1.1421319796954314E-2</v>
      </c>
      <c r="AN838" s="3" t="str">
        <f>IF(ISBLANK(Raw_Data!AL838), "No", "Yes")</f>
        <v>Yes</v>
      </c>
      <c r="AO838" s="3">
        <f>IFERROR(Raw_Data!Z838/60, "")</f>
        <v>8.35</v>
      </c>
    </row>
    <row r="839" spans="1:41" ht="13">
      <c r="A839" s="3">
        <f ca="1">IFERROR(__xludf.DUMMYFUNCTION("""COMPUTED_VALUE"""),287)</f>
        <v>287</v>
      </c>
      <c r="B839" s="3">
        <f ca="1">IFERROR(__xludf.DUMMYFUNCTION("""COMPUTED_VALUE"""),5)</f>
        <v>5</v>
      </c>
      <c r="C839" s="3">
        <f ca="1">IFERROR(__xludf.DUMMYFUNCTION("""COMPUTED_VALUE"""),4001)</f>
        <v>4001</v>
      </c>
      <c r="D839" s="3" t="str">
        <f ca="1">IFERROR(__xludf.DUMMYFUNCTION("""COMPUTED_VALUE"""),"Dashattan")</f>
        <v>Dashattan</v>
      </c>
      <c r="E839" s="3" t="str">
        <f ca="1">IFERROR(__xludf.DUMMYFUNCTION("""COMPUTED_VALUE"""),"Galaxy A")</f>
        <v>Galaxy A</v>
      </c>
      <c r="F839" s="3" t="str">
        <f ca="1">IFERROR(__xludf.DUMMYFUNCTION("""COMPUTED_VALUE"""),"Sean")</f>
        <v>Sean</v>
      </c>
      <c r="G839" s="3">
        <f ca="1">IFERROR(__xludf.DUMMYFUNCTION("""COMPUTED_VALUE"""),0)</f>
        <v>0</v>
      </c>
      <c r="H839" s="3" t="str">
        <f ca="1">IFERROR(__xludf.DUMMYFUNCTION("""COMPUTED_VALUE"""),"bicycle")</f>
        <v>bicycle</v>
      </c>
      <c r="I839" s="3" t="str">
        <f ca="1">IFERROR(__xludf.DUMMYFUNCTION("""COMPUTED_VALUE"""),"2055-06-03T16:34:20.436488Z")</f>
        <v>2055-06-03T16:34:20.436488Z</v>
      </c>
      <c r="J839" s="3" t="str">
        <f ca="1">IFERROR(__xludf.DUMMYFUNCTION("""COMPUTED_VALUE"""),"2055-06-03T17:26:19.494Z")</f>
        <v>2055-06-03T17:26:19.494Z</v>
      </c>
      <c r="K839" s="3" t="str">
        <f ca="1">IFERROR(__xludf.DUMMYFUNCTION("""COMPUTED_VALUE"""),"2055-06-03T17:06:40.494Z")</f>
        <v>2055-06-03T17:06:40.494Z</v>
      </c>
      <c r="L839" s="3">
        <f ca="1">IFERROR(__xludf.DUMMYFUNCTION("""COMPUTED_VALUE"""),1)</f>
        <v>1</v>
      </c>
      <c r="M839" s="3">
        <f ca="1">IFERROR(__xludf.DUMMYFUNCTION("""COMPUTED_VALUE"""),0)</f>
        <v>0</v>
      </c>
      <c r="N839" s="3" t="str">
        <f ca="1">IFERROR(__xludf.DUMMYFUNCTION("""COMPUTED_VALUE"""),"2055-06-03T16:50:33.941031Z")</f>
        <v>2055-06-03T16:50:33.941031Z</v>
      </c>
      <c r="O839" s="3" t="str">
        <f ca="1">IFERROR(__xludf.DUMMYFUNCTION("""COMPUTED_VALUE"""),"2055-06-03T16:55:53.691804Z")</f>
        <v>2055-06-03T16:55:53.691804Z</v>
      </c>
      <c r="P839" s="3" t="str">
        <f ca="1">IFERROR(__xludf.DUMMYFUNCTION("""COMPUTED_VALUE"""),"2055-06-03T16:36:14.707394Z")</f>
        <v>2055-06-03T16:36:14.707394Z</v>
      </c>
      <c r="Q839" s="3">
        <f ca="1">IFERROR(__xludf.DUMMYFUNCTION("""COMPUTED_VALUE"""),0)</f>
        <v>0</v>
      </c>
      <c r="R839" s="3" t="str">
        <f ca="1">IFERROR(__xludf.DUMMYFUNCTION("""COMPUTED_VALUE"""),"2055-06-03T16:36:51.422811Z")</f>
        <v>2055-06-03T16:36:51.422811Z</v>
      </c>
      <c r="S839" s="3" t="str">
        <f ca="1">IFERROR(__xludf.DUMMYFUNCTION("""COMPUTED_VALUE"""),"2055-06-03T16:44:02.631305Z")</f>
        <v>2055-06-03T16:44:02.631305Z</v>
      </c>
      <c r="T839" s="3"/>
      <c r="U839" s="4">
        <f ca="1">IFERROR(__xludf.DUMMYFUNCTION("""COMPUTED_VALUE"""),56768)</f>
        <v>56768</v>
      </c>
      <c r="V839" s="3">
        <f ca="1">IFERROR(__xludf.DUMMYFUNCTION("""COMPUTED_VALUE"""),4.535008718)</f>
        <v>4.5350087180000003</v>
      </c>
      <c r="W839" s="3">
        <f ca="1">IFERROR(__xludf.DUMMYFUNCTION("""COMPUTED_VALUE"""),1500)</f>
        <v>1500</v>
      </c>
      <c r="X839" s="3">
        <f ca="1">IFERROR(__xludf.DUMMYFUNCTION("""COMPUTED_VALUE"""),1142)</f>
        <v>1142</v>
      </c>
      <c r="Y839" s="3">
        <f ca="1">IFERROR(__xludf.DUMMYFUNCTION("""COMPUTED_VALUE"""),431)</f>
        <v>431</v>
      </c>
      <c r="Z839" s="3">
        <f ca="1">IFERROR(__xludf.DUMMYFUNCTION("""COMPUTED_VALUE"""),391)</f>
        <v>391</v>
      </c>
      <c r="AA839" s="3">
        <f ca="1">IFERROR(__xludf.DUMMYFUNCTION("""COMPUTED_VALUE"""),320)</f>
        <v>320</v>
      </c>
      <c r="AB839" s="3">
        <f ca="1">IFERROR(__xludf.DUMMYFUNCTION("""COMPUTED_VALUE"""),0)</f>
        <v>0</v>
      </c>
      <c r="AC839" s="3">
        <f ca="1">IFERROR(__xludf.DUMMYFUNCTION("""COMPUTED_VALUE"""),1)</f>
        <v>1</v>
      </c>
      <c r="AD839" s="3" t="str">
        <f ca="1">IFERROR(__xludf.DUMMYFUNCTION("""COMPUTED_VALUE"""),"on time")</f>
        <v>on time</v>
      </c>
      <c r="AE839" s="3" t="str">
        <f ca="1">IFERROR(__xludf.DUMMYFUNCTION("""COMPUTED_VALUE"""),"2055-06-03T12:50:33.941031Z")</f>
        <v>2055-06-03T12:50:33.941031Z</v>
      </c>
      <c r="AF839" s="3" t="str">
        <f ca="1">IFERROR(__xludf.DUMMYFUNCTION("""COMPUTED_VALUE"""),"2055-06-03T12:55:53.691804Z")</f>
        <v>2055-06-03T12:55:53.691804Z</v>
      </c>
      <c r="AG839" s="3" t="str">
        <f ca="1">IFERROR(__xludf.DUMMYFUNCTION("""COMPUTED_VALUE"""),"2055-06-03T12:36:14.707394Z")</f>
        <v>2055-06-03T12:36:14.707394Z</v>
      </c>
      <c r="AH839" s="3" t="str">
        <f ca="1">IFERROR(__xludf.DUMMYFUNCTION("""COMPUTED_VALUE"""),"2055-06-03T12:44:02.631305Z")</f>
        <v>2055-06-03T12:44:02.631305Z</v>
      </c>
      <c r="AI839" s="3">
        <f ca="1">IFERROR(__xludf.DUMMYFUNCTION("""COMPUTED_VALUE"""),4.52)</f>
        <v>4.5199999999999996</v>
      </c>
      <c r="AJ839" s="3">
        <f ca="1">IFERROR(__xludf.DUMMYFUNCTION("""COMPUTED_VALUE"""),183)</f>
        <v>183</v>
      </c>
      <c r="AK839" s="3">
        <f ca="1">IFERROR(__xludf.DUMMYFUNCTION("""COMPUTED_VALUE"""),522)</f>
        <v>522</v>
      </c>
      <c r="AL839" s="3"/>
      <c r="AM839" s="3">
        <f>IFERROR(Raw_Data!AL839 / Raw_Data!AK839, "")</f>
        <v>0</v>
      </c>
      <c r="AN839" s="3" t="str">
        <f>IF(ISBLANK(Raw_Data!AL839), "No", "Yes")</f>
        <v>No</v>
      </c>
      <c r="AO839" s="3">
        <f>IFERROR(Raw_Data!Z839/60, "")</f>
        <v>6.5166666666666666</v>
      </c>
    </row>
    <row r="840" spans="1:41" ht="13">
      <c r="A840" s="3">
        <f ca="1">IFERROR(__xludf.DUMMYFUNCTION("""COMPUTED_VALUE"""),692)</f>
        <v>692</v>
      </c>
      <c r="B840" s="3">
        <f ca="1">IFERROR(__xludf.DUMMYFUNCTION("""COMPUTED_VALUE"""),5)</f>
        <v>5</v>
      </c>
      <c r="C840" s="3">
        <f ca="1">IFERROR(__xludf.DUMMYFUNCTION("""COMPUTED_VALUE"""),4001)</f>
        <v>4001</v>
      </c>
      <c r="D840" s="3" t="str">
        <f ca="1">IFERROR(__xludf.DUMMYFUNCTION("""COMPUTED_VALUE"""),"Dashattan")</f>
        <v>Dashattan</v>
      </c>
      <c r="E840" s="3" t="str">
        <f ca="1">IFERROR(__xludf.DUMMYFUNCTION("""COMPUTED_VALUE"""),"Galaxy A")</f>
        <v>Galaxy A</v>
      </c>
      <c r="F840" s="3" t="str">
        <f ca="1">IFERROR(__xludf.DUMMYFUNCTION("""COMPUTED_VALUE"""),"Bunje")</f>
        <v>Bunje</v>
      </c>
      <c r="G840" s="3">
        <f ca="1">IFERROR(__xludf.DUMMYFUNCTION("""COMPUTED_VALUE"""),0)</f>
        <v>0</v>
      </c>
      <c r="H840" s="3" t="str">
        <f ca="1">IFERROR(__xludf.DUMMYFUNCTION("""COMPUTED_VALUE"""),"bicycle")</f>
        <v>bicycle</v>
      </c>
      <c r="I840" s="3" t="str">
        <f ca="1">IFERROR(__xludf.DUMMYFUNCTION("""COMPUTED_VALUE"""),"2055-06-06T00:02:38.965244Z")</f>
        <v>2055-06-06T00:02:38.965244Z</v>
      </c>
      <c r="J840" s="3" t="str">
        <f ca="1">IFERROR(__xludf.DUMMYFUNCTION("""COMPUTED_VALUE"""),"2055-06-06T00:58:28.017Z")</f>
        <v>2055-06-06T00:58:28.017Z</v>
      </c>
      <c r="K840" s="3" t="str">
        <f ca="1">IFERROR(__xludf.DUMMYFUNCTION("""COMPUTED_VALUE"""),"2055-06-06T00:40:10.017Z")</f>
        <v>2055-06-06T00:40:10.017Z</v>
      </c>
      <c r="L840" s="3">
        <f ca="1">IFERROR(__xludf.DUMMYFUNCTION("""COMPUTED_VALUE"""),1)</f>
        <v>1</v>
      </c>
      <c r="M840" s="3">
        <f ca="1">IFERROR(__xludf.DUMMYFUNCTION("""COMPUTED_VALUE"""),0)</f>
        <v>0</v>
      </c>
      <c r="N840" s="3" t="str">
        <f ca="1">IFERROR(__xludf.DUMMYFUNCTION("""COMPUTED_VALUE"""),"2055-06-06T00:18:49.132839Z")</f>
        <v>2055-06-06T00:18:49.132839Z</v>
      </c>
      <c r="O840" s="3" t="str">
        <f ca="1">IFERROR(__xludf.DUMMYFUNCTION("""COMPUTED_VALUE"""),"2055-06-06T00:27:41.832307Z")</f>
        <v>2055-06-06T00:27:41.832307Z</v>
      </c>
      <c r="P840" s="3" t="str">
        <f ca="1">IFERROR(__xludf.DUMMYFUNCTION("""COMPUTED_VALUE"""),"2055-06-06T00:08:58.553212Z")</f>
        <v>2055-06-06T00:08:58.553212Z</v>
      </c>
      <c r="Q840" s="3">
        <f ca="1">IFERROR(__xludf.DUMMYFUNCTION("""COMPUTED_VALUE"""),0)</f>
        <v>0</v>
      </c>
      <c r="R840" s="3" t="str">
        <f ca="1">IFERROR(__xludf.DUMMYFUNCTION("""COMPUTED_VALUE"""),"2055-06-06T00:09:06.683552Z")</f>
        <v>2055-06-06T00:09:06.683552Z</v>
      </c>
      <c r="S840" s="3" t="str">
        <f ca="1">IFERROR(__xludf.DUMMYFUNCTION("""COMPUTED_VALUE"""),"2055-06-06T00:14:06.777117Z")</f>
        <v>2055-06-06T00:14:06.777117Z</v>
      </c>
      <c r="T840" s="3"/>
      <c r="U840" s="4">
        <f ca="1">IFERROR(__xludf.DUMMYFUNCTION("""COMPUTED_VALUE"""),56770)</f>
        <v>56770</v>
      </c>
      <c r="V840" s="3">
        <f ca="1">IFERROR(__xludf.DUMMYFUNCTION("""COMPUTED_VALUE"""),3.649797111)</f>
        <v>3.6497971109999998</v>
      </c>
      <c r="W840" s="3">
        <f ca="1">IFERROR(__xludf.DUMMYFUNCTION("""COMPUTED_VALUE"""),1500)</f>
        <v>1500</v>
      </c>
      <c r="X840" s="3">
        <f ca="1">IFERROR(__xludf.DUMMYFUNCTION("""COMPUTED_VALUE"""),1115)</f>
        <v>1115</v>
      </c>
      <c r="Y840" s="3">
        <f ca="1">IFERROR(__xludf.DUMMYFUNCTION("""COMPUTED_VALUE"""),300)</f>
        <v>300</v>
      </c>
      <c r="Z840" s="3">
        <f ca="1">IFERROR(__xludf.DUMMYFUNCTION("""COMPUTED_VALUE"""),283)</f>
        <v>283</v>
      </c>
      <c r="AA840" s="3">
        <f ca="1">IFERROR(__xludf.DUMMYFUNCTION("""COMPUTED_VALUE"""),532)</f>
        <v>532</v>
      </c>
      <c r="AB840" s="3">
        <f ca="1">IFERROR(__xludf.DUMMYFUNCTION("""COMPUTED_VALUE"""),0)</f>
        <v>0</v>
      </c>
      <c r="AC840" s="3">
        <f ca="1">IFERROR(__xludf.DUMMYFUNCTION("""COMPUTED_VALUE"""),2)</f>
        <v>2</v>
      </c>
      <c r="AD840" s="3" t="str">
        <f ca="1">IFERROR(__xludf.DUMMYFUNCTION("""COMPUTED_VALUE"""),"on time")</f>
        <v>on time</v>
      </c>
      <c r="AE840" s="3" t="str">
        <f ca="1">IFERROR(__xludf.DUMMYFUNCTION("""COMPUTED_VALUE"""),"2055-06-05T20:18:49.132839Z")</f>
        <v>2055-06-05T20:18:49.132839Z</v>
      </c>
      <c r="AF840" s="3" t="str">
        <f ca="1">IFERROR(__xludf.DUMMYFUNCTION("""COMPUTED_VALUE"""),"2055-06-05T20:27:41.832307Z")</f>
        <v>2055-06-05T20:27:41.832307Z</v>
      </c>
      <c r="AG840" s="3" t="str">
        <f ca="1">IFERROR(__xludf.DUMMYFUNCTION("""COMPUTED_VALUE"""),"2055-06-05T20:08:58.553212Z")</f>
        <v>2055-06-05T20:08:58.553212Z</v>
      </c>
      <c r="AH840" s="3" t="str">
        <f ca="1">IFERROR(__xludf.DUMMYFUNCTION("""COMPUTED_VALUE"""),"2055-06-05T20:14:06.777117Z")</f>
        <v>2055-06-05T20:14:06.777117Z</v>
      </c>
      <c r="AI840" s="3">
        <f ca="1">IFERROR(__xludf.DUMMYFUNCTION("""COMPUTED_VALUE"""),4.7)</f>
        <v>4.7</v>
      </c>
      <c r="AJ840" s="3">
        <f ca="1">IFERROR(__xludf.DUMMYFUNCTION("""COMPUTED_VALUE"""),443)</f>
        <v>443</v>
      </c>
      <c r="AK840" s="3">
        <f ca="1">IFERROR(__xludf.DUMMYFUNCTION("""COMPUTED_VALUE"""),1579)</f>
        <v>1579</v>
      </c>
      <c r="AL840" s="3"/>
      <c r="AM840" s="3">
        <f>IFERROR(Raw_Data!AL840 / Raw_Data!AK840, "")</f>
        <v>0</v>
      </c>
      <c r="AN840" s="3" t="str">
        <f>IF(ISBLANK(Raw_Data!AL840), "No", "Yes")</f>
        <v>No</v>
      </c>
      <c r="AO840" s="3">
        <f>IFERROR(Raw_Data!Z840/60, "")</f>
        <v>4.7166666666666668</v>
      </c>
    </row>
    <row r="841" spans="1:41" ht="13">
      <c r="A841" s="3">
        <f ca="1">IFERROR(__xludf.DUMMYFUNCTION("""COMPUTED_VALUE"""),825)</f>
        <v>825</v>
      </c>
      <c r="B841" s="3">
        <f ca="1">IFERROR(__xludf.DUMMYFUNCTION("""COMPUTED_VALUE"""),5)</f>
        <v>5</v>
      </c>
      <c r="C841" s="3">
        <f ca="1">IFERROR(__xludf.DUMMYFUNCTION("""COMPUTED_VALUE"""),4050)</f>
        <v>4050</v>
      </c>
      <c r="D841" s="3" t="str">
        <f ca="1">IFERROR(__xludf.DUMMYFUNCTION("""COMPUTED_VALUE"""),"Doorlanta")</f>
        <v>Doorlanta</v>
      </c>
      <c r="E841" s="3" t="str">
        <f ca="1">IFERROR(__xludf.DUMMYFUNCTION("""COMPUTED_VALUE"""),"Galaxy A")</f>
        <v>Galaxy A</v>
      </c>
      <c r="F841" s="3" t="str">
        <f ca="1">IFERROR(__xludf.DUMMYFUNCTION("""COMPUTED_VALUE"""),"Josh")</f>
        <v>Josh</v>
      </c>
      <c r="G841" s="3">
        <f ca="1">IFERROR(__xludf.DUMMYFUNCTION("""COMPUTED_VALUE"""),0)</f>
        <v>0</v>
      </c>
      <c r="H841" s="3" t="str">
        <f ca="1">IFERROR(__xludf.DUMMYFUNCTION("""COMPUTED_VALUE"""),"car")</f>
        <v>car</v>
      </c>
      <c r="I841" s="3" t="str">
        <f ca="1">IFERROR(__xludf.DUMMYFUNCTION("""COMPUTED_VALUE"""),"2055-06-07T13:33:14.251231Z")</f>
        <v>2055-06-07T13:33:14.251231Z</v>
      </c>
      <c r="J841" s="3" t="str">
        <f ca="1">IFERROR(__xludf.DUMMYFUNCTION("""COMPUTED_VALUE"""),"2055-06-07T16:15:00Z")</f>
        <v>2055-06-07T16:15:00Z</v>
      </c>
      <c r="K841" s="3" t="str">
        <f ca="1">IFERROR(__xludf.DUMMYFUNCTION("""COMPUTED_VALUE"""),"2055-06-07T16:15:00Z")</f>
        <v>2055-06-07T16:15:00Z</v>
      </c>
      <c r="L841" s="3">
        <f ca="1">IFERROR(__xludf.DUMMYFUNCTION("""COMPUTED_VALUE"""),0)</f>
        <v>0</v>
      </c>
      <c r="M841" s="3">
        <f ca="1">IFERROR(__xludf.DUMMYFUNCTION("""COMPUTED_VALUE"""),0)</f>
        <v>0</v>
      </c>
      <c r="N841" s="3" t="str">
        <f ca="1">IFERROR(__xludf.DUMMYFUNCTION("""COMPUTED_VALUE"""),"2055-06-07T15:26:25.353152Z")</f>
        <v>2055-06-07T15:26:25.353152Z</v>
      </c>
      <c r="O841" s="3" t="str">
        <f ca="1">IFERROR(__xludf.DUMMYFUNCTION("""COMPUTED_VALUE"""),"2055-06-07T15:40:44.637782Z")</f>
        <v>2055-06-07T15:40:44.637782Z</v>
      </c>
      <c r="P841" s="3" t="str">
        <f ca="1">IFERROR(__xludf.DUMMYFUNCTION("""COMPUTED_VALUE"""),"2055-06-07T15:16:27.302735Z")</f>
        <v>2055-06-07T15:16:27.302735Z</v>
      </c>
      <c r="Q841" s="3">
        <f ca="1">IFERROR(__xludf.DUMMYFUNCTION("""COMPUTED_VALUE"""),0)</f>
        <v>0</v>
      </c>
      <c r="R841" s="3" t="str">
        <f ca="1">IFERROR(__xludf.DUMMYFUNCTION("""COMPUTED_VALUE"""),"2055-06-07T15:16:39.800675Z")</f>
        <v>2055-06-07T15:16:39.800675Z</v>
      </c>
      <c r="S841" s="3" t="str">
        <f ca="1">IFERROR(__xludf.DUMMYFUNCTION("""COMPUTED_VALUE"""),"2055-06-07T15:24:29.370902Z")</f>
        <v>2055-06-07T15:24:29.370902Z</v>
      </c>
      <c r="T841" s="3"/>
      <c r="U841" s="4">
        <f ca="1">IFERROR(__xludf.DUMMYFUNCTION("""COMPUTED_VALUE"""),56772)</f>
        <v>56772</v>
      </c>
      <c r="V841" s="3">
        <f ca="1">IFERROR(__xludf.DUMMYFUNCTION("""COMPUTED_VALUE"""),4.7)</f>
        <v>4.7</v>
      </c>
      <c r="W841" s="3">
        <f ca="1">IFERROR(__xludf.DUMMYFUNCTION("""COMPUTED_VALUE"""),1500)</f>
        <v>1500</v>
      </c>
      <c r="X841" s="3">
        <f ca="1">IFERROR(__xludf.DUMMYFUNCTION("""COMPUTED_VALUE"""),1445)</f>
        <v>1445</v>
      </c>
      <c r="Y841" s="3">
        <f ca="1">IFERROR(__xludf.DUMMYFUNCTION("""COMPUTED_VALUE"""),470)</f>
        <v>470</v>
      </c>
      <c r="Z841" s="3">
        <f ca="1">IFERROR(__xludf.DUMMYFUNCTION("""COMPUTED_VALUE"""),116)</f>
        <v>116</v>
      </c>
      <c r="AA841" s="3">
        <f ca="1">IFERROR(__xludf.DUMMYFUNCTION("""COMPUTED_VALUE"""),859)</f>
        <v>859</v>
      </c>
      <c r="AB841" s="3">
        <f ca="1">IFERROR(__xludf.DUMMYFUNCTION("""COMPUTED_VALUE"""),0)</f>
        <v>0</v>
      </c>
      <c r="AC841" s="3">
        <f ca="1">IFERROR(__xludf.DUMMYFUNCTION("""COMPUTED_VALUE"""),1)</f>
        <v>1</v>
      </c>
      <c r="AD841" s="3"/>
      <c r="AE841" s="3" t="str">
        <f ca="1">IFERROR(__xludf.DUMMYFUNCTION("""COMPUTED_VALUE"""),"2055-06-07T11:26:25.353152Z")</f>
        <v>2055-06-07T11:26:25.353152Z</v>
      </c>
      <c r="AF841" s="3" t="str">
        <f ca="1">IFERROR(__xludf.DUMMYFUNCTION("""COMPUTED_VALUE"""),"2055-06-07T11:40:44.637782Z")</f>
        <v>2055-06-07T11:40:44.637782Z</v>
      </c>
      <c r="AG841" s="3" t="str">
        <f ca="1">IFERROR(__xludf.DUMMYFUNCTION("""COMPUTED_VALUE"""),"2055-06-07T11:16:27.302735Z")</f>
        <v>2055-06-07T11:16:27.302735Z</v>
      </c>
      <c r="AH841" s="3" t="str">
        <f ca="1">IFERROR(__xludf.DUMMYFUNCTION("""COMPUTED_VALUE"""),"2055-06-07T11:24:29.370902Z")</f>
        <v>2055-06-07T11:24:29.370902Z</v>
      </c>
      <c r="AI841" s="3">
        <f ca="1">IFERROR(__xludf.DUMMYFUNCTION("""COMPUTED_VALUE"""),4.77)</f>
        <v>4.7699999999999996</v>
      </c>
      <c r="AJ841" s="3">
        <f ca="1">IFERROR(__xludf.DUMMYFUNCTION("""COMPUTED_VALUE"""),426)</f>
        <v>426</v>
      </c>
      <c r="AK841" s="3">
        <f ca="1">IFERROR(__xludf.DUMMYFUNCTION("""COMPUTED_VALUE"""),1226)</f>
        <v>1226</v>
      </c>
      <c r="AL841" s="3">
        <f ca="1">IFERROR(__xludf.DUMMYFUNCTION("""COMPUTED_VALUE"""),85)</f>
        <v>85</v>
      </c>
      <c r="AM841" s="3">
        <f>IFERROR(Raw_Data!AL841 / Raw_Data!AK841, "")</f>
        <v>6.9331158238172916E-2</v>
      </c>
      <c r="AN841" s="3" t="str">
        <f>IF(ISBLANK(Raw_Data!AL841), "No", "Yes")</f>
        <v>Yes</v>
      </c>
      <c r="AO841" s="3">
        <f>IFERROR(Raw_Data!Z841/60, "")</f>
        <v>1.9333333333333333</v>
      </c>
    </row>
    <row r="842" spans="1:41" ht="13">
      <c r="A842" s="3">
        <f ca="1">IFERROR(__xludf.DUMMYFUNCTION("""COMPUTED_VALUE"""),1492)</f>
        <v>1492</v>
      </c>
      <c r="B842" s="3"/>
      <c r="C842" s="3">
        <f ca="1">IFERROR(__xludf.DUMMYFUNCTION("""COMPUTED_VALUE"""),4001)</f>
        <v>4001</v>
      </c>
      <c r="D842" s="3" t="str">
        <f ca="1">IFERROR(__xludf.DUMMYFUNCTION("""COMPUTED_VALUE"""),"Dashattan")</f>
        <v>Dashattan</v>
      </c>
      <c r="E842" s="3" t="str">
        <f ca="1">IFERROR(__xludf.DUMMYFUNCTION("""COMPUTED_VALUE"""),"Galaxy A")</f>
        <v>Galaxy A</v>
      </c>
      <c r="F842" s="3" t="str">
        <f ca="1">IFERROR(__xludf.DUMMYFUNCTION("""COMPUTED_VALUE"""),"Rojan")</f>
        <v>Rojan</v>
      </c>
      <c r="G842" s="3">
        <f ca="1">IFERROR(__xludf.DUMMYFUNCTION("""COMPUTED_VALUE"""),0)</f>
        <v>0</v>
      </c>
      <c r="H842" s="3" t="str">
        <f ca="1">IFERROR(__xludf.DUMMYFUNCTION("""COMPUTED_VALUE"""),"bicycle")</f>
        <v>bicycle</v>
      </c>
      <c r="I842" s="3" t="str">
        <f ca="1">IFERROR(__xludf.DUMMYFUNCTION("""COMPUTED_VALUE"""),"2055-06-12T23:13:44.525903Z")</f>
        <v>2055-06-12T23:13:44.525903Z</v>
      </c>
      <c r="J842" s="3" t="str">
        <f ca="1">IFERROR(__xludf.DUMMYFUNCTION("""COMPUTED_VALUE"""),"2055-06-13T00:09:36.584Z")</f>
        <v>2055-06-13T00:09:36.584Z</v>
      </c>
      <c r="K842" s="3" t="str">
        <f ca="1">IFERROR(__xludf.DUMMYFUNCTION("""COMPUTED_VALUE"""),"2055-06-12T23:49:29.584Z")</f>
        <v>2055-06-12T23:49:29.584Z</v>
      </c>
      <c r="L842" s="3">
        <f ca="1">IFERROR(__xludf.DUMMYFUNCTION("""COMPUTED_VALUE"""),1)</f>
        <v>1</v>
      </c>
      <c r="M842" s="3">
        <f ca="1">IFERROR(__xludf.DUMMYFUNCTION("""COMPUTED_VALUE"""),0)</f>
        <v>0</v>
      </c>
      <c r="N842" s="3" t="str">
        <f ca="1">IFERROR(__xludf.DUMMYFUNCTION("""COMPUTED_VALUE"""),"2055-06-12T23:26:26.988992Z")</f>
        <v>2055-06-12T23:26:26.988992Z</v>
      </c>
      <c r="O842" s="3" t="str">
        <f ca="1">IFERROR(__xludf.DUMMYFUNCTION("""COMPUTED_VALUE"""),"2055-06-12T23:36:15.571368Z")</f>
        <v>2055-06-12T23:36:15.571368Z</v>
      </c>
      <c r="P842" s="3" t="str">
        <f ca="1">IFERROR(__xludf.DUMMYFUNCTION("""COMPUTED_VALUE"""),"2055-06-12T23:18:36.163739Z")</f>
        <v>2055-06-12T23:18:36.163739Z</v>
      </c>
      <c r="Q842" s="3">
        <f ca="1">IFERROR(__xludf.DUMMYFUNCTION("""COMPUTED_VALUE"""),0)</f>
        <v>0</v>
      </c>
      <c r="R842" s="3" t="str">
        <f ca="1">IFERROR(__xludf.DUMMYFUNCTION("""COMPUTED_VALUE"""),"2055-06-12T23:18:52.670843Z")</f>
        <v>2055-06-12T23:18:52.670843Z</v>
      </c>
      <c r="S842" s="3" t="str">
        <f ca="1">IFERROR(__xludf.DUMMYFUNCTION("""COMPUTED_VALUE"""),"2055-06-12T23:21:30.063491Z")</f>
        <v>2055-06-12T23:21:30.063491Z</v>
      </c>
      <c r="T842" s="3"/>
      <c r="U842" s="4">
        <f ca="1">IFERROR(__xludf.DUMMYFUNCTION("""COMPUTED_VALUE"""),56777)</f>
        <v>56777</v>
      </c>
      <c r="V842" s="3">
        <f ca="1">IFERROR(__xludf.DUMMYFUNCTION("""COMPUTED_VALUE"""),3.4)</f>
        <v>3.4</v>
      </c>
      <c r="W842" s="3">
        <f ca="1">IFERROR(__xludf.DUMMYFUNCTION("""COMPUTED_VALUE"""),1500)</f>
        <v>1500</v>
      </c>
      <c r="X842" s="3">
        <f ca="1">IFERROR(__xludf.DUMMYFUNCTION("""COMPUTED_VALUE"""),1043)</f>
        <v>1043</v>
      </c>
      <c r="Y842" s="3">
        <f ca="1">IFERROR(__xludf.DUMMYFUNCTION("""COMPUTED_VALUE"""),158)</f>
        <v>158</v>
      </c>
      <c r="Z842" s="3">
        <f ca="1">IFERROR(__xludf.DUMMYFUNCTION("""COMPUTED_VALUE"""),296)</f>
        <v>296</v>
      </c>
      <c r="AA842" s="3">
        <f ca="1">IFERROR(__xludf.DUMMYFUNCTION("""COMPUTED_VALUE"""),589)</f>
        <v>589</v>
      </c>
      <c r="AB842" s="3">
        <f ca="1">IFERROR(__xludf.DUMMYFUNCTION("""COMPUTED_VALUE"""),0)</f>
        <v>0</v>
      </c>
      <c r="AC842" s="3">
        <f ca="1">IFERROR(__xludf.DUMMYFUNCTION("""COMPUTED_VALUE"""),1)</f>
        <v>1</v>
      </c>
      <c r="AD842" s="3" t="str">
        <f ca="1">IFERROR(__xludf.DUMMYFUNCTION("""COMPUTED_VALUE"""),"on time")</f>
        <v>on time</v>
      </c>
      <c r="AE842" s="3" t="str">
        <f ca="1">IFERROR(__xludf.DUMMYFUNCTION("""COMPUTED_VALUE"""),"2055-06-12T19:26:26.988992Z")</f>
        <v>2055-06-12T19:26:26.988992Z</v>
      </c>
      <c r="AF842" s="3" t="str">
        <f ca="1">IFERROR(__xludf.DUMMYFUNCTION("""COMPUTED_VALUE"""),"2055-06-12T19:36:15.571368Z")</f>
        <v>2055-06-12T19:36:15.571368Z</v>
      </c>
      <c r="AG842" s="3" t="str">
        <f ca="1">IFERROR(__xludf.DUMMYFUNCTION("""COMPUTED_VALUE"""),"2055-06-12T19:18:36.163739Z")</f>
        <v>2055-06-12T19:18:36.163739Z</v>
      </c>
      <c r="AH842" s="3" t="str">
        <f ca="1">IFERROR(__xludf.DUMMYFUNCTION("""COMPUTED_VALUE"""),"2055-06-12T19:21:30.063491Z")</f>
        <v>2055-06-12T19:21:30.063491Z</v>
      </c>
      <c r="AI842" s="3">
        <f ca="1">IFERROR(__xludf.DUMMYFUNCTION("""COMPUTED_VALUE"""),4.58)</f>
        <v>4.58</v>
      </c>
      <c r="AJ842" s="3">
        <f ca="1">IFERROR(__xludf.DUMMYFUNCTION("""COMPUTED_VALUE"""),254)</f>
        <v>254</v>
      </c>
      <c r="AK842" s="3">
        <f ca="1">IFERROR(__xludf.DUMMYFUNCTION("""COMPUTED_VALUE"""),788)</f>
        <v>788</v>
      </c>
      <c r="AL842" s="3">
        <f ca="1">IFERROR(__xludf.DUMMYFUNCTION("""COMPUTED_VALUE"""),9)</f>
        <v>9</v>
      </c>
      <c r="AM842" s="3">
        <f>IFERROR(Raw_Data!AL842 / Raw_Data!AK842, "")</f>
        <v>1.1421319796954314E-2</v>
      </c>
      <c r="AN842" s="3" t="str">
        <f>IF(ISBLANK(Raw_Data!AL842), "No", "Yes")</f>
        <v>Yes</v>
      </c>
      <c r="AO842" s="3">
        <f>IFERROR(Raw_Data!Z842/60, "")</f>
        <v>4.9333333333333336</v>
      </c>
    </row>
    <row r="843" spans="1:41" ht="13">
      <c r="A843" s="3">
        <f ca="1">IFERROR(__xludf.DUMMYFUNCTION("""COMPUTED_VALUE"""),1537)</f>
        <v>1537</v>
      </c>
      <c r="B843" s="3"/>
      <c r="C843" s="3">
        <f ca="1">IFERROR(__xludf.DUMMYFUNCTION("""COMPUTED_VALUE"""),4001)</f>
        <v>4001</v>
      </c>
      <c r="D843" s="3" t="str">
        <f ca="1">IFERROR(__xludf.DUMMYFUNCTION("""COMPUTED_VALUE"""),"Dashattan")</f>
        <v>Dashattan</v>
      </c>
      <c r="E843" s="3" t="str">
        <f ca="1">IFERROR(__xludf.DUMMYFUNCTION("""COMPUTED_VALUE"""),"Galaxy A")</f>
        <v>Galaxy A</v>
      </c>
      <c r="F843" s="3" t="str">
        <f ca="1">IFERROR(__xludf.DUMMYFUNCTION("""COMPUTED_VALUE"""),"Arya")</f>
        <v>Arya</v>
      </c>
      <c r="G843" s="3">
        <f ca="1">IFERROR(__xludf.DUMMYFUNCTION("""COMPUTED_VALUE"""),0)</f>
        <v>0</v>
      </c>
      <c r="H843" s="3" t="str">
        <f ca="1">IFERROR(__xludf.DUMMYFUNCTION("""COMPUTED_VALUE"""),"bicycle")</f>
        <v>bicycle</v>
      </c>
      <c r="I843" s="3" t="str">
        <f ca="1">IFERROR(__xludf.DUMMYFUNCTION("""COMPUTED_VALUE"""),"2055-06-13T01:15:00.336919Z")</f>
        <v>2055-06-13T01:15:00.336919Z</v>
      </c>
      <c r="J843" s="3" t="str">
        <f ca="1">IFERROR(__xludf.DUMMYFUNCTION("""COMPUTED_VALUE"""),"2055-06-13T02:21:27.402Z")</f>
        <v>2055-06-13T02:21:27.402Z</v>
      </c>
      <c r="K843" s="3" t="str">
        <f ca="1">IFERROR(__xludf.DUMMYFUNCTION("""COMPUTED_VALUE"""),"2055-06-13T02:00:38.402Z")</f>
        <v>2055-06-13T02:00:38.402Z</v>
      </c>
      <c r="L843" s="3">
        <f ca="1">IFERROR(__xludf.DUMMYFUNCTION("""COMPUTED_VALUE"""),1)</f>
        <v>1</v>
      </c>
      <c r="M843" s="3">
        <f ca="1">IFERROR(__xludf.DUMMYFUNCTION("""COMPUTED_VALUE"""),0)</f>
        <v>0</v>
      </c>
      <c r="N843" s="3" t="str">
        <f ca="1">IFERROR(__xludf.DUMMYFUNCTION("""COMPUTED_VALUE"""),"2055-06-13T01:52:59.369133Z")</f>
        <v>2055-06-13T01:52:59.369133Z</v>
      </c>
      <c r="O843" s="3" t="str">
        <f ca="1">IFERROR(__xludf.DUMMYFUNCTION("""COMPUTED_VALUE"""),"2055-06-13T02:04:10.804942Z")</f>
        <v>2055-06-13T02:04:10.804942Z</v>
      </c>
      <c r="P843" s="3" t="str">
        <f ca="1">IFERROR(__xludf.DUMMYFUNCTION("""COMPUTED_VALUE"""),"2055-06-13T01:21:14.90287Z")</f>
        <v>2055-06-13T01:21:14.90287Z</v>
      </c>
      <c r="Q843" s="3">
        <f ca="1">IFERROR(__xludf.DUMMYFUNCTION("""COMPUTED_VALUE"""),0)</f>
        <v>0</v>
      </c>
      <c r="R843" s="3" t="str">
        <f ca="1">IFERROR(__xludf.DUMMYFUNCTION("""COMPUTED_VALUE"""),"2055-06-13T01:21:20.973903Z")</f>
        <v>2055-06-13T01:21:20.973903Z</v>
      </c>
      <c r="S843" s="3" t="str">
        <f ca="1">IFERROR(__xludf.DUMMYFUNCTION("""COMPUTED_VALUE"""),"2055-06-13T01:29:59.421099Z")</f>
        <v>2055-06-13T01:29:59.421099Z</v>
      </c>
      <c r="T843" s="3"/>
      <c r="U843" s="4">
        <f ca="1">IFERROR(__xludf.DUMMYFUNCTION("""COMPUTED_VALUE"""),56777)</f>
        <v>56777</v>
      </c>
      <c r="V843" s="3">
        <f ca="1">IFERROR(__xludf.DUMMYFUNCTION("""COMPUTED_VALUE"""),4.5)</f>
        <v>4.5</v>
      </c>
      <c r="W843" s="3">
        <f ca="1">IFERROR(__xludf.DUMMYFUNCTION("""COMPUTED_VALUE"""),1500)</f>
        <v>1500</v>
      </c>
      <c r="X843" s="3">
        <f ca="1">IFERROR(__xludf.DUMMYFUNCTION("""COMPUTED_VALUE"""),2570)</f>
        <v>2570</v>
      </c>
      <c r="Y843" s="3">
        <f ca="1">IFERROR(__xludf.DUMMYFUNCTION("""COMPUTED_VALUE"""),519)</f>
        <v>519</v>
      </c>
      <c r="Z843" s="3">
        <f ca="1">IFERROR(__xludf.DUMMYFUNCTION("""COMPUTED_VALUE"""),1380)</f>
        <v>1380</v>
      </c>
      <c r="AA843" s="3">
        <f ca="1">IFERROR(__xludf.DUMMYFUNCTION("""COMPUTED_VALUE"""),671)</f>
        <v>671</v>
      </c>
      <c r="AB843" s="3">
        <f ca="1">IFERROR(__xludf.DUMMYFUNCTION("""COMPUTED_VALUE"""),0)</f>
        <v>0</v>
      </c>
      <c r="AC843" s="3">
        <f ca="1">IFERROR(__xludf.DUMMYFUNCTION("""COMPUTED_VALUE"""),2)</f>
        <v>2</v>
      </c>
      <c r="AD843" s="3" t="str">
        <f ca="1">IFERROR(__xludf.DUMMYFUNCTION("""COMPUTED_VALUE"""),"early")</f>
        <v>early</v>
      </c>
      <c r="AE843" s="3" t="str">
        <f ca="1">IFERROR(__xludf.DUMMYFUNCTION("""COMPUTED_VALUE"""),"2055-06-12T21:52:59.369133Z")</f>
        <v>2055-06-12T21:52:59.369133Z</v>
      </c>
      <c r="AF843" s="3" t="str">
        <f ca="1">IFERROR(__xludf.DUMMYFUNCTION("""COMPUTED_VALUE"""),"2055-06-12T22:04:10.804942Z")</f>
        <v>2055-06-12T22:04:10.804942Z</v>
      </c>
      <c r="AG843" s="3" t="str">
        <f ca="1">IFERROR(__xludf.DUMMYFUNCTION("""COMPUTED_VALUE"""),"2055-06-12T21:21:14.90287Z")</f>
        <v>2055-06-12T21:21:14.90287Z</v>
      </c>
      <c r="AH843" s="3" t="str">
        <f ca="1">IFERROR(__xludf.DUMMYFUNCTION("""COMPUTED_VALUE"""),"2055-06-12T21:29:59.421099Z")</f>
        <v>2055-06-12T21:29:59.421099Z</v>
      </c>
      <c r="AI843" s="3">
        <f ca="1">IFERROR(__xludf.DUMMYFUNCTION("""COMPUTED_VALUE"""),4.17)</f>
        <v>4.17</v>
      </c>
      <c r="AJ843" s="3">
        <f ca="1">IFERROR(__xludf.DUMMYFUNCTION("""COMPUTED_VALUE"""),457)</f>
        <v>457</v>
      </c>
      <c r="AK843" s="3">
        <f ca="1">IFERROR(__xludf.DUMMYFUNCTION("""COMPUTED_VALUE"""),1599)</f>
        <v>1599</v>
      </c>
      <c r="AL843" s="3"/>
      <c r="AM843" s="3">
        <f>IFERROR(Raw_Data!AL843 / Raw_Data!AK843, "")</f>
        <v>0</v>
      </c>
      <c r="AN843" s="3" t="str">
        <f>IF(ISBLANK(Raw_Data!AL843), "No", "Yes")</f>
        <v>No</v>
      </c>
      <c r="AO843" s="3">
        <f>IFERROR(Raw_Data!Z843/60, "")</f>
        <v>23</v>
      </c>
    </row>
    <row r="844" spans="1:41" ht="13">
      <c r="A844" s="3">
        <f ca="1">IFERROR(__xludf.DUMMYFUNCTION("""COMPUTED_VALUE"""),402)</f>
        <v>402</v>
      </c>
      <c r="B844" s="3">
        <f ca="1">IFERROR(__xludf.DUMMYFUNCTION("""COMPUTED_VALUE"""),4)</f>
        <v>4</v>
      </c>
      <c r="C844" s="3">
        <f ca="1">IFERROR(__xludf.DUMMYFUNCTION("""COMPUTED_VALUE"""),4001)</f>
        <v>4001</v>
      </c>
      <c r="D844" s="3" t="str">
        <f ca="1">IFERROR(__xludf.DUMMYFUNCTION("""COMPUTED_VALUE"""),"Dashattan")</f>
        <v>Dashattan</v>
      </c>
      <c r="E844" s="3" t="str">
        <f ca="1">IFERROR(__xludf.DUMMYFUNCTION("""COMPUTED_VALUE"""),"Galaxy A")</f>
        <v>Galaxy A</v>
      </c>
      <c r="F844" s="3" t="str">
        <f ca="1">IFERROR(__xludf.DUMMYFUNCTION("""COMPUTED_VALUE"""),"Samm")</f>
        <v>Samm</v>
      </c>
      <c r="G844" s="3">
        <f ca="1">IFERROR(__xludf.DUMMYFUNCTION("""COMPUTED_VALUE"""),0)</f>
        <v>0</v>
      </c>
      <c r="H844" s="3" t="str">
        <f ca="1">IFERROR(__xludf.DUMMYFUNCTION("""COMPUTED_VALUE"""),"car")</f>
        <v>car</v>
      </c>
      <c r="I844" s="3" t="str">
        <f ca="1">IFERROR(__xludf.DUMMYFUNCTION("""COMPUTED_VALUE"""),"2055-06-04T14:13:58.484274Z")</f>
        <v>2055-06-04T14:13:58.484274Z</v>
      </c>
      <c r="J844" s="3" t="str">
        <f ca="1">IFERROR(__xludf.DUMMYFUNCTION("""COMPUTED_VALUE"""),"2055-06-04T15:11:11.582Z")</f>
        <v>2055-06-04T15:11:11.582Z</v>
      </c>
      <c r="K844" s="3" t="str">
        <f ca="1">IFERROR(__xludf.DUMMYFUNCTION("""COMPUTED_VALUE"""),"2055-06-04T15:04:17.582Z")</f>
        <v>2055-06-04T15:04:17.582Z</v>
      </c>
      <c r="L844" s="3">
        <f ca="1">IFERROR(__xludf.DUMMYFUNCTION("""COMPUTED_VALUE"""),1)</f>
        <v>1</v>
      </c>
      <c r="M844" s="3">
        <f ca="1">IFERROR(__xludf.DUMMYFUNCTION("""COMPUTED_VALUE"""),0)</f>
        <v>0</v>
      </c>
      <c r="N844" s="3" t="str">
        <f ca="1">IFERROR(__xludf.DUMMYFUNCTION("""COMPUTED_VALUE"""),"2055-06-04T14:56:24.110982Z")</f>
        <v>2055-06-04T14:56:24.110982Z</v>
      </c>
      <c r="O844" s="3" t="str">
        <f ca="1">IFERROR(__xludf.DUMMYFUNCTION("""COMPUTED_VALUE"""),"2055-06-04T15:08:24.674504Z")</f>
        <v>2055-06-04T15:08:24.674504Z</v>
      </c>
      <c r="P844" s="3" t="str">
        <f ca="1">IFERROR(__xludf.DUMMYFUNCTION("""COMPUTED_VALUE"""),"2055-06-04T14:24:34.148579Z")</f>
        <v>2055-06-04T14:24:34.148579Z</v>
      </c>
      <c r="Q844" s="3">
        <f ca="1">IFERROR(__xludf.DUMMYFUNCTION("""COMPUTED_VALUE"""),0)</f>
        <v>0</v>
      </c>
      <c r="R844" s="3" t="str">
        <f ca="1">IFERROR(__xludf.DUMMYFUNCTION("""COMPUTED_VALUE"""),"2055-06-04T14:24:50.208858Z")</f>
        <v>2055-06-04T14:24:50.208858Z</v>
      </c>
      <c r="S844" s="3" t="str">
        <f ca="1">IFERROR(__xludf.DUMMYFUNCTION("""COMPUTED_VALUE"""),"2055-06-04T14:41:21.425826Z")</f>
        <v>2055-06-04T14:41:21.425826Z</v>
      </c>
      <c r="T844" s="3"/>
      <c r="U844" s="4">
        <f ca="1">IFERROR(__xludf.DUMMYFUNCTION("""COMPUTED_VALUE"""),56769)</f>
        <v>56769</v>
      </c>
      <c r="V844" s="3">
        <f ca="1">IFERROR(__xludf.DUMMYFUNCTION("""COMPUTED_VALUE"""),3.47272812)</f>
        <v>3.4727281200000002</v>
      </c>
      <c r="W844" s="3">
        <f ca="1">IFERROR(__xludf.DUMMYFUNCTION("""COMPUTED_VALUE"""),1500)</f>
        <v>1500</v>
      </c>
      <c r="X844" s="3">
        <f ca="1">IFERROR(__xludf.DUMMYFUNCTION("""COMPUTED_VALUE"""),2614)</f>
        <v>2614</v>
      </c>
      <c r="Y844" s="3">
        <f ca="1">IFERROR(__xludf.DUMMYFUNCTION("""COMPUTED_VALUE"""),991)</f>
        <v>991</v>
      </c>
      <c r="Z844" s="3">
        <f ca="1">IFERROR(__xludf.DUMMYFUNCTION("""COMPUTED_VALUE"""),903)</f>
        <v>903</v>
      </c>
      <c r="AA844" s="3">
        <f ca="1">IFERROR(__xludf.DUMMYFUNCTION("""COMPUTED_VALUE"""),720)</f>
        <v>720</v>
      </c>
      <c r="AB844" s="3">
        <f ca="1">IFERROR(__xludf.DUMMYFUNCTION("""COMPUTED_VALUE"""),0)</f>
        <v>0</v>
      </c>
      <c r="AC844" s="3">
        <f ca="1">IFERROR(__xludf.DUMMYFUNCTION("""COMPUTED_VALUE"""),1)</f>
        <v>1</v>
      </c>
      <c r="AD844" s="3" t="str">
        <f ca="1">IFERROR(__xludf.DUMMYFUNCTION("""COMPUTED_VALUE"""),"early")</f>
        <v>early</v>
      </c>
      <c r="AE844" s="3" t="str">
        <f ca="1">IFERROR(__xludf.DUMMYFUNCTION("""COMPUTED_VALUE"""),"2055-06-04T10:56:24.110982Z")</f>
        <v>2055-06-04T10:56:24.110982Z</v>
      </c>
      <c r="AF844" s="3" t="str">
        <f ca="1">IFERROR(__xludf.DUMMYFUNCTION("""COMPUTED_VALUE"""),"2055-06-04T11:08:24.674504Z")</f>
        <v>2055-06-04T11:08:24.674504Z</v>
      </c>
      <c r="AG844" s="3" t="str">
        <f ca="1">IFERROR(__xludf.DUMMYFUNCTION("""COMPUTED_VALUE"""),"2055-06-04T10:24:34.148579Z")</f>
        <v>2055-06-04T10:24:34.148579Z</v>
      </c>
      <c r="AH844" s="3" t="str">
        <f ca="1">IFERROR(__xludf.DUMMYFUNCTION("""COMPUTED_VALUE"""),"2055-06-04T10:41:21.425826Z")</f>
        <v>2055-06-04T10:41:21.425826Z</v>
      </c>
      <c r="AI844" s="3">
        <f ca="1">IFERROR(__xludf.DUMMYFUNCTION("""COMPUTED_VALUE"""),4.03)</f>
        <v>4.03</v>
      </c>
      <c r="AJ844" s="3">
        <f ca="1">IFERROR(__xludf.DUMMYFUNCTION("""COMPUTED_VALUE"""),505)</f>
        <v>505</v>
      </c>
      <c r="AK844" s="3">
        <f ca="1">IFERROR(__xludf.DUMMYFUNCTION("""COMPUTED_VALUE"""),1721)</f>
        <v>1721</v>
      </c>
      <c r="AL844" s="3">
        <f ca="1">IFERROR(__xludf.DUMMYFUNCTION("""COMPUTED_VALUE"""),457)</f>
        <v>457</v>
      </c>
      <c r="AM844" s="3">
        <f>IFERROR(Raw_Data!AL844 / Raw_Data!AK844, "")</f>
        <v>0.26554328878558975</v>
      </c>
      <c r="AN844" s="3" t="str">
        <f>IF(ISBLANK(Raw_Data!AL844), "No", "Yes")</f>
        <v>Yes</v>
      </c>
      <c r="AO844" s="3">
        <f>IFERROR(Raw_Data!Z844/60, "")</f>
        <v>15.05</v>
      </c>
    </row>
    <row r="845" spans="1:41" ht="13">
      <c r="A845" s="3">
        <f ca="1">IFERROR(__xludf.DUMMYFUNCTION("""COMPUTED_VALUE"""),925)</f>
        <v>925</v>
      </c>
      <c r="B845" s="3"/>
      <c r="C845" s="3">
        <f ca="1">IFERROR(__xludf.DUMMYFUNCTION("""COMPUTED_VALUE"""),4001)</f>
        <v>4001</v>
      </c>
      <c r="D845" s="3" t="str">
        <f ca="1">IFERROR(__xludf.DUMMYFUNCTION("""COMPUTED_VALUE"""),"Dashattan")</f>
        <v>Dashattan</v>
      </c>
      <c r="E845" s="3" t="str">
        <f ca="1">IFERROR(__xludf.DUMMYFUNCTION("""COMPUTED_VALUE"""),"Galaxy A")</f>
        <v>Galaxy A</v>
      </c>
      <c r="F845" s="3" t="str">
        <f ca="1">IFERROR(__xludf.DUMMYFUNCTION("""COMPUTED_VALUE"""),"Rachael")</f>
        <v>Rachael</v>
      </c>
      <c r="G845" s="3">
        <f ca="1">IFERROR(__xludf.DUMMYFUNCTION("""COMPUTED_VALUE"""),0)</f>
        <v>0</v>
      </c>
      <c r="H845" s="3" t="str">
        <f ca="1">IFERROR(__xludf.DUMMYFUNCTION("""COMPUTED_VALUE"""),"bicycle")</f>
        <v>bicycle</v>
      </c>
      <c r="I845" s="3" t="str">
        <f ca="1">IFERROR(__xludf.DUMMYFUNCTION("""COMPUTED_VALUE"""),"2055-06-08T13:30:44.34342Z")</f>
        <v>2055-06-08T13:30:44.34342Z</v>
      </c>
      <c r="J845" s="3" t="str">
        <f ca="1">IFERROR(__xludf.DUMMYFUNCTION("""COMPUTED_VALUE"""),"2055-06-08T15:15:00Z")</f>
        <v>2055-06-08T15:15:00Z</v>
      </c>
      <c r="K845" s="3" t="str">
        <f ca="1">IFERROR(__xludf.DUMMYFUNCTION("""COMPUTED_VALUE"""),"2055-06-08T15:15:00Z")</f>
        <v>2055-06-08T15:15:00Z</v>
      </c>
      <c r="L845" s="3">
        <f ca="1">IFERROR(__xludf.DUMMYFUNCTION("""COMPUTED_VALUE"""),0)</f>
        <v>0</v>
      </c>
      <c r="M845" s="3">
        <f ca="1">IFERROR(__xludf.DUMMYFUNCTION("""COMPUTED_VALUE"""),0)</f>
        <v>0</v>
      </c>
      <c r="N845" s="3" t="str">
        <f ca="1">IFERROR(__xludf.DUMMYFUNCTION("""COMPUTED_VALUE"""),"2055-06-08T15:07:42.423081Z")</f>
        <v>2055-06-08T15:07:42.423081Z</v>
      </c>
      <c r="O845" s="3" t="str">
        <f ca="1">IFERROR(__xludf.DUMMYFUNCTION("""COMPUTED_VALUE"""),"2055-06-08T15:21:37.33264Z")</f>
        <v>2055-06-08T15:21:37.33264Z</v>
      </c>
      <c r="P845" s="3" t="str">
        <f ca="1">IFERROR(__xludf.DUMMYFUNCTION("""COMPUTED_VALUE"""),"2055-06-08T14:27:54.102489Z")</f>
        <v>2055-06-08T14:27:54.102489Z</v>
      </c>
      <c r="Q845" s="3">
        <f ca="1">IFERROR(__xludf.DUMMYFUNCTION("""COMPUTED_VALUE"""),0)</f>
        <v>0</v>
      </c>
      <c r="R845" s="3" t="str">
        <f ca="1">IFERROR(__xludf.DUMMYFUNCTION("""COMPUTED_VALUE"""),"2055-06-08T14:28:00.770681Z")</f>
        <v>2055-06-08T14:28:00.770681Z</v>
      </c>
      <c r="S845" s="3" t="str">
        <f ca="1">IFERROR(__xludf.DUMMYFUNCTION("""COMPUTED_VALUE"""),"2055-06-08T14:45:44.398768Z")</f>
        <v>2055-06-08T14:45:44.398768Z</v>
      </c>
      <c r="T845" s="3"/>
      <c r="U845" s="4">
        <f ca="1">IFERROR(__xludf.DUMMYFUNCTION("""COMPUTED_VALUE"""),56773)</f>
        <v>56773</v>
      </c>
      <c r="V845" s="3">
        <f ca="1">IFERROR(__xludf.DUMMYFUNCTION("""COMPUTED_VALUE"""),3.47272812)</f>
        <v>3.4727281200000002</v>
      </c>
      <c r="W845" s="3">
        <f ca="1">IFERROR(__xludf.DUMMYFUNCTION("""COMPUTED_VALUE"""),1500)</f>
        <v>1500</v>
      </c>
      <c r="X845" s="3">
        <f ca="1">IFERROR(__xludf.DUMMYFUNCTION("""COMPUTED_VALUE"""),3217)</f>
        <v>3217</v>
      </c>
      <c r="Y845" s="3">
        <f ca="1">IFERROR(__xludf.DUMMYFUNCTION("""COMPUTED_VALUE"""),1064)</f>
        <v>1064</v>
      </c>
      <c r="Z845" s="3">
        <f ca="1">IFERROR(__xludf.DUMMYFUNCTION("""COMPUTED_VALUE"""),1318)</f>
        <v>1318</v>
      </c>
      <c r="AA845" s="3">
        <f ca="1">IFERROR(__xludf.DUMMYFUNCTION("""COMPUTED_VALUE"""),835)</f>
        <v>835</v>
      </c>
      <c r="AB845" s="3">
        <f ca="1">IFERROR(__xludf.DUMMYFUNCTION("""COMPUTED_VALUE"""),0)</f>
        <v>0</v>
      </c>
      <c r="AC845" s="3">
        <f ca="1">IFERROR(__xludf.DUMMYFUNCTION("""COMPUTED_VALUE"""),1)</f>
        <v>1</v>
      </c>
      <c r="AD845" s="3"/>
      <c r="AE845" s="3" t="str">
        <f ca="1">IFERROR(__xludf.DUMMYFUNCTION("""COMPUTED_VALUE"""),"2055-06-08T11:07:42.423081Z")</f>
        <v>2055-06-08T11:07:42.423081Z</v>
      </c>
      <c r="AF845" s="3" t="str">
        <f ca="1">IFERROR(__xludf.DUMMYFUNCTION("""COMPUTED_VALUE"""),"2055-06-08T11:21:37.33264Z")</f>
        <v>2055-06-08T11:21:37.33264Z</v>
      </c>
      <c r="AG845" s="3" t="str">
        <f ca="1">IFERROR(__xludf.DUMMYFUNCTION("""COMPUTED_VALUE"""),"2055-06-08T10:27:54.102489Z")</f>
        <v>2055-06-08T10:27:54.102489Z</v>
      </c>
      <c r="AH845" s="3" t="str">
        <f ca="1">IFERROR(__xludf.DUMMYFUNCTION("""COMPUTED_VALUE"""),"2055-06-08T10:45:44.398768Z")</f>
        <v>2055-06-08T10:45:44.398768Z</v>
      </c>
      <c r="AI845" s="3">
        <f ca="1">IFERROR(__xludf.DUMMYFUNCTION("""COMPUTED_VALUE"""),4.47)</f>
        <v>4.47</v>
      </c>
      <c r="AJ845" s="3">
        <f ca="1">IFERROR(__xludf.DUMMYFUNCTION("""COMPUTED_VALUE"""),78)</f>
        <v>78</v>
      </c>
      <c r="AK845" s="3">
        <f ca="1">IFERROR(__xludf.DUMMYFUNCTION("""COMPUTED_VALUE"""),278)</f>
        <v>278</v>
      </c>
      <c r="AL845" s="3">
        <f ca="1">IFERROR(__xludf.DUMMYFUNCTION("""COMPUTED_VALUE"""),26)</f>
        <v>26</v>
      </c>
      <c r="AM845" s="3">
        <f>IFERROR(Raw_Data!AL845 / Raw_Data!AK845, "")</f>
        <v>9.3525179856115109E-2</v>
      </c>
      <c r="AN845" s="3" t="str">
        <f>IF(ISBLANK(Raw_Data!AL845), "No", "Yes")</f>
        <v>Yes</v>
      </c>
      <c r="AO845" s="3">
        <f>IFERROR(Raw_Data!Z845/60, "")</f>
        <v>21.966666666666665</v>
      </c>
    </row>
    <row r="846" spans="1:41" ht="13">
      <c r="A846" s="3">
        <f ca="1">IFERROR(__xludf.DUMMYFUNCTION("""COMPUTED_VALUE"""),117)</f>
        <v>117</v>
      </c>
      <c r="B846" s="3"/>
      <c r="C846" s="3">
        <f ca="1">IFERROR(__xludf.DUMMYFUNCTION("""COMPUTED_VALUE"""),4001)</f>
        <v>4001</v>
      </c>
      <c r="D846" s="3" t="str">
        <f ca="1">IFERROR(__xludf.DUMMYFUNCTION("""COMPUTED_VALUE"""),"Dashattan")</f>
        <v>Dashattan</v>
      </c>
      <c r="E846" s="3" t="str">
        <f ca="1">IFERROR(__xludf.DUMMYFUNCTION("""COMPUTED_VALUE"""),"Galaxy A")</f>
        <v>Galaxy A</v>
      </c>
      <c r="F846" s="3" t="str">
        <f ca="1">IFERROR(__xludf.DUMMYFUNCTION("""COMPUTED_VALUE"""),"Brian")</f>
        <v>Brian</v>
      </c>
      <c r="G846" s="3">
        <f ca="1">IFERROR(__xludf.DUMMYFUNCTION("""COMPUTED_VALUE"""),0)</f>
        <v>0</v>
      </c>
      <c r="H846" s="3" t="str">
        <f ca="1">IFERROR(__xludf.DUMMYFUNCTION("""COMPUTED_VALUE"""),"bicycle")</f>
        <v>bicycle</v>
      </c>
      <c r="I846" s="3" t="str">
        <f ca="1">IFERROR(__xludf.DUMMYFUNCTION("""COMPUTED_VALUE"""),"2055-06-02T15:10:07.189546Z")</f>
        <v>2055-06-02T15:10:07.189546Z</v>
      </c>
      <c r="J846" s="3" t="str">
        <f ca="1">IFERROR(__xludf.DUMMYFUNCTION("""COMPUTED_VALUE"""),"2055-06-02T17:00:00Z")</f>
        <v>2055-06-02T17:00:00Z</v>
      </c>
      <c r="K846" s="3" t="str">
        <f ca="1">IFERROR(__xludf.DUMMYFUNCTION("""COMPUTED_VALUE"""),"2055-06-02T17:00:00Z")</f>
        <v>2055-06-02T17:00:00Z</v>
      </c>
      <c r="L846" s="3">
        <f ca="1">IFERROR(__xludf.DUMMYFUNCTION("""COMPUTED_VALUE"""),0)</f>
        <v>0</v>
      </c>
      <c r="M846" s="3">
        <f ca="1">IFERROR(__xludf.DUMMYFUNCTION("""COMPUTED_VALUE"""),0)</f>
        <v>0</v>
      </c>
      <c r="N846" s="3" t="str">
        <f ca="1">IFERROR(__xludf.DUMMYFUNCTION("""COMPUTED_VALUE"""),"2055-06-02T16:17:48.554548Z")</f>
        <v>2055-06-02T16:17:48.554548Z</v>
      </c>
      <c r="O846" s="3" t="str">
        <f ca="1">IFERROR(__xludf.DUMMYFUNCTION("""COMPUTED_VALUE"""),"2055-06-02T16:33:45.041227Z")</f>
        <v>2055-06-02T16:33:45.041227Z</v>
      </c>
      <c r="P846" s="3" t="str">
        <f ca="1">IFERROR(__xludf.DUMMYFUNCTION("""COMPUTED_VALUE"""),"2055-06-02T16:04:14.807915Z")</f>
        <v>2055-06-02T16:04:14.807915Z</v>
      </c>
      <c r="Q846" s="3">
        <f ca="1">IFERROR(__xludf.DUMMYFUNCTION("""COMPUTED_VALUE"""),0)</f>
        <v>0</v>
      </c>
      <c r="R846" s="3" t="str">
        <f ca="1">IFERROR(__xludf.DUMMYFUNCTION("""COMPUTED_VALUE"""),"2055-06-02T16:05:00.573843Z")</f>
        <v>2055-06-02T16:05:00.573843Z</v>
      </c>
      <c r="S846" s="3" t="str">
        <f ca="1">IFERROR(__xludf.DUMMYFUNCTION("""COMPUTED_VALUE"""),"2055-06-02T16:13:45.935416Z")</f>
        <v>2055-06-02T16:13:45.935416Z</v>
      </c>
      <c r="T846" s="3"/>
      <c r="U846" s="4">
        <f ca="1">IFERROR(__xludf.DUMMYFUNCTION("""COMPUTED_VALUE"""),56767)</f>
        <v>56767</v>
      </c>
      <c r="V846" s="3">
        <f ca="1">IFERROR(__xludf.DUMMYFUNCTION("""COMPUTED_VALUE"""),4.6)</f>
        <v>4.5999999999999996</v>
      </c>
      <c r="W846" s="3">
        <f ca="1">IFERROR(__xludf.DUMMYFUNCTION("""COMPUTED_VALUE"""),1500)</f>
        <v>1500</v>
      </c>
      <c r="X846" s="3">
        <f ca="1">IFERROR(__xludf.DUMMYFUNCTION("""COMPUTED_VALUE"""),1725)</f>
        <v>1725</v>
      </c>
      <c r="Y846" s="3">
        <f ca="1">IFERROR(__xludf.DUMMYFUNCTION("""COMPUTED_VALUE"""),525)</f>
        <v>525</v>
      </c>
      <c r="Z846" s="3">
        <f ca="1">IFERROR(__xludf.DUMMYFUNCTION("""COMPUTED_VALUE"""),243)</f>
        <v>243</v>
      </c>
      <c r="AA846" s="3">
        <f ca="1">IFERROR(__xludf.DUMMYFUNCTION("""COMPUTED_VALUE"""),957)</f>
        <v>957</v>
      </c>
      <c r="AB846" s="3">
        <f ca="1">IFERROR(__xludf.DUMMYFUNCTION("""COMPUTED_VALUE"""),0)</f>
        <v>0</v>
      </c>
      <c r="AC846" s="3">
        <f ca="1">IFERROR(__xludf.DUMMYFUNCTION("""COMPUTED_VALUE"""),3)</f>
        <v>3</v>
      </c>
      <c r="AD846" s="3" t="str">
        <f ca="1">IFERROR(__xludf.DUMMYFUNCTION("""COMPUTED_VALUE"""),"on time")</f>
        <v>on time</v>
      </c>
      <c r="AE846" s="3" t="str">
        <f ca="1">IFERROR(__xludf.DUMMYFUNCTION("""COMPUTED_VALUE"""),"2055-06-02T12:17:48.554548Z")</f>
        <v>2055-06-02T12:17:48.554548Z</v>
      </c>
      <c r="AF846" s="3" t="str">
        <f ca="1">IFERROR(__xludf.DUMMYFUNCTION("""COMPUTED_VALUE"""),"2055-06-02T12:33:45.041227Z")</f>
        <v>2055-06-02T12:33:45.041227Z</v>
      </c>
      <c r="AG846" s="3" t="str">
        <f ca="1">IFERROR(__xludf.DUMMYFUNCTION("""COMPUTED_VALUE"""),"2055-06-02T12:04:14.807915Z")</f>
        <v>2055-06-02T12:04:14.807915Z</v>
      </c>
      <c r="AH846" s="3" t="str">
        <f ca="1">IFERROR(__xludf.DUMMYFUNCTION("""COMPUTED_VALUE"""),"2055-06-02T12:13:45.935416Z")</f>
        <v>2055-06-02T12:13:45.935416Z</v>
      </c>
      <c r="AI846" s="3">
        <f ca="1">IFERROR(__xludf.DUMMYFUNCTION("""COMPUTED_VALUE"""),4.81)</f>
        <v>4.8099999999999996</v>
      </c>
      <c r="AJ846" s="3">
        <f ca="1">IFERROR(__xludf.DUMMYFUNCTION("""COMPUTED_VALUE"""),747)</f>
        <v>747</v>
      </c>
      <c r="AK846" s="3">
        <f ca="1">IFERROR(__xludf.DUMMYFUNCTION("""COMPUTED_VALUE"""),2902)</f>
        <v>2902</v>
      </c>
      <c r="AL846" s="3">
        <f ca="1">IFERROR(__xludf.DUMMYFUNCTION("""COMPUTED_VALUE"""),484)</f>
        <v>484</v>
      </c>
      <c r="AM846" s="3">
        <f>IFERROR(Raw_Data!AL846 / Raw_Data!AK846, "")</f>
        <v>0.16678152997932461</v>
      </c>
      <c r="AN846" s="3" t="str">
        <f>IF(ISBLANK(Raw_Data!AL846), "No", "Yes")</f>
        <v>Yes</v>
      </c>
      <c r="AO846" s="3">
        <f>IFERROR(Raw_Data!Z846/60, "")</f>
        <v>4.05</v>
      </c>
    </row>
    <row r="847" spans="1:41" ht="13">
      <c r="A847" s="3">
        <f ca="1">IFERROR(__xludf.DUMMYFUNCTION("""COMPUTED_VALUE"""),328)</f>
        <v>328</v>
      </c>
      <c r="B847" s="3">
        <f ca="1">IFERROR(__xludf.DUMMYFUNCTION("""COMPUTED_VALUE"""),5)</f>
        <v>5</v>
      </c>
      <c r="C847" s="3">
        <f ca="1">IFERROR(__xludf.DUMMYFUNCTION("""COMPUTED_VALUE"""),4050)</f>
        <v>4050</v>
      </c>
      <c r="D847" s="3" t="str">
        <f ca="1">IFERROR(__xludf.DUMMYFUNCTION("""COMPUTED_VALUE"""),"Doorlanta")</f>
        <v>Doorlanta</v>
      </c>
      <c r="E847" s="3" t="str">
        <f ca="1">IFERROR(__xludf.DUMMYFUNCTION("""COMPUTED_VALUE"""),"Galaxy A")</f>
        <v>Galaxy A</v>
      </c>
      <c r="F847" s="3" t="str">
        <f ca="1">IFERROR(__xludf.DUMMYFUNCTION("""COMPUTED_VALUE"""),"Elon")</f>
        <v>Elon</v>
      </c>
      <c r="G847" s="3">
        <f ca="1">IFERROR(__xludf.DUMMYFUNCTION("""COMPUTED_VALUE"""),0)</f>
        <v>0</v>
      </c>
      <c r="H847" s="3" t="str">
        <f ca="1">IFERROR(__xludf.DUMMYFUNCTION("""COMPUTED_VALUE"""),"car")</f>
        <v>car</v>
      </c>
      <c r="I847" s="3" t="str">
        <f ca="1">IFERROR(__xludf.DUMMYFUNCTION("""COMPUTED_VALUE"""),"2055-06-03T20:48:24.315291Z")</f>
        <v>2055-06-03T20:48:24.315291Z</v>
      </c>
      <c r="J847" s="3" t="str">
        <f ca="1">IFERROR(__xludf.DUMMYFUNCTION("""COMPUTED_VALUE"""),"2055-06-03T21:42:08.381Z")</f>
        <v>2055-06-03T21:42:08.381Z</v>
      </c>
      <c r="K847" s="3" t="str">
        <f ca="1">IFERROR(__xludf.DUMMYFUNCTION("""COMPUTED_VALUE"""),"2055-06-03T21:28:15.381Z")</f>
        <v>2055-06-03T21:28:15.381Z</v>
      </c>
      <c r="L847" s="3">
        <f ca="1">IFERROR(__xludf.DUMMYFUNCTION("""COMPUTED_VALUE"""),1)</f>
        <v>1</v>
      </c>
      <c r="M847" s="3">
        <f ca="1">IFERROR(__xludf.DUMMYFUNCTION("""COMPUTED_VALUE"""),0)</f>
        <v>0</v>
      </c>
      <c r="N847" s="3" t="str">
        <f ca="1">IFERROR(__xludf.DUMMYFUNCTION("""COMPUTED_VALUE"""),"2055-06-03T20:59:30.917287Z")</f>
        <v>2055-06-03T20:59:30.917287Z</v>
      </c>
      <c r="O847" s="3" t="str">
        <f ca="1">IFERROR(__xludf.DUMMYFUNCTION("""COMPUTED_VALUE"""),"2055-06-03T21:26:48.439909Z")</f>
        <v>2055-06-03T21:26:48.439909Z</v>
      </c>
      <c r="P847" s="3" t="str">
        <f ca="1">IFERROR(__xludf.DUMMYFUNCTION("""COMPUTED_VALUE"""),"2055-06-03T20:48:27.297422Z")</f>
        <v>2055-06-03T20:48:27.297422Z</v>
      </c>
      <c r="Q847" s="3">
        <f ca="1">IFERROR(__xludf.DUMMYFUNCTION("""COMPUTED_VALUE"""),0)</f>
        <v>0</v>
      </c>
      <c r="R847" s="3" t="str">
        <f ca="1">IFERROR(__xludf.DUMMYFUNCTION("""COMPUTED_VALUE"""),"2055-06-03T20:49:18.599553Z")</f>
        <v>2055-06-03T20:49:18.599553Z</v>
      </c>
      <c r="S847" s="3"/>
      <c r="T847" s="3"/>
      <c r="U847" s="4">
        <f ca="1">IFERROR(__xludf.DUMMYFUNCTION("""COMPUTED_VALUE"""),56768)</f>
        <v>56768</v>
      </c>
      <c r="V847" s="3">
        <f ca="1">IFERROR(__xludf.DUMMYFUNCTION("""COMPUTED_VALUE"""),4.6)</f>
        <v>4.5999999999999996</v>
      </c>
      <c r="W847" s="3">
        <f ca="1">IFERROR(__xludf.DUMMYFUNCTION("""COMPUTED_VALUE"""),1500)</f>
        <v>1500</v>
      </c>
      <c r="X847" s="3">
        <f ca="1">IFERROR(__xludf.DUMMYFUNCTION("""COMPUTED_VALUE"""),2250)</f>
        <v>2250</v>
      </c>
      <c r="Y847" s="3"/>
      <c r="Z847" s="3"/>
      <c r="AA847" s="3">
        <f ca="1">IFERROR(__xludf.DUMMYFUNCTION("""COMPUTED_VALUE"""),1638)</f>
        <v>1638</v>
      </c>
      <c r="AB847" s="3">
        <f ca="1">IFERROR(__xludf.DUMMYFUNCTION("""COMPUTED_VALUE"""),0)</f>
        <v>0</v>
      </c>
      <c r="AC847" s="3">
        <f ca="1">IFERROR(__xludf.DUMMYFUNCTION("""COMPUTED_VALUE"""),2)</f>
        <v>2</v>
      </c>
      <c r="AD847" s="3"/>
      <c r="AE847" s="3" t="str">
        <f ca="1">IFERROR(__xludf.DUMMYFUNCTION("""COMPUTED_VALUE"""),"2055-06-03T16:59:30.917287Z")</f>
        <v>2055-06-03T16:59:30.917287Z</v>
      </c>
      <c r="AF847" s="3" t="str">
        <f ca="1">IFERROR(__xludf.DUMMYFUNCTION("""COMPUTED_VALUE"""),"2055-06-03T17:26:48.439909Z")</f>
        <v>2055-06-03T17:26:48.439909Z</v>
      </c>
      <c r="AG847" s="3" t="str">
        <f ca="1">IFERROR(__xludf.DUMMYFUNCTION("""COMPUTED_VALUE"""),"2055-06-03T16:48:27.297422Z")</f>
        <v>2055-06-03T16:48:27.297422Z</v>
      </c>
      <c r="AH847" s="3"/>
      <c r="AI847" s="3">
        <f ca="1">IFERROR(__xludf.DUMMYFUNCTION("""COMPUTED_VALUE"""),4.62)</f>
        <v>4.62</v>
      </c>
      <c r="AJ847" s="3">
        <f ca="1">IFERROR(__xludf.DUMMYFUNCTION("""COMPUTED_VALUE"""),259)</f>
        <v>259</v>
      </c>
      <c r="AK847" s="3">
        <f ca="1">IFERROR(__xludf.DUMMYFUNCTION("""COMPUTED_VALUE"""),604)</f>
        <v>604</v>
      </c>
      <c r="AL847" s="3">
        <f ca="1">IFERROR(__xludf.DUMMYFUNCTION("""COMPUTED_VALUE"""),21)</f>
        <v>21</v>
      </c>
      <c r="AM847" s="3">
        <f>IFERROR(Raw_Data!AL847 / Raw_Data!AK847, "")</f>
        <v>3.4768211920529798E-2</v>
      </c>
      <c r="AN847" s="3" t="str">
        <f>IF(ISBLANK(Raw_Data!AL847), "No", "Yes")</f>
        <v>Yes</v>
      </c>
      <c r="AO847" s="3">
        <f>IFERROR(Raw_Data!Z847/60, "")</f>
        <v>0</v>
      </c>
    </row>
    <row r="848" spans="1:41" ht="13">
      <c r="A848" s="3">
        <f ca="1">IFERROR(__xludf.DUMMYFUNCTION("""COMPUTED_VALUE"""),573)</f>
        <v>573</v>
      </c>
      <c r="B848" s="3"/>
      <c r="C848" s="3">
        <f ca="1">IFERROR(__xludf.DUMMYFUNCTION("""COMPUTED_VALUE"""),4001)</f>
        <v>4001</v>
      </c>
      <c r="D848" s="3" t="str">
        <f ca="1">IFERROR(__xludf.DUMMYFUNCTION("""COMPUTED_VALUE"""),"Dashattan")</f>
        <v>Dashattan</v>
      </c>
      <c r="E848" s="3" t="str">
        <f ca="1">IFERROR(__xludf.DUMMYFUNCTION("""COMPUTED_VALUE"""),"Galaxy A")</f>
        <v>Galaxy A</v>
      </c>
      <c r="F848" s="3" t="str">
        <f ca="1">IFERROR(__xludf.DUMMYFUNCTION("""COMPUTED_VALUE"""),"Samm")</f>
        <v>Samm</v>
      </c>
      <c r="G848" s="3">
        <f ca="1">IFERROR(__xludf.DUMMYFUNCTION("""COMPUTED_VALUE"""),0)</f>
        <v>0</v>
      </c>
      <c r="H848" s="3" t="str">
        <f ca="1">IFERROR(__xludf.DUMMYFUNCTION("""COMPUTED_VALUE"""),"car")</f>
        <v>car</v>
      </c>
      <c r="I848" s="3" t="str">
        <f ca="1">IFERROR(__xludf.DUMMYFUNCTION("""COMPUTED_VALUE"""),"2055-06-05T17:17:11.639919Z")</f>
        <v>2055-06-05T17:17:11.639919Z</v>
      </c>
      <c r="J848" s="3" t="str">
        <f ca="1">IFERROR(__xludf.DUMMYFUNCTION("""COMPUTED_VALUE"""),"2055-06-05T18:00:29.692Z")</f>
        <v>2055-06-05T18:00:29.692Z</v>
      </c>
      <c r="K848" s="3" t="str">
        <f ca="1">IFERROR(__xludf.DUMMYFUNCTION("""COMPUTED_VALUE"""),"2055-06-05T17:53:35.692Z")</f>
        <v>2055-06-05T17:53:35.692Z</v>
      </c>
      <c r="L848" s="3">
        <f ca="1">IFERROR(__xludf.DUMMYFUNCTION("""COMPUTED_VALUE"""),1)</f>
        <v>1</v>
      </c>
      <c r="M848" s="3">
        <f ca="1">IFERROR(__xludf.DUMMYFUNCTION("""COMPUTED_VALUE"""),0)</f>
        <v>0</v>
      </c>
      <c r="N848" s="3" t="str">
        <f ca="1">IFERROR(__xludf.DUMMYFUNCTION("""COMPUTED_VALUE"""),"2055-06-05T17:32:29.410902Z")</f>
        <v>2055-06-05T17:32:29.410902Z</v>
      </c>
      <c r="O848" s="3" t="str">
        <f ca="1">IFERROR(__xludf.DUMMYFUNCTION("""COMPUTED_VALUE"""),"2055-06-05T17:38:30.40514Z")</f>
        <v>2055-06-05T17:38:30.40514Z</v>
      </c>
      <c r="P848" s="3" t="str">
        <f ca="1">IFERROR(__xludf.DUMMYFUNCTION("""COMPUTED_VALUE"""),"2055-06-05T17:18:14.70329Z")</f>
        <v>2055-06-05T17:18:14.70329Z</v>
      </c>
      <c r="Q848" s="3">
        <f ca="1">IFERROR(__xludf.DUMMYFUNCTION("""COMPUTED_VALUE"""),0)</f>
        <v>0</v>
      </c>
      <c r="R848" s="3" t="str">
        <f ca="1">IFERROR(__xludf.DUMMYFUNCTION("""COMPUTED_VALUE"""),"2055-06-05T17:18:18.569004Z")</f>
        <v>2055-06-05T17:18:18.569004Z</v>
      </c>
      <c r="S848" s="3" t="str">
        <f ca="1">IFERROR(__xludf.DUMMYFUNCTION("""COMPUTED_VALUE"""),"2055-06-05T17:25:44.405421Z")</f>
        <v>2055-06-05T17:25:44.405421Z</v>
      </c>
      <c r="T848" s="3"/>
      <c r="U848" s="4">
        <f ca="1">IFERROR(__xludf.DUMMYFUNCTION("""COMPUTED_VALUE"""),56770)</f>
        <v>56770</v>
      </c>
      <c r="V848" s="3">
        <f ca="1">IFERROR(__xludf.DUMMYFUNCTION("""COMPUTED_VALUE"""),4.535008718)</f>
        <v>4.5350087180000003</v>
      </c>
      <c r="W848" s="3">
        <f ca="1">IFERROR(__xludf.DUMMYFUNCTION("""COMPUTED_VALUE"""),1500)</f>
        <v>1500</v>
      </c>
      <c r="X848" s="3">
        <f ca="1">IFERROR(__xludf.DUMMYFUNCTION("""COMPUTED_VALUE"""),1212)</f>
        <v>1212</v>
      </c>
      <c r="Y848" s="3">
        <f ca="1">IFERROR(__xludf.DUMMYFUNCTION("""COMPUTED_VALUE"""),446)</f>
        <v>446</v>
      </c>
      <c r="Z848" s="3">
        <f ca="1">IFERROR(__xludf.DUMMYFUNCTION("""COMPUTED_VALUE"""),405)</f>
        <v>405</v>
      </c>
      <c r="AA848" s="3">
        <f ca="1">IFERROR(__xludf.DUMMYFUNCTION("""COMPUTED_VALUE"""),361)</f>
        <v>361</v>
      </c>
      <c r="AB848" s="3">
        <f ca="1">IFERROR(__xludf.DUMMYFUNCTION("""COMPUTED_VALUE"""),0)</f>
        <v>0</v>
      </c>
      <c r="AC848" s="3">
        <f ca="1">IFERROR(__xludf.DUMMYFUNCTION("""COMPUTED_VALUE"""),2)</f>
        <v>2</v>
      </c>
      <c r="AD848" s="3" t="str">
        <f ca="1">IFERROR(__xludf.DUMMYFUNCTION("""COMPUTED_VALUE"""),"on time")</f>
        <v>on time</v>
      </c>
      <c r="AE848" s="3" t="str">
        <f ca="1">IFERROR(__xludf.DUMMYFUNCTION("""COMPUTED_VALUE"""),"2055-06-05T13:32:29.410902Z")</f>
        <v>2055-06-05T13:32:29.410902Z</v>
      </c>
      <c r="AF848" s="3" t="str">
        <f ca="1">IFERROR(__xludf.DUMMYFUNCTION("""COMPUTED_VALUE"""),"2055-06-05T13:38:30.40514Z")</f>
        <v>2055-06-05T13:38:30.40514Z</v>
      </c>
      <c r="AG848" s="3" t="str">
        <f ca="1">IFERROR(__xludf.DUMMYFUNCTION("""COMPUTED_VALUE"""),"2055-06-05T13:18:14.70329Z")</f>
        <v>2055-06-05T13:18:14.70329Z</v>
      </c>
      <c r="AH848" s="3" t="str">
        <f ca="1">IFERROR(__xludf.DUMMYFUNCTION("""COMPUTED_VALUE"""),"2055-06-05T13:25:44.405421Z")</f>
        <v>2055-06-05T13:25:44.405421Z</v>
      </c>
      <c r="AI848" s="3">
        <f ca="1">IFERROR(__xludf.DUMMYFUNCTION("""COMPUTED_VALUE"""),4.03)</f>
        <v>4.03</v>
      </c>
      <c r="AJ848" s="3">
        <f ca="1">IFERROR(__xludf.DUMMYFUNCTION("""COMPUTED_VALUE"""),505)</f>
        <v>505</v>
      </c>
      <c r="AK848" s="3">
        <f ca="1">IFERROR(__xludf.DUMMYFUNCTION("""COMPUTED_VALUE"""),1721)</f>
        <v>1721</v>
      </c>
      <c r="AL848" s="3">
        <f ca="1">IFERROR(__xludf.DUMMYFUNCTION("""COMPUTED_VALUE"""),457)</f>
        <v>457</v>
      </c>
      <c r="AM848" s="3">
        <f>IFERROR(Raw_Data!AL848 / Raw_Data!AK848, "")</f>
        <v>0.26554328878558975</v>
      </c>
      <c r="AN848" s="3" t="str">
        <f>IF(ISBLANK(Raw_Data!AL848), "No", "Yes")</f>
        <v>Yes</v>
      </c>
      <c r="AO848" s="3">
        <f>IFERROR(Raw_Data!Z848/60, "")</f>
        <v>6.75</v>
      </c>
    </row>
    <row r="849" spans="1:41" ht="13">
      <c r="A849" s="3">
        <f ca="1">IFERROR(__xludf.DUMMYFUNCTION("""COMPUTED_VALUE"""),282)</f>
        <v>282</v>
      </c>
      <c r="B849" s="3"/>
      <c r="C849" s="3">
        <f ca="1">IFERROR(__xludf.DUMMYFUNCTION("""COMPUTED_VALUE"""),4050)</f>
        <v>4050</v>
      </c>
      <c r="D849" s="3" t="str">
        <f ca="1">IFERROR(__xludf.DUMMYFUNCTION("""COMPUTED_VALUE"""),"Doorlanta")</f>
        <v>Doorlanta</v>
      </c>
      <c r="E849" s="3" t="str">
        <f ca="1">IFERROR(__xludf.DUMMYFUNCTION("""COMPUTED_VALUE"""),"Galaxy A")</f>
        <v>Galaxy A</v>
      </c>
      <c r="F849" s="3" t="str">
        <f ca="1">IFERROR(__xludf.DUMMYFUNCTION("""COMPUTED_VALUE"""),"Jagar")</f>
        <v>Jagar</v>
      </c>
      <c r="G849" s="3">
        <f ca="1">IFERROR(__xludf.DUMMYFUNCTION("""COMPUTED_VALUE"""),0)</f>
        <v>0</v>
      </c>
      <c r="H849" s="3" t="str">
        <f ca="1">IFERROR(__xludf.DUMMYFUNCTION("""COMPUTED_VALUE"""),"car")</f>
        <v>car</v>
      </c>
      <c r="I849" s="3" t="str">
        <f ca="1">IFERROR(__xludf.DUMMYFUNCTION("""COMPUTED_VALUE"""),"2055-06-03T16:12:53.565373Z")</f>
        <v>2055-06-03T16:12:53.565373Z</v>
      </c>
      <c r="J849" s="3" t="str">
        <f ca="1">IFERROR(__xludf.DUMMYFUNCTION("""COMPUTED_VALUE"""),"2055-06-03T16:52:53.663Z")</f>
        <v>2055-06-03T16:52:53.663Z</v>
      </c>
      <c r="K849" s="3" t="str">
        <f ca="1">IFERROR(__xludf.DUMMYFUNCTION("""COMPUTED_VALUE"""),"2055-06-03T16:40:20.663Z")</f>
        <v>2055-06-03T16:40:20.663Z</v>
      </c>
      <c r="L849" s="3">
        <f ca="1">IFERROR(__xludf.DUMMYFUNCTION("""COMPUTED_VALUE"""),1)</f>
        <v>1</v>
      </c>
      <c r="M849" s="3">
        <f ca="1">IFERROR(__xludf.DUMMYFUNCTION("""COMPUTED_VALUE"""),0)</f>
        <v>0</v>
      </c>
      <c r="N849" s="3" t="str">
        <f ca="1">IFERROR(__xludf.DUMMYFUNCTION("""COMPUTED_VALUE"""),"2055-06-03T16:33:24.84517Z")</f>
        <v>2055-06-03T16:33:24.84517Z</v>
      </c>
      <c r="O849" s="3" t="str">
        <f ca="1">IFERROR(__xludf.DUMMYFUNCTION("""COMPUTED_VALUE"""),"2055-06-03T16:42:29.622686Z")</f>
        <v>2055-06-03T16:42:29.622686Z</v>
      </c>
      <c r="P849" s="3" t="str">
        <f ca="1">IFERROR(__xludf.DUMMYFUNCTION("""COMPUTED_VALUE"""),"2055-06-03T16:22:27.448152Z")</f>
        <v>2055-06-03T16:22:27.448152Z</v>
      </c>
      <c r="Q849" s="3">
        <f ca="1">IFERROR(__xludf.DUMMYFUNCTION("""COMPUTED_VALUE"""),0)</f>
        <v>0</v>
      </c>
      <c r="R849" s="3" t="str">
        <f ca="1">IFERROR(__xludf.DUMMYFUNCTION("""COMPUTED_VALUE"""),"2055-06-03T16:22:30.779208Z")</f>
        <v>2055-06-03T16:22:30.779208Z</v>
      </c>
      <c r="S849" s="3" t="str">
        <f ca="1">IFERROR(__xludf.DUMMYFUNCTION("""COMPUTED_VALUE"""),"2055-06-03T16:29:59.482082Z")</f>
        <v>2055-06-03T16:29:59.482082Z</v>
      </c>
      <c r="T849" s="3"/>
      <c r="U849" s="4">
        <f ca="1">IFERROR(__xludf.DUMMYFUNCTION("""COMPUTED_VALUE"""),56768)</f>
        <v>56768</v>
      </c>
      <c r="V849" s="3">
        <f ca="1">IFERROR(__xludf.DUMMYFUNCTION("""COMPUTED_VALUE"""),4.6)</f>
        <v>4.5999999999999996</v>
      </c>
      <c r="W849" s="3">
        <f ca="1">IFERROR(__xludf.DUMMYFUNCTION("""COMPUTED_VALUE"""),1500)</f>
        <v>1500</v>
      </c>
      <c r="X849" s="3">
        <f ca="1">IFERROR(__xludf.DUMMYFUNCTION("""COMPUTED_VALUE"""),1199)</f>
        <v>1199</v>
      </c>
      <c r="Y849" s="3">
        <f ca="1">IFERROR(__xludf.DUMMYFUNCTION("""COMPUTED_VALUE"""),449)</f>
        <v>449</v>
      </c>
      <c r="Z849" s="3">
        <f ca="1">IFERROR(__xludf.DUMMYFUNCTION("""COMPUTED_VALUE"""),205)</f>
        <v>205</v>
      </c>
      <c r="AA849" s="3">
        <f ca="1">IFERROR(__xludf.DUMMYFUNCTION("""COMPUTED_VALUE"""),545)</f>
        <v>545</v>
      </c>
      <c r="AB849" s="3">
        <f ca="1">IFERROR(__xludf.DUMMYFUNCTION("""COMPUTED_VALUE"""),0)</f>
        <v>0</v>
      </c>
      <c r="AC849" s="3">
        <f ca="1">IFERROR(__xludf.DUMMYFUNCTION("""COMPUTED_VALUE"""),2)</f>
        <v>2</v>
      </c>
      <c r="AD849" s="3" t="str">
        <f ca="1">IFERROR(__xludf.DUMMYFUNCTION("""COMPUTED_VALUE"""),"late")</f>
        <v>late</v>
      </c>
      <c r="AE849" s="3" t="str">
        <f ca="1">IFERROR(__xludf.DUMMYFUNCTION("""COMPUTED_VALUE"""),"2055-06-03T12:33:24.84517Z")</f>
        <v>2055-06-03T12:33:24.84517Z</v>
      </c>
      <c r="AF849" s="3" t="str">
        <f ca="1">IFERROR(__xludf.DUMMYFUNCTION("""COMPUTED_VALUE"""),"2055-06-03T12:42:29.622686Z")</f>
        <v>2055-06-03T12:42:29.622686Z</v>
      </c>
      <c r="AG849" s="3" t="str">
        <f ca="1">IFERROR(__xludf.DUMMYFUNCTION("""COMPUTED_VALUE"""),"2055-06-03T12:22:27.448152Z")</f>
        <v>2055-06-03T12:22:27.448152Z</v>
      </c>
      <c r="AH849" s="3" t="str">
        <f ca="1">IFERROR(__xludf.DUMMYFUNCTION("""COMPUTED_VALUE"""),"2055-06-03T12:29:59.482082Z")</f>
        <v>2055-06-03T12:29:59.482082Z</v>
      </c>
      <c r="AI849" s="3">
        <f ca="1">IFERROR(__xludf.DUMMYFUNCTION("""COMPUTED_VALUE"""),4.89)</f>
        <v>4.8899999999999997</v>
      </c>
      <c r="AJ849" s="3">
        <f ca="1">IFERROR(__xludf.DUMMYFUNCTION("""COMPUTED_VALUE"""),1778)</f>
        <v>1778</v>
      </c>
      <c r="AK849" s="3">
        <f ca="1">IFERROR(__xludf.DUMMYFUNCTION("""COMPUTED_VALUE"""),5138)</f>
        <v>5138</v>
      </c>
      <c r="AL849" s="3">
        <f ca="1">IFERROR(__xludf.DUMMYFUNCTION("""COMPUTED_VALUE"""),314)</f>
        <v>314</v>
      </c>
      <c r="AM849" s="3">
        <f>IFERROR(Raw_Data!AL849 / Raw_Data!AK849, "")</f>
        <v>6.1113273647333592E-2</v>
      </c>
      <c r="AN849" s="3" t="str">
        <f>IF(ISBLANK(Raw_Data!AL849), "No", "Yes")</f>
        <v>Yes</v>
      </c>
      <c r="AO849" s="3">
        <f>IFERROR(Raw_Data!Z849/60, "")</f>
        <v>3.4166666666666665</v>
      </c>
    </row>
    <row r="850" spans="1:41" ht="13">
      <c r="A850" s="3">
        <f ca="1">IFERROR(__xludf.DUMMYFUNCTION("""COMPUTED_VALUE"""),658)</f>
        <v>658</v>
      </c>
      <c r="B850" s="3"/>
      <c r="C850" s="3">
        <f ca="1">IFERROR(__xludf.DUMMYFUNCTION("""COMPUTED_VALUE"""),4001)</f>
        <v>4001</v>
      </c>
      <c r="D850" s="3" t="str">
        <f ca="1">IFERROR(__xludf.DUMMYFUNCTION("""COMPUTED_VALUE"""),"Dashattan")</f>
        <v>Dashattan</v>
      </c>
      <c r="E850" s="3" t="str">
        <f ca="1">IFERROR(__xludf.DUMMYFUNCTION("""COMPUTED_VALUE"""),"Galaxy A")</f>
        <v>Galaxy A</v>
      </c>
      <c r="F850" s="3" t="str">
        <f ca="1">IFERROR(__xludf.DUMMYFUNCTION("""COMPUTED_VALUE"""),"KC")</f>
        <v>KC</v>
      </c>
      <c r="G850" s="3">
        <f ca="1">IFERROR(__xludf.DUMMYFUNCTION("""COMPUTED_VALUE"""),0)</f>
        <v>0</v>
      </c>
      <c r="H850" s="3" t="str">
        <f ca="1">IFERROR(__xludf.DUMMYFUNCTION("""COMPUTED_VALUE"""),"car")</f>
        <v>car</v>
      </c>
      <c r="I850" s="3" t="str">
        <f ca="1">IFERROR(__xludf.DUMMYFUNCTION("""COMPUTED_VALUE"""),"2055-06-05T22:46:58.837966Z")</f>
        <v>2055-06-05T22:46:58.837966Z</v>
      </c>
      <c r="J850" s="3" t="str">
        <f ca="1">IFERROR(__xludf.DUMMYFUNCTION("""COMPUTED_VALUE"""),"2055-06-05T23:32:41.897Z")</f>
        <v>2055-06-05T23:32:41.897Z</v>
      </c>
      <c r="K850" s="3" t="str">
        <f ca="1">IFERROR(__xludf.DUMMYFUNCTION("""COMPUTED_VALUE"""),"2055-06-05T23:24:23.897Z")</f>
        <v>2055-06-05T23:24:23.897Z</v>
      </c>
      <c r="L850" s="3">
        <f ca="1">IFERROR(__xludf.DUMMYFUNCTION("""COMPUTED_VALUE"""),1)</f>
        <v>1</v>
      </c>
      <c r="M850" s="3">
        <f ca="1">IFERROR(__xludf.DUMMYFUNCTION("""COMPUTED_VALUE"""),0)</f>
        <v>0</v>
      </c>
      <c r="N850" s="3" t="str">
        <f ca="1">IFERROR(__xludf.DUMMYFUNCTION("""COMPUTED_VALUE"""),"2055-06-05T23:06:10.018077Z")</f>
        <v>2055-06-05T23:06:10.018077Z</v>
      </c>
      <c r="O850" s="3" t="str">
        <f ca="1">IFERROR(__xludf.DUMMYFUNCTION("""COMPUTED_VALUE"""),"2055-06-05T23:23:41.506823Z")</f>
        <v>2055-06-05T23:23:41.506823Z</v>
      </c>
      <c r="P850" s="3" t="str">
        <f ca="1">IFERROR(__xludf.DUMMYFUNCTION("""COMPUTED_VALUE"""),"2055-06-05T22:49:34.136362Z")</f>
        <v>2055-06-05T22:49:34.136362Z</v>
      </c>
      <c r="Q850" s="3">
        <f ca="1">IFERROR(__xludf.DUMMYFUNCTION("""COMPUTED_VALUE"""),0)</f>
        <v>0</v>
      </c>
      <c r="R850" s="3" t="str">
        <f ca="1">IFERROR(__xludf.DUMMYFUNCTION("""COMPUTED_VALUE"""),"2055-06-05T22:49:45.599448Z")</f>
        <v>2055-06-05T22:49:45.599448Z</v>
      </c>
      <c r="S850" s="3" t="str">
        <f ca="1">IFERROR(__xludf.DUMMYFUNCTION("""COMPUTED_VALUE"""),"2055-06-05T23:01:10.669375Z")</f>
        <v>2055-06-05T23:01:10.669375Z</v>
      </c>
      <c r="T850" s="3"/>
      <c r="U850" s="4">
        <f ca="1">IFERROR(__xludf.DUMMYFUNCTION("""COMPUTED_VALUE"""),56770)</f>
        <v>56770</v>
      </c>
      <c r="V850" s="3">
        <f ca="1">IFERROR(__xludf.DUMMYFUNCTION("""COMPUTED_VALUE"""),4.2)</f>
        <v>4.2</v>
      </c>
      <c r="W850" s="3">
        <f ca="1">IFERROR(__xludf.DUMMYFUNCTION("""COMPUTED_VALUE"""),1500)</f>
        <v>1500</v>
      </c>
      <c r="X850" s="3">
        <f ca="1">IFERROR(__xludf.DUMMYFUNCTION("""COMPUTED_VALUE"""),2036)</f>
        <v>2036</v>
      </c>
      <c r="Y850" s="3">
        <f ca="1">IFERROR(__xludf.DUMMYFUNCTION("""COMPUTED_VALUE"""),685)</f>
        <v>685</v>
      </c>
      <c r="Z850" s="3">
        <f ca="1">IFERROR(__xludf.DUMMYFUNCTION("""COMPUTED_VALUE"""),300)</f>
        <v>300</v>
      </c>
      <c r="AA850" s="3">
        <f ca="1">IFERROR(__xludf.DUMMYFUNCTION("""COMPUTED_VALUE"""),1051)</f>
        <v>1051</v>
      </c>
      <c r="AB850" s="3">
        <f ca="1">IFERROR(__xludf.DUMMYFUNCTION("""COMPUTED_VALUE"""),1)</f>
        <v>1</v>
      </c>
      <c r="AC850" s="3">
        <f ca="1">IFERROR(__xludf.DUMMYFUNCTION("""COMPUTED_VALUE"""),2)</f>
        <v>2</v>
      </c>
      <c r="AD850" s="3"/>
      <c r="AE850" s="3" t="str">
        <f ca="1">IFERROR(__xludf.DUMMYFUNCTION("""COMPUTED_VALUE"""),"2055-06-05T19:06:10.018077Z")</f>
        <v>2055-06-05T19:06:10.018077Z</v>
      </c>
      <c r="AF850" s="3" t="str">
        <f ca="1">IFERROR(__xludf.DUMMYFUNCTION("""COMPUTED_VALUE"""),"2055-06-05T19:23:41.506823Z")</f>
        <v>2055-06-05T19:23:41.506823Z</v>
      </c>
      <c r="AG850" s="3" t="str">
        <f ca="1">IFERROR(__xludf.DUMMYFUNCTION("""COMPUTED_VALUE"""),"2055-06-05T18:49:34.136362Z")</f>
        <v>2055-06-05T18:49:34.136362Z</v>
      </c>
      <c r="AH850" s="3" t="str">
        <f ca="1">IFERROR(__xludf.DUMMYFUNCTION("""COMPUTED_VALUE"""),"2055-06-05T19:01:10.669375Z")</f>
        <v>2055-06-05T19:01:10.669375Z</v>
      </c>
      <c r="AI850" s="3">
        <f ca="1">IFERROR(__xludf.DUMMYFUNCTION("""COMPUTED_VALUE"""),4.54)</f>
        <v>4.54</v>
      </c>
      <c r="AJ850" s="3">
        <f ca="1">IFERROR(__xludf.DUMMYFUNCTION("""COMPUTED_VALUE"""),2229)</f>
        <v>2229</v>
      </c>
      <c r="AK850" s="3">
        <f ca="1">IFERROR(__xludf.DUMMYFUNCTION("""COMPUTED_VALUE"""),6580)</f>
        <v>6580</v>
      </c>
      <c r="AL850" s="3"/>
      <c r="AM850" s="3">
        <f>IFERROR(Raw_Data!AL850 / Raw_Data!AK850, "")</f>
        <v>0</v>
      </c>
      <c r="AN850" s="3" t="str">
        <f>IF(ISBLANK(Raw_Data!AL850), "No", "Yes")</f>
        <v>No</v>
      </c>
      <c r="AO850" s="3">
        <f>IFERROR(Raw_Data!Z850/60, "")</f>
        <v>5</v>
      </c>
    </row>
    <row r="851" spans="1:41" ht="13">
      <c r="A851" s="3">
        <f ca="1">IFERROR(__xludf.DUMMYFUNCTION("""COMPUTED_VALUE"""),122)</f>
        <v>122</v>
      </c>
      <c r="B851" s="3">
        <f ca="1">IFERROR(__xludf.DUMMYFUNCTION("""COMPUTED_VALUE"""),5)</f>
        <v>5</v>
      </c>
      <c r="C851" s="3">
        <f ca="1">IFERROR(__xludf.DUMMYFUNCTION("""COMPUTED_VALUE"""),4050)</f>
        <v>4050</v>
      </c>
      <c r="D851" s="3" t="str">
        <f ca="1">IFERROR(__xludf.DUMMYFUNCTION("""COMPUTED_VALUE"""),"Doorlanta")</f>
        <v>Doorlanta</v>
      </c>
      <c r="E851" s="3" t="str">
        <f ca="1">IFERROR(__xludf.DUMMYFUNCTION("""COMPUTED_VALUE"""),"Galaxy A")</f>
        <v>Galaxy A</v>
      </c>
      <c r="F851" s="3" t="str">
        <f ca="1">IFERROR(__xludf.DUMMYFUNCTION("""COMPUTED_VALUE"""),"Merissa")</f>
        <v>Merissa</v>
      </c>
      <c r="G851" s="3">
        <f ca="1">IFERROR(__xludf.DUMMYFUNCTION("""COMPUTED_VALUE"""),0)</f>
        <v>0</v>
      </c>
      <c r="H851" s="3" t="str">
        <f ca="1">IFERROR(__xludf.DUMMYFUNCTION("""COMPUTED_VALUE"""),"car")</f>
        <v>car</v>
      </c>
      <c r="I851" s="3" t="str">
        <f ca="1">IFERROR(__xludf.DUMMYFUNCTION("""COMPUTED_VALUE"""),"2055-06-02T15:18:02.546184Z")</f>
        <v>2055-06-02T15:18:02.546184Z</v>
      </c>
      <c r="J851" s="3" t="str">
        <f ca="1">IFERROR(__xludf.DUMMYFUNCTION("""COMPUTED_VALUE"""),"2055-06-02T16:19:04.61Z")</f>
        <v>2055-06-02T16:19:04.61Z</v>
      </c>
      <c r="K851" s="3" t="str">
        <f ca="1">IFERROR(__xludf.DUMMYFUNCTION("""COMPUTED_VALUE"""),"2055-06-02T15:59:25.61Z")</f>
        <v>2055-06-02T15:59:25.61Z</v>
      </c>
      <c r="L851" s="3">
        <f ca="1">IFERROR(__xludf.DUMMYFUNCTION("""COMPUTED_VALUE"""),1)</f>
        <v>1</v>
      </c>
      <c r="M851" s="3">
        <f ca="1">IFERROR(__xludf.DUMMYFUNCTION("""COMPUTED_VALUE"""),0)</f>
        <v>0</v>
      </c>
      <c r="N851" s="3" t="str">
        <f ca="1">IFERROR(__xludf.DUMMYFUNCTION("""COMPUTED_VALUE"""),"2055-06-02T15:29:48.617055Z")</f>
        <v>2055-06-02T15:29:48.617055Z</v>
      </c>
      <c r="O851" s="3" t="str">
        <f ca="1">IFERROR(__xludf.DUMMYFUNCTION("""COMPUTED_VALUE"""),"2055-06-02T15:52:06.336292Z")</f>
        <v>2055-06-02T15:52:06.336292Z</v>
      </c>
      <c r="P851" s="3" t="str">
        <f ca="1">IFERROR(__xludf.DUMMYFUNCTION("""COMPUTED_VALUE"""),"2055-06-02T15:18:27.281473Z")</f>
        <v>2055-06-02T15:18:27.281473Z</v>
      </c>
      <c r="Q851" s="3">
        <f ca="1">IFERROR(__xludf.DUMMYFUNCTION("""COMPUTED_VALUE"""),0)</f>
        <v>0</v>
      </c>
      <c r="R851" s="3" t="str">
        <f ca="1">IFERROR(__xludf.DUMMYFUNCTION("""COMPUTED_VALUE"""),"2055-06-02T15:18:36.196735Z")</f>
        <v>2055-06-02T15:18:36.196735Z</v>
      </c>
      <c r="S851" s="3" t="str">
        <f ca="1">IFERROR(__xludf.DUMMYFUNCTION("""COMPUTED_VALUE"""),"2055-06-02T15:25:19.146821Z")</f>
        <v>2055-06-02T15:25:19.146821Z</v>
      </c>
      <c r="T851" s="3"/>
      <c r="U851" s="4">
        <f ca="1">IFERROR(__xludf.DUMMYFUNCTION("""COMPUTED_VALUE"""),56767)</f>
        <v>56767</v>
      </c>
      <c r="V851" s="3">
        <f ca="1">IFERROR(__xludf.DUMMYFUNCTION("""COMPUTED_VALUE"""),4.6)</f>
        <v>4.5999999999999996</v>
      </c>
      <c r="W851" s="3">
        <f ca="1">IFERROR(__xludf.DUMMYFUNCTION("""COMPUTED_VALUE"""),1500)</f>
        <v>1500</v>
      </c>
      <c r="X851" s="3">
        <f ca="1">IFERROR(__xludf.DUMMYFUNCTION("""COMPUTED_VALUE"""),2010)</f>
        <v>2010</v>
      </c>
      <c r="Y851" s="3">
        <f ca="1">IFERROR(__xludf.DUMMYFUNCTION("""COMPUTED_VALUE"""),403)</f>
        <v>403</v>
      </c>
      <c r="Z851" s="3">
        <f ca="1">IFERROR(__xludf.DUMMYFUNCTION("""COMPUTED_VALUE"""),269)</f>
        <v>269</v>
      </c>
      <c r="AA851" s="3">
        <f ca="1">IFERROR(__xludf.DUMMYFUNCTION("""COMPUTED_VALUE"""),1338)</f>
        <v>1338</v>
      </c>
      <c r="AB851" s="3">
        <f ca="1">IFERROR(__xludf.DUMMYFUNCTION("""COMPUTED_VALUE"""),0)</f>
        <v>0</v>
      </c>
      <c r="AC851" s="3">
        <f ca="1">IFERROR(__xludf.DUMMYFUNCTION("""COMPUTED_VALUE"""),2)</f>
        <v>2</v>
      </c>
      <c r="AD851" s="3" t="str">
        <f ca="1">IFERROR(__xludf.DUMMYFUNCTION("""COMPUTED_VALUE"""),"early")</f>
        <v>early</v>
      </c>
      <c r="AE851" s="3" t="str">
        <f ca="1">IFERROR(__xludf.DUMMYFUNCTION("""COMPUTED_VALUE"""),"2055-06-02T11:29:48.617055Z")</f>
        <v>2055-06-02T11:29:48.617055Z</v>
      </c>
      <c r="AF851" s="3" t="str">
        <f ca="1">IFERROR(__xludf.DUMMYFUNCTION("""COMPUTED_VALUE"""),"2055-06-02T11:52:06.336292Z")</f>
        <v>2055-06-02T11:52:06.336292Z</v>
      </c>
      <c r="AG851" s="3" t="str">
        <f ca="1">IFERROR(__xludf.DUMMYFUNCTION("""COMPUTED_VALUE"""),"2055-06-02T11:18:27.281473Z")</f>
        <v>2055-06-02T11:18:27.281473Z</v>
      </c>
      <c r="AH851" s="3" t="str">
        <f ca="1">IFERROR(__xludf.DUMMYFUNCTION("""COMPUTED_VALUE"""),"2055-06-02T11:25:19.146821Z")</f>
        <v>2055-06-02T11:25:19.146821Z</v>
      </c>
      <c r="AI851" s="3">
        <f ca="1">IFERROR(__xludf.DUMMYFUNCTION("""COMPUTED_VALUE"""),4.58)</f>
        <v>4.58</v>
      </c>
      <c r="AJ851" s="3">
        <f ca="1">IFERROR(__xludf.DUMMYFUNCTION("""COMPUTED_VALUE"""),679)</f>
        <v>679</v>
      </c>
      <c r="AK851" s="3">
        <f ca="1">IFERROR(__xludf.DUMMYFUNCTION("""COMPUTED_VALUE"""),2371)</f>
        <v>2371</v>
      </c>
      <c r="AL851" s="3">
        <f ca="1">IFERROR(__xludf.DUMMYFUNCTION("""COMPUTED_VALUE"""),1830)</f>
        <v>1830</v>
      </c>
      <c r="AM851" s="3">
        <f>IFERROR(Raw_Data!AL851 / Raw_Data!AK851, "")</f>
        <v>0.7718262336566849</v>
      </c>
      <c r="AN851" s="3" t="str">
        <f>IF(ISBLANK(Raw_Data!AL851), "No", "Yes")</f>
        <v>Yes</v>
      </c>
      <c r="AO851" s="3">
        <f>IFERROR(Raw_Data!Z851/60, "")</f>
        <v>4.4833333333333334</v>
      </c>
    </row>
    <row r="852" spans="1:41" ht="13">
      <c r="A852" s="3">
        <f ca="1">IFERROR(__xludf.DUMMYFUNCTION("""COMPUTED_VALUE"""),929)</f>
        <v>929</v>
      </c>
      <c r="B852" s="3">
        <f ca="1">IFERROR(__xludf.DUMMYFUNCTION("""COMPUTED_VALUE"""),5)</f>
        <v>5</v>
      </c>
      <c r="C852" s="3">
        <f ca="1">IFERROR(__xludf.DUMMYFUNCTION("""COMPUTED_VALUE"""),4001)</f>
        <v>4001</v>
      </c>
      <c r="D852" s="3" t="str">
        <f ca="1">IFERROR(__xludf.DUMMYFUNCTION("""COMPUTED_VALUE"""),"Dashattan")</f>
        <v>Dashattan</v>
      </c>
      <c r="E852" s="3" t="str">
        <f ca="1">IFERROR(__xludf.DUMMYFUNCTION("""COMPUTED_VALUE"""),"Galaxy A")</f>
        <v>Galaxy A</v>
      </c>
      <c r="F852" s="3" t="str">
        <f ca="1">IFERROR(__xludf.DUMMYFUNCTION("""COMPUTED_VALUE"""),"Rojan")</f>
        <v>Rojan</v>
      </c>
      <c r="G852" s="3">
        <f ca="1">IFERROR(__xludf.DUMMYFUNCTION("""COMPUTED_VALUE"""),0)</f>
        <v>0</v>
      </c>
      <c r="H852" s="3" t="str">
        <f ca="1">IFERROR(__xludf.DUMMYFUNCTION("""COMPUTED_VALUE"""),"bicycle")</f>
        <v>bicycle</v>
      </c>
      <c r="I852" s="3" t="str">
        <f ca="1">IFERROR(__xludf.DUMMYFUNCTION("""COMPUTED_VALUE"""),"2055-06-08T14:39:01.910207Z")</f>
        <v>2055-06-08T14:39:01.910207Z</v>
      </c>
      <c r="J852" s="3" t="str">
        <f ca="1">IFERROR(__xludf.DUMMYFUNCTION("""COMPUTED_VALUE"""),"2055-06-08T15:31:46.976Z")</f>
        <v>2055-06-08T15:31:46.976Z</v>
      </c>
      <c r="K852" s="3" t="str">
        <f ca="1">IFERROR(__xludf.DUMMYFUNCTION("""COMPUTED_VALUE"""),"2055-06-08T15:12:53.976Z")</f>
        <v>2055-06-08T15:12:53.976Z</v>
      </c>
      <c r="L852" s="3">
        <f ca="1">IFERROR(__xludf.DUMMYFUNCTION("""COMPUTED_VALUE"""),1)</f>
        <v>1</v>
      </c>
      <c r="M852" s="3">
        <f ca="1">IFERROR(__xludf.DUMMYFUNCTION("""COMPUTED_VALUE"""),0)</f>
        <v>0</v>
      </c>
      <c r="N852" s="3" t="str">
        <f ca="1">IFERROR(__xludf.DUMMYFUNCTION("""COMPUTED_VALUE"""),"2055-06-08T15:02:39.988112Z")</f>
        <v>2055-06-08T15:02:39.988112Z</v>
      </c>
      <c r="O852" s="3" t="str">
        <f ca="1">IFERROR(__xludf.DUMMYFUNCTION("""COMPUTED_VALUE"""),"2055-06-08T15:13:15.911936Z")</f>
        <v>2055-06-08T15:13:15.911936Z</v>
      </c>
      <c r="P852" s="3" t="str">
        <f ca="1">IFERROR(__xludf.DUMMYFUNCTION("""COMPUTED_VALUE"""),"2055-06-08T14:46:14.176157Z")</f>
        <v>2055-06-08T14:46:14.176157Z</v>
      </c>
      <c r="Q852" s="3">
        <f ca="1">IFERROR(__xludf.DUMMYFUNCTION("""COMPUTED_VALUE"""),0)</f>
        <v>0</v>
      </c>
      <c r="R852" s="3" t="str">
        <f ca="1">IFERROR(__xludf.DUMMYFUNCTION("""COMPUTED_VALUE"""),"2055-06-08T14:46:25.394955Z")</f>
        <v>2055-06-08T14:46:25.394955Z</v>
      </c>
      <c r="S852" s="3" t="str">
        <f ca="1">IFERROR(__xludf.DUMMYFUNCTION("""COMPUTED_VALUE"""),"2055-06-08T14:56:52.024887Z")</f>
        <v>2055-06-08T14:56:52.024887Z</v>
      </c>
      <c r="T852" s="3"/>
      <c r="U852" s="4">
        <f ca="1">IFERROR(__xludf.DUMMYFUNCTION("""COMPUTED_VALUE"""),56773)</f>
        <v>56773</v>
      </c>
      <c r="V852" s="3">
        <f ca="1">IFERROR(__xludf.DUMMYFUNCTION("""COMPUTED_VALUE"""),4.3)</f>
        <v>4.3</v>
      </c>
      <c r="W852" s="3">
        <f ca="1">IFERROR(__xludf.DUMMYFUNCTION("""COMPUTED_VALUE"""),1500)</f>
        <v>1500</v>
      </c>
      <c r="X852" s="3">
        <f ca="1">IFERROR(__xludf.DUMMYFUNCTION("""COMPUTED_VALUE"""),1610)</f>
        <v>1610</v>
      </c>
      <c r="Y852" s="3">
        <f ca="1">IFERROR(__xludf.DUMMYFUNCTION("""COMPUTED_VALUE"""),627)</f>
        <v>627</v>
      </c>
      <c r="Z852" s="3">
        <f ca="1">IFERROR(__xludf.DUMMYFUNCTION("""COMPUTED_VALUE"""),347)</f>
        <v>347</v>
      </c>
      <c r="AA852" s="3">
        <f ca="1">IFERROR(__xludf.DUMMYFUNCTION("""COMPUTED_VALUE"""),636)</f>
        <v>636</v>
      </c>
      <c r="AB852" s="3">
        <f ca="1">IFERROR(__xludf.DUMMYFUNCTION("""COMPUTED_VALUE"""),0)</f>
        <v>0</v>
      </c>
      <c r="AC852" s="3">
        <f ca="1">IFERROR(__xludf.DUMMYFUNCTION("""COMPUTED_VALUE"""),2)</f>
        <v>2</v>
      </c>
      <c r="AD852" s="3" t="str">
        <f ca="1">IFERROR(__xludf.DUMMYFUNCTION("""COMPUTED_VALUE"""),"early")</f>
        <v>early</v>
      </c>
      <c r="AE852" s="3" t="str">
        <f ca="1">IFERROR(__xludf.DUMMYFUNCTION("""COMPUTED_VALUE"""),"2055-06-08T11:02:39.988112Z")</f>
        <v>2055-06-08T11:02:39.988112Z</v>
      </c>
      <c r="AF852" s="3" t="str">
        <f ca="1">IFERROR(__xludf.DUMMYFUNCTION("""COMPUTED_VALUE"""),"2055-06-08T11:13:15.911936Z")</f>
        <v>2055-06-08T11:13:15.911936Z</v>
      </c>
      <c r="AG852" s="3" t="str">
        <f ca="1">IFERROR(__xludf.DUMMYFUNCTION("""COMPUTED_VALUE"""),"2055-06-08T10:46:14.176157Z")</f>
        <v>2055-06-08T10:46:14.176157Z</v>
      </c>
      <c r="AH852" s="3" t="str">
        <f ca="1">IFERROR(__xludf.DUMMYFUNCTION("""COMPUTED_VALUE"""),"2055-06-08T10:56:52.024887Z")</f>
        <v>2055-06-08T10:56:52.024887Z</v>
      </c>
      <c r="AI852" s="3">
        <f ca="1">IFERROR(__xludf.DUMMYFUNCTION("""COMPUTED_VALUE"""),4.58)</f>
        <v>4.58</v>
      </c>
      <c r="AJ852" s="3">
        <f ca="1">IFERROR(__xludf.DUMMYFUNCTION("""COMPUTED_VALUE"""),254)</f>
        <v>254</v>
      </c>
      <c r="AK852" s="3">
        <f ca="1">IFERROR(__xludf.DUMMYFUNCTION("""COMPUTED_VALUE"""),788)</f>
        <v>788</v>
      </c>
      <c r="AL852" s="3">
        <f ca="1">IFERROR(__xludf.DUMMYFUNCTION("""COMPUTED_VALUE"""),9)</f>
        <v>9</v>
      </c>
      <c r="AM852" s="3">
        <f>IFERROR(Raw_Data!AL852 / Raw_Data!AK852, "")</f>
        <v>1.1421319796954314E-2</v>
      </c>
      <c r="AN852" s="3" t="str">
        <f>IF(ISBLANK(Raw_Data!AL852), "No", "Yes")</f>
        <v>Yes</v>
      </c>
      <c r="AO852" s="3">
        <f>IFERROR(Raw_Data!Z852/60, "")</f>
        <v>5.7833333333333332</v>
      </c>
    </row>
    <row r="853" spans="1:41" ht="13">
      <c r="A853" s="3">
        <f ca="1">IFERROR(__xludf.DUMMYFUNCTION("""COMPUTED_VALUE"""),1212)</f>
        <v>1212</v>
      </c>
      <c r="B853" s="3">
        <f ca="1">IFERROR(__xludf.DUMMYFUNCTION("""COMPUTED_VALUE"""),5)</f>
        <v>5</v>
      </c>
      <c r="C853" s="3">
        <f ca="1">IFERROR(__xludf.DUMMYFUNCTION("""COMPUTED_VALUE"""),4001)</f>
        <v>4001</v>
      </c>
      <c r="D853" s="3" t="str">
        <f ca="1">IFERROR(__xludf.DUMMYFUNCTION("""COMPUTED_VALUE"""),"Dashattan")</f>
        <v>Dashattan</v>
      </c>
      <c r="E853" s="3" t="str">
        <f ca="1">IFERROR(__xludf.DUMMYFUNCTION("""COMPUTED_VALUE"""),"Galaxy A")</f>
        <v>Galaxy A</v>
      </c>
      <c r="F853" s="3" t="str">
        <f ca="1">IFERROR(__xludf.DUMMYFUNCTION("""COMPUTED_VALUE"""),"Mike")</f>
        <v>Mike</v>
      </c>
      <c r="G853" s="3">
        <f ca="1">IFERROR(__xludf.DUMMYFUNCTION("""COMPUTED_VALUE"""),0)</f>
        <v>0</v>
      </c>
      <c r="H853" s="3" t="str">
        <f ca="1">IFERROR(__xludf.DUMMYFUNCTION("""COMPUTED_VALUE"""),"bicycle")</f>
        <v>bicycle</v>
      </c>
      <c r="I853" s="3" t="str">
        <f ca="1">IFERROR(__xludf.DUMMYFUNCTION("""COMPUTED_VALUE"""),"2055-06-11T00:16:00.646466Z")</f>
        <v>2055-06-11T00:16:00.646466Z</v>
      </c>
      <c r="J853" s="3" t="str">
        <f ca="1">IFERROR(__xludf.DUMMYFUNCTION("""COMPUTED_VALUE"""),"2055-06-11T01:15:45.695Z")</f>
        <v>2055-06-11T01:15:45.695Z</v>
      </c>
      <c r="K853" s="3" t="str">
        <f ca="1">IFERROR(__xludf.DUMMYFUNCTION("""COMPUTED_VALUE"""),"2055-06-11T01:05:38.695Z")</f>
        <v>2055-06-11T01:05:38.695Z</v>
      </c>
      <c r="L853" s="3">
        <f ca="1">IFERROR(__xludf.DUMMYFUNCTION("""COMPUTED_VALUE"""),1)</f>
        <v>1</v>
      </c>
      <c r="M853" s="3">
        <f ca="1">IFERROR(__xludf.DUMMYFUNCTION("""COMPUTED_VALUE"""),0)</f>
        <v>0</v>
      </c>
      <c r="N853" s="3" t="str">
        <f ca="1">IFERROR(__xludf.DUMMYFUNCTION("""COMPUTED_VALUE"""),"2055-06-11T00:49:11.48661Z")</f>
        <v>2055-06-11T00:49:11.48661Z</v>
      </c>
      <c r="O853" s="3" t="str">
        <f ca="1">IFERROR(__xludf.DUMMYFUNCTION("""COMPUTED_VALUE"""),"2055-06-11T01:13:29.677578Z")</f>
        <v>2055-06-11T01:13:29.677578Z</v>
      </c>
      <c r="P853" s="3" t="str">
        <f ca="1">IFERROR(__xludf.DUMMYFUNCTION("""COMPUTED_VALUE"""),"2055-06-11T00:41:35.465944Z")</f>
        <v>2055-06-11T00:41:35.465944Z</v>
      </c>
      <c r="Q853" s="3">
        <f ca="1">IFERROR(__xludf.DUMMYFUNCTION("""COMPUTED_VALUE"""),0)</f>
        <v>0</v>
      </c>
      <c r="R853" s="3" t="str">
        <f ca="1">IFERROR(__xludf.DUMMYFUNCTION("""COMPUTED_VALUE"""),"2055-06-11T00:41:56.659825Z")</f>
        <v>2055-06-11T00:41:56.659825Z</v>
      </c>
      <c r="S853" s="3" t="str">
        <f ca="1">IFERROR(__xludf.DUMMYFUNCTION("""COMPUTED_VALUE"""),"2055-06-11T00:41:54.095569Z")</f>
        <v>2055-06-11T00:41:54.095569Z</v>
      </c>
      <c r="T853" s="3"/>
      <c r="U853" s="4">
        <f ca="1">IFERROR(__xludf.DUMMYFUNCTION("""COMPUTED_VALUE"""),56775)</f>
        <v>56775</v>
      </c>
      <c r="V853" s="3">
        <f ca="1">IFERROR(__xludf.DUMMYFUNCTION("""COMPUTED_VALUE"""),4.3)</f>
        <v>4.3</v>
      </c>
      <c r="W853" s="3">
        <f ca="1">IFERROR(__xludf.DUMMYFUNCTION("""COMPUTED_VALUE"""),1500)</f>
        <v>1500</v>
      </c>
      <c r="X853" s="3">
        <f ca="1">IFERROR(__xludf.DUMMYFUNCTION("""COMPUTED_VALUE"""),1893)</f>
        <v>1893</v>
      </c>
      <c r="Y853" s="3"/>
      <c r="Z853" s="3">
        <f ca="1">IFERROR(__xludf.DUMMYFUNCTION("""COMPUTED_VALUE"""),437)</f>
        <v>437</v>
      </c>
      <c r="AA853" s="3">
        <f ca="1">IFERROR(__xludf.DUMMYFUNCTION("""COMPUTED_VALUE"""),1458)</f>
        <v>1458</v>
      </c>
      <c r="AB853" s="3">
        <f ca="1">IFERROR(__xludf.DUMMYFUNCTION("""COMPUTED_VALUE"""),0)</f>
        <v>0</v>
      </c>
      <c r="AC853" s="3">
        <f ca="1">IFERROR(__xludf.DUMMYFUNCTION("""COMPUTED_VALUE"""),3)</f>
        <v>3</v>
      </c>
      <c r="AD853" s="3"/>
      <c r="AE853" s="3" t="str">
        <f ca="1">IFERROR(__xludf.DUMMYFUNCTION("""COMPUTED_VALUE"""),"2055-06-10T20:49:11.48661Z")</f>
        <v>2055-06-10T20:49:11.48661Z</v>
      </c>
      <c r="AF853" s="3" t="str">
        <f ca="1">IFERROR(__xludf.DUMMYFUNCTION("""COMPUTED_VALUE"""),"2055-06-10T21:13:29.677578Z")</f>
        <v>2055-06-10T21:13:29.677578Z</v>
      </c>
      <c r="AG853" s="3" t="str">
        <f ca="1">IFERROR(__xludf.DUMMYFUNCTION("""COMPUTED_VALUE"""),"2055-06-10T20:41:35.465944Z")</f>
        <v>2055-06-10T20:41:35.465944Z</v>
      </c>
      <c r="AH853" s="3" t="str">
        <f ca="1">IFERROR(__xludf.DUMMYFUNCTION("""COMPUTED_VALUE"""),"2055-06-10T20:41:54.095569Z")</f>
        <v>2055-06-10T20:41:54.095569Z</v>
      </c>
      <c r="AI853" s="3">
        <f ca="1">IFERROR(__xludf.DUMMYFUNCTION("""COMPUTED_VALUE"""),4.63)</f>
        <v>4.63</v>
      </c>
      <c r="AJ853" s="3">
        <f ca="1">IFERROR(__xludf.DUMMYFUNCTION("""COMPUTED_VALUE"""),242)</f>
        <v>242</v>
      </c>
      <c r="AK853" s="3">
        <f ca="1">IFERROR(__xludf.DUMMYFUNCTION("""COMPUTED_VALUE"""),736)</f>
        <v>736</v>
      </c>
      <c r="AL853" s="3"/>
      <c r="AM853" s="3">
        <f>IFERROR(Raw_Data!AL853 / Raw_Data!AK853, "")</f>
        <v>0</v>
      </c>
      <c r="AN853" s="3" t="str">
        <f>IF(ISBLANK(Raw_Data!AL853), "No", "Yes")</f>
        <v>No</v>
      </c>
      <c r="AO853" s="3">
        <f>IFERROR(Raw_Data!Z853/60, "")</f>
        <v>7.2833333333333332</v>
      </c>
    </row>
    <row r="854" spans="1:41" ht="13">
      <c r="A854" s="3">
        <f ca="1">IFERROR(__xludf.DUMMYFUNCTION("""COMPUTED_VALUE"""),472)</f>
        <v>472</v>
      </c>
      <c r="B854" s="3">
        <f ca="1">IFERROR(__xludf.DUMMYFUNCTION("""COMPUTED_VALUE"""),4)</f>
        <v>4</v>
      </c>
      <c r="C854" s="3">
        <f ca="1">IFERROR(__xludf.DUMMYFUNCTION("""COMPUTED_VALUE"""),4050)</f>
        <v>4050</v>
      </c>
      <c r="D854" s="3" t="str">
        <f ca="1">IFERROR(__xludf.DUMMYFUNCTION("""COMPUTED_VALUE"""),"Doorlanta")</f>
        <v>Doorlanta</v>
      </c>
      <c r="E854" s="3" t="str">
        <f ca="1">IFERROR(__xludf.DUMMYFUNCTION("""COMPUTED_VALUE"""),"Galaxy A")</f>
        <v>Galaxy A</v>
      </c>
      <c r="F854" s="3" t="str">
        <f ca="1">IFERROR(__xludf.DUMMYFUNCTION("""COMPUTED_VALUE"""),"Hanna")</f>
        <v>Hanna</v>
      </c>
      <c r="G854" s="3">
        <f ca="1">IFERROR(__xludf.DUMMYFUNCTION("""COMPUTED_VALUE"""),0)</f>
        <v>0</v>
      </c>
      <c r="H854" s="3" t="str">
        <f ca="1">IFERROR(__xludf.DUMMYFUNCTION("""COMPUTED_VALUE"""),"car")</f>
        <v>car</v>
      </c>
      <c r="I854" s="3" t="str">
        <f ca="1">IFERROR(__xludf.DUMMYFUNCTION("""COMPUTED_VALUE"""),"2055-06-04T22:42:26.364071Z")</f>
        <v>2055-06-04T22:42:26.364071Z</v>
      </c>
      <c r="J854" s="3" t="str">
        <f ca="1">IFERROR(__xludf.DUMMYFUNCTION("""COMPUTED_VALUE"""),"2055-06-04T23:39:51.442Z")</f>
        <v>2055-06-04T23:39:51.442Z</v>
      </c>
      <c r="K854" s="3" t="str">
        <f ca="1">IFERROR(__xludf.DUMMYFUNCTION("""COMPUTED_VALUE"""),"2055-06-04T23:20:12.442Z")</f>
        <v>2055-06-04T23:20:12.442Z</v>
      </c>
      <c r="L854" s="3">
        <f ca="1">IFERROR(__xludf.DUMMYFUNCTION("""COMPUTED_VALUE"""),1)</f>
        <v>1</v>
      </c>
      <c r="M854" s="3">
        <f ca="1">IFERROR(__xludf.DUMMYFUNCTION("""COMPUTED_VALUE"""),0)</f>
        <v>0</v>
      </c>
      <c r="N854" s="3" t="str">
        <f ca="1">IFERROR(__xludf.DUMMYFUNCTION("""COMPUTED_VALUE"""),"2055-06-04T23:08:58.787495Z")</f>
        <v>2055-06-04T23:08:58.787495Z</v>
      </c>
      <c r="O854" s="3" t="str">
        <f ca="1">IFERROR(__xludf.DUMMYFUNCTION("""COMPUTED_VALUE"""),"2055-06-04T23:18:16.816713Z")</f>
        <v>2055-06-04T23:18:16.816713Z</v>
      </c>
      <c r="P854" s="3" t="str">
        <f ca="1">IFERROR(__xludf.DUMMYFUNCTION("""COMPUTED_VALUE"""),"2055-06-04T22:53:07.449382Z")</f>
        <v>2055-06-04T22:53:07.449382Z</v>
      </c>
      <c r="Q854" s="3">
        <f ca="1">IFERROR(__xludf.DUMMYFUNCTION("""COMPUTED_VALUE"""),0)</f>
        <v>0</v>
      </c>
      <c r="R854" s="3" t="str">
        <f ca="1">IFERROR(__xludf.DUMMYFUNCTION("""COMPUTED_VALUE"""),"2055-06-04T22:53:12.075235Z")</f>
        <v>2055-06-04T22:53:12.075235Z</v>
      </c>
      <c r="S854" s="3" t="str">
        <f ca="1">IFERROR(__xludf.DUMMYFUNCTION("""COMPUTED_VALUE"""),"2055-06-04T23:05:07.617754Z")</f>
        <v>2055-06-04T23:05:07.617754Z</v>
      </c>
      <c r="T854" s="3"/>
      <c r="U854" s="4">
        <f ca="1">IFERROR(__xludf.DUMMYFUNCTION("""COMPUTED_VALUE"""),56769)</f>
        <v>56769</v>
      </c>
      <c r="V854" s="3">
        <f ca="1">IFERROR(__xludf.DUMMYFUNCTION("""COMPUTED_VALUE"""),4.7)</f>
        <v>4.7</v>
      </c>
      <c r="W854" s="3">
        <f ca="1">IFERROR(__xludf.DUMMYFUNCTION("""COMPUTED_VALUE"""),1500)</f>
        <v>1500</v>
      </c>
      <c r="X854" s="3">
        <f ca="1">IFERROR(__xludf.DUMMYFUNCTION("""COMPUTED_VALUE"""),1504)</f>
        <v>1504</v>
      </c>
      <c r="Y854" s="3">
        <f ca="1">IFERROR(__xludf.DUMMYFUNCTION("""COMPUTED_VALUE"""),715)</f>
        <v>715</v>
      </c>
      <c r="Z854" s="3">
        <f ca="1">IFERROR(__xludf.DUMMYFUNCTION("""COMPUTED_VALUE"""),231)</f>
        <v>231</v>
      </c>
      <c r="AA854" s="3">
        <f ca="1">IFERROR(__xludf.DUMMYFUNCTION("""COMPUTED_VALUE"""),558)</f>
        <v>558</v>
      </c>
      <c r="AB854" s="3">
        <f ca="1">IFERROR(__xludf.DUMMYFUNCTION("""COMPUTED_VALUE"""),0)</f>
        <v>0</v>
      </c>
      <c r="AC854" s="3">
        <f ca="1">IFERROR(__xludf.DUMMYFUNCTION("""COMPUTED_VALUE"""),1)</f>
        <v>1</v>
      </c>
      <c r="AD854" s="3"/>
      <c r="AE854" s="3" t="str">
        <f ca="1">IFERROR(__xludf.DUMMYFUNCTION("""COMPUTED_VALUE"""),"2055-06-04T19:08:58.787495Z")</f>
        <v>2055-06-04T19:08:58.787495Z</v>
      </c>
      <c r="AF854" s="3" t="str">
        <f ca="1">IFERROR(__xludf.DUMMYFUNCTION("""COMPUTED_VALUE"""),"2055-06-04T19:18:16.816713Z")</f>
        <v>2055-06-04T19:18:16.816713Z</v>
      </c>
      <c r="AG854" s="3" t="str">
        <f ca="1">IFERROR(__xludf.DUMMYFUNCTION("""COMPUTED_VALUE"""),"2055-06-04T18:53:07.449382Z")</f>
        <v>2055-06-04T18:53:07.449382Z</v>
      </c>
      <c r="AH854" s="3" t="str">
        <f ca="1">IFERROR(__xludf.DUMMYFUNCTION("""COMPUTED_VALUE"""),"2055-06-04T19:05:07.617754Z")</f>
        <v>2055-06-04T19:05:07.617754Z</v>
      </c>
      <c r="AI854" s="3">
        <f ca="1">IFERROR(__xludf.DUMMYFUNCTION("""COMPUTED_VALUE"""),4.79)</f>
        <v>4.79</v>
      </c>
      <c r="AJ854" s="3">
        <f ca="1">IFERROR(__xludf.DUMMYFUNCTION("""COMPUTED_VALUE"""),1007)</f>
        <v>1007</v>
      </c>
      <c r="AK854" s="3">
        <f ca="1">IFERROR(__xludf.DUMMYFUNCTION("""COMPUTED_VALUE"""),2899)</f>
        <v>2899</v>
      </c>
      <c r="AL854" s="3">
        <f ca="1">IFERROR(__xludf.DUMMYFUNCTION("""COMPUTED_VALUE"""),1301)</f>
        <v>1301</v>
      </c>
      <c r="AM854" s="3">
        <f>IFERROR(Raw_Data!AL854 / Raw_Data!AK854, "")</f>
        <v>0.44877543980682993</v>
      </c>
      <c r="AN854" s="3" t="str">
        <f>IF(ISBLANK(Raw_Data!AL854), "No", "Yes")</f>
        <v>Yes</v>
      </c>
      <c r="AO854" s="3">
        <f>IFERROR(Raw_Data!Z854/60, "")</f>
        <v>3.85</v>
      </c>
    </row>
    <row r="855" spans="1:41" ht="13">
      <c r="A855" s="3">
        <f ca="1">IFERROR(__xludf.DUMMYFUNCTION("""COMPUTED_VALUE"""),562)</f>
        <v>562</v>
      </c>
      <c r="B855" s="3"/>
      <c r="C855" s="3">
        <f ca="1">IFERROR(__xludf.DUMMYFUNCTION("""COMPUTED_VALUE"""),4050)</f>
        <v>4050</v>
      </c>
      <c r="D855" s="3" t="str">
        <f ca="1">IFERROR(__xludf.DUMMYFUNCTION("""COMPUTED_VALUE"""),"Doorlanta")</f>
        <v>Doorlanta</v>
      </c>
      <c r="E855" s="3" t="str">
        <f ca="1">IFERROR(__xludf.DUMMYFUNCTION("""COMPUTED_VALUE"""),"Galaxy A")</f>
        <v>Galaxy A</v>
      </c>
      <c r="F855" s="3" t="str">
        <f ca="1">IFERROR(__xludf.DUMMYFUNCTION("""COMPUTED_VALUE"""),"Ajay")</f>
        <v>Ajay</v>
      </c>
      <c r="G855" s="3">
        <f ca="1">IFERROR(__xludf.DUMMYFUNCTION("""COMPUTED_VALUE"""),0)</f>
        <v>0</v>
      </c>
      <c r="H855" s="3" t="str">
        <f ca="1">IFERROR(__xludf.DUMMYFUNCTION("""COMPUTED_VALUE"""),"car")</f>
        <v>car</v>
      </c>
      <c r="I855" s="3" t="str">
        <f ca="1">IFERROR(__xludf.DUMMYFUNCTION("""COMPUTED_VALUE"""),"2055-06-05T16:15:14.557661Z")</f>
        <v>2055-06-05T16:15:14.557661Z</v>
      </c>
      <c r="J855" s="3" t="str">
        <f ca="1">IFERROR(__xludf.DUMMYFUNCTION("""COMPUTED_VALUE"""),"2055-06-05T17:31:43.691Z")</f>
        <v>2055-06-05T17:31:43.691Z</v>
      </c>
      <c r="K855" s="3" t="str">
        <f ca="1">IFERROR(__xludf.DUMMYFUNCTION("""COMPUTED_VALUE"""),"2055-06-05T17:09:49.691Z")</f>
        <v>2055-06-05T17:09:49.691Z</v>
      </c>
      <c r="L855" s="3">
        <f ca="1">IFERROR(__xludf.DUMMYFUNCTION("""COMPUTED_VALUE"""),1)</f>
        <v>1</v>
      </c>
      <c r="M855" s="3">
        <f ca="1">IFERROR(__xludf.DUMMYFUNCTION("""COMPUTED_VALUE"""),0)</f>
        <v>0</v>
      </c>
      <c r="N855" s="3" t="str">
        <f ca="1">IFERROR(__xludf.DUMMYFUNCTION("""COMPUTED_VALUE"""),"2055-06-05T16:55:14.487881Z")</f>
        <v>2055-06-05T16:55:14.487881Z</v>
      </c>
      <c r="O855" s="3" t="str">
        <f ca="1">IFERROR(__xludf.DUMMYFUNCTION("""COMPUTED_VALUE"""),"2055-06-05T17:06:51.719025Z")</f>
        <v>2055-06-05T17:06:51.719025Z</v>
      </c>
      <c r="P855" s="3" t="str">
        <f ca="1">IFERROR(__xludf.DUMMYFUNCTION("""COMPUTED_VALUE"""),"2055-06-05T16:39:27.349941Z")</f>
        <v>2055-06-05T16:39:27.349941Z</v>
      </c>
      <c r="Q855" s="3">
        <f ca="1">IFERROR(__xludf.DUMMYFUNCTION("""COMPUTED_VALUE"""),0)</f>
        <v>0</v>
      </c>
      <c r="R855" s="3" t="str">
        <f ca="1">IFERROR(__xludf.DUMMYFUNCTION("""COMPUTED_VALUE"""),"2055-06-05T16:39:30.195398Z")</f>
        <v>2055-06-05T16:39:30.195398Z</v>
      </c>
      <c r="S855" s="3" t="str">
        <f ca="1">IFERROR(__xludf.DUMMYFUNCTION("""COMPUTED_VALUE"""),"2055-06-05T16:50:03.494413Z")</f>
        <v>2055-06-05T16:50:03.494413Z</v>
      </c>
      <c r="T855" s="3"/>
      <c r="U855" s="4">
        <f ca="1">IFERROR(__xludf.DUMMYFUNCTION("""COMPUTED_VALUE"""),56770)</f>
        <v>56770</v>
      </c>
      <c r="V855" s="3">
        <f ca="1">IFERROR(__xludf.DUMMYFUNCTION("""COMPUTED_VALUE"""),3.530188261)</f>
        <v>3.5301882610000002</v>
      </c>
      <c r="W855" s="3">
        <f ca="1">IFERROR(__xludf.DUMMYFUNCTION("""COMPUTED_VALUE"""),1500)</f>
        <v>1500</v>
      </c>
      <c r="X855" s="3">
        <f ca="1">IFERROR(__xludf.DUMMYFUNCTION("""COMPUTED_VALUE"""),1641)</f>
        <v>1641</v>
      </c>
      <c r="Y855" s="3">
        <f ca="1">IFERROR(__xludf.DUMMYFUNCTION("""COMPUTED_VALUE"""),633)</f>
        <v>633</v>
      </c>
      <c r="Z855" s="3">
        <f ca="1">IFERROR(__xludf.DUMMYFUNCTION("""COMPUTED_VALUE"""),311)</f>
        <v>311</v>
      </c>
      <c r="AA855" s="3">
        <f ca="1">IFERROR(__xludf.DUMMYFUNCTION("""COMPUTED_VALUE"""),697)</f>
        <v>697</v>
      </c>
      <c r="AB855" s="3">
        <f ca="1">IFERROR(__xludf.DUMMYFUNCTION("""COMPUTED_VALUE"""),0)</f>
        <v>0</v>
      </c>
      <c r="AC855" s="3">
        <f ca="1">IFERROR(__xludf.DUMMYFUNCTION("""COMPUTED_VALUE"""),6)</f>
        <v>6</v>
      </c>
      <c r="AD855" s="3" t="str">
        <f ca="1">IFERROR(__xludf.DUMMYFUNCTION("""COMPUTED_VALUE"""),"early")</f>
        <v>early</v>
      </c>
      <c r="AE855" s="3" t="str">
        <f ca="1">IFERROR(__xludf.DUMMYFUNCTION("""COMPUTED_VALUE"""),"2055-06-05T12:55:14.487881Z")</f>
        <v>2055-06-05T12:55:14.487881Z</v>
      </c>
      <c r="AF855" s="3" t="str">
        <f ca="1">IFERROR(__xludf.DUMMYFUNCTION("""COMPUTED_VALUE"""),"2055-06-05T13:06:51.719025Z")</f>
        <v>2055-06-05T13:06:51.719025Z</v>
      </c>
      <c r="AG855" s="3" t="str">
        <f ca="1">IFERROR(__xludf.DUMMYFUNCTION("""COMPUTED_VALUE"""),"2055-06-05T12:39:27.349941Z")</f>
        <v>2055-06-05T12:39:27.349941Z</v>
      </c>
      <c r="AH855" s="3" t="str">
        <f ca="1">IFERROR(__xludf.DUMMYFUNCTION("""COMPUTED_VALUE"""),"2055-06-05T12:50:03.494413Z")</f>
        <v>2055-06-05T12:50:03.494413Z</v>
      </c>
      <c r="AI855" s="3">
        <f ca="1">IFERROR(__xludf.DUMMYFUNCTION("""COMPUTED_VALUE"""),4.57)</f>
        <v>4.57</v>
      </c>
      <c r="AJ855" s="3">
        <f ca="1">IFERROR(__xludf.DUMMYFUNCTION("""COMPUTED_VALUE"""),234)</f>
        <v>234</v>
      </c>
      <c r="AK855" s="3">
        <f ca="1">IFERROR(__xludf.DUMMYFUNCTION("""COMPUTED_VALUE"""),726)</f>
        <v>726</v>
      </c>
      <c r="AL855" s="3">
        <f ca="1">IFERROR(__xludf.DUMMYFUNCTION("""COMPUTED_VALUE"""),99)</f>
        <v>99</v>
      </c>
      <c r="AM855" s="3">
        <f>IFERROR(Raw_Data!AL855 / Raw_Data!AK855, "")</f>
        <v>0.13636363636363635</v>
      </c>
      <c r="AN855" s="3" t="str">
        <f>IF(ISBLANK(Raw_Data!AL855), "No", "Yes")</f>
        <v>Yes</v>
      </c>
      <c r="AO855" s="3">
        <f>IFERROR(Raw_Data!Z855/60, "")</f>
        <v>5.1833333333333336</v>
      </c>
    </row>
    <row r="856" spans="1:41" ht="13">
      <c r="A856" s="3">
        <f ca="1">IFERROR(__xludf.DUMMYFUNCTION("""COMPUTED_VALUE"""),58)</f>
        <v>58</v>
      </c>
      <c r="B856" s="3"/>
      <c r="C856" s="3">
        <f ca="1">IFERROR(__xludf.DUMMYFUNCTION("""COMPUTED_VALUE"""),4001)</f>
        <v>4001</v>
      </c>
      <c r="D856" s="3" t="str">
        <f ca="1">IFERROR(__xludf.DUMMYFUNCTION("""COMPUTED_VALUE"""),"Dashattan")</f>
        <v>Dashattan</v>
      </c>
      <c r="E856" s="3" t="str">
        <f ca="1">IFERROR(__xludf.DUMMYFUNCTION("""COMPUTED_VALUE"""),"Galaxy A")</f>
        <v>Galaxy A</v>
      </c>
      <c r="F856" s="3" t="str">
        <f ca="1">IFERROR(__xludf.DUMMYFUNCTION("""COMPUTED_VALUE"""),"KC")</f>
        <v>KC</v>
      </c>
      <c r="G856" s="3">
        <f ca="1">IFERROR(__xludf.DUMMYFUNCTION("""COMPUTED_VALUE"""),0)</f>
        <v>0</v>
      </c>
      <c r="H856" s="3" t="str">
        <f ca="1">IFERROR(__xludf.DUMMYFUNCTION("""COMPUTED_VALUE"""),"car")</f>
        <v>car</v>
      </c>
      <c r="I856" s="3" t="str">
        <f ca="1">IFERROR(__xludf.DUMMYFUNCTION("""COMPUTED_VALUE"""),"2055-06-01T22:06:31.929601Z")</f>
        <v>2055-06-01T22:06:31.929601Z</v>
      </c>
      <c r="J856" s="3" t="str">
        <f ca="1">IFERROR(__xludf.DUMMYFUNCTION("""COMPUTED_VALUE"""),"2055-06-01T22:58:05.978Z")</f>
        <v>2055-06-01T22:58:05.978Z</v>
      </c>
      <c r="K856" s="3" t="str">
        <f ca="1">IFERROR(__xludf.DUMMYFUNCTION("""COMPUTED_VALUE"""),"2055-06-01T22:37:58.978Z")</f>
        <v>2055-06-01T22:37:58.978Z</v>
      </c>
      <c r="L856" s="3">
        <f ca="1">IFERROR(__xludf.DUMMYFUNCTION("""COMPUTED_VALUE"""),1)</f>
        <v>1</v>
      </c>
      <c r="M856" s="3">
        <f ca="1">IFERROR(__xludf.DUMMYFUNCTION("""COMPUTED_VALUE"""),0)</f>
        <v>0</v>
      </c>
      <c r="N856" s="3" t="str">
        <f ca="1">IFERROR(__xludf.DUMMYFUNCTION("""COMPUTED_VALUE"""),"2055-06-01T22:21:01.621461Z")</f>
        <v>2055-06-01T22:21:01.621461Z</v>
      </c>
      <c r="O856" s="3" t="str">
        <f ca="1">IFERROR(__xludf.DUMMYFUNCTION("""COMPUTED_VALUE"""),"2055-06-01T22:38:27.779306Z")</f>
        <v>2055-06-01T22:38:27.779306Z</v>
      </c>
      <c r="P856" s="3" t="str">
        <f ca="1">IFERROR(__xludf.DUMMYFUNCTION("""COMPUTED_VALUE"""),"2055-06-01T22:10:54.51356Z")</f>
        <v>2055-06-01T22:10:54.51356Z</v>
      </c>
      <c r="Q856" s="3">
        <f ca="1">IFERROR(__xludf.DUMMYFUNCTION("""COMPUTED_VALUE"""),0)</f>
        <v>0</v>
      </c>
      <c r="R856" s="3" t="str">
        <f ca="1">IFERROR(__xludf.DUMMYFUNCTION("""COMPUTED_VALUE"""),"2055-06-01T22:11:01.68381Z")</f>
        <v>2055-06-01T22:11:01.68381Z</v>
      </c>
      <c r="S856" s="3" t="str">
        <f ca="1">IFERROR(__xludf.DUMMYFUNCTION("""COMPUTED_VALUE"""),"2055-06-01T22:15:04.018898Z")</f>
        <v>2055-06-01T22:15:04.018898Z</v>
      </c>
      <c r="T856" s="3"/>
      <c r="U856" s="4">
        <f ca="1">IFERROR(__xludf.DUMMYFUNCTION("""COMPUTED_VALUE"""),56766)</f>
        <v>56766</v>
      </c>
      <c r="V856" s="3">
        <f ca="1">IFERROR(__xludf.DUMMYFUNCTION("""COMPUTED_VALUE"""),4)</f>
        <v>4</v>
      </c>
      <c r="W856" s="3">
        <f ca="1">IFERROR(__xludf.DUMMYFUNCTION("""COMPUTED_VALUE"""),1500)</f>
        <v>1500</v>
      </c>
      <c r="X856" s="3">
        <f ca="1">IFERROR(__xludf.DUMMYFUNCTION("""COMPUTED_VALUE"""),1646)</f>
        <v>1646</v>
      </c>
      <c r="Y856" s="3">
        <f ca="1">IFERROR(__xludf.DUMMYFUNCTION("""COMPUTED_VALUE"""),243)</f>
        <v>243</v>
      </c>
      <c r="Z856" s="3">
        <f ca="1">IFERROR(__xludf.DUMMYFUNCTION("""COMPUTED_VALUE"""),357)</f>
        <v>357</v>
      </c>
      <c r="AA856" s="3">
        <f ca="1">IFERROR(__xludf.DUMMYFUNCTION("""COMPUTED_VALUE"""),1046)</f>
        <v>1046</v>
      </c>
      <c r="AB856" s="3">
        <f ca="1">IFERROR(__xludf.DUMMYFUNCTION("""COMPUTED_VALUE"""),1)</f>
        <v>1</v>
      </c>
      <c r="AC856" s="3">
        <f ca="1">IFERROR(__xludf.DUMMYFUNCTION("""COMPUTED_VALUE"""),4)</f>
        <v>4</v>
      </c>
      <c r="AD856" s="3"/>
      <c r="AE856" s="3" t="str">
        <f ca="1">IFERROR(__xludf.DUMMYFUNCTION("""COMPUTED_VALUE"""),"2055-06-01T18:21:01.621461Z")</f>
        <v>2055-06-01T18:21:01.621461Z</v>
      </c>
      <c r="AF856" s="3" t="str">
        <f ca="1">IFERROR(__xludf.DUMMYFUNCTION("""COMPUTED_VALUE"""),"2055-06-01T18:38:27.779306Z")</f>
        <v>2055-06-01T18:38:27.779306Z</v>
      </c>
      <c r="AG856" s="3" t="str">
        <f ca="1">IFERROR(__xludf.DUMMYFUNCTION("""COMPUTED_VALUE"""),"2055-06-01T18:10:54.51356Z")</f>
        <v>2055-06-01T18:10:54.51356Z</v>
      </c>
      <c r="AH856" s="3" t="str">
        <f ca="1">IFERROR(__xludf.DUMMYFUNCTION("""COMPUTED_VALUE"""),"2055-06-01T18:15:04.018898Z")</f>
        <v>2055-06-01T18:15:04.018898Z</v>
      </c>
      <c r="AI856" s="3">
        <f ca="1">IFERROR(__xludf.DUMMYFUNCTION("""COMPUTED_VALUE"""),4.54)</f>
        <v>4.54</v>
      </c>
      <c r="AJ856" s="3">
        <f ca="1">IFERROR(__xludf.DUMMYFUNCTION("""COMPUTED_VALUE"""),2229)</f>
        <v>2229</v>
      </c>
      <c r="AK856" s="3">
        <f ca="1">IFERROR(__xludf.DUMMYFUNCTION("""COMPUTED_VALUE"""),6580)</f>
        <v>6580</v>
      </c>
      <c r="AL856" s="3"/>
      <c r="AM856" s="3">
        <f>IFERROR(Raw_Data!AL856 / Raw_Data!AK856, "")</f>
        <v>0</v>
      </c>
      <c r="AN856" s="3" t="str">
        <f>IF(ISBLANK(Raw_Data!AL856), "No", "Yes")</f>
        <v>No</v>
      </c>
      <c r="AO856" s="3">
        <f>IFERROR(Raw_Data!Z856/60, "")</f>
        <v>5.95</v>
      </c>
    </row>
    <row r="857" spans="1:41" ht="13">
      <c r="A857" s="3">
        <f ca="1">IFERROR(__xludf.DUMMYFUNCTION("""COMPUTED_VALUE"""),137)</f>
        <v>137</v>
      </c>
      <c r="B857" s="3">
        <f ca="1">IFERROR(__xludf.DUMMYFUNCTION("""COMPUTED_VALUE"""),5)</f>
        <v>5</v>
      </c>
      <c r="C857" s="3">
        <f ca="1">IFERROR(__xludf.DUMMYFUNCTION("""COMPUTED_VALUE"""),4050)</f>
        <v>4050</v>
      </c>
      <c r="D857" s="3" t="str">
        <f ca="1">IFERROR(__xludf.DUMMYFUNCTION("""COMPUTED_VALUE"""),"Doorlanta")</f>
        <v>Doorlanta</v>
      </c>
      <c r="E857" s="3" t="str">
        <f ca="1">IFERROR(__xludf.DUMMYFUNCTION("""COMPUTED_VALUE"""),"Galaxy A")</f>
        <v>Galaxy A</v>
      </c>
      <c r="F857" s="3" t="str">
        <f ca="1">IFERROR(__xludf.DUMMYFUNCTION("""COMPUTED_VALUE"""),"Matthew")</f>
        <v>Matthew</v>
      </c>
      <c r="G857" s="3">
        <f ca="1">IFERROR(__xludf.DUMMYFUNCTION("""COMPUTED_VALUE"""),0)</f>
        <v>0</v>
      </c>
      <c r="H857" s="3" t="str">
        <f ca="1">IFERROR(__xludf.DUMMYFUNCTION("""COMPUTED_VALUE"""),"car")</f>
        <v>car</v>
      </c>
      <c r="I857" s="3" t="str">
        <f ca="1">IFERROR(__xludf.DUMMYFUNCTION("""COMPUTED_VALUE"""),"2055-06-02T16:21:55.280328Z")</f>
        <v>2055-06-02T16:21:55.280328Z</v>
      </c>
      <c r="J857" s="3" t="str">
        <f ca="1">IFERROR(__xludf.DUMMYFUNCTION("""COMPUTED_VALUE"""),"2055-06-02T17:01:55.355Z")</f>
        <v>2055-06-02T17:01:55.355Z</v>
      </c>
      <c r="K857" s="3" t="str">
        <f ca="1">IFERROR(__xludf.DUMMYFUNCTION("""COMPUTED_VALUE"""),"2055-06-02T16:55:57.355Z")</f>
        <v>2055-06-02T16:55:57.355Z</v>
      </c>
      <c r="L857" s="3">
        <f ca="1">IFERROR(__xludf.DUMMYFUNCTION("""COMPUTED_VALUE"""),1)</f>
        <v>1</v>
      </c>
      <c r="M857" s="3">
        <f ca="1">IFERROR(__xludf.DUMMYFUNCTION("""COMPUTED_VALUE"""),0)</f>
        <v>0</v>
      </c>
      <c r="N857" s="3" t="str">
        <f ca="1">IFERROR(__xludf.DUMMYFUNCTION("""COMPUTED_VALUE"""),"2055-06-02T16:37:52.168238Z")</f>
        <v>2055-06-02T16:37:52.168238Z</v>
      </c>
      <c r="O857" s="3" t="str">
        <f ca="1">IFERROR(__xludf.DUMMYFUNCTION("""COMPUTED_VALUE"""),"2055-06-02T16:56:12.666057Z")</f>
        <v>2055-06-02T16:56:12.666057Z</v>
      </c>
      <c r="P857" s="3" t="str">
        <f ca="1">IFERROR(__xludf.DUMMYFUNCTION("""COMPUTED_VALUE"""),"2055-06-02T16:22:07.277708Z")</f>
        <v>2055-06-02T16:22:07.277708Z</v>
      </c>
      <c r="Q857" s="3">
        <f ca="1">IFERROR(__xludf.DUMMYFUNCTION("""COMPUTED_VALUE"""),0)</f>
        <v>0</v>
      </c>
      <c r="R857" s="3" t="str">
        <f ca="1">IFERROR(__xludf.DUMMYFUNCTION("""COMPUTED_VALUE"""),"2055-06-02T16:22:24.187253Z")</f>
        <v>2055-06-02T16:22:24.187253Z</v>
      </c>
      <c r="S857" s="3" t="str">
        <f ca="1">IFERROR(__xludf.DUMMYFUNCTION("""COMPUTED_VALUE"""),"2055-06-02T16:32:32.929028Z")</f>
        <v>2055-06-02T16:32:32.929028Z</v>
      </c>
      <c r="T857" s="3"/>
      <c r="U857" s="4">
        <f ca="1">IFERROR(__xludf.DUMMYFUNCTION("""COMPUTED_VALUE"""),56767)</f>
        <v>56767</v>
      </c>
      <c r="V857" s="3">
        <f ca="1">IFERROR(__xludf.DUMMYFUNCTION("""COMPUTED_VALUE"""),4.6)</f>
        <v>4.5999999999999996</v>
      </c>
      <c r="W857" s="3">
        <f ca="1">IFERROR(__xludf.DUMMYFUNCTION("""COMPUTED_VALUE"""),1500)</f>
        <v>1500</v>
      </c>
      <c r="X857" s="3">
        <f ca="1">IFERROR(__xludf.DUMMYFUNCTION("""COMPUTED_VALUE"""),2028)</f>
        <v>2028</v>
      </c>
      <c r="Y857" s="3">
        <f ca="1">IFERROR(__xludf.DUMMYFUNCTION("""COMPUTED_VALUE"""),608)</f>
        <v>608</v>
      </c>
      <c r="Z857" s="3">
        <f ca="1">IFERROR(__xludf.DUMMYFUNCTION("""COMPUTED_VALUE"""),320)</f>
        <v>320</v>
      </c>
      <c r="AA857" s="3">
        <f ca="1">IFERROR(__xludf.DUMMYFUNCTION("""COMPUTED_VALUE"""),1100)</f>
        <v>1100</v>
      </c>
      <c r="AB857" s="3">
        <f ca="1">IFERROR(__xludf.DUMMYFUNCTION("""COMPUTED_VALUE"""),0)</f>
        <v>0</v>
      </c>
      <c r="AC857" s="3">
        <f ca="1">IFERROR(__xludf.DUMMYFUNCTION("""COMPUTED_VALUE"""),1)</f>
        <v>1</v>
      </c>
      <c r="AD857" s="3" t="str">
        <f ca="1">IFERROR(__xludf.DUMMYFUNCTION("""COMPUTED_VALUE"""),"on time")</f>
        <v>on time</v>
      </c>
      <c r="AE857" s="3" t="str">
        <f ca="1">IFERROR(__xludf.DUMMYFUNCTION("""COMPUTED_VALUE"""),"2055-06-02T12:37:52.168238Z")</f>
        <v>2055-06-02T12:37:52.168238Z</v>
      </c>
      <c r="AF857" s="3" t="str">
        <f ca="1">IFERROR(__xludf.DUMMYFUNCTION("""COMPUTED_VALUE"""),"2055-06-02T12:56:12.666057Z")</f>
        <v>2055-06-02T12:56:12.666057Z</v>
      </c>
      <c r="AG857" s="3" t="str">
        <f ca="1">IFERROR(__xludf.DUMMYFUNCTION("""COMPUTED_VALUE"""),"2055-06-02T12:22:07.277708Z")</f>
        <v>2055-06-02T12:22:07.277708Z</v>
      </c>
      <c r="AH857" s="3" t="str">
        <f ca="1">IFERROR(__xludf.DUMMYFUNCTION("""COMPUTED_VALUE"""),"2055-06-02T12:32:32.929028Z")</f>
        <v>2055-06-02T12:32:32.929028Z</v>
      </c>
      <c r="AI857" s="3">
        <f ca="1">IFERROR(__xludf.DUMMYFUNCTION("""COMPUTED_VALUE"""),4.411111111)</f>
        <v>4.4111111110000003</v>
      </c>
      <c r="AJ857" s="3">
        <f ca="1">IFERROR(__xludf.DUMMYFUNCTION("""COMPUTED_VALUE"""),68)</f>
        <v>68</v>
      </c>
      <c r="AK857" s="3">
        <f ca="1">IFERROR(__xludf.DUMMYFUNCTION("""COMPUTED_VALUE"""),223)</f>
        <v>223</v>
      </c>
      <c r="AL857" s="3">
        <f ca="1">IFERROR(__xludf.DUMMYFUNCTION("""COMPUTED_VALUE"""),118)</f>
        <v>118</v>
      </c>
      <c r="AM857" s="3">
        <f>IFERROR(Raw_Data!AL857 / Raw_Data!AK857, "")</f>
        <v>0.52914798206278024</v>
      </c>
      <c r="AN857" s="3" t="str">
        <f>IF(ISBLANK(Raw_Data!AL857), "No", "Yes")</f>
        <v>Yes</v>
      </c>
      <c r="AO857" s="3">
        <f>IFERROR(Raw_Data!Z857/60, "")</f>
        <v>5.333333333333333</v>
      </c>
    </row>
    <row r="858" spans="1:41" ht="13">
      <c r="A858" s="3">
        <f ca="1">IFERROR(__xludf.DUMMYFUNCTION("""COMPUTED_VALUE"""),555)</f>
        <v>555</v>
      </c>
      <c r="B858" s="3"/>
      <c r="C858" s="3">
        <f ca="1">IFERROR(__xludf.DUMMYFUNCTION("""COMPUTED_VALUE"""),4050)</f>
        <v>4050</v>
      </c>
      <c r="D858" s="3" t="str">
        <f ca="1">IFERROR(__xludf.DUMMYFUNCTION("""COMPUTED_VALUE"""),"Doorlanta")</f>
        <v>Doorlanta</v>
      </c>
      <c r="E858" s="3" t="str">
        <f ca="1">IFERROR(__xludf.DUMMYFUNCTION("""COMPUTED_VALUE"""),"Galaxy A")</f>
        <v>Galaxy A</v>
      </c>
      <c r="F858" s="3" t="str">
        <f ca="1">IFERROR(__xludf.DUMMYFUNCTION("""COMPUTED_VALUE"""),"Cate")</f>
        <v>Cate</v>
      </c>
      <c r="G858" s="3">
        <f ca="1">IFERROR(__xludf.DUMMYFUNCTION("""COMPUTED_VALUE"""),0)</f>
        <v>0</v>
      </c>
      <c r="H858" s="3" t="str">
        <f ca="1">IFERROR(__xludf.DUMMYFUNCTION("""COMPUTED_VALUE"""),"car")</f>
        <v>car</v>
      </c>
      <c r="I858" s="3" t="str">
        <f ca="1">IFERROR(__xludf.DUMMYFUNCTION("""COMPUTED_VALUE"""),"2055-06-05T15:37:29.98589Z")</f>
        <v>2055-06-05T15:37:29.98589Z</v>
      </c>
      <c r="J858" s="3" t="str">
        <f ca="1">IFERROR(__xludf.DUMMYFUNCTION("""COMPUTED_VALUE"""),"2055-06-05T16:35:05.081Z")</f>
        <v>2055-06-05T16:35:05.081Z</v>
      </c>
      <c r="K858" s="3" t="str">
        <f ca="1">IFERROR(__xludf.DUMMYFUNCTION("""COMPUTED_VALUE"""),"2055-06-05T16:14:58.081Z")</f>
        <v>2055-06-05T16:14:58.081Z</v>
      </c>
      <c r="L858" s="3">
        <f ca="1">IFERROR(__xludf.DUMMYFUNCTION("""COMPUTED_VALUE"""),1)</f>
        <v>1</v>
      </c>
      <c r="M858" s="3">
        <f ca="1">IFERROR(__xludf.DUMMYFUNCTION("""COMPUTED_VALUE"""),0)</f>
        <v>0</v>
      </c>
      <c r="N858" s="3" t="str">
        <f ca="1">IFERROR(__xludf.DUMMYFUNCTION("""COMPUTED_VALUE"""),"2055-06-05T15:48:40.882301Z")</f>
        <v>2055-06-05T15:48:40.882301Z</v>
      </c>
      <c r="O858" s="3" t="str">
        <f ca="1">IFERROR(__xludf.DUMMYFUNCTION("""COMPUTED_VALUE"""),"2055-06-05T16:02:10.057168Z")</f>
        <v>2055-06-05T16:02:10.057168Z</v>
      </c>
      <c r="P858" s="3" t="str">
        <f ca="1">IFERROR(__xludf.DUMMYFUNCTION("""COMPUTED_VALUE"""),"2055-06-05T15:37:47.308638Z")</f>
        <v>2055-06-05T15:37:47.308638Z</v>
      </c>
      <c r="Q858" s="3">
        <f ca="1">IFERROR(__xludf.DUMMYFUNCTION("""COMPUTED_VALUE"""),0)</f>
        <v>0</v>
      </c>
      <c r="R858" s="3" t="str">
        <f ca="1">IFERROR(__xludf.DUMMYFUNCTION("""COMPUTED_VALUE"""),"2055-06-05T15:37:52.699Z")</f>
        <v>2055-06-05T15:37:52.699Z</v>
      </c>
      <c r="S858" s="3" t="str">
        <f ca="1">IFERROR(__xludf.DUMMYFUNCTION("""COMPUTED_VALUE"""),"2055-06-05T15:43:58.7844Z")</f>
        <v>2055-06-05T15:43:58.7844Z</v>
      </c>
      <c r="T858" s="3"/>
      <c r="U858" s="4">
        <f ca="1">IFERROR(__xludf.DUMMYFUNCTION("""COMPUTED_VALUE"""),56770)</f>
        <v>56770</v>
      </c>
      <c r="V858" s="3">
        <f ca="1">IFERROR(__xludf.DUMMYFUNCTION("""COMPUTED_VALUE"""),4.5)</f>
        <v>4.5</v>
      </c>
      <c r="W858" s="3">
        <f ca="1">IFERROR(__xludf.DUMMYFUNCTION("""COMPUTED_VALUE"""),1500)</f>
        <v>1500</v>
      </c>
      <c r="X858" s="3">
        <f ca="1">IFERROR(__xludf.DUMMYFUNCTION("""COMPUTED_VALUE"""),1458)</f>
        <v>1458</v>
      </c>
      <c r="Y858" s="3">
        <f ca="1">IFERROR(__xludf.DUMMYFUNCTION("""COMPUTED_VALUE"""),366)</f>
        <v>366</v>
      </c>
      <c r="Z858" s="3">
        <f ca="1">IFERROR(__xludf.DUMMYFUNCTION("""COMPUTED_VALUE"""),282)</f>
        <v>282</v>
      </c>
      <c r="AA858" s="3">
        <f ca="1">IFERROR(__xludf.DUMMYFUNCTION("""COMPUTED_VALUE"""),810)</f>
        <v>810</v>
      </c>
      <c r="AB858" s="3">
        <f ca="1">IFERROR(__xludf.DUMMYFUNCTION("""COMPUTED_VALUE"""),0)</f>
        <v>0</v>
      </c>
      <c r="AC858" s="3">
        <f ca="1">IFERROR(__xludf.DUMMYFUNCTION("""COMPUTED_VALUE"""),4)</f>
        <v>4</v>
      </c>
      <c r="AD858" s="3" t="str">
        <f ca="1">IFERROR(__xludf.DUMMYFUNCTION("""COMPUTED_VALUE"""),"early")</f>
        <v>early</v>
      </c>
      <c r="AE858" s="3" t="str">
        <f ca="1">IFERROR(__xludf.DUMMYFUNCTION("""COMPUTED_VALUE"""),"2055-06-05T11:48:40.882301Z")</f>
        <v>2055-06-05T11:48:40.882301Z</v>
      </c>
      <c r="AF858" s="3" t="str">
        <f ca="1">IFERROR(__xludf.DUMMYFUNCTION("""COMPUTED_VALUE"""),"2055-06-05T12:02:10.057168Z")</f>
        <v>2055-06-05T12:02:10.057168Z</v>
      </c>
      <c r="AG858" s="3" t="str">
        <f ca="1">IFERROR(__xludf.DUMMYFUNCTION("""COMPUTED_VALUE"""),"2055-06-05T11:37:47.308638Z")</f>
        <v>2055-06-05T11:37:47.308638Z</v>
      </c>
      <c r="AH858" s="3" t="str">
        <f ca="1">IFERROR(__xludf.DUMMYFUNCTION("""COMPUTED_VALUE"""),"2055-06-05T11:43:58.7844Z")</f>
        <v>2055-06-05T11:43:58.7844Z</v>
      </c>
      <c r="AI858" s="3">
        <f ca="1">IFERROR(__xludf.DUMMYFUNCTION("""COMPUTED_VALUE"""),4.49)</f>
        <v>4.49</v>
      </c>
      <c r="AJ858" s="3">
        <f ca="1">IFERROR(__xludf.DUMMYFUNCTION("""COMPUTED_VALUE"""),2315)</f>
        <v>2315</v>
      </c>
      <c r="AK858" s="3">
        <f ca="1">IFERROR(__xludf.DUMMYFUNCTION("""COMPUTED_VALUE"""),7039)</f>
        <v>7039</v>
      </c>
      <c r="AL858" s="3">
        <f ca="1">IFERROR(__xludf.DUMMYFUNCTION("""COMPUTED_VALUE"""),763)</f>
        <v>763</v>
      </c>
      <c r="AM858" s="3">
        <f>IFERROR(Raw_Data!AL858 / Raw_Data!AK858, "")</f>
        <v>0.10839607898849268</v>
      </c>
      <c r="AN858" s="3" t="str">
        <f>IF(ISBLANK(Raw_Data!AL858), "No", "Yes")</f>
        <v>Yes</v>
      </c>
      <c r="AO858" s="3">
        <f>IFERROR(Raw_Data!Z858/60, "")</f>
        <v>4.7</v>
      </c>
    </row>
    <row r="859" spans="1:41" ht="13">
      <c r="A859" s="3">
        <f ca="1">IFERROR(__xludf.DUMMYFUNCTION("""COMPUTED_VALUE"""),1005)</f>
        <v>1005</v>
      </c>
      <c r="B859" s="3">
        <f ca="1">IFERROR(__xludf.DUMMYFUNCTION("""COMPUTED_VALUE"""),5)</f>
        <v>5</v>
      </c>
      <c r="C859" s="3">
        <f ca="1">IFERROR(__xludf.DUMMYFUNCTION("""COMPUTED_VALUE"""),4001)</f>
        <v>4001</v>
      </c>
      <c r="D859" s="3" t="str">
        <f ca="1">IFERROR(__xludf.DUMMYFUNCTION("""COMPUTED_VALUE"""),"Dashattan")</f>
        <v>Dashattan</v>
      </c>
      <c r="E859" s="3" t="str">
        <f ca="1">IFERROR(__xludf.DUMMYFUNCTION("""COMPUTED_VALUE"""),"Galaxy A")</f>
        <v>Galaxy A</v>
      </c>
      <c r="F859" s="3" t="str">
        <f ca="1">IFERROR(__xludf.DUMMYFUNCTION("""COMPUTED_VALUE"""),"Arya")</f>
        <v>Arya</v>
      </c>
      <c r="G859" s="3">
        <f ca="1">IFERROR(__xludf.DUMMYFUNCTION("""COMPUTED_VALUE"""),0)</f>
        <v>0</v>
      </c>
      <c r="H859" s="3" t="str">
        <f ca="1">IFERROR(__xludf.DUMMYFUNCTION("""COMPUTED_VALUE"""),"bicycle")</f>
        <v>bicycle</v>
      </c>
      <c r="I859" s="3" t="str">
        <f ca="1">IFERROR(__xludf.DUMMYFUNCTION("""COMPUTED_VALUE"""),"2055-06-09T01:39:26.294594Z")</f>
        <v>2055-06-09T01:39:26.294594Z</v>
      </c>
      <c r="J859" s="3" t="str">
        <f ca="1">IFERROR(__xludf.DUMMYFUNCTION("""COMPUTED_VALUE"""),"2055-06-09T02:22:08.37Z")</f>
        <v>2055-06-09T02:22:08.37Z</v>
      </c>
      <c r="K859" s="3" t="str">
        <f ca="1">IFERROR(__xludf.DUMMYFUNCTION("""COMPUTED_VALUE"""),"2055-06-09T02:17:01.37Z")</f>
        <v>2055-06-09T02:17:01.37Z</v>
      </c>
      <c r="L859" s="3">
        <f ca="1">IFERROR(__xludf.DUMMYFUNCTION("""COMPUTED_VALUE"""),1)</f>
        <v>1</v>
      </c>
      <c r="M859" s="3">
        <f ca="1">IFERROR(__xludf.DUMMYFUNCTION("""COMPUTED_VALUE"""),0)</f>
        <v>0</v>
      </c>
      <c r="N859" s="3" t="str">
        <f ca="1">IFERROR(__xludf.DUMMYFUNCTION("""COMPUTED_VALUE"""),"2055-06-09T02:03:24.053687Z")</f>
        <v>2055-06-09T02:03:24.053687Z</v>
      </c>
      <c r="O859" s="3" t="str">
        <f ca="1">IFERROR(__xludf.DUMMYFUNCTION("""COMPUTED_VALUE"""),"2055-06-09T02:14:34.401333Z")</f>
        <v>2055-06-09T02:14:34.401333Z</v>
      </c>
      <c r="P859" s="3" t="str">
        <f ca="1">IFERROR(__xludf.DUMMYFUNCTION("""COMPUTED_VALUE"""),"2055-06-09T01:52:14.435474Z")</f>
        <v>2055-06-09T01:52:14.435474Z</v>
      </c>
      <c r="Q859" s="3">
        <f ca="1">IFERROR(__xludf.DUMMYFUNCTION("""COMPUTED_VALUE"""),0)</f>
        <v>0</v>
      </c>
      <c r="R859" s="3" t="str">
        <f ca="1">IFERROR(__xludf.DUMMYFUNCTION("""COMPUTED_VALUE"""),"2055-06-09T01:52:21.342084Z")</f>
        <v>2055-06-09T01:52:21.342084Z</v>
      </c>
      <c r="S859" s="3" t="str">
        <f ca="1">IFERROR(__xludf.DUMMYFUNCTION("""COMPUTED_VALUE"""),"2055-06-09T01:58:18.592963Z")</f>
        <v>2055-06-09T01:58:18.592963Z</v>
      </c>
      <c r="T859" s="3"/>
      <c r="U859" s="4">
        <f ca="1">IFERROR(__xludf.DUMMYFUNCTION("""COMPUTED_VALUE"""),56773)</f>
        <v>56773</v>
      </c>
      <c r="V859" s="3">
        <f ca="1">IFERROR(__xludf.DUMMYFUNCTION("""COMPUTED_VALUE"""),3.261411852)</f>
        <v>3.2614118520000002</v>
      </c>
      <c r="W859" s="3">
        <f ca="1">IFERROR(__xludf.DUMMYFUNCTION("""COMPUTED_VALUE"""),1500)</f>
        <v>1500</v>
      </c>
      <c r="X859" s="3">
        <f ca="1">IFERROR(__xludf.DUMMYFUNCTION("""COMPUTED_VALUE"""),1333)</f>
        <v>1333</v>
      </c>
      <c r="Y859" s="3">
        <f ca="1">IFERROR(__xludf.DUMMYFUNCTION("""COMPUTED_VALUE"""),357)</f>
        <v>357</v>
      </c>
      <c r="Z859" s="3">
        <f ca="1">IFERROR(__xludf.DUMMYFUNCTION("""COMPUTED_VALUE"""),306)</f>
        <v>306</v>
      </c>
      <c r="AA859" s="3">
        <f ca="1">IFERROR(__xludf.DUMMYFUNCTION("""COMPUTED_VALUE"""),670)</f>
        <v>670</v>
      </c>
      <c r="AB859" s="3">
        <f ca="1">IFERROR(__xludf.DUMMYFUNCTION("""COMPUTED_VALUE"""),0)</f>
        <v>0</v>
      </c>
      <c r="AC859" s="3">
        <f ca="1">IFERROR(__xludf.DUMMYFUNCTION("""COMPUTED_VALUE"""),1)</f>
        <v>1</v>
      </c>
      <c r="AD859" s="3" t="str">
        <f ca="1">IFERROR(__xludf.DUMMYFUNCTION("""COMPUTED_VALUE"""),"on time")</f>
        <v>on time</v>
      </c>
      <c r="AE859" s="3" t="str">
        <f ca="1">IFERROR(__xludf.DUMMYFUNCTION("""COMPUTED_VALUE"""),"2055-06-08T22:03:24.053687Z")</f>
        <v>2055-06-08T22:03:24.053687Z</v>
      </c>
      <c r="AF859" s="3" t="str">
        <f ca="1">IFERROR(__xludf.DUMMYFUNCTION("""COMPUTED_VALUE"""),"2055-06-08T22:14:34.401333Z")</f>
        <v>2055-06-08T22:14:34.401333Z</v>
      </c>
      <c r="AG859" s="3" t="str">
        <f ca="1">IFERROR(__xludf.DUMMYFUNCTION("""COMPUTED_VALUE"""),"2055-06-08T21:52:14.435474Z")</f>
        <v>2055-06-08T21:52:14.435474Z</v>
      </c>
      <c r="AH859" s="3" t="str">
        <f ca="1">IFERROR(__xludf.DUMMYFUNCTION("""COMPUTED_VALUE"""),"2055-06-08T21:58:18.592963Z")</f>
        <v>2055-06-08T21:58:18.592963Z</v>
      </c>
      <c r="AI859" s="3">
        <f ca="1">IFERROR(__xludf.DUMMYFUNCTION("""COMPUTED_VALUE"""),4.17)</f>
        <v>4.17</v>
      </c>
      <c r="AJ859" s="3">
        <f ca="1">IFERROR(__xludf.DUMMYFUNCTION("""COMPUTED_VALUE"""),457)</f>
        <v>457</v>
      </c>
      <c r="AK859" s="3">
        <f ca="1">IFERROR(__xludf.DUMMYFUNCTION("""COMPUTED_VALUE"""),1599)</f>
        <v>1599</v>
      </c>
      <c r="AL859" s="3"/>
      <c r="AM859" s="3">
        <f>IFERROR(Raw_Data!AL859 / Raw_Data!AK859, "")</f>
        <v>0</v>
      </c>
      <c r="AN859" s="3" t="str">
        <f>IF(ISBLANK(Raw_Data!AL859), "No", "Yes")</f>
        <v>No</v>
      </c>
      <c r="AO859" s="3">
        <f>IFERROR(Raw_Data!Z859/60, "")</f>
        <v>5.0999999999999996</v>
      </c>
    </row>
    <row r="860" spans="1:41" ht="13">
      <c r="A860" s="3">
        <f ca="1">IFERROR(__xludf.DUMMYFUNCTION("""COMPUTED_VALUE"""),616)</f>
        <v>616</v>
      </c>
      <c r="B860" s="3"/>
      <c r="C860" s="3">
        <f ca="1">IFERROR(__xludf.DUMMYFUNCTION("""COMPUTED_VALUE"""),4050)</f>
        <v>4050</v>
      </c>
      <c r="D860" s="3" t="str">
        <f ca="1">IFERROR(__xludf.DUMMYFUNCTION("""COMPUTED_VALUE"""),"Doorlanta")</f>
        <v>Doorlanta</v>
      </c>
      <c r="E860" s="3" t="str">
        <f ca="1">IFERROR(__xludf.DUMMYFUNCTION("""COMPUTED_VALUE"""),"Galaxy A")</f>
        <v>Galaxy A</v>
      </c>
      <c r="F860" s="3" t="str">
        <f ca="1">IFERROR(__xludf.DUMMYFUNCTION("""COMPUTED_VALUE"""),"Anisha")</f>
        <v>Anisha</v>
      </c>
      <c r="G860" s="3">
        <f ca="1">IFERROR(__xludf.DUMMYFUNCTION("""COMPUTED_VALUE"""),0)</f>
        <v>0</v>
      </c>
      <c r="H860" s="3" t="str">
        <f ca="1">IFERROR(__xludf.DUMMYFUNCTION("""COMPUTED_VALUE"""),"car")</f>
        <v>car</v>
      </c>
      <c r="I860" s="3" t="str">
        <f ca="1">IFERROR(__xludf.DUMMYFUNCTION("""COMPUTED_VALUE"""),"2055-06-05T20:48:06.998552Z")</f>
        <v>2055-06-05T20:48:06.998552Z</v>
      </c>
      <c r="J860" s="3" t="str">
        <f ca="1">IFERROR(__xludf.DUMMYFUNCTION("""COMPUTED_VALUE"""),"2055-06-05T21:44:34.087Z")</f>
        <v>2055-06-05T21:44:34.087Z</v>
      </c>
      <c r="K860" s="3" t="str">
        <f ca="1">IFERROR(__xludf.DUMMYFUNCTION("""COMPUTED_VALUE"""),"2055-06-05T21:25:41.087Z")</f>
        <v>2055-06-05T21:25:41.087Z</v>
      </c>
      <c r="L860" s="3">
        <f ca="1">IFERROR(__xludf.DUMMYFUNCTION("""COMPUTED_VALUE"""),1)</f>
        <v>1</v>
      </c>
      <c r="M860" s="3">
        <f ca="1">IFERROR(__xludf.DUMMYFUNCTION("""COMPUTED_VALUE"""),0)</f>
        <v>0</v>
      </c>
      <c r="N860" s="3" t="str">
        <f ca="1">IFERROR(__xludf.DUMMYFUNCTION("""COMPUTED_VALUE"""),"2055-06-05T21:24:51.164575Z")</f>
        <v>2055-06-05T21:24:51.164575Z</v>
      </c>
      <c r="O860" s="3" t="str">
        <f ca="1">IFERROR(__xludf.DUMMYFUNCTION("""COMPUTED_VALUE"""),"2055-06-05T21:43:46.147659Z")</f>
        <v>2055-06-05T21:43:46.147659Z</v>
      </c>
      <c r="P860" s="3" t="str">
        <f ca="1">IFERROR(__xludf.DUMMYFUNCTION("""COMPUTED_VALUE"""),"2055-06-05T20:58:47.315711Z")</f>
        <v>2055-06-05T20:58:47.315711Z</v>
      </c>
      <c r="Q860" s="3">
        <f ca="1">IFERROR(__xludf.DUMMYFUNCTION("""COMPUTED_VALUE"""),0)</f>
        <v>0</v>
      </c>
      <c r="R860" s="3" t="str">
        <f ca="1">IFERROR(__xludf.DUMMYFUNCTION("""COMPUTED_VALUE"""),"2055-06-05T20:58:51.002986Z")</f>
        <v>2055-06-05T20:58:51.002986Z</v>
      </c>
      <c r="S860" s="3" t="str">
        <f ca="1">IFERROR(__xludf.DUMMYFUNCTION("""COMPUTED_VALUE"""),"2055-06-05T21:21:28.228329Z")</f>
        <v>2055-06-05T21:21:28.228329Z</v>
      </c>
      <c r="T860" s="3"/>
      <c r="U860" s="4">
        <f ca="1">IFERROR(__xludf.DUMMYFUNCTION("""COMPUTED_VALUE"""),56770)</f>
        <v>56770</v>
      </c>
      <c r="V860" s="3">
        <f ca="1">IFERROR(__xludf.DUMMYFUNCTION("""COMPUTED_VALUE"""),4.7)</f>
        <v>4.7</v>
      </c>
      <c r="W860" s="3">
        <f ca="1">IFERROR(__xludf.DUMMYFUNCTION("""COMPUTED_VALUE"""),1500)</f>
        <v>1500</v>
      </c>
      <c r="X860" s="3">
        <f ca="1">IFERROR(__xludf.DUMMYFUNCTION("""COMPUTED_VALUE"""),2695)</f>
        <v>2695</v>
      </c>
      <c r="Y860" s="3">
        <f ca="1">IFERROR(__xludf.DUMMYFUNCTION("""COMPUTED_VALUE"""),1357)</f>
        <v>1357</v>
      </c>
      <c r="Z860" s="3">
        <f ca="1">IFERROR(__xludf.DUMMYFUNCTION("""COMPUTED_VALUE"""),203)</f>
        <v>203</v>
      </c>
      <c r="AA860" s="3">
        <f ca="1">IFERROR(__xludf.DUMMYFUNCTION("""COMPUTED_VALUE"""),1135)</f>
        <v>1135</v>
      </c>
      <c r="AB860" s="3">
        <f ca="1">IFERROR(__xludf.DUMMYFUNCTION("""COMPUTED_VALUE"""),0)</f>
        <v>0</v>
      </c>
      <c r="AC860" s="3">
        <f ca="1">IFERROR(__xludf.DUMMYFUNCTION("""COMPUTED_VALUE"""),1)</f>
        <v>1</v>
      </c>
      <c r="AD860" s="3" t="str">
        <f ca="1">IFERROR(__xludf.DUMMYFUNCTION("""COMPUTED_VALUE"""),"late")</f>
        <v>late</v>
      </c>
      <c r="AE860" s="3" t="str">
        <f ca="1">IFERROR(__xludf.DUMMYFUNCTION("""COMPUTED_VALUE"""),"2055-06-05T17:24:51.164575Z")</f>
        <v>2055-06-05T17:24:51.164575Z</v>
      </c>
      <c r="AF860" s="3" t="str">
        <f ca="1">IFERROR(__xludf.DUMMYFUNCTION("""COMPUTED_VALUE"""),"2055-06-05T17:43:46.147659Z")</f>
        <v>2055-06-05T17:43:46.147659Z</v>
      </c>
      <c r="AG860" s="3" t="str">
        <f ca="1">IFERROR(__xludf.DUMMYFUNCTION("""COMPUTED_VALUE"""),"2055-06-05T16:58:47.315711Z")</f>
        <v>2055-06-05T16:58:47.315711Z</v>
      </c>
      <c r="AH860" s="3" t="str">
        <f ca="1">IFERROR(__xludf.DUMMYFUNCTION("""COMPUTED_VALUE"""),"2055-06-05T17:21:28.228329Z")</f>
        <v>2055-06-05T17:21:28.228329Z</v>
      </c>
      <c r="AI860" s="3">
        <f ca="1">IFERROR(__xludf.DUMMYFUNCTION("""COMPUTED_VALUE"""),4.7)</f>
        <v>4.7</v>
      </c>
      <c r="AJ860" s="3">
        <f ca="1">IFERROR(__xludf.DUMMYFUNCTION("""COMPUTED_VALUE"""),272)</f>
        <v>272</v>
      </c>
      <c r="AK860" s="3">
        <f ca="1">IFERROR(__xludf.DUMMYFUNCTION("""COMPUTED_VALUE"""),931)</f>
        <v>931</v>
      </c>
      <c r="AL860" s="3">
        <f ca="1">IFERROR(__xludf.DUMMYFUNCTION("""COMPUTED_VALUE"""),144)</f>
        <v>144</v>
      </c>
      <c r="AM860" s="3">
        <f>IFERROR(Raw_Data!AL860 / Raw_Data!AK860, "")</f>
        <v>0.15467239527389903</v>
      </c>
      <c r="AN860" s="3" t="str">
        <f>IF(ISBLANK(Raw_Data!AL860), "No", "Yes")</f>
        <v>Yes</v>
      </c>
      <c r="AO860" s="3">
        <f>IFERROR(Raw_Data!Z860/60, "")</f>
        <v>3.3833333333333333</v>
      </c>
    </row>
    <row r="861" spans="1:41" ht="13">
      <c r="A861" s="3">
        <f ca="1">IFERROR(__xludf.DUMMYFUNCTION("""COMPUTED_VALUE"""),812)</f>
        <v>812</v>
      </c>
      <c r="B861" s="3">
        <f ca="1">IFERROR(__xludf.DUMMYFUNCTION("""COMPUTED_VALUE"""),5)</f>
        <v>5</v>
      </c>
      <c r="C861" s="3">
        <f ca="1">IFERROR(__xludf.DUMMYFUNCTION("""COMPUTED_VALUE"""),4050)</f>
        <v>4050</v>
      </c>
      <c r="D861" s="3" t="str">
        <f ca="1">IFERROR(__xludf.DUMMYFUNCTION("""COMPUTED_VALUE"""),"Doorlanta")</f>
        <v>Doorlanta</v>
      </c>
      <c r="E861" s="3" t="str">
        <f ca="1">IFERROR(__xludf.DUMMYFUNCTION("""COMPUTED_VALUE"""),"Galaxy A")</f>
        <v>Galaxy A</v>
      </c>
      <c r="F861" s="3" t="str">
        <f ca="1">IFERROR(__xludf.DUMMYFUNCTION("""COMPUTED_VALUE"""),"Katelynn")</f>
        <v>Katelynn</v>
      </c>
      <c r="G861" s="3">
        <f ca="1">IFERROR(__xludf.DUMMYFUNCTION("""COMPUTED_VALUE"""),0)</f>
        <v>0</v>
      </c>
      <c r="H861" s="3" t="str">
        <f ca="1">IFERROR(__xludf.DUMMYFUNCTION("""COMPUTED_VALUE"""),"car")</f>
        <v>car</v>
      </c>
      <c r="I861" s="3" t="str">
        <f ca="1">IFERROR(__xludf.DUMMYFUNCTION("""COMPUTED_VALUE"""),"2055-06-07T00:46:09.399729Z")</f>
        <v>2055-06-07T00:46:09.399729Z</v>
      </c>
      <c r="J861" s="3" t="str">
        <f ca="1">IFERROR(__xludf.DUMMYFUNCTION("""COMPUTED_VALUE"""),"2055-06-07T01:41:09.476Z")</f>
        <v>2055-06-07T01:41:09.476Z</v>
      </c>
      <c r="K861" s="3" t="str">
        <f ca="1">IFERROR(__xludf.DUMMYFUNCTION("""COMPUTED_VALUE"""),"2055-06-07T01:17:21.476Z")</f>
        <v>2055-06-07T01:17:21.476Z</v>
      </c>
      <c r="L861" s="3">
        <f ca="1">IFERROR(__xludf.DUMMYFUNCTION("""COMPUTED_VALUE"""),1)</f>
        <v>1</v>
      </c>
      <c r="M861" s="3">
        <f ca="1">IFERROR(__xludf.DUMMYFUNCTION("""COMPUTED_VALUE"""),0)</f>
        <v>0</v>
      </c>
      <c r="N861" s="3" t="str">
        <f ca="1">IFERROR(__xludf.DUMMYFUNCTION("""COMPUTED_VALUE"""),"2055-06-07T01:01:36.379135Z")</f>
        <v>2055-06-07T01:01:36.379135Z</v>
      </c>
      <c r="O861" s="3" t="str">
        <f ca="1">IFERROR(__xludf.DUMMYFUNCTION("""COMPUTED_VALUE"""),"2055-06-07T01:10:55.612608Z")</f>
        <v>2055-06-07T01:10:55.612608Z</v>
      </c>
      <c r="P861" s="3" t="str">
        <f ca="1">IFERROR(__xludf.DUMMYFUNCTION("""COMPUTED_VALUE"""),"2055-06-07T00:46:27.253759Z")</f>
        <v>2055-06-07T00:46:27.253759Z</v>
      </c>
      <c r="Q861" s="3">
        <f ca="1">IFERROR(__xludf.DUMMYFUNCTION("""COMPUTED_VALUE"""),0)</f>
        <v>0</v>
      </c>
      <c r="R861" s="3" t="str">
        <f ca="1">IFERROR(__xludf.DUMMYFUNCTION("""COMPUTED_VALUE"""),"2055-06-07T00:46:37.650573Z")</f>
        <v>2055-06-07T00:46:37.650573Z</v>
      </c>
      <c r="S861" s="3"/>
      <c r="T861" s="3"/>
      <c r="U861" s="4">
        <f ca="1">IFERROR(__xludf.DUMMYFUNCTION("""COMPUTED_VALUE"""),56771)</f>
        <v>56771</v>
      </c>
      <c r="V861" s="3">
        <f ca="1">IFERROR(__xludf.DUMMYFUNCTION("""COMPUTED_VALUE"""),4.7)</f>
        <v>4.7</v>
      </c>
      <c r="W861" s="3">
        <f ca="1">IFERROR(__xludf.DUMMYFUNCTION("""COMPUTED_VALUE"""),1500)</f>
        <v>1500</v>
      </c>
      <c r="X861" s="3">
        <f ca="1">IFERROR(__xludf.DUMMYFUNCTION("""COMPUTED_VALUE"""),1458)</f>
        <v>1458</v>
      </c>
      <c r="Y861" s="3"/>
      <c r="Z861" s="3"/>
      <c r="AA861" s="3">
        <f ca="1">IFERROR(__xludf.DUMMYFUNCTION("""COMPUTED_VALUE"""),559)</f>
        <v>559</v>
      </c>
      <c r="AB861" s="3">
        <f ca="1">IFERROR(__xludf.DUMMYFUNCTION("""COMPUTED_VALUE"""),0)</f>
        <v>0</v>
      </c>
      <c r="AC861" s="3">
        <f ca="1">IFERROR(__xludf.DUMMYFUNCTION("""COMPUTED_VALUE"""),4)</f>
        <v>4</v>
      </c>
      <c r="AD861" s="3"/>
      <c r="AE861" s="3" t="str">
        <f ca="1">IFERROR(__xludf.DUMMYFUNCTION("""COMPUTED_VALUE"""),"2055-06-06T21:01:36.379135Z")</f>
        <v>2055-06-06T21:01:36.379135Z</v>
      </c>
      <c r="AF861" s="3" t="str">
        <f ca="1">IFERROR(__xludf.DUMMYFUNCTION("""COMPUTED_VALUE"""),"2055-06-06T21:10:55.612608Z")</f>
        <v>2055-06-06T21:10:55.612608Z</v>
      </c>
      <c r="AG861" s="3" t="str">
        <f ca="1">IFERROR(__xludf.DUMMYFUNCTION("""COMPUTED_VALUE"""),"2055-06-06T20:46:27.253759Z")</f>
        <v>2055-06-06T20:46:27.253759Z</v>
      </c>
      <c r="AH861" s="3"/>
      <c r="AI861" s="3">
        <f ca="1">IFERROR(__xludf.DUMMYFUNCTION("""COMPUTED_VALUE"""),4.7)</f>
        <v>4.7</v>
      </c>
      <c r="AJ861" s="3">
        <f ca="1">IFERROR(__xludf.DUMMYFUNCTION("""COMPUTED_VALUE"""),1261)</f>
        <v>1261</v>
      </c>
      <c r="AK861" s="3">
        <f ca="1">IFERROR(__xludf.DUMMYFUNCTION("""COMPUTED_VALUE"""),3264)</f>
        <v>3264</v>
      </c>
      <c r="AL861" s="3">
        <f ca="1">IFERROR(__xludf.DUMMYFUNCTION("""COMPUTED_VALUE"""),232)</f>
        <v>232</v>
      </c>
      <c r="AM861" s="3">
        <f>IFERROR(Raw_Data!AL861 / Raw_Data!AK861, "")</f>
        <v>7.1078431372549017E-2</v>
      </c>
      <c r="AN861" s="3" t="str">
        <f>IF(ISBLANK(Raw_Data!AL861), "No", "Yes")</f>
        <v>Yes</v>
      </c>
      <c r="AO861" s="3">
        <f>IFERROR(Raw_Data!Z861/60, "")</f>
        <v>0</v>
      </c>
    </row>
    <row r="862" spans="1:41" ht="13">
      <c r="A862" s="3">
        <f ca="1">IFERROR(__xludf.DUMMYFUNCTION("""COMPUTED_VALUE"""),864)</f>
        <v>864</v>
      </c>
      <c r="B862" s="3"/>
      <c r="C862" s="3">
        <f ca="1">IFERROR(__xludf.DUMMYFUNCTION("""COMPUTED_VALUE"""),4050)</f>
        <v>4050</v>
      </c>
      <c r="D862" s="3" t="str">
        <f ca="1">IFERROR(__xludf.DUMMYFUNCTION("""COMPUTED_VALUE"""),"Doorlanta")</f>
        <v>Doorlanta</v>
      </c>
      <c r="E862" s="3" t="str">
        <f ca="1">IFERROR(__xludf.DUMMYFUNCTION("""COMPUTED_VALUE"""),"Galaxy A")</f>
        <v>Galaxy A</v>
      </c>
      <c r="F862" s="3" t="str">
        <f ca="1">IFERROR(__xludf.DUMMYFUNCTION("""COMPUTED_VALUE"""),"Jagar")</f>
        <v>Jagar</v>
      </c>
      <c r="G862" s="3">
        <f ca="1">IFERROR(__xludf.DUMMYFUNCTION("""COMPUTED_VALUE"""),0)</f>
        <v>0</v>
      </c>
      <c r="H862" s="3" t="str">
        <f ca="1">IFERROR(__xludf.DUMMYFUNCTION("""COMPUTED_VALUE"""),"car")</f>
        <v>car</v>
      </c>
      <c r="I862" s="3" t="str">
        <f ca="1">IFERROR(__xludf.DUMMYFUNCTION("""COMPUTED_VALUE"""),"2055-06-07T19:01:05.550083Z")</f>
        <v>2055-06-07T19:01:05.550083Z</v>
      </c>
      <c r="J862" s="3" t="str">
        <f ca="1">IFERROR(__xludf.DUMMYFUNCTION("""COMPUTED_VALUE"""),"2055-06-07T19:56:05.625Z")</f>
        <v>2055-06-07T19:56:05.625Z</v>
      </c>
      <c r="K862" s="3" t="str">
        <f ca="1">IFERROR(__xludf.DUMMYFUNCTION("""COMPUTED_VALUE"""),"2055-06-07T19:34:58.625Z")</f>
        <v>2055-06-07T19:34:58.625Z</v>
      </c>
      <c r="L862" s="3">
        <f ca="1">IFERROR(__xludf.DUMMYFUNCTION("""COMPUTED_VALUE"""),1)</f>
        <v>1</v>
      </c>
      <c r="M862" s="3">
        <f ca="1">IFERROR(__xludf.DUMMYFUNCTION("""COMPUTED_VALUE"""),0)</f>
        <v>0</v>
      </c>
      <c r="N862" s="3" t="str">
        <f ca="1">IFERROR(__xludf.DUMMYFUNCTION("""COMPUTED_VALUE"""),"2055-06-07T19:22:23.71371Z")</f>
        <v>2055-06-07T19:22:23.71371Z</v>
      </c>
      <c r="O862" s="3" t="str">
        <f ca="1">IFERROR(__xludf.DUMMYFUNCTION("""COMPUTED_VALUE"""),"2055-06-07T19:35:22.283185Z")</f>
        <v>2055-06-07T19:35:22.283185Z</v>
      </c>
      <c r="P862" s="3" t="str">
        <f ca="1">IFERROR(__xludf.DUMMYFUNCTION("""COMPUTED_VALUE"""),"2055-06-07T19:02:27.278764Z")</f>
        <v>2055-06-07T19:02:27.278764Z</v>
      </c>
      <c r="Q862" s="3">
        <f ca="1">IFERROR(__xludf.DUMMYFUNCTION("""COMPUTED_VALUE"""),0)</f>
        <v>0</v>
      </c>
      <c r="R862" s="3" t="str">
        <f ca="1">IFERROR(__xludf.DUMMYFUNCTION("""COMPUTED_VALUE"""),"2055-06-07T19:02:43.773444Z")</f>
        <v>2055-06-07T19:02:43.773444Z</v>
      </c>
      <c r="S862" s="3" t="str">
        <f ca="1">IFERROR(__xludf.DUMMYFUNCTION("""COMPUTED_VALUE"""),"2055-06-07T19:15:25.450081Z")</f>
        <v>2055-06-07T19:15:25.450081Z</v>
      </c>
      <c r="T862" s="3"/>
      <c r="U862" s="4">
        <f ca="1">IFERROR(__xludf.DUMMYFUNCTION("""COMPUTED_VALUE"""),56772)</f>
        <v>56772</v>
      </c>
      <c r="V862" s="3">
        <f ca="1">IFERROR(__xludf.DUMMYFUNCTION("""COMPUTED_VALUE"""),4.5)</f>
        <v>4.5</v>
      </c>
      <c r="W862" s="3">
        <f ca="1">IFERROR(__xludf.DUMMYFUNCTION("""COMPUTED_VALUE"""),1500)</f>
        <v>1500</v>
      </c>
      <c r="X862" s="3">
        <f ca="1">IFERROR(__xludf.DUMMYFUNCTION("""COMPUTED_VALUE"""),1959)</f>
        <v>1959</v>
      </c>
      <c r="Y862" s="3">
        <f ca="1">IFERROR(__xludf.DUMMYFUNCTION("""COMPUTED_VALUE"""),762)</f>
        <v>762</v>
      </c>
      <c r="Z862" s="3">
        <f ca="1">IFERROR(__xludf.DUMMYFUNCTION("""COMPUTED_VALUE"""),418)</f>
        <v>418</v>
      </c>
      <c r="AA862" s="3">
        <f ca="1">IFERROR(__xludf.DUMMYFUNCTION("""COMPUTED_VALUE"""),779)</f>
        <v>779</v>
      </c>
      <c r="AB862" s="3">
        <f ca="1">IFERROR(__xludf.DUMMYFUNCTION("""COMPUTED_VALUE"""),0)</f>
        <v>0</v>
      </c>
      <c r="AC862" s="3">
        <f ca="1">IFERROR(__xludf.DUMMYFUNCTION("""COMPUTED_VALUE"""),2)</f>
        <v>2</v>
      </c>
      <c r="AD862" s="3" t="str">
        <f ca="1">IFERROR(__xludf.DUMMYFUNCTION("""COMPUTED_VALUE"""),"on time")</f>
        <v>on time</v>
      </c>
      <c r="AE862" s="3" t="str">
        <f ca="1">IFERROR(__xludf.DUMMYFUNCTION("""COMPUTED_VALUE"""),"2055-06-07T15:22:23.71371Z")</f>
        <v>2055-06-07T15:22:23.71371Z</v>
      </c>
      <c r="AF862" s="3" t="str">
        <f ca="1">IFERROR(__xludf.DUMMYFUNCTION("""COMPUTED_VALUE"""),"2055-06-07T15:35:22.283185Z")</f>
        <v>2055-06-07T15:35:22.283185Z</v>
      </c>
      <c r="AG862" s="3" t="str">
        <f ca="1">IFERROR(__xludf.DUMMYFUNCTION("""COMPUTED_VALUE"""),"2055-06-07T15:02:27.278764Z")</f>
        <v>2055-06-07T15:02:27.278764Z</v>
      </c>
      <c r="AH862" s="3" t="str">
        <f ca="1">IFERROR(__xludf.DUMMYFUNCTION("""COMPUTED_VALUE"""),"2055-06-07T15:15:25.450081Z")</f>
        <v>2055-06-07T15:15:25.450081Z</v>
      </c>
      <c r="AI862" s="3">
        <f ca="1">IFERROR(__xludf.DUMMYFUNCTION("""COMPUTED_VALUE"""),4.89)</f>
        <v>4.8899999999999997</v>
      </c>
      <c r="AJ862" s="3">
        <f ca="1">IFERROR(__xludf.DUMMYFUNCTION("""COMPUTED_VALUE"""),1778)</f>
        <v>1778</v>
      </c>
      <c r="AK862" s="3">
        <f ca="1">IFERROR(__xludf.DUMMYFUNCTION("""COMPUTED_VALUE"""),5138)</f>
        <v>5138</v>
      </c>
      <c r="AL862" s="3">
        <f ca="1">IFERROR(__xludf.DUMMYFUNCTION("""COMPUTED_VALUE"""),314)</f>
        <v>314</v>
      </c>
      <c r="AM862" s="3">
        <f>IFERROR(Raw_Data!AL862 / Raw_Data!AK862, "")</f>
        <v>6.1113273647333592E-2</v>
      </c>
      <c r="AN862" s="3" t="str">
        <f>IF(ISBLANK(Raw_Data!AL862), "No", "Yes")</f>
        <v>Yes</v>
      </c>
      <c r="AO862" s="3">
        <f>IFERROR(Raw_Data!Z862/60, "")</f>
        <v>6.9666666666666668</v>
      </c>
    </row>
    <row r="863" spans="1:41" ht="13">
      <c r="A863" s="3">
        <f ca="1">IFERROR(__xludf.DUMMYFUNCTION("""COMPUTED_VALUE"""),502)</f>
        <v>502</v>
      </c>
      <c r="B863" s="3">
        <f ca="1">IFERROR(__xludf.DUMMYFUNCTION("""COMPUTED_VALUE"""),5)</f>
        <v>5</v>
      </c>
      <c r="C863" s="3">
        <f ca="1">IFERROR(__xludf.DUMMYFUNCTION("""COMPUTED_VALUE"""),4001)</f>
        <v>4001</v>
      </c>
      <c r="D863" s="3" t="str">
        <f ca="1">IFERROR(__xludf.DUMMYFUNCTION("""COMPUTED_VALUE"""),"Dashattan")</f>
        <v>Dashattan</v>
      </c>
      <c r="E863" s="3" t="str">
        <f ca="1">IFERROR(__xludf.DUMMYFUNCTION("""COMPUTED_VALUE"""),"Galaxy A")</f>
        <v>Galaxy A</v>
      </c>
      <c r="F863" s="3" t="str">
        <f ca="1">IFERROR(__xludf.DUMMYFUNCTION("""COMPUTED_VALUE"""),"Rojan")</f>
        <v>Rojan</v>
      </c>
      <c r="G863" s="3">
        <f ca="1">IFERROR(__xludf.DUMMYFUNCTION("""COMPUTED_VALUE"""),0)</f>
        <v>0</v>
      </c>
      <c r="H863" s="3" t="str">
        <f ca="1">IFERROR(__xludf.DUMMYFUNCTION("""COMPUTED_VALUE"""),"bicycle")</f>
        <v>bicycle</v>
      </c>
      <c r="I863" s="3" t="str">
        <f ca="1">IFERROR(__xludf.DUMMYFUNCTION("""COMPUTED_VALUE"""),"2055-06-05T00:05:56.646514Z")</f>
        <v>2055-06-05T00:05:56.646514Z</v>
      </c>
      <c r="J863" s="3" t="str">
        <f ca="1">IFERROR(__xludf.DUMMYFUNCTION("""COMPUTED_VALUE"""),"2055-06-05T01:33:00.704Z")</f>
        <v>2055-06-05T01:33:00.704Z</v>
      </c>
      <c r="K863" s="3" t="str">
        <f ca="1">IFERROR(__xludf.DUMMYFUNCTION("""COMPUTED_VALUE"""),"2055-06-05T01:11:06.704Z")</f>
        <v>2055-06-05T01:11:06.704Z</v>
      </c>
      <c r="L863" s="3">
        <f ca="1">IFERROR(__xludf.DUMMYFUNCTION("""COMPUTED_VALUE"""),1)</f>
        <v>1</v>
      </c>
      <c r="M863" s="3">
        <f ca="1">IFERROR(__xludf.DUMMYFUNCTION("""COMPUTED_VALUE"""),0)</f>
        <v>0</v>
      </c>
      <c r="N863" s="3" t="str">
        <f ca="1">IFERROR(__xludf.DUMMYFUNCTION("""COMPUTED_VALUE"""),"2055-06-05T00:56:01.567263Z")</f>
        <v>2055-06-05T00:56:01.567263Z</v>
      </c>
      <c r="O863" s="3" t="str">
        <f ca="1">IFERROR(__xludf.DUMMYFUNCTION("""COMPUTED_VALUE"""),"2055-06-05T01:10:49.547572Z")</f>
        <v>2055-06-05T01:10:49.547572Z</v>
      </c>
      <c r="P863" s="3" t="str">
        <f ca="1">IFERROR(__xludf.DUMMYFUNCTION("""COMPUTED_VALUE"""),"2055-06-05T00:30:35.040303Z")</f>
        <v>2055-06-05T00:30:35.040303Z</v>
      </c>
      <c r="Q863" s="3">
        <f ca="1">IFERROR(__xludf.DUMMYFUNCTION("""COMPUTED_VALUE"""),0)</f>
        <v>0</v>
      </c>
      <c r="R863" s="3" t="str">
        <f ca="1">IFERROR(__xludf.DUMMYFUNCTION("""COMPUTED_VALUE"""),"2055-06-05T00:30:49.641901Z")</f>
        <v>2055-06-05T00:30:49.641901Z</v>
      </c>
      <c r="S863" s="3" t="str">
        <f ca="1">IFERROR(__xludf.DUMMYFUNCTION("""COMPUTED_VALUE"""),"2055-06-05T00:35:14.688551Z")</f>
        <v>2055-06-05T00:35:14.688551Z</v>
      </c>
      <c r="T863" s="3"/>
      <c r="U863" s="4">
        <f ca="1">IFERROR(__xludf.DUMMYFUNCTION("""COMPUTED_VALUE"""),56769)</f>
        <v>56769</v>
      </c>
      <c r="V863" s="3">
        <f ca="1">IFERROR(__xludf.DUMMYFUNCTION("""COMPUTED_VALUE"""),4.3)</f>
        <v>4.3</v>
      </c>
      <c r="W863" s="3">
        <f ca="1">IFERROR(__xludf.DUMMYFUNCTION("""COMPUTED_VALUE"""),1500)</f>
        <v>1500</v>
      </c>
      <c r="X863" s="3">
        <f ca="1">IFERROR(__xludf.DUMMYFUNCTION("""COMPUTED_VALUE"""),2400)</f>
        <v>2400</v>
      </c>
      <c r="Y863" s="3">
        <f ca="1">IFERROR(__xludf.DUMMYFUNCTION("""COMPUTED_VALUE"""),265)</f>
        <v>265</v>
      </c>
      <c r="Z863" s="3">
        <f ca="1">IFERROR(__xludf.DUMMYFUNCTION("""COMPUTED_VALUE"""),1247)</f>
        <v>1247</v>
      </c>
      <c r="AA863" s="3">
        <f ca="1">IFERROR(__xludf.DUMMYFUNCTION("""COMPUTED_VALUE"""),888)</f>
        <v>888</v>
      </c>
      <c r="AB863" s="3">
        <f ca="1">IFERROR(__xludf.DUMMYFUNCTION("""COMPUTED_VALUE"""),0)</f>
        <v>0</v>
      </c>
      <c r="AC863" s="3">
        <f ca="1">IFERROR(__xludf.DUMMYFUNCTION("""COMPUTED_VALUE"""),2)</f>
        <v>2</v>
      </c>
      <c r="AD863" s="3" t="str">
        <f ca="1">IFERROR(__xludf.DUMMYFUNCTION("""COMPUTED_VALUE"""),"early")</f>
        <v>early</v>
      </c>
      <c r="AE863" s="3" t="str">
        <f ca="1">IFERROR(__xludf.DUMMYFUNCTION("""COMPUTED_VALUE"""),"2055-06-04T20:56:01.567263Z")</f>
        <v>2055-06-04T20:56:01.567263Z</v>
      </c>
      <c r="AF863" s="3" t="str">
        <f ca="1">IFERROR(__xludf.DUMMYFUNCTION("""COMPUTED_VALUE"""),"2055-06-04T21:10:49.547572Z")</f>
        <v>2055-06-04T21:10:49.547572Z</v>
      </c>
      <c r="AG863" s="3" t="str">
        <f ca="1">IFERROR(__xludf.DUMMYFUNCTION("""COMPUTED_VALUE"""),"2055-06-04T20:30:35.040303Z")</f>
        <v>2055-06-04T20:30:35.040303Z</v>
      </c>
      <c r="AH863" s="3" t="str">
        <f ca="1">IFERROR(__xludf.DUMMYFUNCTION("""COMPUTED_VALUE"""),"2055-06-04T20:35:14.688551Z")</f>
        <v>2055-06-04T20:35:14.688551Z</v>
      </c>
      <c r="AI863" s="3">
        <f ca="1">IFERROR(__xludf.DUMMYFUNCTION("""COMPUTED_VALUE"""),4.58)</f>
        <v>4.58</v>
      </c>
      <c r="AJ863" s="3">
        <f ca="1">IFERROR(__xludf.DUMMYFUNCTION("""COMPUTED_VALUE"""),254)</f>
        <v>254</v>
      </c>
      <c r="AK863" s="3">
        <f ca="1">IFERROR(__xludf.DUMMYFUNCTION("""COMPUTED_VALUE"""),788)</f>
        <v>788</v>
      </c>
      <c r="AL863" s="3">
        <f ca="1">IFERROR(__xludf.DUMMYFUNCTION("""COMPUTED_VALUE"""),9)</f>
        <v>9</v>
      </c>
      <c r="AM863" s="3">
        <f>IFERROR(Raw_Data!AL863 / Raw_Data!AK863, "")</f>
        <v>1.1421319796954314E-2</v>
      </c>
      <c r="AN863" s="3" t="str">
        <f>IF(ISBLANK(Raw_Data!AL863), "No", "Yes")</f>
        <v>Yes</v>
      </c>
      <c r="AO863" s="3">
        <f>IFERROR(Raw_Data!Z863/60, "")</f>
        <v>20.783333333333335</v>
      </c>
    </row>
    <row r="864" spans="1:41" ht="13">
      <c r="A864" s="3">
        <f ca="1">IFERROR(__xludf.DUMMYFUNCTION("""COMPUTED_VALUE"""),310)</f>
        <v>310</v>
      </c>
      <c r="B864" s="3">
        <f ca="1">IFERROR(__xludf.DUMMYFUNCTION("""COMPUTED_VALUE"""),3)</f>
        <v>3</v>
      </c>
      <c r="C864" s="3">
        <f ca="1">IFERROR(__xludf.DUMMYFUNCTION("""COMPUTED_VALUE"""),4001)</f>
        <v>4001</v>
      </c>
      <c r="D864" s="3" t="str">
        <f ca="1">IFERROR(__xludf.DUMMYFUNCTION("""COMPUTED_VALUE"""),"Dashattan")</f>
        <v>Dashattan</v>
      </c>
      <c r="E864" s="3" t="str">
        <f ca="1">IFERROR(__xludf.DUMMYFUNCTION("""COMPUTED_VALUE"""),"Galaxy A")</f>
        <v>Galaxy A</v>
      </c>
      <c r="F864" s="3" t="str">
        <f ca="1">IFERROR(__xludf.DUMMYFUNCTION("""COMPUTED_VALUE"""),"Bunje")</f>
        <v>Bunje</v>
      </c>
      <c r="G864" s="3">
        <f ca="1">IFERROR(__xludf.DUMMYFUNCTION("""COMPUTED_VALUE"""),0)</f>
        <v>0</v>
      </c>
      <c r="H864" s="3" t="str">
        <f ca="1">IFERROR(__xludf.DUMMYFUNCTION("""COMPUTED_VALUE"""),"bicycle")</f>
        <v>bicycle</v>
      </c>
      <c r="I864" s="3" t="str">
        <f ca="1">IFERROR(__xludf.DUMMYFUNCTION("""COMPUTED_VALUE"""),"2055-06-03T18:19:35.536003Z")</f>
        <v>2055-06-03T18:19:35.536003Z</v>
      </c>
      <c r="J864" s="3" t="str">
        <f ca="1">IFERROR(__xludf.DUMMYFUNCTION("""COMPUTED_VALUE"""),"2055-06-03T19:24:45.61Z")</f>
        <v>2055-06-03T19:24:45.61Z</v>
      </c>
      <c r="K864" s="3" t="str">
        <f ca="1">IFERROR(__xludf.DUMMYFUNCTION("""COMPUTED_VALUE"""),"2055-06-03T19:05:52.61Z")</f>
        <v>2055-06-03T19:05:52.61Z</v>
      </c>
      <c r="L864" s="3">
        <f ca="1">IFERROR(__xludf.DUMMYFUNCTION("""COMPUTED_VALUE"""),1)</f>
        <v>1</v>
      </c>
      <c r="M864" s="3">
        <f ca="1">IFERROR(__xludf.DUMMYFUNCTION("""COMPUTED_VALUE"""),0)</f>
        <v>0</v>
      </c>
      <c r="N864" s="3" t="str">
        <f ca="1">IFERROR(__xludf.DUMMYFUNCTION("""COMPUTED_VALUE"""),"2055-06-03T19:08:44.687206Z")</f>
        <v>2055-06-03T19:08:44.687206Z</v>
      </c>
      <c r="O864" s="3" t="str">
        <f ca="1">IFERROR(__xludf.DUMMYFUNCTION("""COMPUTED_VALUE"""),"2055-06-03T19:24:37.865826Z")</f>
        <v>2055-06-03T19:24:37.865826Z</v>
      </c>
      <c r="P864" s="3" t="str">
        <f ca="1">IFERROR(__xludf.DUMMYFUNCTION("""COMPUTED_VALUE"""),"2055-06-03T18:51:54.125011Z")</f>
        <v>2055-06-03T18:51:54.125011Z</v>
      </c>
      <c r="Q864" s="3">
        <f ca="1">IFERROR(__xludf.DUMMYFUNCTION("""COMPUTED_VALUE"""),0)</f>
        <v>0</v>
      </c>
      <c r="R864" s="3" t="str">
        <f ca="1">IFERROR(__xludf.DUMMYFUNCTION("""COMPUTED_VALUE"""),"2055-06-03T18:52:00.533142Z")</f>
        <v>2055-06-03T18:52:00.533142Z</v>
      </c>
      <c r="S864" s="3" t="str">
        <f ca="1">IFERROR(__xludf.DUMMYFUNCTION("""COMPUTED_VALUE"""),"2055-06-03T18:56:43.221015Z")</f>
        <v>2055-06-03T18:56:43.221015Z</v>
      </c>
      <c r="T864" s="3"/>
      <c r="U864" s="4">
        <f ca="1">IFERROR(__xludf.DUMMYFUNCTION("""COMPUTED_VALUE"""),56768)</f>
        <v>56768</v>
      </c>
      <c r="V864" s="3">
        <f ca="1">IFERROR(__xludf.DUMMYFUNCTION("""COMPUTED_VALUE"""),4.3)</f>
        <v>4.3</v>
      </c>
      <c r="W864" s="3">
        <f ca="1">IFERROR(__xludf.DUMMYFUNCTION("""COMPUTED_VALUE"""),1500)</f>
        <v>1500</v>
      </c>
      <c r="X864" s="3">
        <f ca="1">IFERROR(__xludf.DUMMYFUNCTION("""COMPUTED_VALUE"""),1957)</f>
        <v>1957</v>
      </c>
      <c r="Y864" s="3">
        <f ca="1">IFERROR(__xludf.DUMMYFUNCTION("""COMPUTED_VALUE"""),283)</f>
        <v>283</v>
      </c>
      <c r="Z864" s="3">
        <f ca="1">IFERROR(__xludf.DUMMYFUNCTION("""COMPUTED_VALUE"""),721)</f>
        <v>721</v>
      </c>
      <c r="AA864" s="3">
        <f ca="1">IFERROR(__xludf.DUMMYFUNCTION("""COMPUTED_VALUE"""),953)</f>
        <v>953</v>
      </c>
      <c r="AB864" s="3">
        <f ca="1">IFERROR(__xludf.DUMMYFUNCTION("""COMPUTED_VALUE"""),0)</f>
        <v>0</v>
      </c>
      <c r="AC864" s="3">
        <f ca="1">IFERROR(__xludf.DUMMYFUNCTION("""COMPUTED_VALUE"""),3)</f>
        <v>3</v>
      </c>
      <c r="AD864" s="3" t="str">
        <f ca="1">IFERROR(__xludf.DUMMYFUNCTION("""COMPUTED_VALUE"""),"on time")</f>
        <v>on time</v>
      </c>
      <c r="AE864" s="3" t="str">
        <f ca="1">IFERROR(__xludf.DUMMYFUNCTION("""COMPUTED_VALUE"""),"2055-06-03T15:08:44.687206Z")</f>
        <v>2055-06-03T15:08:44.687206Z</v>
      </c>
      <c r="AF864" s="3" t="str">
        <f ca="1">IFERROR(__xludf.DUMMYFUNCTION("""COMPUTED_VALUE"""),"2055-06-03T15:24:37.865826Z")</f>
        <v>2055-06-03T15:24:37.865826Z</v>
      </c>
      <c r="AG864" s="3" t="str">
        <f ca="1">IFERROR(__xludf.DUMMYFUNCTION("""COMPUTED_VALUE"""),"2055-06-03T14:51:54.125011Z")</f>
        <v>2055-06-03T14:51:54.125011Z</v>
      </c>
      <c r="AH864" s="3" t="str">
        <f ca="1">IFERROR(__xludf.DUMMYFUNCTION("""COMPUTED_VALUE"""),"2055-06-03T14:56:43.221015Z")</f>
        <v>2055-06-03T14:56:43.221015Z</v>
      </c>
      <c r="AI864" s="3">
        <f ca="1">IFERROR(__xludf.DUMMYFUNCTION("""COMPUTED_VALUE"""),4.7)</f>
        <v>4.7</v>
      </c>
      <c r="AJ864" s="3">
        <f ca="1">IFERROR(__xludf.DUMMYFUNCTION("""COMPUTED_VALUE"""),443)</f>
        <v>443</v>
      </c>
      <c r="AK864" s="3">
        <f ca="1">IFERROR(__xludf.DUMMYFUNCTION("""COMPUTED_VALUE"""),1579)</f>
        <v>1579</v>
      </c>
      <c r="AL864" s="3"/>
      <c r="AM864" s="3">
        <f>IFERROR(Raw_Data!AL864 / Raw_Data!AK864, "")</f>
        <v>0</v>
      </c>
      <c r="AN864" s="3" t="str">
        <f>IF(ISBLANK(Raw_Data!AL864), "No", "Yes")</f>
        <v>No</v>
      </c>
      <c r="AO864" s="3">
        <f>IFERROR(Raw_Data!Z864/60, "")</f>
        <v>12.016666666666667</v>
      </c>
    </row>
    <row r="865" spans="1:41" ht="13">
      <c r="A865" s="3">
        <f ca="1">IFERROR(__xludf.DUMMYFUNCTION("""COMPUTED_VALUE"""),400)</f>
        <v>400</v>
      </c>
      <c r="B865" s="3"/>
      <c r="C865" s="3">
        <f ca="1">IFERROR(__xludf.DUMMYFUNCTION("""COMPUTED_VALUE"""),4001)</f>
        <v>4001</v>
      </c>
      <c r="D865" s="3" t="str">
        <f ca="1">IFERROR(__xludf.DUMMYFUNCTION("""COMPUTED_VALUE"""),"Dashattan")</f>
        <v>Dashattan</v>
      </c>
      <c r="E865" s="3" t="str">
        <f ca="1">IFERROR(__xludf.DUMMYFUNCTION("""COMPUTED_VALUE"""),"Galaxy A")</f>
        <v>Galaxy A</v>
      </c>
      <c r="F865" s="3" t="str">
        <f ca="1">IFERROR(__xludf.DUMMYFUNCTION("""COMPUTED_VALUE"""),"Samm")</f>
        <v>Samm</v>
      </c>
      <c r="G865" s="3">
        <f ca="1">IFERROR(__xludf.DUMMYFUNCTION("""COMPUTED_VALUE"""),0)</f>
        <v>0</v>
      </c>
      <c r="H865" s="3" t="str">
        <f ca="1">IFERROR(__xludf.DUMMYFUNCTION("""COMPUTED_VALUE"""),"car")</f>
        <v>car</v>
      </c>
      <c r="I865" s="3" t="str">
        <f ca="1">IFERROR(__xludf.DUMMYFUNCTION("""COMPUTED_VALUE"""),"2055-06-04T13:52:01.361313Z")</f>
        <v>2055-06-04T13:52:01.361313Z</v>
      </c>
      <c r="J865" s="3" t="str">
        <f ca="1">IFERROR(__xludf.DUMMYFUNCTION("""COMPUTED_VALUE"""),"2055-06-04T14:45:00Z")</f>
        <v>2055-06-04T14:45:00Z</v>
      </c>
      <c r="K865" s="3" t="str">
        <f ca="1">IFERROR(__xludf.DUMMYFUNCTION("""COMPUTED_VALUE"""),"2055-06-04T14:45:00Z")</f>
        <v>2055-06-04T14:45:00Z</v>
      </c>
      <c r="L865" s="3">
        <f ca="1">IFERROR(__xludf.DUMMYFUNCTION("""COMPUTED_VALUE"""),0)</f>
        <v>0</v>
      </c>
      <c r="M865" s="3">
        <f ca="1">IFERROR(__xludf.DUMMYFUNCTION("""COMPUTED_VALUE"""),0)</f>
        <v>0</v>
      </c>
      <c r="N865" s="3" t="str">
        <f ca="1">IFERROR(__xludf.DUMMYFUNCTION("""COMPUTED_VALUE"""),"2055-06-04T14:10:50.681631Z")</f>
        <v>2055-06-04T14:10:50.681631Z</v>
      </c>
      <c r="O865" s="3" t="str">
        <f ca="1">IFERROR(__xludf.DUMMYFUNCTION("""COMPUTED_VALUE"""),"2055-06-04T14:23:08.276533Z")</f>
        <v>2055-06-04T14:23:08.276533Z</v>
      </c>
      <c r="P865" s="3" t="str">
        <f ca="1">IFERROR(__xludf.DUMMYFUNCTION("""COMPUTED_VALUE"""),"2055-06-04T13:58:14.061745Z")</f>
        <v>2055-06-04T13:58:14.061745Z</v>
      </c>
      <c r="Q865" s="3">
        <f ca="1">IFERROR(__xludf.DUMMYFUNCTION("""COMPUTED_VALUE"""),0)</f>
        <v>0</v>
      </c>
      <c r="R865" s="3" t="str">
        <f ca="1">IFERROR(__xludf.DUMMYFUNCTION("""COMPUTED_VALUE"""),"2055-06-04T13:58:18.512694Z")</f>
        <v>2055-06-04T13:58:18.512694Z</v>
      </c>
      <c r="S865" s="3" t="str">
        <f ca="1">IFERROR(__xludf.DUMMYFUNCTION("""COMPUTED_VALUE"""),"2055-06-04T14:00:02.576445Z")</f>
        <v>2055-06-04T14:00:02.576445Z</v>
      </c>
      <c r="T865" s="3"/>
      <c r="U865" s="4">
        <f ca="1">IFERROR(__xludf.DUMMYFUNCTION("""COMPUTED_VALUE"""),56769)</f>
        <v>56769</v>
      </c>
      <c r="V865" s="3">
        <f ca="1">IFERROR(__xludf.DUMMYFUNCTION("""COMPUTED_VALUE"""),4.5)</f>
        <v>4.5</v>
      </c>
      <c r="W865" s="3">
        <f ca="1">IFERROR(__xludf.DUMMYFUNCTION("""COMPUTED_VALUE"""),1500)</f>
        <v>1500</v>
      </c>
      <c r="X865" s="3">
        <f ca="1">IFERROR(__xludf.DUMMYFUNCTION("""COMPUTED_VALUE"""),1490)</f>
        <v>1490</v>
      </c>
      <c r="Y865" s="3">
        <f ca="1">IFERROR(__xludf.DUMMYFUNCTION("""COMPUTED_VALUE"""),104)</f>
        <v>104</v>
      </c>
      <c r="Z865" s="3">
        <f ca="1">IFERROR(__xludf.DUMMYFUNCTION("""COMPUTED_VALUE"""),648)</f>
        <v>648</v>
      </c>
      <c r="AA865" s="3">
        <f ca="1">IFERROR(__xludf.DUMMYFUNCTION("""COMPUTED_VALUE"""),738)</f>
        <v>738</v>
      </c>
      <c r="AB865" s="3">
        <f ca="1">IFERROR(__xludf.DUMMYFUNCTION("""COMPUTED_VALUE"""),0)</f>
        <v>0</v>
      </c>
      <c r="AC865" s="3">
        <f ca="1">IFERROR(__xludf.DUMMYFUNCTION("""COMPUTED_VALUE"""),3)</f>
        <v>3</v>
      </c>
      <c r="AD865" s="3" t="str">
        <f ca="1">IFERROR(__xludf.DUMMYFUNCTION("""COMPUTED_VALUE"""),"early")</f>
        <v>early</v>
      </c>
      <c r="AE865" s="3" t="str">
        <f ca="1">IFERROR(__xludf.DUMMYFUNCTION("""COMPUTED_VALUE"""),"2055-06-04T10:10:50.681631Z")</f>
        <v>2055-06-04T10:10:50.681631Z</v>
      </c>
      <c r="AF865" s="3" t="str">
        <f ca="1">IFERROR(__xludf.DUMMYFUNCTION("""COMPUTED_VALUE"""),"2055-06-04T10:23:08.276533Z")</f>
        <v>2055-06-04T10:23:08.276533Z</v>
      </c>
      <c r="AG865" s="3" t="str">
        <f ca="1">IFERROR(__xludf.DUMMYFUNCTION("""COMPUTED_VALUE"""),"2055-06-04T09:58:14.061745Z")</f>
        <v>2055-06-04T09:58:14.061745Z</v>
      </c>
      <c r="AH865" s="3" t="str">
        <f ca="1">IFERROR(__xludf.DUMMYFUNCTION("""COMPUTED_VALUE"""),"2055-06-04T10:00:02.576445Z")</f>
        <v>2055-06-04T10:00:02.576445Z</v>
      </c>
      <c r="AI865" s="3">
        <f ca="1">IFERROR(__xludf.DUMMYFUNCTION("""COMPUTED_VALUE"""),4.03)</f>
        <v>4.03</v>
      </c>
      <c r="AJ865" s="3">
        <f ca="1">IFERROR(__xludf.DUMMYFUNCTION("""COMPUTED_VALUE"""),505)</f>
        <v>505</v>
      </c>
      <c r="AK865" s="3">
        <f ca="1">IFERROR(__xludf.DUMMYFUNCTION("""COMPUTED_VALUE"""),1721)</f>
        <v>1721</v>
      </c>
      <c r="AL865" s="3">
        <f ca="1">IFERROR(__xludf.DUMMYFUNCTION("""COMPUTED_VALUE"""),457)</f>
        <v>457</v>
      </c>
      <c r="AM865" s="3">
        <f>IFERROR(Raw_Data!AL865 / Raw_Data!AK865, "")</f>
        <v>0.26554328878558975</v>
      </c>
      <c r="AN865" s="3" t="str">
        <f>IF(ISBLANK(Raw_Data!AL865), "No", "Yes")</f>
        <v>Yes</v>
      </c>
      <c r="AO865" s="3">
        <f>IFERROR(Raw_Data!Z865/60, "")</f>
        <v>10.8</v>
      </c>
    </row>
    <row r="866" spans="1:41" ht="13">
      <c r="A866" s="3">
        <f ca="1">IFERROR(__xludf.DUMMYFUNCTION("""COMPUTED_VALUE"""),128)</f>
        <v>128</v>
      </c>
      <c r="B866" s="3"/>
      <c r="C866" s="3">
        <f ca="1">IFERROR(__xludf.DUMMYFUNCTION("""COMPUTED_VALUE"""),4050)</f>
        <v>4050</v>
      </c>
      <c r="D866" s="3" t="str">
        <f ca="1">IFERROR(__xludf.DUMMYFUNCTION("""COMPUTED_VALUE"""),"Doorlanta")</f>
        <v>Doorlanta</v>
      </c>
      <c r="E866" s="3" t="str">
        <f ca="1">IFERROR(__xludf.DUMMYFUNCTION("""COMPUTED_VALUE"""),"Galaxy A")</f>
        <v>Galaxy A</v>
      </c>
      <c r="F866" s="3" t="str">
        <f ca="1">IFERROR(__xludf.DUMMYFUNCTION("""COMPUTED_VALUE"""),"Cate")</f>
        <v>Cate</v>
      </c>
      <c r="G866" s="3">
        <f ca="1">IFERROR(__xludf.DUMMYFUNCTION("""COMPUTED_VALUE"""),0)</f>
        <v>0</v>
      </c>
      <c r="H866" s="3" t="str">
        <f ca="1">IFERROR(__xludf.DUMMYFUNCTION("""COMPUTED_VALUE"""),"car")</f>
        <v>car</v>
      </c>
      <c r="I866" s="3" t="str">
        <f ca="1">IFERROR(__xludf.DUMMYFUNCTION("""COMPUTED_VALUE"""),"2055-06-02T15:38:55.983999Z")</f>
        <v>2055-06-02T15:38:55.983999Z</v>
      </c>
      <c r="J866" s="3" t="str">
        <f ca="1">IFERROR(__xludf.DUMMYFUNCTION("""COMPUTED_VALUE"""),"2055-06-02T16:28:56.144Z")</f>
        <v>2055-06-02T16:28:56.144Z</v>
      </c>
      <c r="K866" s="3" t="str">
        <f ca="1">IFERROR(__xludf.DUMMYFUNCTION("""COMPUTED_VALUE"""),"2055-06-02T16:11:35.144Z")</f>
        <v>2055-06-02T16:11:35.144Z</v>
      </c>
      <c r="L866" s="3">
        <f ca="1">IFERROR(__xludf.DUMMYFUNCTION("""COMPUTED_VALUE"""),1)</f>
        <v>1</v>
      </c>
      <c r="M866" s="3">
        <f ca="1">IFERROR(__xludf.DUMMYFUNCTION("""COMPUTED_VALUE"""),0)</f>
        <v>0</v>
      </c>
      <c r="N866" s="3" t="str">
        <f ca="1">IFERROR(__xludf.DUMMYFUNCTION("""COMPUTED_VALUE"""),"2055-06-02T15:51:57.790253Z")</f>
        <v>2055-06-02T15:51:57.790253Z</v>
      </c>
      <c r="O866" s="3" t="str">
        <f ca="1">IFERROR(__xludf.DUMMYFUNCTION("""COMPUTED_VALUE"""),"2055-06-02T16:15:37.119201Z")</f>
        <v>2055-06-02T16:15:37.119201Z</v>
      </c>
      <c r="P866" s="3" t="str">
        <f ca="1">IFERROR(__xludf.DUMMYFUNCTION("""COMPUTED_VALUE"""),"2055-06-02T15:40:07.313143Z")</f>
        <v>2055-06-02T15:40:07.313143Z</v>
      </c>
      <c r="Q866" s="3">
        <f ca="1">IFERROR(__xludf.DUMMYFUNCTION("""COMPUTED_VALUE"""),0)</f>
        <v>0</v>
      </c>
      <c r="R866" s="3" t="str">
        <f ca="1">IFERROR(__xludf.DUMMYFUNCTION("""COMPUTED_VALUE"""),"2055-06-02T15:40:09.823896Z")</f>
        <v>2055-06-02T15:40:09.823896Z</v>
      </c>
      <c r="S866" s="3" t="str">
        <f ca="1">IFERROR(__xludf.DUMMYFUNCTION("""COMPUTED_VALUE"""),"2055-06-02T15:44:07.394541Z")</f>
        <v>2055-06-02T15:44:07.394541Z</v>
      </c>
      <c r="T866" s="3"/>
      <c r="U866" s="4">
        <f ca="1">IFERROR(__xludf.DUMMYFUNCTION("""COMPUTED_VALUE"""),56767)</f>
        <v>56767</v>
      </c>
      <c r="V866" s="3">
        <f ca="1">IFERROR(__xludf.DUMMYFUNCTION("""COMPUTED_VALUE"""),4.6)</f>
        <v>4.5999999999999996</v>
      </c>
      <c r="W866" s="3">
        <f ca="1">IFERROR(__xludf.DUMMYFUNCTION("""COMPUTED_VALUE"""),1500)</f>
        <v>1500</v>
      </c>
      <c r="X866" s="3">
        <f ca="1">IFERROR(__xludf.DUMMYFUNCTION("""COMPUTED_VALUE"""),2128)</f>
        <v>2128</v>
      </c>
      <c r="Y866" s="3">
        <f ca="1">IFERROR(__xludf.DUMMYFUNCTION("""COMPUTED_VALUE"""),238)</f>
        <v>238</v>
      </c>
      <c r="Z866" s="3">
        <f ca="1">IFERROR(__xludf.DUMMYFUNCTION("""COMPUTED_VALUE"""),470)</f>
        <v>470</v>
      </c>
      <c r="AA866" s="3">
        <f ca="1">IFERROR(__xludf.DUMMYFUNCTION("""COMPUTED_VALUE"""),1420)</f>
        <v>1420</v>
      </c>
      <c r="AB866" s="3">
        <f ca="1">IFERROR(__xludf.DUMMYFUNCTION("""COMPUTED_VALUE"""),1)</f>
        <v>1</v>
      </c>
      <c r="AC866" s="3">
        <f ca="1">IFERROR(__xludf.DUMMYFUNCTION("""COMPUTED_VALUE"""),1)</f>
        <v>1</v>
      </c>
      <c r="AD866" s="3"/>
      <c r="AE866" s="3" t="str">
        <f ca="1">IFERROR(__xludf.DUMMYFUNCTION("""COMPUTED_VALUE"""),"2055-06-02T11:51:57.790253Z")</f>
        <v>2055-06-02T11:51:57.790253Z</v>
      </c>
      <c r="AF866" s="3" t="str">
        <f ca="1">IFERROR(__xludf.DUMMYFUNCTION("""COMPUTED_VALUE"""),"2055-06-02T12:15:37.119201Z")</f>
        <v>2055-06-02T12:15:37.119201Z</v>
      </c>
      <c r="AG866" s="3" t="str">
        <f ca="1">IFERROR(__xludf.DUMMYFUNCTION("""COMPUTED_VALUE"""),"2055-06-02T11:40:07.313143Z")</f>
        <v>2055-06-02T11:40:07.313143Z</v>
      </c>
      <c r="AH866" s="3" t="str">
        <f ca="1">IFERROR(__xludf.DUMMYFUNCTION("""COMPUTED_VALUE"""),"2055-06-02T11:44:07.394541Z")</f>
        <v>2055-06-02T11:44:07.394541Z</v>
      </c>
      <c r="AI866" s="3">
        <f ca="1">IFERROR(__xludf.DUMMYFUNCTION("""COMPUTED_VALUE"""),4.49)</f>
        <v>4.49</v>
      </c>
      <c r="AJ866" s="3">
        <f ca="1">IFERROR(__xludf.DUMMYFUNCTION("""COMPUTED_VALUE"""),2315)</f>
        <v>2315</v>
      </c>
      <c r="AK866" s="3">
        <f ca="1">IFERROR(__xludf.DUMMYFUNCTION("""COMPUTED_VALUE"""),7039)</f>
        <v>7039</v>
      </c>
      <c r="AL866" s="3">
        <f ca="1">IFERROR(__xludf.DUMMYFUNCTION("""COMPUTED_VALUE"""),763)</f>
        <v>763</v>
      </c>
      <c r="AM866" s="3">
        <f>IFERROR(Raw_Data!AL866 / Raw_Data!AK866, "")</f>
        <v>0.10839607898849268</v>
      </c>
      <c r="AN866" s="3" t="str">
        <f>IF(ISBLANK(Raw_Data!AL866), "No", "Yes")</f>
        <v>Yes</v>
      </c>
      <c r="AO866" s="3">
        <f>IFERROR(Raw_Data!Z866/60, "")</f>
        <v>7.833333333333333</v>
      </c>
    </row>
    <row r="867" spans="1:41" ht="13">
      <c r="A867" s="3">
        <f ca="1">IFERROR(__xludf.DUMMYFUNCTION("""COMPUTED_VALUE"""),148)</f>
        <v>148</v>
      </c>
      <c r="B867" s="3">
        <f ca="1">IFERROR(__xludf.DUMMYFUNCTION("""COMPUTED_VALUE"""),5)</f>
        <v>5</v>
      </c>
      <c r="C867" s="3">
        <f ca="1">IFERROR(__xludf.DUMMYFUNCTION("""COMPUTED_VALUE"""),4001)</f>
        <v>4001</v>
      </c>
      <c r="D867" s="3" t="str">
        <f ca="1">IFERROR(__xludf.DUMMYFUNCTION("""COMPUTED_VALUE"""),"Dashattan")</f>
        <v>Dashattan</v>
      </c>
      <c r="E867" s="3" t="str">
        <f ca="1">IFERROR(__xludf.DUMMYFUNCTION("""COMPUTED_VALUE"""),"Galaxy A")</f>
        <v>Galaxy A</v>
      </c>
      <c r="F867" s="3" t="str">
        <f ca="1">IFERROR(__xludf.DUMMYFUNCTION("""COMPUTED_VALUE"""),"KC")</f>
        <v>KC</v>
      </c>
      <c r="G867" s="3">
        <f ca="1">IFERROR(__xludf.DUMMYFUNCTION("""COMPUTED_VALUE"""),0)</f>
        <v>0</v>
      </c>
      <c r="H867" s="3" t="str">
        <f ca="1">IFERROR(__xludf.DUMMYFUNCTION("""COMPUTED_VALUE"""),"car")</f>
        <v>car</v>
      </c>
      <c r="I867" s="3" t="str">
        <f ca="1">IFERROR(__xludf.DUMMYFUNCTION("""COMPUTED_VALUE"""),"2055-06-02T17:44:22.299983Z")</f>
        <v>2055-06-02T17:44:22.299983Z</v>
      </c>
      <c r="J867" s="3" t="str">
        <f ca="1">IFERROR(__xludf.DUMMYFUNCTION("""COMPUTED_VALUE"""),"2055-06-02T18:49:17.364Z")</f>
        <v>2055-06-02T18:49:17.364Z</v>
      </c>
      <c r="K867" s="3" t="str">
        <f ca="1">IFERROR(__xludf.DUMMYFUNCTION("""COMPUTED_VALUE"""),"2055-06-02T18:23:28.364Z")</f>
        <v>2055-06-02T18:23:28.364Z</v>
      </c>
      <c r="L867" s="3">
        <f ca="1">IFERROR(__xludf.DUMMYFUNCTION("""COMPUTED_VALUE"""),1)</f>
        <v>1</v>
      </c>
      <c r="M867" s="3">
        <f ca="1">IFERROR(__xludf.DUMMYFUNCTION("""COMPUTED_VALUE"""),0)</f>
        <v>0</v>
      </c>
      <c r="N867" s="3" t="str">
        <f ca="1">IFERROR(__xludf.DUMMYFUNCTION("""COMPUTED_VALUE"""),"2055-06-02T17:57:06.770371Z")</f>
        <v>2055-06-02T17:57:06.770371Z</v>
      </c>
      <c r="O867" s="3" t="str">
        <f ca="1">IFERROR(__xludf.DUMMYFUNCTION("""COMPUTED_VALUE"""),"2055-06-02T18:10:43.574995Z")</f>
        <v>2055-06-02T18:10:43.574995Z</v>
      </c>
      <c r="P867" s="3" t="str">
        <f ca="1">IFERROR(__xludf.DUMMYFUNCTION("""COMPUTED_VALUE"""),"2055-06-02T17:49:54.417133Z")</f>
        <v>2055-06-02T17:49:54.417133Z</v>
      </c>
      <c r="Q867" s="3">
        <f ca="1">IFERROR(__xludf.DUMMYFUNCTION("""COMPUTED_VALUE"""),0)</f>
        <v>0</v>
      </c>
      <c r="R867" s="3" t="str">
        <f ca="1">IFERROR(__xludf.DUMMYFUNCTION("""COMPUTED_VALUE"""),"2055-06-02T17:50:01.350617Z")</f>
        <v>2055-06-02T17:50:01.350617Z</v>
      </c>
      <c r="S867" s="3" t="str">
        <f ca="1">IFERROR(__xludf.DUMMYFUNCTION("""COMPUTED_VALUE"""),"2055-06-02T17:55:31.449914Z")</f>
        <v>2055-06-02T17:55:31.449914Z</v>
      </c>
      <c r="T867" s="3"/>
      <c r="U867" s="4">
        <f ca="1">IFERROR(__xludf.DUMMYFUNCTION("""COMPUTED_VALUE"""),56767)</f>
        <v>56767</v>
      </c>
      <c r="V867" s="3">
        <f ca="1">IFERROR(__xludf.DUMMYFUNCTION("""COMPUTED_VALUE"""),4.6)</f>
        <v>4.5999999999999996</v>
      </c>
      <c r="W867" s="3">
        <f ca="1">IFERROR(__xludf.DUMMYFUNCTION("""COMPUTED_VALUE"""),1500)</f>
        <v>1500</v>
      </c>
      <c r="X867" s="3">
        <f ca="1">IFERROR(__xludf.DUMMYFUNCTION("""COMPUTED_VALUE"""),1242)</f>
        <v>1242</v>
      </c>
      <c r="Y867" s="3">
        <f ca="1">IFERROR(__xludf.DUMMYFUNCTION("""COMPUTED_VALUE"""),330)</f>
        <v>330</v>
      </c>
      <c r="Z867" s="3">
        <f ca="1">IFERROR(__xludf.DUMMYFUNCTION("""COMPUTED_VALUE"""),95)</f>
        <v>95</v>
      </c>
      <c r="AA867" s="3">
        <f ca="1">IFERROR(__xludf.DUMMYFUNCTION("""COMPUTED_VALUE"""),817)</f>
        <v>817</v>
      </c>
      <c r="AB867" s="3">
        <f ca="1">IFERROR(__xludf.DUMMYFUNCTION("""COMPUTED_VALUE"""),0)</f>
        <v>0</v>
      </c>
      <c r="AC867" s="3">
        <f ca="1">IFERROR(__xludf.DUMMYFUNCTION("""COMPUTED_VALUE"""),1)</f>
        <v>1</v>
      </c>
      <c r="AD867" s="3" t="str">
        <f ca="1">IFERROR(__xludf.DUMMYFUNCTION("""COMPUTED_VALUE"""),"on time")</f>
        <v>on time</v>
      </c>
      <c r="AE867" s="3" t="str">
        <f ca="1">IFERROR(__xludf.DUMMYFUNCTION("""COMPUTED_VALUE"""),"2055-06-02T13:57:06.770371Z")</f>
        <v>2055-06-02T13:57:06.770371Z</v>
      </c>
      <c r="AF867" s="3" t="str">
        <f ca="1">IFERROR(__xludf.DUMMYFUNCTION("""COMPUTED_VALUE"""),"2055-06-02T14:10:43.574995Z")</f>
        <v>2055-06-02T14:10:43.574995Z</v>
      </c>
      <c r="AG867" s="3" t="str">
        <f ca="1">IFERROR(__xludf.DUMMYFUNCTION("""COMPUTED_VALUE"""),"2055-06-02T13:49:54.417133Z")</f>
        <v>2055-06-02T13:49:54.417133Z</v>
      </c>
      <c r="AH867" s="3" t="str">
        <f ca="1">IFERROR(__xludf.DUMMYFUNCTION("""COMPUTED_VALUE"""),"2055-06-02T13:55:31.449914Z")</f>
        <v>2055-06-02T13:55:31.449914Z</v>
      </c>
      <c r="AI867" s="3">
        <f ca="1">IFERROR(__xludf.DUMMYFUNCTION("""COMPUTED_VALUE"""),4.54)</f>
        <v>4.54</v>
      </c>
      <c r="AJ867" s="3">
        <f ca="1">IFERROR(__xludf.DUMMYFUNCTION("""COMPUTED_VALUE"""),2229)</f>
        <v>2229</v>
      </c>
      <c r="AK867" s="3">
        <f ca="1">IFERROR(__xludf.DUMMYFUNCTION("""COMPUTED_VALUE"""),6580)</f>
        <v>6580</v>
      </c>
      <c r="AL867" s="3"/>
      <c r="AM867" s="3">
        <f>IFERROR(Raw_Data!AL867 / Raw_Data!AK867, "")</f>
        <v>0</v>
      </c>
      <c r="AN867" s="3" t="str">
        <f>IF(ISBLANK(Raw_Data!AL867), "No", "Yes")</f>
        <v>No</v>
      </c>
      <c r="AO867" s="3">
        <f>IFERROR(Raw_Data!Z867/60, "")</f>
        <v>1.5833333333333333</v>
      </c>
    </row>
    <row r="868" spans="1:41" ht="13">
      <c r="A868" s="3">
        <f ca="1">IFERROR(__xludf.DUMMYFUNCTION("""COMPUTED_VALUE"""),337)</f>
        <v>337</v>
      </c>
      <c r="B868" s="3">
        <f ca="1">IFERROR(__xludf.DUMMYFUNCTION("""COMPUTED_VALUE"""),5)</f>
        <v>5</v>
      </c>
      <c r="C868" s="3">
        <f ca="1">IFERROR(__xludf.DUMMYFUNCTION("""COMPUTED_VALUE"""),4050)</f>
        <v>4050</v>
      </c>
      <c r="D868" s="3" t="str">
        <f ca="1">IFERROR(__xludf.DUMMYFUNCTION("""COMPUTED_VALUE"""),"Doorlanta")</f>
        <v>Doorlanta</v>
      </c>
      <c r="E868" s="3" t="str">
        <f ca="1">IFERROR(__xludf.DUMMYFUNCTION("""COMPUTED_VALUE"""),"Galaxy A")</f>
        <v>Galaxy A</v>
      </c>
      <c r="F868" s="3" t="str">
        <f ca="1">IFERROR(__xludf.DUMMYFUNCTION("""COMPUTED_VALUE"""),"Elon")</f>
        <v>Elon</v>
      </c>
      <c r="G868" s="3">
        <f ca="1">IFERROR(__xludf.DUMMYFUNCTION("""COMPUTED_VALUE"""),0)</f>
        <v>0</v>
      </c>
      <c r="H868" s="3" t="str">
        <f ca="1">IFERROR(__xludf.DUMMYFUNCTION("""COMPUTED_VALUE"""),"car")</f>
        <v>car</v>
      </c>
      <c r="I868" s="3" t="str">
        <f ca="1">IFERROR(__xludf.DUMMYFUNCTION("""COMPUTED_VALUE"""),"2055-06-03T21:52:52.563631Z")</f>
        <v>2055-06-03T21:52:52.563631Z</v>
      </c>
      <c r="J868" s="3" t="str">
        <f ca="1">IFERROR(__xludf.DUMMYFUNCTION("""COMPUTED_VALUE"""),"2055-06-03T22:47:52.647Z")</f>
        <v>2055-06-03T22:47:52.647Z</v>
      </c>
      <c r="K868" s="3" t="str">
        <f ca="1">IFERROR(__xludf.DUMMYFUNCTION("""COMPUTED_VALUE"""),"2055-06-03T22:15:32.647Z")</f>
        <v>2055-06-03T22:15:32.647Z</v>
      </c>
      <c r="L868" s="3">
        <f ca="1">IFERROR(__xludf.DUMMYFUNCTION("""COMPUTED_VALUE"""),1)</f>
        <v>1</v>
      </c>
      <c r="M868" s="3">
        <f ca="1">IFERROR(__xludf.DUMMYFUNCTION("""COMPUTED_VALUE"""),0)</f>
        <v>0</v>
      </c>
      <c r="N868" s="3" t="str">
        <f ca="1">IFERROR(__xludf.DUMMYFUNCTION("""COMPUTED_VALUE"""),"2055-06-03T22:10:04.039058Z")</f>
        <v>2055-06-03T22:10:04.039058Z</v>
      </c>
      <c r="O868" s="3" t="str">
        <f ca="1">IFERROR(__xludf.DUMMYFUNCTION("""COMPUTED_VALUE"""),"2055-06-03T22:22:41.789929Z")</f>
        <v>2055-06-03T22:22:41.789929Z</v>
      </c>
      <c r="P868" s="3" t="str">
        <f ca="1">IFERROR(__xludf.DUMMYFUNCTION("""COMPUTED_VALUE"""),"2055-06-03T21:53:07.325206Z")</f>
        <v>2055-06-03T21:53:07.325206Z</v>
      </c>
      <c r="Q868" s="3">
        <f ca="1">IFERROR(__xludf.DUMMYFUNCTION("""COMPUTED_VALUE"""),0)</f>
        <v>0</v>
      </c>
      <c r="R868" s="3" t="str">
        <f ca="1">IFERROR(__xludf.DUMMYFUNCTION("""COMPUTED_VALUE"""),"2055-06-03T21:53:18.39604Z")</f>
        <v>2055-06-03T21:53:18.39604Z</v>
      </c>
      <c r="S868" s="3" t="str">
        <f ca="1">IFERROR(__xludf.DUMMYFUNCTION("""COMPUTED_VALUE"""),"2055-06-03T22:09:42.64385Z")</f>
        <v>2055-06-03T22:09:42.64385Z</v>
      </c>
      <c r="T868" s="3"/>
      <c r="U868" s="4">
        <f ca="1">IFERROR(__xludf.DUMMYFUNCTION("""COMPUTED_VALUE"""),56768)</f>
        <v>56768</v>
      </c>
      <c r="V868" s="3">
        <f ca="1">IFERROR(__xludf.DUMMYFUNCTION("""COMPUTED_VALUE"""),4.5)</f>
        <v>4.5</v>
      </c>
      <c r="W868" s="3">
        <f ca="1">IFERROR(__xludf.DUMMYFUNCTION("""COMPUTED_VALUE"""),1500)</f>
        <v>1500</v>
      </c>
      <c r="X868" s="3">
        <f ca="1">IFERROR(__xludf.DUMMYFUNCTION("""COMPUTED_VALUE"""),1763)</f>
        <v>1763</v>
      </c>
      <c r="Y868" s="3">
        <f ca="1">IFERROR(__xludf.DUMMYFUNCTION("""COMPUTED_VALUE"""),984)</f>
        <v>984</v>
      </c>
      <c r="Z868" s="3">
        <f ca="1">IFERROR(__xludf.DUMMYFUNCTION("""COMPUTED_VALUE"""),22)</f>
        <v>22</v>
      </c>
      <c r="AA868" s="3">
        <f ca="1">IFERROR(__xludf.DUMMYFUNCTION("""COMPUTED_VALUE"""),757)</f>
        <v>757</v>
      </c>
      <c r="AB868" s="3">
        <f ca="1">IFERROR(__xludf.DUMMYFUNCTION("""COMPUTED_VALUE"""),0)</f>
        <v>0</v>
      </c>
      <c r="AC868" s="3">
        <f ca="1">IFERROR(__xludf.DUMMYFUNCTION("""COMPUTED_VALUE"""),1)</f>
        <v>1</v>
      </c>
      <c r="AD868" s="3" t="str">
        <f ca="1">IFERROR(__xludf.DUMMYFUNCTION("""COMPUTED_VALUE"""),"late")</f>
        <v>late</v>
      </c>
      <c r="AE868" s="3" t="str">
        <f ca="1">IFERROR(__xludf.DUMMYFUNCTION("""COMPUTED_VALUE"""),"2055-06-03T18:10:04.039058Z")</f>
        <v>2055-06-03T18:10:04.039058Z</v>
      </c>
      <c r="AF868" s="3" t="str">
        <f ca="1">IFERROR(__xludf.DUMMYFUNCTION("""COMPUTED_VALUE"""),"2055-06-03T18:22:41.789929Z")</f>
        <v>2055-06-03T18:22:41.789929Z</v>
      </c>
      <c r="AG868" s="3" t="str">
        <f ca="1">IFERROR(__xludf.DUMMYFUNCTION("""COMPUTED_VALUE"""),"2055-06-03T17:53:07.325206Z")</f>
        <v>2055-06-03T17:53:07.325206Z</v>
      </c>
      <c r="AH868" s="3" t="str">
        <f ca="1">IFERROR(__xludf.DUMMYFUNCTION("""COMPUTED_VALUE"""),"2055-06-03T18:09:42.64385Z")</f>
        <v>2055-06-03T18:09:42.64385Z</v>
      </c>
      <c r="AI868" s="3">
        <f ca="1">IFERROR(__xludf.DUMMYFUNCTION("""COMPUTED_VALUE"""),4.62)</f>
        <v>4.62</v>
      </c>
      <c r="AJ868" s="3">
        <f ca="1">IFERROR(__xludf.DUMMYFUNCTION("""COMPUTED_VALUE"""),259)</f>
        <v>259</v>
      </c>
      <c r="AK868" s="3">
        <f ca="1">IFERROR(__xludf.DUMMYFUNCTION("""COMPUTED_VALUE"""),604)</f>
        <v>604</v>
      </c>
      <c r="AL868" s="3">
        <f ca="1">IFERROR(__xludf.DUMMYFUNCTION("""COMPUTED_VALUE"""),21)</f>
        <v>21</v>
      </c>
      <c r="AM868" s="3">
        <f>IFERROR(Raw_Data!AL868 / Raw_Data!AK868, "")</f>
        <v>3.4768211920529798E-2</v>
      </c>
      <c r="AN868" s="3" t="str">
        <f>IF(ISBLANK(Raw_Data!AL868), "No", "Yes")</f>
        <v>Yes</v>
      </c>
      <c r="AO868" s="3">
        <f>IFERROR(Raw_Data!Z868/60, "")</f>
        <v>0.36666666666666664</v>
      </c>
    </row>
    <row r="869" spans="1:41" ht="13">
      <c r="A869" s="3">
        <f ca="1">IFERROR(__xludf.DUMMYFUNCTION("""COMPUTED_VALUE"""),491)</f>
        <v>491</v>
      </c>
      <c r="B869" s="3"/>
      <c r="C869" s="3">
        <f ca="1">IFERROR(__xludf.DUMMYFUNCTION("""COMPUTED_VALUE"""),4050)</f>
        <v>4050</v>
      </c>
      <c r="D869" s="3" t="str">
        <f ca="1">IFERROR(__xludf.DUMMYFUNCTION("""COMPUTED_VALUE"""),"Doorlanta")</f>
        <v>Doorlanta</v>
      </c>
      <c r="E869" s="3" t="str">
        <f ca="1">IFERROR(__xludf.DUMMYFUNCTION("""COMPUTED_VALUE"""),"Galaxy A")</f>
        <v>Galaxy A</v>
      </c>
      <c r="F869" s="3" t="str">
        <f ca="1">IFERROR(__xludf.DUMMYFUNCTION("""COMPUTED_VALUE"""),"Hanna")</f>
        <v>Hanna</v>
      </c>
      <c r="G869" s="3">
        <f ca="1">IFERROR(__xludf.DUMMYFUNCTION("""COMPUTED_VALUE"""),0)</f>
        <v>0</v>
      </c>
      <c r="H869" s="3" t="str">
        <f ca="1">IFERROR(__xludf.DUMMYFUNCTION("""COMPUTED_VALUE"""),"car")</f>
        <v>car</v>
      </c>
      <c r="I869" s="3" t="str">
        <f ca="1">IFERROR(__xludf.DUMMYFUNCTION("""COMPUTED_VALUE"""),"2055-06-04T23:34:49.077663Z")</f>
        <v>2055-06-04T23:34:49.077663Z</v>
      </c>
      <c r="J869" s="3" t="str">
        <f ca="1">IFERROR(__xludf.DUMMYFUNCTION("""COMPUTED_VALUE"""),"2055-06-05T00:36:35.14Z")</f>
        <v>2055-06-05T00:36:35.14Z</v>
      </c>
      <c r="K869" s="3" t="str">
        <f ca="1">IFERROR(__xludf.DUMMYFUNCTION("""COMPUTED_VALUE"""),"2055-06-05T00:18:17.14Z")</f>
        <v>2055-06-05T00:18:17.14Z</v>
      </c>
      <c r="L869" s="3">
        <f ca="1">IFERROR(__xludf.DUMMYFUNCTION("""COMPUTED_VALUE"""),1)</f>
        <v>1</v>
      </c>
      <c r="M869" s="3">
        <f ca="1">IFERROR(__xludf.DUMMYFUNCTION("""COMPUTED_VALUE"""),0)</f>
        <v>0</v>
      </c>
      <c r="N869" s="3" t="str">
        <f ca="1">IFERROR(__xludf.DUMMYFUNCTION("""COMPUTED_VALUE"""),"2055-06-05T00:12:36.421061Z")</f>
        <v>2055-06-05T00:12:36.421061Z</v>
      </c>
      <c r="O869" s="3" t="str">
        <f ca="1">IFERROR(__xludf.DUMMYFUNCTION("""COMPUTED_VALUE"""),"2055-06-05T00:25:57.475562Z")</f>
        <v>2055-06-05T00:25:57.475562Z</v>
      </c>
      <c r="P869" s="3" t="str">
        <f ca="1">IFERROR(__xludf.DUMMYFUNCTION("""COMPUTED_VALUE"""),"2055-06-05T00:05:27.607729Z")</f>
        <v>2055-06-05T00:05:27.607729Z</v>
      </c>
      <c r="Q869" s="3">
        <f ca="1">IFERROR(__xludf.DUMMYFUNCTION("""COMPUTED_VALUE"""),0)</f>
        <v>0</v>
      </c>
      <c r="R869" s="3" t="str">
        <f ca="1">IFERROR(__xludf.DUMMYFUNCTION("""COMPUTED_VALUE"""),"2055-06-05T00:05:32.889848Z")</f>
        <v>2055-06-05T00:05:32.889848Z</v>
      </c>
      <c r="S869" s="3" t="str">
        <f ca="1">IFERROR(__xludf.DUMMYFUNCTION("""COMPUTED_VALUE"""),"2055-06-05T00:10:33.625458Z")</f>
        <v>2055-06-05T00:10:33.625458Z</v>
      </c>
      <c r="T869" s="3"/>
      <c r="U869" s="4">
        <f ca="1">IFERROR(__xludf.DUMMYFUNCTION("""COMPUTED_VALUE"""),56769)</f>
        <v>56769</v>
      </c>
      <c r="V869" s="3">
        <f ca="1">IFERROR(__xludf.DUMMYFUNCTION("""COMPUTED_VALUE"""),4.5)</f>
        <v>4.5</v>
      </c>
      <c r="W869" s="3">
        <f ca="1">IFERROR(__xludf.DUMMYFUNCTION("""COMPUTED_VALUE"""),1500)</f>
        <v>1500</v>
      </c>
      <c r="X869" s="3">
        <f ca="1">IFERROR(__xludf.DUMMYFUNCTION("""COMPUTED_VALUE"""),1225)</f>
        <v>1225</v>
      </c>
      <c r="Y869" s="3">
        <f ca="1">IFERROR(__xludf.DUMMYFUNCTION("""COMPUTED_VALUE"""),301)</f>
        <v>301</v>
      </c>
      <c r="Z869" s="3">
        <f ca="1">IFERROR(__xludf.DUMMYFUNCTION("""COMPUTED_VALUE"""),123)</f>
        <v>123</v>
      </c>
      <c r="AA869" s="3">
        <f ca="1">IFERROR(__xludf.DUMMYFUNCTION("""COMPUTED_VALUE"""),801)</f>
        <v>801</v>
      </c>
      <c r="AB869" s="3">
        <f ca="1">IFERROR(__xludf.DUMMYFUNCTION("""COMPUTED_VALUE"""),0)</f>
        <v>0</v>
      </c>
      <c r="AC869" s="3">
        <f ca="1">IFERROR(__xludf.DUMMYFUNCTION("""COMPUTED_VALUE"""),1)</f>
        <v>1</v>
      </c>
      <c r="AD869" s="3" t="str">
        <f ca="1">IFERROR(__xludf.DUMMYFUNCTION("""COMPUTED_VALUE"""),"late")</f>
        <v>late</v>
      </c>
      <c r="AE869" s="3" t="str">
        <f ca="1">IFERROR(__xludf.DUMMYFUNCTION("""COMPUTED_VALUE"""),"2055-06-04T20:12:36.421061Z")</f>
        <v>2055-06-04T20:12:36.421061Z</v>
      </c>
      <c r="AF869" s="3" t="str">
        <f ca="1">IFERROR(__xludf.DUMMYFUNCTION("""COMPUTED_VALUE"""),"2055-06-04T20:25:57.475562Z")</f>
        <v>2055-06-04T20:25:57.475562Z</v>
      </c>
      <c r="AG869" s="3" t="str">
        <f ca="1">IFERROR(__xludf.DUMMYFUNCTION("""COMPUTED_VALUE"""),"2055-06-04T20:05:27.607729Z")</f>
        <v>2055-06-04T20:05:27.607729Z</v>
      </c>
      <c r="AH869" s="3" t="str">
        <f ca="1">IFERROR(__xludf.DUMMYFUNCTION("""COMPUTED_VALUE"""),"2055-06-04T20:10:33.625458Z")</f>
        <v>2055-06-04T20:10:33.625458Z</v>
      </c>
      <c r="AI869" s="3">
        <f ca="1">IFERROR(__xludf.DUMMYFUNCTION("""COMPUTED_VALUE"""),4.79)</f>
        <v>4.79</v>
      </c>
      <c r="AJ869" s="3">
        <f ca="1">IFERROR(__xludf.DUMMYFUNCTION("""COMPUTED_VALUE"""),1007)</f>
        <v>1007</v>
      </c>
      <c r="AK869" s="3">
        <f ca="1">IFERROR(__xludf.DUMMYFUNCTION("""COMPUTED_VALUE"""),2899)</f>
        <v>2899</v>
      </c>
      <c r="AL869" s="3">
        <f ca="1">IFERROR(__xludf.DUMMYFUNCTION("""COMPUTED_VALUE"""),1301)</f>
        <v>1301</v>
      </c>
      <c r="AM869" s="3">
        <f>IFERROR(Raw_Data!AL869 / Raw_Data!AK869, "")</f>
        <v>0.44877543980682993</v>
      </c>
      <c r="AN869" s="3" t="str">
        <f>IF(ISBLANK(Raw_Data!AL869), "No", "Yes")</f>
        <v>Yes</v>
      </c>
      <c r="AO869" s="3">
        <f>IFERROR(Raw_Data!Z869/60, "")</f>
        <v>2.0499999999999998</v>
      </c>
    </row>
    <row r="870" spans="1:41" ht="13">
      <c r="A870" s="3">
        <f ca="1">IFERROR(__xludf.DUMMYFUNCTION("""COMPUTED_VALUE"""),777)</f>
        <v>777</v>
      </c>
      <c r="B870" s="3"/>
      <c r="C870" s="3">
        <f ca="1">IFERROR(__xludf.DUMMYFUNCTION("""COMPUTED_VALUE"""),4050)</f>
        <v>4050</v>
      </c>
      <c r="D870" s="3" t="str">
        <f ca="1">IFERROR(__xludf.DUMMYFUNCTION("""COMPUTED_VALUE"""),"Doorlanta")</f>
        <v>Doorlanta</v>
      </c>
      <c r="E870" s="3" t="str">
        <f ca="1">IFERROR(__xludf.DUMMYFUNCTION("""COMPUTED_VALUE"""),"Galaxy A")</f>
        <v>Galaxy A</v>
      </c>
      <c r="F870" s="3" t="str">
        <f ca="1">IFERROR(__xludf.DUMMYFUNCTION("""COMPUTED_VALUE"""),"Katelynn")</f>
        <v>Katelynn</v>
      </c>
      <c r="G870" s="3">
        <f ca="1">IFERROR(__xludf.DUMMYFUNCTION("""COMPUTED_VALUE"""),0)</f>
        <v>0</v>
      </c>
      <c r="H870" s="3" t="str">
        <f ca="1">IFERROR(__xludf.DUMMYFUNCTION("""COMPUTED_VALUE"""),"car")</f>
        <v>car</v>
      </c>
      <c r="I870" s="3" t="str">
        <f ca="1">IFERROR(__xludf.DUMMYFUNCTION("""COMPUTED_VALUE"""),"2055-06-06T22:25:22.797659Z")</f>
        <v>2055-06-06T22:25:22.797659Z</v>
      </c>
      <c r="J870" s="3" t="str">
        <f ca="1">IFERROR(__xludf.DUMMYFUNCTION("""COMPUTED_VALUE"""),"2055-06-06T23:32:13.877Z")</f>
        <v>2055-06-06T23:32:13.877Z</v>
      </c>
      <c r="K870" s="3" t="str">
        <f ca="1">IFERROR(__xludf.DUMMYFUNCTION("""COMPUTED_VALUE"""),"2055-06-06T23:18:20.877Z")</f>
        <v>2055-06-06T23:18:20.877Z</v>
      </c>
      <c r="L870" s="3">
        <f ca="1">IFERROR(__xludf.DUMMYFUNCTION("""COMPUTED_VALUE"""),1)</f>
        <v>1</v>
      </c>
      <c r="M870" s="3">
        <f ca="1">IFERROR(__xludf.DUMMYFUNCTION("""COMPUTED_VALUE"""),0)</f>
        <v>0</v>
      </c>
      <c r="N870" s="3" t="str">
        <f ca="1">IFERROR(__xludf.DUMMYFUNCTION("""COMPUTED_VALUE"""),"2055-06-06T22:50:39.475374Z")</f>
        <v>2055-06-06T22:50:39.475374Z</v>
      </c>
      <c r="O870" s="3" t="str">
        <f ca="1">IFERROR(__xludf.DUMMYFUNCTION("""COMPUTED_VALUE"""),"2055-06-06T23:03:45.841827Z")</f>
        <v>2055-06-06T23:03:45.841827Z</v>
      </c>
      <c r="P870" s="3" t="str">
        <f ca="1">IFERROR(__xludf.DUMMYFUNCTION("""COMPUTED_VALUE"""),"2055-06-06T22:27:07.449413Z")</f>
        <v>2055-06-06T22:27:07.449413Z</v>
      </c>
      <c r="Q870" s="3">
        <f ca="1">IFERROR(__xludf.DUMMYFUNCTION("""COMPUTED_VALUE"""),0)</f>
        <v>0</v>
      </c>
      <c r="R870" s="3" t="str">
        <f ca="1">IFERROR(__xludf.DUMMYFUNCTION("""COMPUTED_VALUE"""),"2055-06-06T22:28:21.249024Z")</f>
        <v>2055-06-06T22:28:21.249024Z</v>
      </c>
      <c r="S870" s="3" t="str">
        <f ca="1">IFERROR(__xludf.DUMMYFUNCTION("""COMPUTED_VALUE"""),"2055-06-06T22:43:32.546967Z")</f>
        <v>2055-06-06T22:43:32.546967Z</v>
      </c>
      <c r="T870" s="3"/>
      <c r="U870" s="4">
        <f ca="1">IFERROR(__xludf.DUMMYFUNCTION("""COMPUTED_VALUE"""),56771)</f>
        <v>56771</v>
      </c>
      <c r="V870" s="3">
        <f ca="1">IFERROR(__xludf.DUMMYFUNCTION("""COMPUTED_VALUE"""),4.4)</f>
        <v>4.4000000000000004</v>
      </c>
      <c r="W870" s="3">
        <f ca="1">IFERROR(__xludf.DUMMYFUNCTION("""COMPUTED_VALUE"""),1500)</f>
        <v>1500</v>
      </c>
      <c r="X870" s="3">
        <f ca="1">IFERROR(__xludf.DUMMYFUNCTION("""COMPUTED_VALUE"""),2124)</f>
        <v>2124</v>
      </c>
      <c r="Y870" s="3">
        <f ca="1">IFERROR(__xludf.DUMMYFUNCTION("""COMPUTED_VALUE"""),911)</f>
        <v>911</v>
      </c>
      <c r="Z870" s="3">
        <f ca="1">IFERROR(__xludf.DUMMYFUNCTION("""COMPUTED_VALUE"""),427)</f>
        <v>427</v>
      </c>
      <c r="AA870" s="3">
        <f ca="1">IFERROR(__xludf.DUMMYFUNCTION("""COMPUTED_VALUE"""),786)</f>
        <v>786</v>
      </c>
      <c r="AB870" s="3">
        <f ca="1">IFERROR(__xludf.DUMMYFUNCTION("""COMPUTED_VALUE"""),0)</f>
        <v>0</v>
      </c>
      <c r="AC870" s="3">
        <f ca="1">IFERROR(__xludf.DUMMYFUNCTION("""COMPUTED_VALUE"""),3)</f>
        <v>3</v>
      </c>
      <c r="AD870" s="3" t="str">
        <f ca="1">IFERROR(__xludf.DUMMYFUNCTION("""COMPUTED_VALUE"""),"early")</f>
        <v>early</v>
      </c>
      <c r="AE870" s="3" t="str">
        <f ca="1">IFERROR(__xludf.DUMMYFUNCTION("""COMPUTED_VALUE"""),"2055-06-06T18:50:39.475374Z")</f>
        <v>2055-06-06T18:50:39.475374Z</v>
      </c>
      <c r="AF870" s="3" t="str">
        <f ca="1">IFERROR(__xludf.DUMMYFUNCTION("""COMPUTED_VALUE"""),"2055-06-06T19:03:45.841827Z")</f>
        <v>2055-06-06T19:03:45.841827Z</v>
      </c>
      <c r="AG870" s="3" t="str">
        <f ca="1">IFERROR(__xludf.DUMMYFUNCTION("""COMPUTED_VALUE"""),"2055-06-06T18:27:07.449413Z")</f>
        <v>2055-06-06T18:27:07.449413Z</v>
      </c>
      <c r="AH870" s="3" t="str">
        <f ca="1">IFERROR(__xludf.DUMMYFUNCTION("""COMPUTED_VALUE"""),"2055-06-06T18:43:32.546967Z")</f>
        <v>2055-06-06T18:43:32.546967Z</v>
      </c>
      <c r="AI870" s="3">
        <f ca="1">IFERROR(__xludf.DUMMYFUNCTION("""COMPUTED_VALUE"""),4.7)</f>
        <v>4.7</v>
      </c>
      <c r="AJ870" s="3">
        <f ca="1">IFERROR(__xludf.DUMMYFUNCTION("""COMPUTED_VALUE"""),1261)</f>
        <v>1261</v>
      </c>
      <c r="AK870" s="3">
        <f ca="1">IFERROR(__xludf.DUMMYFUNCTION("""COMPUTED_VALUE"""),3264)</f>
        <v>3264</v>
      </c>
      <c r="AL870" s="3">
        <f ca="1">IFERROR(__xludf.DUMMYFUNCTION("""COMPUTED_VALUE"""),232)</f>
        <v>232</v>
      </c>
      <c r="AM870" s="3">
        <f>IFERROR(Raw_Data!AL870 / Raw_Data!AK870, "")</f>
        <v>7.1078431372549017E-2</v>
      </c>
      <c r="AN870" s="3" t="str">
        <f>IF(ISBLANK(Raw_Data!AL870), "No", "Yes")</f>
        <v>Yes</v>
      </c>
      <c r="AO870" s="3">
        <f>IFERROR(Raw_Data!Z870/60, "")</f>
        <v>7.1166666666666663</v>
      </c>
    </row>
    <row r="871" spans="1:41" ht="13">
      <c r="A871" s="3">
        <f ca="1">IFERROR(__xludf.DUMMYFUNCTION("""COMPUTED_VALUE"""),9)</f>
        <v>9</v>
      </c>
      <c r="B871" s="3"/>
      <c r="C871" s="3">
        <f ca="1">IFERROR(__xludf.DUMMYFUNCTION("""COMPUTED_VALUE"""),4050)</f>
        <v>4050</v>
      </c>
      <c r="D871" s="3" t="str">
        <f ca="1">IFERROR(__xludf.DUMMYFUNCTION("""COMPUTED_VALUE"""),"Doorlanta")</f>
        <v>Doorlanta</v>
      </c>
      <c r="E871" s="3" t="str">
        <f ca="1">IFERROR(__xludf.DUMMYFUNCTION("""COMPUTED_VALUE"""),"Galaxy A")</f>
        <v>Galaxy A</v>
      </c>
      <c r="F871" s="3" t="str">
        <f ca="1">IFERROR(__xludf.DUMMYFUNCTION("""COMPUTED_VALUE"""),"Faud")</f>
        <v>Faud</v>
      </c>
      <c r="G871" s="3">
        <f ca="1">IFERROR(__xludf.DUMMYFUNCTION("""COMPUTED_VALUE"""),0)</f>
        <v>0</v>
      </c>
      <c r="H871" s="3" t="str">
        <f ca="1">IFERROR(__xludf.DUMMYFUNCTION("""COMPUTED_VALUE"""),"car")</f>
        <v>car</v>
      </c>
      <c r="I871" s="3" t="str">
        <f ca="1">IFERROR(__xludf.DUMMYFUNCTION("""COMPUTED_VALUE"""),"2055-06-01T15:24:47.212137Z")</f>
        <v>2055-06-01T15:24:47.212137Z</v>
      </c>
      <c r="J871" s="3" t="str">
        <f ca="1">IFERROR(__xludf.DUMMYFUNCTION("""COMPUTED_VALUE"""),"2055-06-01T16:19:47.295Z")</f>
        <v>2055-06-01T16:19:47.295Z</v>
      </c>
      <c r="K871" s="3" t="str">
        <f ca="1">IFERROR(__xludf.DUMMYFUNCTION("""COMPUTED_VALUE"""),"2055-06-01T15:59:33.295Z")</f>
        <v>2055-06-01T15:59:33.295Z</v>
      </c>
      <c r="L871" s="3">
        <f ca="1">IFERROR(__xludf.DUMMYFUNCTION("""COMPUTED_VALUE"""),1)</f>
        <v>1</v>
      </c>
      <c r="M871" s="3">
        <f ca="1">IFERROR(__xludf.DUMMYFUNCTION("""COMPUTED_VALUE"""),0)</f>
        <v>0</v>
      </c>
      <c r="N871" s="3" t="str">
        <f ca="1">IFERROR(__xludf.DUMMYFUNCTION("""COMPUTED_VALUE"""),"2055-06-01T15:40:39.540472Z")</f>
        <v>2055-06-01T15:40:39.540472Z</v>
      </c>
      <c r="O871" s="3" t="str">
        <f ca="1">IFERROR(__xludf.DUMMYFUNCTION("""COMPUTED_VALUE"""),"2055-06-01T15:55:57.156155Z")</f>
        <v>2055-06-01T15:55:57.156155Z</v>
      </c>
      <c r="P871" s="3" t="str">
        <f ca="1">IFERROR(__xludf.DUMMYFUNCTION("""COMPUTED_VALUE"""),"2055-06-01T15:25:07.288351Z")</f>
        <v>2055-06-01T15:25:07.288351Z</v>
      </c>
      <c r="Q871" s="3">
        <f ca="1">IFERROR(__xludf.DUMMYFUNCTION("""COMPUTED_VALUE"""),0)</f>
        <v>0</v>
      </c>
      <c r="R871" s="3" t="str">
        <f ca="1">IFERROR(__xludf.DUMMYFUNCTION("""COMPUTED_VALUE"""),"2055-06-01T15:25:13.723244Z")</f>
        <v>2055-06-01T15:25:13.723244Z</v>
      </c>
      <c r="S871" s="3" t="str">
        <f ca="1">IFERROR(__xludf.DUMMYFUNCTION("""COMPUTED_VALUE"""),"2055-06-01T15:34:53.353962Z")</f>
        <v>2055-06-01T15:34:53.353962Z</v>
      </c>
      <c r="T871" s="3"/>
      <c r="U871" s="4">
        <f ca="1">IFERROR(__xludf.DUMMYFUNCTION("""COMPUTED_VALUE"""),56766)</f>
        <v>56766</v>
      </c>
      <c r="V871" s="3">
        <f ca="1">IFERROR(__xludf.DUMMYFUNCTION("""COMPUTED_VALUE"""),4.7)</f>
        <v>4.7</v>
      </c>
      <c r="W871" s="3">
        <f ca="1">IFERROR(__xludf.DUMMYFUNCTION("""COMPUTED_VALUE"""),1500)</f>
        <v>1500</v>
      </c>
      <c r="X871" s="3">
        <f ca="1">IFERROR(__xludf.DUMMYFUNCTION("""COMPUTED_VALUE"""),1844)</f>
        <v>1844</v>
      </c>
      <c r="Y871" s="3">
        <f ca="1">IFERROR(__xludf.DUMMYFUNCTION("""COMPUTED_VALUE"""),580)</f>
        <v>580</v>
      </c>
      <c r="Z871" s="3">
        <f ca="1">IFERROR(__xludf.DUMMYFUNCTION("""COMPUTED_VALUE"""),346)</f>
        <v>346</v>
      </c>
      <c r="AA871" s="3">
        <f ca="1">IFERROR(__xludf.DUMMYFUNCTION("""COMPUTED_VALUE"""),918)</f>
        <v>918</v>
      </c>
      <c r="AB871" s="3">
        <f ca="1">IFERROR(__xludf.DUMMYFUNCTION("""COMPUTED_VALUE"""),0)</f>
        <v>0</v>
      </c>
      <c r="AC871" s="3">
        <f ca="1">IFERROR(__xludf.DUMMYFUNCTION("""COMPUTED_VALUE"""),2)</f>
        <v>2</v>
      </c>
      <c r="AD871" s="3" t="str">
        <f ca="1">IFERROR(__xludf.DUMMYFUNCTION("""COMPUTED_VALUE"""),"early")</f>
        <v>early</v>
      </c>
      <c r="AE871" s="3" t="str">
        <f ca="1">IFERROR(__xludf.DUMMYFUNCTION("""COMPUTED_VALUE"""),"2055-06-01T11:40:39.540472Z")</f>
        <v>2055-06-01T11:40:39.540472Z</v>
      </c>
      <c r="AF871" s="3" t="str">
        <f ca="1">IFERROR(__xludf.DUMMYFUNCTION("""COMPUTED_VALUE"""),"2055-06-01T11:55:57.156155Z")</f>
        <v>2055-06-01T11:55:57.156155Z</v>
      </c>
      <c r="AG871" s="3" t="str">
        <f ca="1">IFERROR(__xludf.DUMMYFUNCTION("""COMPUTED_VALUE"""),"2055-06-01T11:25:07.288351Z")</f>
        <v>2055-06-01T11:25:07.288351Z</v>
      </c>
      <c r="AH871" s="3" t="str">
        <f ca="1">IFERROR(__xludf.DUMMYFUNCTION("""COMPUTED_VALUE"""),"2055-06-01T11:34:53.353962Z")</f>
        <v>2055-06-01T11:34:53.353962Z</v>
      </c>
      <c r="AI871" s="3">
        <f ca="1">IFERROR(__xludf.DUMMYFUNCTION("""COMPUTED_VALUE"""),4.69)</f>
        <v>4.6900000000000004</v>
      </c>
      <c r="AJ871" s="3">
        <f ca="1">IFERROR(__xludf.DUMMYFUNCTION("""COMPUTED_VALUE"""),89)</f>
        <v>89</v>
      </c>
      <c r="AK871" s="3">
        <f ca="1">IFERROR(__xludf.DUMMYFUNCTION("""COMPUTED_VALUE"""),258)</f>
        <v>258</v>
      </c>
      <c r="AL871" s="3">
        <f ca="1">IFERROR(__xludf.DUMMYFUNCTION("""COMPUTED_VALUE"""),154)</f>
        <v>154</v>
      </c>
      <c r="AM871" s="3">
        <f>IFERROR(Raw_Data!AL871 / Raw_Data!AK871, "")</f>
        <v>0.5968992248062015</v>
      </c>
      <c r="AN871" s="3" t="str">
        <f>IF(ISBLANK(Raw_Data!AL871), "No", "Yes")</f>
        <v>Yes</v>
      </c>
      <c r="AO871" s="3">
        <f>IFERROR(Raw_Data!Z871/60, "")</f>
        <v>5.7666666666666666</v>
      </c>
    </row>
    <row r="872" spans="1:41" ht="13">
      <c r="A872" s="3">
        <f ca="1">IFERROR(__xludf.DUMMYFUNCTION("""COMPUTED_VALUE"""),116)</f>
        <v>116</v>
      </c>
      <c r="B872" s="3">
        <f ca="1">IFERROR(__xludf.DUMMYFUNCTION("""COMPUTED_VALUE"""),5)</f>
        <v>5</v>
      </c>
      <c r="C872" s="3">
        <f ca="1">IFERROR(__xludf.DUMMYFUNCTION("""COMPUTED_VALUE"""),4050)</f>
        <v>4050</v>
      </c>
      <c r="D872" s="3" t="str">
        <f ca="1">IFERROR(__xludf.DUMMYFUNCTION("""COMPUTED_VALUE"""),"Doorlanta")</f>
        <v>Doorlanta</v>
      </c>
      <c r="E872" s="3" t="str">
        <f ca="1">IFERROR(__xludf.DUMMYFUNCTION("""COMPUTED_VALUE"""),"Galaxy A")</f>
        <v>Galaxy A</v>
      </c>
      <c r="F872" s="3" t="str">
        <f ca="1">IFERROR(__xludf.DUMMYFUNCTION("""COMPUTED_VALUE"""),"Joe")</f>
        <v>Joe</v>
      </c>
      <c r="G872" s="3">
        <f ca="1">IFERROR(__xludf.DUMMYFUNCTION("""COMPUTED_VALUE"""),0)</f>
        <v>0</v>
      </c>
      <c r="H872" s="3" t="str">
        <f ca="1">IFERROR(__xludf.DUMMYFUNCTION("""COMPUTED_VALUE"""),"car")</f>
        <v>car</v>
      </c>
      <c r="I872" s="3" t="str">
        <f ca="1">IFERROR(__xludf.DUMMYFUNCTION("""COMPUTED_VALUE"""),"2055-06-02T15:04:45.144939Z")</f>
        <v>2055-06-02T15:04:45.144939Z</v>
      </c>
      <c r="J872" s="3" t="str">
        <f ca="1">IFERROR(__xludf.DUMMYFUNCTION("""COMPUTED_VALUE"""),"2055-06-02T15:59:45.217Z")</f>
        <v>2055-06-02T15:59:45.217Z</v>
      </c>
      <c r="K872" s="3" t="str">
        <f ca="1">IFERROR(__xludf.DUMMYFUNCTION("""COMPUTED_VALUE"""),"2055-06-02T15:26:12.217Z")</f>
        <v>2055-06-02T15:26:12.217Z</v>
      </c>
      <c r="L872" s="3">
        <f ca="1">IFERROR(__xludf.DUMMYFUNCTION("""COMPUTED_VALUE"""),1)</f>
        <v>1</v>
      </c>
      <c r="M872" s="3">
        <f ca="1">IFERROR(__xludf.DUMMYFUNCTION("""COMPUTED_VALUE"""),0)</f>
        <v>0</v>
      </c>
      <c r="N872" s="3" t="str">
        <f ca="1">IFERROR(__xludf.DUMMYFUNCTION("""COMPUTED_VALUE"""),"2055-06-02T15:26:47.186234Z")</f>
        <v>2055-06-02T15:26:47.186234Z</v>
      </c>
      <c r="O872" s="3" t="str">
        <f ca="1">IFERROR(__xludf.DUMMYFUNCTION("""COMPUTED_VALUE"""),"2055-06-02T15:32:36.84391Z")</f>
        <v>2055-06-02T15:32:36.84391Z</v>
      </c>
      <c r="P872" s="3" t="str">
        <f ca="1">IFERROR(__xludf.DUMMYFUNCTION("""COMPUTED_VALUE"""),"2055-06-02T15:05:07.307687Z")</f>
        <v>2055-06-02T15:05:07.307687Z</v>
      </c>
      <c r="Q872" s="3">
        <f ca="1">IFERROR(__xludf.DUMMYFUNCTION("""COMPUTED_VALUE"""),0)</f>
        <v>0</v>
      </c>
      <c r="R872" s="3" t="str">
        <f ca="1">IFERROR(__xludf.DUMMYFUNCTION("""COMPUTED_VALUE"""),"2055-06-02T15:05:47.592533Z")</f>
        <v>2055-06-02T15:05:47.592533Z</v>
      </c>
      <c r="S872" s="3" t="str">
        <f ca="1">IFERROR(__xludf.DUMMYFUNCTION("""COMPUTED_VALUE"""),"2055-06-02T15:25:13.470499Z")</f>
        <v>2055-06-02T15:25:13.470499Z</v>
      </c>
      <c r="T872" s="3"/>
      <c r="U872" s="4">
        <f ca="1">IFERROR(__xludf.DUMMYFUNCTION("""COMPUTED_VALUE"""),56767)</f>
        <v>56767</v>
      </c>
      <c r="V872" s="3">
        <f ca="1">IFERROR(__xludf.DUMMYFUNCTION("""COMPUTED_VALUE"""),4.7)</f>
        <v>4.7</v>
      </c>
      <c r="W872" s="3">
        <f ca="1">IFERROR(__xludf.DUMMYFUNCTION("""COMPUTED_VALUE"""),1500)</f>
        <v>1500</v>
      </c>
      <c r="X872" s="3">
        <f ca="1">IFERROR(__xludf.DUMMYFUNCTION("""COMPUTED_VALUE"""),1609)</f>
        <v>1609</v>
      </c>
      <c r="Y872" s="3">
        <f ca="1">IFERROR(__xludf.DUMMYFUNCTION("""COMPUTED_VALUE"""),1166)</f>
        <v>1166</v>
      </c>
      <c r="Z872" s="3">
        <f ca="1">IFERROR(__xludf.DUMMYFUNCTION("""COMPUTED_VALUE"""),94)</f>
        <v>94</v>
      </c>
      <c r="AA872" s="3">
        <f ca="1">IFERROR(__xludf.DUMMYFUNCTION("""COMPUTED_VALUE"""),349)</f>
        <v>349</v>
      </c>
      <c r="AB872" s="3">
        <f ca="1">IFERROR(__xludf.DUMMYFUNCTION("""COMPUTED_VALUE"""),0)</f>
        <v>0</v>
      </c>
      <c r="AC872" s="3">
        <f ca="1">IFERROR(__xludf.DUMMYFUNCTION("""COMPUTED_VALUE"""),2)</f>
        <v>2</v>
      </c>
      <c r="AD872" s="3" t="str">
        <f ca="1">IFERROR(__xludf.DUMMYFUNCTION("""COMPUTED_VALUE"""),"late")</f>
        <v>late</v>
      </c>
      <c r="AE872" s="3" t="str">
        <f ca="1">IFERROR(__xludf.DUMMYFUNCTION("""COMPUTED_VALUE"""),"2055-06-02T11:26:47.186234Z")</f>
        <v>2055-06-02T11:26:47.186234Z</v>
      </c>
      <c r="AF872" s="3" t="str">
        <f ca="1">IFERROR(__xludf.DUMMYFUNCTION("""COMPUTED_VALUE"""),"2055-06-02T11:32:36.84391Z")</f>
        <v>2055-06-02T11:32:36.84391Z</v>
      </c>
      <c r="AG872" s="3" t="str">
        <f ca="1">IFERROR(__xludf.DUMMYFUNCTION("""COMPUTED_VALUE"""),"2055-06-02T11:05:07.307687Z")</f>
        <v>2055-06-02T11:05:07.307687Z</v>
      </c>
      <c r="AH872" s="3" t="str">
        <f ca="1">IFERROR(__xludf.DUMMYFUNCTION("""COMPUTED_VALUE"""),"2055-06-02T11:25:13.470499Z")</f>
        <v>2055-06-02T11:25:13.470499Z</v>
      </c>
      <c r="AI872" s="3">
        <f ca="1">IFERROR(__xludf.DUMMYFUNCTION("""COMPUTED_VALUE"""),4.38)</f>
        <v>4.38</v>
      </c>
      <c r="AJ872" s="3">
        <f ca="1">IFERROR(__xludf.DUMMYFUNCTION("""COMPUTED_VALUE"""),196)</f>
        <v>196</v>
      </c>
      <c r="AK872" s="3">
        <f ca="1">IFERROR(__xludf.DUMMYFUNCTION("""COMPUTED_VALUE"""),626)</f>
        <v>626</v>
      </c>
      <c r="AL872" s="3"/>
      <c r="AM872" s="3">
        <f>IFERROR(Raw_Data!AL872 / Raw_Data!AK872, "")</f>
        <v>0</v>
      </c>
      <c r="AN872" s="3" t="str">
        <f>IF(ISBLANK(Raw_Data!AL872), "No", "Yes")</f>
        <v>No</v>
      </c>
      <c r="AO872" s="3">
        <f>IFERROR(Raw_Data!Z872/60, "")</f>
        <v>1.5666666666666667</v>
      </c>
    </row>
    <row r="873" spans="1:41" ht="13">
      <c r="A873" s="3">
        <f ca="1">IFERROR(__xludf.DUMMYFUNCTION("""COMPUTED_VALUE"""),596)</f>
        <v>596</v>
      </c>
      <c r="B873" s="3"/>
      <c r="C873" s="3">
        <f ca="1">IFERROR(__xludf.DUMMYFUNCTION("""COMPUTED_VALUE"""),4001)</f>
        <v>4001</v>
      </c>
      <c r="D873" s="3" t="str">
        <f ca="1">IFERROR(__xludf.DUMMYFUNCTION("""COMPUTED_VALUE"""),"Dashattan")</f>
        <v>Dashattan</v>
      </c>
      <c r="E873" s="3" t="str">
        <f ca="1">IFERROR(__xludf.DUMMYFUNCTION("""COMPUTED_VALUE"""),"Galaxy A")</f>
        <v>Galaxy A</v>
      </c>
      <c r="F873" s="3" t="str">
        <f ca="1">IFERROR(__xludf.DUMMYFUNCTION("""COMPUTED_VALUE"""),"Samm")</f>
        <v>Samm</v>
      </c>
      <c r="G873" s="3">
        <f ca="1">IFERROR(__xludf.DUMMYFUNCTION("""COMPUTED_VALUE"""),0)</f>
        <v>0</v>
      </c>
      <c r="H873" s="3" t="str">
        <f ca="1">IFERROR(__xludf.DUMMYFUNCTION("""COMPUTED_VALUE"""),"car")</f>
        <v>car</v>
      </c>
      <c r="I873" s="3" t="str">
        <f ca="1">IFERROR(__xludf.DUMMYFUNCTION("""COMPUTED_VALUE"""),"2055-06-05T19:12:40.149285Z")</f>
        <v>2055-06-05T19:12:40.149285Z</v>
      </c>
      <c r="J873" s="3" t="str">
        <f ca="1">IFERROR(__xludf.DUMMYFUNCTION("""COMPUTED_VALUE"""),"2055-06-05T20:06:23.214Z")</f>
        <v>2055-06-05T20:06:23.214Z</v>
      </c>
      <c r="K873" s="3" t="str">
        <f ca="1">IFERROR(__xludf.DUMMYFUNCTION("""COMPUTED_VALUE"""),"2055-06-05T19:46:44.214Z")</f>
        <v>2055-06-05T19:46:44.214Z</v>
      </c>
      <c r="L873" s="3">
        <f ca="1">IFERROR(__xludf.DUMMYFUNCTION("""COMPUTED_VALUE"""),1)</f>
        <v>1</v>
      </c>
      <c r="M873" s="3">
        <f ca="1">IFERROR(__xludf.DUMMYFUNCTION("""COMPUTED_VALUE"""),0)</f>
        <v>0</v>
      </c>
      <c r="N873" s="3" t="str">
        <f ca="1">IFERROR(__xludf.DUMMYFUNCTION("""COMPUTED_VALUE"""),"2055-06-05T19:40:18.891308Z")</f>
        <v>2055-06-05T19:40:18.891308Z</v>
      </c>
      <c r="O873" s="3" t="str">
        <f ca="1">IFERROR(__xludf.DUMMYFUNCTION("""COMPUTED_VALUE"""),"2055-06-05T19:52:21.103298Z")</f>
        <v>2055-06-05T19:52:21.103298Z</v>
      </c>
      <c r="P873" s="3" t="str">
        <f ca="1">IFERROR(__xludf.DUMMYFUNCTION("""COMPUTED_VALUE"""),"2055-06-05T19:18:54.253076Z")</f>
        <v>2055-06-05T19:18:54.253076Z</v>
      </c>
      <c r="Q873" s="3">
        <f ca="1">IFERROR(__xludf.DUMMYFUNCTION("""COMPUTED_VALUE"""),0)</f>
        <v>0</v>
      </c>
      <c r="R873" s="3" t="str">
        <f ca="1">IFERROR(__xludf.DUMMYFUNCTION("""COMPUTED_VALUE"""),"2055-06-05T19:19:01.221842Z")</f>
        <v>2055-06-05T19:19:01.221842Z</v>
      </c>
      <c r="S873" s="3" t="str">
        <f ca="1">IFERROR(__xludf.DUMMYFUNCTION("""COMPUTED_VALUE"""),"2055-06-05T19:36:43.333804Z")</f>
        <v>2055-06-05T19:36:43.333804Z</v>
      </c>
      <c r="T873" s="3"/>
      <c r="U873" s="4">
        <f ca="1">IFERROR(__xludf.DUMMYFUNCTION("""COMPUTED_VALUE"""),56770)</f>
        <v>56770</v>
      </c>
      <c r="V873" s="3">
        <f ca="1">IFERROR(__xludf.DUMMYFUNCTION("""COMPUTED_VALUE"""),4.2)</f>
        <v>4.2</v>
      </c>
      <c r="W873" s="3">
        <f ca="1">IFERROR(__xludf.DUMMYFUNCTION("""COMPUTED_VALUE"""),1500)</f>
        <v>1500</v>
      </c>
      <c r="X873" s="3">
        <f ca="1">IFERROR(__xludf.DUMMYFUNCTION("""COMPUTED_VALUE"""),2000)</f>
        <v>2000</v>
      </c>
      <c r="Y873" s="3">
        <f ca="1">IFERROR(__xludf.DUMMYFUNCTION("""COMPUTED_VALUE"""),1062)</f>
        <v>1062</v>
      </c>
      <c r="Z873" s="3">
        <f ca="1">IFERROR(__xludf.DUMMYFUNCTION("""COMPUTED_VALUE"""),215)</f>
        <v>215</v>
      </c>
      <c r="AA873" s="3">
        <f ca="1">IFERROR(__xludf.DUMMYFUNCTION("""COMPUTED_VALUE"""),723)</f>
        <v>723</v>
      </c>
      <c r="AB873" s="3">
        <f ca="1">IFERROR(__xludf.DUMMYFUNCTION("""COMPUTED_VALUE"""),0)</f>
        <v>0</v>
      </c>
      <c r="AC873" s="3">
        <f ca="1">IFERROR(__xludf.DUMMYFUNCTION("""COMPUTED_VALUE"""),1)</f>
        <v>1</v>
      </c>
      <c r="AD873" s="3" t="str">
        <f ca="1">IFERROR(__xludf.DUMMYFUNCTION("""COMPUTED_VALUE"""),"on time")</f>
        <v>on time</v>
      </c>
      <c r="AE873" s="3" t="str">
        <f ca="1">IFERROR(__xludf.DUMMYFUNCTION("""COMPUTED_VALUE"""),"2055-06-05T15:40:18.891308Z")</f>
        <v>2055-06-05T15:40:18.891308Z</v>
      </c>
      <c r="AF873" s="3" t="str">
        <f ca="1">IFERROR(__xludf.DUMMYFUNCTION("""COMPUTED_VALUE"""),"2055-06-05T15:52:21.103298Z")</f>
        <v>2055-06-05T15:52:21.103298Z</v>
      </c>
      <c r="AG873" s="3" t="str">
        <f ca="1">IFERROR(__xludf.DUMMYFUNCTION("""COMPUTED_VALUE"""),"2055-06-05T15:18:54.253076Z")</f>
        <v>2055-06-05T15:18:54.253076Z</v>
      </c>
      <c r="AH873" s="3" t="str">
        <f ca="1">IFERROR(__xludf.DUMMYFUNCTION("""COMPUTED_VALUE"""),"2055-06-05T15:36:43.333804Z")</f>
        <v>2055-06-05T15:36:43.333804Z</v>
      </c>
      <c r="AI873" s="3">
        <f ca="1">IFERROR(__xludf.DUMMYFUNCTION("""COMPUTED_VALUE"""),4.03)</f>
        <v>4.03</v>
      </c>
      <c r="AJ873" s="3">
        <f ca="1">IFERROR(__xludf.DUMMYFUNCTION("""COMPUTED_VALUE"""),505)</f>
        <v>505</v>
      </c>
      <c r="AK873" s="3">
        <f ca="1">IFERROR(__xludf.DUMMYFUNCTION("""COMPUTED_VALUE"""),1721)</f>
        <v>1721</v>
      </c>
      <c r="AL873" s="3">
        <f ca="1">IFERROR(__xludf.DUMMYFUNCTION("""COMPUTED_VALUE"""),457)</f>
        <v>457</v>
      </c>
      <c r="AM873" s="3">
        <f>IFERROR(Raw_Data!AL873 / Raw_Data!AK873, "")</f>
        <v>0.26554328878558975</v>
      </c>
      <c r="AN873" s="3" t="str">
        <f>IF(ISBLANK(Raw_Data!AL873), "No", "Yes")</f>
        <v>Yes</v>
      </c>
      <c r="AO873" s="3">
        <f>IFERROR(Raw_Data!Z873/60, "")</f>
        <v>3.5833333333333335</v>
      </c>
    </row>
    <row r="874" spans="1:41" ht="13">
      <c r="A874" s="3">
        <f ca="1">IFERROR(__xludf.DUMMYFUNCTION("""COMPUTED_VALUE"""),1317)</f>
        <v>1317</v>
      </c>
      <c r="B874" s="3"/>
      <c r="C874" s="3">
        <f ca="1">IFERROR(__xludf.DUMMYFUNCTION("""COMPUTED_VALUE"""),4001)</f>
        <v>4001</v>
      </c>
      <c r="D874" s="3" t="str">
        <f ca="1">IFERROR(__xludf.DUMMYFUNCTION("""COMPUTED_VALUE"""),"Dashattan")</f>
        <v>Dashattan</v>
      </c>
      <c r="E874" s="3" t="str">
        <f ca="1">IFERROR(__xludf.DUMMYFUNCTION("""COMPUTED_VALUE"""),"Galaxy A")</f>
        <v>Galaxy A</v>
      </c>
      <c r="F874" s="3" t="str">
        <f ca="1">IFERROR(__xludf.DUMMYFUNCTION("""COMPUTED_VALUE"""),"Mike")</f>
        <v>Mike</v>
      </c>
      <c r="G874" s="3">
        <f ca="1">IFERROR(__xludf.DUMMYFUNCTION("""COMPUTED_VALUE"""),0)</f>
        <v>0</v>
      </c>
      <c r="H874" s="3" t="str">
        <f ca="1">IFERROR(__xludf.DUMMYFUNCTION("""COMPUTED_VALUE"""),"bicycle")</f>
        <v>bicycle</v>
      </c>
      <c r="I874" s="3" t="str">
        <f ca="1">IFERROR(__xludf.DUMMYFUNCTION("""COMPUTED_VALUE"""),"2055-06-11T22:03:09.028642Z")</f>
        <v>2055-06-11T22:03:09.028642Z</v>
      </c>
      <c r="J874" s="3" t="str">
        <f ca="1">IFERROR(__xludf.DUMMYFUNCTION("""COMPUTED_VALUE"""),"2055-06-11T22:59:15.093Z")</f>
        <v>2055-06-11T22:59:15.093Z</v>
      </c>
      <c r="K874" s="3" t="str">
        <f ca="1">IFERROR(__xludf.DUMMYFUNCTION("""COMPUTED_VALUE"""),"2055-06-11T22:39:36.093Z")</f>
        <v>2055-06-11T22:39:36.093Z</v>
      </c>
      <c r="L874" s="3">
        <f ca="1">IFERROR(__xludf.DUMMYFUNCTION("""COMPUTED_VALUE"""),1)</f>
        <v>1</v>
      </c>
      <c r="M874" s="3">
        <f ca="1">IFERROR(__xludf.DUMMYFUNCTION("""COMPUTED_VALUE"""),0)</f>
        <v>0</v>
      </c>
      <c r="N874" s="3" t="str">
        <f ca="1">IFERROR(__xludf.DUMMYFUNCTION("""COMPUTED_VALUE"""),"2055-06-11T22:25:56.686508Z")</f>
        <v>2055-06-11T22:25:56.686508Z</v>
      </c>
      <c r="O874" s="3" t="str">
        <f ca="1">IFERROR(__xludf.DUMMYFUNCTION("""COMPUTED_VALUE"""),"2055-06-11T22:45:51.457036Z")</f>
        <v>2055-06-11T22:45:51.457036Z</v>
      </c>
      <c r="P874" s="3" t="str">
        <f ca="1">IFERROR(__xludf.DUMMYFUNCTION("""COMPUTED_VALUE"""),"2055-06-11T22:03:14.65255Z")</f>
        <v>2055-06-11T22:03:14.65255Z</v>
      </c>
      <c r="Q874" s="3">
        <f ca="1">IFERROR(__xludf.DUMMYFUNCTION("""COMPUTED_VALUE"""),0)</f>
        <v>0</v>
      </c>
      <c r="R874" s="3" t="str">
        <f ca="1">IFERROR(__xludf.DUMMYFUNCTION("""COMPUTED_VALUE"""),"2055-06-11T22:03:19.243445Z")</f>
        <v>2055-06-11T22:03:19.243445Z</v>
      </c>
      <c r="S874" s="3" t="str">
        <f ca="1">IFERROR(__xludf.DUMMYFUNCTION("""COMPUTED_VALUE"""),"2055-06-11T22:18:23.973373Z")</f>
        <v>2055-06-11T22:18:23.973373Z</v>
      </c>
      <c r="T874" s="3"/>
      <c r="U874" s="4">
        <f ca="1">IFERROR(__xludf.DUMMYFUNCTION("""COMPUTED_VALUE"""),56776)</f>
        <v>56776</v>
      </c>
      <c r="V874" s="3">
        <f ca="1">IFERROR(__xludf.DUMMYFUNCTION("""COMPUTED_VALUE"""),2.931034655)</f>
        <v>2.9310346549999999</v>
      </c>
      <c r="W874" s="3">
        <f ca="1">IFERROR(__xludf.DUMMYFUNCTION("""COMPUTED_VALUE"""),1500)</f>
        <v>1500</v>
      </c>
      <c r="X874" s="3">
        <f ca="1">IFERROR(__xludf.DUMMYFUNCTION("""COMPUTED_VALUE"""),2552)</f>
        <v>2552</v>
      </c>
      <c r="Y874" s="3">
        <f ca="1">IFERROR(__xludf.DUMMYFUNCTION("""COMPUTED_VALUE"""),904)</f>
        <v>904</v>
      </c>
      <c r="Z874" s="3">
        <f ca="1">IFERROR(__xludf.DUMMYFUNCTION("""COMPUTED_VALUE"""),453)</f>
        <v>453</v>
      </c>
      <c r="AA874" s="3">
        <f ca="1">IFERROR(__xludf.DUMMYFUNCTION("""COMPUTED_VALUE"""),1195)</f>
        <v>1195</v>
      </c>
      <c r="AB874" s="3">
        <f ca="1">IFERROR(__xludf.DUMMYFUNCTION("""COMPUTED_VALUE"""),0)</f>
        <v>0</v>
      </c>
      <c r="AC874" s="3">
        <f ca="1">IFERROR(__xludf.DUMMYFUNCTION("""COMPUTED_VALUE"""),3)</f>
        <v>3</v>
      </c>
      <c r="AD874" s="3"/>
      <c r="AE874" s="3" t="str">
        <f ca="1">IFERROR(__xludf.DUMMYFUNCTION("""COMPUTED_VALUE"""),"2055-06-11T18:25:56.686508Z")</f>
        <v>2055-06-11T18:25:56.686508Z</v>
      </c>
      <c r="AF874" s="3" t="str">
        <f ca="1">IFERROR(__xludf.DUMMYFUNCTION("""COMPUTED_VALUE"""),"2055-06-11T18:45:51.457036Z")</f>
        <v>2055-06-11T18:45:51.457036Z</v>
      </c>
      <c r="AG874" s="3" t="str">
        <f ca="1">IFERROR(__xludf.DUMMYFUNCTION("""COMPUTED_VALUE"""),"2055-06-11T18:03:14.65255Z")</f>
        <v>2055-06-11T18:03:14.65255Z</v>
      </c>
      <c r="AH874" s="3" t="str">
        <f ca="1">IFERROR(__xludf.DUMMYFUNCTION("""COMPUTED_VALUE"""),"2055-06-11T18:18:23.973373Z")</f>
        <v>2055-06-11T18:18:23.973373Z</v>
      </c>
      <c r="AI874" s="3">
        <f ca="1">IFERROR(__xludf.DUMMYFUNCTION("""COMPUTED_VALUE"""),4.63)</f>
        <v>4.63</v>
      </c>
      <c r="AJ874" s="3">
        <f ca="1">IFERROR(__xludf.DUMMYFUNCTION("""COMPUTED_VALUE"""),242)</f>
        <v>242</v>
      </c>
      <c r="AK874" s="3">
        <f ca="1">IFERROR(__xludf.DUMMYFUNCTION("""COMPUTED_VALUE"""),736)</f>
        <v>736</v>
      </c>
      <c r="AL874" s="3"/>
      <c r="AM874" s="3">
        <f>IFERROR(Raw_Data!AL874 / Raw_Data!AK874, "")</f>
        <v>0</v>
      </c>
      <c r="AN874" s="3" t="str">
        <f>IF(ISBLANK(Raw_Data!AL874), "No", "Yes")</f>
        <v>No</v>
      </c>
      <c r="AO874" s="3">
        <f>IFERROR(Raw_Data!Z874/60, "")</f>
        <v>7.55</v>
      </c>
    </row>
    <row r="875" spans="1:41" ht="13">
      <c r="A875" s="3">
        <f ca="1">IFERROR(__xludf.DUMMYFUNCTION("""COMPUTED_VALUE"""),373)</f>
        <v>373</v>
      </c>
      <c r="B875" s="3">
        <f ca="1">IFERROR(__xludf.DUMMYFUNCTION("""COMPUTED_VALUE"""),5)</f>
        <v>5</v>
      </c>
      <c r="C875" s="3">
        <f ca="1">IFERROR(__xludf.DUMMYFUNCTION("""COMPUTED_VALUE"""),4001)</f>
        <v>4001</v>
      </c>
      <c r="D875" s="3" t="str">
        <f ca="1">IFERROR(__xludf.DUMMYFUNCTION("""COMPUTED_VALUE"""),"Dashattan")</f>
        <v>Dashattan</v>
      </c>
      <c r="E875" s="3" t="str">
        <f ca="1">IFERROR(__xludf.DUMMYFUNCTION("""COMPUTED_VALUE"""),"Galaxy A")</f>
        <v>Galaxy A</v>
      </c>
      <c r="F875" s="3" t="str">
        <f ca="1">IFERROR(__xludf.DUMMYFUNCTION("""COMPUTED_VALUE"""),"Bunje")</f>
        <v>Bunje</v>
      </c>
      <c r="G875" s="3">
        <f ca="1">IFERROR(__xludf.DUMMYFUNCTION("""COMPUTED_VALUE"""),0)</f>
        <v>0</v>
      </c>
      <c r="H875" s="3" t="str">
        <f ca="1">IFERROR(__xludf.DUMMYFUNCTION("""COMPUTED_VALUE"""),"bicycle")</f>
        <v>bicycle</v>
      </c>
      <c r="I875" s="3" t="str">
        <f ca="1">IFERROR(__xludf.DUMMYFUNCTION("""COMPUTED_VALUE"""),"2055-06-03T23:59:00.602373Z")</f>
        <v>2055-06-03T23:59:00.602373Z</v>
      </c>
      <c r="J875" s="3" t="str">
        <f ca="1">IFERROR(__xludf.DUMMYFUNCTION("""COMPUTED_VALUE"""),"2055-06-04T01:06:05.663Z")</f>
        <v>2055-06-04T01:06:05.663Z</v>
      </c>
      <c r="K875" s="3" t="str">
        <f ca="1">IFERROR(__xludf.DUMMYFUNCTION("""COMPUTED_VALUE"""),"2055-06-04T00:46:26.663Z")</f>
        <v>2055-06-04T00:46:26.663Z</v>
      </c>
      <c r="L875" s="3">
        <f ca="1">IFERROR(__xludf.DUMMYFUNCTION("""COMPUTED_VALUE"""),1)</f>
        <v>1</v>
      </c>
      <c r="M875" s="3">
        <f ca="1">IFERROR(__xludf.DUMMYFUNCTION("""COMPUTED_VALUE"""),0)</f>
        <v>0</v>
      </c>
      <c r="N875" s="3" t="str">
        <f ca="1">IFERROR(__xludf.DUMMYFUNCTION("""COMPUTED_VALUE"""),"2055-06-04T00:32:40.291022Z")</f>
        <v>2055-06-04T00:32:40.291022Z</v>
      </c>
      <c r="O875" s="3" t="str">
        <f ca="1">IFERROR(__xludf.DUMMYFUNCTION("""COMPUTED_VALUE"""),"2055-06-04T00:48:58.628551Z")</f>
        <v>2055-06-04T00:48:58.628551Z</v>
      </c>
      <c r="P875" s="3" t="str">
        <f ca="1">IFERROR(__xludf.DUMMYFUNCTION("""COMPUTED_VALUE"""),"2055-06-03T23:59:15.85834Z")</f>
        <v>2055-06-03T23:59:15.85834Z</v>
      </c>
      <c r="Q875" s="3">
        <f ca="1">IFERROR(__xludf.DUMMYFUNCTION("""COMPUTED_VALUE"""),0)</f>
        <v>0</v>
      </c>
      <c r="R875" s="3" t="str">
        <f ca="1">IFERROR(__xludf.DUMMYFUNCTION("""COMPUTED_VALUE"""),"2055-06-03T23:59:23.41505Z")</f>
        <v>2055-06-03T23:59:23.41505Z</v>
      </c>
      <c r="S875" s="3" t="str">
        <f ca="1">IFERROR(__xludf.DUMMYFUNCTION("""COMPUTED_VALUE"""),"2055-06-04T00:16:20.326571Z")</f>
        <v>2055-06-04T00:16:20.326571Z</v>
      </c>
      <c r="T875" s="3"/>
      <c r="U875" s="4">
        <f ca="1">IFERROR(__xludf.DUMMYFUNCTION("""COMPUTED_VALUE"""),56768)</f>
        <v>56768</v>
      </c>
      <c r="V875" s="3">
        <f ca="1">IFERROR(__xludf.DUMMYFUNCTION("""COMPUTED_VALUE"""),3.5722389)</f>
        <v>3.5722388999999999</v>
      </c>
      <c r="W875" s="3">
        <f ca="1">IFERROR(__xludf.DUMMYFUNCTION("""COMPUTED_VALUE"""),1500)</f>
        <v>1500</v>
      </c>
      <c r="X875" s="3">
        <f ca="1">IFERROR(__xludf.DUMMYFUNCTION("""COMPUTED_VALUE"""),2975)</f>
        <v>2975</v>
      </c>
      <c r="Y875" s="3">
        <f ca="1">IFERROR(__xludf.DUMMYFUNCTION("""COMPUTED_VALUE"""),1017)</f>
        <v>1017</v>
      </c>
      <c r="Z875" s="3">
        <f ca="1">IFERROR(__xludf.DUMMYFUNCTION("""COMPUTED_VALUE"""),980)</f>
        <v>980</v>
      </c>
      <c r="AA875" s="3">
        <f ca="1">IFERROR(__xludf.DUMMYFUNCTION("""COMPUTED_VALUE"""),978)</f>
        <v>978</v>
      </c>
      <c r="AB875" s="3">
        <f ca="1">IFERROR(__xludf.DUMMYFUNCTION("""COMPUTED_VALUE"""),0)</f>
        <v>0</v>
      </c>
      <c r="AC875" s="3">
        <f ca="1">IFERROR(__xludf.DUMMYFUNCTION("""COMPUTED_VALUE"""),2)</f>
        <v>2</v>
      </c>
      <c r="AD875" s="3" t="str">
        <f ca="1">IFERROR(__xludf.DUMMYFUNCTION("""COMPUTED_VALUE"""),"early")</f>
        <v>early</v>
      </c>
      <c r="AE875" s="3" t="str">
        <f ca="1">IFERROR(__xludf.DUMMYFUNCTION("""COMPUTED_VALUE"""),"2055-06-03T20:32:40.291022Z")</f>
        <v>2055-06-03T20:32:40.291022Z</v>
      </c>
      <c r="AF875" s="3" t="str">
        <f ca="1">IFERROR(__xludf.DUMMYFUNCTION("""COMPUTED_VALUE"""),"2055-06-03T20:48:58.628551Z")</f>
        <v>2055-06-03T20:48:58.628551Z</v>
      </c>
      <c r="AG875" s="3" t="str">
        <f ca="1">IFERROR(__xludf.DUMMYFUNCTION("""COMPUTED_VALUE"""),"2055-06-03T19:59:15.85834Z")</f>
        <v>2055-06-03T19:59:15.85834Z</v>
      </c>
      <c r="AH875" s="3" t="str">
        <f ca="1">IFERROR(__xludf.DUMMYFUNCTION("""COMPUTED_VALUE"""),"2055-06-03T20:16:20.326571Z")</f>
        <v>2055-06-03T20:16:20.326571Z</v>
      </c>
      <c r="AI875" s="3">
        <f ca="1">IFERROR(__xludf.DUMMYFUNCTION("""COMPUTED_VALUE"""),4.7)</f>
        <v>4.7</v>
      </c>
      <c r="AJ875" s="3">
        <f ca="1">IFERROR(__xludf.DUMMYFUNCTION("""COMPUTED_VALUE"""),443)</f>
        <v>443</v>
      </c>
      <c r="AK875" s="3">
        <f ca="1">IFERROR(__xludf.DUMMYFUNCTION("""COMPUTED_VALUE"""),1579)</f>
        <v>1579</v>
      </c>
      <c r="AL875" s="3"/>
      <c r="AM875" s="3">
        <f>IFERROR(Raw_Data!AL875 / Raw_Data!AK875, "")</f>
        <v>0</v>
      </c>
      <c r="AN875" s="3" t="str">
        <f>IF(ISBLANK(Raw_Data!AL875), "No", "Yes")</f>
        <v>No</v>
      </c>
      <c r="AO875" s="3">
        <f>IFERROR(Raw_Data!Z875/60, "")</f>
        <v>16.333333333333332</v>
      </c>
    </row>
    <row r="876" spans="1:41" ht="13">
      <c r="A876" s="3">
        <f ca="1">IFERROR(__xludf.DUMMYFUNCTION("""COMPUTED_VALUE"""),532)</f>
        <v>532</v>
      </c>
      <c r="B876" s="3">
        <f ca="1">IFERROR(__xludf.DUMMYFUNCTION("""COMPUTED_VALUE"""),4)</f>
        <v>4</v>
      </c>
      <c r="C876" s="3">
        <f ca="1">IFERROR(__xludf.DUMMYFUNCTION("""COMPUTED_VALUE"""),4050)</f>
        <v>4050</v>
      </c>
      <c r="D876" s="3" t="str">
        <f ca="1">IFERROR(__xludf.DUMMYFUNCTION("""COMPUTED_VALUE"""),"Doorlanta")</f>
        <v>Doorlanta</v>
      </c>
      <c r="E876" s="3" t="str">
        <f ca="1">IFERROR(__xludf.DUMMYFUNCTION("""COMPUTED_VALUE"""),"Galaxy A")</f>
        <v>Galaxy A</v>
      </c>
      <c r="F876" s="3" t="str">
        <f ca="1">IFERROR(__xludf.DUMMYFUNCTION("""COMPUTED_VALUE"""),"Katelynn")</f>
        <v>Katelynn</v>
      </c>
      <c r="G876" s="3">
        <f ca="1">IFERROR(__xludf.DUMMYFUNCTION("""COMPUTED_VALUE"""),0)</f>
        <v>0</v>
      </c>
      <c r="H876" s="3" t="str">
        <f ca="1">IFERROR(__xludf.DUMMYFUNCTION("""COMPUTED_VALUE"""),"car")</f>
        <v>car</v>
      </c>
      <c r="I876" s="3" t="str">
        <f ca="1">IFERROR(__xludf.DUMMYFUNCTION("""COMPUTED_VALUE"""),"2055-06-05T01:54:45.727798Z")</f>
        <v>2055-06-05T01:54:45.727798Z</v>
      </c>
      <c r="J876" s="3" t="str">
        <f ca="1">IFERROR(__xludf.DUMMYFUNCTION("""COMPUTED_VALUE"""),"2055-06-05T02:49:45.812Z")</f>
        <v>2055-06-05T02:49:45.812Z</v>
      </c>
      <c r="K876" s="3" t="str">
        <f ca="1">IFERROR(__xludf.DUMMYFUNCTION("""COMPUTED_VALUE"""),"2055-06-05T02:24:59.812Z")</f>
        <v>2055-06-05T02:24:59.812Z</v>
      </c>
      <c r="L876" s="3">
        <f ca="1">IFERROR(__xludf.DUMMYFUNCTION("""COMPUTED_VALUE"""),1)</f>
        <v>1</v>
      </c>
      <c r="M876" s="3">
        <f ca="1">IFERROR(__xludf.DUMMYFUNCTION("""COMPUTED_VALUE"""),0)</f>
        <v>0</v>
      </c>
      <c r="N876" s="3" t="str">
        <f ca="1">IFERROR(__xludf.DUMMYFUNCTION("""COMPUTED_VALUE"""),"2055-06-05T02:15:46.096498Z")</f>
        <v>2055-06-05T02:15:46.096498Z</v>
      </c>
      <c r="O876" s="3" t="str">
        <f ca="1">IFERROR(__xludf.DUMMYFUNCTION("""COMPUTED_VALUE"""),"2055-06-05T02:28:25.279Z")</f>
        <v>2055-06-05T02:28:25.279Z</v>
      </c>
      <c r="P876" s="3" t="str">
        <f ca="1">IFERROR(__xludf.DUMMYFUNCTION("""COMPUTED_VALUE"""),"2055-06-05T02:00:07.315646Z")</f>
        <v>2055-06-05T02:00:07.315646Z</v>
      </c>
      <c r="Q876" s="3">
        <f ca="1">IFERROR(__xludf.DUMMYFUNCTION("""COMPUTED_VALUE"""),0)</f>
        <v>0</v>
      </c>
      <c r="R876" s="3" t="str">
        <f ca="1">IFERROR(__xludf.DUMMYFUNCTION("""COMPUTED_VALUE"""),"2055-06-05T02:00:11.680627Z")</f>
        <v>2055-06-05T02:00:11.680627Z</v>
      </c>
      <c r="S876" s="3" t="str">
        <f ca="1">IFERROR(__xludf.DUMMYFUNCTION("""COMPUTED_VALUE"""),"2055-06-05T02:09:50.194408Z")</f>
        <v>2055-06-05T02:09:50.194408Z</v>
      </c>
      <c r="T876" s="3"/>
      <c r="U876" s="4">
        <f ca="1">IFERROR(__xludf.DUMMYFUNCTION("""COMPUTED_VALUE"""),56769)</f>
        <v>56769</v>
      </c>
      <c r="V876" s="3">
        <f ca="1">IFERROR(__xludf.DUMMYFUNCTION("""COMPUTED_VALUE"""),4.6)</f>
        <v>4.5999999999999996</v>
      </c>
      <c r="W876" s="3">
        <f ca="1">IFERROR(__xludf.DUMMYFUNCTION("""COMPUTED_VALUE"""),1500)</f>
        <v>1500</v>
      </c>
      <c r="X876" s="3">
        <f ca="1">IFERROR(__xludf.DUMMYFUNCTION("""COMPUTED_VALUE"""),1694)</f>
        <v>1694</v>
      </c>
      <c r="Y876" s="3">
        <f ca="1">IFERROR(__xludf.DUMMYFUNCTION("""COMPUTED_VALUE"""),579)</f>
        <v>579</v>
      </c>
      <c r="Z876" s="3">
        <f ca="1">IFERROR(__xludf.DUMMYFUNCTION("""COMPUTED_VALUE"""),356)</f>
        <v>356</v>
      </c>
      <c r="AA876" s="3">
        <f ca="1">IFERROR(__xludf.DUMMYFUNCTION("""COMPUTED_VALUE"""),759)</f>
        <v>759</v>
      </c>
      <c r="AB876" s="3">
        <f ca="1">IFERROR(__xludf.DUMMYFUNCTION("""COMPUTED_VALUE"""),0)</f>
        <v>0</v>
      </c>
      <c r="AC876" s="3">
        <f ca="1">IFERROR(__xludf.DUMMYFUNCTION("""COMPUTED_VALUE"""),3)</f>
        <v>3</v>
      </c>
      <c r="AD876" s="3" t="str">
        <f ca="1">IFERROR(__xludf.DUMMYFUNCTION("""COMPUTED_VALUE"""),"on time")</f>
        <v>on time</v>
      </c>
      <c r="AE876" s="3" t="str">
        <f ca="1">IFERROR(__xludf.DUMMYFUNCTION("""COMPUTED_VALUE"""),"2055-06-04T22:15:46.096498Z")</f>
        <v>2055-06-04T22:15:46.096498Z</v>
      </c>
      <c r="AF876" s="3" t="str">
        <f ca="1">IFERROR(__xludf.DUMMYFUNCTION("""COMPUTED_VALUE"""),"2055-06-04T22:28:25.279Z")</f>
        <v>2055-06-04T22:28:25.279Z</v>
      </c>
      <c r="AG876" s="3" t="str">
        <f ca="1">IFERROR(__xludf.DUMMYFUNCTION("""COMPUTED_VALUE"""),"2055-06-04T22:00:07.315646Z")</f>
        <v>2055-06-04T22:00:07.315646Z</v>
      </c>
      <c r="AH876" s="3" t="str">
        <f ca="1">IFERROR(__xludf.DUMMYFUNCTION("""COMPUTED_VALUE"""),"2055-06-04T22:09:50.194408Z")</f>
        <v>2055-06-04T22:09:50.194408Z</v>
      </c>
      <c r="AI876" s="3">
        <f ca="1">IFERROR(__xludf.DUMMYFUNCTION("""COMPUTED_VALUE"""),4.7)</f>
        <v>4.7</v>
      </c>
      <c r="AJ876" s="3">
        <f ca="1">IFERROR(__xludf.DUMMYFUNCTION("""COMPUTED_VALUE"""),1261)</f>
        <v>1261</v>
      </c>
      <c r="AK876" s="3">
        <f ca="1">IFERROR(__xludf.DUMMYFUNCTION("""COMPUTED_VALUE"""),3264)</f>
        <v>3264</v>
      </c>
      <c r="AL876" s="3">
        <f ca="1">IFERROR(__xludf.DUMMYFUNCTION("""COMPUTED_VALUE"""),232)</f>
        <v>232</v>
      </c>
      <c r="AM876" s="3">
        <f>IFERROR(Raw_Data!AL876 / Raw_Data!AK876, "")</f>
        <v>7.1078431372549017E-2</v>
      </c>
      <c r="AN876" s="3" t="str">
        <f>IF(ISBLANK(Raw_Data!AL876), "No", "Yes")</f>
        <v>Yes</v>
      </c>
      <c r="AO876" s="3">
        <f>IFERROR(Raw_Data!Z876/60, "")</f>
        <v>5.9333333333333336</v>
      </c>
    </row>
    <row r="877" spans="1:41" ht="13">
      <c r="A877" s="3">
        <f ca="1">IFERROR(__xludf.DUMMYFUNCTION("""COMPUTED_VALUE"""),556)</f>
        <v>556</v>
      </c>
      <c r="B877" s="3">
        <f ca="1">IFERROR(__xludf.DUMMYFUNCTION("""COMPUTED_VALUE"""),5)</f>
        <v>5</v>
      </c>
      <c r="C877" s="3">
        <f ca="1">IFERROR(__xludf.DUMMYFUNCTION("""COMPUTED_VALUE"""),4001)</f>
        <v>4001</v>
      </c>
      <c r="D877" s="3" t="str">
        <f ca="1">IFERROR(__xludf.DUMMYFUNCTION("""COMPUTED_VALUE"""),"Dashattan")</f>
        <v>Dashattan</v>
      </c>
      <c r="E877" s="3" t="str">
        <f ca="1">IFERROR(__xludf.DUMMYFUNCTION("""COMPUTED_VALUE"""),"Galaxy A")</f>
        <v>Galaxy A</v>
      </c>
      <c r="F877" s="3" t="str">
        <f ca="1">IFERROR(__xludf.DUMMYFUNCTION("""COMPUTED_VALUE"""),"KC")</f>
        <v>KC</v>
      </c>
      <c r="G877" s="3">
        <f ca="1">IFERROR(__xludf.DUMMYFUNCTION("""COMPUTED_VALUE"""),0)</f>
        <v>0</v>
      </c>
      <c r="H877" s="3" t="str">
        <f ca="1">IFERROR(__xludf.DUMMYFUNCTION("""COMPUTED_VALUE"""),"car")</f>
        <v>car</v>
      </c>
      <c r="I877" s="3" t="str">
        <f ca="1">IFERROR(__xludf.DUMMYFUNCTION("""COMPUTED_VALUE"""),"2055-06-05T15:40:19.278701Z")</f>
        <v>2055-06-05T15:40:19.278701Z</v>
      </c>
      <c r="J877" s="3" t="str">
        <f ca="1">IFERROR(__xludf.DUMMYFUNCTION("""COMPUTED_VALUE"""),"2055-06-05T16:40:23.329Z")</f>
        <v>2055-06-05T16:40:23.329Z</v>
      </c>
      <c r="K877" s="3" t="str">
        <f ca="1">IFERROR(__xludf.DUMMYFUNCTION("""COMPUTED_VALUE"""),"2055-06-05T16:20:16.329Z")</f>
        <v>2055-06-05T16:20:16.329Z</v>
      </c>
      <c r="L877" s="3">
        <f ca="1">IFERROR(__xludf.DUMMYFUNCTION("""COMPUTED_VALUE"""),1)</f>
        <v>1</v>
      </c>
      <c r="M877" s="3">
        <f ca="1">IFERROR(__xludf.DUMMYFUNCTION("""COMPUTED_VALUE"""),0)</f>
        <v>0</v>
      </c>
      <c r="N877" s="3" t="str">
        <f ca="1">IFERROR(__xludf.DUMMYFUNCTION("""COMPUTED_VALUE"""),"2055-06-05T16:15:08.114004Z")</f>
        <v>2055-06-05T16:15:08.114004Z</v>
      </c>
      <c r="O877" s="3" t="str">
        <f ca="1">IFERROR(__xludf.DUMMYFUNCTION("""COMPUTED_VALUE"""),"2055-06-05T16:23:28.899425Z")</f>
        <v>2055-06-05T16:23:28.899425Z</v>
      </c>
      <c r="P877" s="3" t="str">
        <f ca="1">IFERROR(__xludf.DUMMYFUNCTION("""COMPUTED_VALUE"""),"2055-06-05T16:00:14.550569Z")</f>
        <v>2055-06-05T16:00:14.550569Z</v>
      </c>
      <c r="Q877" s="3">
        <f ca="1">IFERROR(__xludf.DUMMYFUNCTION("""COMPUTED_VALUE"""),0)</f>
        <v>0</v>
      </c>
      <c r="R877" s="3" t="str">
        <f ca="1">IFERROR(__xludf.DUMMYFUNCTION("""COMPUTED_VALUE"""),"2055-06-05T16:00:25.851064Z")</f>
        <v>2055-06-05T16:00:25.851064Z</v>
      </c>
      <c r="S877" s="3" t="str">
        <f ca="1">IFERROR(__xludf.DUMMYFUNCTION("""COMPUTED_VALUE"""),"2055-06-05T16:11:48.518369Z")</f>
        <v>2055-06-05T16:11:48.518369Z</v>
      </c>
      <c r="T877" s="3"/>
      <c r="U877" s="4">
        <f ca="1">IFERROR(__xludf.DUMMYFUNCTION("""COMPUTED_VALUE"""),56770)</f>
        <v>56770</v>
      </c>
      <c r="V877" s="3">
        <f ca="1">IFERROR(__xludf.DUMMYFUNCTION("""COMPUTED_VALUE"""),4.3)</f>
        <v>4.3</v>
      </c>
      <c r="W877" s="3">
        <f ca="1">IFERROR(__xludf.DUMMYFUNCTION("""COMPUTED_VALUE"""),1500)</f>
        <v>1500</v>
      </c>
      <c r="X877" s="3">
        <f ca="1">IFERROR(__xludf.DUMMYFUNCTION("""COMPUTED_VALUE"""),1383)</f>
        <v>1383</v>
      </c>
      <c r="Y877" s="3">
        <f ca="1">IFERROR(__xludf.DUMMYFUNCTION("""COMPUTED_VALUE"""),683)</f>
        <v>683</v>
      </c>
      <c r="Z877" s="3">
        <f ca="1">IFERROR(__xludf.DUMMYFUNCTION("""COMPUTED_VALUE"""),200)</f>
        <v>200</v>
      </c>
      <c r="AA877" s="3">
        <f ca="1">IFERROR(__xludf.DUMMYFUNCTION("""COMPUTED_VALUE"""),500)</f>
        <v>500</v>
      </c>
      <c r="AB877" s="3">
        <f ca="1">IFERROR(__xludf.DUMMYFUNCTION("""COMPUTED_VALUE"""),1)</f>
        <v>1</v>
      </c>
      <c r="AC877" s="3">
        <f ca="1">IFERROR(__xludf.DUMMYFUNCTION("""COMPUTED_VALUE"""),2)</f>
        <v>2</v>
      </c>
      <c r="AD877" s="3"/>
      <c r="AE877" s="3" t="str">
        <f ca="1">IFERROR(__xludf.DUMMYFUNCTION("""COMPUTED_VALUE"""),"2055-06-05T12:15:08.114004Z")</f>
        <v>2055-06-05T12:15:08.114004Z</v>
      </c>
      <c r="AF877" s="3" t="str">
        <f ca="1">IFERROR(__xludf.DUMMYFUNCTION("""COMPUTED_VALUE"""),"2055-06-05T12:23:28.899425Z")</f>
        <v>2055-06-05T12:23:28.899425Z</v>
      </c>
      <c r="AG877" s="3" t="str">
        <f ca="1">IFERROR(__xludf.DUMMYFUNCTION("""COMPUTED_VALUE"""),"2055-06-05T12:00:14.550569Z")</f>
        <v>2055-06-05T12:00:14.550569Z</v>
      </c>
      <c r="AH877" s="3" t="str">
        <f ca="1">IFERROR(__xludf.DUMMYFUNCTION("""COMPUTED_VALUE"""),"2055-06-05T12:11:48.518369Z")</f>
        <v>2055-06-05T12:11:48.518369Z</v>
      </c>
      <c r="AI877" s="3">
        <f ca="1">IFERROR(__xludf.DUMMYFUNCTION("""COMPUTED_VALUE"""),4.54)</f>
        <v>4.54</v>
      </c>
      <c r="AJ877" s="3">
        <f ca="1">IFERROR(__xludf.DUMMYFUNCTION("""COMPUTED_VALUE"""),2229)</f>
        <v>2229</v>
      </c>
      <c r="AK877" s="3">
        <f ca="1">IFERROR(__xludf.DUMMYFUNCTION("""COMPUTED_VALUE"""),6580)</f>
        <v>6580</v>
      </c>
      <c r="AL877" s="3"/>
      <c r="AM877" s="3">
        <f>IFERROR(Raw_Data!AL877 / Raw_Data!AK877, "")</f>
        <v>0</v>
      </c>
      <c r="AN877" s="3" t="str">
        <f>IF(ISBLANK(Raw_Data!AL877), "No", "Yes")</f>
        <v>No</v>
      </c>
      <c r="AO877" s="3">
        <f>IFERROR(Raw_Data!Z877/60, "")</f>
        <v>3.3333333333333335</v>
      </c>
    </row>
    <row r="878" spans="1:41" ht="13">
      <c r="A878" s="3">
        <f ca="1">IFERROR(__xludf.DUMMYFUNCTION("""COMPUTED_VALUE"""),733)</f>
        <v>733</v>
      </c>
      <c r="B878" s="3"/>
      <c r="C878" s="3">
        <f ca="1">IFERROR(__xludf.DUMMYFUNCTION("""COMPUTED_VALUE"""),4001)</f>
        <v>4001</v>
      </c>
      <c r="D878" s="3" t="str">
        <f ca="1">IFERROR(__xludf.DUMMYFUNCTION("""COMPUTED_VALUE"""),"Dashattan")</f>
        <v>Dashattan</v>
      </c>
      <c r="E878" s="3" t="str">
        <f ca="1">IFERROR(__xludf.DUMMYFUNCTION("""COMPUTED_VALUE"""),"Galaxy A")</f>
        <v>Galaxy A</v>
      </c>
      <c r="F878" s="3" t="str">
        <f ca="1">IFERROR(__xludf.DUMMYFUNCTION("""COMPUTED_VALUE"""),"Sean")</f>
        <v>Sean</v>
      </c>
      <c r="G878" s="3">
        <f ca="1">IFERROR(__xludf.DUMMYFUNCTION("""COMPUTED_VALUE"""),0)</f>
        <v>0</v>
      </c>
      <c r="H878" s="3" t="str">
        <f ca="1">IFERROR(__xludf.DUMMYFUNCTION("""COMPUTED_VALUE"""),"bicycle")</f>
        <v>bicycle</v>
      </c>
      <c r="I878" s="3" t="str">
        <f ca="1">IFERROR(__xludf.DUMMYFUNCTION("""COMPUTED_VALUE"""),"2055-06-06T16:04:22.279047Z")</f>
        <v>2055-06-06T16:04:22.279047Z</v>
      </c>
      <c r="J878" s="3" t="str">
        <f ca="1">IFERROR(__xludf.DUMMYFUNCTION("""COMPUTED_VALUE"""),"2055-06-06T16:56:17.347Z")</f>
        <v>2055-06-06T16:56:17.347Z</v>
      </c>
      <c r="K878" s="3" t="str">
        <f ca="1">IFERROR(__xludf.DUMMYFUNCTION("""COMPUTED_VALUE"""),"2055-06-06T16:36:10.347Z")</f>
        <v>2055-06-06T16:36:10.347Z</v>
      </c>
      <c r="L878" s="3">
        <f ca="1">IFERROR(__xludf.DUMMYFUNCTION("""COMPUTED_VALUE"""),1)</f>
        <v>1</v>
      </c>
      <c r="M878" s="3">
        <f ca="1">IFERROR(__xludf.DUMMYFUNCTION("""COMPUTED_VALUE"""),0)</f>
        <v>0</v>
      </c>
      <c r="N878" s="3" t="str">
        <f ca="1">IFERROR(__xludf.DUMMYFUNCTION("""COMPUTED_VALUE"""),"2055-06-06T16:23:05.8866Z")</f>
        <v>2055-06-06T16:23:05.8866Z</v>
      </c>
      <c r="O878" s="3" t="str">
        <f ca="1">IFERROR(__xludf.DUMMYFUNCTION("""COMPUTED_VALUE"""),"2055-06-06T16:38:46.662797Z")</f>
        <v>2055-06-06T16:38:46.662797Z</v>
      </c>
      <c r="P878" s="3" t="str">
        <f ca="1">IFERROR(__xludf.DUMMYFUNCTION("""COMPUTED_VALUE"""),"2055-06-06T16:06:34.319841Z")</f>
        <v>2055-06-06T16:06:34.319841Z</v>
      </c>
      <c r="Q878" s="3">
        <f ca="1">IFERROR(__xludf.DUMMYFUNCTION("""COMPUTED_VALUE"""),0)</f>
        <v>0</v>
      </c>
      <c r="R878" s="3" t="str">
        <f ca="1">IFERROR(__xludf.DUMMYFUNCTION("""COMPUTED_VALUE"""),"2055-06-06T16:07:07.953955Z")</f>
        <v>2055-06-06T16:07:07.953955Z</v>
      </c>
      <c r="S878" s="3" t="str">
        <f ca="1">IFERROR(__xludf.DUMMYFUNCTION("""COMPUTED_VALUE"""),"2055-06-06T16:12:01.544237Z")</f>
        <v>2055-06-06T16:12:01.544237Z</v>
      </c>
      <c r="T878" s="3"/>
      <c r="U878" s="4">
        <f ca="1">IFERROR(__xludf.DUMMYFUNCTION("""COMPUTED_VALUE"""),56771)</f>
        <v>56771</v>
      </c>
      <c r="V878" s="3">
        <f ca="1">IFERROR(__xludf.DUMMYFUNCTION("""COMPUTED_VALUE"""),3.379793039)</f>
        <v>3.3797930389999999</v>
      </c>
      <c r="W878" s="3">
        <f ca="1">IFERROR(__xludf.DUMMYFUNCTION("""COMPUTED_VALUE"""),1500)</f>
        <v>1500</v>
      </c>
      <c r="X878" s="3">
        <f ca="1">IFERROR(__xludf.DUMMYFUNCTION("""COMPUTED_VALUE"""),1899)</f>
        <v>1899</v>
      </c>
      <c r="Y878" s="3">
        <f ca="1">IFERROR(__xludf.DUMMYFUNCTION("""COMPUTED_VALUE"""),294)</f>
        <v>294</v>
      </c>
      <c r="Z878" s="3">
        <f ca="1">IFERROR(__xludf.DUMMYFUNCTION("""COMPUTED_VALUE"""),664)</f>
        <v>664</v>
      </c>
      <c r="AA878" s="3">
        <f ca="1">IFERROR(__xludf.DUMMYFUNCTION("""COMPUTED_VALUE"""),941)</f>
        <v>941</v>
      </c>
      <c r="AB878" s="3">
        <f ca="1">IFERROR(__xludf.DUMMYFUNCTION("""COMPUTED_VALUE"""),0)</f>
        <v>0</v>
      </c>
      <c r="AC878" s="3">
        <f ca="1">IFERROR(__xludf.DUMMYFUNCTION("""COMPUTED_VALUE"""),1)</f>
        <v>1</v>
      </c>
      <c r="AD878" s="3" t="str">
        <f ca="1">IFERROR(__xludf.DUMMYFUNCTION("""COMPUTED_VALUE"""),"on time")</f>
        <v>on time</v>
      </c>
      <c r="AE878" s="3" t="str">
        <f ca="1">IFERROR(__xludf.DUMMYFUNCTION("""COMPUTED_VALUE"""),"2055-06-06T12:23:05.8866Z")</f>
        <v>2055-06-06T12:23:05.8866Z</v>
      </c>
      <c r="AF878" s="3" t="str">
        <f ca="1">IFERROR(__xludf.DUMMYFUNCTION("""COMPUTED_VALUE"""),"2055-06-06T12:38:46.662797Z")</f>
        <v>2055-06-06T12:38:46.662797Z</v>
      </c>
      <c r="AG878" s="3" t="str">
        <f ca="1">IFERROR(__xludf.DUMMYFUNCTION("""COMPUTED_VALUE"""),"2055-06-06T12:06:34.319841Z")</f>
        <v>2055-06-06T12:06:34.319841Z</v>
      </c>
      <c r="AH878" s="3" t="str">
        <f ca="1">IFERROR(__xludf.DUMMYFUNCTION("""COMPUTED_VALUE"""),"2055-06-06T12:12:01.544237Z")</f>
        <v>2055-06-06T12:12:01.544237Z</v>
      </c>
      <c r="AI878" s="3">
        <f ca="1">IFERROR(__xludf.DUMMYFUNCTION("""COMPUTED_VALUE"""),4.52)</f>
        <v>4.5199999999999996</v>
      </c>
      <c r="AJ878" s="3">
        <f ca="1">IFERROR(__xludf.DUMMYFUNCTION("""COMPUTED_VALUE"""),183)</f>
        <v>183</v>
      </c>
      <c r="AK878" s="3">
        <f ca="1">IFERROR(__xludf.DUMMYFUNCTION("""COMPUTED_VALUE"""),522)</f>
        <v>522</v>
      </c>
      <c r="AL878" s="3"/>
      <c r="AM878" s="3">
        <f>IFERROR(Raw_Data!AL878 / Raw_Data!AK878, "")</f>
        <v>0</v>
      </c>
      <c r="AN878" s="3" t="str">
        <f>IF(ISBLANK(Raw_Data!AL878), "No", "Yes")</f>
        <v>No</v>
      </c>
      <c r="AO878" s="3">
        <f>IFERROR(Raw_Data!Z878/60, "")</f>
        <v>11.066666666666666</v>
      </c>
    </row>
    <row r="879" spans="1:41" ht="13">
      <c r="A879" s="3">
        <f ca="1">IFERROR(__xludf.DUMMYFUNCTION("""COMPUTED_VALUE"""),1511)</f>
        <v>1511</v>
      </c>
      <c r="B879" s="3"/>
      <c r="C879" s="3">
        <f ca="1">IFERROR(__xludf.DUMMYFUNCTION("""COMPUTED_VALUE"""),4001)</f>
        <v>4001</v>
      </c>
      <c r="D879" s="3" t="str">
        <f ca="1">IFERROR(__xludf.DUMMYFUNCTION("""COMPUTED_VALUE"""),"Dashattan")</f>
        <v>Dashattan</v>
      </c>
      <c r="E879" s="3" t="str">
        <f ca="1">IFERROR(__xludf.DUMMYFUNCTION("""COMPUTED_VALUE"""),"Galaxy A")</f>
        <v>Galaxy A</v>
      </c>
      <c r="F879" s="3" t="str">
        <f ca="1">IFERROR(__xludf.DUMMYFUNCTION("""COMPUTED_VALUE"""),"Mike")</f>
        <v>Mike</v>
      </c>
      <c r="G879" s="3">
        <f ca="1">IFERROR(__xludf.DUMMYFUNCTION("""COMPUTED_VALUE"""),0)</f>
        <v>0</v>
      </c>
      <c r="H879" s="3" t="str">
        <f ca="1">IFERROR(__xludf.DUMMYFUNCTION("""COMPUTED_VALUE"""),"bicycle")</f>
        <v>bicycle</v>
      </c>
      <c r="I879" s="3" t="str">
        <f ca="1">IFERROR(__xludf.DUMMYFUNCTION("""COMPUTED_VALUE"""),"2055-06-13T00:00:55.38332Z")</f>
        <v>2055-06-13T00:00:55.38332Z</v>
      </c>
      <c r="J879" s="3" t="str">
        <f ca="1">IFERROR(__xludf.DUMMYFUNCTION("""COMPUTED_VALUE"""),"2055-06-13T01:00:30.44Z")</f>
        <v>2055-06-13T01:00:30.44Z</v>
      </c>
      <c r="K879" s="3" t="str">
        <f ca="1">IFERROR(__xludf.DUMMYFUNCTION("""COMPUTED_VALUE"""),"2055-06-13T00:37:12.44Z")</f>
        <v>2055-06-13T00:37:12.44Z</v>
      </c>
      <c r="L879" s="3">
        <f ca="1">IFERROR(__xludf.DUMMYFUNCTION("""COMPUTED_VALUE"""),1)</f>
        <v>1</v>
      </c>
      <c r="M879" s="3">
        <f ca="1">IFERROR(__xludf.DUMMYFUNCTION("""COMPUTED_VALUE"""),0)</f>
        <v>0</v>
      </c>
      <c r="N879" s="3" t="str">
        <f ca="1">IFERROR(__xludf.DUMMYFUNCTION("""COMPUTED_VALUE"""),"2055-06-13T00:35:46.733854Z")</f>
        <v>2055-06-13T00:35:46.733854Z</v>
      </c>
      <c r="O879" s="3" t="str">
        <f ca="1">IFERROR(__xludf.DUMMYFUNCTION("""COMPUTED_VALUE"""),"2055-06-13T00:58:34.536674Z")</f>
        <v>2055-06-13T00:58:34.536674Z</v>
      </c>
      <c r="P879" s="3" t="str">
        <f ca="1">IFERROR(__xludf.DUMMYFUNCTION("""COMPUTED_VALUE"""),"2055-06-13T00:08:36.102596Z")</f>
        <v>2055-06-13T00:08:36.102596Z</v>
      </c>
      <c r="Q879" s="3">
        <f ca="1">IFERROR(__xludf.DUMMYFUNCTION("""COMPUTED_VALUE"""),0)</f>
        <v>0</v>
      </c>
      <c r="R879" s="3" t="str">
        <f ca="1">IFERROR(__xludf.DUMMYFUNCTION("""COMPUTED_VALUE"""),"2055-06-13T00:09:06.58632Z")</f>
        <v>2055-06-13T00:09:06.58632Z</v>
      </c>
      <c r="S879" s="3" t="str">
        <f ca="1">IFERROR(__xludf.DUMMYFUNCTION("""COMPUTED_VALUE"""),"2055-06-13T00:33:20.84424Z")</f>
        <v>2055-06-13T00:33:20.84424Z</v>
      </c>
      <c r="T879" s="3"/>
      <c r="U879" s="4">
        <f ca="1">IFERROR(__xludf.DUMMYFUNCTION("""COMPUTED_VALUE"""),56777)</f>
        <v>56777</v>
      </c>
      <c r="V879" s="3">
        <f ca="1">IFERROR(__xludf.DUMMYFUNCTION("""COMPUTED_VALUE"""),3.152272777)</f>
        <v>3.1522727769999999</v>
      </c>
      <c r="W879" s="3">
        <f ca="1">IFERROR(__xludf.DUMMYFUNCTION("""COMPUTED_VALUE"""),1500)</f>
        <v>1500</v>
      </c>
      <c r="X879" s="3">
        <f ca="1">IFERROR(__xludf.DUMMYFUNCTION("""COMPUTED_VALUE"""),2968)</f>
        <v>2968</v>
      </c>
      <c r="Y879" s="3">
        <f ca="1">IFERROR(__xludf.DUMMYFUNCTION("""COMPUTED_VALUE"""),1454)</f>
        <v>1454</v>
      </c>
      <c r="Z879" s="3">
        <f ca="1">IFERROR(__xludf.DUMMYFUNCTION("""COMPUTED_VALUE"""),146)</f>
        <v>146</v>
      </c>
      <c r="AA879" s="3">
        <f ca="1">IFERROR(__xludf.DUMMYFUNCTION("""COMPUTED_VALUE"""),1368)</f>
        <v>1368</v>
      </c>
      <c r="AB879" s="3">
        <f ca="1">IFERROR(__xludf.DUMMYFUNCTION("""COMPUTED_VALUE"""),0)</f>
        <v>0</v>
      </c>
      <c r="AC879" s="3">
        <f ca="1">IFERROR(__xludf.DUMMYFUNCTION("""COMPUTED_VALUE"""),2)</f>
        <v>2</v>
      </c>
      <c r="AD879" s="3" t="str">
        <f ca="1">IFERROR(__xludf.DUMMYFUNCTION("""COMPUTED_VALUE"""),"late")</f>
        <v>late</v>
      </c>
      <c r="AE879" s="3" t="str">
        <f ca="1">IFERROR(__xludf.DUMMYFUNCTION("""COMPUTED_VALUE"""),"2055-06-12T20:35:46.733854Z")</f>
        <v>2055-06-12T20:35:46.733854Z</v>
      </c>
      <c r="AF879" s="3" t="str">
        <f ca="1">IFERROR(__xludf.DUMMYFUNCTION("""COMPUTED_VALUE"""),"2055-06-12T20:58:34.536674Z")</f>
        <v>2055-06-12T20:58:34.536674Z</v>
      </c>
      <c r="AG879" s="3" t="str">
        <f ca="1">IFERROR(__xludf.DUMMYFUNCTION("""COMPUTED_VALUE"""),"2055-06-12T20:08:36.102596Z")</f>
        <v>2055-06-12T20:08:36.102596Z</v>
      </c>
      <c r="AH879" s="3" t="str">
        <f ca="1">IFERROR(__xludf.DUMMYFUNCTION("""COMPUTED_VALUE"""),"2055-06-12T20:33:20.84424Z")</f>
        <v>2055-06-12T20:33:20.84424Z</v>
      </c>
      <c r="AI879" s="3">
        <f ca="1">IFERROR(__xludf.DUMMYFUNCTION("""COMPUTED_VALUE"""),4.63)</f>
        <v>4.63</v>
      </c>
      <c r="AJ879" s="3">
        <f ca="1">IFERROR(__xludf.DUMMYFUNCTION("""COMPUTED_VALUE"""),242)</f>
        <v>242</v>
      </c>
      <c r="AK879" s="3">
        <f ca="1">IFERROR(__xludf.DUMMYFUNCTION("""COMPUTED_VALUE"""),736)</f>
        <v>736</v>
      </c>
      <c r="AL879" s="3"/>
      <c r="AM879" s="3">
        <f>IFERROR(Raw_Data!AL879 / Raw_Data!AK879, "")</f>
        <v>0</v>
      </c>
      <c r="AN879" s="3" t="str">
        <f>IF(ISBLANK(Raw_Data!AL879), "No", "Yes")</f>
        <v>No</v>
      </c>
      <c r="AO879" s="3">
        <f>IFERROR(Raw_Data!Z879/60, "")</f>
        <v>2.4333333333333331</v>
      </c>
    </row>
    <row r="880" spans="1:41" ht="13">
      <c r="A880" s="3">
        <f ca="1">IFERROR(__xludf.DUMMYFUNCTION("""COMPUTED_VALUE"""),943)</f>
        <v>943</v>
      </c>
      <c r="B880" s="3"/>
      <c r="C880" s="3">
        <f ca="1">IFERROR(__xludf.DUMMYFUNCTION("""COMPUTED_VALUE"""),4050)</f>
        <v>4050</v>
      </c>
      <c r="D880" s="3" t="str">
        <f ca="1">IFERROR(__xludf.DUMMYFUNCTION("""COMPUTED_VALUE"""),"Doorlanta")</f>
        <v>Doorlanta</v>
      </c>
      <c r="E880" s="3" t="str">
        <f ca="1">IFERROR(__xludf.DUMMYFUNCTION("""COMPUTED_VALUE"""),"Galaxy A")</f>
        <v>Galaxy A</v>
      </c>
      <c r="F880" s="3" t="str">
        <f ca="1">IFERROR(__xludf.DUMMYFUNCTION("""COMPUTED_VALUE"""),"Matthew")</f>
        <v>Matthew</v>
      </c>
      <c r="G880" s="3">
        <f ca="1">IFERROR(__xludf.DUMMYFUNCTION("""COMPUTED_VALUE"""),0)</f>
        <v>0</v>
      </c>
      <c r="H880" s="3" t="str">
        <f ca="1">IFERROR(__xludf.DUMMYFUNCTION("""COMPUTED_VALUE"""),"car")</f>
        <v>car</v>
      </c>
      <c r="I880" s="3" t="str">
        <f ca="1">IFERROR(__xludf.DUMMYFUNCTION("""COMPUTED_VALUE"""),"2055-06-08T16:22:22.987824Z")</f>
        <v>2055-06-08T16:22:22.987824Z</v>
      </c>
      <c r="J880" s="3" t="str">
        <f ca="1">IFERROR(__xludf.DUMMYFUNCTION("""COMPUTED_VALUE"""),"2055-06-08T17:11:08.05Z")</f>
        <v>2055-06-08T17:11:08.05Z</v>
      </c>
      <c r="K880" s="3" t="str">
        <f ca="1">IFERROR(__xludf.DUMMYFUNCTION("""COMPUTED_VALUE"""),"2055-06-08T17:02:15.05Z")</f>
        <v>2055-06-08T17:02:15.05Z</v>
      </c>
      <c r="L880" s="3">
        <f ca="1">IFERROR(__xludf.DUMMYFUNCTION("""COMPUTED_VALUE"""),1)</f>
        <v>1</v>
      </c>
      <c r="M880" s="3">
        <f ca="1">IFERROR(__xludf.DUMMYFUNCTION("""COMPUTED_VALUE"""),0)</f>
        <v>0</v>
      </c>
      <c r="N880" s="3" t="str">
        <f ca="1">IFERROR(__xludf.DUMMYFUNCTION("""COMPUTED_VALUE"""),"2055-06-08T16:47:17.295613Z")</f>
        <v>2055-06-08T16:47:17.295613Z</v>
      </c>
      <c r="O880" s="3" t="str">
        <f ca="1">IFERROR(__xludf.DUMMYFUNCTION("""COMPUTED_VALUE"""),"2055-06-08T17:10:55.49873Z")</f>
        <v>2055-06-08T17:10:55.49873Z</v>
      </c>
      <c r="P880" s="3" t="str">
        <f ca="1">IFERROR(__xludf.DUMMYFUNCTION("""COMPUTED_VALUE"""),"2055-06-08T16:28:07.356392Z")</f>
        <v>2055-06-08T16:28:07.356392Z</v>
      </c>
      <c r="Q880" s="3">
        <f ca="1">IFERROR(__xludf.DUMMYFUNCTION("""COMPUTED_VALUE"""),0)</f>
        <v>0</v>
      </c>
      <c r="R880" s="3" t="str">
        <f ca="1">IFERROR(__xludf.DUMMYFUNCTION("""COMPUTED_VALUE"""),"2055-06-08T16:28:14.038154Z")</f>
        <v>2055-06-08T16:28:14.038154Z</v>
      </c>
      <c r="S880" s="3" t="str">
        <f ca="1">IFERROR(__xludf.DUMMYFUNCTION("""COMPUTED_VALUE"""),"2055-06-08T16:35:45.756563Z")</f>
        <v>2055-06-08T16:35:45.756563Z</v>
      </c>
      <c r="T880" s="3"/>
      <c r="U880" s="4">
        <f ca="1">IFERROR(__xludf.DUMMYFUNCTION("""COMPUTED_VALUE"""),56773)</f>
        <v>56773</v>
      </c>
      <c r="V880" s="3">
        <f ca="1">IFERROR(__xludf.DUMMYFUNCTION("""COMPUTED_VALUE"""),4.3)</f>
        <v>4.3</v>
      </c>
      <c r="W880" s="3">
        <f ca="1">IFERROR(__xludf.DUMMYFUNCTION("""COMPUTED_VALUE"""),1500)</f>
        <v>1500</v>
      </c>
      <c r="X880" s="3">
        <f ca="1">IFERROR(__xludf.DUMMYFUNCTION("""COMPUTED_VALUE"""),2561)</f>
        <v>2561</v>
      </c>
      <c r="Y880" s="3">
        <f ca="1">IFERROR(__xludf.DUMMYFUNCTION("""COMPUTED_VALUE"""),451)</f>
        <v>451</v>
      </c>
      <c r="Z880" s="3">
        <f ca="1">IFERROR(__xludf.DUMMYFUNCTION("""COMPUTED_VALUE"""),692)</f>
        <v>692</v>
      </c>
      <c r="AA880" s="3">
        <f ca="1">IFERROR(__xludf.DUMMYFUNCTION("""COMPUTED_VALUE"""),1418)</f>
        <v>1418</v>
      </c>
      <c r="AB880" s="3">
        <f ca="1">IFERROR(__xludf.DUMMYFUNCTION("""COMPUTED_VALUE"""),0)</f>
        <v>0</v>
      </c>
      <c r="AC880" s="3">
        <f ca="1">IFERROR(__xludf.DUMMYFUNCTION("""COMPUTED_VALUE"""),2)</f>
        <v>2</v>
      </c>
      <c r="AD880" s="3" t="str">
        <f ca="1">IFERROR(__xludf.DUMMYFUNCTION("""COMPUTED_VALUE"""),"on time")</f>
        <v>on time</v>
      </c>
      <c r="AE880" s="3" t="str">
        <f ca="1">IFERROR(__xludf.DUMMYFUNCTION("""COMPUTED_VALUE"""),"2055-06-08T12:47:17.295613Z")</f>
        <v>2055-06-08T12:47:17.295613Z</v>
      </c>
      <c r="AF880" s="3" t="str">
        <f ca="1">IFERROR(__xludf.DUMMYFUNCTION("""COMPUTED_VALUE"""),"2055-06-08T13:10:55.49873Z")</f>
        <v>2055-06-08T13:10:55.49873Z</v>
      </c>
      <c r="AG880" s="3" t="str">
        <f ca="1">IFERROR(__xludf.DUMMYFUNCTION("""COMPUTED_VALUE"""),"2055-06-08T12:28:07.356392Z")</f>
        <v>2055-06-08T12:28:07.356392Z</v>
      </c>
      <c r="AH880" s="3" t="str">
        <f ca="1">IFERROR(__xludf.DUMMYFUNCTION("""COMPUTED_VALUE"""),"2055-06-08T12:35:45.756563Z")</f>
        <v>2055-06-08T12:35:45.756563Z</v>
      </c>
      <c r="AI880" s="3">
        <f ca="1">IFERROR(__xludf.DUMMYFUNCTION("""COMPUTED_VALUE"""),4.411111111)</f>
        <v>4.4111111110000003</v>
      </c>
      <c r="AJ880" s="3">
        <f ca="1">IFERROR(__xludf.DUMMYFUNCTION("""COMPUTED_VALUE"""),68)</f>
        <v>68</v>
      </c>
      <c r="AK880" s="3">
        <f ca="1">IFERROR(__xludf.DUMMYFUNCTION("""COMPUTED_VALUE"""),223)</f>
        <v>223</v>
      </c>
      <c r="AL880" s="3">
        <f ca="1">IFERROR(__xludf.DUMMYFUNCTION("""COMPUTED_VALUE"""),118)</f>
        <v>118</v>
      </c>
      <c r="AM880" s="3">
        <f>IFERROR(Raw_Data!AL880 / Raw_Data!AK880, "")</f>
        <v>0.52914798206278024</v>
      </c>
      <c r="AN880" s="3" t="str">
        <f>IF(ISBLANK(Raw_Data!AL880), "No", "Yes")</f>
        <v>Yes</v>
      </c>
      <c r="AO880" s="3">
        <f>IFERROR(Raw_Data!Z880/60, "")</f>
        <v>11.533333333333333</v>
      </c>
    </row>
    <row r="881" spans="1:41" ht="13">
      <c r="A881" s="3">
        <f ca="1">IFERROR(__xludf.DUMMYFUNCTION("""COMPUTED_VALUE"""),277)</f>
        <v>277</v>
      </c>
      <c r="B881" s="3">
        <f ca="1">IFERROR(__xludf.DUMMYFUNCTION("""COMPUTED_VALUE"""),5)</f>
        <v>5</v>
      </c>
      <c r="C881" s="3">
        <f ca="1">IFERROR(__xludf.DUMMYFUNCTION("""COMPUTED_VALUE"""),4050)</f>
        <v>4050</v>
      </c>
      <c r="D881" s="3" t="str">
        <f ca="1">IFERROR(__xludf.DUMMYFUNCTION("""COMPUTED_VALUE"""),"Doorlanta")</f>
        <v>Doorlanta</v>
      </c>
      <c r="E881" s="3" t="str">
        <f ca="1">IFERROR(__xludf.DUMMYFUNCTION("""COMPUTED_VALUE"""),"Galaxy A")</f>
        <v>Galaxy A</v>
      </c>
      <c r="F881" s="3" t="str">
        <f ca="1">IFERROR(__xludf.DUMMYFUNCTION("""COMPUTED_VALUE"""),"Jagar")</f>
        <v>Jagar</v>
      </c>
      <c r="G881" s="3">
        <f ca="1">IFERROR(__xludf.DUMMYFUNCTION("""COMPUTED_VALUE"""),0)</f>
        <v>0</v>
      </c>
      <c r="H881" s="3" t="str">
        <f ca="1">IFERROR(__xludf.DUMMYFUNCTION("""COMPUTED_VALUE"""),"car")</f>
        <v>car</v>
      </c>
      <c r="I881" s="3" t="str">
        <f ca="1">IFERROR(__xludf.DUMMYFUNCTION("""COMPUTED_VALUE"""),"2055-06-03T15:50:34.41825Z")</f>
        <v>2055-06-03T15:50:34.41825Z</v>
      </c>
      <c r="J881" s="3" t="str">
        <f ca="1">IFERROR(__xludf.DUMMYFUNCTION("""COMPUTED_VALUE"""),"2055-06-03T16:45:34.495Z")</f>
        <v>2055-06-03T16:45:34.495Z</v>
      </c>
      <c r="K881" s="3" t="str">
        <f ca="1">IFERROR(__xludf.DUMMYFUNCTION("""COMPUTED_VALUE"""),"2055-06-03T16:19:01.495Z")</f>
        <v>2055-06-03T16:19:01.495Z</v>
      </c>
      <c r="L881" s="3">
        <f ca="1">IFERROR(__xludf.DUMMYFUNCTION("""COMPUTED_VALUE"""),1)</f>
        <v>1</v>
      </c>
      <c r="M881" s="3">
        <f ca="1">IFERROR(__xludf.DUMMYFUNCTION("""COMPUTED_VALUE"""),0)</f>
        <v>0</v>
      </c>
      <c r="N881" s="3" t="str">
        <f ca="1">IFERROR(__xludf.DUMMYFUNCTION("""COMPUTED_VALUE"""),"2055-06-03T16:12:22.923135Z")</f>
        <v>2055-06-03T16:12:22.923135Z</v>
      </c>
      <c r="O881" s="3" t="str">
        <f ca="1">IFERROR(__xludf.DUMMYFUNCTION("""COMPUTED_VALUE"""),"2055-06-03T16:22:14.851453Z")</f>
        <v>2055-06-03T16:22:14.851453Z</v>
      </c>
      <c r="P881" s="3" t="str">
        <f ca="1">IFERROR(__xludf.DUMMYFUNCTION("""COMPUTED_VALUE"""),"2055-06-03T15:50:47.612561Z")</f>
        <v>2055-06-03T15:50:47.612561Z</v>
      </c>
      <c r="Q881" s="3">
        <f ca="1">IFERROR(__xludf.DUMMYFUNCTION("""COMPUTED_VALUE"""),0)</f>
        <v>0</v>
      </c>
      <c r="R881" s="3" t="str">
        <f ca="1">IFERROR(__xludf.DUMMYFUNCTION("""COMPUTED_VALUE"""),"2055-06-03T15:50:56.220892Z")</f>
        <v>2055-06-03T15:50:56.220892Z</v>
      </c>
      <c r="S881" s="3"/>
      <c r="T881" s="3"/>
      <c r="U881" s="4">
        <f ca="1">IFERROR(__xludf.DUMMYFUNCTION("""COMPUTED_VALUE"""),56768)</f>
        <v>56768</v>
      </c>
      <c r="V881" s="3">
        <f ca="1">IFERROR(__xludf.DUMMYFUNCTION("""COMPUTED_VALUE"""),4.5)</f>
        <v>4.5</v>
      </c>
      <c r="W881" s="3">
        <f ca="1">IFERROR(__xludf.DUMMYFUNCTION("""COMPUTED_VALUE"""),1500)</f>
        <v>1500</v>
      </c>
      <c r="X881" s="3">
        <f ca="1">IFERROR(__xludf.DUMMYFUNCTION("""COMPUTED_VALUE"""),1878)</f>
        <v>1878</v>
      </c>
      <c r="Y881" s="3"/>
      <c r="Z881" s="3"/>
      <c r="AA881" s="3">
        <f ca="1">IFERROR(__xludf.DUMMYFUNCTION("""COMPUTED_VALUE"""),592)</f>
        <v>592</v>
      </c>
      <c r="AB881" s="3">
        <f ca="1">IFERROR(__xludf.DUMMYFUNCTION("""COMPUTED_VALUE"""),0)</f>
        <v>0</v>
      </c>
      <c r="AC881" s="3">
        <f ca="1">IFERROR(__xludf.DUMMYFUNCTION("""COMPUTED_VALUE"""),2)</f>
        <v>2</v>
      </c>
      <c r="AD881" s="3"/>
      <c r="AE881" s="3" t="str">
        <f ca="1">IFERROR(__xludf.DUMMYFUNCTION("""COMPUTED_VALUE"""),"2055-06-03T12:12:22.923135Z")</f>
        <v>2055-06-03T12:12:22.923135Z</v>
      </c>
      <c r="AF881" s="3" t="str">
        <f ca="1">IFERROR(__xludf.DUMMYFUNCTION("""COMPUTED_VALUE"""),"2055-06-03T12:22:14.851453Z")</f>
        <v>2055-06-03T12:22:14.851453Z</v>
      </c>
      <c r="AG881" s="3" t="str">
        <f ca="1">IFERROR(__xludf.DUMMYFUNCTION("""COMPUTED_VALUE"""),"2055-06-03T11:50:47.612561Z")</f>
        <v>2055-06-03T11:50:47.612561Z</v>
      </c>
      <c r="AH881" s="3"/>
      <c r="AI881" s="3">
        <f ca="1">IFERROR(__xludf.DUMMYFUNCTION("""COMPUTED_VALUE"""),4.89)</f>
        <v>4.8899999999999997</v>
      </c>
      <c r="AJ881" s="3">
        <f ca="1">IFERROR(__xludf.DUMMYFUNCTION("""COMPUTED_VALUE"""),1778)</f>
        <v>1778</v>
      </c>
      <c r="AK881" s="3">
        <f ca="1">IFERROR(__xludf.DUMMYFUNCTION("""COMPUTED_VALUE"""),5138)</f>
        <v>5138</v>
      </c>
      <c r="AL881" s="3">
        <f ca="1">IFERROR(__xludf.DUMMYFUNCTION("""COMPUTED_VALUE"""),314)</f>
        <v>314</v>
      </c>
      <c r="AM881" s="3">
        <f>IFERROR(Raw_Data!AL881 / Raw_Data!AK881, "")</f>
        <v>6.1113273647333592E-2</v>
      </c>
      <c r="AN881" s="3" t="str">
        <f>IF(ISBLANK(Raw_Data!AL881), "No", "Yes")</f>
        <v>Yes</v>
      </c>
      <c r="AO881" s="3">
        <f>IFERROR(Raw_Data!Z881/60, "")</f>
        <v>0</v>
      </c>
    </row>
    <row r="882" spans="1:41" ht="13">
      <c r="A882" s="3">
        <f ca="1">IFERROR(__xludf.DUMMYFUNCTION("""COMPUTED_VALUE"""),96)</f>
        <v>96</v>
      </c>
      <c r="B882" s="3"/>
      <c r="C882" s="3">
        <f ca="1">IFERROR(__xludf.DUMMYFUNCTION("""COMPUTED_VALUE"""),4001)</f>
        <v>4001</v>
      </c>
      <c r="D882" s="3" t="str">
        <f ca="1">IFERROR(__xludf.DUMMYFUNCTION("""COMPUTED_VALUE"""),"Dashattan")</f>
        <v>Dashattan</v>
      </c>
      <c r="E882" s="3" t="str">
        <f ca="1">IFERROR(__xludf.DUMMYFUNCTION("""COMPUTED_VALUE"""),"Galaxy A")</f>
        <v>Galaxy A</v>
      </c>
      <c r="F882" s="3" t="str">
        <f ca="1">IFERROR(__xludf.DUMMYFUNCTION("""COMPUTED_VALUE"""),"KC")</f>
        <v>KC</v>
      </c>
      <c r="G882" s="3">
        <f ca="1">IFERROR(__xludf.DUMMYFUNCTION("""COMPUTED_VALUE"""),0)</f>
        <v>0</v>
      </c>
      <c r="H882" s="3" t="str">
        <f ca="1">IFERROR(__xludf.DUMMYFUNCTION("""COMPUTED_VALUE"""),"car")</f>
        <v>car</v>
      </c>
      <c r="I882" s="3" t="str">
        <f ca="1">IFERROR(__xludf.DUMMYFUNCTION("""COMPUTED_VALUE"""),"2055-06-02T00:23:46.570189Z")</f>
        <v>2055-06-02T00:23:46.570189Z</v>
      </c>
      <c r="J882" s="3" t="str">
        <f ca="1">IFERROR(__xludf.DUMMYFUNCTION("""COMPUTED_VALUE"""),"2055-06-02T01:15:10.63Z")</f>
        <v>2055-06-02T01:15:10.63Z</v>
      </c>
      <c r="K882" s="3" t="str">
        <f ca="1">IFERROR(__xludf.DUMMYFUNCTION("""COMPUTED_VALUE"""),"2055-06-02T01:10:03.63Z")</f>
        <v>2055-06-02T01:10:03.63Z</v>
      </c>
      <c r="L882" s="3">
        <f ca="1">IFERROR(__xludf.DUMMYFUNCTION("""COMPUTED_VALUE"""),1)</f>
        <v>1</v>
      </c>
      <c r="M882" s="3">
        <f ca="1">IFERROR(__xludf.DUMMYFUNCTION("""COMPUTED_VALUE"""),0)</f>
        <v>0</v>
      </c>
      <c r="N882" s="3" t="str">
        <f ca="1">IFERROR(__xludf.DUMMYFUNCTION("""COMPUTED_VALUE"""),"2055-06-02T00:51:33.903193Z")</f>
        <v>2055-06-02T00:51:33.903193Z</v>
      </c>
      <c r="O882" s="3" t="str">
        <f ca="1">IFERROR(__xludf.DUMMYFUNCTION("""COMPUTED_VALUE"""),"2055-06-02T01:01:48.790255Z")</f>
        <v>2055-06-02T01:01:48.790255Z</v>
      </c>
      <c r="P882" s="3" t="str">
        <f ca="1">IFERROR(__xludf.DUMMYFUNCTION("""COMPUTED_VALUE"""),"2055-06-02T00:26:35.341084Z")</f>
        <v>2055-06-02T00:26:35.341084Z</v>
      </c>
      <c r="Q882" s="3">
        <f ca="1">IFERROR(__xludf.DUMMYFUNCTION("""COMPUTED_VALUE"""),0)</f>
        <v>0</v>
      </c>
      <c r="R882" s="3" t="str">
        <f ca="1">IFERROR(__xludf.DUMMYFUNCTION("""COMPUTED_VALUE"""),"2055-06-02T00:26:46.153731Z")</f>
        <v>2055-06-02T00:26:46.153731Z</v>
      </c>
      <c r="S882" s="3"/>
      <c r="T882" s="3"/>
      <c r="U882" s="4">
        <f ca="1">IFERROR(__xludf.DUMMYFUNCTION("""COMPUTED_VALUE"""),56766)</f>
        <v>56766</v>
      </c>
      <c r="V882" s="3">
        <f ca="1">IFERROR(__xludf.DUMMYFUNCTION("""COMPUTED_VALUE"""),4.2)</f>
        <v>4.2</v>
      </c>
      <c r="W882" s="3">
        <f ca="1">IFERROR(__xludf.DUMMYFUNCTION("""COMPUTED_VALUE"""),1500)</f>
        <v>1500</v>
      </c>
      <c r="X882" s="3">
        <f ca="1">IFERROR(__xludf.DUMMYFUNCTION("""COMPUTED_VALUE"""),2102)</f>
        <v>2102</v>
      </c>
      <c r="Y882" s="3"/>
      <c r="Z882" s="3"/>
      <c r="AA882" s="3">
        <f ca="1">IFERROR(__xludf.DUMMYFUNCTION("""COMPUTED_VALUE"""),615)</f>
        <v>615</v>
      </c>
      <c r="AB882" s="3">
        <f ca="1">IFERROR(__xludf.DUMMYFUNCTION("""COMPUTED_VALUE"""),0)</f>
        <v>0</v>
      </c>
      <c r="AC882" s="3">
        <f ca="1">IFERROR(__xludf.DUMMYFUNCTION("""COMPUTED_VALUE"""),2)</f>
        <v>2</v>
      </c>
      <c r="AD882" s="3"/>
      <c r="AE882" s="3" t="str">
        <f ca="1">IFERROR(__xludf.DUMMYFUNCTION("""COMPUTED_VALUE"""),"2055-06-01T20:51:33.903193Z")</f>
        <v>2055-06-01T20:51:33.903193Z</v>
      </c>
      <c r="AF882" s="3" t="str">
        <f ca="1">IFERROR(__xludf.DUMMYFUNCTION("""COMPUTED_VALUE"""),"2055-06-01T21:01:48.790255Z")</f>
        <v>2055-06-01T21:01:48.790255Z</v>
      </c>
      <c r="AG882" s="3" t="str">
        <f ca="1">IFERROR(__xludf.DUMMYFUNCTION("""COMPUTED_VALUE"""),"2055-06-01T20:26:35.341084Z")</f>
        <v>2055-06-01T20:26:35.341084Z</v>
      </c>
      <c r="AH882" s="3"/>
      <c r="AI882" s="3">
        <f ca="1">IFERROR(__xludf.DUMMYFUNCTION("""COMPUTED_VALUE"""),4.54)</f>
        <v>4.54</v>
      </c>
      <c r="AJ882" s="3">
        <f ca="1">IFERROR(__xludf.DUMMYFUNCTION("""COMPUTED_VALUE"""),2229)</f>
        <v>2229</v>
      </c>
      <c r="AK882" s="3">
        <f ca="1">IFERROR(__xludf.DUMMYFUNCTION("""COMPUTED_VALUE"""),6580)</f>
        <v>6580</v>
      </c>
      <c r="AL882" s="3"/>
      <c r="AM882" s="3">
        <f>IFERROR(Raw_Data!AL882 / Raw_Data!AK882, "")</f>
        <v>0</v>
      </c>
      <c r="AN882" s="3" t="str">
        <f>IF(ISBLANK(Raw_Data!AL882), "No", "Yes")</f>
        <v>No</v>
      </c>
      <c r="AO882" s="3">
        <f>IFERROR(Raw_Data!Z882/60, "")</f>
        <v>0</v>
      </c>
    </row>
    <row r="883" spans="1:41" ht="13">
      <c r="A883" s="3">
        <f ca="1">IFERROR(__xludf.DUMMYFUNCTION("""COMPUTED_VALUE"""),265)</f>
        <v>265</v>
      </c>
      <c r="B883" s="3">
        <f ca="1">IFERROR(__xludf.DUMMYFUNCTION("""COMPUTED_VALUE"""),5)</f>
        <v>5</v>
      </c>
      <c r="C883" s="3">
        <f ca="1">IFERROR(__xludf.DUMMYFUNCTION("""COMPUTED_VALUE"""),4001)</f>
        <v>4001</v>
      </c>
      <c r="D883" s="3" t="str">
        <f ca="1">IFERROR(__xludf.DUMMYFUNCTION("""COMPUTED_VALUE"""),"Dashattan")</f>
        <v>Dashattan</v>
      </c>
      <c r="E883" s="3" t="str">
        <f ca="1">IFERROR(__xludf.DUMMYFUNCTION("""COMPUTED_VALUE"""),"Galaxy A")</f>
        <v>Galaxy A</v>
      </c>
      <c r="F883" s="3" t="str">
        <f ca="1">IFERROR(__xludf.DUMMYFUNCTION("""COMPUTED_VALUE"""),"Rojan")</f>
        <v>Rojan</v>
      </c>
      <c r="G883" s="3">
        <f ca="1">IFERROR(__xludf.DUMMYFUNCTION("""COMPUTED_VALUE"""),0)</f>
        <v>0</v>
      </c>
      <c r="H883" s="3" t="str">
        <f ca="1">IFERROR(__xludf.DUMMYFUNCTION("""COMPUTED_VALUE"""),"bicycle")</f>
        <v>bicycle</v>
      </c>
      <c r="I883" s="3" t="str">
        <f ca="1">IFERROR(__xludf.DUMMYFUNCTION("""COMPUTED_VALUE"""),"2055-06-03T15:26:39.463733Z")</f>
        <v>2055-06-03T15:26:39.463733Z</v>
      </c>
      <c r="J883" s="3" t="str">
        <f ca="1">IFERROR(__xludf.DUMMYFUNCTION("""COMPUTED_VALUE"""),"2055-06-03T16:38:42.553Z")</f>
        <v>2055-06-03T16:38:42.553Z</v>
      </c>
      <c r="K883" s="3" t="str">
        <f ca="1">IFERROR(__xludf.DUMMYFUNCTION("""COMPUTED_VALUE"""),"2055-06-03T16:19:49.553Z")</f>
        <v>2055-06-03T16:19:49.553Z</v>
      </c>
      <c r="L883" s="3">
        <f ca="1">IFERROR(__xludf.DUMMYFUNCTION("""COMPUTED_VALUE"""),1)</f>
        <v>1</v>
      </c>
      <c r="M883" s="3">
        <f ca="1">IFERROR(__xludf.DUMMYFUNCTION("""COMPUTED_VALUE"""),0)</f>
        <v>0</v>
      </c>
      <c r="N883" s="3" t="str">
        <f ca="1">IFERROR(__xludf.DUMMYFUNCTION("""COMPUTED_VALUE"""),"2055-06-03T16:04:19.940921Z")</f>
        <v>2055-06-03T16:04:19.940921Z</v>
      </c>
      <c r="O883" s="3" t="str">
        <f ca="1">IFERROR(__xludf.DUMMYFUNCTION("""COMPUTED_VALUE"""),"2055-06-03T16:12:17.219312Z")</f>
        <v>2055-06-03T16:12:17.219312Z</v>
      </c>
      <c r="P883" s="3" t="str">
        <f ca="1">IFERROR(__xludf.DUMMYFUNCTION("""COMPUTED_VALUE"""),"2055-06-03T15:30:14.374984Z")</f>
        <v>2055-06-03T15:30:14.374984Z</v>
      </c>
      <c r="Q883" s="3">
        <f ca="1">IFERROR(__xludf.DUMMYFUNCTION("""COMPUTED_VALUE"""),0)</f>
        <v>0</v>
      </c>
      <c r="R883" s="3" t="str">
        <f ca="1">IFERROR(__xludf.DUMMYFUNCTION("""COMPUTED_VALUE"""),"2055-06-03T15:30:27.182001Z")</f>
        <v>2055-06-03T15:30:27.182001Z</v>
      </c>
      <c r="S883" s="3" t="str">
        <f ca="1">IFERROR(__xludf.DUMMYFUNCTION("""COMPUTED_VALUE"""),"2055-06-03T15:48:06.947074Z")</f>
        <v>2055-06-03T15:48:06.947074Z</v>
      </c>
      <c r="T883" s="3"/>
      <c r="U883" s="4">
        <f ca="1">IFERROR(__xludf.DUMMYFUNCTION("""COMPUTED_VALUE"""),56768)</f>
        <v>56768</v>
      </c>
      <c r="V883" s="3">
        <f ca="1">IFERROR(__xludf.DUMMYFUNCTION("""COMPUTED_VALUE"""),4.2)</f>
        <v>4.2</v>
      </c>
      <c r="W883" s="3">
        <f ca="1">IFERROR(__xludf.DUMMYFUNCTION("""COMPUTED_VALUE"""),1500)</f>
        <v>1500</v>
      </c>
      <c r="X883" s="3">
        <f ca="1">IFERROR(__xludf.DUMMYFUNCTION("""COMPUTED_VALUE"""),2510)</f>
        <v>2510</v>
      </c>
      <c r="Y883" s="3">
        <f ca="1">IFERROR(__xludf.DUMMYFUNCTION("""COMPUTED_VALUE"""),1059)</f>
        <v>1059</v>
      </c>
      <c r="Z883" s="3">
        <f ca="1">IFERROR(__xludf.DUMMYFUNCTION("""COMPUTED_VALUE"""),973)</f>
        <v>973</v>
      </c>
      <c r="AA883" s="3">
        <f ca="1">IFERROR(__xludf.DUMMYFUNCTION("""COMPUTED_VALUE"""),478)</f>
        <v>478</v>
      </c>
      <c r="AB883" s="3">
        <f ca="1">IFERROR(__xludf.DUMMYFUNCTION("""COMPUTED_VALUE"""),1)</f>
        <v>1</v>
      </c>
      <c r="AC883" s="3">
        <f ca="1">IFERROR(__xludf.DUMMYFUNCTION("""COMPUTED_VALUE"""),2)</f>
        <v>2</v>
      </c>
      <c r="AD883" s="3"/>
      <c r="AE883" s="3" t="str">
        <f ca="1">IFERROR(__xludf.DUMMYFUNCTION("""COMPUTED_VALUE"""),"2055-06-03T12:04:19.940921Z")</f>
        <v>2055-06-03T12:04:19.940921Z</v>
      </c>
      <c r="AF883" s="3" t="str">
        <f ca="1">IFERROR(__xludf.DUMMYFUNCTION("""COMPUTED_VALUE"""),"2055-06-03T12:12:17.219312Z")</f>
        <v>2055-06-03T12:12:17.219312Z</v>
      </c>
      <c r="AG883" s="3" t="str">
        <f ca="1">IFERROR(__xludf.DUMMYFUNCTION("""COMPUTED_VALUE"""),"2055-06-03T11:30:14.374984Z")</f>
        <v>2055-06-03T11:30:14.374984Z</v>
      </c>
      <c r="AH883" s="3" t="str">
        <f ca="1">IFERROR(__xludf.DUMMYFUNCTION("""COMPUTED_VALUE"""),"2055-06-03T11:48:06.947074Z")</f>
        <v>2055-06-03T11:48:06.947074Z</v>
      </c>
      <c r="AI883" s="3">
        <f ca="1">IFERROR(__xludf.DUMMYFUNCTION("""COMPUTED_VALUE"""),4.58)</f>
        <v>4.58</v>
      </c>
      <c r="AJ883" s="3">
        <f ca="1">IFERROR(__xludf.DUMMYFUNCTION("""COMPUTED_VALUE"""),254)</f>
        <v>254</v>
      </c>
      <c r="AK883" s="3">
        <f ca="1">IFERROR(__xludf.DUMMYFUNCTION("""COMPUTED_VALUE"""),788)</f>
        <v>788</v>
      </c>
      <c r="AL883" s="3">
        <f ca="1">IFERROR(__xludf.DUMMYFUNCTION("""COMPUTED_VALUE"""),9)</f>
        <v>9</v>
      </c>
      <c r="AM883" s="3">
        <f>IFERROR(Raw_Data!AL883 / Raw_Data!AK883, "")</f>
        <v>1.1421319796954314E-2</v>
      </c>
      <c r="AN883" s="3" t="str">
        <f>IF(ISBLANK(Raw_Data!AL883), "No", "Yes")</f>
        <v>Yes</v>
      </c>
      <c r="AO883" s="3">
        <f>IFERROR(Raw_Data!Z883/60, "")</f>
        <v>16.216666666666665</v>
      </c>
    </row>
    <row r="884" spans="1:41" ht="13">
      <c r="A884" s="3">
        <f ca="1">IFERROR(__xludf.DUMMYFUNCTION("""COMPUTED_VALUE"""),229)</f>
        <v>229</v>
      </c>
      <c r="B884" s="3"/>
      <c r="C884" s="3">
        <f ca="1">IFERROR(__xludf.DUMMYFUNCTION("""COMPUTED_VALUE"""),4001)</f>
        <v>4001</v>
      </c>
      <c r="D884" s="3" t="str">
        <f ca="1">IFERROR(__xludf.DUMMYFUNCTION("""COMPUTED_VALUE"""),"Dashattan")</f>
        <v>Dashattan</v>
      </c>
      <c r="E884" s="3" t="str">
        <f ca="1">IFERROR(__xludf.DUMMYFUNCTION("""COMPUTED_VALUE"""),"Galaxy A")</f>
        <v>Galaxy A</v>
      </c>
      <c r="F884" s="3" t="str">
        <f ca="1">IFERROR(__xludf.DUMMYFUNCTION("""COMPUTED_VALUE"""),"Bunje")</f>
        <v>Bunje</v>
      </c>
      <c r="G884" s="3">
        <f ca="1">IFERROR(__xludf.DUMMYFUNCTION("""COMPUTED_VALUE"""),0)</f>
        <v>0</v>
      </c>
      <c r="H884" s="3" t="str">
        <f ca="1">IFERROR(__xludf.DUMMYFUNCTION("""COMPUTED_VALUE"""),"bicycle")</f>
        <v>bicycle</v>
      </c>
      <c r="I884" s="3" t="str">
        <f ca="1">IFERROR(__xludf.DUMMYFUNCTION("""COMPUTED_VALUE"""),"2055-06-03T00:43:20.961229Z")</f>
        <v>2055-06-03T00:43:20.961229Z</v>
      </c>
      <c r="J884" s="3" t="str">
        <f ca="1">IFERROR(__xludf.DUMMYFUNCTION("""COMPUTED_VALUE"""),"2055-06-03T01:44:45.058Z")</f>
        <v>2055-06-03T01:44:45.058Z</v>
      </c>
      <c r="K884" s="3" t="str">
        <f ca="1">IFERROR(__xludf.DUMMYFUNCTION("""COMPUTED_VALUE"""),"2055-06-03T01:25:06.058Z")</f>
        <v>2055-06-03T01:25:06.058Z</v>
      </c>
      <c r="L884" s="3">
        <f ca="1">IFERROR(__xludf.DUMMYFUNCTION("""COMPUTED_VALUE"""),1)</f>
        <v>1</v>
      </c>
      <c r="M884" s="3">
        <f ca="1">IFERROR(__xludf.DUMMYFUNCTION("""COMPUTED_VALUE"""),0)</f>
        <v>0</v>
      </c>
      <c r="N884" s="3" t="str">
        <f ca="1">IFERROR(__xludf.DUMMYFUNCTION("""COMPUTED_VALUE"""),"2055-06-03T01:04:43.053921Z")</f>
        <v>2055-06-03T01:04:43.053921Z</v>
      </c>
      <c r="O884" s="3" t="str">
        <f ca="1">IFERROR(__xludf.DUMMYFUNCTION("""COMPUTED_VALUE"""),"2055-06-03T01:42:30.741511Z")</f>
        <v>2055-06-03T01:42:30.741511Z</v>
      </c>
      <c r="P884" s="3" t="str">
        <f ca="1">IFERROR(__xludf.DUMMYFUNCTION("""COMPUTED_VALUE"""),"2055-06-03T00:43:34.078206Z")</f>
        <v>2055-06-03T00:43:34.078206Z</v>
      </c>
      <c r="Q884" s="3">
        <f ca="1">IFERROR(__xludf.DUMMYFUNCTION("""COMPUTED_VALUE"""),0)</f>
        <v>0</v>
      </c>
      <c r="R884" s="3" t="str">
        <f ca="1">IFERROR(__xludf.DUMMYFUNCTION("""COMPUTED_VALUE"""),"2055-06-03T00:43:50.678216Z")</f>
        <v>2055-06-03T00:43:50.678216Z</v>
      </c>
      <c r="S884" s="3" t="str">
        <f ca="1">IFERROR(__xludf.DUMMYFUNCTION("""COMPUTED_VALUE"""),"2055-06-03T00:46:52.922245Z")</f>
        <v>2055-06-03T00:46:52.922245Z</v>
      </c>
      <c r="T884" s="3"/>
      <c r="U884" s="4">
        <f ca="1">IFERROR(__xludf.DUMMYFUNCTION("""COMPUTED_VALUE"""),56767)</f>
        <v>56767</v>
      </c>
      <c r="V884" s="3">
        <f ca="1">IFERROR(__xludf.DUMMYFUNCTION("""COMPUTED_VALUE"""),4.2)</f>
        <v>4.2</v>
      </c>
      <c r="W884" s="3">
        <f ca="1">IFERROR(__xludf.DUMMYFUNCTION("""COMPUTED_VALUE"""),1500)</f>
        <v>1500</v>
      </c>
      <c r="X884" s="3">
        <f ca="1">IFERROR(__xludf.DUMMYFUNCTION("""COMPUTED_VALUE"""),3520)</f>
        <v>3520</v>
      </c>
      <c r="Y884" s="3">
        <f ca="1">IFERROR(__xludf.DUMMYFUNCTION("""COMPUTED_VALUE"""),182)</f>
        <v>182</v>
      </c>
      <c r="Z884" s="3">
        <f ca="1">IFERROR(__xludf.DUMMYFUNCTION("""COMPUTED_VALUE"""),1071)</f>
        <v>1071</v>
      </c>
      <c r="AA884" s="3">
        <f ca="1">IFERROR(__xludf.DUMMYFUNCTION("""COMPUTED_VALUE"""),2267)</f>
        <v>2267</v>
      </c>
      <c r="AB884" s="3">
        <f ca="1">IFERROR(__xludf.DUMMYFUNCTION("""COMPUTED_VALUE"""),1)</f>
        <v>1</v>
      </c>
      <c r="AC884" s="3">
        <f ca="1">IFERROR(__xludf.DUMMYFUNCTION("""COMPUTED_VALUE"""),3)</f>
        <v>3</v>
      </c>
      <c r="AD884" s="3"/>
      <c r="AE884" s="3" t="str">
        <f ca="1">IFERROR(__xludf.DUMMYFUNCTION("""COMPUTED_VALUE"""),"2055-06-02T21:04:43.053921Z")</f>
        <v>2055-06-02T21:04:43.053921Z</v>
      </c>
      <c r="AF884" s="3" t="str">
        <f ca="1">IFERROR(__xludf.DUMMYFUNCTION("""COMPUTED_VALUE"""),"2055-06-02T21:42:30.741511Z")</f>
        <v>2055-06-02T21:42:30.741511Z</v>
      </c>
      <c r="AG884" s="3" t="str">
        <f ca="1">IFERROR(__xludf.DUMMYFUNCTION("""COMPUTED_VALUE"""),"2055-06-02T20:43:34.078206Z")</f>
        <v>2055-06-02T20:43:34.078206Z</v>
      </c>
      <c r="AH884" s="3" t="str">
        <f ca="1">IFERROR(__xludf.DUMMYFUNCTION("""COMPUTED_VALUE"""),"2055-06-02T20:46:52.922245Z")</f>
        <v>2055-06-02T20:46:52.922245Z</v>
      </c>
      <c r="AI884" s="3">
        <f ca="1">IFERROR(__xludf.DUMMYFUNCTION("""COMPUTED_VALUE"""),4.7)</f>
        <v>4.7</v>
      </c>
      <c r="AJ884" s="3">
        <f ca="1">IFERROR(__xludf.DUMMYFUNCTION("""COMPUTED_VALUE"""),443)</f>
        <v>443</v>
      </c>
      <c r="AK884" s="3">
        <f ca="1">IFERROR(__xludf.DUMMYFUNCTION("""COMPUTED_VALUE"""),1579)</f>
        <v>1579</v>
      </c>
      <c r="AL884" s="3"/>
      <c r="AM884" s="3">
        <f>IFERROR(Raw_Data!AL884 / Raw_Data!AK884, "")</f>
        <v>0</v>
      </c>
      <c r="AN884" s="3" t="str">
        <f>IF(ISBLANK(Raw_Data!AL884), "No", "Yes")</f>
        <v>No</v>
      </c>
      <c r="AO884" s="3">
        <f>IFERROR(Raw_Data!Z884/60, "")</f>
        <v>17.850000000000001</v>
      </c>
    </row>
    <row r="885" spans="1:41" ht="13">
      <c r="A885" s="3">
        <f ca="1">IFERROR(__xludf.DUMMYFUNCTION("""COMPUTED_VALUE"""),799)</f>
        <v>799</v>
      </c>
      <c r="B885" s="3">
        <f ca="1">IFERROR(__xludf.DUMMYFUNCTION("""COMPUTED_VALUE"""),4)</f>
        <v>4</v>
      </c>
      <c r="C885" s="3">
        <f ca="1">IFERROR(__xludf.DUMMYFUNCTION("""COMPUTED_VALUE"""),4001)</f>
        <v>4001</v>
      </c>
      <c r="D885" s="3" t="str">
        <f ca="1">IFERROR(__xludf.DUMMYFUNCTION("""COMPUTED_VALUE"""),"Dashattan")</f>
        <v>Dashattan</v>
      </c>
      <c r="E885" s="3" t="str">
        <f ca="1">IFERROR(__xludf.DUMMYFUNCTION("""COMPUTED_VALUE"""),"Galaxy A")</f>
        <v>Galaxy A</v>
      </c>
      <c r="F885" s="3" t="str">
        <f ca="1">IFERROR(__xludf.DUMMYFUNCTION("""COMPUTED_VALUE"""),"J")</f>
        <v>J</v>
      </c>
      <c r="G885" s="3">
        <f ca="1">IFERROR(__xludf.DUMMYFUNCTION("""COMPUTED_VALUE"""),0)</f>
        <v>0</v>
      </c>
      <c r="H885" s="3" t="str">
        <f ca="1">IFERROR(__xludf.DUMMYFUNCTION("""COMPUTED_VALUE"""),"bicycle")</f>
        <v>bicycle</v>
      </c>
      <c r="I885" s="3" t="str">
        <f ca="1">IFERROR(__xludf.DUMMYFUNCTION("""COMPUTED_VALUE"""),"2055-06-06T23:54:01.604562Z")</f>
        <v>2055-06-06T23:54:01.604562Z</v>
      </c>
      <c r="J885" s="3" t="str">
        <f ca="1">IFERROR(__xludf.DUMMYFUNCTION("""COMPUTED_VALUE"""),"2055-06-07T00:49:10.718Z")</f>
        <v>2055-06-07T00:49:10.718Z</v>
      </c>
      <c r="K885" s="3" t="str">
        <f ca="1">IFERROR(__xludf.DUMMYFUNCTION("""COMPUTED_VALUE"""),"2055-06-07T00:34:31.718Z")</f>
        <v>2055-06-07T00:34:31.718Z</v>
      </c>
      <c r="L885" s="3">
        <f ca="1">IFERROR(__xludf.DUMMYFUNCTION("""COMPUTED_VALUE"""),1)</f>
        <v>1</v>
      </c>
      <c r="M885" s="3">
        <f ca="1">IFERROR(__xludf.DUMMYFUNCTION("""COMPUTED_VALUE"""),0)</f>
        <v>0</v>
      </c>
      <c r="N885" s="3" t="str">
        <f ca="1">IFERROR(__xludf.DUMMYFUNCTION("""COMPUTED_VALUE"""),"2055-06-07T00:40:34.05998Z")</f>
        <v>2055-06-07T00:40:34.05998Z</v>
      </c>
      <c r="O885" s="3" t="str">
        <f ca="1">IFERROR(__xludf.DUMMYFUNCTION("""COMPUTED_VALUE"""),"2055-06-07T00:40:41.65002Z")</f>
        <v>2055-06-07T00:40:41.65002Z</v>
      </c>
      <c r="P885" s="3" t="str">
        <f ca="1">IFERROR(__xludf.DUMMYFUNCTION("""COMPUTED_VALUE"""),"2055-06-06T23:54:14.665282Z")</f>
        <v>2055-06-06T23:54:14.665282Z</v>
      </c>
      <c r="Q885" s="3">
        <f ca="1">IFERROR(__xludf.DUMMYFUNCTION("""COMPUTED_VALUE"""),0)</f>
        <v>0</v>
      </c>
      <c r="R885" s="3" t="str">
        <f ca="1">IFERROR(__xludf.DUMMYFUNCTION("""COMPUTED_VALUE"""),"2055-06-06T23:54:25.587525Z")</f>
        <v>2055-06-06T23:54:25.587525Z</v>
      </c>
      <c r="S885" s="3" t="str">
        <f ca="1">IFERROR(__xludf.DUMMYFUNCTION("""COMPUTED_VALUE"""),"2055-06-07T00:12:32.308829Z")</f>
        <v>2055-06-07T00:12:32.308829Z</v>
      </c>
      <c r="T885" s="3"/>
      <c r="U885" s="4">
        <f ca="1">IFERROR(__xludf.DUMMYFUNCTION("""COMPUTED_VALUE"""),56771)</f>
        <v>56771</v>
      </c>
      <c r="V885" s="3">
        <f ca="1">IFERROR(__xludf.DUMMYFUNCTION("""COMPUTED_VALUE"""),4.4)</f>
        <v>4.4000000000000004</v>
      </c>
      <c r="W885" s="3">
        <f ca="1">IFERROR(__xludf.DUMMYFUNCTION("""COMPUTED_VALUE"""),1500)</f>
        <v>1500</v>
      </c>
      <c r="X885" s="3">
        <f ca="1">IFERROR(__xludf.DUMMYFUNCTION("""COMPUTED_VALUE"""),2776)</f>
        <v>2776</v>
      </c>
      <c r="Y885" s="3">
        <f ca="1">IFERROR(__xludf.DUMMYFUNCTION("""COMPUTED_VALUE"""),1087)</f>
        <v>1087</v>
      </c>
      <c r="Z885" s="3">
        <f ca="1">IFERROR(__xludf.DUMMYFUNCTION("""COMPUTED_VALUE"""),1682)</f>
        <v>1682</v>
      </c>
      <c r="AA885" s="3">
        <f ca="1">IFERROR(__xludf.DUMMYFUNCTION("""COMPUTED_VALUE"""),7)</f>
        <v>7</v>
      </c>
      <c r="AB885" s="3">
        <f ca="1">IFERROR(__xludf.DUMMYFUNCTION("""COMPUTED_VALUE"""),0)</f>
        <v>0</v>
      </c>
      <c r="AC885" s="3">
        <f ca="1">IFERROR(__xludf.DUMMYFUNCTION("""COMPUTED_VALUE"""),3)</f>
        <v>3</v>
      </c>
      <c r="AD885" s="3" t="str">
        <f ca="1">IFERROR(__xludf.DUMMYFUNCTION("""COMPUTED_VALUE"""),"on time")</f>
        <v>on time</v>
      </c>
      <c r="AE885" s="3" t="str">
        <f ca="1">IFERROR(__xludf.DUMMYFUNCTION("""COMPUTED_VALUE"""),"2055-06-06T20:40:34.05998Z")</f>
        <v>2055-06-06T20:40:34.05998Z</v>
      </c>
      <c r="AF885" s="3" t="str">
        <f ca="1">IFERROR(__xludf.DUMMYFUNCTION("""COMPUTED_VALUE"""),"2055-06-06T20:40:41.65002Z")</f>
        <v>2055-06-06T20:40:41.65002Z</v>
      </c>
      <c r="AG885" s="3" t="str">
        <f ca="1">IFERROR(__xludf.DUMMYFUNCTION("""COMPUTED_VALUE"""),"2055-06-06T19:54:14.665282Z")</f>
        <v>2055-06-06T19:54:14.665282Z</v>
      </c>
      <c r="AH885" s="3" t="str">
        <f ca="1">IFERROR(__xludf.DUMMYFUNCTION("""COMPUTED_VALUE"""),"2055-06-06T20:12:32.308829Z")</f>
        <v>2055-06-06T20:12:32.308829Z</v>
      </c>
      <c r="AI885" s="3">
        <f ca="1">IFERROR(__xludf.DUMMYFUNCTION("""COMPUTED_VALUE"""),4.6)</f>
        <v>4.5999999999999996</v>
      </c>
      <c r="AJ885" s="3">
        <f ca="1">IFERROR(__xludf.DUMMYFUNCTION("""COMPUTED_VALUE"""),292)</f>
        <v>292</v>
      </c>
      <c r="AK885" s="3">
        <f ca="1">IFERROR(__xludf.DUMMYFUNCTION("""COMPUTED_VALUE"""),1027)</f>
        <v>1027</v>
      </c>
      <c r="AL885" s="3">
        <f ca="1">IFERROR(__xludf.DUMMYFUNCTION("""COMPUTED_VALUE"""),26)</f>
        <v>26</v>
      </c>
      <c r="AM885" s="3">
        <f>IFERROR(Raw_Data!AL885 / Raw_Data!AK885, "")</f>
        <v>2.5316455696202531E-2</v>
      </c>
      <c r="AN885" s="3" t="str">
        <f>IF(ISBLANK(Raw_Data!AL885), "No", "Yes")</f>
        <v>Yes</v>
      </c>
      <c r="AO885" s="3">
        <f>IFERROR(Raw_Data!Z885/60, "")</f>
        <v>28.033333333333335</v>
      </c>
    </row>
    <row r="886" spans="1:41" ht="13">
      <c r="A886" s="3">
        <f ca="1">IFERROR(__xludf.DUMMYFUNCTION("""COMPUTED_VALUE"""),517)</f>
        <v>517</v>
      </c>
      <c r="B886" s="3">
        <f ca="1">IFERROR(__xludf.DUMMYFUNCTION("""COMPUTED_VALUE"""),3)</f>
        <v>3</v>
      </c>
      <c r="C886" s="3">
        <f ca="1">IFERROR(__xludf.DUMMYFUNCTION("""COMPUTED_VALUE"""),4050)</f>
        <v>4050</v>
      </c>
      <c r="D886" s="3" t="str">
        <f ca="1">IFERROR(__xludf.DUMMYFUNCTION("""COMPUTED_VALUE"""),"Doorlanta")</f>
        <v>Doorlanta</v>
      </c>
      <c r="E886" s="3" t="str">
        <f ca="1">IFERROR(__xludf.DUMMYFUNCTION("""COMPUTED_VALUE"""),"Galaxy A")</f>
        <v>Galaxy A</v>
      </c>
      <c r="F886" s="3" t="str">
        <f ca="1">IFERROR(__xludf.DUMMYFUNCTION("""COMPUTED_VALUE"""),"Merissa")</f>
        <v>Merissa</v>
      </c>
      <c r="G886" s="3">
        <f ca="1">IFERROR(__xludf.DUMMYFUNCTION("""COMPUTED_VALUE"""),0)</f>
        <v>0</v>
      </c>
      <c r="H886" s="3" t="str">
        <f ca="1">IFERROR(__xludf.DUMMYFUNCTION("""COMPUTED_VALUE"""),"car")</f>
        <v>car</v>
      </c>
      <c r="I886" s="3" t="str">
        <f ca="1">IFERROR(__xludf.DUMMYFUNCTION("""COMPUTED_VALUE"""),"2055-06-05T00:47:36.580062Z")</f>
        <v>2055-06-05T00:47:36.580062Z</v>
      </c>
      <c r="J886" s="3" t="str">
        <f ca="1">IFERROR(__xludf.DUMMYFUNCTION("""COMPUTED_VALUE"""),"2055-06-05T01:48:38.663Z")</f>
        <v>2055-06-05T01:48:38.663Z</v>
      </c>
      <c r="K886" s="3" t="str">
        <f ca="1">IFERROR(__xludf.DUMMYFUNCTION("""COMPUTED_VALUE"""),"2055-06-05T01:28:31.663Z")</f>
        <v>2055-06-05T01:28:31.663Z</v>
      </c>
      <c r="L886" s="3">
        <f ca="1">IFERROR(__xludf.DUMMYFUNCTION("""COMPUTED_VALUE"""),1)</f>
        <v>1</v>
      </c>
      <c r="M886" s="3">
        <f ca="1">IFERROR(__xludf.DUMMYFUNCTION("""COMPUTED_VALUE"""),0)</f>
        <v>0</v>
      </c>
      <c r="N886" s="3" t="str">
        <f ca="1">IFERROR(__xludf.DUMMYFUNCTION("""COMPUTED_VALUE"""),"2055-06-05T01:24:10.816884Z")</f>
        <v>2055-06-05T01:24:10.816884Z</v>
      </c>
      <c r="O886" s="3" t="str">
        <f ca="1">IFERROR(__xludf.DUMMYFUNCTION("""COMPUTED_VALUE"""),"2055-06-05T01:46:53.001289Z")</f>
        <v>2055-06-05T01:46:53.001289Z</v>
      </c>
      <c r="P886" s="3" t="str">
        <f ca="1">IFERROR(__xludf.DUMMYFUNCTION("""COMPUTED_VALUE"""),"2055-06-05T01:05:27.510193Z")</f>
        <v>2055-06-05T01:05:27.510193Z</v>
      </c>
      <c r="Q886" s="3">
        <f ca="1">IFERROR(__xludf.DUMMYFUNCTION("""COMPUTED_VALUE"""),0)</f>
        <v>0</v>
      </c>
      <c r="R886" s="3" t="str">
        <f ca="1">IFERROR(__xludf.DUMMYFUNCTION("""COMPUTED_VALUE"""),"2055-06-05T01:05:33.528646Z")</f>
        <v>2055-06-05T01:05:33.528646Z</v>
      </c>
      <c r="S886" s="3" t="str">
        <f ca="1">IFERROR(__xludf.DUMMYFUNCTION("""COMPUTED_VALUE"""),"2055-06-05T01:16:57.615833Z")</f>
        <v>2055-06-05T01:16:57.615833Z</v>
      </c>
      <c r="T886" s="3"/>
      <c r="U886" s="4">
        <f ca="1">IFERROR(__xludf.DUMMYFUNCTION("""COMPUTED_VALUE"""),56769)</f>
        <v>56769</v>
      </c>
      <c r="V886" s="3">
        <f ca="1">IFERROR(__xludf.DUMMYFUNCTION("""COMPUTED_VALUE"""),4.6)</f>
        <v>4.5999999999999996</v>
      </c>
      <c r="W886" s="3">
        <f ca="1">IFERROR(__xludf.DUMMYFUNCTION("""COMPUTED_VALUE"""),1500)</f>
        <v>1500</v>
      </c>
      <c r="X886" s="3">
        <f ca="1">IFERROR(__xludf.DUMMYFUNCTION("""COMPUTED_VALUE"""),2480)</f>
        <v>2480</v>
      </c>
      <c r="Y886" s="3">
        <f ca="1">IFERROR(__xludf.DUMMYFUNCTION("""COMPUTED_VALUE"""),684)</f>
        <v>684</v>
      </c>
      <c r="Z886" s="3">
        <f ca="1">IFERROR(__xludf.DUMMYFUNCTION("""COMPUTED_VALUE"""),433)</f>
        <v>433</v>
      </c>
      <c r="AA886" s="3">
        <f ca="1">IFERROR(__xludf.DUMMYFUNCTION("""COMPUTED_VALUE"""),1363)</f>
        <v>1363</v>
      </c>
      <c r="AB886" s="3">
        <f ca="1">IFERROR(__xludf.DUMMYFUNCTION("""COMPUTED_VALUE"""),0)</f>
        <v>0</v>
      </c>
      <c r="AC886" s="3">
        <f ca="1">IFERROR(__xludf.DUMMYFUNCTION("""COMPUTED_VALUE"""),2)</f>
        <v>2</v>
      </c>
      <c r="AD886" s="3" t="str">
        <f ca="1">IFERROR(__xludf.DUMMYFUNCTION("""COMPUTED_VALUE"""),"late")</f>
        <v>late</v>
      </c>
      <c r="AE886" s="3" t="str">
        <f ca="1">IFERROR(__xludf.DUMMYFUNCTION("""COMPUTED_VALUE"""),"2055-06-04T21:24:10.816884Z")</f>
        <v>2055-06-04T21:24:10.816884Z</v>
      </c>
      <c r="AF886" s="3" t="str">
        <f ca="1">IFERROR(__xludf.DUMMYFUNCTION("""COMPUTED_VALUE"""),"2055-06-04T21:46:53.001289Z")</f>
        <v>2055-06-04T21:46:53.001289Z</v>
      </c>
      <c r="AG886" s="3" t="str">
        <f ca="1">IFERROR(__xludf.DUMMYFUNCTION("""COMPUTED_VALUE"""),"2055-06-04T21:05:27.510193Z")</f>
        <v>2055-06-04T21:05:27.510193Z</v>
      </c>
      <c r="AH886" s="3" t="str">
        <f ca="1">IFERROR(__xludf.DUMMYFUNCTION("""COMPUTED_VALUE"""),"2055-06-04T21:16:57.615833Z")</f>
        <v>2055-06-04T21:16:57.615833Z</v>
      </c>
      <c r="AI886" s="3">
        <f ca="1">IFERROR(__xludf.DUMMYFUNCTION("""COMPUTED_VALUE"""),4.58)</f>
        <v>4.58</v>
      </c>
      <c r="AJ886" s="3">
        <f ca="1">IFERROR(__xludf.DUMMYFUNCTION("""COMPUTED_VALUE"""),679)</f>
        <v>679</v>
      </c>
      <c r="AK886" s="3">
        <f ca="1">IFERROR(__xludf.DUMMYFUNCTION("""COMPUTED_VALUE"""),2371)</f>
        <v>2371</v>
      </c>
      <c r="AL886" s="3">
        <f ca="1">IFERROR(__xludf.DUMMYFUNCTION("""COMPUTED_VALUE"""),1830)</f>
        <v>1830</v>
      </c>
      <c r="AM886" s="3">
        <f>IFERROR(Raw_Data!AL886 / Raw_Data!AK886, "")</f>
        <v>0.7718262336566849</v>
      </c>
      <c r="AN886" s="3" t="str">
        <f>IF(ISBLANK(Raw_Data!AL886), "No", "Yes")</f>
        <v>Yes</v>
      </c>
      <c r="AO886" s="3">
        <f>IFERROR(Raw_Data!Z886/60, "")</f>
        <v>7.2166666666666668</v>
      </c>
    </row>
    <row r="887" spans="1:41" ht="13">
      <c r="A887" s="3">
        <f ca="1">IFERROR(__xludf.DUMMYFUNCTION("""COMPUTED_VALUE"""),661)</f>
        <v>661</v>
      </c>
      <c r="B887" s="3"/>
      <c r="C887" s="3">
        <f ca="1">IFERROR(__xludf.DUMMYFUNCTION("""COMPUTED_VALUE"""),4050)</f>
        <v>4050</v>
      </c>
      <c r="D887" s="3" t="str">
        <f ca="1">IFERROR(__xludf.DUMMYFUNCTION("""COMPUTED_VALUE"""),"Doorlanta")</f>
        <v>Doorlanta</v>
      </c>
      <c r="E887" s="3" t="str">
        <f ca="1">IFERROR(__xludf.DUMMYFUNCTION("""COMPUTED_VALUE"""),"Galaxy A")</f>
        <v>Galaxy A</v>
      </c>
      <c r="F887" s="3" t="str">
        <f ca="1">IFERROR(__xludf.DUMMYFUNCTION("""COMPUTED_VALUE"""),"Abhai")</f>
        <v>Abhai</v>
      </c>
      <c r="G887" s="3">
        <f ca="1">IFERROR(__xludf.DUMMYFUNCTION("""COMPUTED_VALUE"""),0)</f>
        <v>0</v>
      </c>
      <c r="H887" s="3" t="str">
        <f ca="1">IFERROR(__xludf.DUMMYFUNCTION("""COMPUTED_VALUE"""),"car")</f>
        <v>car</v>
      </c>
      <c r="I887" s="3" t="str">
        <f ca="1">IFERROR(__xludf.DUMMYFUNCTION("""COMPUTED_VALUE"""),"2055-06-05T22:53:42.79029Z")</f>
        <v>2055-06-05T22:53:42.79029Z</v>
      </c>
      <c r="J887" s="3" t="str">
        <f ca="1">IFERROR(__xludf.DUMMYFUNCTION("""COMPUTED_VALUE"""),"2055-06-05T23:52:27.859Z")</f>
        <v>2055-06-05T23:52:27.859Z</v>
      </c>
      <c r="K887" s="3" t="str">
        <f ca="1">IFERROR(__xludf.DUMMYFUNCTION("""COMPUTED_VALUE"""),"2055-06-05T23:32:48.859Z")</f>
        <v>2055-06-05T23:32:48.859Z</v>
      </c>
      <c r="L887" s="3">
        <f ca="1">IFERROR(__xludf.DUMMYFUNCTION("""COMPUTED_VALUE"""),1)</f>
        <v>1</v>
      </c>
      <c r="M887" s="3">
        <f ca="1">IFERROR(__xludf.DUMMYFUNCTION("""COMPUTED_VALUE"""),0)</f>
        <v>0</v>
      </c>
      <c r="N887" s="3" t="str">
        <f ca="1">IFERROR(__xludf.DUMMYFUNCTION("""COMPUTED_VALUE"""),"2055-06-05T23:08:41.786913Z")</f>
        <v>2055-06-05T23:08:41.786913Z</v>
      </c>
      <c r="O887" s="3" t="str">
        <f ca="1">IFERROR(__xludf.DUMMYFUNCTION("""COMPUTED_VALUE"""),"2055-06-05T23:35:30.641557Z")</f>
        <v>2055-06-05T23:35:30.641557Z</v>
      </c>
      <c r="P887" s="3" t="str">
        <f ca="1">IFERROR(__xludf.DUMMYFUNCTION("""COMPUTED_VALUE"""),"2055-06-05T23:02:47.443228Z")</f>
        <v>2055-06-05T23:02:47.443228Z</v>
      </c>
      <c r="Q887" s="3">
        <f ca="1">IFERROR(__xludf.DUMMYFUNCTION("""COMPUTED_VALUE"""),0)</f>
        <v>0</v>
      </c>
      <c r="R887" s="3" t="str">
        <f ca="1">IFERROR(__xludf.DUMMYFUNCTION("""COMPUTED_VALUE"""),"2055-06-05T23:02:52.856529Z")</f>
        <v>2055-06-05T23:02:52.856529Z</v>
      </c>
      <c r="S887" s="3" t="str">
        <f ca="1">IFERROR(__xludf.DUMMYFUNCTION("""COMPUTED_VALUE"""),"2055-06-05T23:10:18.564055Z")</f>
        <v>2055-06-05T23:10:18.564055Z</v>
      </c>
      <c r="T887" s="3"/>
      <c r="U887" s="4">
        <f ca="1">IFERROR(__xludf.DUMMYFUNCTION("""COMPUTED_VALUE"""),56770)</f>
        <v>56770</v>
      </c>
      <c r="V887" s="3">
        <f ca="1">IFERROR(__xludf.DUMMYFUNCTION("""COMPUTED_VALUE"""),4.8)</f>
        <v>4.8</v>
      </c>
      <c r="W887" s="3">
        <f ca="1">IFERROR(__xludf.DUMMYFUNCTION("""COMPUTED_VALUE"""),1500)</f>
        <v>1500</v>
      </c>
      <c r="X887" s="3">
        <f ca="1">IFERROR(__xludf.DUMMYFUNCTION("""COMPUTED_VALUE"""),1958)</f>
        <v>1958</v>
      </c>
      <c r="Y887" s="3">
        <f ca="1">IFERROR(__xludf.DUMMYFUNCTION("""COMPUTED_VALUE"""),446)</f>
        <v>446</v>
      </c>
      <c r="Z887" s="3"/>
      <c r="AA887" s="3">
        <f ca="1">IFERROR(__xludf.DUMMYFUNCTION("""COMPUTED_VALUE"""),1609)</f>
        <v>1609</v>
      </c>
      <c r="AB887" s="3">
        <f ca="1">IFERROR(__xludf.DUMMYFUNCTION("""COMPUTED_VALUE"""),1)</f>
        <v>1</v>
      </c>
      <c r="AC887" s="3">
        <f ca="1">IFERROR(__xludf.DUMMYFUNCTION("""COMPUTED_VALUE"""),1)</f>
        <v>1</v>
      </c>
      <c r="AD887" s="3"/>
      <c r="AE887" s="3" t="str">
        <f ca="1">IFERROR(__xludf.DUMMYFUNCTION("""COMPUTED_VALUE"""),"2055-06-05T19:08:41.786913Z")</f>
        <v>2055-06-05T19:08:41.786913Z</v>
      </c>
      <c r="AF887" s="3" t="str">
        <f ca="1">IFERROR(__xludf.DUMMYFUNCTION("""COMPUTED_VALUE"""),"2055-06-05T19:35:30.641557Z")</f>
        <v>2055-06-05T19:35:30.641557Z</v>
      </c>
      <c r="AG887" s="3" t="str">
        <f ca="1">IFERROR(__xludf.DUMMYFUNCTION("""COMPUTED_VALUE"""),"2055-06-05T19:02:47.443228Z")</f>
        <v>2055-06-05T19:02:47.443228Z</v>
      </c>
      <c r="AH887" s="3" t="str">
        <f ca="1">IFERROR(__xludf.DUMMYFUNCTION("""COMPUTED_VALUE"""),"2055-06-05T19:10:18.564055Z")</f>
        <v>2055-06-05T19:10:18.564055Z</v>
      </c>
      <c r="AI887" s="3">
        <f ca="1">IFERROR(__xludf.DUMMYFUNCTION("""COMPUTED_VALUE"""),4.56)</f>
        <v>4.5599999999999996</v>
      </c>
      <c r="AJ887" s="3">
        <f ca="1">IFERROR(__xludf.DUMMYFUNCTION("""COMPUTED_VALUE"""),344)</f>
        <v>344</v>
      </c>
      <c r="AK887" s="3">
        <f ca="1">IFERROR(__xludf.DUMMYFUNCTION("""COMPUTED_VALUE"""),947)</f>
        <v>947</v>
      </c>
      <c r="AL887" s="3">
        <f ca="1">IFERROR(__xludf.DUMMYFUNCTION("""COMPUTED_VALUE"""),22)</f>
        <v>22</v>
      </c>
      <c r="AM887" s="3">
        <f>IFERROR(Raw_Data!AL887 / Raw_Data!AK887, "")</f>
        <v>2.3231256599788808E-2</v>
      </c>
      <c r="AN887" s="3" t="str">
        <f>IF(ISBLANK(Raw_Data!AL887), "No", "Yes")</f>
        <v>Yes</v>
      </c>
      <c r="AO887" s="3">
        <f>IFERROR(Raw_Data!Z887/60, "")</f>
        <v>0</v>
      </c>
    </row>
    <row r="888" spans="1:41" ht="13">
      <c r="A888" s="3">
        <f ca="1">IFERROR(__xludf.DUMMYFUNCTION("""COMPUTED_VALUE"""),728)</f>
        <v>728</v>
      </c>
      <c r="B888" s="3"/>
      <c r="C888" s="3">
        <f ca="1">IFERROR(__xludf.DUMMYFUNCTION("""COMPUTED_VALUE"""),4050)</f>
        <v>4050</v>
      </c>
      <c r="D888" s="3" t="str">
        <f ca="1">IFERROR(__xludf.DUMMYFUNCTION("""COMPUTED_VALUE"""),"Doorlanta")</f>
        <v>Doorlanta</v>
      </c>
      <c r="E888" s="3" t="str">
        <f ca="1">IFERROR(__xludf.DUMMYFUNCTION("""COMPUTED_VALUE"""),"Galaxy A")</f>
        <v>Galaxy A</v>
      </c>
      <c r="F888" s="3" t="str">
        <f ca="1">IFERROR(__xludf.DUMMYFUNCTION("""COMPUTED_VALUE"""),"Joe")</f>
        <v>Joe</v>
      </c>
      <c r="G888" s="3">
        <f ca="1">IFERROR(__xludf.DUMMYFUNCTION("""COMPUTED_VALUE"""),0)</f>
        <v>0</v>
      </c>
      <c r="H888" s="3" t="str">
        <f ca="1">IFERROR(__xludf.DUMMYFUNCTION("""COMPUTED_VALUE"""),"car")</f>
        <v>car</v>
      </c>
      <c r="I888" s="3" t="str">
        <f ca="1">IFERROR(__xludf.DUMMYFUNCTION("""COMPUTED_VALUE"""),"2055-06-06T15:31:12.206043Z")</f>
        <v>2055-06-06T15:31:12.206043Z</v>
      </c>
      <c r="J888" s="3" t="str">
        <f ca="1">IFERROR(__xludf.DUMMYFUNCTION("""COMPUTED_VALUE"""),"2055-06-06T16:34:05.284Z")</f>
        <v>2055-06-06T16:34:05.284Z</v>
      </c>
      <c r="K888" s="3" t="str">
        <f ca="1">IFERROR(__xludf.DUMMYFUNCTION("""COMPUTED_VALUE"""),"2055-06-06T16:20:52.284Z")</f>
        <v>2055-06-06T16:20:52.284Z</v>
      </c>
      <c r="L888" s="3">
        <f ca="1">IFERROR(__xludf.DUMMYFUNCTION("""COMPUTED_VALUE"""),1)</f>
        <v>1</v>
      </c>
      <c r="M888" s="3">
        <f ca="1">IFERROR(__xludf.DUMMYFUNCTION("""COMPUTED_VALUE"""),0)</f>
        <v>0</v>
      </c>
      <c r="N888" s="3" t="str">
        <f ca="1">IFERROR(__xludf.DUMMYFUNCTION("""COMPUTED_VALUE"""),"2055-06-06T15:47:47.020787Z")</f>
        <v>2055-06-06T15:47:47.020787Z</v>
      </c>
      <c r="O888" s="3" t="str">
        <f ca="1">IFERROR(__xludf.DUMMYFUNCTION("""COMPUTED_VALUE"""),"2055-06-06T15:49:57.179338Z")</f>
        <v>2055-06-06T15:49:57.179338Z</v>
      </c>
      <c r="P888" s="3" t="str">
        <f ca="1">IFERROR(__xludf.DUMMYFUNCTION("""COMPUTED_VALUE"""),"2055-06-06T15:32:47.330964Z")</f>
        <v>2055-06-06T15:32:47.330964Z</v>
      </c>
      <c r="Q888" s="3">
        <f ca="1">IFERROR(__xludf.DUMMYFUNCTION("""COMPUTED_VALUE"""),0)</f>
        <v>0</v>
      </c>
      <c r="R888" s="3" t="str">
        <f ca="1">IFERROR(__xludf.DUMMYFUNCTION("""COMPUTED_VALUE"""),"2055-06-06T15:33:57.165999Z")</f>
        <v>2055-06-06T15:33:57.165999Z</v>
      </c>
      <c r="S888" s="3" t="str">
        <f ca="1">IFERROR(__xludf.DUMMYFUNCTION("""COMPUTED_VALUE"""),"2055-06-06T15:43:51.73791Z")</f>
        <v>2055-06-06T15:43:51.73791Z</v>
      </c>
      <c r="T888" s="3"/>
      <c r="U888" s="4">
        <f ca="1">IFERROR(__xludf.DUMMYFUNCTION("""COMPUTED_VALUE"""),56771)</f>
        <v>56771</v>
      </c>
      <c r="V888" s="3">
        <f ca="1">IFERROR(__xludf.DUMMYFUNCTION("""COMPUTED_VALUE"""),4.7)</f>
        <v>4.7</v>
      </c>
      <c r="W888" s="3">
        <f ca="1">IFERROR(__xludf.DUMMYFUNCTION("""COMPUTED_VALUE"""),1500)</f>
        <v>1500</v>
      </c>
      <c r="X888" s="3">
        <f ca="1">IFERROR(__xludf.DUMMYFUNCTION("""COMPUTED_VALUE"""),960)</f>
        <v>960</v>
      </c>
      <c r="Y888" s="3">
        <f ca="1">IFERROR(__xludf.DUMMYFUNCTION("""COMPUTED_VALUE"""),594)</f>
        <v>594</v>
      </c>
      <c r="Z888" s="3">
        <f ca="1">IFERROR(__xludf.DUMMYFUNCTION("""COMPUTED_VALUE"""),236)</f>
        <v>236</v>
      </c>
      <c r="AA888" s="3">
        <f ca="1">IFERROR(__xludf.DUMMYFUNCTION("""COMPUTED_VALUE"""),130)</f>
        <v>130</v>
      </c>
      <c r="AB888" s="3">
        <f ca="1">IFERROR(__xludf.DUMMYFUNCTION("""COMPUTED_VALUE"""),0)</f>
        <v>0</v>
      </c>
      <c r="AC888" s="3">
        <f ca="1">IFERROR(__xludf.DUMMYFUNCTION("""COMPUTED_VALUE"""),2)</f>
        <v>2</v>
      </c>
      <c r="AD888" s="3" t="str">
        <f ca="1">IFERROR(__xludf.DUMMYFUNCTION("""COMPUTED_VALUE"""),"on time")</f>
        <v>on time</v>
      </c>
      <c r="AE888" s="3" t="str">
        <f ca="1">IFERROR(__xludf.DUMMYFUNCTION("""COMPUTED_VALUE"""),"2055-06-06T11:47:47.020787Z")</f>
        <v>2055-06-06T11:47:47.020787Z</v>
      </c>
      <c r="AF888" s="3" t="str">
        <f ca="1">IFERROR(__xludf.DUMMYFUNCTION("""COMPUTED_VALUE"""),"2055-06-06T11:49:57.179338Z")</f>
        <v>2055-06-06T11:49:57.179338Z</v>
      </c>
      <c r="AG888" s="3" t="str">
        <f ca="1">IFERROR(__xludf.DUMMYFUNCTION("""COMPUTED_VALUE"""),"2055-06-06T11:32:47.330964Z")</f>
        <v>2055-06-06T11:32:47.330964Z</v>
      </c>
      <c r="AH888" s="3" t="str">
        <f ca="1">IFERROR(__xludf.DUMMYFUNCTION("""COMPUTED_VALUE"""),"2055-06-06T11:43:51.73791Z")</f>
        <v>2055-06-06T11:43:51.73791Z</v>
      </c>
      <c r="AI888" s="3">
        <f ca="1">IFERROR(__xludf.DUMMYFUNCTION("""COMPUTED_VALUE"""),4.38)</f>
        <v>4.38</v>
      </c>
      <c r="AJ888" s="3">
        <f ca="1">IFERROR(__xludf.DUMMYFUNCTION("""COMPUTED_VALUE"""),196)</f>
        <v>196</v>
      </c>
      <c r="AK888" s="3">
        <f ca="1">IFERROR(__xludf.DUMMYFUNCTION("""COMPUTED_VALUE"""),626)</f>
        <v>626</v>
      </c>
      <c r="AL888" s="3"/>
      <c r="AM888" s="3">
        <f>IFERROR(Raw_Data!AL888 / Raw_Data!AK888, "")</f>
        <v>0</v>
      </c>
      <c r="AN888" s="3" t="str">
        <f>IF(ISBLANK(Raw_Data!AL888), "No", "Yes")</f>
        <v>No</v>
      </c>
      <c r="AO888" s="3">
        <f>IFERROR(Raw_Data!Z888/60, "")</f>
        <v>3.9333333333333331</v>
      </c>
    </row>
    <row r="889" spans="1:41" ht="13">
      <c r="A889" s="3">
        <f ca="1">IFERROR(__xludf.DUMMYFUNCTION("""COMPUTED_VALUE"""),932)</f>
        <v>932</v>
      </c>
      <c r="B889" s="3"/>
      <c r="C889" s="3">
        <f ca="1">IFERROR(__xludf.DUMMYFUNCTION("""COMPUTED_VALUE"""),4050)</f>
        <v>4050</v>
      </c>
      <c r="D889" s="3" t="str">
        <f ca="1">IFERROR(__xludf.DUMMYFUNCTION("""COMPUTED_VALUE"""),"Doorlanta")</f>
        <v>Doorlanta</v>
      </c>
      <c r="E889" s="3" t="str">
        <f ca="1">IFERROR(__xludf.DUMMYFUNCTION("""COMPUTED_VALUE"""),"Galaxy A")</f>
        <v>Galaxy A</v>
      </c>
      <c r="F889" s="3" t="str">
        <f ca="1">IFERROR(__xludf.DUMMYFUNCTION("""COMPUTED_VALUE"""),"Ash")</f>
        <v>Ash</v>
      </c>
      <c r="G889" s="3">
        <f ca="1">IFERROR(__xludf.DUMMYFUNCTION("""COMPUTED_VALUE"""),0)</f>
        <v>0</v>
      </c>
      <c r="H889" s="3" t="str">
        <f ca="1">IFERROR(__xludf.DUMMYFUNCTION("""COMPUTED_VALUE"""),"car")</f>
        <v>car</v>
      </c>
      <c r="I889" s="3" t="str">
        <f ca="1">IFERROR(__xludf.DUMMYFUNCTION("""COMPUTED_VALUE"""),"2055-06-08T15:02:30.489289Z")</f>
        <v>2055-06-08T15:02:30.489289Z</v>
      </c>
      <c r="J889" s="3" t="str">
        <f ca="1">IFERROR(__xludf.DUMMYFUNCTION("""COMPUTED_VALUE"""),"2055-06-08T15:47:30.572Z")</f>
        <v>2055-06-08T15:47:30.572Z</v>
      </c>
      <c r="K889" s="3" t="str">
        <f ca="1">IFERROR(__xludf.DUMMYFUNCTION("""COMPUTED_VALUE"""),"2055-06-08T15:32:28.572Z")</f>
        <v>2055-06-08T15:32:28.572Z</v>
      </c>
      <c r="L889" s="3">
        <f ca="1">IFERROR(__xludf.DUMMYFUNCTION("""COMPUTED_VALUE"""),1)</f>
        <v>1</v>
      </c>
      <c r="M889" s="3">
        <f ca="1">IFERROR(__xludf.DUMMYFUNCTION("""COMPUTED_VALUE"""),0)</f>
        <v>0</v>
      </c>
      <c r="N889" s="3" t="str">
        <f ca="1">IFERROR(__xludf.DUMMYFUNCTION("""COMPUTED_VALUE"""),"2055-06-08T15:29:04.306184Z")</f>
        <v>2055-06-08T15:29:04.306184Z</v>
      </c>
      <c r="O889" s="3" t="str">
        <f ca="1">IFERROR(__xludf.DUMMYFUNCTION("""COMPUTED_VALUE"""),"2055-06-08T15:29:16.752151Z")</f>
        <v>2055-06-08T15:29:16.752151Z</v>
      </c>
      <c r="P889" s="3" t="str">
        <f ca="1">IFERROR(__xludf.DUMMYFUNCTION("""COMPUTED_VALUE"""),"2055-06-08T15:02:47.24822Z")</f>
        <v>2055-06-08T15:02:47.24822Z</v>
      </c>
      <c r="Q889" s="3">
        <f ca="1">IFERROR(__xludf.DUMMYFUNCTION("""COMPUTED_VALUE"""),0)</f>
        <v>0</v>
      </c>
      <c r="R889" s="3" t="str">
        <f ca="1">IFERROR(__xludf.DUMMYFUNCTION("""COMPUTED_VALUE"""),"2055-06-08T15:03:14.56372Z")</f>
        <v>2055-06-08T15:03:14.56372Z</v>
      </c>
      <c r="S889" s="3" t="str">
        <f ca="1">IFERROR(__xludf.DUMMYFUNCTION("""COMPUTED_VALUE"""),"2055-06-08T15:09:24.581795Z")</f>
        <v>2055-06-08T15:09:24.581795Z</v>
      </c>
      <c r="T889" s="3"/>
      <c r="U889" s="4">
        <f ca="1">IFERROR(__xludf.DUMMYFUNCTION("""COMPUTED_VALUE"""),56773)</f>
        <v>56773</v>
      </c>
      <c r="V889" s="3">
        <f ca="1">IFERROR(__xludf.DUMMYFUNCTION("""COMPUTED_VALUE"""),4.5)</f>
        <v>4.5</v>
      </c>
      <c r="W889" s="3">
        <f ca="1">IFERROR(__xludf.DUMMYFUNCTION("""COMPUTED_VALUE"""),1500)</f>
        <v>1500</v>
      </c>
      <c r="X889" s="3">
        <f ca="1">IFERROR(__xludf.DUMMYFUNCTION("""COMPUTED_VALUE"""),1562)</f>
        <v>1562</v>
      </c>
      <c r="Y889" s="3">
        <f ca="1">IFERROR(__xludf.DUMMYFUNCTION("""COMPUTED_VALUE"""),370)</f>
        <v>370</v>
      </c>
      <c r="Z889" s="3">
        <f ca="1">IFERROR(__xludf.DUMMYFUNCTION("""COMPUTED_VALUE"""),1180)</f>
        <v>1180</v>
      </c>
      <c r="AA889" s="3">
        <f ca="1">IFERROR(__xludf.DUMMYFUNCTION("""COMPUTED_VALUE"""),12)</f>
        <v>12</v>
      </c>
      <c r="AB889" s="3">
        <f ca="1">IFERROR(__xludf.DUMMYFUNCTION("""COMPUTED_VALUE"""),0)</f>
        <v>0</v>
      </c>
      <c r="AC889" s="3">
        <f ca="1">IFERROR(__xludf.DUMMYFUNCTION("""COMPUTED_VALUE"""),2)</f>
        <v>2</v>
      </c>
      <c r="AD889" s="3" t="str">
        <f ca="1">IFERROR(__xludf.DUMMYFUNCTION("""COMPUTED_VALUE"""),"early")</f>
        <v>early</v>
      </c>
      <c r="AE889" s="3" t="str">
        <f ca="1">IFERROR(__xludf.DUMMYFUNCTION("""COMPUTED_VALUE"""),"2055-06-08T11:29:04.306184Z")</f>
        <v>2055-06-08T11:29:04.306184Z</v>
      </c>
      <c r="AF889" s="3" t="str">
        <f ca="1">IFERROR(__xludf.DUMMYFUNCTION("""COMPUTED_VALUE"""),"2055-06-08T11:29:16.752151Z")</f>
        <v>2055-06-08T11:29:16.752151Z</v>
      </c>
      <c r="AG889" s="3" t="str">
        <f ca="1">IFERROR(__xludf.DUMMYFUNCTION("""COMPUTED_VALUE"""),"2055-06-08T11:02:47.24822Z")</f>
        <v>2055-06-08T11:02:47.24822Z</v>
      </c>
      <c r="AH889" s="3" t="str">
        <f ca="1">IFERROR(__xludf.DUMMYFUNCTION("""COMPUTED_VALUE"""),"2055-06-08T11:09:24.581795Z")</f>
        <v>2055-06-08T11:09:24.581795Z</v>
      </c>
      <c r="AI889" s="3">
        <f ca="1">IFERROR(__xludf.DUMMYFUNCTION("""COMPUTED_VALUE"""),4.66)</f>
        <v>4.66</v>
      </c>
      <c r="AJ889" s="3">
        <f ca="1">IFERROR(__xludf.DUMMYFUNCTION("""COMPUTED_VALUE"""),161)</f>
        <v>161</v>
      </c>
      <c r="AK889" s="3">
        <f ca="1">IFERROR(__xludf.DUMMYFUNCTION("""COMPUTED_VALUE"""),398)</f>
        <v>398</v>
      </c>
      <c r="AL889" s="3"/>
      <c r="AM889" s="3">
        <f>IFERROR(Raw_Data!AL889 / Raw_Data!AK889, "")</f>
        <v>0</v>
      </c>
      <c r="AN889" s="3" t="str">
        <f>IF(ISBLANK(Raw_Data!AL889), "No", "Yes")</f>
        <v>No</v>
      </c>
      <c r="AO889" s="3">
        <f>IFERROR(Raw_Data!Z889/60, "")</f>
        <v>19.666666666666668</v>
      </c>
    </row>
    <row r="890" spans="1:41" ht="13">
      <c r="A890" s="3">
        <f ca="1">IFERROR(__xludf.DUMMYFUNCTION("""COMPUTED_VALUE"""),946)</f>
        <v>946</v>
      </c>
      <c r="B890" s="3"/>
      <c r="C890" s="3">
        <f ca="1">IFERROR(__xludf.DUMMYFUNCTION("""COMPUTED_VALUE"""),4001)</f>
        <v>4001</v>
      </c>
      <c r="D890" s="3" t="str">
        <f ca="1">IFERROR(__xludf.DUMMYFUNCTION("""COMPUTED_VALUE"""),"Dashattan")</f>
        <v>Dashattan</v>
      </c>
      <c r="E890" s="3" t="str">
        <f ca="1">IFERROR(__xludf.DUMMYFUNCTION("""COMPUTED_VALUE"""),"Galaxy A")</f>
        <v>Galaxy A</v>
      </c>
      <c r="F890" s="3" t="str">
        <f ca="1">IFERROR(__xludf.DUMMYFUNCTION("""COMPUTED_VALUE"""),"Sean")</f>
        <v>Sean</v>
      </c>
      <c r="G890" s="3">
        <f ca="1">IFERROR(__xludf.DUMMYFUNCTION("""COMPUTED_VALUE"""),0)</f>
        <v>0</v>
      </c>
      <c r="H890" s="3" t="str">
        <f ca="1">IFERROR(__xludf.DUMMYFUNCTION("""COMPUTED_VALUE"""),"bicycle")</f>
        <v>bicycle</v>
      </c>
      <c r="I890" s="3" t="str">
        <f ca="1">IFERROR(__xludf.DUMMYFUNCTION("""COMPUTED_VALUE"""),"2055-06-08T16:46:36.814201Z")</f>
        <v>2055-06-08T16:46:36.814201Z</v>
      </c>
      <c r="J890" s="3" t="str">
        <f ca="1">IFERROR(__xludf.DUMMYFUNCTION("""COMPUTED_VALUE"""),"2055-06-08T17:38:48.867Z")</f>
        <v>2055-06-08T17:38:48.867Z</v>
      </c>
      <c r="K890" s="3" t="str">
        <f ca="1">IFERROR(__xludf.DUMMYFUNCTION("""COMPUTED_VALUE"""),"2055-06-08T17:20:30.867Z")</f>
        <v>2055-06-08T17:20:30.867Z</v>
      </c>
      <c r="L890" s="3">
        <f ca="1">IFERROR(__xludf.DUMMYFUNCTION("""COMPUTED_VALUE"""),1)</f>
        <v>1</v>
      </c>
      <c r="M890" s="3">
        <f ca="1">IFERROR(__xludf.DUMMYFUNCTION("""COMPUTED_VALUE"""),0)</f>
        <v>0</v>
      </c>
      <c r="N890" s="3" t="str">
        <f ca="1">IFERROR(__xludf.DUMMYFUNCTION("""COMPUTED_VALUE"""),"2055-06-08T17:02:26.13246Z")</f>
        <v>2055-06-08T17:02:26.13246Z</v>
      </c>
      <c r="O890" s="3" t="str">
        <f ca="1">IFERROR(__xludf.DUMMYFUNCTION("""COMPUTED_VALUE"""),"2055-06-08T17:18:34.532763Z")</f>
        <v>2055-06-08T17:18:34.532763Z</v>
      </c>
      <c r="P890" s="3" t="str">
        <f ca="1">IFERROR(__xludf.DUMMYFUNCTION("""COMPUTED_VALUE"""),"2055-06-08T16:46:54.164278Z")</f>
        <v>2055-06-08T16:46:54.164278Z</v>
      </c>
      <c r="Q890" s="3">
        <f ca="1">IFERROR(__xludf.DUMMYFUNCTION("""COMPUTED_VALUE"""),0)</f>
        <v>0</v>
      </c>
      <c r="R890" s="3" t="str">
        <f ca="1">IFERROR(__xludf.DUMMYFUNCTION("""COMPUTED_VALUE"""),"2055-06-08T16:47:13.333282Z")</f>
        <v>2055-06-08T16:47:13.333282Z</v>
      </c>
      <c r="S890" s="3" t="str">
        <f ca="1">IFERROR(__xludf.DUMMYFUNCTION("""COMPUTED_VALUE"""),"2055-06-08T16:47:22.083175Z")</f>
        <v>2055-06-08T16:47:22.083175Z</v>
      </c>
      <c r="T890" s="3"/>
      <c r="U890" s="4">
        <f ca="1">IFERROR(__xludf.DUMMYFUNCTION("""COMPUTED_VALUE"""),56773)</f>
        <v>56773</v>
      </c>
      <c r="V890" s="3">
        <f ca="1">IFERROR(__xludf.DUMMYFUNCTION("""COMPUTED_VALUE"""),4.3)</f>
        <v>4.3</v>
      </c>
      <c r="W890" s="3">
        <f ca="1">IFERROR(__xludf.DUMMYFUNCTION("""COMPUTED_VALUE"""),1500)</f>
        <v>1500</v>
      </c>
      <c r="X890" s="3">
        <f ca="1">IFERROR(__xludf.DUMMYFUNCTION("""COMPUTED_VALUE"""),1881)</f>
        <v>1881</v>
      </c>
      <c r="Y890" s="3">
        <f ca="1">IFERROR(__xludf.DUMMYFUNCTION("""COMPUTED_VALUE"""),9)</f>
        <v>9</v>
      </c>
      <c r="Z890" s="3">
        <f ca="1">IFERROR(__xludf.DUMMYFUNCTION("""COMPUTED_VALUE"""),904)</f>
        <v>904</v>
      </c>
      <c r="AA890" s="3">
        <f ca="1">IFERROR(__xludf.DUMMYFUNCTION("""COMPUTED_VALUE"""),968)</f>
        <v>968</v>
      </c>
      <c r="AB890" s="3">
        <f ca="1">IFERROR(__xludf.DUMMYFUNCTION("""COMPUTED_VALUE"""),1)</f>
        <v>1</v>
      </c>
      <c r="AC890" s="3">
        <f ca="1">IFERROR(__xludf.DUMMYFUNCTION("""COMPUTED_VALUE"""),1)</f>
        <v>1</v>
      </c>
      <c r="AD890" s="3"/>
      <c r="AE890" s="3" t="str">
        <f ca="1">IFERROR(__xludf.DUMMYFUNCTION("""COMPUTED_VALUE"""),"2055-06-08T13:02:26.13246Z")</f>
        <v>2055-06-08T13:02:26.13246Z</v>
      </c>
      <c r="AF890" s="3" t="str">
        <f ca="1">IFERROR(__xludf.DUMMYFUNCTION("""COMPUTED_VALUE"""),"2055-06-08T13:18:34.532763Z")</f>
        <v>2055-06-08T13:18:34.532763Z</v>
      </c>
      <c r="AG890" s="3" t="str">
        <f ca="1">IFERROR(__xludf.DUMMYFUNCTION("""COMPUTED_VALUE"""),"2055-06-08T12:46:54.164278Z")</f>
        <v>2055-06-08T12:46:54.164278Z</v>
      </c>
      <c r="AH890" s="3" t="str">
        <f ca="1">IFERROR(__xludf.DUMMYFUNCTION("""COMPUTED_VALUE"""),"2055-06-08T12:47:22.083175Z")</f>
        <v>2055-06-08T12:47:22.083175Z</v>
      </c>
      <c r="AI890" s="3">
        <f ca="1">IFERROR(__xludf.DUMMYFUNCTION("""COMPUTED_VALUE"""),4.52)</f>
        <v>4.5199999999999996</v>
      </c>
      <c r="AJ890" s="3">
        <f ca="1">IFERROR(__xludf.DUMMYFUNCTION("""COMPUTED_VALUE"""),183)</f>
        <v>183</v>
      </c>
      <c r="AK890" s="3">
        <f ca="1">IFERROR(__xludf.DUMMYFUNCTION("""COMPUTED_VALUE"""),522)</f>
        <v>522</v>
      </c>
      <c r="AL890" s="3"/>
      <c r="AM890" s="3">
        <f>IFERROR(Raw_Data!AL890 / Raw_Data!AK890, "")</f>
        <v>0</v>
      </c>
      <c r="AN890" s="3" t="str">
        <f>IF(ISBLANK(Raw_Data!AL890), "No", "Yes")</f>
        <v>No</v>
      </c>
      <c r="AO890" s="3">
        <f>IFERROR(Raw_Data!Z890/60, "")</f>
        <v>15.066666666666666</v>
      </c>
    </row>
    <row r="891" spans="1:41" ht="13">
      <c r="A891" s="3">
        <f ca="1">IFERROR(__xludf.DUMMYFUNCTION("""COMPUTED_VALUE"""),1126)</f>
        <v>1126</v>
      </c>
      <c r="B891" s="3"/>
      <c r="C891" s="3">
        <f ca="1">IFERROR(__xludf.DUMMYFUNCTION("""COMPUTED_VALUE"""),4001)</f>
        <v>4001</v>
      </c>
      <c r="D891" s="3" t="str">
        <f ca="1">IFERROR(__xludf.DUMMYFUNCTION("""COMPUTED_VALUE"""),"Dashattan")</f>
        <v>Dashattan</v>
      </c>
      <c r="E891" s="3" t="str">
        <f ca="1">IFERROR(__xludf.DUMMYFUNCTION("""COMPUTED_VALUE"""),"Galaxy A")</f>
        <v>Galaxy A</v>
      </c>
      <c r="F891" s="3" t="str">
        <f ca="1">IFERROR(__xludf.DUMMYFUNCTION("""COMPUTED_VALUE"""),"Rojan")</f>
        <v>Rojan</v>
      </c>
      <c r="G891" s="3">
        <f ca="1">IFERROR(__xludf.DUMMYFUNCTION("""COMPUTED_VALUE"""),0)</f>
        <v>0</v>
      </c>
      <c r="H891" s="3" t="str">
        <f ca="1">IFERROR(__xludf.DUMMYFUNCTION("""COMPUTED_VALUE"""),"bicycle")</f>
        <v>bicycle</v>
      </c>
      <c r="I891" s="3" t="str">
        <f ca="1">IFERROR(__xludf.DUMMYFUNCTION("""COMPUTED_VALUE"""),"2055-06-10T15:54:12.701639Z")</f>
        <v>2055-06-10T15:54:12.701639Z</v>
      </c>
      <c r="J891" s="3" t="str">
        <f ca="1">IFERROR(__xludf.DUMMYFUNCTION("""COMPUTED_VALUE"""),"2055-06-10T16:27:13.758Z")</f>
        <v>2055-06-10T16:27:13.758Z</v>
      </c>
      <c r="K891" s="3" t="str">
        <f ca="1">IFERROR(__xludf.DUMMYFUNCTION("""COMPUTED_VALUE"""),"2055-06-10T16:18:20.758Z")</f>
        <v>2055-06-10T16:18:20.758Z</v>
      </c>
      <c r="L891" s="3">
        <f ca="1">IFERROR(__xludf.DUMMYFUNCTION("""COMPUTED_VALUE"""),1)</f>
        <v>1</v>
      </c>
      <c r="M891" s="3">
        <f ca="1">IFERROR(__xludf.DUMMYFUNCTION("""COMPUTED_VALUE"""),0)</f>
        <v>0</v>
      </c>
      <c r="N891" s="3" t="str">
        <f ca="1">IFERROR(__xludf.DUMMYFUNCTION("""COMPUTED_VALUE"""),"2055-06-10T16:30:59.160702Z")</f>
        <v>2055-06-10T16:30:59.160702Z</v>
      </c>
      <c r="O891" s="3" t="str">
        <f ca="1">IFERROR(__xludf.DUMMYFUNCTION("""COMPUTED_VALUE"""),"2055-06-10T16:42:44.211848Z")</f>
        <v>2055-06-10T16:42:44.211848Z</v>
      </c>
      <c r="P891" s="3" t="str">
        <f ca="1">IFERROR(__xludf.DUMMYFUNCTION("""COMPUTED_VALUE"""),"2055-06-10T15:59:14.598259Z")</f>
        <v>2055-06-10T15:59:14.598259Z</v>
      </c>
      <c r="Q891" s="3">
        <f ca="1">IFERROR(__xludf.DUMMYFUNCTION("""COMPUTED_VALUE"""),0)</f>
        <v>0</v>
      </c>
      <c r="R891" s="3" t="str">
        <f ca="1">IFERROR(__xludf.DUMMYFUNCTION("""COMPUTED_VALUE"""),"2055-06-10T15:59:28.308833Z")</f>
        <v>2055-06-10T15:59:28.308833Z</v>
      </c>
      <c r="S891" s="3"/>
      <c r="T891" s="3"/>
      <c r="U891" s="4">
        <f ca="1">IFERROR(__xludf.DUMMYFUNCTION("""COMPUTED_VALUE"""),56775)</f>
        <v>56775</v>
      </c>
      <c r="V891" s="3">
        <f ca="1">IFERROR(__xludf.DUMMYFUNCTION("""COMPUTED_VALUE"""),3.979211633)</f>
        <v>3.9792116329999998</v>
      </c>
      <c r="W891" s="3">
        <f ca="1">IFERROR(__xludf.DUMMYFUNCTION("""COMPUTED_VALUE"""),1500)</f>
        <v>1500</v>
      </c>
      <c r="X891" s="3">
        <f ca="1">IFERROR(__xludf.DUMMYFUNCTION("""COMPUTED_VALUE"""),2596)</f>
        <v>2596</v>
      </c>
      <c r="Y891" s="3"/>
      <c r="Z891" s="3"/>
      <c r="AA891" s="3">
        <f ca="1">IFERROR(__xludf.DUMMYFUNCTION("""COMPUTED_VALUE"""),705)</f>
        <v>705</v>
      </c>
      <c r="AB891" s="3">
        <f ca="1">IFERROR(__xludf.DUMMYFUNCTION("""COMPUTED_VALUE"""),1)</f>
        <v>1</v>
      </c>
      <c r="AC891" s="3">
        <f ca="1">IFERROR(__xludf.DUMMYFUNCTION("""COMPUTED_VALUE"""),1)</f>
        <v>1</v>
      </c>
      <c r="AD891" s="3"/>
      <c r="AE891" s="3" t="str">
        <f ca="1">IFERROR(__xludf.DUMMYFUNCTION("""COMPUTED_VALUE"""),"2055-06-10T12:30:59.160702Z")</f>
        <v>2055-06-10T12:30:59.160702Z</v>
      </c>
      <c r="AF891" s="3" t="str">
        <f ca="1">IFERROR(__xludf.DUMMYFUNCTION("""COMPUTED_VALUE"""),"2055-06-10T12:42:44.211848Z")</f>
        <v>2055-06-10T12:42:44.211848Z</v>
      </c>
      <c r="AG891" s="3" t="str">
        <f ca="1">IFERROR(__xludf.DUMMYFUNCTION("""COMPUTED_VALUE"""),"2055-06-10T11:59:14.598259Z")</f>
        <v>2055-06-10T11:59:14.598259Z</v>
      </c>
      <c r="AH891" s="3"/>
      <c r="AI891" s="3">
        <f ca="1">IFERROR(__xludf.DUMMYFUNCTION("""COMPUTED_VALUE"""),4.58)</f>
        <v>4.58</v>
      </c>
      <c r="AJ891" s="3">
        <f ca="1">IFERROR(__xludf.DUMMYFUNCTION("""COMPUTED_VALUE"""),254)</f>
        <v>254</v>
      </c>
      <c r="AK891" s="3">
        <f ca="1">IFERROR(__xludf.DUMMYFUNCTION("""COMPUTED_VALUE"""),788)</f>
        <v>788</v>
      </c>
      <c r="AL891" s="3">
        <f ca="1">IFERROR(__xludf.DUMMYFUNCTION("""COMPUTED_VALUE"""),9)</f>
        <v>9</v>
      </c>
      <c r="AM891" s="3">
        <f>IFERROR(Raw_Data!AL891 / Raw_Data!AK891, "")</f>
        <v>1.1421319796954314E-2</v>
      </c>
      <c r="AN891" s="3" t="str">
        <f>IF(ISBLANK(Raw_Data!AL891), "No", "Yes")</f>
        <v>Yes</v>
      </c>
      <c r="AO891" s="3">
        <f>IFERROR(Raw_Data!Z891/60, "")</f>
        <v>0</v>
      </c>
    </row>
    <row r="892" spans="1:41" ht="13">
      <c r="A892" s="3">
        <f ca="1">IFERROR(__xludf.DUMMYFUNCTION("""COMPUTED_VALUE"""),1137)</f>
        <v>1137</v>
      </c>
      <c r="B892" s="3"/>
      <c r="C892" s="3">
        <f ca="1">IFERROR(__xludf.DUMMYFUNCTION("""COMPUTED_VALUE"""),4001)</f>
        <v>4001</v>
      </c>
      <c r="D892" s="3" t="str">
        <f ca="1">IFERROR(__xludf.DUMMYFUNCTION("""COMPUTED_VALUE"""),"Dashattan")</f>
        <v>Dashattan</v>
      </c>
      <c r="E892" s="3" t="str">
        <f ca="1">IFERROR(__xludf.DUMMYFUNCTION("""COMPUTED_VALUE"""),"Galaxy A")</f>
        <v>Galaxy A</v>
      </c>
      <c r="F892" s="3" t="str">
        <f ca="1">IFERROR(__xludf.DUMMYFUNCTION("""COMPUTED_VALUE"""),"KC")</f>
        <v>KC</v>
      </c>
      <c r="G892" s="3">
        <f ca="1">IFERROR(__xludf.DUMMYFUNCTION("""COMPUTED_VALUE"""),0)</f>
        <v>0</v>
      </c>
      <c r="H892" s="3" t="str">
        <f ca="1">IFERROR(__xludf.DUMMYFUNCTION("""COMPUTED_VALUE"""),"car")</f>
        <v>car</v>
      </c>
      <c r="I892" s="3" t="str">
        <f ca="1">IFERROR(__xludf.DUMMYFUNCTION("""COMPUTED_VALUE"""),"2055-06-10T16:29:35.959945Z")</f>
        <v>2055-06-10T16:29:35.959945Z</v>
      </c>
      <c r="J892" s="3" t="str">
        <f ca="1">IFERROR(__xludf.DUMMYFUNCTION("""COMPUTED_VALUE"""),"2055-06-10T17:13:55.012Z")</f>
        <v>2055-06-10T17:13:55.012Z</v>
      </c>
      <c r="K892" s="3" t="str">
        <f ca="1">IFERROR(__xludf.DUMMYFUNCTION("""COMPUTED_VALUE"""),"2055-06-10T16:59:16.012Z")</f>
        <v>2055-06-10T16:59:16.012Z</v>
      </c>
      <c r="L892" s="3">
        <f ca="1">IFERROR(__xludf.DUMMYFUNCTION("""COMPUTED_VALUE"""),1)</f>
        <v>1</v>
      </c>
      <c r="M892" s="3">
        <f ca="1">IFERROR(__xludf.DUMMYFUNCTION("""COMPUTED_VALUE"""),0)</f>
        <v>0</v>
      </c>
      <c r="N892" s="3" t="str">
        <f ca="1">IFERROR(__xludf.DUMMYFUNCTION("""COMPUTED_VALUE"""),"2055-06-10T16:40:19.61151Z")</f>
        <v>2055-06-10T16:40:19.61151Z</v>
      </c>
      <c r="O892" s="3" t="str">
        <f ca="1">IFERROR(__xludf.DUMMYFUNCTION("""COMPUTED_VALUE"""),"2055-06-10T16:48:10.686647Z")</f>
        <v>2055-06-10T16:48:10.686647Z</v>
      </c>
      <c r="P892" s="3" t="str">
        <f ca="1">IFERROR(__xludf.DUMMYFUNCTION("""COMPUTED_VALUE"""),"2055-06-10T16:33:14.285185Z")</f>
        <v>2055-06-10T16:33:14.285185Z</v>
      </c>
      <c r="Q892" s="3">
        <f ca="1">IFERROR(__xludf.DUMMYFUNCTION("""COMPUTED_VALUE"""),0)</f>
        <v>0</v>
      </c>
      <c r="R892" s="3" t="str">
        <f ca="1">IFERROR(__xludf.DUMMYFUNCTION("""COMPUTED_VALUE"""),"2055-06-10T16:33:30.979216Z")</f>
        <v>2055-06-10T16:33:30.979216Z</v>
      </c>
      <c r="S892" s="3" t="str">
        <f ca="1">IFERROR(__xludf.DUMMYFUNCTION("""COMPUTED_VALUE"""),"2055-06-10T16:36:13.417691Z")</f>
        <v>2055-06-10T16:36:13.417691Z</v>
      </c>
      <c r="T892" s="3"/>
      <c r="U892" s="4">
        <f ca="1">IFERROR(__xludf.DUMMYFUNCTION("""COMPUTED_VALUE"""),56775)</f>
        <v>56775</v>
      </c>
      <c r="V892" s="3">
        <f ca="1">IFERROR(__xludf.DUMMYFUNCTION("""COMPUTED_VALUE"""),3.768462177)</f>
        <v>3.768462177</v>
      </c>
      <c r="W892" s="3">
        <f ca="1">IFERROR(__xludf.DUMMYFUNCTION("""COMPUTED_VALUE"""),1500)</f>
        <v>1500</v>
      </c>
      <c r="X892" s="3">
        <f ca="1">IFERROR(__xludf.DUMMYFUNCTION("""COMPUTED_VALUE"""),880)</f>
        <v>880</v>
      </c>
      <c r="Y892" s="3">
        <f ca="1">IFERROR(__xludf.DUMMYFUNCTION("""COMPUTED_VALUE"""),163)</f>
        <v>163</v>
      </c>
      <c r="Z892" s="3">
        <f ca="1">IFERROR(__xludf.DUMMYFUNCTION("""COMPUTED_VALUE"""),246)</f>
        <v>246</v>
      </c>
      <c r="AA892" s="3">
        <f ca="1">IFERROR(__xludf.DUMMYFUNCTION("""COMPUTED_VALUE"""),471)</f>
        <v>471</v>
      </c>
      <c r="AB892" s="3">
        <f ca="1">IFERROR(__xludf.DUMMYFUNCTION("""COMPUTED_VALUE"""),0)</f>
        <v>0</v>
      </c>
      <c r="AC892" s="3">
        <f ca="1">IFERROR(__xludf.DUMMYFUNCTION("""COMPUTED_VALUE"""),2)</f>
        <v>2</v>
      </c>
      <c r="AD892" s="3" t="str">
        <f ca="1">IFERROR(__xludf.DUMMYFUNCTION("""COMPUTED_VALUE"""),"on time")</f>
        <v>on time</v>
      </c>
      <c r="AE892" s="3" t="str">
        <f ca="1">IFERROR(__xludf.DUMMYFUNCTION("""COMPUTED_VALUE"""),"2055-06-10T12:40:19.61151Z")</f>
        <v>2055-06-10T12:40:19.61151Z</v>
      </c>
      <c r="AF892" s="3" t="str">
        <f ca="1">IFERROR(__xludf.DUMMYFUNCTION("""COMPUTED_VALUE"""),"2055-06-10T12:48:10.686647Z")</f>
        <v>2055-06-10T12:48:10.686647Z</v>
      </c>
      <c r="AG892" s="3" t="str">
        <f ca="1">IFERROR(__xludf.DUMMYFUNCTION("""COMPUTED_VALUE"""),"2055-06-10T12:33:14.285185Z")</f>
        <v>2055-06-10T12:33:14.285185Z</v>
      </c>
      <c r="AH892" s="3" t="str">
        <f ca="1">IFERROR(__xludf.DUMMYFUNCTION("""COMPUTED_VALUE"""),"2055-06-10T12:36:13.417691Z")</f>
        <v>2055-06-10T12:36:13.417691Z</v>
      </c>
      <c r="AI892" s="3">
        <f ca="1">IFERROR(__xludf.DUMMYFUNCTION("""COMPUTED_VALUE"""),4.54)</f>
        <v>4.54</v>
      </c>
      <c r="AJ892" s="3">
        <f ca="1">IFERROR(__xludf.DUMMYFUNCTION("""COMPUTED_VALUE"""),2229)</f>
        <v>2229</v>
      </c>
      <c r="AK892" s="3">
        <f ca="1">IFERROR(__xludf.DUMMYFUNCTION("""COMPUTED_VALUE"""),6580)</f>
        <v>6580</v>
      </c>
      <c r="AL892" s="3"/>
      <c r="AM892" s="3">
        <f>IFERROR(Raw_Data!AL892 / Raw_Data!AK892, "")</f>
        <v>0</v>
      </c>
      <c r="AN892" s="3" t="str">
        <f>IF(ISBLANK(Raw_Data!AL892), "No", "Yes")</f>
        <v>No</v>
      </c>
      <c r="AO892" s="3">
        <f>IFERROR(Raw_Data!Z892/60, "")</f>
        <v>4.0999999999999996</v>
      </c>
    </row>
    <row r="893" spans="1:41" ht="13">
      <c r="A893" s="3">
        <f ca="1">IFERROR(__xludf.DUMMYFUNCTION("""COMPUTED_VALUE"""),1271)</f>
        <v>1271</v>
      </c>
      <c r="B893" s="3"/>
      <c r="C893" s="3">
        <f ca="1">IFERROR(__xludf.DUMMYFUNCTION("""COMPUTED_VALUE"""),4001)</f>
        <v>4001</v>
      </c>
      <c r="D893" s="3" t="str">
        <f ca="1">IFERROR(__xludf.DUMMYFUNCTION("""COMPUTED_VALUE"""),"Dashattan")</f>
        <v>Dashattan</v>
      </c>
      <c r="E893" s="3" t="str">
        <f ca="1">IFERROR(__xludf.DUMMYFUNCTION("""COMPUTED_VALUE"""),"Galaxy A")</f>
        <v>Galaxy A</v>
      </c>
      <c r="F893" s="3" t="str">
        <f ca="1">IFERROR(__xludf.DUMMYFUNCTION("""COMPUTED_VALUE"""),"KC")</f>
        <v>KC</v>
      </c>
      <c r="G893" s="3">
        <f ca="1">IFERROR(__xludf.DUMMYFUNCTION("""COMPUTED_VALUE"""),0)</f>
        <v>0</v>
      </c>
      <c r="H893" s="3" t="str">
        <f ca="1">IFERROR(__xludf.DUMMYFUNCTION("""COMPUTED_VALUE"""),"car")</f>
        <v>car</v>
      </c>
      <c r="I893" s="3" t="str">
        <f ca="1">IFERROR(__xludf.DUMMYFUNCTION("""COMPUTED_VALUE"""),"2055-06-11T17:14:52.296083Z")</f>
        <v>2055-06-11T17:14:52.296083Z</v>
      </c>
      <c r="J893" s="3" t="str">
        <f ca="1">IFERROR(__xludf.DUMMYFUNCTION("""COMPUTED_VALUE"""),"2055-06-11T18:06:27.372Z")</f>
        <v>2055-06-11T18:06:27.372Z</v>
      </c>
      <c r="K893" s="3" t="str">
        <f ca="1">IFERROR(__xludf.DUMMYFUNCTION("""COMPUTED_VALUE"""),"2055-06-11T17:46:20.372Z")</f>
        <v>2055-06-11T17:46:20.372Z</v>
      </c>
      <c r="L893" s="3">
        <f ca="1">IFERROR(__xludf.DUMMYFUNCTION("""COMPUTED_VALUE"""),1)</f>
        <v>1</v>
      </c>
      <c r="M893" s="3">
        <f ca="1">IFERROR(__xludf.DUMMYFUNCTION("""COMPUTED_VALUE"""),0)</f>
        <v>0</v>
      </c>
      <c r="N893" s="3" t="str">
        <f ca="1">IFERROR(__xludf.DUMMYFUNCTION("""COMPUTED_VALUE"""),"2055-06-11T17:35:22.606039Z")</f>
        <v>2055-06-11T17:35:22.606039Z</v>
      </c>
      <c r="O893" s="3" t="str">
        <f ca="1">IFERROR(__xludf.DUMMYFUNCTION("""COMPUTED_VALUE"""),"2055-06-11T17:43:42.005272Z")</f>
        <v>2055-06-11T17:43:42.005272Z</v>
      </c>
      <c r="P893" s="3" t="str">
        <f ca="1">IFERROR(__xludf.DUMMYFUNCTION("""COMPUTED_VALUE"""),"2055-06-11T17:18:14.395357Z")</f>
        <v>2055-06-11T17:18:14.395357Z</v>
      </c>
      <c r="Q893" s="3">
        <f ca="1">IFERROR(__xludf.DUMMYFUNCTION("""COMPUTED_VALUE"""),0)</f>
        <v>0</v>
      </c>
      <c r="R893" s="3" t="str">
        <f ca="1">IFERROR(__xludf.DUMMYFUNCTION("""COMPUTED_VALUE"""),"2055-06-11T17:18:28.079582Z")</f>
        <v>2055-06-11T17:18:28.079582Z</v>
      </c>
      <c r="S893" s="3" t="str">
        <f ca="1">IFERROR(__xludf.DUMMYFUNCTION("""COMPUTED_VALUE"""),"2055-06-11T17:25:25.026392Z")</f>
        <v>2055-06-11T17:25:25.026392Z</v>
      </c>
      <c r="T893" s="3"/>
      <c r="U893" s="4">
        <f ca="1">IFERROR(__xludf.DUMMYFUNCTION("""COMPUTED_VALUE"""),56776)</f>
        <v>56776</v>
      </c>
      <c r="V893" s="3">
        <f ca="1">IFERROR(__xludf.DUMMYFUNCTION("""COMPUTED_VALUE"""),4.5)</f>
        <v>4.5</v>
      </c>
      <c r="W893" s="3">
        <f ca="1">IFERROR(__xludf.DUMMYFUNCTION("""COMPUTED_VALUE"""),1500)</f>
        <v>1500</v>
      </c>
      <c r="X893" s="3">
        <f ca="1">IFERROR(__xludf.DUMMYFUNCTION("""COMPUTED_VALUE"""),1514)</f>
        <v>1514</v>
      </c>
      <c r="Y893" s="3">
        <f ca="1">IFERROR(__xludf.DUMMYFUNCTION("""COMPUTED_VALUE"""),417)</f>
        <v>417</v>
      </c>
      <c r="Z893" s="3">
        <f ca="1">IFERROR(__xludf.DUMMYFUNCTION("""COMPUTED_VALUE"""),597)</f>
        <v>597</v>
      </c>
      <c r="AA893" s="3">
        <f ca="1">IFERROR(__xludf.DUMMYFUNCTION("""COMPUTED_VALUE"""),500)</f>
        <v>500</v>
      </c>
      <c r="AB893" s="3">
        <f ca="1">IFERROR(__xludf.DUMMYFUNCTION("""COMPUTED_VALUE"""),0)</f>
        <v>0</v>
      </c>
      <c r="AC893" s="3">
        <f ca="1">IFERROR(__xludf.DUMMYFUNCTION("""COMPUTED_VALUE"""),2)</f>
        <v>2</v>
      </c>
      <c r="AD893" s="3" t="str">
        <f ca="1">IFERROR(__xludf.DUMMYFUNCTION("""COMPUTED_VALUE"""),"on time")</f>
        <v>on time</v>
      </c>
      <c r="AE893" s="3" t="str">
        <f ca="1">IFERROR(__xludf.DUMMYFUNCTION("""COMPUTED_VALUE"""),"2055-06-11T13:35:22.606039Z")</f>
        <v>2055-06-11T13:35:22.606039Z</v>
      </c>
      <c r="AF893" s="3" t="str">
        <f ca="1">IFERROR(__xludf.DUMMYFUNCTION("""COMPUTED_VALUE"""),"2055-06-11T13:43:42.005272Z")</f>
        <v>2055-06-11T13:43:42.005272Z</v>
      </c>
      <c r="AG893" s="3" t="str">
        <f ca="1">IFERROR(__xludf.DUMMYFUNCTION("""COMPUTED_VALUE"""),"2055-06-11T13:18:14.395357Z")</f>
        <v>2055-06-11T13:18:14.395357Z</v>
      </c>
      <c r="AH893" s="3" t="str">
        <f ca="1">IFERROR(__xludf.DUMMYFUNCTION("""COMPUTED_VALUE"""),"2055-06-11T13:25:25.026392Z")</f>
        <v>2055-06-11T13:25:25.026392Z</v>
      </c>
      <c r="AI893" s="3">
        <f ca="1">IFERROR(__xludf.DUMMYFUNCTION("""COMPUTED_VALUE"""),4.54)</f>
        <v>4.54</v>
      </c>
      <c r="AJ893" s="3">
        <f ca="1">IFERROR(__xludf.DUMMYFUNCTION("""COMPUTED_VALUE"""),2229)</f>
        <v>2229</v>
      </c>
      <c r="AK893" s="3">
        <f ca="1">IFERROR(__xludf.DUMMYFUNCTION("""COMPUTED_VALUE"""),6580)</f>
        <v>6580</v>
      </c>
      <c r="AL893" s="3"/>
      <c r="AM893" s="3">
        <f>IFERROR(Raw_Data!AL893 / Raw_Data!AK893, "")</f>
        <v>0</v>
      </c>
      <c r="AN893" s="3" t="str">
        <f>IF(ISBLANK(Raw_Data!AL893), "No", "Yes")</f>
        <v>No</v>
      </c>
      <c r="AO893" s="3">
        <f>IFERROR(Raw_Data!Z893/60, "")</f>
        <v>9.9499999999999993</v>
      </c>
    </row>
    <row r="894" spans="1:41" ht="13">
      <c r="A894" s="3">
        <f ca="1">IFERROR(__xludf.DUMMYFUNCTION("""COMPUTED_VALUE"""),500)</f>
        <v>500</v>
      </c>
      <c r="B894" s="3">
        <f ca="1">IFERROR(__xludf.DUMMYFUNCTION("""COMPUTED_VALUE"""),5)</f>
        <v>5</v>
      </c>
      <c r="C894" s="3">
        <f ca="1">IFERROR(__xludf.DUMMYFUNCTION("""COMPUTED_VALUE"""),4050)</f>
        <v>4050</v>
      </c>
      <c r="D894" s="3" t="str">
        <f ca="1">IFERROR(__xludf.DUMMYFUNCTION("""COMPUTED_VALUE"""),"Doorlanta")</f>
        <v>Doorlanta</v>
      </c>
      <c r="E894" s="3" t="str">
        <f ca="1">IFERROR(__xludf.DUMMYFUNCTION("""COMPUTED_VALUE"""),"Galaxy A")</f>
        <v>Galaxy A</v>
      </c>
      <c r="F894" s="3" t="str">
        <f ca="1">IFERROR(__xludf.DUMMYFUNCTION("""COMPUTED_VALUE"""),"Matthew")</f>
        <v>Matthew</v>
      </c>
      <c r="G894" s="3">
        <f ca="1">IFERROR(__xludf.DUMMYFUNCTION("""COMPUTED_VALUE"""),0)</f>
        <v>0</v>
      </c>
      <c r="H894" s="3" t="str">
        <f ca="1">IFERROR(__xludf.DUMMYFUNCTION("""COMPUTED_VALUE"""),"car")</f>
        <v>car</v>
      </c>
      <c r="I894" s="3" t="str">
        <f ca="1">IFERROR(__xludf.DUMMYFUNCTION("""COMPUTED_VALUE"""),"2055-06-05T00:03:22.527353Z")</f>
        <v>2055-06-05T00:03:22.527353Z</v>
      </c>
      <c r="J894" s="3" t="str">
        <f ca="1">IFERROR(__xludf.DUMMYFUNCTION("""COMPUTED_VALUE"""),"2055-06-05T01:07:28.944Z")</f>
        <v>2055-06-05T01:07:28.944Z</v>
      </c>
      <c r="K894" s="3" t="str">
        <f ca="1">IFERROR(__xludf.DUMMYFUNCTION("""COMPUTED_VALUE"""),"2055-06-05T00:45:34.944Z")</f>
        <v>2055-06-05T00:45:34.944Z</v>
      </c>
      <c r="L894" s="3">
        <f ca="1">IFERROR(__xludf.DUMMYFUNCTION("""COMPUTED_VALUE"""),1)</f>
        <v>1</v>
      </c>
      <c r="M894" s="3">
        <f ca="1">IFERROR(__xludf.DUMMYFUNCTION("""COMPUTED_VALUE"""),0)</f>
        <v>0</v>
      </c>
      <c r="N894" s="3" t="str">
        <f ca="1">IFERROR(__xludf.DUMMYFUNCTION("""COMPUTED_VALUE"""),"2055-06-05T00:37:41.308232Z")</f>
        <v>2055-06-05T00:37:41.308232Z</v>
      </c>
      <c r="O894" s="3" t="str">
        <f ca="1">IFERROR(__xludf.DUMMYFUNCTION("""COMPUTED_VALUE"""),"2055-06-05T00:53:00.435054Z")</f>
        <v>2055-06-05T00:53:00.435054Z</v>
      </c>
      <c r="P894" s="3" t="str">
        <f ca="1">IFERROR(__xludf.DUMMYFUNCTION("""COMPUTED_VALUE"""),"2055-06-05T00:18:27.551031Z")</f>
        <v>2055-06-05T00:18:27.551031Z</v>
      </c>
      <c r="Q894" s="3">
        <f ca="1">IFERROR(__xludf.DUMMYFUNCTION("""COMPUTED_VALUE"""),0)</f>
        <v>0</v>
      </c>
      <c r="R894" s="3" t="str">
        <f ca="1">IFERROR(__xludf.DUMMYFUNCTION("""COMPUTED_VALUE"""),"2055-06-05T00:18:31.083386Z")</f>
        <v>2055-06-05T00:18:31.083386Z</v>
      </c>
      <c r="S894" s="3" t="str">
        <f ca="1">IFERROR(__xludf.DUMMYFUNCTION("""COMPUTED_VALUE"""),"2055-06-05T00:30:11.29468Z")</f>
        <v>2055-06-05T00:30:11.29468Z</v>
      </c>
      <c r="T894" s="3"/>
      <c r="U894" s="4">
        <f ca="1">IFERROR(__xludf.DUMMYFUNCTION("""COMPUTED_VALUE"""),56769)</f>
        <v>56769</v>
      </c>
      <c r="V894" s="3">
        <f ca="1">IFERROR(__xludf.DUMMYFUNCTION("""COMPUTED_VALUE"""),4.5)</f>
        <v>4.5</v>
      </c>
      <c r="W894" s="3">
        <f ca="1">IFERROR(__xludf.DUMMYFUNCTION("""COMPUTED_VALUE"""),1500)</f>
        <v>1500</v>
      </c>
      <c r="X894" s="3">
        <f ca="1">IFERROR(__xludf.DUMMYFUNCTION("""COMPUTED_VALUE"""),2069)</f>
        <v>2069</v>
      </c>
      <c r="Y894" s="3">
        <f ca="1">IFERROR(__xludf.DUMMYFUNCTION("""COMPUTED_VALUE"""),700)</f>
        <v>700</v>
      </c>
      <c r="Z894" s="3">
        <f ca="1">IFERROR(__xludf.DUMMYFUNCTION("""COMPUTED_VALUE"""),450)</f>
        <v>450</v>
      </c>
      <c r="AA894" s="3">
        <f ca="1">IFERROR(__xludf.DUMMYFUNCTION("""COMPUTED_VALUE"""),919)</f>
        <v>919</v>
      </c>
      <c r="AB894" s="3">
        <f ca="1">IFERROR(__xludf.DUMMYFUNCTION("""COMPUTED_VALUE"""),0)</f>
        <v>0</v>
      </c>
      <c r="AC894" s="3">
        <f ca="1">IFERROR(__xludf.DUMMYFUNCTION("""COMPUTED_VALUE"""),2)</f>
        <v>2</v>
      </c>
      <c r="AD894" s="3" t="str">
        <f ca="1">IFERROR(__xludf.DUMMYFUNCTION("""COMPUTED_VALUE"""),"late")</f>
        <v>late</v>
      </c>
      <c r="AE894" s="3" t="str">
        <f ca="1">IFERROR(__xludf.DUMMYFUNCTION("""COMPUTED_VALUE"""),"2055-06-04T20:37:41.308232Z")</f>
        <v>2055-06-04T20:37:41.308232Z</v>
      </c>
      <c r="AF894" s="3" t="str">
        <f ca="1">IFERROR(__xludf.DUMMYFUNCTION("""COMPUTED_VALUE"""),"2055-06-04T20:53:00.435054Z")</f>
        <v>2055-06-04T20:53:00.435054Z</v>
      </c>
      <c r="AG894" s="3" t="str">
        <f ca="1">IFERROR(__xludf.DUMMYFUNCTION("""COMPUTED_VALUE"""),"2055-06-04T20:18:27.551031Z")</f>
        <v>2055-06-04T20:18:27.551031Z</v>
      </c>
      <c r="AH894" s="3" t="str">
        <f ca="1">IFERROR(__xludf.DUMMYFUNCTION("""COMPUTED_VALUE"""),"2055-06-04T20:30:11.29468Z")</f>
        <v>2055-06-04T20:30:11.29468Z</v>
      </c>
      <c r="AI894" s="3">
        <f ca="1">IFERROR(__xludf.DUMMYFUNCTION("""COMPUTED_VALUE"""),4.411111111)</f>
        <v>4.4111111110000003</v>
      </c>
      <c r="AJ894" s="3">
        <f ca="1">IFERROR(__xludf.DUMMYFUNCTION("""COMPUTED_VALUE"""),68)</f>
        <v>68</v>
      </c>
      <c r="AK894" s="3">
        <f ca="1">IFERROR(__xludf.DUMMYFUNCTION("""COMPUTED_VALUE"""),223)</f>
        <v>223</v>
      </c>
      <c r="AL894" s="3">
        <f ca="1">IFERROR(__xludf.DUMMYFUNCTION("""COMPUTED_VALUE"""),118)</f>
        <v>118</v>
      </c>
      <c r="AM894" s="3">
        <f>IFERROR(Raw_Data!AL894 / Raw_Data!AK894, "")</f>
        <v>0.52914798206278024</v>
      </c>
      <c r="AN894" s="3" t="str">
        <f>IF(ISBLANK(Raw_Data!AL894), "No", "Yes")</f>
        <v>Yes</v>
      </c>
      <c r="AO894" s="3">
        <f>IFERROR(Raw_Data!Z894/60, "")</f>
        <v>7.5</v>
      </c>
    </row>
    <row r="895" spans="1:41" ht="13">
      <c r="A895" s="3">
        <f ca="1">IFERROR(__xludf.DUMMYFUNCTION("""COMPUTED_VALUE"""),664)</f>
        <v>664</v>
      </c>
      <c r="B895" s="3">
        <f ca="1">IFERROR(__xludf.DUMMYFUNCTION("""COMPUTED_VALUE"""),5)</f>
        <v>5</v>
      </c>
      <c r="C895" s="3">
        <f ca="1">IFERROR(__xludf.DUMMYFUNCTION("""COMPUTED_VALUE"""),4001)</f>
        <v>4001</v>
      </c>
      <c r="D895" s="3" t="str">
        <f ca="1">IFERROR(__xludf.DUMMYFUNCTION("""COMPUTED_VALUE"""),"Dashattan")</f>
        <v>Dashattan</v>
      </c>
      <c r="E895" s="3" t="str">
        <f ca="1">IFERROR(__xludf.DUMMYFUNCTION("""COMPUTED_VALUE"""),"Galaxy A")</f>
        <v>Galaxy A</v>
      </c>
      <c r="F895" s="3" t="str">
        <f ca="1">IFERROR(__xludf.DUMMYFUNCTION("""COMPUTED_VALUE"""),"Samm")</f>
        <v>Samm</v>
      </c>
      <c r="G895" s="3">
        <f ca="1">IFERROR(__xludf.DUMMYFUNCTION("""COMPUTED_VALUE"""),0)</f>
        <v>0</v>
      </c>
      <c r="H895" s="3" t="str">
        <f ca="1">IFERROR(__xludf.DUMMYFUNCTION("""COMPUTED_VALUE"""),"car")</f>
        <v>car</v>
      </c>
      <c r="I895" s="3" t="str">
        <f ca="1">IFERROR(__xludf.DUMMYFUNCTION("""COMPUTED_VALUE"""),"2055-06-05T23:07:36.806144Z")</f>
        <v>2055-06-05T23:07:36.806144Z</v>
      </c>
      <c r="J895" s="3" t="str">
        <f ca="1">IFERROR(__xludf.DUMMYFUNCTION("""COMPUTED_VALUE"""),"2055-06-06T00:12:10.851Z")</f>
        <v>2055-06-06T00:12:10.851Z</v>
      </c>
      <c r="K895" s="3" t="str">
        <f ca="1">IFERROR(__xludf.DUMMYFUNCTION("""COMPUTED_VALUE"""),"2055-06-05T23:47:29.851Z")</f>
        <v>2055-06-05T23:47:29.851Z</v>
      </c>
      <c r="L895" s="3">
        <f ca="1">IFERROR(__xludf.DUMMYFUNCTION("""COMPUTED_VALUE"""),1)</f>
        <v>1</v>
      </c>
      <c r="M895" s="3">
        <f ca="1">IFERROR(__xludf.DUMMYFUNCTION("""COMPUTED_VALUE"""),0)</f>
        <v>0</v>
      </c>
      <c r="N895" s="3" t="str">
        <f ca="1">IFERROR(__xludf.DUMMYFUNCTION("""COMPUTED_VALUE"""),"2055-06-05T23:58:22.805208Z")</f>
        <v>2055-06-05T23:58:22.805208Z</v>
      </c>
      <c r="O895" s="3" t="str">
        <f ca="1">IFERROR(__xludf.DUMMYFUNCTION("""COMPUTED_VALUE"""),"2055-06-06T00:01:35.317401Z")</f>
        <v>2055-06-06T00:01:35.317401Z</v>
      </c>
      <c r="P895" s="3" t="str">
        <f ca="1">IFERROR(__xludf.DUMMYFUNCTION("""COMPUTED_VALUE"""),"2055-06-05T23:34:38.6673Z")</f>
        <v>2055-06-05T23:34:38.6673Z</v>
      </c>
      <c r="Q895" s="3">
        <f ca="1">IFERROR(__xludf.DUMMYFUNCTION("""COMPUTED_VALUE"""),0)</f>
        <v>0</v>
      </c>
      <c r="R895" s="3" t="str">
        <f ca="1">IFERROR(__xludf.DUMMYFUNCTION("""COMPUTED_VALUE"""),"2055-06-05T23:34:43.662889Z")</f>
        <v>2055-06-05T23:34:43.662889Z</v>
      </c>
      <c r="S895" s="3" t="str">
        <f ca="1">IFERROR(__xludf.DUMMYFUNCTION("""COMPUTED_VALUE"""),"2055-06-05T23:47:16.333912Z")</f>
        <v>2055-06-05T23:47:16.333912Z</v>
      </c>
      <c r="T895" s="3"/>
      <c r="U895" s="4">
        <f ca="1">IFERROR(__xludf.DUMMYFUNCTION("""COMPUTED_VALUE"""),56770)</f>
        <v>56770</v>
      </c>
      <c r="V895" s="3">
        <f ca="1">IFERROR(__xludf.DUMMYFUNCTION("""COMPUTED_VALUE"""),4.5)</f>
        <v>4.5</v>
      </c>
      <c r="W895" s="3">
        <f ca="1">IFERROR(__xludf.DUMMYFUNCTION("""COMPUTED_VALUE"""),1500)</f>
        <v>1500</v>
      </c>
      <c r="X895" s="3">
        <f ca="1">IFERROR(__xludf.DUMMYFUNCTION("""COMPUTED_VALUE"""),1612)</f>
        <v>1612</v>
      </c>
      <c r="Y895" s="3">
        <f ca="1">IFERROR(__xludf.DUMMYFUNCTION("""COMPUTED_VALUE"""),753)</f>
        <v>753</v>
      </c>
      <c r="Z895" s="3">
        <f ca="1">IFERROR(__xludf.DUMMYFUNCTION("""COMPUTED_VALUE"""),666)</f>
        <v>666</v>
      </c>
      <c r="AA895" s="3">
        <f ca="1">IFERROR(__xludf.DUMMYFUNCTION("""COMPUTED_VALUE"""),193)</f>
        <v>193</v>
      </c>
      <c r="AB895" s="3">
        <f ca="1">IFERROR(__xludf.DUMMYFUNCTION("""COMPUTED_VALUE"""),0)</f>
        <v>0</v>
      </c>
      <c r="AC895" s="3">
        <f ca="1">IFERROR(__xludf.DUMMYFUNCTION("""COMPUTED_VALUE"""),2)</f>
        <v>2</v>
      </c>
      <c r="AD895" s="3" t="str">
        <f ca="1">IFERROR(__xludf.DUMMYFUNCTION("""COMPUTED_VALUE"""),"late")</f>
        <v>late</v>
      </c>
      <c r="AE895" s="3" t="str">
        <f ca="1">IFERROR(__xludf.DUMMYFUNCTION("""COMPUTED_VALUE"""),"2055-06-05T19:58:22.805208Z")</f>
        <v>2055-06-05T19:58:22.805208Z</v>
      </c>
      <c r="AF895" s="3" t="str">
        <f ca="1">IFERROR(__xludf.DUMMYFUNCTION("""COMPUTED_VALUE"""),"2055-06-05T20:01:35.317401Z")</f>
        <v>2055-06-05T20:01:35.317401Z</v>
      </c>
      <c r="AG895" s="3" t="str">
        <f ca="1">IFERROR(__xludf.DUMMYFUNCTION("""COMPUTED_VALUE"""),"2055-06-05T19:34:38.6673Z")</f>
        <v>2055-06-05T19:34:38.6673Z</v>
      </c>
      <c r="AH895" s="3" t="str">
        <f ca="1">IFERROR(__xludf.DUMMYFUNCTION("""COMPUTED_VALUE"""),"2055-06-05T19:47:16.333912Z")</f>
        <v>2055-06-05T19:47:16.333912Z</v>
      </c>
      <c r="AI895" s="3">
        <f ca="1">IFERROR(__xludf.DUMMYFUNCTION("""COMPUTED_VALUE"""),4.03)</f>
        <v>4.03</v>
      </c>
      <c r="AJ895" s="3">
        <f ca="1">IFERROR(__xludf.DUMMYFUNCTION("""COMPUTED_VALUE"""),505)</f>
        <v>505</v>
      </c>
      <c r="AK895" s="3">
        <f ca="1">IFERROR(__xludf.DUMMYFUNCTION("""COMPUTED_VALUE"""),1721)</f>
        <v>1721</v>
      </c>
      <c r="AL895" s="3">
        <f ca="1">IFERROR(__xludf.DUMMYFUNCTION("""COMPUTED_VALUE"""),457)</f>
        <v>457</v>
      </c>
      <c r="AM895" s="3">
        <f>IFERROR(Raw_Data!AL895 / Raw_Data!AK895, "")</f>
        <v>0.26554328878558975</v>
      </c>
      <c r="AN895" s="3" t="str">
        <f>IF(ISBLANK(Raw_Data!AL895), "No", "Yes")</f>
        <v>Yes</v>
      </c>
      <c r="AO895" s="3">
        <f>IFERROR(Raw_Data!Z895/60, "")</f>
        <v>11.1</v>
      </c>
    </row>
    <row r="896" spans="1:41" ht="13">
      <c r="A896" s="3">
        <f ca="1">IFERROR(__xludf.DUMMYFUNCTION("""COMPUTED_VALUE"""),800)</f>
        <v>800</v>
      </c>
      <c r="B896" s="3"/>
      <c r="C896" s="3">
        <f ca="1">IFERROR(__xludf.DUMMYFUNCTION("""COMPUTED_VALUE"""),4050)</f>
        <v>4050</v>
      </c>
      <c r="D896" s="3" t="str">
        <f ca="1">IFERROR(__xludf.DUMMYFUNCTION("""COMPUTED_VALUE"""),"Doorlanta")</f>
        <v>Doorlanta</v>
      </c>
      <c r="E896" s="3" t="str">
        <f ca="1">IFERROR(__xludf.DUMMYFUNCTION("""COMPUTED_VALUE"""),"Galaxy A")</f>
        <v>Galaxy A</v>
      </c>
      <c r="F896" s="3" t="str">
        <f ca="1">IFERROR(__xludf.DUMMYFUNCTION("""COMPUTED_VALUE"""),"Jagar")</f>
        <v>Jagar</v>
      </c>
      <c r="G896" s="3">
        <f ca="1">IFERROR(__xludf.DUMMYFUNCTION("""COMPUTED_VALUE"""),0)</f>
        <v>0</v>
      </c>
      <c r="H896" s="3" t="str">
        <f ca="1">IFERROR(__xludf.DUMMYFUNCTION("""COMPUTED_VALUE"""),"car")</f>
        <v>car</v>
      </c>
      <c r="I896" s="3" t="str">
        <f ca="1">IFERROR(__xludf.DUMMYFUNCTION("""COMPUTED_VALUE"""),"2055-06-06T23:54:16.352434Z")</f>
        <v>2055-06-06T23:54:16.352434Z</v>
      </c>
      <c r="J896" s="3" t="str">
        <f ca="1">IFERROR(__xludf.DUMMYFUNCTION("""COMPUTED_VALUE"""),"2055-06-07T00:54:19.436Z")</f>
        <v>2055-06-07T00:54:19.436Z</v>
      </c>
      <c r="K896" s="3" t="str">
        <f ca="1">IFERROR(__xludf.DUMMYFUNCTION("""COMPUTED_VALUE"""),"2055-06-07T00:34:12.436Z")</f>
        <v>2055-06-07T00:34:12.436Z</v>
      </c>
      <c r="L896" s="3">
        <f ca="1">IFERROR(__xludf.DUMMYFUNCTION("""COMPUTED_VALUE"""),1)</f>
        <v>1</v>
      </c>
      <c r="M896" s="3">
        <f ca="1">IFERROR(__xludf.DUMMYFUNCTION("""COMPUTED_VALUE"""),0)</f>
        <v>0</v>
      </c>
      <c r="N896" s="3" t="str">
        <f ca="1">IFERROR(__xludf.DUMMYFUNCTION("""COMPUTED_VALUE"""),"2055-06-07T00:17:11.847116Z")</f>
        <v>2055-06-07T00:17:11.847116Z</v>
      </c>
      <c r="O896" s="3" t="str">
        <f ca="1">IFERROR(__xludf.DUMMYFUNCTION("""COMPUTED_VALUE"""),"2055-06-07T00:28:05.221338Z")</f>
        <v>2055-06-07T00:28:05.221338Z</v>
      </c>
      <c r="P896" s="3" t="str">
        <f ca="1">IFERROR(__xludf.DUMMYFUNCTION("""COMPUTED_VALUE"""),"2055-06-06T23:54:27.353229Z")</f>
        <v>2055-06-06T23:54:27.353229Z</v>
      </c>
      <c r="Q896" s="3">
        <f ca="1">IFERROR(__xludf.DUMMYFUNCTION("""COMPUTED_VALUE"""),0)</f>
        <v>0</v>
      </c>
      <c r="R896" s="3" t="str">
        <f ca="1">IFERROR(__xludf.DUMMYFUNCTION("""COMPUTED_VALUE"""),"2055-06-06T23:54:31.782049Z")</f>
        <v>2055-06-06T23:54:31.782049Z</v>
      </c>
      <c r="S896" s="3" t="str">
        <f ca="1">IFERROR(__xludf.DUMMYFUNCTION("""COMPUTED_VALUE"""),"2055-06-07T00:02:54.46428Z")</f>
        <v>2055-06-07T00:02:54.46428Z</v>
      </c>
      <c r="T896" s="3"/>
      <c r="U896" s="4">
        <f ca="1">IFERROR(__xludf.DUMMYFUNCTION("""COMPUTED_VALUE"""),56771)</f>
        <v>56771</v>
      </c>
      <c r="V896" s="3">
        <f ca="1">IFERROR(__xludf.DUMMYFUNCTION("""COMPUTED_VALUE"""),4.7)</f>
        <v>4.7</v>
      </c>
      <c r="W896" s="3">
        <f ca="1">IFERROR(__xludf.DUMMYFUNCTION("""COMPUTED_VALUE"""),1500)</f>
        <v>1500</v>
      </c>
      <c r="X896" s="3">
        <f ca="1">IFERROR(__xludf.DUMMYFUNCTION("""COMPUTED_VALUE"""),2014)</f>
        <v>2014</v>
      </c>
      <c r="Y896" s="3">
        <f ca="1">IFERROR(__xludf.DUMMYFUNCTION("""COMPUTED_VALUE"""),503)</f>
        <v>503</v>
      </c>
      <c r="Z896" s="3">
        <f ca="1">IFERROR(__xludf.DUMMYFUNCTION("""COMPUTED_VALUE"""),857)</f>
        <v>857</v>
      </c>
      <c r="AA896" s="3">
        <f ca="1">IFERROR(__xludf.DUMMYFUNCTION("""COMPUTED_VALUE"""),654)</f>
        <v>654</v>
      </c>
      <c r="AB896" s="3">
        <f ca="1">IFERROR(__xludf.DUMMYFUNCTION("""COMPUTED_VALUE"""),0)</f>
        <v>0</v>
      </c>
      <c r="AC896" s="3">
        <f ca="1">IFERROR(__xludf.DUMMYFUNCTION("""COMPUTED_VALUE"""),2)</f>
        <v>2</v>
      </c>
      <c r="AD896" s="3" t="str">
        <f ca="1">IFERROR(__xludf.DUMMYFUNCTION("""COMPUTED_VALUE"""),"early")</f>
        <v>early</v>
      </c>
      <c r="AE896" s="3" t="str">
        <f ca="1">IFERROR(__xludf.DUMMYFUNCTION("""COMPUTED_VALUE"""),"2055-06-06T20:17:11.847116Z")</f>
        <v>2055-06-06T20:17:11.847116Z</v>
      </c>
      <c r="AF896" s="3" t="str">
        <f ca="1">IFERROR(__xludf.DUMMYFUNCTION("""COMPUTED_VALUE"""),"2055-06-06T20:28:05.221338Z")</f>
        <v>2055-06-06T20:28:05.221338Z</v>
      </c>
      <c r="AG896" s="3" t="str">
        <f ca="1">IFERROR(__xludf.DUMMYFUNCTION("""COMPUTED_VALUE"""),"2055-06-06T19:54:27.353229Z")</f>
        <v>2055-06-06T19:54:27.353229Z</v>
      </c>
      <c r="AH896" s="3" t="str">
        <f ca="1">IFERROR(__xludf.DUMMYFUNCTION("""COMPUTED_VALUE"""),"2055-06-06T20:02:54.46428Z")</f>
        <v>2055-06-06T20:02:54.46428Z</v>
      </c>
      <c r="AI896" s="3">
        <f ca="1">IFERROR(__xludf.DUMMYFUNCTION("""COMPUTED_VALUE"""),4.89)</f>
        <v>4.8899999999999997</v>
      </c>
      <c r="AJ896" s="3">
        <f ca="1">IFERROR(__xludf.DUMMYFUNCTION("""COMPUTED_VALUE"""),1778)</f>
        <v>1778</v>
      </c>
      <c r="AK896" s="3">
        <f ca="1">IFERROR(__xludf.DUMMYFUNCTION("""COMPUTED_VALUE"""),5138)</f>
        <v>5138</v>
      </c>
      <c r="AL896" s="3">
        <f ca="1">IFERROR(__xludf.DUMMYFUNCTION("""COMPUTED_VALUE"""),314)</f>
        <v>314</v>
      </c>
      <c r="AM896" s="3">
        <f>IFERROR(Raw_Data!AL896 / Raw_Data!AK896, "")</f>
        <v>6.1113273647333592E-2</v>
      </c>
      <c r="AN896" s="3" t="str">
        <f>IF(ISBLANK(Raw_Data!AL896), "No", "Yes")</f>
        <v>Yes</v>
      </c>
      <c r="AO896" s="3">
        <f>IFERROR(Raw_Data!Z896/60, "")</f>
        <v>14.283333333333333</v>
      </c>
    </row>
    <row r="897" spans="1:41" ht="13">
      <c r="A897" s="3">
        <f ca="1">IFERROR(__xludf.DUMMYFUNCTION("""COMPUTED_VALUE"""),841)</f>
        <v>841</v>
      </c>
      <c r="B897" s="3"/>
      <c r="C897" s="3">
        <f ca="1">IFERROR(__xludf.DUMMYFUNCTION("""COMPUTED_VALUE"""),4001)</f>
        <v>4001</v>
      </c>
      <c r="D897" s="3" t="str">
        <f ca="1">IFERROR(__xludf.DUMMYFUNCTION("""COMPUTED_VALUE"""),"Dashattan")</f>
        <v>Dashattan</v>
      </c>
      <c r="E897" s="3" t="str">
        <f ca="1">IFERROR(__xludf.DUMMYFUNCTION("""COMPUTED_VALUE"""),"Galaxy A")</f>
        <v>Galaxy A</v>
      </c>
      <c r="F897" s="3" t="str">
        <f ca="1">IFERROR(__xludf.DUMMYFUNCTION("""COMPUTED_VALUE"""),"KC")</f>
        <v>KC</v>
      </c>
      <c r="G897" s="3">
        <f ca="1">IFERROR(__xludf.DUMMYFUNCTION("""COMPUTED_VALUE"""),0)</f>
        <v>0</v>
      </c>
      <c r="H897" s="3" t="str">
        <f ca="1">IFERROR(__xludf.DUMMYFUNCTION("""COMPUTED_VALUE"""),"car")</f>
        <v>car</v>
      </c>
      <c r="I897" s="3" t="str">
        <f ca="1">IFERROR(__xludf.DUMMYFUNCTION("""COMPUTED_VALUE"""),"2055-06-07T16:14:36.368401Z")</f>
        <v>2055-06-07T16:14:36.368401Z</v>
      </c>
      <c r="J897" s="3" t="str">
        <f ca="1">IFERROR(__xludf.DUMMYFUNCTION("""COMPUTED_VALUE"""),"2055-06-07T17:08:58.444Z")</f>
        <v>2055-06-07T17:08:58.444Z</v>
      </c>
      <c r="K897" s="3" t="str">
        <f ca="1">IFERROR(__xludf.DUMMYFUNCTION("""COMPUTED_VALUE"""),"2055-06-07T16:48:51.444Z")</f>
        <v>2055-06-07T16:48:51.444Z</v>
      </c>
      <c r="L897" s="3">
        <f ca="1">IFERROR(__xludf.DUMMYFUNCTION("""COMPUTED_VALUE"""),1)</f>
        <v>1</v>
      </c>
      <c r="M897" s="3">
        <f ca="1">IFERROR(__xludf.DUMMYFUNCTION("""COMPUTED_VALUE"""),0)</f>
        <v>0</v>
      </c>
      <c r="N897" s="3" t="str">
        <f ca="1">IFERROR(__xludf.DUMMYFUNCTION("""COMPUTED_VALUE"""),"2055-06-07T16:34:25.377258Z")</f>
        <v>2055-06-07T16:34:25.377258Z</v>
      </c>
      <c r="O897" s="3" t="str">
        <f ca="1">IFERROR(__xludf.DUMMYFUNCTION("""COMPUTED_VALUE"""),"2055-06-07T16:47:23.241078Z")</f>
        <v>2055-06-07T16:47:23.241078Z</v>
      </c>
      <c r="P897" s="3" t="str">
        <f ca="1">IFERROR(__xludf.DUMMYFUNCTION("""COMPUTED_VALUE"""),"2055-06-07T16:18:14.792732Z")</f>
        <v>2055-06-07T16:18:14.792732Z</v>
      </c>
      <c r="Q897" s="3">
        <f ca="1">IFERROR(__xludf.DUMMYFUNCTION("""COMPUTED_VALUE"""),0)</f>
        <v>0</v>
      </c>
      <c r="R897" s="3" t="str">
        <f ca="1">IFERROR(__xludf.DUMMYFUNCTION("""COMPUTED_VALUE"""),"2055-06-07T16:18:32.376622Z")</f>
        <v>2055-06-07T16:18:32.376622Z</v>
      </c>
      <c r="S897" s="3" t="str">
        <f ca="1">IFERROR(__xludf.DUMMYFUNCTION("""COMPUTED_VALUE"""),"2055-06-07T16:25:28.863377Z")</f>
        <v>2055-06-07T16:25:28.863377Z</v>
      </c>
      <c r="T897" s="3"/>
      <c r="U897" s="4">
        <f ca="1">IFERROR(__xludf.DUMMYFUNCTION("""COMPUTED_VALUE"""),56772)</f>
        <v>56772</v>
      </c>
      <c r="V897" s="3">
        <f ca="1">IFERROR(__xludf.DUMMYFUNCTION("""COMPUTED_VALUE"""),4.5)</f>
        <v>4.5</v>
      </c>
      <c r="W897" s="3">
        <f ca="1">IFERROR(__xludf.DUMMYFUNCTION("""COMPUTED_VALUE"""),1500)</f>
        <v>1500</v>
      </c>
      <c r="X897" s="3">
        <f ca="1">IFERROR(__xludf.DUMMYFUNCTION("""COMPUTED_VALUE"""),1731)</f>
        <v>1731</v>
      </c>
      <c r="Y897" s="3">
        <f ca="1">IFERROR(__xludf.DUMMYFUNCTION("""COMPUTED_VALUE"""),416)</f>
        <v>416</v>
      </c>
      <c r="Z897" s="3">
        <f ca="1">IFERROR(__xludf.DUMMYFUNCTION("""COMPUTED_VALUE"""),537)</f>
        <v>537</v>
      </c>
      <c r="AA897" s="3">
        <f ca="1">IFERROR(__xludf.DUMMYFUNCTION("""COMPUTED_VALUE"""),778)</f>
        <v>778</v>
      </c>
      <c r="AB897" s="3">
        <f ca="1">IFERROR(__xludf.DUMMYFUNCTION("""COMPUTED_VALUE"""),0)</f>
        <v>0</v>
      </c>
      <c r="AC897" s="3">
        <f ca="1">IFERROR(__xludf.DUMMYFUNCTION("""COMPUTED_VALUE"""),1)</f>
        <v>1</v>
      </c>
      <c r="AD897" s="3" t="str">
        <f ca="1">IFERROR(__xludf.DUMMYFUNCTION("""COMPUTED_VALUE"""),"on time")</f>
        <v>on time</v>
      </c>
      <c r="AE897" s="3" t="str">
        <f ca="1">IFERROR(__xludf.DUMMYFUNCTION("""COMPUTED_VALUE"""),"2055-06-07T12:34:25.377258Z")</f>
        <v>2055-06-07T12:34:25.377258Z</v>
      </c>
      <c r="AF897" s="3" t="str">
        <f ca="1">IFERROR(__xludf.DUMMYFUNCTION("""COMPUTED_VALUE"""),"2055-06-07T12:47:23.241078Z")</f>
        <v>2055-06-07T12:47:23.241078Z</v>
      </c>
      <c r="AG897" s="3" t="str">
        <f ca="1">IFERROR(__xludf.DUMMYFUNCTION("""COMPUTED_VALUE"""),"2055-06-07T12:18:14.792732Z")</f>
        <v>2055-06-07T12:18:14.792732Z</v>
      </c>
      <c r="AH897" s="3" t="str">
        <f ca="1">IFERROR(__xludf.DUMMYFUNCTION("""COMPUTED_VALUE"""),"2055-06-07T12:25:28.863377Z")</f>
        <v>2055-06-07T12:25:28.863377Z</v>
      </c>
      <c r="AI897" s="3">
        <f ca="1">IFERROR(__xludf.DUMMYFUNCTION("""COMPUTED_VALUE"""),4.54)</f>
        <v>4.54</v>
      </c>
      <c r="AJ897" s="3">
        <f ca="1">IFERROR(__xludf.DUMMYFUNCTION("""COMPUTED_VALUE"""),2229)</f>
        <v>2229</v>
      </c>
      <c r="AK897" s="3">
        <f ca="1">IFERROR(__xludf.DUMMYFUNCTION("""COMPUTED_VALUE"""),6580)</f>
        <v>6580</v>
      </c>
      <c r="AL897" s="3"/>
      <c r="AM897" s="3">
        <f>IFERROR(Raw_Data!AL897 / Raw_Data!AK897, "")</f>
        <v>0</v>
      </c>
      <c r="AN897" s="3" t="str">
        <f>IF(ISBLANK(Raw_Data!AL897), "No", "Yes")</f>
        <v>No</v>
      </c>
      <c r="AO897" s="3">
        <f>IFERROR(Raw_Data!Z897/60, "")</f>
        <v>8.9499999999999993</v>
      </c>
    </row>
    <row r="898" spans="1:41" ht="13">
      <c r="A898" s="3">
        <f ca="1">IFERROR(__xludf.DUMMYFUNCTION("""COMPUTED_VALUE"""),911)</f>
        <v>911</v>
      </c>
      <c r="B898" s="3"/>
      <c r="C898" s="3">
        <f ca="1">IFERROR(__xludf.DUMMYFUNCTION("""COMPUTED_VALUE"""),4050)</f>
        <v>4050</v>
      </c>
      <c r="D898" s="3" t="str">
        <f ca="1">IFERROR(__xludf.DUMMYFUNCTION("""COMPUTED_VALUE"""),"Doorlanta")</f>
        <v>Doorlanta</v>
      </c>
      <c r="E898" s="3" t="str">
        <f ca="1">IFERROR(__xludf.DUMMYFUNCTION("""COMPUTED_VALUE"""),"Galaxy A")</f>
        <v>Galaxy A</v>
      </c>
      <c r="F898" s="3" t="str">
        <f ca="1">IFERROR(__xludf.DUMMYFUNCTION("""COMPUTED_VALUE"""),"Hanna")</f>
        <v>Hanna</v>
      </c>
      <c r="G898" s="3">
        <f ca="1">IFERROR(__xludf.DUMMYFUNCTION("""COMPUTED_VALUE"""),0)</f>
        <v>0</v>
      </c>
      <c r="H898" s="3" t="str">
        <f ca="1">IFERROR(__xludf.DUMMYFUNCTION("""COMPUTED_VALUE"""),"car")</f>
        <v>car</v>
      </c>
      <c r="I898" s="3" t="str">
        <f ca="1">IFERROR(__xludf.DUMMYFUNCTION("""COMPUTED_VALUE"""),"2055-06-08T01:18:17.598034Z")</f>
        <v>2055-06-08T01:18:17.598034Z</v>
      </c>
      <c r="J898" s="3" t="str">
        <f ca="1">IFERROR(__xludf.DUMMYFUNCTION("""COMPUTED_VALUE"""),"2055-06-08T02:16:44.671Z")</f>
        <v>2055-06-08T02:16:44.671Z</v>
      </c>
      <c r="K898" s="3" t="str">
        <f ca="1">IFERROR(__xludf.DUMMYFUNCTION("""COMPUTED_VALUE"""),"2055-06-08T01:57:51.671Z")</f>
        <v>2055-06-08T01:57:51.671Z</v>
      </c>
      <c r="L898" s="3">
        <f ca="1">IFERROR(__xludf.DUMMYFUNCTION("""COMPUTED_VALUE"""),1)</f>
        <v>1</v>
      </c>
      <c r="M898" s="3">
        <f ca="1">IFERROR(__xludf.DUMMYFUNCTION("""COMPUTED_VALUE"""),0)</f>
        <v>0</v>
      </c>
      <c r="N898" s="3" t="str">
        <f ca="1">IFERROR(__xludf.DUMMYFUNCTION("""COMPUTED_VALUE"""),"2055-06-08T01:35:14.341154Z")</f>
        <v>2055-06-08T01:35:14.341154Z</v>
      </c>
      <c r="O898" s="3" t="str">
        <f ca="1">IFERROR(__xludf.DUMMYFUNCTION("""COMPUTED_VALUE"""),"2055-06-08T01:56:01.325226Z")</f>
        <v>2055-06-08T01:56:01.325226Z</v>
      </c>
      <c r="P898" s="3" t="str">
        <f ca="1">IFERROR(__xludf.DUMMYFUNCTION("""COMPUTED_VALUE"""),"2055-06-08T01:18:27.328573Z")</f>
        <v>2055-06-08T01:18:27.328573Z</v>
      </c>
      <c r="Q898" s="3">
        <f ca="1">IFERROR(__xludf.DUMMYFUNCTION("""COMPUTED_VALUE"""),0)</f>
        <v>0</v>
      </c>
      <c r="R898" s="3" t="str">
        <f ca="1">IFERROR(__xludf.DUMMYFUNCTION("""COMPUTED_VALUE"""),"2055-06-08T01:19:03.590139Z")</f>
        <v>2055-06-08T01:19:03.590139Z</v>
      </c>
      <c r="S898" s="3" t="str">
        <f ca="1">IFERROR(__xludf.DUMMYFUNCTION("""COMPUTED_VALUE"""),"2055-06-08T01:29:18.590801Z")</f>
        <v>2055-06-08T01:29:18.590801Z</v>
      </c>
      <c r="T898" s="3"/>
      <c r="U898" s="4">
        <f ca="1">IFERROR(__xludf.DUMMYFUNCTION("""COMPUTED_VALUE"""),56772)</f>
        <v>56772</v>
      </c>
      <c r="V898" s="3">
        <f ca="1">IFERROR(__xludf.DUMMYFUNCTION("""COMPUTED_VALUE"""),4.4)</f>
        <v>4.4000000000000004</v>
      </c>
      <c r="W898" s="3">
        <f ca="1">IFERROR(__xludf.DUMMYFUNCTION("""COMPUTED_VALUE"""),1500)</f>
        <v>1500</v>
      </c>
      <c r="X898" s="3">
        <f ca="1">IFERROR(__xludf.DUMMYFUNCTION("""COMPUTED_VALUE"""),2218)</f>
        <v>2218</v>
      </c>
      <c r="Y898" s="3">
        <f ca="1">IFERROR(__xludf.DUMMYFUNCTION("""COMPUTED_VALUE"""),615)</f>
        <v>615</v>
      </c>
      <c r="Z898" s="3">
        <f ca="1">IFERROR(__xludf.DUMMYFUNCTION("""COMPUTED_VALUE"""),356)</f>
        <v>356</v>
      </c>
      <c r="AA898" s="3">
        <f ca="1">IFERROR(__xludf.DUMMYFUNCTION("""COMPUTED_VALUE"""),1247)</f>
        <v>1247</v>
      </c>
      <c r="AB898" s="3">
        <f ca="1">IFERROR(__xludf.DUMMYFUNCTION("""COMPUTED_VALUE"""),0)</f>
        <v>0</v>
      </c>
      <c r="AC898" s="3">
        <f ca="1">IFERROR(__xludf.DUMMYFUNCTION("""COMPUTED_VALUE"""),2)</f>
        <v>2</v>
      </c>
      <c r="AD898" s="3" t="str">
        <f ca="1">IFERROR(__xludf.DUMMYFUNCTION("""COMPUTED_VALUE"""),"on time")</f>
        <v>on time</v>
      </c>
      <c r="AE898" s="3" t="str">
        <f ca="1">IFERROR(__xludf.DUMMYFUNCTION("""COMPUTED_VALUE"""),"2055-06-07T21:35:14.341154Z")</f>
        <v>2055-06-07T21:35:14.341154Z</v>
      </c>
      <c r="AF898" s="3" t="str">
        <f ca="1">IFERROR(__xludf.DUMMYFUNCTION("""COMPUTED_VALUE"""),"2055-06-07T21:56:01.325226Z")</f>
        <v>2055-06-07T21:56:01.325226Z</v>
      </c>
      <c r="AG898" s="3" t="str">
        <f ca="1">IFERROR(__xludf.DUMMYFUNCTION("""COMPUTED_VALUE"""),"2055-06-07T21:18:27.328573Z")</f>
        <v>2055-06-07T21:18:27.328573Z</v>
      </c>
      <c r="AH898" s="3" t="str">
        <f ca="1">IFERROR(__xludf.DUMMYFUNCTION("""COMPUTED_VALUE"""),"2055-06-07T21:29:18.590801Z")</f>
        <v>2055-06-07T21:29:18.590801Z</v>
      </c>
      <c r="AI898" s="3">
        <f ca="1">IFERROR(__xludf.DUMMYFUNCTION("""COMPUTED_VALUE"""),4.79)</f>
        <v>4.79</v>
      </c>
      <c r="AJ898" s="3">
        <f ca="1">IFERROR(__xludf.DUMMYFUNCTION("""COMPUTED_VALUE"""),1007)</f>
        <v>1007</v>
      </c>
      <c r="AK898" s="3">
        <f ca="1">IFERROR(__xludf.DUMMYFUNCTION("""COMPUTED_VALUE"""),2899)</f>
        <v>2899</v>
      </c>
      <c r="AL898" s="3">
        <f ca="1">IFERROR(__xludf.DUMMYFUNCTION("""COMPUTED_VALUE"""),1301)</f>
        <v>1301</v>
      </c>
      <c r="AM898" s="3">
        <f>IFERROR(Raw_Data!AL898 / Raw_Data!AK898, "")</f>
        <v>0.44877543980682993</v>
      </c>
      <c r="AN898" s="3" t="str">
        <f>IF(ISBLANK(Raw_Data!AL898), "No", "Yes")</f>
        <v>Yes</v>
      </c>
      <c r="AO898" s="3">
        <f>IFERROR(Raw_Data!Z898/60, "")</f>
        <v>5.9333333333333336</v>
      </c>
    </row>
    <row r="899" spans="1:41" ht="13">
      <c r="A899" s="3">
        <f ca="1">IFERROR(__xludf.DUMMYFUNCTION("""COMPUTED_VALUE"""),1570)</f>
        <v>1570</v>
      </c>
      <c r="B899" s="3">
        <f ca="1">IFERROR(__xludf.DUMMYFUNCTION("""COMPUTED_VALUE"""),4)</f>
        <v>4</v>
      </c>
      <c r="C899" s="3">
        <f ca="1">IFERROR(__xludf.DUMMYFUNCTION("""COMPUTED_VALUE"""),4001)</f>
        <v>4001</v>
      </c>
      <c r="D899" s="3" t="str">
        <f ca="1">IFERROR(__xludf.DUMMYFUNCTION("""COMPUTED_VALUE"""),"Dashattan")</f>
        <v>Dashattan</v>
      </c>
      <c r="E899" s="3" t="str">
        <f ca="1">IFERROR(__xludf.DUMMYFUNCTION("""COMPUTED_VALUE"""),"Galaxy A")</f>
        <v>Galaxy A</v>
      </c>
      <c r="F899" s="3" t="str">
        <f ca="1">IFERROR(__xludf.DUMMYFUNCTION("""COMPUTED_VALUE"""),"KC")</f>
        <v>KC</v>
      </c>
      <c r="G899" s="3">
        <f ca="1">IFERROR(__xludf.DUMMYFUNCTION("""COMPUTED_VALUE"""),0)</f>
        <v>0</v>
      </c>
      <c r="H899" s="3" t="str">
        <f ca="1">IFERROR(__xludf.DUMMYFUNCTION("""COMPUTED_VALUE"""),"car")</f>
        <v>car</v>
      </c>
      <c r="I899" s="3" t="str">
        <f ca="1">IFERROR(__xludf.DUMMYFUNCTION("""COMPUTED_VALUE"""),"2055-06-13T16:13:39.702842Z")</f>
        <v>2055-06-13T16:13:39.702842Z</v>
      </c>
      <c r="J899" s="3" t="str">
        <f ca="1">IFERROR(__xludf.DUMMYFUNCTION("""COMPUTED_VALUE"""),"2055-06-13T16:57:43.756Z")</f>
        <v>2055-06-13T16:57:43.756Z</v>
      </c>
      <c r="K899" s="3" t="str">
        <f ca="1">IFERROR(__xludf.DUMMYFUNCTION("""COMPUTED_VALUE"""),"2055-06-13T16:42:36.756Z")</f>
        <v>2055-06-13T16:42:36.756Z</v>
      </c>
      <c r="L899" s="3">
        <f ca="1">IFERROR(__xludf.DUMMYFUNCTION("""COMPUTED_VALUE"""),1)</f>
        <v>1</v>
      </c>
      <c r="M899" s="3">
        <f ca="1">IFERROR(__xludf.DUMMYFUNCTION("""COMPUTED_VALUE"""),0)</f>
        <v>0</v>
      </c>
      <c r="N899" s="3" t="str">
        <f ca="1">IFERROR(__xludf.DUMMYFUNCTION("""COMPUTED_VALUE"""),"2055-06-13T16:32:49.801384Z")</f>
        <v>2055-06-13T16:32:49.801384Z</v>
      </c>
      <c r="O899" s="3" t="str">
        <f ca="1">IFERROR(__xludf.DUMMYFUNCTION("""COMPUTED_VALUE"""),"2055-06-13T16:42:08.851495Z")</f>
        <v>2055-06-13T16:42:08.851495Z</v>
      </c>
      <c r="P899" s="3" t="str">
        <f ca="1">IFERROR(__xludf.DUMMYFUNCTION("""COMPUTED_VALUE"""),"2055-06-13T16:17:34.826343Z")</f>
        <v>2055-06-13T16:17:34.826343Z</v>
      </c>
      <c r="Q899" s="3">
        <f ca="1">IFERROR(__xludf.DUMMYFUNCTION("""COMPUTED_VALUE"""),0)</f>
        <v>0</v>
      </c>
      <c r="R899" s="3" t="str">
        <f ca="1">IFERROR(__xludf.DUMMYFUNCTION("""COMPUTED_VALUE"""),"2055-06-13T16:18:13.187092Z")</f>
        <v>2055-06-13T16:18:13.187092Z</v>
      </c>
      <c r="S899" s="3" t="str">
        <f ca="1">IFERROR(__xludf.DUMMYFUNCTION("""COMPUTED_VALUE"""),"2055-06-13T16:30:53.013514Z")</f>
        <v>2055-06-13T16:30:53.013514Z</v>
      </c>
      <c r="T899" s="3"/>
      <c r="U899" s="4">
        <f ca="1">IFERROR(__xludf.DUMMYFUNCTION("""COMPUTED_VALUE"""),56778)</f>
        <v>56778</v>
      </c>
      <c r="V899" s="3">
        <f ca="1">IFERROR(__xludf.DUMMYFUNCTION("""COMPUTED_VALUE"""),4.5)</f>
        <v>4.5</v>
      </c>
      <c r="W899" s="3">
        <f ca="1">IFERROR(__xludf.DUMMYFUNCTION("""COMPUTED_VALUE"""),1500)</f>
        <v>1500</v>
      </c>
      <c r="X899" s="3">
        <f ca="1">IFERROR(__xludf.DUMMYFUNCTION("""COMPUTED_VALUE"""),1435)</f>
        <v>1435</v>
      </c>
      <c r="Y899" s="3">
        <f ca="1">IFERROR(__xludf.DUMMYFUNCTION("""COMPUTED_VALUE"""),760)</f>
        <v>760</v>
      </c>
      <c r="Z899" s="3">
        <f ca="1">IFERROR(__xludf.DUMMYFUNCTION("""COMPUTED_VALUE"""),116)</f>
        <v>116</v>
      </c>
      <c r="AA899" s="3">
        <f ca="1">IFERROR(__xludf.DUMMYFUNCTION("""COMPUTED_VALUE"""),559)</f>
        <v>559</v>
      </c>
      <c r="AB899" s="3">
        <f ca="1">IFERROR(__xludf.DUMMYFUNCTION("""COMPUTED_VALUE"""),0)</f>
        <v>0</v>
      </c>
      <c r="AC899" s="3">
        <f ca="1">IFERROR(__xludf.DUMMYFUNCTION("""COMPUTED_VALUE"""),1)</f>
        <v>1</v>
      </c>
      <c r="AD899" s="3" t="str">
        <f ca="1">IFERROR(__xludf.DUMMYFUNCTION("""COMPUTED_VALUE"""),"late")</f>
        <v>late</v>
      </c>
      <c r="AE899" s="3" t="str">
        <f ca="1">IFERROR(__xludf.DUMMYFUNCTION("""COMPUTED_VALUE"""),"2055-06-13T12:32:49.801384Z")</f>
        <v>2055-06-13T12:32:49.801384Z</v>
      </c>
      <c r="AF899" s="3" t="str">
        <f ca="1">IFERROR(__xludf.DUMMYFUNCTION("""COMPUTED_VALUE"""),"2055-06-13T12:42:08.851495Z")</f>
        <v>2055-06-13T12:42:08.851495Z</v>
      </c>
      <c r="AG899" s="3" t="str">
        <f ca="1">IFERROR(__xludf.DUMMYFUNCTION("""COMPUTED_VALUE"""),"2055-06-13T12:17:34.826343Z")</f>
        <v>2055-06-13T12:17:34.826343Z</v>
      </c>
      <c r="AH899" s="3" t="str">
        <f ca="1">IFERROR(__xludf.DUMMYFUNCTION("""COMPUTED_VALUE"""),"2055-06-13T12:30:53.013514Z")</f>
        <v>2055-06-13T12:30:53.013514Z</v>
      </c>
      <c r="AI899" s="3">
        <f ca="1">IFERROR(__xludf.DUMMYFUNCTION("""COMPUTED_VALUE"""),4.54)</f>
        <v>4.54</v>
      </c>
      <c r="AJ899" s="3">
        <f ca="1">IFERROR(__xludf.DUMMYFUNCTION("""COMPUTED_VALUE"""),2229)</f>
        <v>2229</v>
      </c>
      <c r="AK899" s="3">
        <f ca="1">IFERROR(__xludf.DUMMYFUNCTION("""COMPUTED_VALUE"""),6580)</f>
        <v>6580</v>
      </c>
      <c r="AL899" s="3"/>
      <c r="AM899" s="3">
        <f>IFERROR(Raw_Data!AL899 / Raw_Data!AK899, "")</f>
        <v>0</v>
      </c>
      <c r="AN899" s="3" t="str">
        <f>IF(ISBLANK(Raw_Data!AL899), "No", "Yes")</f>
        <v>No</v>
      </c>
      <c r="AO899" s="3">
        <f>IFERROR(Raw_Data!Z899/60, "")</f>
        <v>1.9333333333333333</v>
      </c>
    </row>
    <row r="900" spans="1:41" ht="13">
      <c r="A900" s="3">
        <f ca="1">IFERROR(__xludf.DUMMYFUNCTION("""COMPUTED_VALUE"""),713)</f>
        <v>713</v>
      </c>
      <c r="B900" s="3"/>
      <c r="C900" s="3">
        <f ca="1">IFERROR(__xludf.DUMMYFUNCTION("""COMPUTED_VALUE"""),4001)</f>
        <v>4001</v>
      </c>
      <c r="D900" s="3" t="str">
        <f ca="1">IFERROR(__xludf.DUMMYFUNCTION("""COMPUTED_VALUE"""),"Dashattan")</f>
        <v>Dashattan</v>
      </c>
      <c r="E900" s="3" t="str">
        <f ca="1">IFERROR(__xludf.DUMMYFUNCTION("""COMPUTED_VALUE"""),"Galaxy A")</f>
        <v>Galaxy A</v>
      </c>
      <c r="F900" s="3" t="str">
        <f ca="1">IFERROR(__xludf.DUMMYFUNCTION("""COMPUTED_VALUE"""),"Bunje")</f>
        <v>Bunje</v>
      </c>
      <c r="G900" s="3">
        <f ca="1">IFERROR(__xludf.DUMMYFUNCTION("""COMPUTED_VALUE"""),0)</f>
        <v>0</v>
      </c>
      <c r="H900" s="3" t="str">
        <f ca="1">IFERROR(__xludf.DUMMYFUNCTION("""COMPUTED_VALUE"""),"bicycle")</f>
        <v>bicycle</v>
      </c>
      <c r="I900" s="3" t="str">
        <f ca="1">IFERROR(__xludf.DUMMYFUNCTION("""COMPUTED_VALUE"""),"2055-06-06T01:07:01.782424Z")</f>
        <v>2055-06-06T01:07:01.782424Z</v>
      </c>
      <c r="J900" s="3" t="str">
        <f ca="1">IFERROR(__xludf.DUMMYFUNCTION("""COMPUTED_VALUE"""),"2055-06-06T02:16:57.83Z")</f>
        <v>2055-06-06T02:16:57.83Z</v>
      </c>
      <c r="K900" s="3" t="str">
        <f ca="1">IFERROR(__xludf.DUMMYFUNCTION("""COMPUTED_VALUE"""),"2055-06-06T01:51:08.83Z")</f>
        <v>2055-06-06T01:51:08.83Z</v>
      </c>
      <c r="L900" s="3">
        <f ca="1">IFERROR(__xludf.DUMMYFUNCTION("""COMPUTED_VALUE"""),1)</f>
        <v>1</v>
      </c>
      <c r="M900" s="3">
        <f ca="1">IFERROR(__xludf.DUMMYFUNCTION("""COMPUTED_VALUE"""),0)</f>
        <v>0</v>
      </c>
      <c r="N900" s="3" t="str">
        <f ca="1">IFERROR(__xludf.DUMMYFUNCTION("""COMPUTED_VALUE"""),"2055-06-06T01:40:22.793794Z")</f>
        <v>2055-06-06T01:40:22.793794Z</v>
      </c>
      <c r="O900" s="3" t="str">
        <f ca="1">IFERROR(__xludf.DUMMYFUNCTION("""COMPUTED_VALUE"""),"2055-06-06T02:16:21.031604Z")</f>
        <v>2055-06-06T02:16:21.031604Z</v>
      </c>
      <c r="P900" s="3" t="str">
        <f ca="1">IFERROR(__xludf.DUMMYFUNCTION("""COMPUTED_VALUE"""),"2055-06-06T01:22:15.304368Z")</f>
        <v>2055-06-06T01:22:15.304368Z</v>
      </c>
      <c r="Q900" s="3">
        <f ca="1">IFERROR(__xludf.DUMMYFUNCTION("""COMPUTED_VALUE"""),0)</f>
        <v>0</v>
      </c>
      <c r="R900" s="3" t="str">
        <f ca="1">IFERROR(__xludf.DUMMYFUNCTION("""COMPUTED_VALUE"""),"2055-06-06T01:22:20.430823Z")</f>
        <v>2055-06-06T01:22:20.430823Z</v>
      </c>
      <c r="S900" s="3" t="str">
        <f ca="1">IFERROR(__xludf.DUMMYFUNCTION("""COMPUTED_VALUE"""),"2055-06-06T01:36:15.193983Z")</f>
        <v>2055-06-06T01:36:15.193983Z</v>
      </c>
      <c r="T900" s="3"/>
      <c r="U900" s="4">
        <f ca="1">IFERROR(__xludf.DUMMYFUNCTION("""COMPUTED_VALUE"""),56770)</f>
        <v>56770</v>
      </c>
      <c r="V900" s="3">
        <f ca="1">IFERROR(__xludf.DUMMYFUNCTION("""COMPUTED_VALUE"""),4.185968568)</f>
        <v>4.1859685679999998</v>
      </c>
      <c r="W900" s="3">
        <f ca="1">IFERROR(__xludf.DUMMYFUNCTION("""COMPUTED_VALUE"""),1500)</f>
        <v>1500</v>
      </c>
      <c r="X900" s="3">
        <f ca="1">IFERROR(__xludf.DUMMYFUNCTION("""COMPUTED_VALUE"""),3241)</f>
        <v>3241</v>
      </c>
      <c r="Y900" s="3">
        <f ca="1">IFERROR(__xludf.DUMMYFUNCTION("""COMPUTED_VALUE"""),835)</f>
        <v>835</v>
      </c>
      <c r="Z900" s="3">
        <f ca="1">IFERROR(__xludf.DUMMYFUNCTION("""COMPUTED_VALUE"""),247)</f>
        <v>247</v>
      </c>
      <c r="AA900" s="3">
        <f ca="1">IFERROR(__xludf.DUMMYFUNCTION("""COMPUTED_VALUE"""),2159)</f>
        <v>2159</v>
      </c>
      <c r="AB900" s="3">
        <f ca="1">IFERROR(__xludf.DUMMYFUNCTION("""COMPUTED_VALUE"""),1)</f>
        <v>1</v>
      </c>
      <c r="AC900" s="3">
        <f ca="1">IFERROR(__xludf.DUMMYFUNCTION("""COMPUTED_VALUE"""),1)</f>
        <v>1</v>
      </c>
      <c r="AD900" s="3"/>
      <c r="AE900" s="3" t="str">
        <f ca="1">IFERROR(__xludf.DUMMYFUNCTION("""COMPUTED_VALUE"""),"2055-06-05T21:40:22.793794Z")</f>
        <v>2055-06-05T21:40:22.793794Z</v>
      </c>
      <c r="AF900" s="3" t="str">
        <f ca="1">IFERROR(__xludf.DUMMYFUNCTION("""COMPUTED_VALUE"""),"2055-06-05T22:16:21.031604Z")</f>
        <v>2055-06-05T22:16:21.031604Z</v>
      </c>
      <c r="AG900" s="3" t="str">
        <f ca="1">IFERROR(__xludf.DUMMYFUNCTION("""COMPUTED_VALUE"""),"2055-06-05T21:22:15.304368Z")</f>
        <v>2055-06-05T21:22:15.304368Z</v>
      </c>
      <c r="AH900" s="3" t="str">
        <f ca="1">IFERROR(__xludf.DUMMYFUNCTION("""COMPUTED_VALUE"""),"2055-06-05T21:36:15.193983Z")</f>
        <v>2055-06-05T21:36:15.193983Z</v>
      </c>
      <c r="AI900" s="3">
        <f ca="1">IFERROR(__xludf.DUMMYFUNCTION("""COMPUTED_VALUE"""),4.7)</f>
        <v>4.7</v>
      </c>
      <c r="AJ900" s="3">
        <f ca="1">IFERROR(__xludf.DUMMYFUNCTION("""COMPUTED_VALUE"""),443)</f>
        <v>443</v>
      </c>
      <c r="AK900" s="3">
        <f ca="1">IFERROR(__xludf.DUMMYFUNCTION("""COMPUTED_VALUE"""),1579)</f>
        <v>1579</v>
      </c>
      <c r="AL900" s="3"/>
      <c r="AM900" s="3">
        <f>IFERROR(Raw_Data!AL900 / Raw_Data!AK900, "")</f>
        <v>0</v>
      </c>
      <c r="AN900" s="3" t="str">
        <f>IF(ISBLANK(Raw_Data!AL900), "No", "Yes")</f>
        <v>No</v>
      </c>
      <c r="AO900" s="3">
        <f>IFERROR(Raw_Data!Z900/60, "")</f>
        <v>4.1166666666666663</v>
      </c>
    </row>
    <row r="901" spans="1:41" ht="13">
      <c r="A901" s="3">
        <f ca="1">IFERROR(__xludf.DUMMYFUNCTION("""COMPUTED_VALUE"""),248)</f>
        <v>248</v>
      </c>
      <c r="B901" s="3">
        <f ca="1">IFERROR(__xludf.DUMMYFUNCTION("""COMPUTED_VALUE"""),5)</f>
        <v>5</v>
      </c>
      <c r="C901" s="3">
        <f ca="1">IFERROR(__xludf.DUMMYFUNCTION("""COMPUTED_VALUE"""),4050)</f>
        <v>4050</v>
      </c>
      <c r="D901" s="3" t="str">
        <f ca="1">IFERROR(__xludf.DUMMYFUNCTION("""COMPUTED_VALUE"""),"Doorlanta")</f>
        <v>Doorlanta</v>
      </c>
      <c r="E901" s="3" t="str">
        <f ca="1">IFERROR(__xludf.DUMMYFUNCTION("""COMPUTED_VALUE"""),"Galaxy A")</f>
        <v>Galaxy A</v>
      </c>
      <c r="F901" s="3" t="str">
        <f ca="1">IFERROR(__xludf.DUMMYFUNCTION("""COMPUTED_VALUE"""),"Elon")</f>
        <v>Elon</v>
      </c>
      <c r="G901" s="3">
        <f ca="1">IFERROR(__xludf.DUMMYFUNCTION("""COMPUTED_VALUE"""),0)</f>
        <v>0</v>
      </c>
      <c r="H901" s="3" t="str">
        <f ca="1">IFERROR(__xludf.DUMMYFUNCTION("""COMPUTED_VALUE"""),"car")</f>
        <v>car</v>
      </c>
      <c r="I901" s="3" t="str">
        <f ca="1">IFERROR(__xludf.DUMMYFUNCTION("""COMPUTED_VALUE"""),"2055-06-03T01:53:52.137117Z")</f>
        <v>2055-06-03T01:53:52.137117Z</v>
      </c>
      <c r="J901" s="3" t="str">
        <f ca="1">IFERROR(__xludf.DUMMYFUNCTION("""COMPUTED_VALUE"""),"2055-06-03T02:48:52.197Z")</f>
        <v>2055-06-03T02:48:52.197Z</v>
      </c>
      <c r="K901" s="3" t="str">
        <f ca="1">IFERROR(__xludf.DUMMYFUNCTION("""COMPUTED_VALUE"""),"2055-06-03T02:19:33.197Z")</f>
        <v>2055-06-03T02:19:33.197Z</v>
      </c>
      <c r="L901" s="3">
        <f ca="1">IFERROR(__xludf.DUMMYFUNCTION("""COMPUTED_VALUE"""),1)</f>
        <v>1</v>
      </c>
      <c r="M901" s="3">
        <f ca="1">IFERROR(__xludf.DUMMYFUNCTION("""COMPUTED_VALUE"""),0)</f>
        <v>0</v>
      </c>
      <c r="N901" s="3" t="str">
        <f ca="1">IFERROR(__xludf.DUMMYFUNCTION("""COMPUTED_VALUE"""),"2055-06-03T02:28:01.534674Z")</f>
        <v>2055-06-03T02:28:01.534674Z</v>
      </c>
      <c r="O901" s="3" t="str">
        <f ca="1">IFERROR(__xludf.DUMMYFUNCTION("""COMPUTED_VALUE"""),"2055-06-03T02:41:48.224276Z")</f>
        <v>2055-06-03T02:41:48.224276Z</v>
      </c>
      <c r="P901" s="3" t="str">
        <f ca="1">IFERROR(__xludf.DUMMYFUNCTION("""COMPUTED_VALUE"""),"2055-06-03T01:54:07.299381Z")</f>
        <v>2055-06-03T01:54:07.299381Z</v>
      </c>
      <c r="Q901" s="3">
        <f ca="1">IFERROR(__xludf.DUMMYFUNCTION("""COMPUTED_VALUE"""),0)</f>
        <v>0</v>
      </c>
      <c r="R901" s="3" t="str">
        <f ca="1">IFERROR(__xludf.DUMMYFUNCTION("""COMPUTED_VALUE"""),"2055-06-03T01:54:38.273915Z")</f>
        <v>2055-06-03T01:54:38.273915Z</v>
      </c>
      <c r="S901" s="3" t="str">
        <f ca="1">IFERROR(__xludf.DUMMYFUNCTION("""COMPUTED_VALUE"""),"2055-06-03T02:05:40.304332Z")</f>
        <v>2055-06-03T02:05:40.304332Z</v>
      </c>
      <c r="T901" s="3"/>
      <c r="U901" s="4">
        <f ca="1">IFERROR(__xludf.DUMMYFUNCTION("""COMPUTED_VALUE"""),56767)</f>
        <v>56767</v>
      </c>
      <c r="V901" s="3">
        <f ca="1">IFERROR(__xludf.DUMMYFUNCTION("""COMPUTED_VALUE"""),4.3)</f>
        <v>4.3</v>
      </c>
      <c r="W901" s="3">
        <f ca="1">IFERROR(__xludf.DUMMYFUNCTION("""COMPUTED_VALUE"""),1500)</f>
        <v>1500</v>
      </c>
      <c r="X901" s="3">
        <f ca="1">IFERROR(__xludf.DUMMYFUNCTION("""COMPUTED_VALUE"""),2830)</f>
        <v>2830</v>
      </c>
      <c r="Y901" s="3">
        <f ca="1">IFERROR(__xludf.DUMMYFUNCTION("""COMPUTED_VALUE"""),662)</f>
        <v>662</v>
      </c>
      <c r="Z901" s="3">
        <f ca="1">IFERROR(__xludf.DUMMYFUNCTION("""COMPUTED_VALUE"""),1341)</f>
        <v>1341</v>
      </c>
      <c r="AA901" s="3">
        <f ca="1">IFERROR(__xludf.DUMMYFUNCTION("""COMPUTED_VALUE"""),827)</f>
        <v>827</v>
      </c>
      <c r="AB901" s="3">
        <f ca="1">IFERROR(__xludf.DUMMYFUNCTION("""COMPUTED_VALUE"""),0)</f>
        <v>0</v>
      </c>
      <c r="AC901" s="3">
        <f ca="1">IFERROR(__xludf.DUMMYFUNCTION("""COMPUTED_VALUE"""),2)</f>
        <v>2</v>
      </c>
      <c r="AD901" s="3" t="str">
        <f ca="1">IFERROR(__xludf.DUMMYFUNCTION("""COMPUTED_VALUE"""),"early")</f>
        <v>early</v>
      </c>
      <c r="AE901" s="3" t="str">
        <f ca="1">IFERROR(__xludf.DUMMYFUNCTION("""COMPUTED_VALUE"""),"2055-06-02T22:28:01.534674Z")</f>
        <v>2055-06-02T22:28:01.534674Z</v>
      </c>
      <c r="AF901" s="3" t="str">
        <f ca="1">IFERROR(__xludf.DUMMYFUNCTION("""COMPUTED_VALUE"""),"2055-06-02T22:41:48.224276Z")</f>
        <v>2055-06-02T22:41:48.224276Z</v>
      </c>
      <c r="AG901" s="3" t="str">
        <f ca="1">IFERROR(__xludf.DUMMYFUNCTION("""COMPUTED_VALUE"""),"2055-06-02T21:54:07.299381Z")</f>
        <v>2055-06-02T21:54:07.299381Z</v>
      </c>
      <c r="AH901" s="3" t="str">
        <f ca="1">IFERROR(__xludf.DUMMYFUNCTION("""COMPUTED_VALUE"""),"2055-06-02T22:05:40.304332Z")</f>
        <v>2055-06-02T22:05:40.304332Z</v>
      </c>
      <c r="AI901" s="3">
        <f ca="1">IFERROR(__xludf.DUMMYFUNCTION("""COMPUTED_VALUE"""),4.62)</f>
        <v>4.62</v>
      </c>
      <c r="AJ901" s="3">
        <f ca="1">IFERROR(__xludf.DUMMYFUNCTION("""COMPUTED_VALUE"""),259)</f>
        <v>259</v>
      </c>
      <c r="AK901" s="3">
        <f ca="1">IFERROR(__xludf.DUMMYFUNCTION("""COMPUTED_VALUE"""),604)</f>
        <v>604</v>
      </c>
      <c r="AL901" s="3">
        <f ca="1">IFERROR(__xludf.DUMMYFUNCTION("""COMPUTED_VALUE"""),21)</f>
        <v>21</v>
      </c>
      <c r="AM901" s="3">
        <f>IFERROR(Raw_Data!AL901 / Raw_Data!AK901, "")</f>
        <v>3.4768211920529798E-2</v>
      </c>
      <c r="AN901" s="3" t="str">
        <f>IF(ISBLANK(Raw_Data!AL901), "No", "Yes")</f>
        <v>Yes</v>
      </c>
      <c r="AO901" s="3">
        <f>IFERROR(Raw_Data!Z901/60, "")</f>
        <v>22.35</v>
      </c>
    </row>
    <row r="902" spans="1:41" ht="13">
      <c r="A902" s="3">
        <f ca="1">IFERROR(__xludf.DUMMYFUNCTION("""COMPUTED_VALUE"""),427)</f>
        <v>427</v>
      </c>
      <c r="B902" s="3"/>
      <c r="C902" s="3">
        <f ca="1">IFERROR(__xludf.DUMMYFUNCTION("""COMPUTED_VALUE"""),4050)</f>
        <v>4050</v>
      </c>
      <c r="D902" s="3" t="str">
        <f ca="1">IFERROR(__xludf.DUMMYFUNCTION("""COMPUTED_VALUE"""),"Doorlanta")</f>
        <v>Doorlanta</v>
      </c>
      <c r="E902" s="3" t="str">
        <f ca="1">IFERROR(__xludf.DUMMYFUNCTION("""COMPUTED_VALUE"""),"Galaxy A")</f>
        <v>Galaxy A</v>
      </c>
      <c r="F902" s="3" t="str">
        <f ca="1">IFERROR(__xludf.DUMMYFUNCTION("""COMPUTED_VALUE"""),"Matthew")</f>
        <v>Matthew</v>
      </c>
      <c r="G902" s="3">
        <f ca="1">IFERROR(__xludf.DUMMYFUNCTION("""COMPUTED_VALUE"""),0)</f>
        <v>0</v>
      </c>
      <c r="H902" s="3" t="str">
        <f ca="1">IFERROR(__xludf.DUMMYFUNCTION("""COMPUTED_VALUE"""),"car")</f>
        <v>car</v>
      </c>
      <c r="I902" s="3" t="str">
        <f ca="1">IFERROR(__xludf.DUMMYFUNCTION("""COMPUTED_VALUE"""),"2055-06-04T18:31:19.347396Z")</f>
        <v>2055-06-04T18:31:19.347396Z</v>
      </c>
      <c r="J902" s="3" t="str">
        <f ca="1">IFERROR(__xludf.DUMMYFUNCTION("""COMPUTED_VALUE"""),"2055-06-04T19:36:07.425Z")</f>
        <v>2055-06-04T19:36:07.425Z</v>
      </c>
      <c r="K902" s="3" t="str">
        <f ca="1">IFERROR(__xludf.DUMMYFUNCTION("""COMPUTED_VALUE"""),"2055-06-04T19:14:13.425Z")</f>
        <v>2055-06-04T19:14:13.425Z</v>
      </c>
      <c r="L902" s="3">
        <f ca="1">IFERROR(__xludf.DUMMYFUNCTION("""COMPUTED_VALUE"""),1)</f>
        <v>1</v>
      </c>
      <c r="M902" s="3">
        <f ca="1">IFERROR(__xludf.DUMMYFUNCTION("""COMPUTED_VALUE"""),0)</f>
        <v>0</v>
      </c>
      <c r="N902" s="3" t="str">
        <f ca="1">IFERROR(__xludf.DUMMYFUNCTION("""COMPUTED_VALUE"""),"2055-06-04T19:45:04.833016Z")</f>
        <v>2055-06-04T19:45:04.833016Z</v>
      </c>
      <c r="O902" s="3" t="str">
        <f ca="1">IFERROR(__xludf.DUMMYFUNCTION("""COMPUTED_VALUE"""),"2055-06-04T20:09:50.637578Z")</f>
        <v>2055-06-04T20:09:50.637578Z</v>
      </c>
      <c r="P902" s="3" t="str">
        <f ca="1">IFERROR(__xludf.DUMMYFUNCTION("""COMPUTED_VALUE"""),"2055-06-04T19:31:07.275789Z")</f>
        <v>2055-06-04T19:31:07.275789Z</v>
      </c>
      <c r="Q902" s="3">
        <f ca="1">IFERROR(__xludf.DUMMYFUNCTION("""COMPUTED_VALUE"""),0)</f>
        <v>0</v>
      </c>
      <c r="R902" s="3" t="str">
        <f ca="1">IFERROR(__xludf.DUMMYFUNCTION("""COMPUTED_VALUE"""),"2055-06-04T19:31:33.505846Z")</f>
        <v>2055-06-04T19:31:33.505846Z</v>
      </c>
      <c r="S902" s="3" t="str">
        <f ca="1">IFERROR(__xludf.DUMMYFUNCTION("""COMPUTED_VALUE"""),"2055-06-04T19:43:09.288778Z")</f>
        <v>2055-06-04T19:43:09.288778Z</v>
      </c>
      <c r="T902" s="3"/>
      <c r="U902" s="4">
        <f ca="1">IFERROR(__xludf.DUMMYFUNCTION("""COMPUTED_VALUE"""),56769)</f>
        <v>56769</v>
      </c>
      <c r="V902" s="3">
        <f ca="1">IFERROR(__xludf.DUMMYFUNCTION("""COMPUTED_VALUE"""),3.266997924)</f>
        <v>3.266997924</v>
      </c>
      <c r="W902" s="3">
        <f ca="1">IFERROR(__xludf.DUMMYFUNCTION("""COMPUTED_VALUE"""),1500)</f>
        <v>1500</v>
      </c>
      <c r="X902" s="3">
        <f ca="1">IFERROR(__xludf.DUMMYFUNCTION("""COMPUTED_VALUE"""),2297)</f>
        <v>2297</v>
      </c>
      <c r="Y902" s="3">
        <f ca="1">IFERROR(__xludf.DUMMYFUNCTION("""COMPUTED_VALUE"""),696)</f>
        <v>696</v>
      </c>
      <c r="Z902" s="3">
        <f ca="1">IFERROR(__xludf.DUMMYFUNCTION("""COMPUTED_VALUE"""),115)</f>
        <v>115</v>
      </c>
      <c r="AA902" s="3">
        <f ca="1">IFERROR(__xludf.DUMMYFUNCTION("""COMPUTED_VALUE"""),1486)</f>
        <v>1486</v>
      </c>
      <c r="AB902" s="3">
        <f ca="1">IFERROR(__xludf.DUMMYFUNCTION("""COMPUTED_VALUE"""),0)</f>
        <v>0</v>
      </c>
      <c r="AC902" s="3">
        <f ca="1">IFERROR(__xludf.DUMMYFUNCTION("""COMPUTED_VALUE"""),2)</f>
        <v>2</v>
      </c>
      <c r="AD902" s="3" t="str">
        <f ca="1">IFERROR(__xludf.DUMMYFUNCTION("""COMPUTED_VALUE"""),"late")</f>
        <v>late</v>
      </c>
      <c r="AE902" s="3" t="str">
        <f ca="1">IFERROR(__xludf.DUMMYFUNCTION("""COMPUTED_VALUE"""),"2055-06-04T15:45:04.833016Z")</f>
        <v>2055-06-04T15:45:04.833016Z</v>
      </c>
      <c r="AF902" s="3" t="str">
        <f ca="1">IFERROR(__xludf.DUMMYFUNCTION("""COMPUTED_VALUE"""),"2055-06-04T16:09:50.637578Z")</f>
        <v>2055-06-04T16:09:50.637578Z</v>
      </c>
      <c r="AG902" s="3" t="str">
        <f ca="1">IFERROR(__xludf.DUMMYFUNCTION("""COMPUTED_VALUE"""),"2055-06-04T15:31:07.275789Z")</f>
        <v>2055-06-04T15:31:07.275789Z</v>
      </c>
      <c r="AH902" s="3" t="str">
        <f ca="1">IFERROR(__xludf.DUMMYFUNCTION("""COMPUTED_VALUE"""),"2055-06-04T15:43:09.288778Z")</f>
        <v>2055-06-04T15:43:09.288778Z</v>
      </c>
      <c r="AI902" s="3">
        <f ca="1">IFERROR(__xludf.DUMMYFUNCTION("""COMPUTED_VALUE"""),4.411111111)</f>
        <v>4.4111111110000003</v>
      </c>
      <c r="AJ902" s="3">
        <f ca="1">IFERROR(__xludf.DUMMYFUNCTION("""COMPUTED_VALUE"""),68)</f>
        <v>68</v>
      </c>
      <c r="AK902" s="3">
        <f ca="1">IFERROR(__xludf.DUMMYFUNCTION("""COMPUTED_VALUE"""),223)</f>
        <v>223</v>
      </c>
      <c r="AL902" s="3">
        <f ca="1">IFERROR(__xludf.DUMMYFUNCTION("""COMPUTED_VALUE"""),118)</f>
        <v>118</v>
      </c>
      <c r="AM902" s="3">
        <f>IFERROR(Raw_Data!AL902 / Raw_Data!AK902, "")</f>
        <v>0.52914798206278024</v>
      </c>
      <c r="AN902" s="3" t="str">
        <f>IF(ISBLANK(Raw_Data!AL902), "No", "Yes")</f>
        <v>Yes</v>
      </c>
      <c r="AO902" s="3">
        <f>IFERROR(Raw_Data!Z902/60, "")</f>
        <v>1.9166666666666667</v>
      </c>
    </row>
    <row r="903" spans="1:41" ht="13">
      <c r="A903" s="3">
        <f ca="1">IFERROR(__xludf.DUMMYFUNCTION("""COMPUTED_VALUE"""),444)</f>
        <v>444</v>
      </c>
      <c r="B903" s="3"/>
      <c r="C903" s="3">
        <f ca="1">IFERROR(__xludf.DUMMYFUNCTION("""COMPUTED_VALUE"""),4050)</f>
        <v>4050</v>
      </c>
      <c r="D903" s="3" t="str">
        <f ca="1">IFERROR(__xludf.DUMMYFUNCTION("""COMPUTED_VALUE"""),"Doorlanta")</f>
        <v>Doorlanta</v>
      </c>
      <c r="E903" s="3" t="str">
        <f ca="1">IFERROR(__xludf.DUMMYFUNCTION("""COMPUTED_VALUE"""),"Galaxy A")</f>
        <v>Galaxy A</v>
      </c>
      <c r="F903" s="3" t="str">
        <f ca="1">IFERROR(__xludf.DUMMYFUNCTION("""COMPUTED_VALUE"""),"Elon")</f>
        <v>Elon</v>
      </c>
      <c r="G903" s="3">
        <f ca="1">IFERROR(__xludf.DUMMYFUNCTION("""COMPUTED_VALUE"""),0)</f>
        <v>0</v>
      </c>
      <c r="H903" s="3" t="str">
        <f ca="1">IFERROR(__xludf.DUMMYFUNCTION("""COMPUTED_VALUE"""),"car")</f>
        <v>car</v>
      </c>
      <c r="I903" s="3" t="str">
        <f ca="1">IFERROR(__xludf.DUMMYFUNCTION("""COMPUTED_VALUE"""),"2055-06-04T20:46:04.6002Z")</f>
        <v>2055-06-04T20:46:04.6002Z</v>
      </c>
      <c r="J903" s="3" t="str">
        <f ca="1">IFERROR(__xludf.DUMMYFUNCTION("""COMPUTED_VALUE"""),"2055-06-04T21:26:04.666Z")</f>
        <v>2055-06-04T21:26:04.666Z</v>
      </c>
      <c r="K903" s="3" t="str">
        <f ca="1">IFERROR(__xludf.DUMMYFUNCTION("""COMPUTED_VALUE"""),"2055-06-04T21:21:50.666Z")</f>
        <v>2055-06-04T21:21:50.666Z</v>
      </c>
      <c r="L903" s="3">
        <f ca="1">IFERROR(__xludf.DUMMYFUNCTION("""COMPUTED_VALUE"""),1)</f>
        <v>1</v>
      </c>
      <c r="M903" s="3">
        <f ca="1">IFERROR(__xludf.DUMMYFUNCTION("""COMPUTED_VALUE"""),0)</f>
        <v>0</v>
      </c>
      <c r="N903" s="3" t="str">
        <f ca="1">IFERROR(__xludf.DUMMYFUNCTION("""COMPUTED_VALUE"""),"2055-06-04T21:00:15.542757Z")</f>
        <v>2055-06-04T21:00:15.542757Z</v>
      </c>
      <c r="O903" s="3" t="str">
        <f ca="1">IFERROR(__xludf.DUMMYFUNCTION("""COMPUTED_VALUE"""),"2055-06-04T21:13:33.059158Z")</f>
        <v>2055-06-04T21:13:33.059158Z</v>
      </c>
      <c r="P903" s="3" t="str">
        <f ca="1">IFERROR(__xludf.DUMMYFUNCTION("""COMPUTED_VALUE"""),"2055-06-04T20:46:27.345234Z")</f>
        <v>2055-06-04T20:46:27.345234Z</v>
      </c>
      <c r="Q903" s="3">
        <f ca="1">IFERROR(__xludf.DUMMYFUNCTION("""COMPUTED_VALUE"""),0)</f>
        <v>0</v>
      </c>
      <c r="R903" s="3" t="str">
        <f ca="1">IFERROR(__xludf.DUMMYFUNCTION("""COMPUTED_VALUE"""),"2055-06-04T20:47:18.252305Z")</f>
        <v>2055-06-04T20:47:18.252305Z</v>
      </c>
      <c r="S903" s="3" t="str">
        <f ca="1">IFERROR(__xludf.DUMMYFUNCTION("""COMPUTED_VALUE"""),"2055-06-04T21:02:54.957524Z")</f>
        <v>2055-06-04T21:02:54.957524Z</v>
      </c>
      <c r="T903" s="3"/>
      <c r="U903" s="4">
        <f ca="1">IFERROR(__xludf.DUMMYFUNCTION("""COMPUTED_VALUE"""),56769)</f>
        <v>56769</v>
      </c>
      <c r="V903" s="3">
        <f ca="1">IFERROR(__xludf.DUMMYFUNCTION("""COMPUTED_VALUE"""),3.005185747)</f>
        <v>3.0051857470000001</v>
      </c>
      <c r="W903" s="3">
        <f ca="1">IFERROR(__xludf.DUMMYFUNCTION("""COMPUTED_VALUE"""),1500)</f>
        <v>1500</v>
      </c>
      <c r="X903" s="3">
        <f ca="1">IFERROR(__xludf.DUMMYFUNCTION("""COMPUTED_VALUE"""),1575)</f>
        <v>1575</v>
      </c>
      <c r="Y903" s="3">
        <f ca="1">IFERROR(__xludf.DUMMYFUNCTION("""COMPUTED_VALUE"""),936)</f>
        <v>936</v>
      </c>
      <c r="Z903" s="3"/>
      <c r="AA903" s="3">
        <f ca="1">IFERROR(__xludf.DUMMYFUNCTION("""COMPUTED_VALUE"""),798)</f>
        <v>798</v>
      </c>
      <c r="AB903" s="3">
        <f ca="1">IFERROR(__xludf.DUMMYFUNCTION("""COMPUTED_VALUE"""),0)</f>
        <v>0</v>
      </c>
      <c r="AC903" s="3">
        <f ca="1">IFERROR(__xludf.DUMMYFUNCTION("""COMPUTED_VALUE"""),2)</f>
        <v>2</v>
      </c>
      <c r="AD903" s="3"/>
      <c r="AE903" s="3" t="str">
        <f ca="1">IFERROR(__xludf.DUMMYFUNCTION("""COMPUTED_VALUE"""),"2055-06-04T17:00:15.542757Z")</f>
        <v>2055-06-04T17:00:15.542757Z</v>
      </c>
      <c r="AF903" s="3" t="str">
        <f ca="1">IFERROR(__xludf.DUMMYFUNCTION("""COMPUTED_VALUE"""),"2055-06-04T17:13:33.059158Z")</f>
        <v>2055-06-04T17:13:33.059158Z</v>
      </c>
      <c r="AG903" s="3" t="str">
        <f ca="1">IFERROR(__xludf.DUMMYFUNCTION("""COMPUTED_VALUE"""),"2055-06-04T16:46:27.345234Z")</f>
        <v>2055-06-04T16:46:27.345234Z</v>
      </c>
      <c r="AH903" s="3" t="str">
        <f ca="1">IFERROR(__xludf.DUMMYFUNCTION("""COMPUTED_VALUE"""),"2055-06-04T17:02:54.957524Z")</f>
        <v>2055-06-04T17:02:54.957524Z</v>
      </c>
      <c r="AI903" s="3">
        <f ca="1">IFERROR(__xludf.DUMMYFUNCTION("""COMPUTED_VALUE"""),4.62)</f>
        <v>4.62</v>
      </c>
      <c r="AJ903" s="3">
        <f ca="1">IFERROR(__xludf.DUMMYFUNCTION("""COMPUTED_VALUE"""),259)</f>
        <v>259</v>
      </c>
      <c r="AK903" s="3">
        <f ca="1">IFERROR(__xludf.DUMMYFUNCTION("""COMPUTED_VALUE"""),604)</f>
        <v>604</v>
      </c>
      <c r="AL903" s="3">
        <f ca="1">IFERROR(__xludf.DUMMYFUNCTION("""COMPUTED_VALUE"""),21)</f>
        <v>21</v>
      </c>
      <c r="AM903" s="3">
        <f>IFERROR(Raw_Data!AL903 / Raw_Data!AK903, "")</f>
        <v>3.4768211920529798E-2</v>
      </c>
      <c r="AN903" s="3" t="str">
        <f>IF(ISBLANK(Raw_Data!AL903), "No", "Yes")</f>
        <v>Yes</v>
      </c>
      <c r="AO903" s="3">
        <f>IFERROR(Raw_Data!Z903/60, "")</f>
        <v>0</v>
      </c>
    </row>
    <row r="904" spans="1:41" ht="13">
      <c r="A904" s="3">
        <f ca="1">IFERROR(__xludf.DUMMYFUNCTION("""COMPUTED_VALUE"""),564)</f>
        <v>564</v>
      </c>
      <c r="B904" s="3"/>
      <c r="C904" s="3">
        <f ca="1">IFERROR(__xludf.DUMMYFUNCTION("""COMPUTED_VALUE"""),4050)</f>
        <v>4050</v>
      </c>
      <c r="D904" s="3" t="str">
        <f ca="1">IFERROR(__xludf.DUMMYFUNCTION("""COMPUTED_VALUE"""),"Doorlanta")</f>
        <v>Doorlanta</v>
      </c>
      <c r="E904" s="3" t="str">
        <f ca="1">IFERROR(__xludf.DUMMYFUNCTION("""COMPUTED_VALUE"""),"Galaxy A")</f>
        <v>Galaxy A</v>
      </c>
      <c r="F904" s="3" t="str">
        <f ca="1">IFERROR(__xludf.DUMMYFUNCTION("""COMPUTED_VALUE"""),"Katelynn")</f>
        <v>Katelynn</v>
      </c>
      <c r="G904" s="3">
        <f ca="1">IFERROR(__xludf.DUMMYFUNCTION("""COMPUTED_VALUE"""),0)</f>
        <v>0</v>
      </c>
      <c r="H904" s="3" t="str">
        <f ca="1">IFERROR(__xludf.DUMMYFUNCTION("""COMPUTED_VALUE"""),"car")</f>
        <v>car</v>
      </c>
      <c r="I904" s="3" t="str">
        <f ca="1">IFERROR(__xludf.DUMMYFUNCTION("""COMPUTED_VALUE"""),"2055-06-05T16:24:51.252717Z")</f>
        <v>2055-06-05T16:24:51.252717Z</v>
      </c>
      <c r="J904" s="3" t="str">
        <f ca="1">IFERROR(__xludf.DUMMYFUNCTION("""COMPUTED_VALUE"""),"2055-06-05T17:33:26.33Z")</f>
        <v>2055-06-05T17:33:26.33Z</v>
      </c>
      <c r="K904" s="3" t="str">
        <f ca="1">IFERROR(__xludf.DUMMYFUNCTION("""COMPUTED_VALUE"""),"2055-06-05T17:10:08.33Z")</f>
        <v>2055-06-05T17:10:08.33Z</v>
      </c>
      <c r="L904" s="3">
        <f ca="1">IFERROR(__xludf.DUMMYFUNCTION("""COMPUTED_VALUE"""),1)</f>
        <v>1</v>
      </c>
      <c r="M904" s="3">
        <f ca="1">IFERROR(__xludf.DUMMYFUNCTION("""COMPUTED_VALUE"""),0)</f>
        <v>0</v>
      </c>
      <c r="N904" s="3" t="str">
        <f ca="1">IFERROR(__xludf.DUMMYFUNCTION("""COMPUTED_VALUE"""),"2055-06-05T17:06:16.179597Z")</f>
        <v>2055-06-05T17:06:16.179597Z</v>
      </c>
      <c r="O904" s="3" t="str">
        <f ca="1">IFERROR(__xludf.DUMMYFUNCTION("""COMPUTED_VALUE"""),"2055-06-05T17:23:21.119745Z")</f>
        <v>2055-06-05T17:23:21.119745Z</v>
      </c>
      <c r="P904" s="3" t="str">
        <f ca="1">IFERROR(__xludf.DUMMYFUNCTION("""COMPUTED_VALUE"""),"2055-06-05T16:49:27.509367Z")</f>
        <v>2055-06-05T16:49:27.509367Z</v>
      </c>
      <c r="Q904" s="3">
        <f ca="1">IFERROR(__xludf.DUMMYFUNCTION("""COMPUTED_VALUE"""),0)</f>
        <v>0</v>
      </c>
      <c r="R904" s="3" t="str">
        <f ca="1">IFERROR(__xludf.DUMMYFUNCTION("""COMPUTED_VALUE"""),"2055-06-05T16:49:32.853204Z")</f>
        <v>2055-06-05T16:49:32.853204Z</v>
      </c>
      <c r="S904" s="3" t="str">
        <f ca="1">IFERROR(__xludf.DUMMYFUNCTION("""COMPUTED_VALUE"""),"2055-06-05T16:59:50.242403Z")</f>
        <v>2055-06-05T16:59:50.242403Z</v>
      </c>
      <c r="T904" s="3"/>
      <c r="U904" s="4">
        <f ca="1">IFERROR(__xludf.DUMMYFUNCTION("""COMPUTED_VALUE"""),56770)</f>
        <v>56770</v>
      </c>
      <c r="V904" s="3">
        <f ca="1">IFERROR(__xludf.DUMMYFUNCTION("""COMPUTED_VALUE"""),3.266997924)</f>
        <v>3.266997924</v>
      </c>
      <c r="W904" s="3">
        <f ca="1">IFERROR(__xludf.DUMMYFUNCTION("""COMPUTED_VALUE"""),1500)</f>
        <v>1500</v>
      </c>
      <c r="X904" s="3">
        <f ca="1">IFERROR(__xludf.DUMMYFUNCTION("""COMPUTED_VALUE"""),2029)</f>
        <v>2029</v>
      </c>
      <c r="Y904" s="3">
        <f ca="1">IFERROR(__xludf.DUMMYFUNCTION("""COMPUTED_VALUE"""),618)</f>
        <v>618</v>
      </c>
      <c r="Z904" s="3">
        <f ca="1">IFERROR(__xludf.DUMMYFUNCTION("""COMPUTED_VALUE"""),386)</f>
        <v>386</v>
      </c>
      <c r="AA904" s="3">
        <f ca="1">IFERROR(__xludf.DUMMYFUNCTION("""COMPUTED_VALUE"""),1025)</f>
        <v>1025</v>
      </c>
      <c r="AB904" s="3">
        <f ca="1">IFERROR(__xludf.DUMMYFUNCTION("""COMPUTED_VALUE"""),0)</f>
        <v>0</v>
      </c>
      <c r="AC904" s="3">
        <f ca="1">IFERROR(__xludf.DUMMYFUNCTION("""COMPUTED_VALUE"""),3)</f>
        <v>3</v>
      </c>
      <c r="AD904" s="3" t="str">
        <f ca="1">IFERROR(__xludf.DUMMYFUNCTION("""COMPUTED_VALUE"""),"late")</f>
        <v>late</v>
      </c>
      <c r="AE904" s="3" t="str">
        <f ca="1">IFERROR(__xludf.DUMMYFUNCTION("""COMPUTED_VALUE"""),"2055-06-05T13:06:16.179597Z")</f>
        <v>2055-06-05T13:06:16.179597Z</v>
      </c>
      <c r="AF904" s="3" t="str">
        <f ca="1">IFERROR(__xludf.DUMMYFUNCTION("""COMPUTED_VALUE"""),"2055-06-05T13:23:21.119745Z")</f>
        <v>2055-06-05T13:23:21.119745Z</v>
      </c>
      <c r="AG904" s="3" t="str">
        <f ca="1">IFERROR(__xludf.DUMMYFUNCTION("""COMPUTED_VALUE"""),"2055-06-05T12:49:27.509367Z")</f>
        <v>2055-06-05T12:49:27.509367Z</v>
      </c>
      <c r="AH904" s="3" t="str">
        <f ca="1">IFERROR(__xludf.DUMMYFUNCTION("""COMPUTED_VALUE"""),"2055-06-05T12:59:50.242403Z")</f>
        <v>2055-06-05T12:59:50.242403Z</v>
      </c>
      <c r="AI904" s="3">
        <f ca="1">IFERROR(__xludf.DUMMYFUNCTION("""COMPUTED_VALUE"""),4.7)</f>
        <v>4.7</v>
      </c>
      <c r="AJ904" s="3">
        <f ca="1">IFERROR(__xludf.DUMMYFUNCTION("""COMPUTED_VALUE"""),1261)</f>
        <v>1261</v>
      </c>
      <c r="AK904" s="3">
        <f ca="1">IFERROR(__xludf.DUMMYFUNCTION("""COMPUTED_VALUE"""),3264)</f>
        <v>3264</v>
      </c>
      <c r="AL904" s="3">
        <f ca="1">IFERROR(__xludf.DUMMYFUNCTION("""COMPUTED_VALUE"""),232)</f>
        <v>232</v>
      </c>
      <c r="AM904" s="3">
        <f>IFERROR(Raw_Data!AL904 / Raw_Data!AK904, "")</f>
        <v>7.1078431372549017E-2</v>
      </c>
      <c r="AN904" s="3" t="str">
        <f>IF(ISBLANK(Raw_Data!AL904), "No", "Yes")</f>
        <v>Yes</v>
      </c>
      <c r="AO904" s="3">
        <f>IFERROR(Raw_Data!Z904/60, "")</f>
        <v>6.4333333333333336</v>
      </c>
    </row>
    <row r="905" spans="1:41" ht="13">
      <c r="A905" s="3">
        <f ca="1">IFERROR(__xludf.DUMMYFUNCTION("""COMPUTED_VALUE"""),1582)</f>
        <v>1582</v>
      </c>
      <c r="B905" s="3">
        <f ca="1">IFERROR(__xludf.DUMMYFUNCTION("""COMPUTED_VALUE"""),5)</f>
        <v>5</v>
      </c>
      <c r="C905" s="3">
        <f ca="1">IFERROR(__xludf.DUMMYFUNCTION("""COMPUTED_VALUE"""),4001)</f>
        <v>4001</v>
      </c>
      <c r="D905" s="3" t="str">
        <f ca="1">IFERROR(__xludf.DUMMYFUNCTION("""COMPUTED_VALUE"""),"Dashattan")</f>
        <v>Dashattan</v>
      </c>
      <c r="E905" s="3" t="str">
        <f ca="1">IFERROR(__xludf.DUMMYFUNCTION("""COMPUTED_VALUE"""),"Galaxy A")</f>
        <v>Galaxy A</v>
      </c>
      <c r="F905" s="3" t="str">
        <f ca="1">IFERROR(__xludf.DUMMYFUNCTION("""COMPUTED_VALUE"""),"Mike")</f>
        <v>Mike</v>
      </c>
      <c r="G905" s="3">
        <f ca="1">IFERROR(__xludf.DUMMYFUNCTION("""COMPUTED_VALUE"""),0)</f>
        <v>0</v>
      </c>
      <c r="H905" s="3" t="str">
        <f ca="1">IFERROR(__xludf.DUMMYFUNCTION("""COMPUTED_VALUE"""),"bicycle")</f>
        <v>bicycle</v>
      </c>
      <c r="I905" s="3" t="str">
        <f ca="1">IFERROR(__xludf.DUMMYFUNCTION("""COMPUTED_VALUE"""),"2055-06-13T17:58:53.268572Z")</f>
        <v>2055-06-13T17:58:53.268572Z</v>
      </c>
      <c r="J905" s="3" t="str">
        <f ca="1">IFERROR(__xludf.DUMMYFUNCTION("""COMPUTED_VALUE"""),"2055-06-13T18:45:28.332Z")</f>
        <v>2055-06-13T18:45:28.332Z</v>
      </c>
      <c r="K905" s="3" t="str">
        <f ca="1">IFERROR(__xludf.DUMMYFUNCTION("""COMPUTED_VALUE"""),"2055-06-13T18:26:35.332Z")</f>
        <v>2055-06-13T18:26:35.332Z</v>
      </c>
      <c r="L905" s="3">
        <f ca="1">IFERROR(__xludf.DUMMYFUNCTION("""COMPUTED_VALUE"""),1)</f>
        <v>1</v>
      </c>
      <c r="M905" s="3">
        <f ca="1">IFERROR(__xludf.DUMMYFUNCTION("""COMPUTED_VALUE"""),0)</f>
        <v>0</v>
      </c>
      <c r="N905" s="3" t="str">
        <f ca="1">IFERROR(__xludf.DUMMYFUNCTION("""COMPUTED_VALUE"""),"2055-06-13T18:05:37.934951Z")</f>
        <v>2055-06-13T18:05:37.934951Z</v>
      </c>
      <c r="O905" s="3" t="str">
        <f ca="1">IFERROR(__xludf.DUMMYFUNCTION("""COMPUTED_VALUE"""),"2055-06-13T18:15:10.528341Z")</f>
        <v>2055-06-13T18:15:10.528341Z</v>
      </c>
      <c r="P905" s="3" t="str">
        <f ca="1">IFERROR(__xludf.DUMMYFUNCTION("""COMPUTED_VALUE"""),"2055-06-13T18:01:14.181848Z")</f>
        <v>2055-06-13T18:01:14.181848Z</v>
      </c>
      <c r="Q905" s="3">
        <f ca="1">IFERROR(__xludf.DUMMYFUNCTION("""COMPUTED_VALUE"""),0)</f>
        <v>0</v>
      </c>
      <c r="R905" s="3" t="str">
        <f ca="1">IFERROR(__xludf.DUMMYFUNCTION("""COMPUTED_VALUE"""),"2055-06-13T18:01:24.104171Z")</f>
        <v>2055-06-13T18:01:24.104171Z</v>
      </c>
      <c r="S905" s="3" t="str">
        <f ca="1">IFERROR(__xludf.DUMMYFUNCTION("""COMPUTED_VALUE"""),"2055-06-13T18:04:18.538635Z")</f>
        <v>2055-06-13T18:04:18.538635Z</v>
      </c>
      <c r="T905" s="3"/>
      <c r="U905" s="4">
        <f ca="1">IFERROR(__xludf.DUMMYFUNCTION("""COMPUTED_VALUE"""),56778)</f>
        <v>56778</v>
      </c>
      <c r="V905" s="3">
        <f ca="1">IFERROR(__xludf.DUMMYFUNCTION("""COMPUTED_VALUE"""),2.858415664)</f>
        <v>2.8584156639999998</v>
      </c>
      <c r="W905" s="3">
        <f ca="1">IFERROR(__xludf.DUMMYFUNCTION("""COMPUTED_VALUE"""),1500)</f>
        <v>1500</v>
      </c>
      <c r="X905" s="3">
        <f ca="1">IFERROR(__xludf.DUMMYFUNCTION("""COMPUTED_VALUE"""),826)</f>
        <v>826</v>
      </c>
      <c r="Y905" s="3">
        <f ca="1">IFERROR(__xludf.DUMMYFUNCTION("""COMPUTED_VALUE"""),174)</f>
        <v>174</v>
      </c>
      <c r="Z905" s="3">
        <f ca="1">IFERROR(__xludf.DUMMYFUNCTION("""COMPUTED_VALUE"""),79)</f>
        <v>79</v>
      </c>
      <c r="AA905" s="3">
        <f ca="1">IFERROR(__xludf.DUMMYFUNCTION("""COMPUTED_VALUE"""),573)</f>
        <v>573</v>
      </c>
      <c r="AB905" s="3">
        <f ca="1">IFERROR(__xludf.DUMMYFUNCTION("""COMPUTED_VALUE"""),0)</f>
        <v>0</v>
      </c>
      <c r="AC905" s="3">
        <f ca="1">IFERROR(__xludf.DUMMYFUNCTION("""COMPUTED_VALUE"""),3)</f>
        <v>3</v>
      </c>
      <c r="AD905" s="3" t="str">
        <f ca="1">IFERROR(__xludf.DUMMYFUNCTION("""COMPUTED_VALUE"""),"early")</f>
        <v>early</v>
      </c>
      <c r="AE905" s="3" t="str">
        <f ca="1">IFERROR(__xludf.DUMMYFUNCTION("""COMPUTED_VALUE"""),"2055-06-13T14:05:37.934951Z")</f>
        <v>2055-06-13T14:05:37.934951Z</v>
      </c>
      <c r="AF905" s="3" t="str">
        <f ca="1">IFERROR(__xludf.DUMMYFUNCTION("""COMPUTED_VALUE"""),"2055-06-13T14:15:10.528341Z")</f>
        <v>2055-06-13T14:15:10.528341Z</v>
      </c>
      <c r="AG905" s="3" t="str">
        <f ca="1">IFERROR(__xludf.DUMMYFUNCTION("""COMPUTED_VALUE"""),"2055-06-13T14:01:14.181848Z")</f>
        <v>2055-06-13T14:01:14.181848Z</v>
      </c>
      <c r="AH905" s="3" t="str">
        <f ca="1">IFERROR(__xludf.DUMMYFUNCTION("""COMPUTED_VALUE"""),"2055-06-13T14:04:18.538635Z")</f>
        <v>2055-06-13T14:04:18.538635Z</v>
      </c>
      <c r="AI905" s="3">
        <f ca="1">IFERROR(__xludf.DUMMYFUNCTION("""COMPUTED_VALUE"""),4.63)</f>
        <v>4.63</v>
      </c>
      <c r="AJ905" s="3">
        <f ca="1">IFERROR(__xludf.DUMMYFUNCTION("""COMPUTED_VALUE"""),242)</f>
        <v>242</v>
      </c>
      <c r="AK905" s="3">
        <f ca="1">IFERROR(__xludf.DUMMYFUNCTION("""COMPUTED_VALUE"""),736)</f>
        <v>736</v>
      </c>
      <c r="AL905" s="3"/>
      <c r="AM905" s="3">
        <f>IFERROR(Raw_Data!AL905 / Raw_Data!AK905, "")</f>
        <v>0</v>
      </c>
      <c r="AN905" s="3" t="str">
        <f>IF(ISBLANK(Raw_Data!AL905), "No", "Yes")</f>
        <v>No</v>
      </c>
      <c r="AO905" s="3">
        <f>IFERROR(Raw_Data!Z905/60, "")</f>
        <v>1.3166666666666667</v>
      </c>
    </row>
    <row r="906" spans="1:41" ht="13">
      <c r="A906" s="3">
        <f ca="1">IFERROR(__xludf.DUMMYFUNCTION("""COMPUTED_VALUE"""),559)</f>
        <v>559</v>
      </c>
      <c r="B906" s="3"/>
      <c r="C906" s="3">
        <f ca="1">IFERROR(__xludf.DUMMYFUNCTION("""COMPUTED_VALUE"""),4050)</f>
        <v>4050</v>
      </c>
      <c r="D906" s="3" t="str">
        <f ca="1">IFERROR(__xludf.DUMMYFUNCTION("""COMPUTED_VALUE"""),"Doorlanta")</f>
        <v>Doorlanta</v>
      </c>
      <c r="E906" s="3" t="str">
        <f ca="1">IFERROR(__xludf.DUMMYFUNCTION("""COMPUTED_VALUE"""),"Galaxy A")</f>
        <v>Galaxy A</v>
      </c>
      <c r="F906" s="3" t="str">
        <f ca="1">IFERROR(__xludf.DUMMYFUNCTION("""COMPUTED_VALUE"""),"Cate")</f>
        <v>Cate</v>
      </c>
      <c r="G906" s="3">
        <f ca="1">IFERROR(__xludf.DUMMYFUNCTION("""COMPUTED_VALUE"""),0)</f>
        <v>0</v>
      </c>
      <c r="H906" s="3" t="str">
        <f ca="1">IFERROR(__xludf.DUMMYFUNCTION("""COMPUTED_VALUE"""),"car")</f>
        <v>car</v>
      </c>
      <c r="I906" s="3" t="str">
        <f ca="1">IFERROR(__xludf.DUMMYFUNCTION("""COMPUTED_VALUE"""),"2055-06-05T15:58:09.241022Z")</f>
        <v>2055-06-05T15:58:09.241022Z</v>
      </c>
      <c r="J906" s="3" t="str">
        <f ca="1">IFERROR(__xludf.DUMMYFUNCTION("""COMPUTED_VALUE"""),"2055-06-05T17:07:18.345Z")</f>
        <v>2055-06-05T17:07:18.345Z</v>
      </c>
      <c r="K906" s="3" t="str">
        <f ca="1">IFERROR(__xludf.DUMMYFUNCTION("""COMPUTED_VALUE"""),"2055-06-05T16:44:00.345Z")</f>
        <v>2055-06-05T16:44:00.345Z</v>
      </c>
      <c r="L906" s="3">
        <f ca="1">IFERROR(__xludf.DUMMYFUNCTION("""COMPUTED_VALUE"""),1)</f>
        <v>1</v>
      </c>
      <c r="M906" s="3">
        <f ca="1">IFERROR(__xludf.DUMMYFUNCTION("""COMPUTED_VALUE"""),0)</f>
        <v>0</v>
      </c>
      <c r="N906" s="3" t="str">
        <f ca="1">IFERROR(__xludf.DUMMYFUNCTION("""COMPUTED_VALUE"""),"2055-06-05T16:17:12.751606Z")</f>
        <v>2055-06-05T16:17:12.751606Z</v>
      </c>
      <c r="O906" s="3" t="str">
        <f ca="1">IFERROR(__xludf.DUMMYFUNCTION("""COMPUTED_VALUE"""),"2055-06-05T16:29:58.413825Z")</f>
        <v>2055-06-05T16:29:58.413825Z</v>
      </c>
      <c r="P906" s="3" t="str">
        <f ca="1">IFERROR(__xludf.DUMMYFUNCTION("""COMPUTED_VALUE"""),"2055-06-05T16:04:07.294578Z")</f>
        <v>2055-06-05T16:04:07.294578Z</v>
      </c>
      <c r="Q906" s="3">
        <f ca="1">IFERROR(__xludf.DUMMYFUNCTION("""COMPUTED_VALUE"""),0)</f>
        <v>0</v>
      </c>
      <c r="R906" s="3" t="str">
        <f ca="1">IFERROR(__xludf.DUMMYFUNCTION("""COMPUTED_VALUE"""),"2055-06-05T16:04:15.862296Z")</f>
        <v>2055-06-05T16:04:15.862296Z</v>
      </c>
      <c r="S906" s="3" t="str">
        <f ca="1">IFERROR(__xludf.DUMMYFUNCTION("""COMPUTED_VALUE"""),"2055-06-05T16:12:13.941549Z")</f>
        <v>2055-06-05T16:12:13.941549Z</v>
      </c>
      <c r="T906" s="3"/>
      <c r="U906" s="4">
        <f ca="1">IFERROR(__xludf.DUMMYFUNCTION("""COMPUTED_VALUE"""),56770)</f>
        <v>56770</v>
      </c>
      <c r="V906" s="3">
        <f ca="1">IFERROR(__xludf.DUMMYFUNCTION("""COMPUTED_VALUE"""),4.6)</f>
        <v>4.5999999999999996</v>
      </c>
      <c r="W906" s="3">
        <f ca="1">IFERROR(__xludf.DUMMYFUNCTION("""COMPUTED_VALUE"""),1500)</f>
        <v>1500</v>
      </c>
      <c r="X906" s="3">
        <f ca="1">IFERROR(__xludf.DUMMYFUNCTION("""COMPUTED_VALUE"""),1543)</f>
        <v>1543</v>
      </c>
      <c r="Y906" s="3">
        <f ca="1">IFERROR(__xludf.DUMMYFUNCTION("""COMPUTED_VALUE"""),478)</f>
        <v>478</v>
      </c>
      <c r="Z906" s="3">
        <f ca="1">IFERROR(__xludf.DUMMYFUNCTION("""COMPUTED_VALUE"""),299)</f>
        <v>299</v>
      </c>
      <c r="AA906" s="3">
        <f ca="1">IFERROR(__xludf.DUMMYFUNCTION("""COMPUTED_VALUE"""),766)</f>
        <v>766</v>
      </c>
      <c r="AB906" s="3">
        <f ca="1">IFERROR(__xludf.DUMMYFUNCTION("""COMPUTED_VALUE"""),0)</f>
        <v>0</v>
      </c>
      <c r="AC906" s="3">
        <f ca="1">IFERROR(__xludf.DUMMYFUNCTION("""COMPUTED_VALUE"""),5)</f>
        <v>5</v>
      </c>
      <c r="AD906" s="3" t="str">
        <f ca="1">IFERROR(__xludf.DUMMYFUNCTION("""COMPUTED_VALUE"""),"on time")</f>
        <v>on time</v>
      </c>
      <c r="AE906" s="3" t="str">
        <f ca="1">IFERROR(__xludf.DUMMYFUNCTION("""COMPUTED_VALUE"""),"2055-06-05T12:17:12.751606Z")</f>
        <v>2055-06-05T12:17:12.751606Z</v>
      </c>
      <c r="AF906" s="3" t="str">
        <f ca="1">IFERROR(__xludf.DUMMYFUNCTION("""COMPUTED_VALUE"""),"2055-06-05T12:29:58.413825Z")</f>
        <v>2055-06-05T12:29:58.413825Z</v>
      </c>
      <c r="AG906" s="3" t="str">
        <f ca="1">IFERROR(__xludf.DUMMYFUNCTION("""COMPUTED_VALUE"""),"2055-06-05T12:04:07.294578Z")</f>
        <v>2055-06-05T12:04:07.294578Z</v>
      </c>
      <c r="AH906" s="3" t="str">
        <f ca="1">IFERROR(__xludf.DUMMYFUNCTION("""COMPUTED_VALUE"""),"2055-06-05T12:12:13.941549Z")</f>
        <v>2055-06-05T12:12:13.941549Z</v>
      </c>
      <c r="AI906" s="3">
        <f ca="1">IFERROR(__xludf.DUMMYFUNCTION("""COMPUTED_VALUE"""),4.49)</f>
        <v>4.49</v>
      </c>
      <c r="AJ906" s="3">
        <f ca="1">IFERROR(__xludf.DUMMYFUNCTION("""COMPUTED_VALUE"""),2315)</f>
        <v>2315</v>
      </c>
      <c r="AK906" s="3">
        <f ca="1">IFERROR(__xludf.DUMMYFUNCTION("""COMPUTED_VALUE"""),7039)</f>
        <v>7039</v>
      </c>
      <c r="AL906" s="3">
        <f ca="1">IFERROR(__xludf.DUMMYFUNCTION("""COMPUTED_VALUE"""),763)</f>
        <v>763</v>
      </c>
      <c r="AM906" s="3">
        <f>IFERROR(Raw_Data!AL906 / Raw_Data!AK906, "")</f>
        <v>0.10839607898849268</v>
      </c>
      <c r="AN906" s="3" t="str">
        <f>IF(ISBLANK(Raw_Data!AL906), "No", "Yes")</f>
        <v>Yes</v>
      </c>
      <c r="AO906" s="3">
        <f>IFERROR(Raw_Data!Z906/60, "")</f>
        <v>4.9833333333333334</v>
      </c>
    </row>
    <row r="907" spans="1:41" ht="13">
      <c r="A907" s="3">
        <f ca="1">IFERROR(__xludf.DUMMYFUNCTION("""COMPUTED_VALUE"""),144)</f>
        <v>144</v>
      </c>
      <c r="B907" s="3">
        <f ca="1">IFERROR(__xludf.DUMMYFUNCTION("""COMPUTED_VALUE"""),5)</f>
        <v>5</v>
      </c>
      <c r="C907" s="3">
        <f ca="1">IFERROR(__xludf.DUMMYFUNCTION("""COMPUTED_VALUE"""),4050)</f>
        <v>4050</v>
      </c>
      <c r="D907" s="3" t="str">
        <f ca="1">IFERROR(__xludf.DUMMYFUNCTION("""COMPUTED_VALUE"""),"Doorlanta")</f>
        <v>Doorlanta</v>
      </c>
      <c r="E907" s="3" t="str">
        <f ca="1">IFERROR(__xludf.DUMMYFUNCTION("""COMPUTED_VALUE"""),"Galaxy A")</f>
        <v>Galaxy A</v>
      </c>
      <c r="F907" s="3" t="str">
        <f ca="1">IFERROR(__xludf.DUMMYFUNCTION("""COMPUTED_VALUE"""),"Ash")</f>
        <v>Ash</v>
      </c>
      <c r="G907" s="3">
        <f ca="1">IFERROR(__xludf.DUMMYFUNCTION("""COMPUTED_VALUE"""),0)</f>
        <v>0</v>
      </c>
      <c r="H907" s="3" t="str">
        <f ca="1">IFERROR(__xludf.DUMMYFUNCTION("""COMPUTED_VALUE"""),"car")</f>
        <v>car</v>
      </c>
      <c r="I907" s="3" t="str">
        <f ca="1">IFERROR(__xludf.DUMMYFUNCTION("""COMPUTED_VALUE"""),"2055-06-02T17:18:45.248948Z")</f>
        <v>2055-06-02T17:18:45.248948Z</v>
      </c>
      <c r="J907" s="3" t="str">
        <f ca="1">IFERROR(__xludf.DUMMYFUNCTION("""COMPUTED_VALUE"""),"2055-06-02T18:13:45.317Z")</f>
        <v>2055-06-02T18:13:45.317Z</v>
      </c>
      <c r="K907" s="3" t="str">
        <f ca="1">IFERROR(__xludf.DUMMYFUNCTION("""COMPUTED_VALUE"""),"2055-06-02T17:48:52.317Z")</f>
        <v>2055-06-02T17:48:52.317Z</v>
      </c>
      <c r="L907" s="3">
        <f ca="1">IFERROR(__xludf.DUMMYFUNCTION("""COMPUTED_VALUE"""),1)</f>
        <v>1</v>
      </c>
      <c r="M907" s="3">
        <f ca="1">IFERROR(__xludf.DUMMYFUNCTION("""COMPUTED_VALUE"""),0)</f>
        <v>0</v>
      </c>
      <c r="N907" s="3" t="str">
        <f ca="1">IFERROR(__xludf.DUMMYFUNCTION("""COMPUTED_VALUE"""),"2055-06-02T17:36:45.110555Z")</f>
        <v>2055-06-02T17:36:45.110555Z</v>
      </c>
      <c r="O907" s="3" t="str">
        <f ca="1">IFERROR(__xludf.DUMMYFUNCTION("""COMPUTED_VALUE"""),"2055-06-02T17:51:44.527079Z")</f>
        <v>2055-06-02T17:51:44.527079Z</v>
      </c>
      <c r="P907" s="3" t="str">
        <f ca="1">IFERROR(__xludf.DUMMYFUNCTION("""COMPUTED_VALUE"""),"2055-06-02T17:19:07.278027Z")</f>
        <v>2055-06-02T17:19:07.278027Z</v>
      </c>
      <c r="Q907" s="3">
        <f ca="1">IFERROR(__xludf.DUMMYFUNCTION("""COMPUTED_VALUE"""),0)</f>
        <v>0</v>
      </c>
      <c r="R907" s="3" t="str">
        <f ca="1">IFERROR(__xludf.DUMMYFUNCTION("""COMPUTED_VALUE"""),"2055-06-02T17:19:12.398745Z")</f>
        <v>2055-06-02T17:19:12.398745Z</v>
      </c>
      <c r="S907" s="3" t="str">
        <f ca="1">IFERROR(__xludf.DUMMYFUNCTION("""COMPUTED_VALUE"""),"2055-06-02T17:26:45.246001Z")</f>
        <v>2055-06-02T17:26:45.246001Z</v>
      </c>
      <c r="T907" s="3"/>
      <c r="U907" s="4">
        <f ca="1">IFERROR(__xludf.DUMMYFUNCTION("""COMPUTED_VALUE"""),56767)</f>
        <v>56767</v>
      </c>
      <c r="V907" s="3">
        <f ca="1">IFERROR(__xludf.DUMMYFUNCTION("""COMPUTED_VALUE"""),4.6)</f>
        <v>4.5999999999999996</v>
      </c>
      <c r="W907" s="3">
        <f ca="1">IFERROR(__xludf.DUMMYFUNCTION("""COMPUTED_VALUE"""),1500)</f>
        <v>1500</v>
      </c>
      <c r="X907" s="3">
        <f ca="1">IFERROR(__xludf.DUMMYFUNCTION("""COMPUTED_VALUE"""),1952)</f>
        <v>1952</v>
      </c>
      <c r="Y907" s="3">
        <f ca="1">IFERROR(__xludf.DUMMYFUNCTION("""COMPUTED_VALUE"""),453)</f>
        <v>453</v>
      </c>
      <c r="Z907" s="3">
        <f ca="1">IFERROR(__xludf.DUMMYFUNCTION("""COMPUTED_VALUE"""),600)</f>
        <v>600</v>
      </c>
      <c r="AA907" s="3">
        <f ca="1">IFERROR(__xludf.DUMMYFUNCTION("""COMPUTED_VALUE"""),899)</f>
        <v>899</v>
      </c>
      <c r="AB907" s="3">
        <f ca="1">IFERROR(__xludf.DUMMYFUNCTION("""COMPUTED_VALUE"""),0)</f>
        <v>0</v>
      </c>
      <c r="AC907" s="3">
        <f ca="1">IFERROR(__xludf.DUMMYFUNCTION("""COMPUTED_VALUE"""),2)</f>
        <v>2</v>
      </c>
      <c r="AD907" s="3" t="str">
        <f ca="1">IFERROR(__xludf.DUMMYFUNCTION("""COMPUTED_VALUE"""),"on time")</f>
        <v>on time</v>
      </c>
      <c r="AE907" s="3" t="str">
        <f ca="1">IFERROR(__xludf.DUMMYFUNCTION("""COMPUTED_VALUE"""),"2055-06-02T13:36:45.110555Z")</f>
        <v>2055-06-02T13:36:45.110555Z</v>
      </c>
      <c r="AF907" s="3" t="str">
        <f ca="1">IFERROR(__xludf.DUMMYFUNCTION("""COMPUTED_VALUE"""),"2055-06-02T13:51:44.527079Z")</f>
        <v>2055-06-02T13:51:44.527079Z</v>
      </c>
      <c r="AG907" s="3" t="str">
        <f ca="1">IFERROR(__xludf.DUMMYFUNCTION("""COMPUTED_VALUE"""),"2055-06-02T13:19:07.278027Z")</f>
        <v>2055-06-02T13:19:07.278027Z</v>
      </c>
      <c r="AH907" s="3" t="str">
        <f ca="1">IFERROR(__xludf.DUMMYFUNCTION("""COMPUTED_VALUE"""),"2055-06-02T13:26:45.246001Z")</f>
        <v>2055-06-02T13:26:45.246001Z</v>
      </c>
      <c r="AI907" s="3">
        <f ca="1">IFERROR(__xludf.DUMMYFUNCTION("""COMPUTED_VALUE"""),4.66)</f>
        <v>4.66</v>
      </c>
      <c r="AJ907" s="3">
        <f ca="1">IFERROR(__xludf.DUMMYFUNCTION("""COMPUTED_VALUE"""),161)</f>
        <v>161</v>
      </c>
      <c r="AK907" s="3">
        <f ca="1">IFERROR(__xludf.DUMMYFUNCTION("""COMPUTED_VALUE"""),398)</f>
        <v>398</v>
      </c>
      <c r="AL907" s="3"/>
      <c r="AM907" s="3">
        <f>IFERROR(Raw_Data!AL907 / Raw_Data!AK907, "")</f>
        <v>0</v>
      </c>
      <c r="AN907" s="3" t="str">
        <f>IF(ISBLANK(Raw_Data!AL907), "No", "Yes")</f>
        <v>No</v>
      </c>
      <c r="AO907" s="3">
        <f>IFERROR(Raw_Data!Z907/60, "")</f>
        <v>10</v>
      </c>
    </row>
    <row r="908" spans="1:41" ht="13">
      <c r="A908" s="3">
        <f ca="1">IFERROR(__xludf.DUMMYFUNCTION("""COMPUTED_VALUE"""),822)</f>
        <v>822</v>
      </c>
      <c r="B908" s="3"/>
      <c r="C908" s="3">
        <f ca="1">IFERROR(__xludf.DUMMYFUNCTION("""COMPUTED_VALUE"""),4001)</f>
        <v>4001</v>
      </c>
      <c r="D908" s="3" t="str">
        <f ca="1">IFERROR(__xludf.DUMMYFUNCTION("""COMPUTED_VALUE"""),"Dashattan")</f>
        <v>Dashattan</v>
      </c>
      <c r="E908" s="3" t="str">
        <f ca="1">IFERROR(__xludf.DUMMYFUNCTION("""COMPUTED_VALUE"""),"Galaxy A")</f>
        <v>Galaxy A</v>
      </c>
      <c r="F908" s="3" t="str">
        <f ca="1">IFERROR(__xludf.DUMMYFUNCTION("""COMPUTED_VALUE"""),"Bret")</f>
        <v>Bret</v>
      </c>
      <c r="G908" s="3">
        <f ca="1">IFERROR(__xludf.DUMMYFUNCTION("""COMPUTED_VALUE"""),0)</f>
        <v>0</v>
      </c>
      <c r="H908" s="3" t="str">
        <f ca="1">IFERROR(__xludf.DUMMYFUNCTION("""COMPUTED_VALUE"""),"car")</f>
        <v>car</v>
      </c>
      <c r="I908" s="3" t="str">
        <f ca="1">IFERROR(__xludf.DUMMYFUNCTION("""COMPUTED_VALUE"""),"2055-06-07T12:06:17.616824Z")</f>
        <v>2055-06-07T12:06:17.616824Z</v>
      </c>
      <c r="J908" s="3" t="str">
        <f ca="1">IFERROR(__xludf.DUMMYFUNCTION("""COMPUTED_VALUE"""),"2055-06-07T12:45:00Z")</f>
        <v>2055-06-07T12:45:00Z</v>
      </c>
      <c r="K908" s="3" t="str">
        <f ca="1">IFERROR(__xludf.DUMMYFUNCTION("""COMPUTED_VALUE"""),"2055-06-07T12:45:00Z")</f>
        <v>2055-06-07T12:45:00Z</v>
      </c>
      <c r="L908" s="3">
        <f ca="1">IFERROR(__xludf.DUMMYFUNCTION("""COMPUTED_VALUE"""),0)</f>
        <v>0</v>
      </c>
      <c r="M908" s="3">
        <f ca="1">IFERROR(__xludf.DUMMYFUNCTION("""COMPUTED_VALUE"""),0)</f>
        <v>0</v>
      </c>
      <c r="N908" s="3" t="str">
        <f ca="1">IFERROR(__xludf.DUMMYFUNCTION("""COMPUTED_VALUE"""),"2055-06-07T12:31:42.215361Z")</f>
        <v>2055-06-07T12:31:42.215361Z</v>
      </c>
      <c r="O908" s="3" t="str">
        <f ca="1">IFERROR(__xludf.DUMMYFUNCTION("""COMPUTED_VALUE"""),"2055-06-07T12:46:34.045714Z")</f>
        <v>2055-06-07T12:46:34.045714Z</v>
      </c>
      <c r="P908" s="3" t="str">
        <f ca="1">IFERROR(__xludf.DUMMYFUNCTION("""COMPUTED_VALUE"""),"2055-06-07T12:11:14.056942Z")</f>
        <v>2055-06-07T12:11:14.056942Z</v>
      </c>
      <c r="Q908" s="3">
        <f ca="1">IFERROR(__xludf.DUMMYFUNCTION("""COMPUTED_VALUE"""),0)</f>
        <v>0</v>
      </c>
      <c r="R908" s="3" t="str">
        <f ca="1">IFERROR(__xludf.DUMMYFUNCTION("""COMPUTED_VALUE"""),"2055-06-07T12:11:24.868913Z")</f>
        <v>2055-06-07T12:11:24.868913Z</v>
      </c>
      <c r="S908" s="3" t="str">
        <f ca="1">IFERROR(__xludf.DUMMYFUNCTION("""COMPUTED_VALUE"""),"2055-06-07T12:28:03.570045Z")</f>
        <v>2055-06-07T12:28:03.570045Z</v>
      </c>
      <c r="T908" s="3"/>
      <c r="U908" s="4">
        <f ca="1">IFERROR(__xludf.DUMMYFUNCTION("""COMPUTED_VALUE"""),56772)</f>
        <v>56772</v>
      </c>
      <c r="V908" s="3">
        <f ca="1">IFERROR(__xludf.DUMMYFUNCTION("""COMPUTED_VALUE"""),4.5)</f>
        <v>4.5</v>
      </c>
      <c r="W908" s="3">
        <f ca="1">IFERROR(__xludf.DUMMYFUNCTION("""COMPUTED_VALUE"""),1500)</f>
        <v>1500</v>
      </c>
      <c r="X908" s="3">
        <f ca="1">IFERROR(__xludf.DUMMYFUNCTION("""COMPUTED_VALUE"""),2110)</f>
        <v>2110</v>
      </c>
      <c r="Y908" s="3">
        <f ca="1">IFERROR(__xludf.DUMMYFUNCTION("""COMPUTED_VALUE"""),999)</f>
        <v>999</v>
      </c>
      <c r="Z908" s="3">
        <f ca="1">IFERROR(__xludf.DUMMYFUNCTION("""COMPUTED_VALUE"""),219)</f>
        <v>219</v>
      </c>
      <c r="AA908" s="3">
        <f ca="1">IFERROR(__xludf.DUMMYFUNCTION("""COMPUTED_VALUE"""),892)</f>
        <v>892</v>
      </c>
      <c r="AB908" s="3">
        <f ca="1">IFERROR(__xludf.DUMMYFUNCTION("""COMPUTED_VALUE"""),0)</f>
        <v>0</v>
      </c>
      <c r="AC908" s="3">
        <f ca="1">IFERROR(__xludf.DUMMYFUNCTION("""COMPUTED_VALUE"""),3)</f>
        <v>3</v>
      </c>
      <c r="AD908" s="3" t="str">
        <f ca="1">IFERROR(__xludf.DUMMYFUNCTION("""COMPUTED_VALUE"""),"late")</f>
        <v>late</v>
      </c>
      <c r="AE908" s="3" t="str">
        <f ca="1">IFERROR(__xludf.DUMMYFUNCTION("""COMPUTED_VALUE"""),"2055-06-07T08:31:42.215361Z")</f>
        <v>2055-06-07T08:31:42.215361Z</v>
      </c>
      <c r="AF908" s="3" t="str">
        <f ca="1">IFERROR(__xludf.DUMMYFUNCTION("""COMPUTED_VALUE"""),"2055-06-07T08:46:34.045714Z")</f>
        <v>2055-06-07T08:46:34.045714Z</v>
      </c>
      <c r="AG908" s="3" t="str">
        <f ca="1">IFERROR(__xludf.DUMMYFUNCTION("""COMPUTED_VALUE"""),"2055-06-07T08:11:14.056942Z")</f>
        <v>2055-06-07T08:11:14.056942Z</v>
      </c>
      <c r="AH908" s="3" t="str">
        <f ca="1">IFERROR(__xludf.DUMMYFUNCTION("""COMPUTED_VALUE"""),"2055-06-07T08:28:03.570045Z")</f>
        <v>2055-06-07T08:28:03.570045Z</v>
      </c>
      <c r="AI908" s="3">
        <f ca="1">IFERROR(__xludf.DUMMYFUNCTION("""COMPUTED_VALUE"""),3.82)</f>
        <v>3.82</v>
      </c>
      <c r="AJ908" s="3">
        <f ca="1">IFERROR(__xludf.DUMMYFUNCTION("""COMPUTED_VALUE"""),174)</f>
        <v>174</v>
      </c>
      <c r="AK908" s="3">
        <f ca="1">IFERROR(__xludf.DUMMYFUNCTION("""COMPUTED_VALUE"""),773)</f>
        <v>773</v>
      </c>
      <c r="AL908" s="3"/>
      <c r="AM908" s="3">
        <f>IFERROR(Raw_Data!AL908 / Raw_Data!AK908, "")</f>
        <v>0</v>
      </c>
      <c r="AN908" s="3" t="str">
        <f>IF(ISBLANK(Raw_Data!AL908), "No", "Yes")</f>
        <v>No</v>
      </c>
      <c r="AO908" s="3">
        <f>IFERROR(Raw_Data!Z908/60, "")</f>
        <v>3.65</v>
      </c>
    </row>
    <row r="909" spans="1:41" ht="13">
      <c r="A909" s="3">
        <f ca="1">IFERROR(__xludf.DUMMYFUNCTION("""COMPUTED_VALUE"""),1235)</f>
        <v>1235</v>
      </c>
      <c r="B909" s="3">
        <f ca="1">IFERROR(__xludf.DUMMYFUNCTION("""COMPUTED_VALUE"""),5)</f>
        <v>5</v>
      </c>
      <c r="C909" s="3">
        <f ca="1">IFERROR(__xludf.DUMMYFUNCTION("""COMPUTED_VALUE"""),4001)</f>
        <v>4001</v>
      </c>
      <c r="D909" s="3" t="str">
        <f ca="1">IFERROR(__xludf.DUMMYFUNCTION("""COMPUTED_VALUE"""),"Dashattan")</f>
        <v>Dashattan</v>
      </c>
      <c r="E909" s="3" t="str">
        <f ca="1">IFERROR(__xludf.DUMMYFUNCTION("""COMPUTED_VALUE"""),"Galaxy A")</f>
        <v>Galaxy A</v>
      </c>
      <c r="F909" s="3" t="str">
        <f ca="1">IFERROR(__xludf.DUMMYFUNCTION("""COMPUTED_VALUE"""),"KC")</f>
        <v>KC</v>
      </c>
      <c r="G909" s="3">
        <f ca="1">IFERROR(__xludf.DUMMYFUNCTION("""COMPUTED_VALUE"""),0)</f>
        <v>0</v>
      </c>
      <c r="H909" s="3" t="str">
        <f ca="1">IFERROR(__xludf.DUMMYFUNCTION("""COMPUTED_VALUE"""),"car")</f>
        <v>car</v>
      </c>
      <c r="I909" s="3" t="str">
        <f ca="1">IFERROR(__xludf.DUMMYFUNCTION("""COMPUTED_VALUE"""),"2055-06-11T14:16:07.973739Z")</f>
        <v>2055-06-11T14:16:07.973739Z</v>
      </c>
      <c r="J909" s="3" t="str">
        <f ca="1">IFERROR(__xludf.DUMMYFUNCTION("""COMPUTED_VALUE"""),"2055-06-11T15:00:32.039Z")</f>
        <v>2055-06-11T15:00:32.039Z</v>
      </c>
      <c r="K909" s="3" t="str">
        <f ca="1">IFERROR(__xludf.DUMMYFUNCTION("""COMPUTED_VALUE"""),"2055-06-11T14:41:39.039Z")</f>
        <v>2055-06-11T14:41:39.039Z</v>
      </c>
      <c r="L909" s="3">
        <f ca="1">IFERROR(__xludf.DUMMYFUNCTION("""COMPUTED_VALUE"""),1)</f>
        <v>1</v>
      </c>
      <c r="M909" s="3">
        <f ca="1">IFERROR(__xludf.DUMMYFUNCTION("""COMPUTED_VALUE"""),0)</f>
        <v>0</v>
      </c>
      <c r="N909" s="3" t="str">
        <f ca="1">IFERROR(__xludf.DUMMYFUNCTION("""COMPUTED_VALUE"""),"2055-06-11T14:32:11.852515Z")</f>
        <v>2055-06-11T14:32:11.852515Z</v>
      </c>
      <c r="O909" s="3" t="str">
        <f ca="1">IFERROR(__xludf.DUMMYFUNCTION("""COMPUTED_VALUE"""),"2055-06-11T14:41:38.967822Z")</f>
        <v>2055-06-11T14:41:38.967822Z</v>
      </c>
      <c r="P909" s="3" t="str">
        <f ca="1">IFERROR(__xludf.DUMMYFUNCTION("""COMPUTED_VALUE"""),"2055-06-11T14:24:54.055235Z")</f>
        <v>2055-06-11T14:24:54.055235Z</v>
      </c>
      <c r="Q909" s="3">
        <f ca="1">IFERROR(__xludf.DUMMYFUNCTION("""COMPUTED_VALUE"""),0)</f>
        <v>0</v>
      </c>
      <c r="R909" s="3" t="str">
        <f ca="1">IFERROR(__xludf.DUMMYFUNCTION("""COMPUTED_VALUE"""),"2055-06-11T14:25:11.768872Z")</f>
        <v>2055-06-11T14:25:11.768872Z</v>
      </c>
      <c r="S909" s="3" t="str">
        <f ca="1">IFERROR(__xludf.DUMMYFUNCTION("""COMPUTED_VALUE"""),"2055-06-11T14:30:19.143803Z")</f>
        <v>2055-06-11T14:30:19.143803Z</v>
      </c>
      <c r="T909" s="3"/>
      <c r="U909" s="4">
        <f ca="1">IFERROR(__xludf.DUMMYFUNCTION("""COMPUTED_VALUE"""),56776)</f>
        <v>56776</v>
      </c>
      <c r="V909" s="3">
        <f ca="1">IFERROR(__xludf.DUMMYFUNCTION("""COMPUTED_VALUE"""),4.5)</f>
        <v>4.5</v>
      </c>
      <c r="W909" s="3">
        <f ca="1">IFERROR(__xludf.DUMMYFUNCTION("""COMPUTED_VALUE"""),1500)</f>
        <v>1500</v>
      </c>
      <c r="X909" s="3">
        <f ca="1">IFERROR(__xludf.DUMMYFUNCTION("""COMPUTED_VALUE"""),987)</f>
        <v>987</v>
      </c>
      <c r="Y909" s="3">
        <f ca="1">IFERROR(__xludf.DUMMYFUNCTION("""COMPUTED_VALUE"""),308)</f>
        <v>308</v>
      </c>
      <c r="Z909" s="3">
        <f ca="1">IFERROR(__xludf.DUMMYFUNCTION("""COMPUTED_VALUE"""),112)</f>
        <v>112</v>
      </c>
      <c r="AA909" s="3">
        <f ca="1">IFERROR(__xludf.DUMMYFUNCTION("""COMPUTED_VALUE"""),567)</f>
        <v>567</v>
      </c>
      <c r="AB909" s="3">
        <f ca="1">IFERROR(__xludf.DUMMYFUNCTION("""COMPUTED_VALUE"""),0)</f>
        <v>0</v>
      </c>
      <c r="AC909" s="3">
        <f ca="1">IFERROR(__xludf.DUMMYFUNCTION("""COMPUTED_VALUE"""),3)</f>
        <v>3</v>
      </c>
      <c r="AD909" s="3" t="str">
        <f ca="1">IFERROR(__xludf.DUMMYFUNCTION("""COMPUTED_VALUE"""),"on time")</f>
        <v>on time</v>
      </c>
      <c r="AE909" s="3" t="str">
        <f ca="1">IFERROR(__xludf.DUMMYFUNCTION("""COMPUTED_VALUE"""),"2055-06-11T10:32:11.852515Z")</f>
        <v>2055-06-11T10:32:11.852515Z</v>
      </c>
      <c r="AF909" s="3" t="str">
        <f ca="1">IFERROR(__xludf.DUMMYFUNCTION("""COMPUTED_VALUE"""),"2055-06-11T10:41:38.967822Z")</f>
        <v>2055-06-11T10:41:38.967822Z</v>
      </c>
      <c r="AG909" s="3" t="str">
        <f ca="1">IFERROR(__xludf.DUMMYFUNCTION("""COMPUTED_VALUE"""),"2055-06-11T10:24:54.055235Z")</f>
        <v>2055-06-11T10:24:54.055235Z</v>
      </c>
      <c r="AH909" s="3" t="str">
        <f ca="1">IFERROR(__xludf.DUMMYFUNCTION("""COMPUTED_VALUE"""),"2055-06-11T10:30:19.143803Z")</f>
        <v>2055-06-11T10:30:19.143803Z</v>
      </c>
      <c r="AI909" s="3">
        <f ca="1">IFERROR(__xludf.DUMMYFUNCTION("""COMPUTED_VALUE"""),4.54)</f>
        <v>4.54</v>
      </c>
      <c r="AJ909" s="3">
        <f ca="1">IFERROR(__xludf.DUMMYFUNCTION("""COMPUTED_VALUE"""),2229)</f>
        <v>2229</v>
      </c>
      <c r="AK909" s="3">
        <f ca="1">IFERROR(__xludf.DUMMYFUNCTION("""COMPUTED_VALUE"""),6580)</f>
        <v>6580</v>
      </c>
      <c r="AL909" s="3"/>
      <c r="AM909" s="3">
        <f>IFERROR(Raw_Data!AL909 / Raw_Data!AK909, "")</f>
        <v>0</v>
      </c>
      <c r="AN909" s="3" t="str">
        <f>IF(ISBLANK(Raw_Data!AL909), "No", "Yes")</f>
        <v>No</v>
      </c>
      <c r="AO909" s="3">
        <f>IFERROR(Raw_Data!Z909/60, "")</f>
        <v>1.8666666666666667</v>
      </c>
    </row>
    <row r="910" spans="1:41" ht="13">
      <c r="A910" s="3">
        <f ca="1">IFERROR(__xludf.DUMMYFUNCTION("""COMPUTED_VALUE"""),29)</f>
        <v>29</v>
      </c>
      <c r="B910" s="3">
        <f ca="1">IFERROR(__xludf.DUMMYFUNCTION("""COMPUTED_VALUE"""),5)</f>
        <v>5</v>
      </c>
      <c r="C910" s="3">
        <f ca="1">IFERROR(__xludf.DUMMYFUNCTION("""COMPUTED_VALUE"""),4050)</f>
        <v>4050</v>
      </c>
      <c r="D910" s="3" t="str">
        <f ca="1">IFERROR(__xludf.DUMMYFUNCTION("""COMPUTED_VALUE"""),"Doorlanta")</f>
        <v>Doorlanta</v>
      </c>
      <c r="E910" s="3" t="str">
        <f ca="1">IFERROR(__xludf.DUMMYFUNCTION("""COMPUTED_VALUE"""),"Galaxy A")</f>
        <v>Galaxy A</v>
      </c>
      <c r="F910" s="3" t="str">
        <f ca="1">IFERROR(__xludf.DUMMYFUNCTION("""COMPUTED_VALUE"""),"Katelynn")</f>
        <v>Katelynn</v>
      </c>
      <c r="G910" s="3">
        <f ca="1">IFERROR(__xludf.DUMMYFUNCTION("""COMPUTED_VALUE"""),0)</f>
        <v>0</v>
      </c>
      <c r="H910" s="3" t="str">
        <f ca="1">IFERROR(__xludf.DUMMYFUNCTION("""COMPUTED_VALUE"""),"car")</f>
        <v>car</v>
      </c>
      <c r="I910" s="3" t="str">
        <f ca="1">IFERROR(__xludf.DUMMYFUNCTION("""COMPUTED_VALUE"""),"2055-06-01T19:53:06.319104Z")</f>
        <v>2055-06-01T19:53:06.319104Z</v>
      </c>
      <c r="J910" s="3" t="str">
        <f ca="1">IFERROR(__xludf.DUMMYFUNCTION("""COMPUTED_VALUE"""),"2055-06-01T20:48:38.41Z")</f>
        <v>2055-06-01T20:48:38.41Z</v>
      </c>
      <c r="K910" s="3" t="str">
        <f ca="1">IFERROR(__xludf.DUMMYFUNCTION("""COMPUTED_VALUE"""),"2055-06-01T20:28:31.41Z")</f>
        <v>2055-06-01T20:28:31.41Z</v>
      </c>
      <c r="L910" s="3">
        <f ca="1">IFERROR(__xludf.DUMMYFUNCTION("""COMPUTED_VALUE"""),1)</f>
        <v>1</v>
      </c>
      <c r="M910" s="3">
        <f ca="1">IFERROR(__xludf.DUMMYFUNCTION("""COMPUTED_VALUE"""),0)</f>
        <v>0</v>
      </c>
      <c r="N910" s="3" t="str">
        <f ca="1">IFERROR(__xludf.DUMMYFUNCTION("""COMPUTED_VALUE"""),"2055-06-01T20:10:03.919373Z")</f>
        <v>2055-06-01T20:10:03.919373Z</v>
      </c>
      <c r="O910" s="3" t="str">
        <f ca="1">IFERROR(__xludf.DUMMYFUNCTION("""COMPUTED_VALUE"""),"2055-06-01T20:19:21.118026Z")</f>
        <v>2055-06-01T20:19:21.118026Z</v>
      </c>
      <c r="P910" s="3" t="str">
        <f ca="1">IFERROR(__xludf.DUMMYFUNCTION("""COMPUTED_VALUE"""),"2055-06-01T19:55:07.339296Z")</f>
        <v>2055-06-01T19:55:07.339296Z</v>
      </c>
      <c r="Q910" s="3">
        <f ca="1">IFERROR(__xludf.DUMMYFUNCTION("""COMPUTED_VALUE"""),0)</f>
        <v>0</v>
      </c>
      <c r="R910" s="3" t="str">
        <f ca="1">IFERROR(__xludf.DUMMYFUNCTION("""COMPUTED_VALUE"""),"2055-06-01T19:55:15.361342Z")</f>
        <v>2055-06-01T19:55:15.361342Z</v>
      </c>
      <c r="S910" s="3" t="str">
        <f ca="1">IFERROR(__xludf.DUMMYFUNCTION("""COMPUTED_VALUE"""),"2055-06-01T20:12:44.561302Z")</f>
        <v>2055-06-01T20:12:44.561302Z</v>
      </c>
      <c r="T910" s="3"/>
      <c r="U910" s="4">
        <f ca="1">IFERROR(__xludf.DUMMYFUNCTION("""COMPUTED_VALUE"""),56766)</f>
        <v>56766</v>
      </c>
      <c r="V910" s="3">
        <f ca="1">IFERROR(__xludf.DUMMYFUNCTION("""COMPUTED_VALUE"""),4.6)</f>
        <v>4.5999999999999996</v>
      </c>
      <c r="W910" s="3">
        <f ca="1">IFERROR(__xludf.DUMMYFUNCTION("""COMPUTED_VALUE"""),1500)</f>
        <v>1500</v>
      </c>
      <c r="X910" s="3">
        <f ca="1">IFERROR(__xludf.DUMMYFUNCTION("""COMPUTED_VALUE"""),1446)</f>
        <v>1446</v>
      </c>
      <c r="Y910" s="3">
        <f ca="1">IFERROR(__xludf.DUMMYFUNCTION("""COMPUTED_VALUE"""),1049)</f>
        <v>1049</v>
      </c>
      <c r="Z910" s="3"/>
      <c r="AA910" s="3">
        <f ca="1">IFERROR(__xludf.DUMMYFUNCTION("""COMPUTED_VALUE"""),558)</f>
        <v>558</v>
      </c>
      <c r="AB910" s="3">
        <f ca="1">IFERROR(__xludf.DUMMYFUNCTION("""COMPUTED_VALUE"""),0)</f>
        <v>0</v>
      </c>
      <c r="AC910" s="3">
        <f ca="1">IFERROR(__xludf.DUMMYFUNCTION("""COMPUTED_VALUE"""),2)</f>
        <v>2</v>
      </c>
      <c r="AD910" s="3" t="str">
        <f ca="1">IFERROR(__xludf.DUMMYFUNCTION("""COMPUTED_VALUE"""),"late")</f>
        <v>late</v>
      </c>
      <c r="AE910" s="3" t="str">
        <f ca="1">IFERROR(__xludf.DUMMYFUNCTION("""COMPUTED_VALUE"""),"2055-06-01T16:10:03.919373Z")</f>
        <v>2055-06-01T16:10:03.919373Z</v>
      </c>
      <c r="AF910" s="3" t="str">
        <f ca="1">IFERROR(__xludf.DUMMYFUNCTION("""COMPUTED_VALUE"""),"2055-06-01T16:19:21.118026Z")</f>
        <v>2055-06-01T16:19:21.118026Z</v>
      </c>
      <c r="AG910" s="3" t="str">
        <f ca="1">IFERROR(__xludf.DUMMYFUNCTION("""COMPUTED_VALUE"""),"2055-06-01T15:55:07.339296Z")</f>
        <v>2055-06-01T15:55:07.339296Z</v>
      </c>
      <c r="AH910" s="3" t="str">
        <f ca="1">IFERROR(__xludf.DUMMYFUNCTION("""COMPUTED_VALUE"""),"2055-06-01T16:12:44.561302Z")</f>
        <v>2055-06-01T16:12:44.561302Z</v>
      </c>
      <c r="AI910" s="3">
        <f ca="1">IFERROR(__xludf.DUMMYFUNCTION("""COMPUTED_VALUE"""),4.7)</f>
        <v>4.7</v>
      </c>
      <c r="AJ910" s="3">
        <f ca="1">IFERROR(__xludf.DUMMYFUNCTION("""COMPUTED_VALUE"""),1261)</f>
        <v>1261</v>
      </c>
      <c r="AK910" s="3">
        <f ca="1">IFERROR(__xludf.DUMMYFUNCTION("""COMPUTED_VALUE"""),3264)</f>
        <v>3264</v>
      </c>
      <c r="AL910" s="3">
        <f ca="1">IFERROR(__xludf.DUMMYFUNCTION("""COMPUTED_VALUE"""),232)</f>
        <v>232</v>
      </c>
      <c r="AM910" s="3">
        <f>IFERROR(Raw_Data!AL910 / Raw_Data!AK910, "")</f>
        <v>7.1078431372549017E-2</v>
      </c>
      <c r="AN910" s="3" t="str">
        <f>IF(ISBLANK(Raw_Data!AL910), "No", "Yes")</f>
        <v>Yes</v>
      </c>
      <c r="AO910" s="3">
        <f>IFERROR(Raw_Data!Z910/60, "")</f>
        <v>0</v>
      </c>
    </row>
    <row r="911" spans="1:41" ht="13">
      <c r="A911" s="3">
        <f ca="1">IFERROR(__xludf.DUMMYFUNCTION("""COMPUTED_VALUE"""),309)</f>
        <v>309</v>
      </c>
      <c r="B911" s="3">
        <f ca="1">IFERROR(__xludf.DUMMYFUNCTION("""COMPUTED_VALUE"""),5)</f>
        <v>5</v>
      </c>
      <c r="C911" s="3">
        <f ca="1">IFERROR(__xludf.DUMMYFUNCTION("""COMPUTED_VALUE"""),4001)</f>
        <v>4001</v>
      </c>
      <c r="D911" s="3" t="str">
        <f ca="1">IFERROR(__xludf.DUMMYFUNCTION("""COMPUTED_VALUE"""),"Dashattan")</f>
        <v>Dashattan</v>
      </c>
      <c r="E911" s="3" t="str">
        <f ca="1">IFERROR(__xludf.DUMMYFUNCTION("""COMPUTED_VALUE"""),"Galaxy A")</f>
        <v>Galaxy A</v>
      </c>
      <c r="F911" s="3" t="str">
        <f ca="1">IFERROR(__xludf.DUMMYFUNCTION("""COMPUTED_VALUE"""),"Samm")</f>
        <v>Samm</v>
      </c>
      <c r="G911" s="3">
        <f ca="1">IFERROR(__xludf.DUMMYFUNCTION("""COMPUTED_VALUE"""),0)</f>
        <v>0</v>
      </c>
      <c r="H911" s="3" t="str">
        <f ca="1">IFERROR(__xludf.DUMMYFUNCTION("""COMPUTED_VALUE"""),"car")</f>
        <v>car</v>
      </c>
      <c r="I911" s="3" t="str">
        <f ca="1">IFERROR(__xludf.DUMMYFUNCTION("""COMPUTED_VALUE"""),"2055-06-03T18:19:23.595331Z")</f>
        <v>2055-06-03T18:19:23.595331Z</v>
      </c>
      <c r="J911" s="3" t="str">
        <f ca="1">IFERROR(__xludf.DUMMYFUNCTION("""COMPUTED_VALUE"""),"2055-06-03T19:13:12.652Z")</f>
        <v>2055-06-03T19:13:12.652Z</v>
      </c>
      <c r="K911" s="3" t="str">
        <f ca="1">IFERROR(__xludf.DUMMYFUNCTION("""COMPUTED_VALUE"""),"2055-06-03T18:54:19.652Z")</f>
        <v>2055-06-03T18:54:19.652Z</v>
      </c>
      <c r="L911" s="3">
        <f ca="1">IFERROR(__xludf.DUMMYFUNCTION("""COMPUTED_VALUE"""),1)</f>
        <v>1</v>
      </c>
      <c r="M911" s="3">
        <f ca="1">IFERROR(__xludf.DUMMYFUNCTION("""COMPUTED_VALUE"""),0)</f>
        <v>0</v>
      </c>
      <c r="N911" s="3" t="str">
        <f ca="1">IFERROR(__xludf.DUMMYFUNCTION("""COMPUTED_VALUE"""),"2055-06-03T18:43:19.647488Z")</f>
        <v>2055-06-03T18:43:19.647488Z</v>
      </c>
      <c r="O911" s="3" t="str">
        <f ca="1">IFERROR(__xludf.DUMMYFUNCTION("""COMPUTED_VALUE"""),"2055-06-03T18:55:02.27665Z")</f>
        <v>2055-06-03T18:55:02.27665Z</v>
      </c>
      <c r="P911" s="3" t="str">
        <f ca="1">IFERROR(__xludf.DUMMYFUNCTION("""COMPUTED_VALUE"""),"2055-06-03T18:19:34.114298Z")</f>
        <v>2055-06-03T18:19:34.114298Z</v>
      </c>
      <c r="Q911" s="3">
        <f ca="1">IFERROR(__xludf.DUMMYFUNCTION("""COMPUTED_VALUE"""),0)</f>
        <v>0</v>
      </c>
      <c r="R911" s="3" t="str">
        <f ca="1">IFERROR(__xludf.DUMMYFUNCTION("""COMPUTED_VALUE"""),"2055-06-03T18:19:39.513523Z")</f>
        <v>2055-06-03T18:19:39.513523Z</v>
      </c>
      <c r="S911" s="3" t="str">
        <f ca="1">IFERROR(__xludf.DUMMYFUNCTION("""COMPUTED_VALUE"""),"2055-06-03T18:27:42.265985Z")</f>
        <v>2055-06-03T18:27:42.265985Z</v>
      </c>
      <c r="T911" s="3"/>
      <c r="U911" s="4">
        <f ca="1">IFERROR(__xludf.DUMMYFUNCTION("""COMPUTED_VALUE"""),56768)</f>
        <v>56768</v>
      </c>
      <c r="V911" s="3">
        <f ca="1">IFERROR(__xludf.DUMMYFUNCTION("""COMPUTED_VALUE"""),4.3)</f>
        <v>4.3</v>
      </c>
      <c r="W911" s="3">
        <f ca="1">IFERROR(__xludf.DUMMYFUNCTION("""COMPUTED_VALUE"""),1500)</f>
        <v>1500</v>
      </c>
      <c r="X911" s="3">
        <f ca="1">IFERROR(__xludf.DUMMYFUNCTION("""COMPUTED_VALUE"""),2123)</f>
        <v>2123</v>
      </c>
      <c r="Y911" s="3">
        <f ca="1">IFERROR(__xludf.DUMMYFUNCTION("""COMPUTED_VALUE"""),483)</f>
        <v>483</v>
      </c>
      <c r="Z911" s="3">
        <f ca="1">IFERROR(__xludf.DUMMYFUNCTION("""COMPUTED_VALUE"""),937)</f>
        <v>937</v>
      </c>
      <c r="AA911" s="3">
        <f ca="1">IFERROR(__xludf.DUMMYFUNCTION("""COMPUTED_VALUE"""),703)</f>
        <v>703</v>
      </c>
      <c r="AB911" s="3">
        <f ca="1">IFERROR(__xludf.DUMMYFUNCTION("""COMPUTED_VALUE"""),1)</f>
        <v>1</v>
      </c>
      <c r="AC911" s="3">
        <f ca="1">IFERROR(__xludf.DUMMYFUNCTION("""COMPUTED_VALUE"""),1)</f>
        <v>1</v>
      </c>
      <c r="AD911" s="3"/>
      <c r="AE911" s="3" t="str">
        <f ca="1">IFERROR(__xludf.DUMMYFUNCTION("""COMPUTED_VALUE"""),"2055-06-03T14:43:19.647488Z")</f>
        <v>2055-06-03T14:43:19.647488Z</v>
      </c>
      <c r="AF911" s="3" t="str">
        <f ca="1">IFERROR(__xludf.DUMMYFUNCTION("""COMPUTED_VALUE"""),"2055-06-03T14:55:02.27665Z")</f>
        <v>2055-06-03T14:55:02.27665Z</v>
      </c>
      <c r="AG911" s="3" t="str">
        <f ca="1">IFERROR(__xludf.DUMMYFUNCTION("""COMPUTED_VALUE"""),"2055-06-03T14:19:34.114298Z")</f>
        <v>2055-06-03T14:19:34.114298Z</v>
      </c>
      <c r="AH911" s="3" t="str">
        <f ca="1">IFERROR(__xludf.DUMMYFUNCTION("""COMPUTED_VALUE"""),"2055-06-03T14:27:42.265985Z")</f>
        <v>2055-06-03T14:27:42.265985Z</v>
      </c>
      <c r="AI911" s="3">
        <f ca="1">IFERROR(__xludf.DUMMYFUNCTION("""COMPUTED_VALUE"""),4.03)</f>
        <v>4.03</v>
      </c>
      <c r="AJ911" s="3">
        <f ca="1">IFERROR(__xludf.DUMMYFUNCTION("""COMPUTED_VALUE"""),505)</f>
        <v>505</v>
      </c>
      <c r="AK911" s="3">
        <f ca="1">IFERROR(__xludf.DUMMYFUNCTION("""COMPUTED_VALUE"""),1721)</f>
        <v>1721</v>
      </c>
      <c r="AL911" s="3">
        <f ca="1">IFERROR(__xludf.DUMMYFUNCTION("""COMPUTED_VALUE"""),457)</f>
        <v>457</v>
      </c>
      <c r="AM911" s="3">
        <f>IFERROR(Raw_Data!AL911 / Raw_Data!AK911, "")</f>
        <v>0.26554328878558975</v>
      </c>
      <c r="AN911" s="3" t="str">
        <f>IF(ISBLANK(Raw_Data!AL911), "No", "Yes")</f>
        <v>Yes</v>
      </c>
      <c r="AO911" s="3">
        <f>IFERROR(Raw_Data!Z911/60, "")</f>
        <v>15.616666666666667</v>
      </c>
    </row>
    <row r="912" spans="1:41" ht="13">
      <c r="A912" s="3">
        <f ca="1">IFERROR(__xludf.DUMMYFUNCTION("""COMPUTED_VALUE"""),1502)</f>
        <v>1502</v>
      </c>
      <c r="B912" s="3">
        <f ca="1">IFERROR(__xludf.DUMMYFUNCTION("""COMPUTED_VALUE"""),1)</f>
        <v>1</v>
      </c>
      <c r="C912" s="3">
        <f ca="1">IFERROR(__xludf.DUMMYFUNCTION("""COMPUTED_VALUE"""),4001)</f>
        <v>4001</v>
      </c>
      <c r="D912" s="3" t="str">
        <f ca="1">IFERROR(__xludf.DUMMYFUNCTION("""COMPUTED_VALUE"""),"Dashattan")</f>
        <v>Dashattan</v>
      </c>
      <c r="E912" s="3" t="str">
        <f ca="1">IFERROR(__xludf.DUMMYFUNCTION("""COMPUTED_VALUE"""),"Galaxy A")</f>
        <v>Galaxy A</v>
      </c>
      <c r="F912" s="3" t="str">
        <f ca="1">IFERROR(__xludf.DUMMYFUNCTION("""COMPUTED_VALUE"""),"Arya")</f>
        <v>Arya</v>
      </c>
      <c r="G912" s="3">
        <f ca="1">IFERROR(__xludf.DUMMYFUNCTION("""COMPUTED_VALUE"""),0)</f>
        <v>0</v>
      </c>
      <c r="H912" s="3" t="str">
        <f ca="1">IFERROR(__xludf.DUMMYFUNCTION("""COMPUTED_VALUE"""),"bicycle")</f>
        <v>bicycle</v>
      </c>
      <c r="I912" s="3" t="str">
        <f ca="1">IFERROR(__xludf.DUMMYFUNCTION("""COMPUTED_VALUE"""),"2055-06-12T23:32:00.94796Z")</f>
        <v>2055-06-12T23:32:00.94796Z</v>
      </c>
      <c r="J912" s="3" t="str">
        <f ca="1">IFERROR(__xludf.DUMMYFUNCTION("""COMPUTED_VALUE"""),"2055-06-13T00:29:50.998Z")</f>
        <v>2055-06-13T00:29:50.998Z</v>
      </c>
      <c r="K912" s="3" t="str">
        <f ca="1">IFERROR(__xludf.DUMMYFUNCTION("""COMPUTED_VALUE"""),"2055-06-13T00:07:56.998Z")</f>
        <v>2055-06-13T00:07:56.998Z</v>
      </c>
      <c r="L912" s="3">
        <f ca="1">IFERROR(__xludf.DUMMYFUNCTION("""COMPUTED_VALUE"""),1)</f>
        <v>1</v>
      </c>
      <c r="M912" s="3">
        <f ca="1">IFERROR(__xludf.DUMMYFUNCTION("""COMPUTED_VALUE"""),0)</f>
        <v>0</v>
      </c>
      <c r="N912" s="3" t="str">
        <f ca="1">IFERROR(__xludf.DUMMYFUNCTION("""COMPUTED_VALUE"""),"2055-06-12T23:54:25.110715Z")</f>
        <v>2055-06-12T23:54:25.110715Z</v>
      </c>
      <c r="O912" s="3" t="str">
        <f ca="1">IFERROR(__xludf.DUMMYFUNCTION("""COMPUTED_VALUE"""),"2055-06-13T00:03:18.195302Z")</f>
        <v>2055-06-13T00:03:18.195302Z</v>
      </c>
      <c r="P912" s="3" t="str">
        <f ca="1">IFERROR(__xludf.DUMMYFUNCTION("""COMPUTED_VALUE"""),"2055-06-12T23:41:56.321446Z")</f>
        <v>2055-06-12T23:41:56.321446Z</v>
      </c>
      <c r="Q912" s="3">
        <f ca="1">IFERROR(__xludf.DUMMYFUNCTION("""COMPUTED_VALUE"""),0)</f>
        <v>0</v>
      </c>
      <c r="R912" s="3" t="str">
        <f ca="1">IFERROR(__xludf.DUMMYFUNCTION("""COMPUTED_VALUE"""),"2055-06-12T23:42:11.194953Z")</f>
        <v>2055-06-12T23:42:11.194953Z</v>
      </c>
      <c r="S912" s="3" t="str">
        <f ca="1">IFERROR(__xludf.DUMMYFUNCTION("""COMPUTED_VALUE"""),"2055-06-12T23:51:52.255609Z")</f>
        <v>2055-06-12T23:51:52.255609Z</v>
      </c>
      <c r="T912" s="3"/>
      <c r="U912" s="4">
        <f ca="1">IFERROR(__xludf.DUMMYFUNCTION("""COMPUTED_VALUE"""),56777)</f>
        <v>56777</v>
      </c>
      <c r="V912" s="3">
        <f ca="1">IFERROR(__xludf.DUMMYFUNCTION("""COMPUTED_VALUE"""),4.3)</f>
        <v>4.3</v>
      </c>
      <c r="W912" s="3">
        <f ca="1">IFERROR(__xludf.DUMMYFUNCTION("""COMPUTED_VALUE"""),1500)</f>
        <v>1500</v>
      </c>
      <c r="X912" s="3">
        <f ca="1">IFERROR(__xludf.DUMMYFUNCTION("""COMPUTED_VALUE"""),1267)</f>
        <v>1267</v>
      </c>
      <c r="Y912" s="3">
        <f ca="1">IFERROR(__xludf.DUMMYFUNCTION("""COMPUTED_VALUE"""),581)</f>
        <v>581</v>
      </c>
      <c r="Z912" s="3">
        <f ca="1">IFERROR(__xludf.DUMMYFUNCTION("""COMPUTED_VALUE"""),153)</f>
        <v>153</v>
      </c>
      <c r="AA912" s="3">
        <f ca="1">IFERROR(__xludf.DUMMYFUNCTION("""COMPUTED_VALUE"""),533)</f>
        <v>533</v>
      </c>
      <c r="AB912" s="3">
        <f ca="1">IFERROR(__xludf.DUMMYFUNCTION("""COMPUTED_VALUE"""),0)</f>
        <v>0</v>
      </c>
      <c r="AC912" s="3">
        <f ca="1">IFERROR(__xludf.DUMMYFUNCTION("""COMPUTED_VALUE"""),1)</f>
        <v>1</v>
      </c>
      <c r="AD912" s="3" t="str">
        <f ca="1">IFERROR(__xludf.DUMMYFUNCTION("""COMPUTED_VALUE"""),"on time")</f>
        <v>on time</v>
      </c>
      <c r="AE912" s="3" t="str">
        <f ca="1">IFERROR(__xludf.DUMMYFUNCTION("""COMPUTED_VALUE"""),"2055-06-12T19:54:25.110715Z")</f>
        <v>2055-06-12T19:54:25.110715Z</v>
      </c>
      <c r="AF912" s="3" t="str">
        <f ca="1">IFERROR(__xludf.DUMMYFUNCTION("""COMPUTED_VALUE"""),"2055-06-12T20:03:18.195302Z")</f>
        <v>2055-06-12T20:03:18.195302Z</v>
      </c>
      <c r="AG912" s="3" t="str">
        <f ca="1">IFERROR(__xludf.DUMMYFUNCTION("""COMPUTED_VALUE"""),"2055-06-12T19:41:56.321446Z")</f>
        <v>2055-06-12T19:41:56.321446Z</v>
      </c>
      <c r="AH912" s="3" t="str">
        <f ca="1">IFERROR(__xludf.DUMMYFUNCTION("""COMPUTED_VALUE"""),"2055-06-12T19:51:52.255609Z")</f>
        <v>2055-06-12T19:51:52.255609Z</v>
      </c>
      <c r="AI912" s="3">
        <f ca="1">IFERROR(__xludf.DUMMYFUNCTION("""COMPUTED_VALUE"""),4.17)</f>
        <v>4.17</v>
      </c>
      <c r="AJ912" s="3">
        <f ca="1">IFERROR(__xludf.DUMMYFUNCTION("""COMPUTED_VALUE"""),457)</f>
        <v>457</v>
      </c>
      <c r="AK912" s="3">
        <f ca="1">IFERROR(__xludf.DUMMYFUNCTION("""COMPUTED_VALUE"""),1599)</f>
        <v>1599</v>
      </c>
      <c r="AL912" s="3"/>
      <c r="AM912" s="3">
        <f>IFERROR(Raw_Data!AL912 / Raw_Data!AK912, "")</f>
        <v>0</v>
      </c>
      <c r="AN912" s="3" t="str">
        <f>IF(ISBLANK(Raw_Data!AL912), "No", "Yes")</f>
        <v>No</v>
      </c>
      <c r="AO912" s="3">
        <f>IFERROR(Raw_Data!Z912/60, "")</f>
        <v>2.5499999999999998</v>
      </c>
    </row>
    <row r="913" spans="1:41" ht="13">
      <c r="A913" s="3">
        <f ca="1">IFERROR(__xludf.DUMMYFUNCTION("""COMPUTED_VALUE"""),278)</f>
        <v>278</v>
      </c>
      <c r="B913" s="3"/>
      <c r="C913" s="3">
        <f ca="1">IFERROR(__xludf.DUMMYFUNCTION("""COMPUTED_VALUE"""),4001)</f>
        <v>4001</v>
      </c>
      <c r="D913" s="3" t="str">
        <f ca="1">IFERROR(__xludf.DUMMYFUNCTION("""COMPUTED_VALUE"""),"Dashattan")</f>
        <v>Dashattan</v>
      </c>
      <c r="E913" s="3" t="str">
        <f ca="1">IFERROR(__xludf.DUMMYFUNCTION("""COMPUTED_VALUE"""),"Galaxy A")</f>
        <v>Galaxy A</v>
      </c>
      <c r="F913" s="3" t="str">
        <f ca="1">IFERROR(__xludf.DUMMYFUNCTION("""COMPUTED_VALUE"""),"Sean")</f>
        <v>Sean</v>
      </c>
      <c r="G913" s="3">
        <f ca="1">IFERROR(__xludf.DUMMYFUNCTION("""COMPUTED_VALUE"""),0)</f>
        <v>0</v>
      </c>
      <c r="H913" s="3" t="str">
        <f ca="1">IFERROR(__xludf.DUMMYFUNCTION("""COMPUTED_VALUE"""),"bicycle")</f>
        <v>bicycle</v>
      </c>
      <c r="I913" s="3" t="str">
        <f ca="1">IFERROR(__xludf.DUMMYFUNCTION("""COMPUTED_VALUE"""),"2055-06-03T15:52:27.064526Z")</f>
        <v>2055-06-03T15:52:27.064526Z</v>
      </c>
      <c r="J913" s="3" t="str">
        <f ca="1">IFERROR(__xludf.DUMMYFUNCTION("""COMPUTED_VALUE"""),"2055-06-03T16:34:47.125Z")</f>
        <v>2055-06-03T16:34:47.125Z</v>
      </c>
      <c r="K913" s="3" t="str">
        <f ca="1">IFERROR(__xludf.DUMMYFUNCTION("""COMPUTED_VALUE"""),"2055-06-03T16:20:08.125Z")</f>
        <v>2055-06-03T16:20:08.125Z</v>
      </c>
      <c r="L913" s="3">
        <f ca="1">IFERROR(__xludf.DUMMYFUNCTION("""COMPUTED_VALUE"""),1)</f>
        <v>1</v>
      </c>
      <c r="M913" s="3">
        <f ca="1">IFERROR(__xludf.DUMMYFUNCTION("""COMPUTED_VALUE"""),0)</f>
        <v>0</v>
      </c>
      <c r="N913" s="3" t="str">
        <f ca="1">IFERROR(__xludf.DUMMYFUNCTION("""COMPUTED_VALUE"""),"2055-06-03T16:06:15.012858Z")</f>
        <v>2055-06-03T16:06:15.012858Z</v>
      </c>
      <c r="O913" s="3" t="str">
        <f ca="1">IFERROR(__xludf.DUMMYFUNCTION("""COMPUTED_VALUE"""),"2055-06-03T16:15:27.047916Z")</f>
        <v>2055-06-03T16:15:27.047916Z</v>
      </c>
      <c r="P913" s="3" t="str">
        <f ca="1">IFERROR(__xludf.DUMMYFUNCTION("""COMPUTED_VALUE"""),"2055-06-03T15:56:15.053916Z")</f>
        <v>2055-06-03T15:56:15.053916Z</v>
      </c>
      <c r="Q913" s="3">
        <f ca="1">IFERROR(__xludf.DUMMYFUNCTION("""COMPUTED_VALUE"""),0)</f>
        <v>0</v>
      </c>
      <c r="R913" s="3" t="str">
        <f ca="1">IFERROR(__xludf.DUMMYFUNCTION("""COMPUTED_VALUE"""),"2055-06-03T15:56:35.489472Z")</f>
        <v>2055-06-03T15:56:35.489472Z</v>
      </c>
      <c r="S913" s="3" t="str">
        <f ca="1">IFERROR(__xludf.DUMMYFUNCTION("""COMPUTED_VALUE"""),"2055-06-03T15:58:46.06218Z")</f>
        <v>2055-06-03T15:58:46.06218Z</v>
      </c>
      <c r="T913" s="3"/>
      <c r="U913" s="4">
        <f ca="1">IFERROR(__xludf.DUMMYFUNCTION("""COMPUTED_VALUE"""),56768)</f>
        <v>56768</v>
      </c>
      <c r="V913" s="3">
        <f ca="1">IFERROR(__xludf.DUMMYFUNCTION("""COMPUTED_VALUE"""),3.49339893)</f>
        <v>3.4933989300000001</v>
      </c>
      <c r="W913" s="3">
        <f ca="1">IFERROR(__xludf.DUMMYFUNCTION("""COMPUTED_VALUE"""),1500)</f>
        <v>1500</v>
      </c>
      <c r="X913" s="3">
        <f ca="1">IFERROR(__xludf.DUMMYFUNCTION("""COMPUTED_VALUE"""),1132)</f>
        <v>1132</v>
      </c>
      <c r="Y913" s="3">
        <f ca="1">IFERROR(__xludf.DUMMYFUNCTION("""COMPUTED_VALUE"""),131)</f>
        <v>131</v>
      </c>
      <c r="Z913" s="3">
        <f ca="1">IFERROR(__xludf.DUMMYFUNCTION("""COMPUTED_VALUE"""),449)</f>
        <v>449</v>
      </c>
      <c r="AA913" s="3">
        <f ca="1">IFERROR(__xludf.DUMMYFUNCTION("""COMPUTED_VALUE"""),552)</f>
        <v>552</v>
      </c>
      <c r="AB913" s="3">
        <f ca="1">IFERROR(__xludf.DUMMYFUNCTION("""COMPUTED_VALUE"""),1)</f>
        <v>1</v>
      </c>
      <c r="AC913" s="3">
        <f ca="1">IFERROR(__xludf.DUMMYFUNCTION("""COMPUTED_VALUE"""),1)</f>
        <v>1</v>
      </c>
      <c r="AD913" s="3"/>
      <c r="AE913" s="3" t="str">
        <f ca="1">IFERROR(__xludf.DUMMYFUNCTION("""COMPUTED_VALUE"""),"2055-06-03T12:06:15.012858Z")</f>
        <v>2055-06-03T12:06:15.012858Z</v>
      </c>
      <c r="AF913" s="3" t="str">
        <f ca="1">IFERROR(__xludf.DUMMYFUNCTION("""COMPUTED_VALUE"""),"2055-06-03T12:15:27.047916Z")</f>
        <v>2055-06-03T12:15:27.047916Z</v>
      </c>
      <c r="AG913" s="3" t="str">
        <f ca="1">IFERROR(__xludf.DUMMYFUNCTION("""COMPUTED_VALUE"""),"2055-06-03T11:56:15.053916Z")</f>
        <v>2055-06-03T11:56:15.053916Z</v>
      </c>
      <c r="AH913" s="3" t="str">
        <f ca="1">IFERROR(__xludf.DUMMYFUNCTION("""COMPUTED_VALUE"""),"2055-06-03T11:58:46.06218Z")</f>
        <v>2055-06-03T11:58:46.06218Z</v>
      </c>
      <c r="AI913" s="3">
        <f ca="1">IFERROR(__xludf.DUMMYFUNCTION("""COMPUTED_VALUE"""),4.52)</f>
        <v>4.5199999999999996</v>
      </c>
      <c r="AJ913" s="3">
        <f ca="1">IFERROR(__xludf.DUMMYFUNCTION("""COMPUTED_VALUE"""),183)</f>
        <v>183</v>
      </c>
      <c r="AK913" s="3">
        <f ca="1">IFERROR(__xludf.DUMMYFUNCTION("""COMPUTED_VALUE"""),522)</f>
        <v>522</v>
      </c>
      <c r="AL913" s="3"/>
      <c r="AM913" s="3">
        <f>IFERROR(Raw_Data!AL913 / Raw_Data!AK913, "")</f>
        <v>0</v>
      </c>
      <c r="AN913" s="3" t="str">
        <f>IF(ISBLANK(Raw_Data!AL913), "No", "Yes")</f>
        <v>No</v>
      </c>
      <c r="AO913" s="3">
        <f>IFERROR(Raw_Data!Z913/60, "")</f>
        <v>7.4833333333333334</v>
      </c>
    </row>
    <row r="914" spans="1:41" ht="13">
      <c r="A914" s="3">
        <f ca="1">IFERROR(__xludf.DUMMYFUNCTION("""COMPUTED_VALUE"""),782)</f>
        <v>782</v>
      </c>
      <c r="B914" s="3"/>
      <c r="C914" s="3">
        <f ca="1">IFERROR(__xludf.DUMMYFUNCTION("""COMPUTED_VALUE"""),4050)</f>
        <v>4050</v>
      </c>
      <c r="D914" s="3" t="str">
        <f ca="1">IFERROR(__xludf.DUMMYFUNCTION("""COMPUTED_VALUE"""),"Doorlanta")</f>
        <v>Doorlanta</v>
      </c>
      <c r="E914" s="3" t="str">
        <f ca="1">IFERROR(__xludf.DUMMYFUNCTION("""COMPUTED_VALUE"""),"Galaxy A")</f>
        <v>Galaxy A</v>
      </c>
      <c r="F914" s="3" t="str">
        <f ca="1">IFERROR(__xludf.DUMMYFUNCTION("""COMPUTED_VALUE"""),"Matt")</f>
        <v>Matt</v>
      </c>
      <c r="G914" s="3">
        <f ca="1">IFERROR(__xludf.DUMMYFUNCTION("""COMPUTED_VALUE"""),0)</f>
        <v>0</v>
      </c>
      <c r="H914" s="3" t="str">
        <f ca="1">IFERROR(__xludf.DUMMYFUNCTION("""COMPUTED_VALUE"""),"car")</f>
        <v>car</v>
      </c>
      <c r="I914" s="3" t="str">
        <f ca="1">IFERROR(__xludf.DUMMYFUNCTION("""COMPUTED_VALUE"""),"2055-06-06T22:36:46.994479Z")</f>
        <v>2055-06-06T22:36:46.994479Z</v>
      </c>
      <c r="J914" s="3" t="str">
        <f ca="1">IFERROR(__xludf.DUMMYFUNCTION("""COMPUTED_VALUE"""),"2055-06-06T23:46:00.06Z")</f>
        <v>2055-06-06T23:46:00.06Z</v>
      </c>
      <c r="K914" s="3" t="str">
        <f ca="1">IFERROR(__xludf.DUMMYFUNCTION("""COMPUTED_VALUE"""),"2055-06-06T23:24:06.06Z")</f>
        <v>2055-06-06T23:24:06.06Z</v>
      </c>
      <c r="L914" s="3">
        <f ca="1">IFERROR(__xludf.DUMMYFUNCTION("""COMPUTED_VALUE"""),1)</f>
        <v>1</v>
      </c>
      <c r="M914" s="3">
        <f ca="1">IFERROR(__xludf.DUMMYFUNCTION("""COMPUTED_VALUE"""),0)</f>
        <v>0</v>
      </c>
      <c r="N914" s="3" t="str">
        <f ca="1">IFERROR(__xludf.DUMMYFUNCTION("""COMPUTED_VALUE"""),"2055-06-06T23:27:51.761773Z")</f>
        <v>2055-06-06T23:27:51.761773Z</v>
      </c>
      <c r="O914" s="3" t="str">
        <f ca="1">IFERROR(__xludf.DUMMYFUNCTION("""COMPUTED_VALUE"""),"2055-06-06T23:47:02.70735Z")</f>
        <v>2055-06-06T23:47:02.70735Z</v>
      </c>
      <c r="P914" s="3" t="str">
        <f ca="1">IFERROR(__xludf.DUMMYFUNCTION("""COMPUTED_VALUE"""),"2055-06-06T22:57:47.398511Z")</f>
        <v>2055-06-06T22:57:47.398511Z</v>
      </c>
      <c r="Q914" s="3">
        <f ca="1">IFERROR(__xludf.DUMMYFUNCTION("""COMPUTED_VALUE"""),0)</f>
        <v>0</v>
      </c>
      <c r="R914" s="3" t="str">
        <f ca="1">IFERROR(__xludf.DUMMYFUNCTION("""COMPUTED_VALUE"""),"2055-06-06T22:57:51.277964Z")</f>
        <v>2055-06-06T22:57:51.277964Z</v>
      </c>
      <c r="S914" s="3" t="str">
        <f ca="1">IFERROR(__xludf.DUMMYFUNCTION("""COMPUTED_VALUE"""),"2055-06-06T23:21:53.23544Z")</f>
        <v>2055-06-06T23:21:53.23544Z</v>
      </c>
      <c r="T914" s="3"/>
      <c r="U914" s="4">
        <f ca="1">IFERROR(__xludf.DUMMYFUNCTION("""COMPUTED_VALUE"""),56771)</f>
        <v>56771</v>
      </c>
      <c r="V914" s="3">
        <f ca="1">IFERROR(__xludf.DUMMYFUNCTION("""COMPUTED_VALUE"""),4.4)</f>
        <v>4.4000000000000004</v>
      </c>
      <c r="W914" s="3">
        <f ca="1">IFERROR(__xludf.DUMMYFUNCTION("""COMPUTED_VALUE"""),1500)</f>
        <v>1500</v>
      </c>
      <c r="X914" s="3">
        <f ca="1">IFERROR(__xludf.DUMMYFUNCTION("""COMPUTED_VALUE"""),2951)</f>
        <v>2951</v>
      </c>
      <c r="Y914" s="3">
        <f ca="1">IFERROR(__xludf.DUMMYFUNCTION("""COMPUTED_VALUE"""),1442)</f>
        <v>1442</v>
      </c>
      <c r="Z914" s="3">
        <f ca="1">IFERROR(__xludf.DUMMYFUNCTION("""COMPUTED_VALUE"""),358)</f>
        <v>358</v>
      </c>
      <c r="AA914" s="3">
        <f ca="1">IFERROR(__xludf.DUMMYFUNCTION("""COMPUTED_VALUE"""),1151)</f>
        <v>1151</v>
      </c>
      <c r="AB914" s="3">
        <f ca="1">IFERROR(__xludf.DUMMYFUNCTION("""COMPUTED_VALUE"""),0)</f>
        <v>0</v>
      </c>
      <c r="AC914" s="3">
        <f ca="1">IFERROR(__xludf.DUMMYFUNCTION("""COMPUTED_VALUE"""),5)</f>
        <v>5</v>
      </c>
      <c r="AD914" s="3" t="str">
        <f ca="1">IFERROR(__xludf.DUMMYFUNCTION("""COMPUTED_VALUE"""),"early")</f>
        <v>early</v>
      </c>
      <c r="AE914" s="3" t="str">
        <f ca="1">IFERROR(__xludf.DUMMYFUNCTION("""COMPUTED_VALUE"""),"2055-06-06T19:27:51.761773Z")</f>
        <v>2055-06-06T19:27:51.761773Z</v>
      </c>
      <c r="AF914" s="3" t="str">
        <f ca="1">IFERROR(__xludf.DUMMYFUNCTION("""COMPUTED_VALUE"""),"2055-06-06T19:47:02.70735Z")</f>
        <v>2055-06-06T19:47:02.70735Z</v>
      </c>
      <c r="AG914" s="3" t="str">
        <f ca="1">IFERROR(__xludf.DUMMYFUNCTION("""COMPUTED_VALUE"""),"2055-06-06T18:57:47.398511Z")</f>
        <v>2055-06-06T18:57:47.398511Z</v>
      </c>
      <c r="AH914" s="3" t="str">
        <f ca="1">IFERROR(__xludf.DUMMYFUNCTION("""COMPUTED_VALUE"""),"2055-06-06T19:21:53.23544Z")</f>
        <v>2055-06-06T19:21:53.23544Z</v>
      </c>
      <c r="AI914" s="3">
        <f ca="1">IFERROR(__xludf.DUMMYFUNCTION("""COMPUTED_VALUE"""),4.22)</f>
        <v>4.22</v>
      </c>
      <c r="AJ914" s="3">
        <f ca="1">IFERROR(__xludf.DUMMYFUNCTION("""COMPUTED_VALUE"""),1551)</f>
        <v>1551</v>
      </c>
      <c r="AK914" s="3">
        <f ca="1">IFERROR(__xludf.DUMMYFUNCTION("""COMPUTED_VALUE"""),4625)</f>
        <v>4625</v>
      </c>
      <c r="AL914" s="3"/>
      <c r="AM914" s="3">
        <f>IFERROR(Raw_Data!AL914 / Raw_Data!AK914, "")</f>
        <v>0</v>
      </c>
      <c r="AN914" s="3" t="str">
        <f>IF(ISBLANK(Raw_Data!AL914), "No", "Yes")</f>
        <v>No</v>
      </c>
      <c r="AO914" s="3">
        <f>IFERROR(Raw_Data!Z914/60, "")</f>
        <v>5.9666666666666668</v>
      </c>
    </row>
    <row r="915" spans="1:41" ht="13">
      <c r="A915" s="3">
        <f ca="1">IFERROR(__xludf.DUMMYFUNCTION("""COMPUTED_VALUE"""),1549)</f>
        <v>1549</v>
      </c>
      <c r="B915" s="3">
        <f ca="1">IFERROR(__xludf.DUMMYFUNCTION("""COMPUTED_VALUE"""),5)</f>
        <v>5</v>
      </c>
      <c r="C915" s="3">
        <f ca="1">IFERROR(__xludf.DUMMYFUNCTION("""COMPUTED_VALUE"""),4001)</f>
        <v>4001</v>
      </c>
      <c r="D915" s="3" t="str">
        <f ca="1">IFERROR(__xludf.DUMMYFUNCTION("""COMPUTED_VALUE"""),"Dashattan")</f>
        <v>Dashattan</v>
      </c>
      <c r="E915" s="3" t="str">
        <f ca="1">IFERROR(__xludf.DUMMYFUNCTION("""COMPUTED_VALUE"""),"Galaxy A")</f>
        <v>Galaxy A</v>
      </c>
      <c r="F915" s="3" t="str">
        <f ca="1">IFERROR(__xludf.DUMMYFUNCTION("""COMPUTED_VALUE"""),"Mike")</f>
        <v>Mike</v>
      </c>
      <c r="G915" s="3">
        <f ca="1">IFERROR(__xludf.DUMMYFUNCTION("""COMPUTED_VALUE"""),0)</f>
        <v>0</v>
      </c>
      <c r="H915" s="3" t="str">
        <f ca="1">IFERROR(__xludf.DUMMYFUNCTION("""COMPUTED_VALUE"""),"bicycle")</f>
        <v>bicycle</v>
      </c>
      <c r="I915" s="3" t="str">
        <f ca="1">IFERROR(__xludf.DUMMYFUNCTION("""COMPUTED_VALUE"""),"2055-06-13T14:24:36.536536Z")</f>
        <v>2055-06-13T14:24:36.536536Z</v>
      </c>
      <c r="J915" s="3" t="str">
        <f ca="1">IFERROR(__xludf.DUMMYFUNCTION("""COMPUTED_VALUE"""),"2055-06-13T15:15:26.622Z")</f>
        <v>2055-06-13T15:15:26.622Z</v>
      </c>
      <c r="K915" s="3" t="str">
        <f ca="1">IFERROR(__xludf.DUMMYFUNCTION("""COMPUTED_VALUE"""),"2055-06-13T14:56:33.622Z")</f>
        <v>2055-06-13T14:56:33.622Z</v>
      </c>
      <c r="L915" s="3">
        <f ca="1">IFERROR(__xludf.DUMMYFUNCTION("""COMPUTED_VALUE"""),1)</f>
        <v>1</v>
      </c>
      <c r="M915" s="3">
        <f ca="1">IFERROR(__xludf.DUMMYFUNCTION("""COMPUTED_VALUE"""),0)</f>
        <v>0</v>
      </c>
      <c r="N915" s="3" t="str">
        <f ca="1">IFERROR(__xludf.DUMMYFUNCTION("""COMPUTED_VALUE"""),"2055-06-13T14:38:09.612275Z")</f>
        <v>2055-06-13T14:38:09.612275Z</v>
      </c>
      <c r="O915" s="3" t="str">
        <f ca="1">IFERROR(__xludf.DUMMYFUNCTION("""COMPUTED_VALUE"""),"2055-06-13T14:57:42.461922Z")</f>
        <v>2055-06-13T14:57:42.461922Z</v>
      </c>
      <c r="P915" s="3" t="str">
        <f ca="1">IFERROR(__xludf.DUMMYFUNCTION("""COMPUTED_VALUE"""),"2055-06-13T14:26:54.161778Z")</f>
        <v>2055-06-13T14:26:54.161778Z</v>
      </c>
      <c r="Q915" s="3">
        <f ca="1">IFERROR(__xludf.DUMMYFUNCTION("""COMPUTED_VALUE"""),0)</f>
        <v>0</v>
      </c>
      <c r="R915" s="3" t="str">
        <f ca="1">IFERROR(__xludf.DUMMYFUNCTION("""COMPUTED_VALUE"""),"2055-06-13T14:27:15.182426Z")</f>
        <v>2055-06-13T14:27:15.182426Z</v>
      </c>
      <c r="S915" s="3" t="str">
        <f ca="1">IFERROR(__xludf.DUMMYFUNCTION("""COMPUTED_VALUE"""),"2055-06-13T14:35:28.353827Z")</f>
        <v>2055-06-13T14:35:28.353827Z</v>
      </c>
      <c r="T915" s="3"/>
      <c r="U915" s="4">
        <f ca="1">IFERROR(__xludf.DUMMYFUNCTION("""COMPUTED_VALUE"""),56778)</f>
        <v>56778</v>
      </c>
      <c r="V915" s="3">
        <f ca="1">IFERROR(__xludf.DUMMYFUNCTION("""COMPUTED_VALUE"""),4.3)</f>
        <v>4.3</v>
      </c>
      <c r="W915" s="3">
        <f ca="1">IFERROR(__xludf.DUMMYFUNCTION("""COMPUTED_VALUE"""),1500)</f>
        <v>1500</v>
      </c>
      <c r="X915" s="3">
        <f ca="1">IFERROR(__xludf.DUMMYFUNCTION("""COMPUTED_VALUE"""),1827)</f>
        <v>1827</v>
      </c>
      <c r="Y915" s="3">
        <f ca="1">IFERROR(__xludf.DUMMYFUNCTION("""COMPUTED_VALUE"""),493)</f>
        <v>493</v>
      </c>
      <c r="Z915" s="3">
        <f ca="1">IFERROR(__xludf.DUMMYFUNCTION("""COMPUTED_VALUE"""),161)</f>
        <v>161</v>
      </c>
      <c r="AA915" s="3">
        <f ca="1">IFERROR(__xludf.DUMMYFUNCTION("""COMPUTED_VALUE"""),1173)</f>
        <v>1173</v>
      </c>
      <c r="AB915" s="3">
        <f ca="1">IFERROR(__xludf.DUMMYFUNCTION("""COMPUTED_VALUE"""),0)</f>
        <v>0</v>
      </c>
      <c r="AC915" s="3">
        <f ca="1">IFERROR(__xludf.DUMMYFUNCTION("""COMPUTED_VALUE"""),2)</f>
        <v>2</v>
      </c>
      <c r="AD915" s="3" t="str">
        <f ca="1">IFERROR(__xludf.DUMMYFUNCTION("""COMPUTED_VALUE"""),"on time")</f>
        <v>on time</v>
      </c>
      <c r="AE915" s="3" t="str">
        <f ca="1">IFERROR(__xludf.DUMMYFUNCTION("""COMPUTED_VALUE"""),"2055-06-13T10:38:09.612275Z")</f>
        <v>2055-06-13T10:38:09.612275Z</v>
      </c>
      <c r="AF915" s="3" t="str">
        <f ca="1">IFERROR(__xludf.DUMMYFUNCTION("""COMPUTED_VALUE"""),"2055-06-13T10:57:42.461922Z")</f>
        <v>2055-06-13T10:57:42.461922Z</v>
      </c>
      <c r="AG915" s="3" t="str">
        <f ca="1">IFERROR(__xludf.DUMMYFUNCTION("""COMPUTED_VALUE"""),"2055-06-13T10:26:54.161778Z")</f>
        <v>2055-06-13T10:26:54.161778Z</v>
      </c>
      <c r="AH915" s="3" t="str">
        <f ca="1">IFERROR(__xludf.DUMMYFUNCTION("""COMPUTED_VALUE"""),"2055-06-13T10:35:28.353827Z")</f>
        <v>2055-06-13T10:35:28.353827Z</v>
      </c>
      <c r="AI915" s="3">
        <f ca="1">IFERROR(__xludf.DUMMYFUNCTION("""COMPUTED_VALUE"""),4.63)</f>
        <v>4.63</v>
      </c>
      <c r="AJ915" s="3">
        <f ca="1">IFERROR(__xludf.DUMMYFUNCTION("""COMPUTED_VALUE"""),242)</f>
        <v>242</v>
      </c>
      <c r="AK915" s="3">
        <f ca="1">IFERROR(__xludf.DUMMYFUNCTION("""COMPUTED_VALUE"""),736)</f>
        <v>736</v>
      </c>
      <c r="AL915" s="3"/>
      <c r="AM915" s="3">
        <f>IFERROR(Raw_Data!AL915 / Raw_Data!AK915, "")</f>
        <v>0</v>
      </c>
      <c r="AN915" s="3" t="str">
        <f>IF(ISBLANK(Raw_Data!AL915), "No", "Yes")</f>
        <v>No</v>
      </c>
      <c r="AO915" s="3">
        <f>IFERROR(Raw_Data!Z915/60, "")</f>
        <v>2.6833333333333331</v>
      </c>
    </row>
    <row r="916" spans="1:41" ht="13">
      <c r="A916" s="3">
        <f ca="1">IFERROR(__xludf.DUMMYFUNCTION("""COMPUTED_VALUE"""),46)</f>
        <v>46</v>
      </c>
      <c r="B916" s="3"/>
      <c r="C916" s="3">
        <f ca="1">IFERROR(__xludf.DUMMYFUNCTION("""COMPUTED_VALUE"""),4050)</f>
        <v>4050</v>
      </c>
      <c r="D916" s="3" t="str">
        <f ca="1">IFERROR(__xludf.DUMMYFUNCTION("""COMPUTED_VALUE"""),"Doorlanta")</f>
        <v>Doorlanta</v>
      </c>
      <c r="E916" s="3" t="str">
        <f ca="1">IFERROR(__xludf.DUMMYFUNCTION("""COMPUTED_VALUE"""),"Galaxy A")</f>
        <v>Galaxy A</v>
      </c>
      <c r="F916" s="3" t="str">
        <f ca="1">IFERROR(__xludf.DUMMYFUNCTION("""COMPUTED_VALUE"""),"Katelynn")</f>
        <v>Katelynn</v>
      </c>
      <c r="G916" s="3">
        <f ca="1">IFERROR(__xludf.DUMMYFUNCTION("""COMPUTED_VALUE"""),0)</f>
        <v>0</v>
      </c>
      <c r="H916" s="3" t="str">
        <f ca="1">IFERROR(__xludf.DUMMYFUNCTION("""COMPUTED_VALUE"""),"car")</f>
        <v>car</v>
      </c>
      <c r="I916" s="3" t="str">
        <f ca="1">IFERROR(__xludf.DUMMYFUNCTION("""COMPUTED_VALUE"""),"2055-06-01T21:33:59.26698Z")</f>
        <v>2055-06-01T21:33:59.26698Z</v>
      </c>
      <c r="J916" s="3" t="str">
        <f ca="1">IFERROR(__xludf.DUMMYFUNCTION("""COMPUTED_VALUE"""),"2055-06-01T22:38:54.335Z")</f>
        <v>2055-06-01T22:38:54.335Z</v>
      </c>
      <c r="K916" s="3" t="str">
        <f ca="1">IFERROR(__xludf.DUMMYFUNCTION("""COMPUTED_VALUE"""),"2055-06-01T22:15:36.335Z")</f>
        <v>2055-06-01T22:15:36.335Z</v>
      </c>
      <c r="L916" s="3">
        <f ca="1">IFERROR(__xludf.DUMMYFUNCTION("""COMPUTED_VALUE"""),1)</f>
        <v>1</v>
      </c>
      <c r="M916" s="3">
        <f ca="1">IFERROR(__xludf.DUMMYFUNCTION("""COMPUTED_VALUE"""),0)</f>
        <v>0</v>
      </c>
      <c r="N916" s="3" t="str">
        <f ca="1">IFERROR(__xludf.DUMMYFUNCTION("""COMPUTED_VALUE"""),"2055-06-01T22:07:01.661817Z")</f>
        <v>2055-06-01T22:07:01.661817Z</v>
      </c>
      <c r="O916" s="3" t="str">
        <f ca="1">IFERROR(__xludf.DUMMYFUNCTION("""COMPUTED_VALUE"""),"2055-06-01T22:19:26.842465Z")</f>
        <v>2055-06-01T22:19:26.842465Z</v>
      </c>
      <c r="P916" s="3" t="str">
        <f ca="1">IFERROR(__xludf.DUMMYFUNCTION("""COMPUTED_VALUE"""),"2055-06-01T21:35:07.287345Z")</f>
        <v>2055-06-01T21:35:07.287345Z</v>
      </c>
      <c r="Q916" s="3">
        <f ca="1">IFERROR(__xludf.DUMMYFUNCTION("""COMPUTED_VALUE"""),0)</f>
        <v>0</v>
      </c>
      <c r="R916" s="3" t="str">
        <f ca="1">IFERROR(__xludf.DUMMYFUNCTION("""COMPUTED_VALUE"""),"2055-06-01T21:35:19.532974Z")</f>
        <v>2055-06-01T21:35:19.532974Z</v>
      </c>
      <c r="S916" s="3" t="str">
        <f ca="1">IFERROR(__xludf.DUMMYFUNCTION("""COMPUTED_VALUE"""),"2055-06-01T22:07:44.514094Z")</f>
        <v>2055-06-01T22:07:44.514094Z</v>
      </c>
      <c r="T916" s="3"/>
      <c r="U916" s="4">
        <f ca="1">IFERROR(__xludf.DUMMYFUNCTION("""COMPUTED_VALUE"""),56766)</f>
        <v>56766</v>
      </c>
      <c r="V916" s="3">
        <f ca="1">IFERROR(__xludf.DUMMYFUNCTION("""COMPUTED_VALUE"""),4.5)</f>
        <v>4.5</v>
      </c>
      <c r="W916" s="3">
        <f ca="1">IFERROR(__xludf.DUMMYFUNCTION("""COMPUTED_VALUE"""),1500)</f>
        <v>1500</v>
      </c>
      <c r="X916" s="3">
        <f ca="1">IFERROR(__xludf.DUMMYFUNCTION("""COMPUTED_VALUE"""),2647)</f>
        <v>2647</v>
      </c>
      <c r="Y916" s="3">
        <f ca="1">IFERROR(__xludf.DUMMYFUNCTION("""COMPUTED_VALUE"""),1945)</f>
        <v>1945</v>
      </c>
      <c r="Z916" s="3"/>
      <c r="AA916" s="3">
        <f ca="1">IFERROR(__xludf.DUMMYFUNCTION("""COMPUTED_VALUE"""),745)</f>
        <v>745</v>
      </c>
      <c r="AB916" s="3">
        <f ca="1">IFERROR(__xludf.DUMMYFUNCTION("""COMPUTED_VALUE"""),0)</f>
        <v>0</v>
      </c>
      <c r="AC916" s="3">
        <f ca="1">IFERROR(__xludf.DUMMYFUNCTION("""COMPUTED_VALUE"""),4)</f>
        <v>4</v>
      </c>
      <c r="AD916" s="3" t="str">
        <f ca="1">IFERROR(__xludf.DUMMYFUNCTION("""COMPUTED_VALUE"""),"late")</f>
        <v>late</v>
      </c>
      <c r="AE916" s="3" t="str">
        <f ca="1">IFERROR(__xludf.DUMMYFUNCTION("""COMPUTED_VALUE"""),"2055-06-01T18:07:01.661817Z")</f>
        <v>2055-06-01T18:07:01.661817Z</v>
      </c>
      <c r="AF916" s="3" t="str">
        <f ca="1">IFERROR(__xludf.DUMMYFUNCTION("""COMPUTED_VALUE"""),"2055-06-01T18:19:26.842465Z")</f>
        <v>2055-06-01T18:19:26.842465Z</v>
      </c>
      <c r="AG916" s="3" t="str">
        <f ca="1">IFERROR(__xludf.DUMMYFUNCTION("""COMPUTED_VALUE"""),"2055-06-01T17:35:07.287345Z")</f>
        <v>2055-06-01T17:35:07.287345Z</v>
      </c>
      <c r="AH916" s="3" t="str">
        <f ca="1">IFERROR(__xludf.DUMMYFUNCTION("""COMPUTED_VALUE"""),"2055-06-01T18:07:44.514094Z")</f>
        <v>2055-06-01T18:07:44.514094Z</v>
      </c>
      <c r="AI916" s="3">
        <f ca="1">IFERROR(__xludf.DUMMYFUNCTION("""COMPUTED_VALUE"""),4.7)</f>
        <v>4.7</v>
      </c>
      <c r="AJ916" s="3">
        <f ca="1">IFERROR(__xludf.DUMMYFUNCTION("""COMPUTED_VALUE"""),1261)</f>
        <v>1261</v>
      </c>
      <c r="AK916" s="3">
        <f ca="1">IFERROR(__xludf.DUMMYFUNCTION("""COMPUTED_VALUE"""),3264)</f>
        <v>3264</v>
      </c>
      <c r="AL916" s="3">
        <f ca="1">IFERROR(__xludf.DUMMYFUNCTION("""COMPUTED_VALUE"""),232)</f>
        <v>232</v>
      </c>
      <c r="AM916" s="3">
        <f>IFERROR(Raw_Data!AL916 / Raw_Data!AK916, "")</f>
        <v>7.1078431372549017E-2</v>
      </c>
      <c r="AN916" s="3" t="str">
        <f>IF(ISBLANK(Raw_Data!AL916), "No", "Yes")</f>
        <v>Yes</v>
      </c>
      <c r="AO916" s="3">
        <f>IFERROR(Raw_Data!Z916/60, "")</f>
        <v>0</v>
      </c>
    </row>
    <row r="917" spans="1:41" ht="13">
      <c r="A917" s="3">
        <f ca="1">IFERROR(__xludf.DUMMYFUNCTION("""COMPUTED_VALUE"""),99)</f>
        <v>99</v>
      </c>
      <c r="B917" s="3"/>
      <c r="C917" s="3">
        <f ca="1">IFERROR(__xludf.DUMMYFUNCTION("""COMPUTED_VALUE"""),4050)</f>
        <v>4050</v>
      </c>
      <c r="D917" s="3" t="str">
        <f ca="1">IFERROR(__xludf.DUMMYFUNCTION("""COMPUTED_VALUE"""),"Doorlanta")</f>
        <v>Doorlanta</v>
      </c>
      <c r="E917" s="3" t="str">
        <f ca="1">IFERROR(__xludf.DUMMYFUNCTION("""COMPUTED_VALUE"""),"Galaxy A")</f>
        <v>Galaxy A</v>
      </c>
      <c r="F917" s="3" t="str">
        <f ca="1">IFERROR(__xludf.DUMMYFUNCTION("""COMPUTED_VALUE"""),"Cate")</f>
        <v>Cate</v>
      </c>
      <c r="G917" s="3">
        <f ca="1">IFERROR(__xludf.DUMMYFUNCTION("""COMPUTED_VALUE"""),0)</f>
        <v>0</v>
      </c>
      <c r="H917" s="3" t="str">
        <f ca="1">IFERROR(__xludf.DUMMYFUNCTION("""COMPUTED_VALUE"""),"car")</f>
        <v>car</v>
      </c>
      <c r="I917" s="3" t="str">
        <f ca="1">IFERROR(__xludf.DUMMYFUNCTION("""COMPUTED_VALUE"""),"2055-06-02T00:41:57.951152Z")</f>
        <v>2055-06-02T00:41:57.951152Z</v>
      </c>
      <c r="J917" s="3" t="str">
        <f ca="1">IFERROR(__xludf.DUMMYFUNCTION("""COMPUTED_VALUE"""),"2055-06-02T01:31:58.024Z")</f>
        <v>2055-06-02T01:31:58.024Z</v>
      </c>
      <c r="K917" s="3" t="str">
        <f ca="1">IFERROR(__xludf.DUMMYFUNCTION("""COMPUTED_VALUE"""),"2055-06-02T01:17:56.024Z")</f>
        <v>2055-06-02T01:17:56.024Z</v>
      </c>
      <c r="L917" s="3">
        <f ca="1">IFERROR(__xludf.DUMMYFUNCTION("""COMPUTED_VALUE"""),1)</f>
        <v>1</v>
      </c>
      <c r="M917" s="3">
        <f ca="1">IFERROR(__xludf.DUMMYFUNCTION("""COMPUTED_VALUE"""),0)</f>
        <v>0</v>
      </c>
      <c r="N917" s="3" t="str">
        <f ca="1">IFERROR(__xludf.DUMMYFUNCTION("""COMPUTED_VALUE"""),"2055-06-02T01:00:39.119641Z")</f>
        <v>2055-06-02T01:00:39.119641Z</v>
      </c>
      <c r="O917" s="3" t="str">
        <f ca="1">IFERROR(__xludf.DUMMYFUNCTION("""COMPUTED_VALUE"""),"2055-06-02T01:11:31.718681Z")</f>
        <v>2055-06-02T01:11:31.718681Z</v>
      </c>
      <c r="P917" s="3" t="str">
        <f ca="1">IFERROR(__xludf.DUMMYFUNCTION("""COMPUTED_VALUE"""),"2055-06-02T00:42:07.365839Z")</f>
        <v>2055-06-02T00:42:07.365839Z</v>
      </c>
      <c r="Q917" s="3">
        <f ca="1">IFERROR(__xludf.DUMMYFUNCTION("""COMPUTED_VALUE"""),0)</f>
        <v>0</v>
      </c>
      <c r="R917" s="3" t="str">
        <f ca="1">IFERROR(__xludf.DUMMYFUNCTION("""COMPUTED_VALUE"""),"2055-06-02T00:42:11.552427Z")</f>
        <v>2055-06-02T00:42:11.552427Z</v>
      </c>
      <c r="S917" s="3" t="str">
        <f ca="1">IFERROR(__xludf.DUMMYFUNCTION("""COMPUTED_VALUE"""),"2055-06-02T00:49:08.32307Z")</f>
        <v>2055-06-02T00:49:08.32307Z</v>
      </c>
      <c r="T917" s="3"/>
      <c r="U917" s="4">
        <f ca="1">IFERROR(__xludf.DUMMYFUNCTION("""COMPUTED_VALUE"""),56766)</f>
        <v>56766</v>
      </c>
      <c r="V917" s="3">
        <f ca="1">IFERROR(__xludf.DUMMYFUNCTION("""COMPUTED_VALUE"""),4.7)</f>
        <v>4.7</v>
      </c>
      <c r="W917" s="3">
        <f ca="1">IFERROR(__xludf.DUMMYFUNCTION("""COMPUTED_VALUE"""),1500)</f>
        <v>1500</v>
      </c>
      <c r="X917" s="3">
        <f ca="1">IFERROR(__xludf.DUMMYFUNCTION("""COMPUTED_VALUE"""),1760)</f>
        <v>1760</v>
      </c>
      <c r="Y917" s="3">
        <f ca="1">IFERROR(__xludf.DUMMYFUNCTION("""COMPUTED_VALUE"""),417)</f>
        <v>417</v>
      </c>
      <c r="Z917" s="3">
        <f ca="1">IFERROR(__xludf.DUMMYFUNCTION("""COMPUTED_VALUE"""),691)</f>
        <v>691</v>
      </c>
      <c r="AA917" s="3">
        <f ca="1">IFERROR(__xludf.DUMMYFUNCTION("""COMPUTED_VALUE"""),652)</f>
        <v>652</v>
      </c>
      <c r="AB917" s="3">
        <f ca="1">IFERROR(__xludf.DUMMYFUNCTION("""COMPUTED_VALUE"""),0)</f>
        <v>0</v>
      </c>
      <c r="AC917" s="3">
        <f ca="1">IFERROR(__xludf.DUMMYFUNCTION("""COMPUTED_VALUE"""),1)</f>
        <v>1</v>
      </c>
      <c r="AD917" s="3" t="str">
        <f ca="1">IFERROR(__xludf.DUMMYFUNCTION("""COMPUTED_VALUE"""),"early")</f>
        <v>early</v>
      </c>
      <c r="AE917" s="3" t="str">
        <f ca="1">IFERROR(__xludf.DUMMYFUNCTION("""COMPUTED_VALUE"""),"2055-06-01T21:00:39.119641Z")</f>
        <v>2055-06-01T21:00:39.119641Z</v>
      </c>
      <c r="AF917" s="3" t="str">
        <f ca="1">IFERROR(__xludf.DUMMYFUNCTION("""COMPUTED_VALUE"""),"2055-06-01T21:11:31.718681Z")</f>
        <v>2055-06-01T21:11:31.718681Z</v>
      </c>
      <c r="AG917" s="3" t="str">
        <f ca="1">IFERROR(__xludf.DUMMYFUNCTION("""COMPUTED_VALUE"""),"2055-06-01T20:42:07.365839Z")</f>
        <v>2055-06-01T20:42:07.365839Z</v>
      </c>
      <c r="AH917" s="3" t="str">
        <f ca="1">IFERROR(__xludf.DUMMYFUNCTION("""COMPUTED_VALUE"""),"2055-06-01T20:49:08.32307Z")</f>
        <v>2055-06-01T20:49:08.32307Z</v>
      </c>
      <c r="AI917" s="3">
        <f ca="1">IFERROR(__xludf.DUMMYFUNCTION("""COMPUTED_VALUE"""),4.49)</f>
        <v>4.49</v>
      </c>
      <c r="AJ917" s="3">
        <f ca="1">IFERROR(__xludf.DUMMYFUNCTION("""COMPUTED_VALUE"""),2315)</f>
        <v>2315</v>
      </c>
      <c r="AK917" s="3">
        <f ca="1">IFERROR(__xludf.DUMMYFUNCTION("""COMPUTED_VALUE"""),7039)</f>
        <v>7039</v>
      </c>
      <c r="AL917" s="3">
        <f ca="1">IFERROR(__xludf.DUMMYFUNCTION("""COMPUTED_VALUE"""),763)</f>
        <v>763</v>
      </c>
      <c r="AM917" s="3">
        <f>IFERROR(Raw_Data!AL917 / Raw_Data!AK917, "")</f>
        <v>0.10839607898849268</v>
      </c>
      <c r="AN917" s="3" t="str">
        <f>IF(ISBLANK(Raw_Data!AL917), "No", "Yes")</f>
        <v>Yes</v>
      </c>
      <c r="AO917" s="3">
        <f>IFERROR(Raw_Data!Z917/60, "")</f>
        <v>11.516666666666667</v>
      </c>
    </row>
    <row r="918" spans="1:41" ht="13">
      <c r="A918" s="3">
        <f ca="1">IFERROR(__xludf.DUMMYFUNCTION("""COMPUTED_VALUE"""),136)</f>
        <v>136</v>
      </c>
      <c r="B918" s="3">
        <f ca="1">IFERROR(__xludf.DUMMYFUNCTION("""COMPUTED_VALUE"""),5)</f>
        <v>5</v>
      </c>
      <c r="C918" s="3">
        <f ca="1">IFERROR(__xludf.DUMMYFUNCTION("""COMPUTED_VALUE"""),4001)</f>
        <v>4001</v>
      </c>
      <c r="D918" s="3" t="str">
        <f ca="1">IFERROR(__xludf.DUMMYFUNCTION("""COMPUTED_VALUE"""),"Dashattan")</f>
        <v>Dashattan</v>
      </c>
      <c r="E918" s="3" t="str">
        <f ca="1">IFERROR(__xludf.DUMMYFUNCTION("""COMPUTED_VALUE"""),"Galaxy A")</f>
        <v>Galaxy A</v>
      </c>
      <c r="F918" s="3" t="str">
        <f ca="1">IFERROR(__xludf.DUMMYFUNCTION("""COMPUTED_VALUE"""),"KC")</f>
        <v>KC</v>
      </c>
      <c r="G918" s="3">
        <f ca="1">IFERROR(__xludf.DUMMYFUNCTION("""COMPUTED_VALUE"""),0)</f>
        <v>0</v>
      </c>
      <c r="H918" s="3" t="str">
        <f ca="1">IFERROR(__xludf.DUMMYFUNCTION("""COMPUTED_VALUE"""),"car")</f>
        <v>car</v>
      </c>
      <c r="I918" s="3" t="str">
        <f ca="1">IFERROR(__xludf.DUMMYFUNCTION("""COMPUTED_VALUE"""),"2055-06-02T16:18:22.966181Z")</f>
        <v>2055-06-02T16:18:22.966181Z</v>
      </c>
      <c r="J918" s="3" t="str">
        <f ca="1">IFERROR(__xludf.DUMMYFUNCTION("""COMPUTED_VALUE"""),"2055-06-02T17:19:29.034Z")</f>
        <v>2055-06-02T17:19:29.034Z</v>
      </c>
      <c r="K918" s="3" t="str">
        <f ca="1">IFERROR(__xludf.DUMMYFUNCTION("""COMPUTED_VALUE"""),"2055-06-02T16:59:22.034Z")</f>
        <v>2055-06-02T16:59:22.034Z</v>
      </c>
      <c r="L918" s="3">
        <f ca="1">IFERROR(__xludf.DUMMYFUNCTION("""COMPUTED_VALUE"""),1)</f>
        <v>1</v>
      </c>
      <c r="M918" s="3">
        <f ca="1">IFERROR(__xludf.DUMMYFUNCTION("""COMPUTED_VALUE"""),0)</f>
        <v>0</v>
      </c>
      <c r="N918" s="3" t="str">
        <f ca="1">IFERROR(__xludf.DUMMYFUNCTION("""COMPUTED_VALUE"""),"2055-06-02T17:04:40.66242Z")</f>
        <v>2055-06-02T17:04:40.66242Z</v>
      </c>
      <c r="O918" s="3" t="str">
        <f ca="1">IFERROR(__xludf.DUMMYFUNCTION("""COMPUTED_VALUE"""),"2055-06-02T17:09:51.897122Z")</f>
        <v>2055-06-02T17:09:51.897122Z</v>
      </c>
      <c r="P918" s="3" t="str">
        <f ca="1">IFERROR(__xludf.DUMMYFUNCTION("""COMPUTED_VALUE"""),"2055-06-02T16:45:15.35233Z")</f>
        <v>2055-06-02T16:45:15.35233Z</v>
      </c>
      <c r="Q918" s="3">
        <f ca="1">IFERROR(__xludf.DUMMYFUNCTION("""COMPUTED_VALUE"""),0)</f>
        <v>0</v>
      </c>
      <c r="R918" s="3" t="str">
        <f ca="1">IFERROR(__xludf.DUMMYFUNCTION("""COMPUTED_VALUE"""),"2055-06-02T16:45:26.851736Z")</f>
        <v>2055-06-02T16:45:26.851736Z</v>
      </c>
      <c r="S918" s="3"/>
      <c r="T918" s="3"/>
      <c r="U918" s="4">
        <f ca="1">IFERROR(__xludf.DUMMYFUNCTION("""COMPUTED_VALUE"""),56767)</f>
        <v>56767</v>
      </c>
      <c r="V918" s="3">
        <f ca="1">IFERROR(__xludf.DUMMYFUNCTION("""COMPUTED_VALUE"""),3.996030663)</f>
        <v>3.996030663</v>
      </c>
      <c r="W918" s="3">
        <f ca="1">IFERROR(__xludf.DUMMYFUNCTION("""COMPUTED_VALUE"""),1500)</f>
        <v>1500</v>
      </c>
      <c r="X918" s="3">
        <f ca="1">IFERROR(__xludf.DUMMYFUNCTION("""COMPUTED_VALUE"""),1465)</f>
        <v>1465</v>
      </c>
      <c r="Y918" s="3"/>
      <c r="Z918" s="3"/>
      <c r="AA918" s="3">
        <f ca="1">IFERROR(__xludf.DUMMYFUNCTION("""COMPUTED_VALUE"""),311)</f>
        <v>311</v>
      </c>
      <c r="AB918" s="3">
        <f ca="1">IFERROR(__xludf.DUMMYFUNCTION("""COMPUTED_VALUE"""),0)</f>
        <v>0</v>
      </c>
      <c r="AC918" s="3">
        <f ca="1">IFERROR(__xludf.DUMMYFUNCTION("""COMPUTED_VALUE"""),1)</f>
        <v>1</v>
      </c>
      <c r="AD918" s="3"/>
      <c r="AE918" s="3" t="str">
        <f ca="1">IFERROR(__xludf.DUMMYFUNCTION("""COMPUTED_VALUE"""),"2055-06-02T13:04:40.66242Z")</f>
        <v>2055-06-02T13:04:40.66242Z</v>
      </c>
      <c r="AF918" s="3" t="str">
        <f ca="1">IFERROR(__xludf.DUMMYFUNCTION("""COMPUTED_VALUE"""),"2055-06-02T13:09:51.897122Z")</f>
        <v>2055-06-02T13:09:51.897122Z</v>
      </c>
      <c r="AG918" s="3" t="str">
        <f ca="1">IFERROR(__xludf.DUMMYFUNCTION("""COMPUTED_VALUE"""),"2055-06-02T12:45:15.35233Z")</f>
        <v>2055-06-02T12:45:15.35233Z</v>
      </c>
      <c r="AH918" s="3"/>
      <c r="AI918" s="3">
        <f ca="1">IFERROR(__xludf.DUMMYFUNCTION("""COMPUTED_VALUE"""),4.54)</f>
        <v>4.54</v>
      </c>
      <c r="AJ918" s="3">
        <f ca="1">IFERROR(__xludf.DUMMYFUNCTION("""COMPUTED_VALUE"""),2229)</f>
        <v>2229</v>
      </c>
      <c r="AK918" s="3">
        <f ca="1">IFERROR(__xludf.DUMMYFUNCTION("""COMPUTED_VALUE"""),6580)</f>
        <v>6580</v>
      </c>
      <c r="AL918" s="3"/>
      <c r="AM918" s="3">
        <f>IFERROR(Raw_Data!AL918 / Raw_Data!AK918, "")</f>
        <v>0</v>
      </c>
      <c r="AN918" s="3" t="str">
        <f>IF(ISBLANK(Raw_Data!AL918), "No", "Yes")</f>
        <v>No</v>
      </c>
      <c r="AO918" s="3">
        <f>IFERROR(Raw_Data!Z918/60, "")</f>
        <v>0</v>
      </c>
    </row>
    <row r="919" spans="1:41" ht="13">
      <c r="A919" s="3">
        <f ca="1">IFERROR(__xludf.DUMMYFUNCTION("""COMPUTED_VALUE"""),583)</f>
        <v>583</v>
      </c>
      <c r="B919" s="3">
        <f ca="1">IFERROR(__xludf.DUMMYFUNCTION("""COMPUTED_VALUE"""),5)</f>
        <v>5</v>
      </c>
      <c r="C919" s="3">
        <f ca="1">IFERROR(__xludf.DUMMYFUNCTION("""COMPUTED_VALUE"""),4001)</f>
        <v>4001</v>
      </c>
      <c r="D919" s="3" t="str">
        <f ca="1">IFERROR(__xludf.DUMMYFUNCTION("""COMPUTED_VALUE"""),"Dashattan")</f>
        <v>Dashattan</v>
      </c>
      <c r="E919" s="3" t="str">
        <f ca="1">IFERROR(__xludf.DUMMYFUNCTION("""COMPUTED_VALUE"""),"Galaxy A")</f>
        <v>Galaxy A</v>
      </c>
      <c r="F919" s="3" t="str">
        <f ca="1">IFERROR(__xludf.DUMMYFUNCTION("""COMPUTED_VALUE"""),"KC")</f>
        <v>KC</v>
      </c>
      <c r="G919" s="3">
        <f ca="1">IFERROR(__xludf.DUMMYFUNCTION("""COMPUTED_VALUE"""),0)</f>
        <v>0</v>
      </c>
      <c r="H919" s="3" t="str">
        <f ca="1">IFERROR(__xludf.DUMMYFUNCTION("""COMPUTED_VALUE"""),"car")</f>
        <v>car</v>
      </c>
      <c r="I919" s="3" t="str">
        <f ca="1">IFERROR(__xludf.DUMMYFUNCTION("""COMPUTED_VALUE"""),"2055-06-05T18:00:06.14597Z")</f>
        <v>2055-06-05T18:00:06.14597Z</v>
      </c>
      <c r="J919" s="3" t="str">
        <f ca="1">IFERROR(__xludf.DUMMYFUNCTION("""COMPUTED_VALUE"""),"2055-06-05T19:03:50.231Z")</f>
        <v>2055-06-05T19:03:50.231Z</v>
      </c>
      <c r="K919" s="3" t="str">
        <f ca="1">IFERROR(__xludf.DUMMYFUNCTION("""COMPUTED_VALUE"""),"2055-06-05T18:39:09.231Z")</f>
        <v>2055-06-05T18:39:09.231Z</v>
      </c>
      <c r="L919" s="3">
        <f ca="1">IFERROR(__xludf.DUMMYFUNCTION("""COMPUTED_VALUE"""),1)</f>
        <v>1</v>
      </c>
      <c r="M919" s="3">
        <f ca="1">IFERROR(__xludf.DUMMYFUNCTION("""COMPUTED_VALUE"""),0)</f>
        <v>0</v>
      </c>
      <c r="N919" s="3" t="str">
        <f ca="1">IFERROR(__xludf.DUMMYFUNCTION("""COMPUTED_VALUE"""),"2055-06-05T18:16:52.849199Z")</f>
        <v>2055-06-05T18:16:52.849199Z</v>
      </c>
      <c r="O919" s="3" t="str">
        <f ca="1">IFERROR(__xludf.DUMMYFUNCTION("""COMPUTED_VALUE"""),"2055-06-05T18:32:31.955738Z")</f>
        <v>2055-06-05T18:32:31.955738Z</v>
      </c>
      <c r="P919" s="3" t="str">
        <f ca="1">IFERROR(__xludf.DUMMYFUNCTION("""COMPUTED_VALUE"""),"2055-06-05T18:00:14.120538Z")</f>
        <v>2055-06-05T18:00:14.120538Z</v>
      </c>
      <c r="Q919" s="3">
        <f ca="1">IFERROR(__xludf.DUMMYFUNCTION("""COMPUTED_VALUE"""),0)</f>
        <v>0</v>
      </c>
      <c r="R919" s="3" t="str">
        <f ca="1">IFERROR(__xludf.DUMMYFUNCTION("""COMPUTED_VALUE"""),"2055-06-05T18:00:24.997742Z")</f>
        <v>2055-06-05T18:00:24.997742Z</v>
      </c>
      <c r="S919" s="3" t="str">
        <f ca="1">IFERROR(__xludf.DUMMYFUNCTION("""COMPUTED_VALUE"""),"2055-06-05T18:06:09.497065Z")</f>
        <v>2055-06-05T18:06:09.497065Z</v>
      </c>
      <c r="T919" s="3"/>
      <c r="U919" s="4">
        <f ca="1">IFERROR(__xludf.DUMMYFUNCTION("""COMPUTED_VALUE"""),56770)</f>
        <v>56770</v>
      </c>
      <c r="V919" s="3">
        <f ca="1">IFERROR(__xludf.DUMMYFUNCTION("""COMPUTED_VALUE"""),3.41345816)</f>
        <v>3.4134581599999998</v>
      </c>
      <c r="W919" s="3">
        <f ca="1">IFERROR(__xludf.DUMMYFUNCTION("""COMPUTED_VALUE"""),1500)</f>
        <v>1500</v>
      </c>
      <c r="X919" s="3">
        <f ca="1">IFERROR(__xludf.DUMMYFUNCTION("""COMPUTED_VALUE"""),1927)</f>
        <v>1927</v>
      </c>
      <c r="Y919" s="3">
        <f ca="1">IFERROR(__xludf.DUMMYFUNCTION("""COMPUTED_VALUE"""),345)</f>
        <v>345</v>
      </c>
      <c r="Z919" s="3">
        <f ca="1">IFERROR(__xludf.DUMMYFUNCTION("""COMPUTED_VALUE"""),643)</f>
        <v>643</v>
      </c>
      <c r="AA919" s="3">
        <f ca="1">IFERROR(__xludf.DUMMYFUNCTION("""COMPUTED_VALUE"""),939)</f>
        <v>939</v>
      </c>
      <c r="AB919" s="3">
        <f ca="1">IFERROR(__xludf.DUMMYFUNCTION("""COMPUTED_VALUE"""),1)</f>
        <v>1</v>
      </c>
      <c r="AC919" s="3">
        <f ca="1">IFERROR(__xludf.DUMMYFUNCTION("""COMPUTED_VALUE"""),1)</f>
        <v>1</v>
      </c>
      <c r="AD919" s="3"/>
      <c r="AE919" s="3" t="str">
        <f ca="1">IFERROR(__xludf.DUMMYFUNCTION("""COMPUTED_VALUE"""),"2055-06-05T14:16:52.849199Z")</f>
        <v>2055-06-05T14:16:52.849199Z</v>
      </c>
      <c r="AF919" s="3" t="str">
        <f ca="1">IFERROR(__xludf.DUMMYFUNCTION("""COMPUTED_VALUE"""),"2055-06-05T14:32:31.955738Z")</f>
        <v>2055-06-05T14:32:31.955738Z</v>
      </c>
      <c r="AG919" s="3" t="str">
        <f ca="1">IFERROR(__xludf.DUMMYFUNCTION("""COMPUTED_VALUE"""),"2055-06-05T14:00:14.120538Z")</f>
        <v>2055-06-05T14:00:14.120538Z</v>
      </c>
      <c r="AH919" s="3" t="str">
        <f ca="1">IFERROR(__xludf.DUMMYFUNCTION("""COMPUTED_VALUE"""),"2055-06-05T14:06:09.497065Z")</f>
        <v>2055-06-05T14:06:09.497065Z</v>
      </c>
      <c r="AI919" s="3">
        <f ca="1">IFERROR(__xludf.DUMMYFUNCTION("""COMPUTED_VALUE"""),4.54)</f>
        <v>4.54</v>
      </c>
      <c r="AJ919" s="3">
        <f ca="1">IFERROR(__xludf.DUMMYFUNCTION("""COMPUTED_VALUE"""),2229)</f>
        <v>2229</v>
      </c>
      <c r="AK919" s="3">
        <f ca="1">IFERROR(__xludf.DUMMYFUNCTION("""COMPUTED_VALUE"""),6580)</f>
        <v>6580</v>
      </c>
      <c r="AL919" s="3"/>
      <c r="AM919" s="3">
        <f>IFERROR(Raw_Data!AL919 / Raw_Data!AK919, "")</f>
        <v>0</v>
      </c>
      <c r="AN919" s="3" t="str">
        <f>IF(ISBLANK(Raw_Data!AL919), "No", "Yes")</f>
        <v>No</v>
      </c>
      <c r="AO919" s="3">
        <f>IFERROR(Raw_Data!Z919/60, "")</f>
        <v>10.716666666666667</v>
      </c>
    </row>
    <row r="920" spans="1:41" ht="13">
      <c r="A920" s="3">
        <f ca="1">IFERROR(__xludf.DUMMYFUNCTION("""COMPUTED_VALUE"""),779)</f>
        <v>779</v>
      </c>
      <c r="B920" s="3"/>
      <c r="C920" s="3">
        <f ca="1">IFERROR(__xludf.DUMMYFUNCTION("""COMPUTED_VALUE"""),4001)</f>
        <v>4001</v>
      </c>
      <c r="D920" s="3" t="str">
        <f ca="1">IFERROR(__xludf.DUMMYFUNCTION("""COMPUTED_VALUE"""),"Dashattan")</f>
        <v>Dashattan</v>
      </c>
      <c r="E920" s="3" t="str">
        <f ca="1">IFERROR(__xludf.DUMMYFUNCTION("""COMPUTED_VALUE"""),"Galaxy A")</f>
        <v>Galaxy A</v>
      </c>
      <c r="F920" s="3" t="str">
        <f ca="1">IFERROR(__xludf.DUMMYFUNCTION("""COMPUTED_VALUE"""),"J")</f>
        <v>J</v>
      </c>
      <c r="G920" s="3">
        <f ca="1">IFERROR(__xludf.DUMMYFUNCTION("""COMPUTED_VALUE"""),0)</f>
        <v>0</v>
      </c>
      <c r="H920" s="3" t="str">
        <f ca="1">IFERROR(__xludf.DUMMYFUNCTION("""COMPUTED_VALUE"""),"bicycle")</f>
        <v>bicycle</v>
      </c>
      <c r="I920" s="3" t="str">
        <f ca="1">IFERROR(__xludf.DUMMYFUNCTION("""COMPUTED_VALUE"""),"2055-06-06T22:32:38.532497Z")</f>
        <v>2055-06-06T22:32:38.532497Z</v>
      </c>
      <c r="J920" s="3" t="str">
        <f ca="1">IFERROR(__xludf.DUMMYFUNCTION("""COMPUTED_VALUE"""),"2055-06-06T23:22:14.577Z")</f>
        <v>2055-06-06T23:22:14.577Z</v>
      </c>
      <c r="K920" s="3" t="str">
        <f ca="1">IFERROR(__xludf.DUMMYFUNCTION("""COMPUTED_VALUE"""),"2055-06-06T23:03:21.577Z")</f>
        <v>2055-06-06T23:03:21.577Z</v>
      </c>
      <c r="L920" s="3">
        <f ca="1">IFERROR(__xludf.DUMMYFUNCTION("""COMPUTED_VALUE"""),1)</f>
        <v>1</v>
      </c>
      <c r="M920" s="3">
        <f ca="1">IFERROR(__xludf.DUMMYFUNCTION("""COMPUTED_VALUE"""),0)</f>
        <v>0</v>
      </c>
      <c r="N920" s="3" t="str">
        <f ca="1">IFERROR(__xludf.DUMMYFUNCTION("""COMPUTED_VALUE"""),"2055-06-06T23:28:22.945801Z")</f>
        <v>2055-06-06T23:28:22.945801Z</v>
      </c>
      <c r="O920" s="3" t="str">
        <f ca="1">IFERROR(__xludf.DUMMYFUNCTION("""COMPUTED_VALUE"""),"2055-06-06T23:43:56.90322Z")</f>
        <v>2055-06-06T23:43:56.90322Z</v>
      </c>
      <c r="P920" s="3" t="str">
        <f ca="1">IFERROR(__xludf.DUMMYFUNCTION("""COMPUTED_VALUE"""),"2055-06-06T23:10:27.136862Z")</f>
        <v>2055-06-06T23:10:27.136862Z</v>
      </c>
      <c r="Q920" s="3">
        <f ca="1">IFERROR(__xludf.DUMMYFUNCTION("""COMPUTED_VALUE"""),1)</f>
        <v>1</v>
      </c>
      <c r="R920" s="3" t="str">
        <f ca="1">IFERROR(__xludf.DUMMYFUNCTION("""COMPUTED_VALUE"""),"2055-06-06T23:11:01.638959Z")</f>
        <v>2055-06-06T23:11:01.638959Z</v>
      </c>
      <c r="S920" s="3"/>
      <c r="T920" s="3"/>
      <c r="U920" s="4">
        <f ca="1">IFERROR(__xludf.DUMMYFUNCTION("""COMPUTED_VALUE"""),56771)</f>
        <v>56771</v>
      </c>
      <c r="V920" s="3">
        <f ca="1">IFERROR(__xludf.DUMMYFUNCTION("""COMPUTED_VALUE"""),4.8)</f>
        <v>4.8</v>
      </c>
      <c r="W920" s="3">
        <f ca="1">IFERROR(__xludf.DUMMYFUNCTION("""COMPUTED_VALUE"""),1500)</f>
        <v>1500</v>
      </c>
      <c r="X920" s="3">
        <f ca="1">IFERROR(__xludf.DUMMYFUNCTION("""COMPUTED_VALUE"""),1975)</f>
        <v>1975</v>
      </c>
      <c r="Y920" s="3"/>
      <c r="Z920" s="3"/>
      <c r="AA920" s="3">
        <f ca="1">IFERROR(__xludf.DUMMYFUNCTION("""COMPUTED_VALUE"""),934)</f>
        <v>934</v>
      </c>
      <c r="AB920" s="3">
        <f ca="1">IFERROR(__xludf.DUMMYFUNCTION("""COMPUTED_VALUE"""),0)</f>
        <v>0</v>
      </c>
      <c r="AC920" s="3">
        <f ca="1">IFERROR(__xludf.DUMMYFUNCTION("""COMPUTED_VALUE"""),2)</f>
        <v>2</v>
      </c>
      <c r="AD920" s="3"/>
      <c r="AE920" s="3" t="str">
        <f ca="1">IFERROR(__xludf.DUMMYFUNCTION("""COMPUTED_VALUE"""),"2055-06-06T19:28:22.945801Z")</f>
        <v>2055-06-06T19:28:22.945801Z</v>
      </c>
      <c r="AF920" s="3" t="str">
        <f ca="1">IFERROR(__xludf.DUMMYFUNCTION("""COMPUTED_VALUE"""),"2055-06-06T19:43:56.90322Z")</f>
        <v>2055-06-06T19:43:56.90322Z</v>
      </c>
      <c r="AG920" s="3" t="str">
        <f ca="1">IFERROR(__xludf.DUMMYFUNCTION("""COMPUTED_VALUE"""),"2055-06-06T19:10:27.136862Z")</f>
        <v>2055-06-06T19:10:27.136862Z</v>
      </c>
      <c r="AH920" s="3"/>
      <c r="AI920" s="3">
        <f ca="1">IFERROR(__xludf.DUMMYFUNCTION("""COMPUTED_VALUE"""),4.6)</f>
        <v>4.5999999999999996</v>
      </c>
      <c r="AJ920" s="3">
        <f ca="1">IFERROR(__xludf.DUMMYFUNCTION("""COMPUTED_VALUE"""),292)</f>
        <v>292</v>
      </c>
      <c r="AK920" s="3">
        <f ca="1">IFERROR(__xludf.DUMMYFUNCTION("""COMPUTED_VALUE"""),1027)</f>
        <v>1027</v>
      </c>
      <c r="AL920" s="3">
        <f ca="1">IFERROR(__xludf.DUMMYFUNCTION("""COMPUTED_VALUE"""),26)</f>
        <v>26</v>
      </c>
      <c r="AM920" s="3">
        <f>IFERROR(Raw_Data!AL920 / Raw_Data!AK920, "")</f>
        <v>2.5316455696202531E-2</v>
      </c>
      <c r="AN920" s="3" t="str">
        <f>IF(ISBLANK(Raw_Data!AL920), "No", "Yes")</f>
        <v>Yes</v>
      </c>
      <c r="AO920" s="3">
        <f>IFERROR(Raw_Data!Z920/60, "")</f>
        <v>0</v>
      </c>
    </row>
    <row r="921" spans="1:41" ht="13">
      <c r="A921" s="3">
        <f ca="1">IFERROR(__xludf.DUMMYFUNCTION("""COMPUTED_VALUE"""),874)</f>
        <v>874</v>
      </c>
      <c r="B921" s="3">
        <f ca="1">IFERROR(__xludf.DUMMYFUNCTION("""COMPUTED_VALUE"""),5)</f>
        <v>5</v>
      </c>
      <c r="C921" s="3">
        <f ca="1">IFERROR(__xludf.DUMMYFUNCTION("""COMPUTED_VALUE"""),4050)</f>
        <v>4050</v>
      </c>
      <c r="D921" s="3" t="str">
        <f ca="1">IFERROR(__xludf.DUMMYFUNCTION("""COMPUTED_VALUE"""),"Doorlanta")</f>
        <v>Doorlanta</v>
      </c>
      <c r="E921" s="3" t="str">
        <f ca="1">IFERROR(__xludf.DUMMYFUNCTION("""COMPUTED_VALUE"""),"Galaxy A")</f>
        <v>Galaxy A</v>
      </c>
      <c r="F921" s="3" t="str">
        <f ca="1">IFERROR(__xludf.DUMMYFUNCTION("""COMPUTED_VALUE"""),"Abhai")</f>
        <v>Abhai</v>
      </c>
      <c r="G921" s="3">
        <f ca="1">IFERROR(__xludf.DUMMYFUNCTION("""COMPUTED_VALUE"""),0)</f>
        <v>0</v>
      </c>
      <c r="H921" s="3" t="str">
        <f ca="1">IFERROR(__xludf.DUMMYFUNCTION("""COMPUTED_VALUE"""),"car")</f>
        <v>car</v>
      </c>
      <c r="I921" s="3" t="str">
        <f ca="1">IFERROR(__xludf.DUMMYFUNCTION("""COMPUTED_VALUE"""),"2055-06-07T21:22:26.801523Z")</f>
        <v>2055-06-07T21:22:26.801523Z</v>
      </c>
      <c r="J921" s="3" t="str">
        <f ca="1">IFERROR(__xludf.DUMMYFUNCTION("""COMPUTED_VALUE"""),"2055-06-07T22:07:26.878Z")</f>
        <v>2055-06-07T22:07:26.878Z</v>
      </c>
      <c r="K921" s="3" t="str">
        <f ca="1">IFERROR(__xludf.DUMMYFUNCTION("""COMPUTED_VALUE"""),"2055-06-07T21:53:44.878Z")</f>
        <v>2055-06-07T21:53:44.878Z</v>
      </c>
      <c r="L921" s="3">
        <f ca="1">IFERROR(__xludf.DUMMYFUNCTION("""COMPUTED_VALUE"""),1)</f>
        <v>1</v>
      </c>
      <c r="M921" s="3">
        <f ca="1">IFERROR(__xludf.DUMMYFUNCTION("""COMPUTED_VALUE"""),0)</f>
        <v>0</v>
      </c>
      <c r="N921" s="3" t="str">
        <f ca="1">IFERROR(__xludf.DUMMYFUNCTION("""COMPUTED_VALUE"""),"2055-06-07T21:57:16.071183Z")</f>
        <v>2055-06-07T21:57:16.071183Z</v>
      </c>
      <c r="O921" s="3" t="str">
        <f ca="1">IFERROR(__xludf.DUMMYFUNCTION("""COMPUTED_VALUE"""),"2055-06-07T22:13:59.951112Z")</f>
        <v>2055-06-07T22:13:59.951112Z</v>
      </c>
      <c r="P921" s="3" t="str">
        <f ca="1">IFERROR(__xludf.DUMMYFUNCTION("""COMPUTED_VALUE"""),"2055-06-07T21:22:47.358394Z")</f>
        <v>2055-06-07T21:22:47.358394Z</v>
      </c>
      <c r="Q921" s="3">
        <f ca="1">IFERROR(__xludf.DUMMYFUNCTION("""COMPUTED_VALUE"""),0)</f>
        <v>0</v>
      </c>
      <c r="R921" s="3" t="str">
        <f ca="1">IFERROR(__xludf.DUMMYFUNCTION("""COMPUTED_VALUE"""),"2055-06-07T21:22:52.41913Z")</f>
        <v>2055-06-07T21:22:52.41913Z</v>
      </c>
      <c r="S921" s="3" t="str">
        <f ca="1">IFERROR(__xludf.DUMMYFUNCTION("""COMPUTED_VALUE"""),"2055-06-07T21:55:13.692003Z")</f>
        <v>2055-06-07T21:55:13.692003Z</v>
      </c>
      <c r="T921" s="3"/>
      <c r="U921" s="4">
        <f ca="1">IFERROR(__xludf.DUMMYFUNCTION("""COMPUTED_VALUE"""),56772)</f>
        <v>56772</v>
      </c>
      <c r="V921" s="3">
        <f ca="1">IFERROR(__xludf.DUMMYFUNCTION("""COMPUTED_VALUE"""),4.5)</f>
        <v>4.5</v>
      </c>
      <c r="W921" s="3">
        <f ca="1">IFERROR(__xludf.DUMMYFUNCTION("""COMPUTED_VALUE"""),1500)</f>
        <v>1500</v>
      </c>
      <c r="X921" s="3">
        <f ca="1">IFERROR(__xludf.DUMMYFUNCTION("""COMPUTED_VALUE"""),3067)</f>
        <v>3067</v>
      </c>
      <c r="Y921" s="3">
        <f ca="1">IFERROR(__xludf.DUMMYFUNCTION("""COMPUTED_VALUE"""),1941)</f>
        <v>1941</v>
      </c>
      <c r="Z921" s="3">
        <f ca="1">IFERROR(__xludf.DUMMYFUNCTION("""COMPUTED_VALUE"""),123)</f>
        <v>123</v>
      </c>
      <c r="AA921" s="3">
        <f ca="1">IFERROR(__xludf.DUMMYFUNCTION("""COMPUTED_VALUE"""),1003)</f>
        <v>1003</v>
      </c>
      <c r="AB921" s="3">
        <f ca="1">IFERROR(__xludf.DUMMYFUNCTION("""COMPUTED_VALUE"""),0)</f>
        <v>0</v>
      </c>
      <c r="AC921" s="3">
        <f ca="1">IFERROR(__xludf.DUMMYFUNCTION("""COMPUTED_VALUE"""),1)</f>
        <v>1</v>
      </c>
      <c r="AD921" s="3" t="str">
        <f ca="1">IFERROR(__xludf.DUMMYFUNCTION("""COMPUTED_VALUE"""),"late")</f>
        <v>late</v>
      </c>
      <c r="AE921" s="3" t="str">
        <f ca="1">IFERROR(__xludf.DUMMYFUNCTION("""COMPUTED_VALUE"""),"2055-06-07T17:57:16.071183Z")</f>
        <v>2055-06-07T17:57:16.071183Z</v>
      </c>
      <c r="AF921" s="3" t="str">
        <f ca="1">IFERROR(__xludf.DUMMYFUNCTION("""COMPUTED_VALUE"""),"2055-06-07T18:13:59.951112Z")</f>
        <v>2055-06-07T18:13:59.951112Z</v>
      </c>
      <c r="AG921" s="3" t="str">
        <f ca="1">IFERROR(__xludf.DUMMYFUNCTION("""COMPUTED_VALUE"""),"2055-06-07T17:22:47.358394Z")</f>
        <v>2055-06-07T17:22:47.358394Z</v>
      </c>
      <c r="AH921" s="3" t="str">
        <f ca="1">IFERROR(__xludf.DUMMYFUNCTION("""COMPUTED_VALUE"""),"2055-06-07T17:55:13.692003Z")</f>
        <v>2055-06-07T17:55:13.692003Z</v>
      </c>
      <c r="AI921" s="3">
        <f ca="1">IFERROR(__xludf.DUMMYFUNCTION("""COMPUTED_VALUE"""),4.56)</f>
        <v>4.5599999999999996</v>
      </c>
      <c r="AJ921" s="3">
        <f ca="1">IFERROR(__xludf.DUMMYFUNCTION("""COMPUTED_VALUE"""),344)</f>
        <v>344</v>
      </c>
      <c r="AK921" s="3">
        <f ca="1">IFERROR(__xludf.DUMMYFUNCTION("""COMPUTED_VALUE"""),947)</f>
        <v>947</v>
      </c>
      <c r="AL921" s="3">
        <f ca="1">IFERROR(__xludf.DUMMYFUNCTION("""COMPUTED_VALUE"""),22)</f>
        <v>22</v>
      </c>
      <c r="AM921" s="3">
        <f>IFERROR(Raw_Data!AL921 / Raw_Data!AK921, "")</f>
        <v>2.3231256599788808E-2</v>
      </c>
      <c r="AN921" s="3" t="str">
        <f>IF(ISBLANK(Raw_Data!AL921), "No", "Yes")</f>
        <v>Yes</v>
      </c>
      <c r="AO921" s="3">
        <f>IFERROR(Raw_Data!Z921/60, "")</f>
        <v>2.0499999999999998</v>
      </c>
    </row>
    <row r="922" spans="1:41" ht="13">
      <c r="A922" s="3">
        <f ca="1">IFERROR(__xludf.DUMMYFUNCTION("""COMPUTED_VALUE"""),879)</f>
        <v>879</v>
      </c>
      <c r="B922" s="3">
        <f ca="1">IFERROR(__xludf.DUMMYFUNCTION("""COMPUTED_VALUE"""),5)</f>
        <v>5</v>
      </c>
      <c r="C922" s="3">
        <f ca="1">IFERROR(__xludf.DUMMYFUNCTION("""COMPUTED_VALUE"""),4050)</f>
        <v>4050</v>
      </c>
      <c r="D922" s="3" t="str">
        <f ca="1">IFERROR(__xludf.DUMMYFUNCTION("""COMPUTED_VALUE"""),"Doorlanta")</f>
        <v>Doorlanta</v>
      </c>
      <c r="E922" s="3" t="str">
        <f ca="1">IFERROR(__xludf.DUMMYFUNCTION("""COMPUTED_VALUE"""),"Galaxy A")</f>
        <v>Galaxy A</v>
      </c>
      <c r="F922" s="3" t="str">
        <f ca="1">IFERROR(__xludf.DUMMYFUNCTION("""COMPUTED_VALUE"""),"Abhai")</f>
        <v>Abhai</v>
      </c>
      <c r="G922" s="3">
        <f ca="1">IFERROR(__xludf.DUMMYFUNCTION("""COMPUTED_VALUE"""),0)</f>
        <v>0</v>
      </c>
      <c r="H922" s="3" t="str">
        <f ca="1">IFERROR(__xludf.DUMMYFUNCTION("""COMPUTED_VALUE"""),"car")</f>
        <v>car</v>
      </c>
      <c r="I922" s="3" t="str">
        <f ca="1">IFERROR(__xludf.DUMMYFUNCTION("""COMPUTED_VALUE"""),"2055-06-07T22:11:42.223706Z")</f>
        <v>2055-06-07T22:11:42.223706Z</v>
      </c>
      <c r="J922" s="3" t="str">
        <f ca="1">IFERROR(__xludf.DUMMYFUNCTION("""COMPUTED_VALUE"""),"2055-06-07T23:15:44.302Z")</f>
        <v>2055-06-07T23:15:44.302Z</v>
      </c>
      <c r="K922" s="3" t="str">
        <f ca="1">IFERROR(__xludf.DUMMYFUNCTION("""COMPUTED_VALUE"""),"2055-06-07T22:55:37.302Z")</f>
        <v>2055-06-07T22:55:37.302Z</v>
      </c>
      <c r="L922" s="3">
        <f ca="1">IFERROR(__xludf.DUMMYFUNCTION("""COMPUTED_VALUE"""),1)</f>
        <v>1</v>
      </c>
      <c r="M922" s="3">
        <f ca="1">IFERROR(__xludf.DUMMYFUNCTION("""COMPUTED_VALUE"""),0)</f>
        <v>0</v>
      </c>
      <c r="N922" s="3" t="str">
        <f ca="1">IFERROR(__xludf.DUMMYFUNCTION("""COMPUTED_VALUE"""),"2055-06-07T22:27:51.860843Z")</f>
        <v>2055-06-07T22:27:51.860843Z</v>
      </c>
      <c r="O922" s="3" t="str">
        <f ca="1">IFERROR(__xludf.DUMMYFUNCTION("""COMPUTED_VALUE"""),"2055-06-07T22:44:36.342912Z")</f>
        <v>2055-06-07T22:44:36.342912Z</v>
      </c>
      <c r="P922" s="3" t="str">
        <f ca="1">IFERROR(__xludf.DUMMYFUNCTION("""COMPUTED_VALUE"""),"2055-06-07T22:15:47.288965Z")</f>
        <v>2055-06-07T22:15:47.288965Z</v>
      </c>
      <c r="Q922" s="3">
        <f ca="1">IFERROR(__xludf.DUMMYFUNCTION("""COMPUTED_VALUE"""),0)</f>
        <v>0</v>
      </c>
      <c r="R922" s="3" t="str">
        <f ca="1">IFERROR(__xludf.DUMMYFUNCTION("""COMPUTED_VALUE"""),"2055-06-07T22:15:54.485076Z")</f>
        <v>2055-06-07T22:15:54.485076Z</v>
      </c>
      <c r="S922" s="3" t="str">
        <f ca="1">IFERROR(__xludf.DUMMYFUNCTION("""COMPUTED_VALUE"""),"2055-06-07T22:25:46.178634Z")</f>
        <v>2055-06-07T22:25:46.178634Z</v>
      </c>
      <c r="T922" s="3"/>
      <c r="U922" s="4">
        <f ca="1">IFERROR(__xludf.DUMMYFUNCTION("""COMPUTED_VALUE"""),56772)</f>
        <v>56772</v>
      </c>
      <c r="V922" s="3">
        <f ca="1">IFERROR(__xludf.DUMMYFUNCTION("""COMPUTED_VALUE"""),4.7)</f>
        <v>4.7</v>
      </c>
      <c r="W922" s="3">
        <f ca="1">IFERROR(__xludf.DUMMYFUNCTION("""COMPUTED_VALUE"""),1500)</f>
        <v>1500</v>
      </c>
      <c r="X922" s="3">
        <f ca="1">IFERROR(__xludf.DUMMYFUNCTION("""COMPUTED_VALUE"""),1722)</f>
        <v>1722</v>
      </c>
      <c r="Y922" s="3">
        <f ca="1">IFERROR(__xludf.DUMMYFUNCTION("""COMPUTED_VALUE"""),592)</f>
        <v>592</v>
      </c>
      <c r="Z922" s="3">
        <f ca="1">IFERROR(__xludf.DUMMYFUNCTION("""COMPUTED_VALUE"""),125)</f>
        <v>125</v>
      </c>
      <c r="AA922" s="3">
        <f ca="1">IFERROR(__xludf.DUMMYFUNCTION("""COMPUTED_VALUE"""),1005)</f>
        <v>1005</v>
      </c>
      <c r="AB922" s="3">
        <f ca="1">IFERROR(__xludf.DUMMYFUNCTION("""COMPUTED_VALUE"""),0)</f>
        <v>0</v>
      </c>
      <c r="AC922" s="3">
        <f ca="1">IFERROR(__xludf.DUMMYFUNCTION("""COMPUTED_VALUE"""),1)</f>
        <v>1</v>
      </c>
      <c r="AD922" s="3" t="str">
        <f ca="1">IFERROR(__xludf.DUMMYFUNCTION("""COMPUTED_VALUE"""),"on time")</f>
        <v>on time</v>
      </c>
      <c r="AE922" s="3" t="str">
        <f ca="1">IFERROR(__xludf.DUMMYFUNCTION("""COMPUTED_VALUE"""),"2055-06-07T18:27:51.860843Z")</f>
        <v>2055-06-07T18:27:51.860843Z</v>
      </c>
      <c r="AF922" s="3" t="str">
        <f ca="1">IFERROR(__xludf.DUMMYFUNCTION("""COMPUTED_VALUE"""),"2055-06-07T18:44:36.342912Z")</f>
        <v>2055-06-07T18:44:36.342912Z</v>
      </c>
      <c r="AG922" s="3" t="str">
        <f ca="1">IFERROR(__xludf.DUMMYFUNCTION("""COMPUTED_VALUE"""),"2055-06-07T18:15:47.288965Z")</f>
        <v>2055-06-07T18:15:47.288965Z</v>
      </c>
      <c r="AH922" s="3" t="str">
        <f ca="1">IFERROR(__xludf.DUMMYFUNCTION("""COMPUTED_VALUE"""),"2055-06-07T18:25:46.178634Z")</f>
        <v>2055-06-07T18:25:46.178634Z</v>
      </c>
      <c r="AI922" s="3">
        <f ca="1">IFERROR(__xludf.DUMMYFUNCTION("""COMPUTED_VALUE"""),4.56)</f>
        <v>4.5599999999999996</v>
      </c>
      <c r="AJ922" s="3">
        <f ca="1">IFERROR(__xludf.DUMMYFUNCTION("""COMPUTED_VALUE"""),344)</f>
        <v>344</v>
      </c>
      <c r="AK922" s="3">
        <f ca="1">IFERROR(__xludf.DUMMYFUNCTION("""COMPUTED_VALUE"""),947)</f>
        <v>947</v>
      </c>
      <c r="AL922" s="3">
        <f ca="1">IFERROR(__xludf.DUMMYFUNCTION("""COMPUTED_VALUE"""),22)</f>
        <v>22</v>
      </c>
      <c r="AM922" s="3">
        <f>IFERROR(Raw_Data!AL922 / Raw_Data!AK922, "")</f>
        <v>2.3231256599788808E-2</v>
      </c>
      <c r="AN922" s="3" t="str">
        <f>IF(ISBLANK(Raw_Data!AL922), "No", "Yes")</f>
        <v>Yes</v>
      </c>
      <c r="AO922" s="3">
        <f>IFERROR(Raw_Data!Z922/60, "")</f>
        <v>2.0833333333333335</v>
      </c>
    </row>
    <row r="923" spans="1:41" ht="13">
      <c r="A923" s="3">
        <f ca="1">IFERROR(__xludf.DUMMYFUNCTION("""COMPUTED_VALUE"""),972)</f>
        <v>972</v>
      </c>
      <c r="B923" s="3">
        <f ca="1">IFERROR(__xludf.DUMMYFUNCTION("""COMPUTED_VALUE"""),5)</f>
        <v>5</v>
      </c>
      <c r="C923" s="3">
        <f ca="1">IFERROR(__xludf.DUMMYFUNCTION("""COMPUTED_VALUE"""),4001)</f>
        <v>4001</v>
      </c>
      <c r="D923" s="3" t="str">
        <f ca="1">IFERROR(__xludf.DUMMYFUNCTION("""COMPUTED_VALUE"""),"Dashattan")</f>
        <v>Dashattan</v>
      </c>
      <c r="E923" s="3" t="str">
        <f ca="1">IFERROR(__xludf.DUMMYFUNCTION("""COMPUTED_VALUE"""),"Galaxy A")</f>
        <v>Galaxy A</v>
      </c>
      <c r="F923" s="3" t="str">
        <f ca="1">IFERROR(__xludf.DUMMYFUNCTION("""COMPUTED_VALUE"""),"Arya")</f>
        <v>Arya</v>
      </c>
      <c r="G923" s="3">
        <f ca="1">IFERROR(__xludf.DUMMYFUNCTION("""COMPUTED_VALUE"""),0)</f>
        <v>0</v>
      </c>
      <c r="H923" s="3" t="str">
        <f ca="1">IFERROR(__xludf.DUMMYFUNCTION("""COMPUTED_VALUE"""),"bicycle")</f>
        <v>bicycle</v>
      </c>
      <c r="I923" s="3" t="str">
        <f ca="1">IFERROR(__xludf.DUMMYFUNCTION("""COMPUTED_VALUE"""),"2055-06-08T21:59:43.698673Z")</f>
        <v>2055-06-08T21:59:43.698673Z</v>
      </c>
      <c r="J923" s="3" t="str">
        <f ca="1">IFERROR(__xludf.DUMMYFUNCTION("""COMPUTED_VALUE"""),"2055-06-08T22:49:07.748Z")</f>
        <v>2055-06-08T22:49:07.748Z</v>
      </c>
      <c r="K923" s="3" t="str">
        <f ca="1">IFERROR(__xludf.DUMMYFUNCTION("""COMPUTED_VALUE"""),"2055-06-08T22:29:28.748Z")</f>
        <v>2055-06-08T22:29:28.748Z</v>
      </c>
      <c r="L923" s="3">
        <f ca="1">IFERROR(__xludf.DUMMYFUNCTION("""COMPUTED_VALUE"""),1)</f>
        <v>1</v>
      </c>
      <c r="M923" s="3">
        <f ca="1">IFERROR(__xludf.DUMMYFUNCTION("""COMPUTED_VALUE"""),0)</f>
        <v>0</v>
      </c>
      <c r="N923" s="3" t="str">
        <f ca="1">IFERROR(__xludf.DUMMYFUNCTION("""COMPUTED_VALUE"""),"2055-06-08T22:26:10.308123Z")</f>
        <v>2055-06-08T22:26:10.308123Z</v>
      </c>
      <c r="O923" s="3" t="str">
        <f ca="1">IFERROR(__xludf.DUMMYFUNCTION("""COMPUTED_VALUE"""),"2055-06-08T22:33:55.339653Z")</f>
        <v>2055-06-08T22:33:55.339653Z</v>
      </c>
      <c r="P923" s="3" t="str">
        <f ca="1">IFERROR(__xludf.DUMMYFUNCTION("""COMPUTED_VALUE"""),"2055-06-08T22:01:34.442213Z")</f>
        <v>2055-06-08T22:01:34.442213Z</v>
      </c>
      <c r="Q923" s="3">
        <f ca="1">IFERROR(__xludf.DUMMYFUNCTION("""COMPUTED_VALUE"""),0)</f>
        <v>0</v>
      </c>
      <c r="R923" s="3" t="str">
        <f ca="1">IFERROR(__xludf.DUMMYFUNCTION("""COMPUTED_VALUE"""),"2055-06-08T22:01:38.543897Z")</f>
        <v>2055-06-08T22:01:38.543897Z</v>
      </c>
      <c r="S923" s="3"/>
      <c r="T923" s="3"/>
      <c r="U923" s="4">
        <f ca="1">IFERROR(__xludf.DUMMYFUNCTION("""COMPUTED_VALUE"""),56773)</f>
        <v>56773</v>
      </c>
      <c r="V923" s="3">
        <f ca="1">IFERROR(__xludf.DUMMYFUNCTION("""COMPUTED_VALUE"""),4.392236395)</f>
        <v>4.3922363950000003</v>
      </c>
      <c r="W923" s="3">
        <f ca="1">IFERROR(__xludf.DUMMYFUNCTION("""COMPUTED_VALUE"""),1500)</f>
        <v>1500</v>
      </c>
      <c r="X923" s="3">
        <f ca="1">IFERROR(__xludf.DUMMYFUNCTION("""COMPUTED_VALUE"""),1937)</f>
        <v>1937</v>
      </c>
      <c r="Y923" s="3"/>
      <c r="Z923" s="3"/>
      <c r="AA923" s="3">
        <f ca="1">IFERROR(__xludf.DUMMYFUNCTION("""COMPUTED_VALUE"""),465)</f>
        <v>465</v>
      </c>
      <c r="AB923" s="3">
        <f ca="1">IFERROR(__xludf.DUMMYFUNCTION("""COMPUTED_VALUE"""),0)</f>
        <v>0</v>
      </c>
      <c r="AC923" s="3">
        <f ca="1">IFERROR(__xludf.DUMMYFUNCTION("""COMPUTED_VALUE"""),1)</f>
        <v>1</v>
      </c>
      <c r="AD923" s="3"/>
      <c r="AE923" s="3" t="str">
        <f ca="1">IFERROR(__xludf.DUMMYFUNCTION("""COMPUTED_VALUE"""),"2055-06-08T18:26:10.308123Z")</f>
        <v>2055-06-08T18:26:10.308123Z</v>
      </c>
      <c r="AF923" s="3" t="str">
        <f ca="1">IFERROR(__xludf.DUMMYFUNCTION("""COMPUTED_VALUE"""),"2055-06-08T18:33:55.339653Z")</f>
        <v>2055-06-08T18:33:55.339653Z</v>
      </c>
      <c r="AG923" s="3" t="str">
        <f ca="1">IFERROR(__xludf.DUMMYFUNCTION("""COMPUTED_VALUE"""),"2055-06-08T18:01:34.442213Z")</f>
        <v>2055-06-08T18:01:34.442213Z</v>
      </c>
      <c r="AH923" s="3"/>
      <c r="AI923" s="3">
        <f ca="1">IFERROR(__xludf.DUMMYFUNCTION("""COMPUTED_VALUE"""),4.17)</f>
        <v>4.17</v>
      </c>
      <c r="AJ923" s="3">
        <f ca="1">IFERROR(__xludf.DUMMYFUNCTION("""COMPUTED_VALUE"""),457)</f>
        <v>457</v>
      </c>
      <c r="AK923" s="3">
        <f ca="1">IFERROR(__xludf.DUMMYFUNCTION("""COMPUTED_VALUE"""),1599)</f>
        <v>1599</v>
      </c>
      <c r="AL923" s="3"/>
      <c r="AM923" s="3">
        <f>IFERROR(Raw_Data!AL923 / Raw_Data!AK923, "")</f>
        <v>0</v>
      </c>
      <c r="AN923" s="3" t="str">
        <f>IF(ISBLANK(Raw_Data!AL923), "No", "Yes")</f>
        <v>No</v>
      </c>
      <c r="AO923" s="3">
        <f>IFERROR(Raw_Data!Z923/60, "")</f>
        <v>0</v>
      </c>
    </row>
    <row r="924" spans="1:41" ht="13">
      <c r="A924" s="3">
        <f ca="1">IFERROR(__xludf.DUMMYFUNCTION("""COMPUTED_VALUE"""),242)</f>
        <v>242</v>
      </c>
      <c r="B924" s="3">
        <f ca="1">IFERROR(__xludf.DUMMYFUNCTION("""COMPUTED_VALUE"""),5)</f>
        <v>5</v>
      </c>
      <c r="C924" s="3">
        <f ca="1">IFERROR(__xludf.DUMMYFUNCTION("""COMPUTED_VALUE"""),4050)</f>
        <v>4050</v>
      </c>
      <c r="D924" s="3" t="str">
        <f ca="1">IFERROR(__xludf.DUMMYFUNCTION("""COMPUTED_VALUE"""),"Doorlanta")</f>
        <v>Doorlanta</v>
      </c>
      <c r="E924" s="3" t="str">
        <f ca="1">IFERROR(__xludf.DUMMYFUNCTION("""COMPUTED_VALUE"""),"Galaxy A")</f>
        <v>Galaxy A</v>
      </c>
      <c r="F924" s="3" t="str">
        <f ca="1">IFERROR(__xludf.DUMMYFUNCTION("""COMPUTED_VALUE"""),"Abhai")</f>
        <v>Abhai</v>
      </c>
      <c r="G924" s="3">
        <f ca="1">IFERROR(__xludf.DUMMYFUNCTION("""COMPUTED_VALUE"""),0)</f>
        <v>0</v>
      </c>
      <c r="H924" s="3" t="str">
        <f ca="1">IFERROR(__xludf.DUMMYFUNCTION("""COMPUTED_VALUE"""),"car")</f>
        <v>car</v>
      </c>
      <c r="I924" s="3" t="str">
        <f ca="1">IFERROR(__xludf.DUMMYFUNCTION("""COMPUTED_VALUE"""),"2055-06-03T01:13:19.352007Z")</f>
        <v>2055-06-03T01:13:19.352007Z</v>
      </c>
      <c r="J924" s="3" t="str">
        <f ca="1">IFERROR(__xludf.DUMMYFUNCTION("""COMPUTED_VALUE"""),"2055-06-03T02:04:40.425Z")</f>
        <v>2055-06-03T02:04:40.425Z</v>
      </c>
      <c r="K924" s="3" t="str">
        <f ca="1">IFERROR(__xludf.DUMMYFUNCTION("""COMPUTED_VALUE"""),"2055-06-03T01:54:33.425Z")</f>
        <v>2055-06-03T01:54:33.425Z</v>
      </c>
      <c r="L924" s="3">
        <f ca="1">IFERROR(__xludf.DUMMYFUNCTION("""COMPUTED_VALUE"""),1)</f>
        <v>1</v>
      </c>
      <c r="M924" s="3">
        <f ca="1">IFERROR(__xludf.DUMMYFUNCTION("""COMPUTED_VALUE"""),0)</f>
        <v>0</v>
      </c>
      <c r="N924" s="3" t="str">
        <f ca="1">IFERROR(__xludf.DUMMYFUNCTION("""COMPUTED_VALUE"""),"2055-06-03T01:30:10.822895Z")</f>
        <v>2055-06-03T01:30:10.822895Z</v>
      </c>
      <c r="O924" s="3" t="str">
        <f ca="1">IFERROR(__xludf.DUMMYFUNCTION("""COMPUTED_VALUE"""),"2055-06-03T01:46:00.143395Z")</f>
        <v>2055-06-03T01:46:00.143395Z</v>
      </c>
      <c r="P924" s="3" t="str">
        <f ca="1">IFERROR(__xludf.DUMMYFUNCTION("""COMPUTED_VALUE"""),"2055-06-03T01:15:27.303405Z")</f>
        <v>2055-06-03T01:15:27.303405Z</v>
      </c>
      <c r="Q924" s="3">
        <f ca="1">IFERROR(__xludf.DUMMYFUNCTION("""COMPUTED_VALUE"""),0)</f>
        <v>0</v>
      </c>
      <c r="R924" s="3" t="str">
        <f ca="1">IFERROR(__xludf.DUMMYFUNCTION("""COMPUTED_VALUE"""),"2055-06-03T01:15:30.411261Z")</f>
        <v>2055-06-03T01:15:30.411261Z</v>
      </c>
      <c r="S924" s="3"/>
      <c r="T924" s="3"/>
      <c r="U924" s="4">
        <f ca="1">IFERROR(__xludf.DUMMYFUNCTION("""COMPUTED_VALUE"""),56767)</f>
        <v>56767</v>
      </c>
      <c r="V924" s="3">
        <f ca="1">IFERROR(__xludf.DUMMYFUNCTION("""COMPUTED_VALUE"""),4.6)</f>
        <v>4.5999999999999996</v>
      </c>
      <c r="W924" s="3">
        <f ca="1">IFERROR(__xludf.DUMMYFUNCTION("""COMPUTED_VALUE"""),1500)</f>
        <v>1500</v>
      </c>
      <c r="X924" s="3">
        <f ca="1">IFERROR(__xludf.DUMMYFUNCTION("""COMPUTED_VALUE"""),1830)</f>
        <v>1830</v>
      </c>
      <c r="Y924" s="3"/>
      <c r="Z924" s="3"/>
      <c r="AA924" s="3">
        <f ca="1">IFERROR(__xludf.DUMMYFUNCTION("""COMPUTED_VALUE"""),950)</f>
        <v>950</v>
      </c>
      <c r="AB924" s="3">
        <f ca="1">IFERROR(__xludf.DUMMYFUNCTION("""COMPUTED_VALUE"""),0)</f>
        <v>0</v>
      </c>
      <c r="AC924" s="3">
        <f ca="1">IFERROR(__xludf.DUMMYFUNCTION("""COMPUTED_VALUE"""),1)</f>
        <v>1</v>
      </c>
      <c r="AD924" s="3"/>
      <c r="AE924" s="3" t="str">
        <f ca="1">IFERROR(__xludf.DUMMYFUNCTION("""COMPUTED_VALUE"""),"2055-06-02T21:30:10.822895Z")</f>
        <v>2055-06-02T21:30:10.822895Z</v>
      </c>
      <c r="AF924" s="3" t="str">
        <f ca="1">IFERROR(__xludf.DUMMYFUNCTION("""COMPUTED_VALUE"""),"2055-06-02T21:46:00.143395Z")</f>
        <v>2055-06-02T21:46:00.143395Z</v>
      </c>
      <c r="AG924" s="3" t="str">
        <f ca="1">IFERROR(__xludf.DUMMYFUNCTION("""COMPUTED_VALUE"""),"2055-06-02T21:15:27.303405Z")</f>
        <v>2055-06-02T21:15:27.303405Z</v>
      </c>
      <c r="AH924" s="3"/>
      <c r="AI924" s="3">
        <f ca="1">IFERROR(__xludf.DUMMYFUNCTION("""COMPUTED_VALUE"""),4.56)</f>
        <v>4.5599999999999996</v>
      </c>
      <c r="AJ924" s="3">
        <f ca="1">IFERROR(__xludf.DUMMYFUNCTION("""COMPUTED_VALUE"""),344)</f>
        <v>344</v>
      </c>
      <c r="AK924" s="3">
        <f ca="1">IFERROR(__xludf.DUMMYFUNCTION("""COMPUTED_VALUE"""),947)</f>
        <v>947</v>
      </c>
      <c r="AL924" s="3">
        <f ca="1">IFERROR(__xludf.DUMMYFUNCTION("""COMPUTED_VALUE"""),22)</f>
        <v>22</v>
      </c>
      <c r="AM924" s="3">
        <f>IFERROR(Raw_Data!AL924 / Raw_Data!AK924, "")</f>
        <v>2.3231256599788808E-2</v>
      </c>
      <c r="AN924" s="3" t="str">
        <f>IF(ISBLANK(Raw_Data!AL924), "No", "Yes")</f>
        <v>Yes</v>
      </c>
      <c r="AO924" s="3">
        <f>IFERROR(Raw_Data!Z924/60, "")</f>
        <v>0</v>
      </c>
    </row>
    <row r="925" spans="1:41" ht="13">
      <c r="A925" s="3">
        <f ca="1">IFERROR(__xludf.DUMMYFUNCTION("""COMPUTED_VALUE"""),722)</f>
        <v>722</v>
      </c>
      <c r="B925" s="3">
        <f ca="1">IFERROR(__xludf.DUMMYFUNCTION("""COMPUTED_VALUE"""),4)</f>
        <v>4</v>
      </c>
      <c r="C925" s="3">
        <f ca="1">IFERROR(__xludf.DUMMYFUNCTION("""COMPUTED_VALUE"""),4050)</f>
        <v>4050</v>
      </c>
      <c r="D925" s="3" t="str">
        <f ca="1">IFERROR(__xludf.DUMMYFUNCTION("""COMPUTED_VALUE"""),"Doorlanta")</f>
        <v>Doorlanta</v>
      </c>
      <c r="E925" s="3" t="str">
        <f ca="1">IFERROR(__xludf.DUMMYFUNCTION("""COMPUTED_VALUE"""),"Galaxy A")</f>
        <v>Galaxy A</v>
      </c>
      <c r="F925" s="3" t="str">
        <f ca="1">IFERROR(__xludf.DUMMYFUNCTION("""COMPUTED_VALUE"""),"Joe")</f>
        <v>Joe</v>
      </c>
      <c r="G925" s="3">
        <f ca="1">IFERROR(__xludf.DUMMYFUNCTION("""COMPUTED_VALUE"""),0)</f>
        <v>0</v>
      </c>
      <c r="H925" s="3" t="str">
        <f ca="1">IFERROR(__xludf.DUMMYFUNCTION("""COMPUTED_VALUE"""),"car")</f>
        <v>car</v>
      </c>
      <c r="I925" s="3" t="str">
        <f ca="1">IFERROR(__xludf.DUMMYFUNCTION("""COMPUTED_VALUE"""),"2055-06-06T02:12:15.096475Z")</f>
        <v>2055-06-06T02:12:15.096475Z</v>
      </c>
      <c r="J925" s="3" t="str">
        <f ca="1">IFERROR(__xludf.DUMMYFUNCTION("""COMPUTED_VALUE"""),"2055-06-06T03:02:15.18Z")</f>
        <v>2055-06-06T03:02:15.18Z</v>
      </c>
      <c r="K925" s="3" t="str">
        <f ca="1">IFERROR(__xludf.DUMMYFUNCTION("""COMPUTED_VALUE"""),"2055-06-06T02:36:53.18Z")</f>
        <v>2055-06-06T02:36:53.18Z</v>
      </c>
      <c r="L925" s="3">
        <f ca="1">IFERROR(__xludf.DUMMYFUNCTION("""COMPUTED_VALUE"""),1)</f>
        <v>1</v>
      </c>
      <c r="M925" s="3">
        <f ca="1">IFERROR(__xludf.DUMMYFUNCTION("""COMPUTED_VALUE"""),0)</f>
        <v>0</v>
      </c>
      <c r="N925" s="3" t="str">
        <f ca="1">IFERROR(__xludf.DUMMYFUNCTION("""COMPUTED_VALUE"""),"2055-06-06T02:33:07.541715Z")</f>
        <v>2055-06-06T02:33:07.541715Z</v>
      </c>
      <c r="O925" s="3" t="str">
        <f ca="1">IFERROR(__xludf.DUMMYFUNCTION("""COMPUTED_VALUE"""),"2055-06-06T02:37:50.365983Z")</f>
        <v>2055-06-06T02:37:50.365983Z</v>
      </c>
      <c r="P925" s="3" t="str">
        <f ca="1">IFERROR(__xludf.DUMMYFUNCTION("""COMPUTED_VALUE"""),"2055-06-06T02:12:27.246007Z")</f>
        <v>2055-06-06T02:12:27.246007Z</v>
      </c>
      <c r="Q925" s="3">
        <f ca="1">IFERROR(__xludf.DUMMYFUNCTION("""COMPUTED_VALUE"""),0)</f>
        <v>0</v>
      </c>
      <c r="R925" s="3" t="str">
        <f ca="1">IFERROR(__xludf.DUMMYFUNCTION("""COMPUTED_VALUE"""),"2055-06-06T02:12:47.870439Z")</f>
        <v>2055-06-06T02:12:47.870439Z</v>
      </c>
      <c r="S925" s="3" t="str">
        <f ca="1">IFERROR(__xludf.DUMMYFUNCTION("""COMPUTED_VALUE"""),"2055-06-06T02:19:42.448065Z")</f>
        <v>2055-06-06T02:19:42.448065Z</v>
      </c>
      <c r="T925" s="3"/>
      <c r="U925" s="4">
        <f ca="1">IFERROR(__xludf.DUMMYFUNCTION("""COMPUTED_VALUE"""),56770)</f>
        <v>56770</v>
      </c>
      <c r="V925" s="3">
        <f ca="1">IFERROR(__xludf.DUMMYFUNCTION("""COMPUTED_VALUE"""),4.4)</f>
        <v>4.4000000000000004</v>
      </c>
      <c r="W925" s="3">
        <f ca="1">IFERROR(__xludf.DUMMYFUNCTION("""COMPUTED_VALUE"""),1500)</f>
        <v>1500</v>
      </c>
      <c r="X925" s="3">
        <f ca="1">IFERROR(__xludf.DUMMYFUNCTION("""COMPUTED_VALUE"""),1503)</f>
        <v>1503</v>
      </c>
      <c r="Y925" s="3">
        <f ca="1">IFERROR(__xludf.DUMMYFUNCTION("""COMPUTED_VALUE"""),415)</f>
        <v>415</v>
      </c>
      <c r="Z925" s="3">
        <f ca="1">IFERROR(__xludf.DUMMYFUNCTION("""COMPUTED_VALUE"""),805)</f>
        <v>805</v>
      </c>
      <c r="AA925" s="3">
        <f ca="1">IFERROR(__xludf.DUMMYFUNCTION("""COMPUTED_VALUE"""),283)</f>
        <v>283</v>
      </c>
      <c r="AB925" s="3">
        <f ca="1">IFERROR(__xludf.DUMMYFUNCTION("""COMPUTED_VALUE"""),0)</f>
        <v>0</v>
      </c>
      <c r="AC925" s="3">
        <f ca="1">IFERROR(__xludf.DUMMYFUNCTION("""COMPUTED_VALUE"""),1)</f>
        <v>1</v>
      </c>
      <c r="AD925" s="3" t="str">
        <f ca="1">IFERROR(__xludf.DUMMYFUNCTION("""COMPUTED_VALUE"""),"early")</f>
        <v>early</v>
      </c>
      <c r="AE925" s="3" t="str">
        <f ca="1">IFERROR(__xludf.DUMMYFUNCTION("""COMPUTED_VALUE"""),"2055-06-05T22:33:07.541715Z")</f>
        <v>2055-06-05T22:33:07.541715Z</v>
      </c>
      <c r="AF925" s="3" t="str">
        <f ca="1">IFERROR(__xludf.DUMMYFUNCTION("""COMPUTED_VALUE"""),"2055-06-05T22:37:50.365983Z")</f>
        <v>2055-06-05T22:37:50.365983Z</v>
      </c>
      <c r="AG925" s="3" t="str">
        <f ca="1">IFERROR(__xludf.DUMMYFUNCTION("""COMPUTED_VALUE"""),"2055-06-05T22:12:27.246007Z")</f>
        <v>2055-06-05T22:12:27.246007Z</v>
      </c>
      <c r="AH925" s="3" t="str">
        <f ca="1">IFERROR(__xludf.DUMMYFUNCTION("""COMPUTED_VALUE"""),"2055-06-05T22:19:42.448065Z")</f>
        <v>2055-06-05T22:19:42.448065Z</v>
      </c>
      <c r="AI925" s="3">
        <f ca="1">IFERROR(__xludf.DUMMYFUNCTION("""COMPUTED_VALUE"""),4.38)</f>
        <v>4.38</v>
      </c>
      <c r="AJ925" s="3">
        <f ca="1">IFERROR(__xludf.DUMMYFUNCTION("""COMPUTED_VALUE"""),196)</f>
        <v>196</v>
      </c>
      <c r="AK925" s="3">
        <f ca="1">IFERROR(__xludf.DUMMYFUNCTION("""COMPUTED_VALUE"""),626)</f>
        <v>626</v>
      </c>
      <c r="AL925" s="3"/>
      <c r="AM925" s="3">
        <f>IFERROR(Raw_Data!AL925 / Raw_Data!AK925, "")</f>
        <v>0</v>
      </c>
      <c r="AN925" s="3" t="str">
        <f>IF(ISBLANK(Raw_Data!AL925), "No", "Yes")</f>
        <v>No</v>
      </c>
      <c r="AO925" s="3">
        <f>IFERROR(Raw_Data!Z925/60, "")</f>
        <v>13.416666666666666</v>
      </c>
    </row>
    <row r="926" spans="1:41" ht="13">
      <c r="A926" s="3">
        <f ca="1">IFERROR(__xludf.DUMMYFUNCTION("""COMPUTED_VALUE"""),390)</f>
        <v>390</v>
      </c>
      <c r="B926" s="3">
        <f ca="1">IFERROR(__xludf.DUMMYFUNCTION("""COMPUTED_VALUE"""),5)</f>
        <v>5</v>
      </c>
      <c r="C926" s="3">
        <f ca="1">IFERROR(__xludf.DUMMYFUNCTION("""COMPUTED_VALUE"""),4050)</f>
        <v>4050</v>
      </c>
      <c r="D926" s="3" t="str">
        <f ca="1">IFERROR(__xludf.DUMMYFUNCTION("""COMPUTED_VALUE"""),"Doorlanta")</f>
        <v>Doorlanta</v>
      </c>
      <c r="E926" s="3" t="str">
        <f ca="1">IFERROR(__xludf.DUMMYFUNCTION("""COMPUTED_VALUE"""),"Galaxy A")</f>
        <v>Galaxy A</v>
      </c>
      <c r="F926" s="3" t="str">
        <f ca="1">IFERROR(__xludf.DUMMYFUNCTION("""COMPUTED_VALUE"""),"Elon")</f>
        <v>Elon</v>
      </c>
      <c r="G926" s="3">
        <f ca="1">IFERROR(__xludf.DUMMYFUNCTION("""COMPUTED_VALUE"""),0)</f>
        <v>0</v>
      </c>
      <c r="H926" s="3" t="str">
        <f ca="1">IFERROR(__xludf.DUMMYFUNCTION("""COMPUTED_VALUE"""),"car")</f>
        <v>car</v>
      </c>
      <c r="I926" s="3" t="str">
        <f ca="1">IFERROR(__xludf.DUMMYFUNCTION("""COMPUTED_VALUE"""),"2055-06-04T01:13:55.996216Z")</f>
        <v>2055-06-04T01:13:55.996216Z</v>
      </c>
      <c r="J926" s="3" t="str">
        <f ca="1">IFERROR(__xludf.DUMMYFUNCTION("""COMPUTED_VALUE"""),"2055-06-04T02:24:16.077Z")</f>
        <v>2055-06-04T02:24:16.077Z</v>
      </c>
      <c r="K926" s="3" t="str">
        <f ca="1">IFERROR(__xludf.DUMMYFUNCTION("""COMPUTED_VALUE"""),"2055-06-04T02:04:37.077Z")</f>
        <v>2055-06-04T02:04:37.077Z</v>
      </c>
      <c r="L926" s="3">
        <f ca="1">IFERROR(__xludf.DUMMYFUNCTION("""COMPUTED_VALUE"""),1)</f>
        <v>1</v>
      </c>
      <c r="M926" s="3">
        <f ca="1">IFERROR(__xludf.DUMMYFUNCTION("""COMPUTED_VALUE"""),0)</f>
        <v>0</v>
      </c>
      <c r="N926" s="3" t="str">
        <f ca="1">IFERROR(__xludf.DUMMYFUNCTION("""COMPUTED_VALUE"""),"2055-06-04T02:04:14.373476Z")</f>
        <v>2055-06-04T02:04:14.373476Z</v>
      </c>
      <c r="O926" s="3" t="str">
        <f ca="1">IFERROR(__xludf.DUMMYFUNCTION("""COMPUTED_VALUE"""),"2055-06-04T02:10:26.24801Z")</f>
        <v>2055-06-04T02:10:26.24801Z</v>
      </c>
      <c r="P926" s="3" t="str">
        <f ca="1">IFERROR(__xludf.DUMMYFUNCTION("""COMPUTED_VALUE"""),"2055-06-04T01:14:27.339169Z")</f>
        <v>2055-06-04T01:14:27.339169Z</v>
      </c>
      <c r="Q926" s="3">
        <f ca="1">IFERROR(__xludf.DUMMYFUNCTION("""COMPUTED_VALUE"""),0)</f>
        <v>0</v>
      </c>
      <c r="R926" s="3" t="str">
        <f ca="1">IFERROR(__xludf.DUMMYFUNCTION("""COMPUTED_VALUE"""),"2055-06-04T01:14:35.069629Z")</f>
        <v>2055-06-04T01:14:35.069629Z</v>
      </c>
      <c r="S926" s="3" t="str">
        <f ca="1">IFERROR(__xludf.DUMMYFUNCTION("""COMPUTED_VALUE"""),"2055-06-04T01:40:00.191018Z")</f>
        <v>2055-06-04T01:40:00.191018Z</v>
      </c>
      <c r="T926" s="3"/>
      <c r="U926" s="4">
        <f ca="1">IFERROR(__xludf.DUMMYFUNCTION("""COMPUTED_VALUE"""),56768)</f>
        <v>56768</v>
      </c>
      <c r="V926" s="3">
        <f ca="1">IFERROR(__xludf.DUMMYFUNCTION("""COMPUTED_VALUE"""),4.6)</f>
        <v>4.5999999999999996</v>
      </c>
      <c r="W926" s="3">
        <f ca="1">IFERROR(__xludf.DUMMYFUNCTION("""COMPUTED_VALUE"""),1500)</f>
        <v>1500</v>
      </c>
      <c r="X926" s="3">
        <f ca="1">IFERROR(__xludf.DUMMYFUNCTION("""COMPUTED_VALUE"""),3351)</f>
        <v>3351</v>
      </c>
      <c r="Y926" s="3">
        <f ca="1">IFERROR(__xludf.DUMMYFUNCTION("""COMPUTED_VALUE"""),1525)</f>
        <v>1525</v>
      </c>
      <c r="Z926" s="3">
        <f ca="1">IFERROR(__xludf.DUMMYFUNCTION("""COMPUTED_VALUE"""),1454)</f>
        <v>1454</v>
      </c>
      <c r="AA926" s="3">
        <f ca="1">IFERROR(__xludf.DUMMYFUNCTION("""COMPUTED_VALUE"""),372)</f>
        <v>372</v>
      </c>
      <c r="AB926" s="3">
        <f ca="1">IFERROR(__xludf.DUMMYFUNCTION("""COMPUTED_VALUE"""),0)</f>
        <v>0</v>
      </c>
      <c r="AC926" s="3">
        <f ca="1">IFERROR(__xludf.DUMMYFUNCTION("""COMPUTED_VALUE"""),3)</f>
        <v>3</v>
      </c>
      <c r="AD926" s="3" t="str">
        <f ca="1">IFERROR(__xludf.DUMMYFUNCTION("""COMPUTED_VALUE"""),"early")</f>
        <v>early</v>
      </c>
      <c r="AE926" s="3" t="str">
        <f ca="1">IFERROR(__xludf.DUMMYFUNCTION("""COMPUTED_VALUE"""),"2055-06-03T22:04:14.373476Z")</f>
        <v>2055-06-03T22:04:14.373476Z</v>
      </c>
      <c r="AF926" s="3" t="str">
        <f ca="1">IFERROR(__xludf.DUMMYFUNCTION("""COMPUTED_VALUE"""),"2055-06-03T22:10:26.24801Z")</f>
        <v>2055-06-03T22:10:26.24801Z</v>
      </c>
      <c r="AG926" s="3" t="str">
        <f ca="1">IFERROR(__xludf.DUMMYFUNCTION("""COMPUTED_VALUE"""),"2055-06-03T21:14:27.339169Z")</f>
        <v>2055-06-03T21:14:27.339169Z</v>
      </c>
      <c r="AH926" s="3" t="str">
        <f ca="1">IFERROR(__xludf.DUMMYFUNCTION("""COMPUTED_VALUE"""),"2055-06-03T21:40:00.191018Z")</f>
        <v>2055-06-03T21:40:00.191018Z</v>
      </c>
      <c r="AI926" s="3">
        <f ca="1">IFERROR(__xludf.DUMMYFUNCTION("""COMPUTED_VALUE"""),4.62)</f>
        <v>4.62</v>
      </c>
      <c r="AJ926" s="3">
        <f ca="1">IFERROR(__xludf.DUMMYFUNCTION("""COMPUTED_VALUE"""),259)</f>
        <v>259</v>
      </c>
      <c r="AK926" s="3">
        <f ca="1">IFERROR(__xludf.DUMMYFUNCTION("""COMPUTED_VALUE"""),604)</f>
        <v>604</v>
      </c>
      <c r="AL926" s="3">
        <f ca="1">IFERROR(__xludf.DUMMYFUNCTION("""COMPUTED_VALUE"""),21)</f>
        <v>21</v>
      </c>
      <c r="AM926" s="3">
        <f>IFERROR(Raw_Data!AL926 / Raw_Data!AK926, "")</f>
        <v>3.4768211920529798E-2</v>
      </c>
      <c r="AN926" s="3" t="str">
        <f>IF(ISBLANK(Raw_Data!AL926), "No", "Yes")</f>
        <v>Yes</v>
      </c>
      <c r="AO926" s="3">
        <f>IFERROR(Raw_Data!Z926/60, "")</f>
        <v>24.233333333333334</v>
      </c>
    </row>
    <row r="927" spans="1:41" ht="13">
      <c r="A927" s="3">
        <f ca="1">IFERROR(__xludf.DUMMYFUNCTION("""COMPUTED_VALUE"""),855)</f>
        <v>855</v>
      </c>
      <c r="B927" s="3"/>
      <c r="C927" s="3">
        <f ca="1">IFERROR(__xludf.DUMMYFUNCTION("""COMPUTED_VALUE"""),4050)</f>
        <v>4050</v>
      </c>
      <c r="D927" s="3" t="str">
        <f ca="1">IFERROR(__xludf.DUMMYFUNCTION("""COMPUTED_VALUE"""),"Doorlanta")</f>
        <v>Doorlanta</v>
      </c>
      <c r="E927" s="3" t="str">
        <f ca="1">IFERROR(__xludf.DUMMYFUNCTION("""COMPUTED_VALUE"""),"Galaxy A")</f>
        <v>Galaxy A</v>
      </c>
      <c r="F927" s="3" t="str">
        <f ca="1">IFERROR(__xludf.DUMMYFUNCTION("""COMPUTED_VALUE"""),"Joe")</f>
        <v>Joe</v>
      </c>
      <c r="G927" s="3">
        <f ca="1">IFERROR(__xludf.DUMMYFUNCTION("""COMPUTED_VALUE"""),0)</f>
        <v>0</v>
      </c>
      <c r="H927" s="3" t="str">
        <f ca="1">IFERROR(__xludf.DUMMYFUNCTION("""COMPUTED_VALUE"""),"car")</f>
        <v>car</v>
      </c>
      <c r="I927" s="3" t="str">
        <f ca="1">IFERROR(__xludf.DUMMYFUNCTION("""COMPUTED_VALUE"""),"2055-06-07T17:39:16.25658Z")</f>
        <v>2055-06-07T17:39:16.25658Z</v>
      </c>
      <c r="J927" s="3" t="str">
        <f ca="1">IFERROR(__xludf.DUMMYFUNCTION("""COMPUTED_VALUE"""),"2055-06-07T18:19:16.352Z")</f>
        <v>2055-06-07T18:19:16.352Z</v>
      </c>
      <c r="K927" s="3" t="str">
        <f ca="1">IFERROR(__xludf.DUMMYFUNCTION("""COMPUTED_VALUE"""),"2055-06-07T18:06:47.352Z")</f>
        <v>2055-06-07T18:06:47.352Z</v>
      </c>
      <c r="L927" s="3">
        <f ca="1">IFERROR(__xludf.DUMMYFUNCTION("""COMPUTED_VALUE"""),1)</f>
        <v>1</v>
      </c>
      <c r="M927" s="3">
        <f ca="1">IFERROR(__xludf.DUMMYFUNCTION("""COMPUTED_VALUE"""),0)</f>
        <v>0</v>
      </c>
      <c r="N927" s="3" t="str">
        <f ca="1">IFERROR(__xludf.DUMMYFUNCTION("""COMPUTED_VALUE"""),"2055-06-07T18:19:57.030342Z")</f>
        <v>2055-06-07T18:19:57.030342Z</v>
      </c>
      <c r="O927" s="3" t="str">
        <f ca="1">IFERROR(__xludf.DUMMYFUNCTION("""COMPUTED_VALUE"""),"2055-06-07T18:31:40.351681Z")</f>
        <v>2055-06-07T18:31:40.351681Z</v>
      </c>
      <c r="P927" s="3" t="str">
        <f ca="1">IFERROR(__xludf.DUMMYFUNCTION("""COMPUTED_VALUE"""),"2055-06-07T17:40:47.310854Z")</f>
        <v>2055-06-07T17:40:47.310854Z</v>
      </c>
      <c r="Q927" s="3">
        <f ca="1">IFERROR(__xludf.DUMMYFUNCTION("""COMPUTED_VALUE"""),0)</f>
        <v>0</v>
      </c>
      <c r="R927" s="3" t="str">
        <f ca="1">IFERROR(__xludf.DUMMYFUNCTION("""COMPUTED_VALUE"""),"2055-06-07T17:40:58.581289Z")</f>
        <v>2055-06-07T17:40:58.581289Z</v>
      </c>
      <c r="S927" s="3" t="str">
        <f ca="1">IFERROR(__xludf.DUMMYFUNCTION("""COMPUTED_VALUE"""),"2055-06-07T18:17:57.940536Z")</f>
        <v>2055-06-07T18:17:57.940536Z</v>
      </c>
      <c r="T927" s="3"/>
      <c r="U927" s="4">
        <f ca="1">IFERROR(__xludf.DUMMYFUNCTION("""COMPUTED_VALUE"""),56772)</f>
        <v>56772</v>
      </c>
      <c r="V927" s="3">
        <f ca="1">IFERROR(__xludf.DUMMYFUNCTION("""COMPUTED_VALUE"""),4.6)</f>
        <v>4.5999999999999996</v>
      </c>
      <c r="W927" s="3">
        <f ca="1">IFERROR(__xludf.DUMMYFUNCTION("""COMPUTED_VALUE"""),1500)</f>
        <v>1500</v>
      </c>
      <c r="X927" s="3">
        <f ca="1">IFERROR(__xludf.DUMMYFUNCTION("""COMPUTED_VALUE"""),3042)</f>
        <v>3042</v>
      </c>
      <c r="Y927" s="3">
        <f ca="1">IFERROR(__xludf.DUMMYFUNCTION("""COMPUTED_VALUE"""),2219)</f>
        <v>2219</v>
      </c>
      <c r="Z927" s="3">
        <f ca="1">IFERROR(__xludf.DUMMYFUNCTION("""COMPUTED_VALUE"""),120)</f>
        <v>120</v>
      </c>
      <c r="AA927" s="3">
        <f ca="1">IFERROR(__xludf.DUMMYFUNCTION("""COMPUTED_VALUE"""),703)</f>
        <v>703</v>
      </c>
      <c r="AB927" s="3">
        <f ca="1">IFERROR(__xludf.DUMMYFUNCTION("""COMPUTED_VALUE"""),0)</f>
        <v>0</v>
      </c>
      <c r="AC927" s="3">
        <f ca="1">IFERROR(__xludf.DUMMYFUNCTION("""COMPUTED_VALUE"""),2)</f>
        <v>2</v>
      </c>
      <c r="AD927" s="3" t="str">
        <f ca="1">IFERROR(__xludf.DUMMYFUNCTION("""COMPUTED_VALUE"""),"late")</f>
        <v>late</v>
      </c>
      <c r="AE927" s="3" t="str">
        <f ca="1">IFERROR(__xludf.DUMMYFUNCTION("""COMPUTED_VALUE"""),"2055-06-07T14:19:57.030342Z")</f>
        <v>2055-06-07T14:19:57.030342Z</v>
      </c>
      <c r="AF927" s="3" t="str">
        <f ca="1">IFERROR(__xludf.DUMMYFUNCTION("""COMPUTED_VALUE"""),"2055-06-07T14:31:40.351681Z")</f>
        <v>2055-06-07T14:31:40.351681Z</v>
      </c>
      <c r="AG927" s="3" t="str">
        <f ca="1">IFERROR(__xludf.DUMMYFUNCTION("""COMPUTED_VALUE"""),"2055-06-07T13:40:47.310854Z")</f>
        <v>2055-06-07T13:40:47.310854Z</v>
      </c>
      <c r="AH927" s="3" t="str">
        <f ca="1">IFERROR(__xludf.DUMMYFUNCTION("""COMPUTED_VALUE"""),"2055-06-07T14:17:57.940536Z")</f>
        <v>2055-06-07T14:17:57.940536Z</v>
      </c>
      <c r="AI927" s="3">
        <f ca="1">IFERROR(__xludf.DUMMYFUNCTION("""COMPUTED_VALUE"""),4.38)</f>
        <v>4.38</v>
      </c>
      <c r="AJ927" s="3">
        <f ca="1">IFERROR(__xludf.DUMMYFUNCTION("""COMPUTED_VALUE"""),196)</f>
        <v>196</v>
      </c>
      <c r="AK927" s="3">
        <f ca="1">IFERROR(__xludf.DUMMYFUNCTION("""COMPUTED_VALUE"""),626)</f>
        <v>626</v>
      </c>
      <c r="AL927" s="3"/>
      <c r="AM927" s="3">
        <f>IFERROR(Raw_Data!AL927 / Raw_Data!AK927, "")</f>
        <v>0</v>
      </c>
      <c r="AN927" s="3" t="str">
        <f>IF(ISBLANK(Raw_Data!AL927), "No", "Yes")</f>
        <v>No</v>
      </c>
      <c r="AO927" s="3">
        <f>IFERROR(Raw_Data!Z927/60, "")</f>
        <v>2</v>
      </c>
    </row>
    <row r="928" spans="1:41" ht="13">
      <c r="A928" s="3">
        <f ca="1">IFERROR(__xludf.DUMMYFUNCTION("""COMPUTED_VALUE"""),321)</f>
        <v>321</v>
      </c>
      <c r="B928" s="3"/>
      <c r="C928" s="3">
        <f ca="1">IFERROR(__xludf.DUMMYFUNCTION("""COMPUTED_VALUE"""),4050)</f>
        <v>4050</v>
      </c>
      <c r="D928" s="3" t="str">
        <f ca="1">IFERROR(__xludf.DUMMYFUNCTION("""COMPUTED_VALUE"""),"Doorlanta")</f>
        <v>Doorlanta</v>
      </c>
      <c r="E928" s="3" t="str">
        <f ca="1">IFERROR(__xludf.DUMMYFUNCTION("""COMPUTED_VALUE"""),"Galaxy A")</f>
        <v>Galaxy A</v>
      </c>
      <c r="F928" s="3" t="str">
        <f ca="1">IFERROR(__xludf.DUMMYFUNCTION("""COMPUTED_VALUE"""),"Elon")</f>
        <v>Elon</v>
      </c>
      <c r="G928" s="3">
        <f ca="1">IFERROR(__xludf.DUMMYFUNCTION("""COMPUTED_VALUE"""),0)</f>
        <v>0</v>
      </c>
      <c r="H928" s="3" t="str">
        <f ca="1">IFERROR(__xludf.DUMMYFUNCTION("""COMPUTED_VALUE"""),"car")</f>
        <v>car</v>
      </c>
      <c r="I928" s="3" t="str">
        <f ca="1">IFERROR(__xludf.DUMMYFUNCTION("""COMPUTED_VALUE"""),"2055-06-03T20:03:30.24455Z")</f>
        <v>2055-06-03T20:03:30.24455Z</v>
      </c>
      <c r="J928" s="3" t="str">
        <f ca="1">IFERROR(__xludf.DUMMYFUNCTION("""COMPUTED_VALUE"""),"2055-06-03T20:43:30.321Z")</f>
        <v>2055-06-03T20:43:30.321Z</v>
      </c>
      <c r="K928" s="3" t="str">
        <f ca="1">IFERROR(__xludf.DUMMYFUNCTION("""COMPUTED_VALUE"""),"2055-06-03T20:35:04.321Z")</f>
        <v>2055-06-03T20:35:04.321Z</v>
      </c>
      <c r="L928" s="3">
        <f ca="1">IFERROR(__xludf.DUMMYFUNCTION("""COMPUTED_VALUE"""),1)</f>
        <v>1</v>
      </c>
      <c r="M928" s="3">
        <f ca="1">IFERROR(__xludf.DUMMYFUNCTION("""COMPUTED_VALUE"""),0)</f>
        <v>0</v>
      </c>
      <c r="N928" s="3" t="str">
        <f ca="1">IFERROR(__xludf.DUMMYFUNCTION("""COMPUTED_VALUE"""),"2055-06-03T20:21:39.953366Z")</f>
        <v>2055-06-03T20:21:39.953366Z</v>
      </c>
      <c r="O928" s="3" t="str">
        <f ca="1">IFERROR(__xludf.DUMMYFUNCTION("""COMPUTED_VALUE"""),"2055-06-03T20:38:15.491442Z")</f>
        <v>2055-06-03T20:38:15.491442Z</v>
      </c>
      <c r="P928" s="3" t="str">
        <f ca="1">IFERROR(__xludf.DUMMYFUNCTION("""COMPUTED_VALUE"""),"2055-06-03T20:03:47.254385Z")</f>
        <v>2055-06-03T20:03:47.254385Z</v>
      </c>
      <c r="Q928" s="3">
        <f ca="1">IFERROR(__xludf.DUMMYFUNCTION("""COMPUTED_VALUE"""),0)</f>
        <v>0</v>
      </c>
      <c r="R928" s="3" t="str">
        <f ca="1">IFERROR(__xludf.DUMMYFUNCTION("""COMPUTED_VALUE"""),"2055-06-03T20:03:58.023855Z")</f>
        <v>2055-06-03T20:03:58.023855Z</v>
      </c>
      <c r="S928" s="3" t="str">
        <f ca="1">IFERROR(__xludf.DUMMYFUNCTION("""COMPUTED_VALUE"""),"2055-06-03T20:10:01.247394Z")</f>
        <v>2055-06-03T20:10:01.247394Z</v>
      </c>
      <c r="T928" s="3"/>
      <c r="U928" s="4">
        <f ca="1">IFERROR(__xludf.DUMMYFUNCTION("""COMPUTED_VALUE"""),56768)</f>
        <v>56768</v>
      </c>
      <c r="V928" s="3">
        <f ca="1">IFERROR(__xludf.DUMMYFUNCTION("""COMPUTED_VALUE"""),4.3)</f>
        <v>4.3</v>
      </c>
      <c r="W928" s="3">
        <f ca="1">IFERROR(__xludf.DUMMYFUNCTION("""COMPUTED_VALUE"""),1500)</f>
        <v>1500</v>
      </c>
      <c r="X928" s="3">
        <f ca="1">IFERROR(__xludf.DUMMYFUNCTION("""COMPUTED_VALUE"""),2057)</f>
        <v>2057</v>
      </c>
      <c r="Y928" s="3">
        <f ca="1">IFERROR(__xludf.DUMMYFUNCTION("""COMPUTED_VALUE"""),363)</f>
        <v>363</v>
      </c>
      <c r="Z928" s="3">
        <f ca="1">IFERROR(__xludf.DUMMYFUNCTION("""COMPUTED_VALUE"""),698)</f>
        <v>698</v>
      </c>
      <c r="AA928" s="3">
        <f ca="1">IFERROR(__xludf.DUMMYFUNCTION("""COMPUTED_VALUE"""),996)</f>
        <v>996</v>
      </c>
      <c r="AB928" s="3">
        <f ca="1">IFERROR(__xludf.DUMMYFUNCTION("""COMPUTED_VALUE"""),0)</f>
        <v>0</v>
      </c>
      <c r="AC928" s="3">
        <f ca="1">IFERROR(__xludf.DUMMYFUNCTION("""COMPUTED_VALUE"""),1)</f>
        <v>1</v>
      </c>
      <c r="AD928" s="3" t="str">
        <f ca="1">IFERROR(__xludf.DUMMYFUNCTION("""COMPUTED_VALUE"""),"early")</f>
        <v>early</v>
      </c>
      <c r="AE928" s="3" t="str">
        <f ca="1">IFERROR(__xludf.DUMMYFUNCTION("""COMPUTED_VALUE"""),"2055-06-03T16:21:39.953366Z")</f>
        <v>2055-06-03T16:21:39.953366Z</v>
      </c>
      <c r="AF928" s="3" t="str">
        <f ca="1">IFERROR(__xludf.DUMMYFUNCTION("""COMPUTED_VALUE"""),"2055-06-03T16:38:15.491442Z")</f>
        <v>2055-06-03T16:38:15.491442Z</v>
      </c>
      <c r="AG928" s="3" t="str">
        <f ca="1">IFERROR(__xludf.DUMMYFUNCTION("""COMPUTED_VALUE"""),"2055-06-03T16:03:47.254385Z")</f>
        <v>2055-06-03T16:03:47.254385Z</v>
      </c>
      <c r="AH928" s="3" t="str">
        <f ca="1">IFERROR(__xludf.DUMMYFUNCTION("""COMPUTED_VALUE"""),"2055-06-03T16:10:01.247394Z")</f>
        <v>2055-06-03T16:10:01.247394Z</v>
      </c>
      <c r="AI928" s="3">
        <f ca="1">IFERROR(__xludf.DUMMYFUNCTION("""COMPUTED_VALUE"""),4.62)</f>
        <v>4.62</v>
      </c>
      <c r="AJ928" s="3">
        <f ca="1">IFERROR(__xludf.DUMMYFUNCTION("""COMPUTED_VALUE"""),259)</f>
        <v>259</v>
      </c>
      <c r="AK928" s="3">
        <f ca="1">IFERROR(__xludf.DUMMYFUNCTION("""COMPUTED_VALUE"""),604)</f>
        <v>604</v>
      </c>
      <c r="AL928" s="3">
        <f ca="1">IFERROR(__xludf.DUMMYFUNCTION("""COMPUTED_VALUE"""),21)</f>
        <v>21</v>
      </c>
      <c r="AM928" s="3">
        <f>IFERROR(Raw_Data!AL928 / Raw_Data!AK928, "")</f>
        <v>3.4768211920529798E-2</v>
      </c>
      <c r="AN928" s="3" t="str">
        <f>IF(ISBLANK(Raw_Data!AL928), "No", "Yes")</f>
        <v>Yes</v>
      </c>
      <c r="AO928" s="3">
        <f>IFERROR(Raw_Data!Z928/60, "")</f>
        <v>11.633333333333333</v>
      </c>
    </row>
    <row r="929" spans="1:41" ht="13">
      <c r="A929" s="3">
        <f ca="1">IFERROR(__xludf.DUMMYFUNCTION("""COMPUTED_VALUE"""),359)</f>
        <v>359</v>
      </c>
      <c r="B929" s="3">
        <f ca="1">IFERROR(__xludf.DUMMYFUNCTION("""COMPUTED_VALUE"""),5)</f>
        <v>5</v>
      </c>
      <c r="C929" s="3">
        <f ca="1">IFERROR(__xludf.DUMMYFUNCTION("""COMPUTED_VALUE"""),4001)</f>
        <v>4001</v>
      </c>
      <c r="D929" s="3" t="str">
        <f ca="1">IFERROR(__xludf.DUMMYFUNCTION("""COMPUTED_VALUE"""),"Dashattan")</f>
        <v>Dashattan</v>
      </c>
      <c r="E929" s="3" t="str">
        <f ca="1">IFERROR(__xludf.DUMMYFUNCTION("""COMPUTED_VALUE"""),"Galaxy A")</f>
        <v>Galaxy A</v>
      </c>
      <c r="F929" s="3" t="str">
        <f ca="1">IFERROR(__xludf.DUMMYFUNCTION("""COMPUTED_VALUE"""),"KC")</f>
        <v>KC</v>
      </c>
      <c r="G929" s="3">
        <f ca="1">IFERROR(__xludf.DUMMYFUNCTION("""COMPUTED_VALUE"""),0)</f>
        <v>0</v>
      </c>
      <c r="H929" s="3" t="str">
        <f ca="1">IFERROR(__xludf.DUMMYFUNCTION("""COMPUTED_VALUE"""),"car")</f>
        <v>car</v>
      </c>
      <c r="I929" s="3" t="str">
        <f ca="1">IFERROR(__xludf.DUMMYFUNCTION("""COMPUTED_VALUE"""),"2055-06-03T23:06:44.76887Z")</f>
        <v>2055-06-03T23:06:44.76887Z</v>
      </c>
      <c r="J929" s="3" t="str">
        <f ca="1">IFERROR(__xludf.DUMMYFUNCTION("""COMPUTED_VALUE"""),"2055-06-04T00:05:01.828Z")</f>
        <v>2055-06-04T00:05:01.828Z</v>
      </c>
      <c r="K929" s="3" t="str">
        <f ca="1">IFERROR(__xludf.DUMMYFUNCTION("""COMPUTED_VALUE"""),"2055-06-03T23:46:08.828Z")</f>
        <v>2055-06-03T23:46:08.828Z</v>
      </c>
      <c r="L929" s="3">
        <f ca="1">IFERROR(__xludf.DUMMYFUNCTION("""COMPUTED_VALUE"""),1)</f>
        <v>1</v>
      </c>
      <c r="M929" s="3">
        <f ca="1">IFERROR(__xludf.DUMMYFUNCTION("""COMPUTED_VALUE"""),0)</f>
        <v>0</v>
      </c>
      <c r="N929" s="3" t="str">
        <f ca="1">IFERROR(__xludf.DUMMYFUNCTION("""COMPUTED_VALUE"""),"2055-06-03T23:28:21.10276Z")</f>
        <v>2055-06-03T23:28:21.10276Z</v>
      </c>
      <c r="O929" s="3" t="str">
        <f ca="1">IFERROR(__xludf.DUMMYFUNCTION("""COMPUTED_VALUE"""),"2055-06-03T23:43:00.671999Z")</f>
        <v>2055-06-03T23:43:00.671999Z</v>
      </c>
      <c r="P929" s="3" t="str">
        <f ca="1">IFERROR(__xludf.DUMMYFUNCTION("""COMPUTED_VALUE"""),"2055-06-03T23:12:15.44089Z")</f>
        <v>2055-06-03T23:12:15.44089Z</v>
      </c>
      <c r="Q929" s="3">
        <f ca="1">IFERROR(__xludf.DUMMYFUNCTION("""COMPUTED_VALUE"""),0)</f>
        <v>0</v>
      </c>
      <c r="R929" s="3" t="str">
        <f ca="1">IFERROR(__xludf.DUMMYFUNCTION("""COMPUTED_VALUE"""),"2055-06-03T23:12:26.425029Z")</f>
        <v>2055-06-03T23:12:26.425029Z</v>
      </c>
      <c r="S929" s="3" t="str">
        <f ca="1">IFERROR(__xludf.DUMMYFUNCTION("""COMPUTED_VALUE"""),"2055-06-03T23:25:23.072925Z")</f>
        <v>2055-06-03T23:25:23.072925Z</v>
      </c>
      <c r="T929" s="3"/>
      <c r="U929" s="4">
        <f ca="1">IFERROR(__xludf.DUMMYFUNCTION("""COMPUTED_VALUE"""),56768)</f>
        <v>56768</v>
      </c>
      <c r="V929" s="3">
        <f ca="1">IFERROR(__xludf.DUMMYFUNCTION("""COMPUTED_VALUE"""),4.405620607)</f>
        <v>4.4056206070000004</v>
      </c>
      <c r="W929" s="3">
        <f ca="1">IFERROR(__xludf.DUMMYFUNCTION("""COMPUTED_VALUE"""),1500)</f>
        <v>1500</v>
      </c>
      <c r="X929" s="3">
        <f ca="1">IFERROR(__xludf.DUMMYFUNCTION("""COMPUTED_VALUE"""),1834)</f>
        <v>1834</v>
      </c>
      <c r="Y929" s="3">
        <f ca="1">IFERROR(__xludf.DUMMYFUNCTION("""COMPUTED_VALUE"""),777)</f>
        <v>777</v>
      </c>
      <c r="Z929" s="3">
        <f ca="1">IFERROR(__xludf.DUMMYFUNCTION("""COMPUTED_VALUE"""),178)</f>
        <v>178</v>
      </c>
      <c r="AA929" s="3">
        <f ca="1">IFERROR(__xludf.DUMMYFUNCTION("""COMPUTED_VALUE"""),879)</f>
        <v>879</v>
      </c>
      <c r="AB929" s="3">
        <f ca="1">IFERROR(__xludf.DUMMYFUNCTION("""COMPUTED_VALUE"""),0)</f>
        <v>0</v>
      </c>
      <c r="AC929" s="3">
        <f ca="1">IFERROR(__xludf.DUMMYFUNCTION("""COMPUTED_VALUE"""),1)</f>
        <v>1</v>
      </c>
      <c r="AD929" s="3" t="str">
        <f ca="1">IFERROR(__xludf.DUMMYFUNCTION("""COMPUTED_VALUE"""),"on time")</f>
        <v>on time</v>
      </c>
      <c r="AE929" s="3" t="str">
        <f ca="1">IFERROR(__xludf.DUMMYFUNCTION("""COMPUTED_VALUE"""),"2055-06-03T19:28:21.10276Z")</f>
        <v>2055-06-03T19:28:21.10276Z</v>
      </c>
      <c r="AF929" s="3" t="str">
        <f ca="1">IFERROR(__xludf.DUMMYFUNCTION("""COMPUTED_VALUE"""),"2055-06-03T19:43:00.671999Z")</f>
        <v>2055-06-03T19:43:00.671999Z</v>
      </c>
      <c r="AG929" s="3" t="str">
        <f ca="1">IFERROR(__xludf.DUMMYFUNCTION("""COMPUTED_VALUE"""),"2055-06-03T19:12:15.44089Z")</f>
        <v>2055-06-03T19:12:15.44089Z</v>
      </c>
      <c r="AH929" s="3" t="str">
        <f ca="1">IFERROR(__xludf.DUMMYFUNCTION("""COMPUTED_VALUE"""),"2055-06-03T19:25:23.072925Z")</f>
        <v>2055-06-03T19:25:23.072925Z</v>
      </c>
      <c r="AI929" s="3">
        <f ca="1">IFERROR(__xludf.DUMMYFUNCTION("""COMPUTED_VALUE"""),4.54)</f>
        <v>4.54</v>
      </c>
      <c r="AJ929" s="3">
        <f ca="1">IFERROR(__xludf.DUMMYFUNCTION("""COMPUTED_VALUE"""),2229)</f>
        <v>2229</v>
      </c>
      <c r="AK929" s="3">
        <f ca="1">IFERROR(__xludf.DUMMYFUNCTION("""COMPUTED_VALUE"""),6580)</f>
        <v>6580</v>
      </c>
      <c r="AL929" s="3"/>
      <c r="AM929" s="3">
        <f>IFERROR(Raw_Data!AL929 / Raw_Data!AK929, "")</f>
        <v>0</v>
      </c>
      <c r="AN929" s="3" t="str">
        <f>IF(ISBLANK(Raw_Data!AL929), "No", "Yes")</f>
        <v>No</v>
      </c>
      <c r="AO929" s="3">
        <f>IFERROR(Raw_Data!Z929/60, "")</f>
        <v>2.9666666666666668</v>
      </c>
    </row>
    <row r="930" spans="1:41" ht="13">
      <c r="A930" s="3">
        <f ca="1">IFERROR(__xludf.DUMMYFUNCTION("""COMPUTED_VALUE"""),506)</f>
        <v>506</v>
      </c>
      <c r="B930" s="3">
        <f ca="1">IFERROR(__xludf.DUMMYFUNCTION("""COMPUTED_VALUE"""),5)</f>
        <v>5</v>
      </c>
      <c r="C930" s="3">
        <f ca="1">IFERROR(__xludf.DUMMYFUNCTION("""COMPUTED_VALUE"""),4001)</f>
        <v>4001</v>
      </c>
      <c r="D930" s="3" t="str">
        <f ca="1">IFERROR(__xludf.DUMMYFUNCTION("""COMPUTED_VALUE"""),"Dashattan")</f>
        <v>Dashattan</v>
      </c>
      <c r="E930" s="3" t="str">
        <f ca="1">IFERROR(__xludf.DUMMYFUNCTION("""COMPUTED_VALUE"""),"Galaxy A")</f>
        <v>Galaxy A</v>
      </c>
      <c r="F930" s="3" t="str">
        <f ca="1">IFERROR(__xludf.DUMMYFUNCTION("""COMPUTED_VALUE"""),"Arya")</f>
        <v>Arya</v>
      </c>
      <c r="G930" s="3">
        <f ca="1">IFERROR(__xludf.DUMMYFUNCTION("""COMPUTED_VALUE"""),0)</f>
        <v>0</v>
      </c>
      <c r="H930" s="3" t="str">
        <f ca="1">IFERROR(__xludf.DUMMYFUNCTION("""COMPUTED_VALUE"""),"bicycle")</f>
        <v>bicycle</v>
      </c>
      <c r="I930" s="3" t="str">
        <f ca="1">IFERROR(__xludf.DUMMYFUNCTION("""COMPUTED_VALUE"""),"2055-06-05T00:12:05.67402Z")</f>
        <v>2055-06-05T00:12:05.67402Z</v>
      </c>
      <c r="J930" s="3" t="str">
        <f ca="1">IFERROR(__xludf.DUMMYFUNCTION("""COMPUTED_VALUE"""),"2055-06-05T00:56:58.728Z")</f>
        <v>2055-06-05T00:56:58.728Z</v>
      </c>
      <c r="K930" s="3" t="str">
        <f ca="1">IFERROR(__xludf.DUMMYFUNCTION("""COMPUTED_VALUE"""),"2055-06-05T00:41:51.728Z")</f>
        <v>2055-06-05T00:41:51.728Z</v>
      </c>
      <c r="L930" s="3">
        <f ca="1">IFERROR(__xludf.DUMMYFUNCTION("""COMPUTED_VALUE"""),1)</f>
        <v>1</v>
      </c>
      <c r="M930" s="3">
        <f ca="1">IFERROR(__xludf.DUMMYFUNCTION("""COMPUTED_VALUE"""),0)</f>
        <v>0</v>
      </c>
      <c r="N930" s="3" t="str">
        <f ca="1">IFERROR(__xludf.DUMMYFUNCTION("""COMPUTED_VALUE"""),"2055-06-05T00:32:25.573998Z")</f>
        <v>2055-06-05T00:32:25.573998Z</v>
      </c>
      <c r="O930" s="3" t="str">
        <f ca="1">IFERROR(__xludf.DUMMYFUNCTION("""COMPUTED_VALUE"""),"2055-06-05T00:42:28.788591Z")</f>
        <v>2055-06-05T00:42:28.788591Z</v>
      </c>
      <c r="P930" s="3" t="str">
        <f ca="1">IFERROR(__xludf.DUMMYFUNCTION("""COMPUTED_VALUE"""),"2055-06-05T00:18:15.295377Z")</f>
        <v>2055-06-05T00:18:15.295377Z</v>
      </c>
      <c r="Q930" s="3">
        <f ca="1">IFERROR(__xludf.DUMMYFUNCTION("""COMPUTED_VALUE"""),0)</f>
        <v>0</v>
      </c>
      <c r="R930" s="3" t="str">
        <f ca="1">IFERROR(__xludf.DUMMYFUNCTION("""COMPUTED_VALUE"""),"2055-06-05T00:18:27.700357Z")</f>
        <v>2055-06-05T00:18:27.700357Z</v>
      </c>
      <c r="S930" s="3" t="str">
        <f ca="1">IFERROR(__xludf.DUMMYFUNCTION("""COMPUTED_VALUE"""),"2055-06-05T00:32:59.435318Z")</f>
        <v>2055-06-05T00:32:59.435318Z</v>
      </c>
      <c r="T930" s="3"/>
      <c r="U930" s="4">
        <f ca="1">IFERROR(__xludf.DUMMYFUNCTION("""COMPUTED_VALUE"""),56769)</f>
        <v>56769</v>
      </c>
      <c r="V930" s="3">
        <f ca="1">IFERROR(__xludf.DUMMYFUNCTION("""COMPUTED_VALUE"""),4.5)</f>
        <v>4.5</v>
      </c>
      <c r="W930" s="3">
        <f ca="1">IFERROR(__xludf.DUMMYFUNCTION("""COMPUTED_VALUE"""),1500)</f>
        <v>1500</v>
      </c>
      <c r="X930" s="3">
        <f ca="1">IFERROR(__xludf.DUMMYFUNCTION("""COMPUTED_VALUE"""),1441)</f>
        <v>1441</v>
      </c>
      <c r="Y930" s="3">
        <f ca="1">IFERROR(__xludf.DUMMYFUNCTION("""COMPUTED_VALUE"""),872)</f>
        <v>872</v>
      </c>
      <c r="Z930" s="3"/>
      <c r="AA930" s="3">
        <f ca="1">IFERROR(__xludf.DUMMYFUNCTION("""COMPUTED_VALUE"""),603)</f>
        <v>603</v>
      </c>
      <c r="AB930" s="3">
        <f ca="1">IFERROR(__xludf.DUMMYFUNCTION("""COMPUTED_VALUE"""),0)</f>
        <v>0</v>
      </c>
      <c r="AC930" s="3">
        <f ca="1">IFERROR(__xludf.DUMMYFUNCTION("""COMPUTED_VALUE"""),2)</f>
        <v>2</v>
      </c>
      <c r="AD930" s="3" t="str">
        <f ca="1">IFERROR(__xludf.DUMMYFUNCTION("""COMPUTED_VALUE"""),"late")</f>
        <v>late</v>
      </c>
      <c r="AE930" s="3" t="str">
        <f ca="1">IFERROR(__xludf.DUMMYFUNCTION("""COMPUTED_VALUE"""),"2055-06-04T20:32:25.573998Z")</f>
        <v>2055-06-04T20:32:25.573998Z</v>
      </c>
      <c r="AF930" s="3" t="str">
        <f ca="1">IFERROR(__xludf.DUMMYFUNCTION("""COMPUTED_VALUE"""),"2055-06-04T20:42:28.788591Z")</f>
        <v>2055-06-04T20:42:28.788591Z</v>
      </c>
      <c r="AG930" s="3" t="str">
        <f ca="1">IFERROR(__xludf.DUMMYFUNCTION("""COMPUTED_VALUE"""),"2055-06-04T20:18:15.295377Z")</f>
        <v>2055-06-04T20:18:15.295377Z</v>
      </c>
      <c r="AH930" s="3" t="str">
        <f ca="1">IFERROR(__xludf.DUMMYFUNCTION("""COMPUTED_VALUE"""),"2055-06-04T20:32:59.435318Z")</f>
        <v>2055-06-04T20:32:59.435318Z</v>
      </c>
      <c r="AI930" s="3">
        <f ca="1">IFERROR(__xludf.DUMMYFUNCTION("""COMPUTED_VALUE"""),4.17)</f>
        <v>4.17</v>
      </c>
      <c r="AJ930" s="3">
        <f ca="1">IFERROR(__xludf.DUMMYFUNCTION("""COMPUTED_VALUE"""),457)</f>
        <v>457</v>
      </c>
      <c r="AK930" s="3">
        <f ca="1">IFERROR(__xludf.DUMMYFUNCTION("""COMPUTED_VALUE"""),1599)</f>
        <v>1599</v>
      </c>
      <c r="AL930" s="3"/>
      <c r="AM930" s="3">
        <f>IFERROR(Raw_Data!AL930 / Raw_Data!AK930, "")</f>
        <v>0</v>
      </c>
      <c r="AN930" s="3" t="str">
        <f>IF(ISBLANK(Raw_Data!AL930), "No", "Yes")</f>
        <v>No</v>
      </c>
      <c r="AO930" s="3">
        <f>IFERROR(Raw_Data!Z930/60, "")</f>
        <v>0</v>
      </c>
    </row>
    <row r="931" spans="1:41" ht="13">
      <c r="A931" s="3">
        <f ca="1">IFERROR(__xludf.DUMMYFUNCTION("""COMPUTED_VALUE"""),853)</f>
        <v>853</v>
      </c>
      <c r="B931" s="3"/>
      <c r="C931" s="3">
        <f ca="1">IFERROR(__xludf.DUMMYFUNCTION("""COMPUTED_VALUE"""),4050)</f>
        <v>4050</v>
      </c>
      <c r="D931" s="3" t="str">
        <f ca="1">IFERROR(__xludf.DUMMYFUNCTION("""COMPUTED_VALUE"""),"Doorlanta")</f>
        <v>Doorlanta</v>
      </c>
      <c r="E931" s="3" t="str">
        <f ca="1">IFERROR(__xludf.DUMMYFUNCTION("""COMPUTED_VALUE"""),"Galaxy A")</f>
        <v>Galaxy A</v>
      </c>
      <c r="F931" s="3" t="str">
        <f ca="1">IFERROR(__xludf.DUMMYFUNCTION("""COMPUTED_VALUE"""),"Eliot")</f>
        <v>Eliot</v>
      </c>
      <c r="G931" s="3">
        <f ca="1">IFERROR(__xludf.DUMMYFUNCTION("""COMPUTED_VALUE"""),0)</f>
        <v>0</v>
      </c>
      <c r="H931" s="3" t="str">
        <f ca="1">IFERROR(__xludf.DUMMYFUNCTION("""COMPUTED_VALUE"""),"car")</f>
        <v>car</v>
      </c>
      <c r="I931" s="3" t="str">
        <f ca="1">IFERROR(__xludf.DUMMYFUNCTION("""COMPUTED_VALUE"""),"2055-06-07T17:27:00.734291Z")</f>
        <v>2055-06-07T17:27:00.734291Z</v>
      </c>
      <c r="J931" s="3" t="str">
        <f ca="1">IFERROR(__xludf.DUMMYFUNCTION("""COMPUTED_VALUE"""),"2055-06-07T18:23:12.805Z")</f>
        <v>2055-06-07T18:23:12.805Z</v>
      </c>
      <c r="K931" s="3" t="str">
        <f ca="1">IFERROR(__xludf.DUMMYFUNCTION("""COMPUTED_VALUE"""),"2055-06-07T18:03:05.805Z")</f>
        <v>2055-06-07T18:03:05.805Z</v>
      </c>
      <c r="L931" s="3">
        <f ca="1">IFERROR(__xludf.DUMMYFUNCTION("""COMPUTED_VALUE"""),1)</f>
        <v>1</v>
      </c>
      <c r="M931" s="3">
        <f ca="1">IFERROR(__xludf.DUMMYFUNCTION("""COMPUTED_VALUE"""),0)</f>
        <v>0</v>
      </c>
      <c r="N931" s="3" t="str">
        <f ca="1">IFERROR(__xludf.DUMMYFUNCTION("""COMPUTED_VALUE"""),"2055-06-07T17:41:13.322026Z")</f>
        <v>2055-06-07T17:41:13.322026Z</v>
      </c>
      <c r="O931" s="3" t="str">
        <f ca="1">IFERROR(__xludf.DUMMYFUNCTION("""COMPUTED_VALUE"""),"2055-06-07T17:56:38.530694Z")</f>
        <v>2055-06-07T17:56:38.530694Z</v>
      </c>
      <c r="P931" s="3" t="str">
        <f ca="1">IFERROR(__xludf.DUMMYFUNCTION("""COMPUTED_VALUE"""),"2055-06-07T17:27:07.293383Z")</f>
        <v>2055-06-07T17:27:07.293383Z</v>
      </c>
      <c r="Q931" s="3">
        <f ca="1">IFERROR(__xludf.DUMMYFUNCTION("""COMPUTED_VALUE"""),0)</f>
        <v>0</v>
      </c>
      <c r="R931" s="3" t="str">
        <f ca="1">IFERROR(__xludf.DUMMYFUNCTION("""COMPUTED_VALUE"""),"2055-06-07T17:27:15.834353Z")</f>
        <v>2055-06-07T17:27:15.834353Z</v>
      </c>
      <c r="S931" s="3" t="str">
        <f ca="1">IFERROR(__xludf.DUMMYFUNCTION("""COMPUTED_VALUE"""),"2055-06-07T17:33:58.957122Z")</f>
        <v>2055-06-07T17:33:58.957122Z</v>
      </c>
      <c r="T931" s="3"/>
      <c r="U931" s="4">
        <f ca="1">IFERROR(__xludf.DUMMYFUNCTION("""COMPUTED_VALUE"""),56772)</f>
        <v>56772</v>
      </c>
      <c r="V931" s="3">
        <f ca="1">IFERROR(__xludf.DUMMYFUNCTION("""COMPUTED_VALUE"""),4.3)</f>
        <v>4.3</v>
      </c>
      <c r="W931" s="3">
        <f ca="1">IFERROR(__xludf.DUMMYFUNCTION("""COMPUTED_VALUE"""),1500)</f>
        <v>1500</v>
      </c>
      <c r="X931" s="3">
        <f ca="1">IFERROR(__xludf.DUMMYFUNCTION("""COMPUTED_VALUE"""),1763)</f>
        <v>1763</v>
      </c>
      <c r="Y931" s="3">
        <f ca="1">IFERROR(__xludf.DUMMYFUNCTION("""COMPUTED_VALUE"""),403)</f>
        <v>403</v>
      </c>
      <c r="Z931" s="3">
        <f ca="1">IFERROR(__xludf.DUMMYFUNCTION("""COMPUTED_VALUE"""),435)</f>
        <v>435</v>
      </c>
      <c r="AA931" s="3">
        <f ca="1">IFERROR(__xludf.DUMMYFUNCTION("""COMPUTED_VALUE"""),925)</f>
        <v>925</v>
      </c>
      <c r="AB931" s="3">
        <f ca="1">IFERROR(__xludf.DUMMYFUNCTION("""COMPUTED_VALUE"""),0)</f>
        <v>0</v>
      </c>
      <c r="AC931" s="3">
        <f ca="1">IFERROR(__xludf.DUMMYFUNCTION("""COMPUTED_VALUE"""),1)</f>
        <v>1</v>
      </c>
      <c r="AD931" s="3" t="str">
        <f ca="1">IFERROR(__xludf.DUMMYFUNCTION("""COMPUTED_VALUE"""),"early")</f>
        <v>early</v>
      </c>
      <c r="AE931" s="3" t="str">
        <f ca="1">IFERROR(__xludf.DUMMYFUNCTION("""COMPUTED_VALUE"""),"2055-06-07T13:41:13.322026Z")</f>
        <v>2055-06-07T13:41:13.322026Z</v>
      </c>
      <c r="AF931" s="3" t="str">
        <f ca="1">IFERROR(__xludf.DUMMYFUNCTION("""COMPUTED_VALUE"""),"2055-06-07T13:56:38.530694Z")</f>
        <v>2055-06-07T13:56:38.530694Z</v>
      </c>
      <c r="AG931" s="3" t="str">
        <f ca="1">IFERROR(__xludf.DUMMYFUNCTION("""COMPUTED_VALUE"""),"2055-06-07T13:27:07.293383Z")</f>
        <v>2055-06-07T13:27:07.293383Z</v>
      </c>
      <c r="AH931" s="3" t="str">
        <f ca="1">IFERROR(__xludf.DUMMYFUNCTION("""COMPUTED_VALUE"""),"2055-06-07T13:33:58.957122Z")</f>
        <v>2055-06-07T13:33:58.957122Z</v>
      </c>
      <c r="AI931" s="3">
        <f ca="1">IFERROR(__xludf.DUMMYFUNCTION("""COMPUTED_VALUE"""),4.571428571)</f>
        <v>4.5714285710000002</v>
      </c>
      <c r="AJ931" s="3">
        <f ca="1">IFERROR(__xludf.DUMMYFUNCTION("""COMPUTED_VALUE"""),77)</f>
        <v>77</v>
      </c>
      <c r="AK931" s="3">
        <f ca="1">IFERROR(__xludf.DUMMYFUNCTION("""COMPUTED_VALUE"""),206)</f>
        <v>206</v>
      </c>
      <c r="AL931" s="3">
        <f ca="1">IFERROR(__xludf.DUMMYFUNCTION("""COMPUTED_VALUE"""),11)</f>
        <v>11</v>
      </c>
      <c r="AM931" s="3">
        <f>IFERROR(Raw_Data!AL931 / Raw_Data!AK931, "")</f>
        <v>5.3398058252427182E-2</v>
      </c>
      <c r="AN931" s="3" t="str">
        <f>IF(ISBLANK(Raw_Data!AL931), "No", "Yes")</f>
        <v>Yes</v>
      </c>
      <c r="AO931" s="3">
        <f>IFERROR(Raw_Data!Z931/60, "")</f>
        <v>7.25</v>
      </c>
    </row>
    <row r="932" spans="1:41" ht="13">
      <c r="A932" s="3">
        <f ca="1">IFERROR(__xludf.DUMMYFUNCTION("""COMPUTED_VALUE"""),854)</f>
        <v>854</v>
      </c>
      <c r="B932" s="3">
        <f ca="1">IFERROR(__xludf.DUMMYFUNCTION("""COMPUTED_VALUE"""),5)</f>
        <v>5</v>
      </c>
      <c r="C932" s="3">
        <f ca="1">IFERROR(__xludf.DUMMYFUNCTION("""COMPUTED_VALUE"""),4050)</f>
        <v>4050</v>
      </c>
      <c r="D932" s="3" t="str">
        <f ca="1">IFERROR(__xludf.DUMMYFUNCTION("""COMPUTED_VALUE"""),"Doorlanta")</f>
        <v>Doorlanta</v>
      </c>
      <c r="E932" s="3" t="str">
        <f ca="1">IFERROR(__xludf.DUMMYFUNCTION("""COMPUTED_VALUE"""),"Galaxy A")</f>
        <v>Galaxy A</v>
      </c>
      <c r="F932" s="3" t="str">
        <f ca="1">IFERROR(__xludf.DUMMYFUNCTION("""COMPUTED_VALUE"""),"Josh")</f>
        <v>Josh</v>
      </c>
      <c r="G932" s="3">
        <f ca="1">IFERROR(__xludf.DUMMYFUNCTION("""COMPUTED_VALUE"""),0)</f>
        <v>0</v>
      </c>
      <c r="H932" s="3" t="str">
        <f ca="1">IFERROR(__xludf.DUMMYFUNCTION("""COMPUTED_VALUE"""),"car")</f>
        <v>car</v>
      </c>
      <c r="I932" s="3" t="str">
        <f ca="1">IFERROR(__xludf.DUMMYFUNCTION("""COMPUTED_VALUE"""),"2055-06-07T17:37:15.177074Z")</f>
        <v>2055-06-07T17:37:15.177074Z</v>
      </c>
      <c r="J932" s="3" t="str">
        <f ca="1">IFERROR(__xludf.DUMMYFUNCTION("""COMPUTED_VALUE"""),"2055-06-07T18:40:17.27Z")</f>
        <v>2055-06-07T18:40:17.27Z</v>
      </c>
      <c r="K932" s="3" t="str">
        <f ca="1">IFERROR(__xludf.DUMMYFUNCTION("""COMPUTED_VALUE"""),"2055-06-07T18:20:10.27Z")</f>
        <v>2055-06-07T18:20:10.27Z</v>
      </c>
      <c r="L932" s="3">
        <f ca="1">IFERROR(__xludf.DUMMYFUNCTION("""COMPUTED_VALUE"""),1)</f>
        <v>1</v>
      </c>
      <c r="M932" s="3">
        <f ca="1">IFERROR(__xludf.DUMMYFUNCTION("""COMPUTED_VALUE"""),0)</f>
        <v>0</v>
      </c>
      <c r="N932" s="3" t="str">
        <f ca="1">IFERROR(__xludf.DUMMYFUNCTION("""COMPUTED_VALUE"""),"2055-06-07T17:53:43.966835Z")</f>
        <v>2055-06-07T17:53:43.966835Z</v>
      </c>
      <c r="O932" s="3" t="str">
        <f ca="1">IFERROR(__xludf.DUMMYFUNCTION("""COMPUTED_VALUE"""),"2055-06-07T18:10:36.629266Z")</f>
        <v>2055-06-07T18:10:36.629266Z</v>
      </c>
      <c r="P932" s="3" t="str">
        <f ca="1">IFERROR(__xludf.DUMMYFUNCTION("""COMPUTED_VALUE"""),"2055-06-07T17:37:27.33451Z")</f>
        <v>2055-06-07T17:37:27.33451Z</v>
      </c>
      <c r="Q932" s="3">
        <f ca="1">IFERROR(__xludf.DUMMYFUNCTION("""COMPUTED_VALUE"""),0)</f>
        <v>0</v>
      </c>
      <c r="R932" s="3" t="str">
        <f ca="1">IFERROR(__xludf.DUMMYFUNCTION("""COMPUTED_VALUE"""),"2055-06-07T17:37:35.159257Z")</f>
        <v>2055-06-07T17:37:35.159257Z</v>
      </c>
      <c r="S932" s="3"/>
      <c r="T932" s="3"/>
      <c r="U932" s="4">
        <f ca="1">IFERROR(__xludf.DUMMYFUNCTION("""COMPUTED_VALUE"""),56772)</f>
        <v>56772</v>
      </c>
      <c r="V932" s="3">
        <f ca="1">IFERROR(__xludf.DUMMYFUNCTION("""COMPUTED_VALUE"""),4.5)</f>
        <v>4.5</v>
      </c>
      <c r="W932" s="3">
        <f ca="1">IFERROR(__xludf.DUMMYFUNCTION("""COMPUTED_VALUE"""),1500)</f>
        <v>1500</v>
      </c>
      <c r="X932" s="3">
        <f ca="1">IFERROR(__xludf.DUMMYFUNCTION("""COMPUTED_VALUE"""),1981)</f>
        <v>1981</v>
      </c>
      <c r="Y932" s="3"/>
      <c r="Z932" s="3"/>
      <c r="AA932" s="3">
        <f ca="1">IFERROR(__xludf.DUMMYFUNCTION("""COMPUTED_VALUE"""),1013)</f>
        <v>1013</v>
      </c>
      <c r="AB932" s="3">
        <f ca="1">IFERROR(__xludf.DUMMYFUNCTION("""COMPUTED_VALUE"""),0)</f>
        <v>0</v>
      </c>
      <c r="AC932" s="3">
        <f ca="1">IFERROR(__xludf.DUMMYFUNCTION("""COMPUTED_VALUE"""),3)</f>
        <v>3</v>
      </c>
      <c r="AD932" s="3"/>
      <c r="AE932" s="3" t="str">
        <f ca="1">IFERROR(__xludf.DUMMYFUNCTION("""COMPUTED_VALUE"""),"2055-06-07T13:53:43.966835Z")</f>
        <v>2055-06-07T13:53:43.966835Z</v>
      </c>
      <c r="AF932" s="3" t="str">
        <f ca="1">IFERROR(__xludf.DUMMYFUNCTION("""COMPUTED_VALUE"""),"2055-06-07T14:10:36.629266Z")</f>
        <v>2055-06-07T14:10:36.629266Z</v>
      </c>
      <c r="AG932" s="3" t="str">
        <f ca="1">IFERROR(__xludf.DUMMYFUNCTION("""COMPUTED_VALUE"""),"2055-06-07T13:37:27.33451Z")</f>
        <v>2055-06-07T13:37:27.33451Z</v>
      </c>
      <c r="AH932" s="3"/>
      <c r="AI932" s="3">
        <f ca="1">IFERROR(__xludf.DUMMYFUNCTION("""COMPUTED_VALUE"""),4.77)</f>
        <v>4.7699999999999996</v>
      </c>
      <c r="AJ932" s="3">
        <f ca="1">IFERROR(__xludf.DUMMYFUNCTION("""COMPUTED_VALUE"""),426)</f>
        <v>426</v>
      </c>
      <c r="AK932" s="3">
        <f ca="1">IFERROR(__xludf.DUMMYFUNCTION("""COMPUTED_VALUE"""),1226)</f>
        <v>1226</v>
      </c>
      <c r="AL932" s="3">
        <f ca="1">IFERROR(__xludf.DUMMYFUNCTION("""COMPUTED_VALUE"""),85)</f>
        <v>85</v>
      </c>
      <c r="AM932" s="3">
        <f>IFERROR(Raw_Data!AL932 / Raw_Data!AK932, "")</f>
        <v>6.9331158238172916E-2</v>
      </c>
      <c r="AN932" s="3" t="str">
        <f>IF(ISBLANK(Raw_Data!AL932), "No", "Yes")</f>
        <v>Yes</v>
      </c>
      <c r="AO932" s="3">
        <f>IFERROR(Raw_Data!Z932/60, "")</f>
        <v>0</v>
      </c>
    </row>
    <row r="933" spans="1:41" ht="13">
      <c r="A933" s="3">
        <f ca="1">IFERROR(__xludf.DUMMYFUNCTION("""COMPUTED_VALUE"""),904)</f>
        <v>904</v>
      </c>
      <c r="B933" s="3"/>
      <c r="C933" s="3">
        <f ca="1">IFERROR(__xludf.DUMMYFUNCTION("""COMPUTED_VALUE"""),4050)</f>
        <v>4050</v>
      </c>
      <c r="D933" s="3" t="str">
        <f ca="1">IFERROR(__xludf.DUMMYFUNCTION("""COMPUTED_VALUE"""),"Doorlanta")</f>
        <v>Doorlanta</v>
      </c>
      <c r="E933" s="3" t="str">
        <f ca="1">IFERROR(__xludf.DUMMYFUNCTION("""COMPUTED_VALUE"""),"Galaxy A")</f>
        <v>Galaxy A</v>
      </c>
      <c r="F933" s="3" t="str">
        <f ca="1">IFERROR(__xludf.DUMMYFUNCTION("""COMPUTED_VALUE"""),"Lauran")</f>
        <v>Lauran</v>
      </c>
      <c r="G933" s="3">
        <f ca="1">IFERROR(__xludf.DUMMYFUNCTION("""COMPUTED_VALUE"""),0)</f>
        <v>0</v>
      </c>
      <c r="H933" s="3" t="str">
        <f ca="1">IFERROR(__xludf.DUMMYFUNCTION("""COMPUTED_VALUE"""),"motorcycle")</f>
        <v>motorcycle</v>
      </c>
      <c r="I933" s="3" t="str">
        <f ca="1">IFERROR(__xludf.DUMMYFUNCTION("""COMPUTED_VALUE"""),"2055-06-08T00:25:54.72112Z")</f>
        <v>2055-06-08T00:25:54.72112Z</v>
      </c>
      <c r="J933" s="3" t="str">
        <f ca="1">IFERROR(__xludf.DUMMYFUNCTION("""COMPUTED_VALUE"""),"2055-06-08T01:20:54.792Z")</f>
        <v>2055-06-08T01:20:54.792Z</v>
      </c>
      <c r="K933" s="3" t="str">
        <f ca="1">IFERROR(__xludf.DUMMYFUNCTION("""COMPUTED_VALUE"""),"2055-06-08T00:55:49.792Z")</f>
        <v>2055-06-08T00:55:49.792Z</v>
      </c>
      <c r="L933" s="3">
        <f ca="1">IFERROR(__xludf.DUMMYFUNCTION("""COMPUTED_VALUE"""),1)</f>
        <v>1</v>
      </c>
      <c r="M933" s="3">
        <f ca="1">IFERROR(__xludf.DUMMYFUNCTION("""COMPUTED_VALUE"""),0)</f>
        <v>0</v>
      </c>
      <c r="N933" s="3" t="str">
        <f ca="1">IFERROR(__xludf.DUMMYFUNCTION("""COMPUTED_VALUE"""),"2055-06-08T00:43:22.445574Z")</f>
        <v>2055-06-08T00:43:22.445574Z</v>
      </c>
      <c r="O933" s="3" t="str">
        <f ca="1">IFERROR(__xludf.DUMMYFUNCTION("""COMPUTED_VALUE"""),"2055-06-08T00:54:03.052328Z")</f>
        <v>2055-06-08T00:54:03.052328Z</v>
      </c>
      <c r="P933" s="3" t="str">
        <f ca="1">IFERROR(__xludf.DUMMYFUNCTION("""COMPUTED_VALUE"""),"2055-06-08T00:26:07.356086Z")</f>
        <v>2055-06-08T00:26:07.356086Z</v>
      </c>
      <c r="Q933" s="3">
        <f ca="1">IFERROR(__xludf.DUMMYFUNCTION("""COMPUTED_VALUE"""),0)</f>
        <v>0</v>
      </c>
      <c r="R933" s="3" t="str">
        <f ca="1">IFERROR(__xludf.DUMMYFUNCTION("""COMPUTED_VALUE"""),"2055-06-08T00:26:14.459415Z")</f>
        <v>2055-06-08T00:26:14.459415Z</v>
      </c>
      <c r="S933" s="3" t="str">
        <f ca="1">IFERROR(__xludf.DUMMYFUNCTION("""COMPUTED_VALUE"""),"2055-06-08T00:40:50.890904Z")</f>
        <v>2055-06-08T00:40:50.890904Z</v>
      </c>
      <c r="T933" s="3"/>
      <c r="U933" s="4">
        <f ca="1">IFERROR(__xludf.DUMMYFUNCTION("""COMPUTED_VALUE"""),56772)</f>
        <v>56772</v>
      </c>
      <c r="V933" s="3">
        <f ca="1">IFERROR(__xludf.DUMMYFUNCTION("""COMPUTED_VALUE"""),3.769433614)</f>
        <v>3.769433614</v>
      </c>
      <c r="W933" s="3">
        <f ca="1">IFERROR(__xludf.DUMMYFUNCTION("""COMPUTED_VALUE"""),1500)</f>
        <v>1500</v>
      </c>
      <c r="X933" s="3">
        <f ca="1">IFERROR(__xludf.DUMMYFUNCTION("""COMPUTED_VALUE"""),1669)</f>
        <v>1669</v>
      </c>
      <c r="Y933" s="3">
        <f ca="1">IFERROR(__xludf.DUMMYFUNCTION("""COMPUTED_VALUE"""),876)</f>
        <v>876</v>
      </c>
      <c r="Z933" s="3">
        <f ca="1">IFERROR(__xludf.DUMMYFUNCTION("""COMPUTED_VALUE"""),152)</f>
        <v>152</v>
      </c>
      <c r="AA933" s="3">
        <f ca="1">IFERROR(__xludf.DUMMYFUNCTION("""COMPUTED_VALUE"""),641)</f>
        <v>641</v>
      </c>
      <c r="AB933" s="3">
        <f ca="1">IFERROR(__xludf.DUMMYFUNCTION("""COMPUTED_VALUE"""),0)</f>
        <v>0</v>
      </c>
      <c r="AC933" s="3">
        <f ca="1">IFERROR(__xludf.DUMMYFUNCTION("""COMPUTED_VALUE"""),1)</f>
        <v>1</v>
      </c>
      <c r="AD933" s="3" t="str">
        <f ca="1">IFERROR(__xludf.DUMMYFUNCTION("""COMPUTED_VALUE"""),"late")</f>
        <v>late</v>
      </c>
      <c r="AE933" s="3" t="str">
        <f ca="1">IFERROR(__xludf.DUMMYFUNCTION("""COMPUTED_VALUE"""),"2055-06-07T20:43:22.445574Z")</f>
        <v>2055-06-07T20:43:22.445574Z</v>
      </c>
      <c r="AF933" s="3" t="str">
        <f ca="1">IFERROR(__xludf.DUMMYFUNCTION("""COMPUTED_VALUE"""),"2055-06-07T20:54:03.052328Z")</f>
        <v>2055-06-07T20:54:03.052328Z</v>
      </c>
      <c r="AG933" s="3" t="str">
        <f ca="1">IFERROR(__xludf.DUMMYFUNCTION("""COMPUTED_VALUE"""),"2055-06-07T20:26:07.356086Z")</f>
        <v>2055-06-07T20:26:07.356086Z</v>
      </c>
      <c r="AH933" s="3" t="str">
        <f ca="1">IFERROR(__xludf.DUMMYFUNCTION("""COMPUTED_VALUE"""),"2055-06-07T20:40:50.890904Z")</f>
        <v>2055-06-07T20:40:50.890904Z</v>
      </c>
      <c r="AI933" s="3">
        <f ca="1">IFERROR(__xludf.DUMMYFUNCTION("""COMPUTED_VALUE"""),4.42)</f>
        <v>4.42</v>
      </c>
      <c r="AJ933" s="3">
        <f ca="1">IFERROR(__xludf.DUMMYFUNCTION("""COMPUTED_VALUE"""),1396)</f>
        <v>1396</v>
      </c>
      <c r="AK933" s="3">
        <f ca="1">IFERROR(__xludf.DUMMYFUNCTION("""COMPUTED_VALUE"""),4836)</f>
        <v>4836</v>
      </c>
      <c r="AL933" s="3">
        <f ca="1">IFERROR(__xludf.DUMMYFUNCTION("""COMPUTED_VALUE"""),1278)</f>
        <v>1278</v>
      </c>
      <c r="AM933" s="3">
        <f>IFERROR(Raw_Data!AL933 / Raw_Data!AK933, "")</f>
        <v>0.26426799007444168</v>
      </c>
      <c r="AN933" s="3" t="str">
        <f>IF(ISBLANK(Raw_Data!AL933), "No", "Yes")</f>
        <v>Yes</v>
      </c>
      <c r="AO933" s="3">
        <f>IFERROR(Raw_Data!Z933/60, "")</f>
        <v>2.5333333333333332</v>
      </c>
    </row>
    <row r="934" spans="1:41" ht="13">
      <c r="A934" s="3">
        <f ca="1">IFERROR(__xludf.DUMMYFUNCTION("""COMPUTED_VALUE"""),940)</f>
        <v>940</v>
      </c>
      <c r="B934" s="3"/>
      <c r="C934" s="3">
        <f ca="1">IFERROR(__xludf.DUMMYFUNCTION("""COMPUTED_VALUE"""),4050)</f>
        <v>4050</v>
      </c>
      <c r="D934" s="3" t="str">
        <f ca="1">IFERROR(__xludf.DUMMYFUNCTION("""COMPUTED_VALUE"""),"Doorlanta")</f>
        <v>Doorlanta</v>
      </c>
      <c r="E934" s="3" t="str">
        <f ca="1">IFERROR(__xludf.DUMMYFUNCTION("""COMPUTED_VALUE"""),"Galaxy A")</f>
        <v>Galaxy A</v>
      </c>
      <c r="F934" s="3" t="str">
        <f ca="1">IFERROR(__xludf.DUMMYFUNCTION("""COMPUTED_VALUE"""),"Hanna")</f>
        <v>Hanna</v>
      </c>
      <c r="G934" s="3">
        <f ca="1">IFERROR(__xludf.DUMMYFUNCTION("""COMPUTED_VALUE"""),0)</f>
        <v>0</v>
      </c>
      <c r="H934" s="3" t="str">
        <f ca="1">IFERROR(__xludf.DUMMYFUNCTION("""COMPUTED_VALUE"""),"car")</f>
        <v>car</v>
      </c>
      <c r="I934" s="3" t="str">
        <f ca="1">IFERROR(__xludf.DUMMYFUNCTION("""COMPUTED_VALUE"""),"2055-06-08T16:10:13.780322Z")</f>
        <v>2055-06-08T16:10:13.780322Z</v>
      </c>
      <c r="J934" s="3" t="str">
        <f ca="1">IFERROR(__xludf.DUMMYFUNCTION("""COMPUTED_VALUE"""),"2055-06-08T17:09:16.878Z")</f>
        <v>2055-06-08T17:09:16.878Z</v>
      </c>
      <c r="K934" s="3" t="str">
        <f ca="1">IFERROR(__xludf.DUMMYFUNCTION("""COMPUTED_VALUE"""),"2055-06-08T16:52:22.878Z")</f>
        <v>2055-06-08T16:52:22.878Z</v>
      </c>
      <c r="L934" s="3">
        <f ca="1">IFERROR(__xludf.DUMMYFUNCTION("""COMPUTED_VALUE"""),1)</f>
        <v>1</v>
      </c>
      <c r="M934" s="3">
        <f ca="1">IFERROR(__xludf.DUMMYFUNCTION("""COMPUTED_VALUE"""),0)</f>
        <v>0</v>
      </c>
      <c r="N934" s="3" t="str">
        <f ca="1">IFERROR(__xludf.DUMMYFUNCTION("""COMPUTED_VALUE"""),"2055-06-08T16:47:50.775793Z")</f>
        <v>2055-06-08T16:47:50.775793Z</v>
      </c>
      <c r="O934" s="3" t="str">
        <f ca="1">IFERROR(__xludf.DUMMYFUNCTION("""COMPUTED_VALUE"""),"2055-06-08T17:00:00.413834Z")</f>
        <v>2055-06-08T17:00:00.413834Z</v>
      </c>
      <c r="P934" s="3" t="str">
        <f ca="1">IFERROR(__xludf.DUMMYFUNCTION("""COMPUTED_VALUE"""),"2055-06-08T16:19:27.413401Z")</f>
        <v>2055-06-08T16:19:27.413401Z</v>
      </c>
      <c r="Q934" s="3">
        <f ca="1">IFERROR(__xludf.DUMMYFUNCTION("""COMPUTED_VALUE"""),0)</f>
        <v>0</v>
      </c>
      <c r="R934" s="3" t="str">
        <f ca="1">IFERROR(__xludf.DUMMYFUNCTION("""COMPUTED_VALUE"""),"2055-06-08T16:19:35.749798Z")</f>
        <v>2055-06-08T16:19:35.749798Z</v>
      </c>
      <c r="S934" s="3" t="str">
        <f ca="1">IFERROR(__xludf.DUMMYFUNCTION("""COMPUTED_VALUE"""),"2055-06-08T16:27:15.365639Z")</f>
        <v>2055-06-08T16:27:15.365639Z</v>
      </c>
      <c r="T934" s="3"/>
      <c r="U934" s="4">
        <f ca="1">IFERROR(__xludf.DUMMYFUNCTION("""COMPUTED_VALUE"""),56773)</f>
        <v>56773</v>
      </c>
      <c r="V934" s="3">
        <f ca="1">IFERROR(__xludf.DUMMYFUNCTION("""COMPUTED_VALUE"""),3.212348895)</f>
        <v>3.2123488949999999</v>
      </c>
      <c r="W934" s="3">
        <f ca="1">IFERROR(__xludf.DUMMYFUNCTION("""COMPUTED_VALUE"""),1500)</f>
        <v>1500</v>
      </c>
      <c r="X934" s="3">
        <f ca="1">IFERROR(__xludf.DUMMYFUNCTION("""COMPUTED_VALUE"""),2425)</f>
        <v>2425</v>
      </c>
      <c r="Y934" s="3">
        <f ca="1">IFERROR(__xludf.DUMMYFUNCTION("""COMPUTED_VALUE"""),460)</f>
        <v>460</v>
      </c>
      <c r="Z934" s="3">
        <f ca="1">IFERROR(__xludf.DUMMYFUNCTION("""COMPUTED_VALUE"""),1235)</f>
        <v>1235</v>
      </c>
      <c r="AA934" s="3">
        <f ca="1">IFERROR(__xludf.DUMMYFUNCTION("""COMPUTED_VALUE"""),730)</f>
        <v>730</v>
      </c>
      <c r="AB934" s="3">
        <f ca="1">IFERROR(__xludf.DUMMYFUNCTION("""COMPUTED_VALUE"""),0)</f>
        <v>0</v>
      </c>
      <c r="AC934" s="3">
        <f ca="1">IFERROR(__xludf.DUMMYFUNCTION("""COMPUTED_VALUE"""),2)</f>
        <v>2</v>
      </c>
      <c r="AD934" s="3" t="str">
        <f ca="1">IFERROR(__xludf.DUMMYFUNCTION("""COMPUTED_VALUE"""),"early")</f>
        <v>early</v>
      </c>
      <c r="AE934" s="3" t="str">
        <f ca="1">IFERROR(__xludf.DUMMYFUNCTION("""COMPUTED_VALUE"""),"2055-06-08T12:47:50.775793Z")</f>
        <v>2055-06-08T12:47:50.775793Z</v>
      </c>
      <c r="AF934" s="3" t="str">
        <f ca="1">IFERROR(__xludf.DUMMYFUNCTION("""COMPUTED_VALUE"""),"2055-06-08T13:00:00.413834Z")</f>
        <v>2055-06-08T13:00:00.413834Z</v>
      </c>
      <c r="AG934" s="3" t="str">
        <f ca="1">IFERROR(__xludf.DUMMYFUNCTION("""COMPUTED_VALUE"""),"2055-06-08T12:19:27.413401Z")</f>
        <v>2055-06-08T12:19:27.413401Z</v>
      </c>
      <c r="AH934" s="3" t="str">
        <f ca="1">IFERROR(__xludf.DUMMYFUNCTION("""COMPUTED_VALUE"""),"2055-06-08T12:27:15.365639Z")</f>
        <v>2055-06-08T12:27:15.365639Z</v>
      </c>
      <c r="AI934" s="3">
        <f ca="1">IFERROR(__xludf.DUMMYFUNCTION("""COMPUTED_VALUE"""),4.79)</f>
        <v>4.79</v>
      </c>
      <c r="AJ934" s="3">
        <f ca="1">IFERROR(__xludf.DUMMYFUNCTION("""COMPUTED_VALUE"""),1007)</f>
        <v>1007</v>
      </c>
      <c r="AK934" s="3">
        <f ca="1">IFERROR(__xludf.DUMMYFUNCTION("""COMPUTED_VALUE"""),2899)</f>
        <v>2899</v>
      </c>
      <c r="AL934" s="3">
        <f ca="1">IFERROR(__xludf.DUMMYFUNCTION("""COMPUTED_VALUE"""),1301)</f>
        <v>1301</v>
      </c>
      <c r="AM934" s="3">
        <f>IFERROR(Raw_Data!AL934 / Raw_Data!AK934, "")</f>
        <v>0.44877543980682993</v>
      </c>
      <c r="AN934" s="3" t="str">
        <f>IF(ISBLANK(Raw_Data!AL934), "No", "Yes")</f>
        <v>Yes</v>
      </c>
      <c r="AO934" s="3">
        <f>IFERROR(Raw_Data!Z934/60, "")</f>
        <v>20.583333333333332</v>
      </c>
    </row>
    <row r="935" spans="1:41" ht="13">
      <c r="A935" s="3">
        <f ca="1">IFERROR(__xludf.DUMMYFUNCTION("""COMPUTED_VALUE"""),132)</f>
        <v>132</v>
      </c>
      <c r="B935" s="3">
        <f ca="1">IFERROR(__xludf.DUMMYFUNCTION("""COMPUTED_VALUE"""),5)</f>
        <v>5</v>
      </c>
      <c r="C935" s="3">
        <f ca="1">IFERROR(__xludf.DUMMYFUNCTION("""COMPUTED_VALUE"""),4001)</f>
        <v>4001</v>
      </c>
      <c r="D935" s="3" t="str">
        <f ca="1">IFERROR(__xludf.DUMMYFUNCTION("""COMPUTED_VALUE"""),"Dashattan")</f>
        <v>Dashattan</v>
      </c>
      <c r="E935" s="3" t="str">
        <f ca="1">IFERROR(__xludf.DUMMYFUNCTION("""COMPUTED_VALUE"""),"Galaxy A")</f>
        <v>Galaxy A</v>
      </c>
      <c r="F935" s="3" t="str">
        <f ca="1">IFERROR(__xludf.DUMMYFUNCTION("""COMPUTED_VALUE"""),"J")</f>
        <v>J</v>
      </c>
      <c r="G935" s="3">
        <f ca="1">IFERROR(__xludf.DUMMYFUNCTION("""COMPUTED_VALUE"""),0)</f>
        <v>0</v>
      </c>
      <c r="H935" s="3" t="str">
        <f ca="1">IFERROR(__xludf.DUMMYFUNCTION("""COMPUTED_VALUE"""),"bicycle")</f>
        <v>bicycle</v>
      </c>
      <c r="I935" s="3" t="str">
        <f ca="1">IFERROR(__xludf.DUMMYFUNCTION("""COMPUTED_VALUE"""),"2055-06-02T16:03:57.461436Z")</f>
        <v>2055-06-02T16:03:57.461436Z</v>
      </c>
      <c r="J935" s="3" t="str">
        <f ca="1">IFERROR(__xludf.DUMMYFUNCTION("""COMPUTED_VALUE"""),"2055-06-02T17:04:07.527Z")</f>
        <v>2055-06-02T17:04:07.527Z</v>
      </c>
      <c r="K935" s="3" t="str">
        <f ca="1">IFERROR(__xludf.DUMMYFUNCTION("""COMPUTED_VALUE"""),"2055-06-02T16:42:13.527Z")</f>
        <v>2055-06-02T16:42:13.527Z</v>
      </c>
      <c r="L935" s="3">
        <f ca="1">IFERROR(__xludf.DUMMYFUNCTION("""COMPUTED_VALUE"""),1)</f>
        <v>1</v>
      </c>
      <c r="M935" s="3">
        <f ca="1">IFERROR(__xludf.DUMMYFUNCTION("""COMPUTED_VALUE"""),0)</f>
        <v>0</v>
      </c>
      <c r="N935" s="3" t="str">
        <f ca="1">IFERROR(__xludf.DUMMYFUNCTION("""COMPUTED_VALUE"""),"2055-06-02T16:24:19.644312Z")</f>
        <v>2055-06-02T16:24:19.644312Z</v>
      </c>
      <c r="O935" s="3" t="str">
        <f ca="1">IFERROR(__xludf.DUMMYFUNCTION("""COMPUTED_VALUE"""),"2055-06-02T16:36:16.876938Z")</f>
        <v>2055-06-02T16:36:16.876938Z</v>
      </c>
      <c r="P935" s="3" t="str">
        <f ca="1">IFERROR(__xludf.DUMMYFUNCTION("""COMPUTED_VALUE"""),"2055-06-02T16:04:34.856403Z")</f>
        <v>2055-06-02T16:04:34.856403Z</v>
      </c>
      <c r="Q935" s="3">
        <f ca="1">IFERROR(__xludf.DUMMYFUNCTION("""COMPUTED_VALUE"""),0)</f>
        <v>0</v>
      </c>
      <c r="R935" s="3" t="str">
        <f ca="1">IFERROR(__xludf.DUMMYFUNCTION("""COMPUTED_VALUE"""),"2055-06-02T16:04:45.048369Z")</f>
        <v>2055-06-02T16:04:45.048369Z</v>
      </c>
      <c r="S935" s="3" t="str">
        <f ca="1">IFERROR(__xludf.DUMMYFUNCTION("""COMPUTED_VALUE"""),"2055-06-02T16:22:45.631731Z")</f>
        <v>2055-06-02T16:22:45.631731Z</v>
      </c>
      <c r="T935" s="3"/>
      <c r="U935" s="4">
        <f ca="1">IFERROR(__xludf.DUMMYFUNCTION("""COMPUTED_VALUE"""),56767)</f>
        <v>56767</v>
      </c>
      <c r="V935" s="3">
        <f ca="1">IFERROR(__xludf.DUMMYFUNCTION("""COMPUTED_VALUE"""),4.3)</f>
        <v>4.3</v>
      </c>
      <c r="W935" s="3">
        <f ca="1">IFERROR(__xludf.DUMMYFUNCTION("""COMPUTED_VALUE"""),1500)</f>
        <v>1500</v>
      </c>
      <c r="X935" s="3">
        <f ca="1">IFERROR(__xludf.DUMMYFUNCTION("""COMPUTED_VALUE"""),1891)</f>
        <v>1891</v>
      </c>
      <c r="Y935" s="3">
        <f ca="1">IFERROR(__xludf.DUMMYFUNCTION("""COMPUTED_VALUE"""),1080)</f>
        <v>1080</v>
      </c>
      <c r="Z935" s="3">
        <f ca="1">IFERROR(__xludf.DUMMYFUNCTION("""COMPUTED_VALUE"""),94)</f>
        <v>94</v>
      </c>
      <c r="AA935" s="3">
        <f ca="1">IFERROR(__xludf.DUMMYFUNCTION("""COMPUTED_VALUE"""),717)</f>
        <v>717</v>
      </c>
      <c r="AB935" s="3">
        <f ca="1">IFERROR(__xludf.DUMMYFUNCTION("""COMPUTED_VALUE"""),0)</f>
        <v>0</v>
      </c>
      <c r="AC935" s="3">
        <f ca="1">IFERROR(__xludf.DUMMYFUNCTION("""COMPUTED_VALUE"""),4)</f>
        <v>4</v>
      </c>
      <c r="AD935" s="3" t="str">
        <f ca="1">IFERROR(__xludf.DUMMYFUNCTION("""COMPUTED_VALUE"""),"on time")</f>
        <v>on time</v>
      </c>
      <c r="AE935" s="3" t="str">
        <f ca="1">IFERROR(__xludf.DUMMYFUNCTION("""COMPUTED_VALUE"""),"2055-06-02T12:24:19.644312Z")</f>
        <v>2055-06-02T12:24:19.644312Z</v>
      </c>
      <c r="AF935" s="3" t="str">
        <f ca="1">IFERROR(__xludf.DUMMYFUNCTION("""COMPUTED_VALUE"""),"2055-06-02T12:36:16.876938Z")</f>
        <v>2055-06-02T12:36:16.876938Z</v>
      </c>
      <c r="AG935" s="3" t="str">
        <f ca="1">IFERROR(__xludf.DUMMYFUNCTION("""COMPUTED_VALUE"""),"2055-06-02T12:04:34.856403Z")</f>
        <v>2055-06-02T12:04:34.856403Z</v>
      </c>
      <c r="AH935" s="3" t="str">
        <f ca="1">IFERROR(__xludf.DUMMYFUNCTION("""COMPUTED_VALUE"""),"2055-06-02T12:22:45.631731Z")</f>
        <v>2055-06-02T12:22:45.631731Z</v>
      </c>
      <c r="AI935" s="3">
        <f ca="1">IFERROR(__xludf.DUMMYFUNCTION("""COMPUTED_VALUE"""),4.6)</f>
        <v>4.5999999999999996</v>
      </c>
      <c r="AJ935" s="3">
        <f ca="1">IFERROR(__xludf.DUMMYFUNCTION("""COMPUTED_VALUE"""),292)</f>
        <v>292</v>
      </c>
      <c r="AK935" s="3">
        <f ca="1">IFERROR(__xludf.DUMMYFUNCTION("""COMPUTED_VALUE"""),1027)</f>
        <v>1027</v>
      </c>
      <c r="AL935" s="3">
        <f ca="1">IFERROR(__xludf.DUMMYFUNCTION("""COMPUTED_VALUE"""),26)</f>
        <v>26</v>
      </c>
      <c r="AM935" s="3">
        <f>IFERROR(Raw_Data!AL935 / Raw_Data!AK935, "")</f>
        <v>2.5316455696202531E-2</v>
      </c>
      <c r="AN935" s="3" t="str">
        <f>IF(ISBLANK(Raw_Data!AL935), "No", "Yes")</f>
        <v>Yes</v>
      </c>
      <c r="AO935" s="3">
        <f>IFERROR(Raw_Data!Z935/60, "")</f>
        <v>1.5666666666666667</v>
      </c>
    </row>
    <row r="936" spans="1:41" ht="13">
      <c r="A936" s="3">
        <f ca="1">IFERROR(__xludf.DUMMYFUNCTION("""COMPUTED_VALUE"""),406)</f>
        <v>406</v>
      </c>
      <c r="B936" s="3">
        <f ca="1">IFERROR(__xludf.DUMMYFUNCTION("""COMPUTED_VALUE"""),5)</f>
        <v>5</v>
      </c>
      <c r="C936" s="3">
        <f ca="1">IFERROR(__xludf.DUMMYFUNCTION("""COMPUTED_VALUE"""),4050)</f>
        <v>4050</v>
      </c>
      <c r="D936" s="3" t="str">
        <f ca="1">IFERROR(__xludf.DUMMYFUNCTION("""COMPUTED_VALUE"""),"Doorlanta")</f>
        <v>Doorlanta</v>
      </c>
      <c r="E936" s="3" t="str">
        <f ca="1">IFERROR(__xludf.DUMMYFUNCTION("""COMPUTED_VALUE"""),"Galaxy A")</f>
        <v>Galaxy A</v>
      </c>
      <c r="F936" s="3" t="str">
        <f ca="1">IFERROR(__xludf.DUMMYFUNCTION("""COMPUTED_VALUE"""),"Cate")</f>
        <v>Cate</v>
      </c>
      <c r="G936" s="3">
        <f ca="1">IFERROR(__xludf.DUMMYFUNCTION("""COMPUTED_VALUE"""),0)</f>
        <v>0</v>
      </c>
      <c r="H936" s="3" t="str">
        <f ca="1">IFERROR(__xludf.DUMMYFUNCTION("""COMPUTED_VALUE"""),"car")</f>
        <v>car</v>
      </c>
      <c r="I936" s="3" t="str">
        <f ca="1">IFERROR(__xludf.DUMMYFUNCTION("""COMPUTED_VALUE"""),"2055-06-04T15:42:55.07822Z")</f>
        <v>2055-06-04T15:42:55.07822Z</v>
      </c>
      <c r="J936" s="3" t="str">
        <f ca="1">IFERROR(__xludf.DUMMYFUNCTION("""COMPUTED_VALUE"""),"2055-06-04T16:37:55.138Z")</f>
        <v>2055-06-04T16:37:55.138Z</v>
      </c>
      <c r="K936" s="3" t="str">
        <f ca="1">IFERROR(__xludf.DUMMYFUNCTION("""COMPUTED_VALUE"""),"2055-06-04T16:11:59.138Z")</f>
        <v>2055-06-04T16:11:59.138Z</v>
      </c>
      <c r="L936" s="3">
        <f ca="1">IFERROR(__xludf.DUMMYFUNCTION("""COMPUTED_VALUE"""),1)</f>
        <v>1</v>
      </c>
      <c r="M936" s="3">
        <f ca="1">IFERROR(__xludf.DUMMYFUNCTION("""COMPUTED_VALUE"""),0)</f>
        <v>0</v>
      </c>
      <c r="N936" s="3" t="str">
        <f ca="1">IFERROR(__xludf.DUMMYFUNCTION("""COMPUTED_VALUE"""),"2055-06-04T16:01:37.78387Z")</f>
        <v>2055-06-04T16:01:37.78387Z</v>
      </c>
      <c r="O936" s="3" t="str">
        <f ca="1">IFERROR(__xludf.DUMMYFUNCTION("""COMPUTED_VALUE"""),"2055-06-04T16:10:41.864798Z")</f>
        <v>2055-06-04T16:10:41.864798Z</v>
      </c>
      <c r="P936" s="3" t="str">
        <f ca="1">IFERROR(__xludf.DUMMYFUNCTION("""COMPUTED_VALUE"""),"2055-06-04T15:43:07.289705Z")</f>
        <v>2055-06-04T15:43:07.289705Z</v>
      </c>
      <c r="Q936" s="3">
        <f ca="1">IFERROR(__xludf.DUMMYFUNCTION("""COMPUTED_VALUE"""),0)</f>
        <v>0</v>
      </c>
      <c r="R936" s="3" t="str">
        <f ca="1">IFERROR(__xludf.DUMMYFUNCTION("""COMPUTED_VALUE"""),"2055-06-04T15:43:15.311133Z")</f>
        <v>2055-06-04T15:43:15.311133Z</v>
      </c>
      <c r="S936" s="3"/>
      <c r="T936" s="3"/>
      <c r="U936" s="4">
        <f ca="1">IFERROR(__xludf.DUMMYFUNCTION("""COMPUTED_VALUE"""),56769)</f>
        <v>56769</v>
      </c>
      <c r="V936" s="3">
        <f ca="1">IFERROR(__xludf.DUMMYFUNCTION("""COMPUTED_VALUE"""),4.5)</f>
        <v>4.5</v>
      </c>
      <c r="W936" s="3">
        <f ca="1">IFERROR(__xludf.DUMMYFUNCTION("""COMPUTED_VALUE"""),1500)</f>
        <v>1500</v>
      </c>
      <c r="X936" s="3">
        <f ca="1">IFERROR(__xludf.DUMMYFUNCTION("""COMPUTED_VALUE"""),1646)</f>
        <v>1646</v>
      </c>
      <c r="Y936" s="3"/>
      <c r="Z936" s="3"/>
      <c r="AA936" s="3">
        <f ca="1">IFERROR(__xludf.DUMMYFUNCTION("""COMPUTED_VALUE"""),544)</f>
        <v>544</v>
      </c>
      <c r="AB936" s="3">
        <f ca="1">IFERROR(__xludf.DUMMYFUNCTION("""COMPUTED_VALUE"""),0)</f>
        <v>0</v>
      </c>
      <c r="AC936" s="3">
        <f ca="1">IFERROR(__xludf.DUMMYFUNCTION("""COMPUTED_VALUE"""),1)</f>
        <v>1</v>
      </c>
      <c r="AD936" s="3"/>
      <c r="AE936" s="3" t="str">
        <f ca="1">IFERROR(__xludf.DUMMYFUNCTION("""COMPUTED_VALUE"""),"2055-06-04T12:01:37.78387Z")</f>
        <v>2055-06-04T12:01:37.78387Z</v>
      </c>
      <c r="AF936" s="3" t="str">
        <f ca="1">IFERROR(__xludf.DUMMYFUNCTION("""COMPUTED_VALUE"""),"2055-06-04T12:10:41.864798Z")</f>
        <v>2055-06-04T12:10:41.864798Z</v>
      </c>
      <c r="AG936" s="3" t="str">
        <f ca="1">IFERROR(__xludf.DUMMYFUNCTION("""COMPUTED_VALUE"""),"2055-06-04T11:43:07.289705Z")</f>
        <v>2055-06-04T11:43:07.289705Z</v>
      </c>
      <c r="AH936" s="3"/>
      <c r="AI936" s="3">
        <f ca="1">IFERROR(__xludf.DUMMYFUNCTION("""COMPUTED_VALUE"""),4.49)</f>
        <v>4.49</v>
      </c>
      <c r="AJ936" s="3">
        <f ca="1">IFERROR(__xludf.DUMMYFUNCTION("""COMPUTED_VALUE"""),2315)</f>
        <v>2315</v>
      </c>
      <c r="AK936" s="3">
        <f ca="1">IFERROR(__xludf.DUMMYFUNCTION("""COMPUTED_VALUE"""),7039)</f>
        <v>7039</v>
      </c>
      <c r="AL936" s="3">
        <f ca="1">IFERROR(__xludf.DUMMYFUNCTION("""COMPUTED_VALUE"""),763)</f>
        <v>763</v>
      </c>
      <c r="AM936" s="3">
        <f>IFERROR(Raw_Data!AL936 / Raw_Data!AK936, "")</f>
        <v>0.10839607898849268</v>
      </c>
      <c r="AN936" s="3" t="str">
        <f>IF(ISBLANK(Raw_Data!AL936), "No", "Yes")</f>
        <v>Yes</v>
      </c>
      <c r="AO936" s="3">
        <f>IFERROR(Raw_Data!Z936/60, "")</f>
        <v>0</v>
      </c>
    </row>
    <row r="937" spans="1:41" ht="13">
      <c r="A937" s="3">
        <f ca="1">IFERROR(__xludf.DUMMYFUNCTION("""COMPUTED_VALUE"""),1146)</f>
        <v>1146</v>
      </c>
      <c r="B937" s="3">
        <f ca="1">IFERROR(__xludf.DUMMYFUNCTION("""COMPUTED_VALUE"""),5)</f>
        <v>5</v>
      </c>
      <c r="C937" s="3">
        <f ca="1">IFERROR(__xludf.DUMMYFUNCTION("""COMPUTED_VALUE"""),4001)</f>
        <v>4001</v>
      </c>
      <c r="D937" s="3" t="str">
        <f ca="1">IFERROR(__xludf.DUMMYFUNCTION("""COMPUTED_VALUE"""),"Dashattan")</f>
        <v>Dashattan</v>
      </c>
      <c r="E937" s="3" t="str">
        <f ca="1">IFERROR(__xludf.DUMMYFUNCTION("""COMPUTED_VALUE"""),"Galaxy A")</f>
        <v>Galaxy A</v>
      </c>
      <c r="F937" s="3" t="str">
        <f ca="1">IFERROR(__xludf.DUMMYFUNCTION("""COMPUTED_VALUE"""),"Barry")</f>
        <v>Barry</v>
      </c>
      <c r="G937" s="3">
        <f ca="1">IFERROR(__xludf.DUMMYFUNCTION("""COMPUTED_VALUE"""),0)</f>
        <v>0</v>
      </c>
      <c r="H937" s="3" t="str">
        <f ca="1">IFERROR(__xludf.DUMMYFUNCTION("""COMPUTED_VALUE"""),"bicycle")</f>
        <v>bicycle</v>
      </c>
      <c r="I937" s="3" t="str">
        <f ca="1">IFERROR(__xludf.DUMMYFUNCTION("""COMPUTED_VALUE"""),"2055-06-10T17:23:54.259351Z")</f>
        <v>2055-06-10T17:23:54.259351Z</v>
      </c>
      <c r="J937" s="3" t="str">
        <f ca="1">IFERROR(__xludf.DUMMYFUNCTION("""COMPUTED_VALUE"""),"2055-06-10T18:34:30.328Z")</f>
        <v>2055-06-10T18:34:30.328Z</v>
      </c>
      <c r="K937" s="3" t="str">
        <f ca="1">IFERROR(__xludf.DUMMYFUNCTION("""COMPUTED_VALUE"""),"2055-06-10T18:14:51.328Z")</f>
        <v>2055-06-10T18:14:51.328Z</v>
      </c>
      <c r="L937" s="3">
        <f ca="1">IFERROR(__xludf.DUMMYFUNCTION("""COMPUTED_VALUE"""),1)</f>
        <v>1</v>
      </c>
      <c r="M937" s="3">
        <f ca="1">IFERROR(__xludf.DUMMYFUNCTION("""COMPUTED_VALUE"""),0)</f>
        <v>0</v>
      </c>
      <c r="N937" s="3" t="str">
        <f ca="1">IFERROR(__xludf.DUMMYFUNCTION("""COMPUTED_VALUE"""),"2055-06-10T17:55:20.658061Z")</f>
        <v>2055-06-10T17:55:20.658061Z</v>
      </c>
      <c r="O937" s="3" t="str">
        <f ca="1">IFERROR(__xludf.DUMMYFUNCTION("""COMPUTED_VALUE"""),"2055-06-10T18:11:48.164365Z")</f>
        <v>2055-06-10T18:11:48.164365Z</v>
      </c>
      <c r="P937" s="3" t="str">
        <f ca="1">IFERROR(__xludf.DUMMYFUNCTION("""COMPUTED_VALUE"""),"2055-06-10T17:28:34.326713Z")</f>
        <v>2055-06-10T17:28:34.326713Z</v>
      </c>
      <c r="Q937" s="3">
        <f ca="1">IFERROR(__xludf.DUMMYFUNCTION("""COMPUTED_VALUE"""),0)</f>
        <v>0</v>
      </c>
      <c r="R937" s="3" t="str">
        <f ca="1">IFERROR(__xludf.DUMMYFUNCTION("""COMPUTED_VALUE"""),"2055-06-10T17:28:43.919091Z")</f>
        <v>2055-06-10T17:28:43.919091Z</v>
      </c>
      <c r="S937" s="3" t="str">
        <f ca="1">IFERROR(__xludf.DUMMYFUNCTION("""COMPUTED_VALUE"""),"2055-06-10T17:50:26.562705Z")</f>
        <v>2055-06-10T17:50:26.562705Z</v>
      </c>
      <c r="T937" s="3"/>
      <c r="U937" s="4">
        <f ca="1">IFERROR(__xludf.DUMMYFUNCTION("""COMPUTED_VALUE"""),56775)</f>
        <v>56775</v>
      </c>
      <c r="V937" s="3">
        <f ca="1">IFERROR(__xludf.DUMMYFUNCTION("""COMPUTED_VALUE"""),4.4)</f>
        <v>4.4000000000000004</v>
      </c>
      <c r="W937" s="3">
        <f ca="1">IFERROR(__xludf.DUMMYFUNCTION("""COMPUTED_VALUE"""),1500)</f>
        <v>1500</v>
      </c>
      <c r="X937" s="3">
        <f ca="1">IFERROR(__xludf.DUMMYFUNCTION("""COMPUTED_VALUE"""),2585)</f>
        <v>2585</v>
      </c>
      <c r="Y937" s="3">
        <f ca="1">IFERROR(__xludf.DUMMYFUNCTION("""COMPUTED_VALUE"""),1303)</f>
        <v>1303</v>
      </c>
      <c r="Z937" s="3">
        <f ca="1">IFERROR(__xludf.DUMMYFUNCTION("""COMPUTED_VALUE"""),294)</f>
        <v>294</v>
      </c>
      <c r="AA937" s="3">
        <f ca="1">IFERROR(__xludf.DUMMYFUNCTION("""COMPUTED_VALUE"""),988)</f>
        <v>988</v>
      </c>
      <c r="AB937" s="3">
        <f ca="1">IFERROR(__xludf.DUMMYFUNCTION("""COMPUTED_VALUE"""),0)</f>
        <v>0</v>
      </c>
      <c r="AC937" s="3">
        <f ca="1">IFERROR(__xludf.DUMMYFUNCTION("""COMPUTED_VALUE"""),4)</f>
        <v>4</v>
      </c>
      <c r="AD937" s="3" t="str">
        <f ca="1">IFERROR(__xludf.DUMMYFUNCTION("""COMPUTED_VALUE"""),"early")</f>
        <v>early</v>
      </c>
      <c r="AE937" s="3" t="str">
        <f ca="1">IFERROR(__xludf.DUMMYFUNCTION("""COMPUTED_VALUE"""),"2055-06-10T13:55:20.658061Z")</f>
        <v>2055-06-10T13:55:20.658061Z</v>
      </c>
      <c r="AF937" s="3" t="str">
        <f ca="1">IFERROR(__xludf.DUMMYFUNCTION("""COMPUTED_VALUE"""),"2055-06-10T14:11:48.164365Z")</f>
        <v>2055-06-10T14:11:48.164365Z</v>
      </c>
      <c r="AG937" s="3" t="str">
        <f ca="1">IFERROR(__xludf.DUMMYFUNCTION("""COMPUTED_VALUE"""),"2055-06-10T13:28:34.326713Z")</f>
        <v>2055-06-10T13:28:34.326713Z</v>
      </c>
      <c r="AH937" s="3" t="str">
        <f ca="1">IFERROR(__xludf.DUMMYFUNCTION("""COMPUTED_VALUE"""),"2055-06-10T13:50:26.562705Z")</f>
        <v>2055-06-10T13:50:26.562705Z</v>
      </c>
      <c r="AI937" s="3">
        <f ca="1">IFERROR(__xludf.DUMMYFUNCTION("""COMPUTED_VALUE"""),4.72)</f>
        <v>4.72</v>
      </c>
      <c r="AJ937" s="3">
        <f ca="1">IFERROR(__xludf.DUMMYFUNCTION("""COMPUTED_VALUE"""),141)</f>
        <v>141</v>
      </c>
      <c r="AK937" s="3">
        <f ca="1">IFERROR(__xludf.DUMMYFUNCTION("""COMPUTED_VALUE"""),418)</f>
        <v>418</v>
      </c>
      <c r="AL937" s="3">
        <f ca="1">IFERROR(__xludf.DUMMYFUNCTION("""COMPUTED_VALUE"""),90)</f>
        <v>90</v>
      </c>
      <c r="AM937" s="3">
        <f>IFERROR(Raw_Data!AL937 / Raw_Data!AK937, "")</f>
        <v>0.21531100478468901</v>
      </c>
      <c r="AN937" s="3" t="str">
        <f>IF(ISBLANK(Raw_Data!AL937), "No", "Yes")</f>
        <v>Yes</v>
      </c>
      <c r="AO937" s="3">
        <f>IFERROR(Raw_Data!Z937/60, "")</f>
        <v>4.9000000000000004</v>
      </c>
    </row>
    <row r="938" spans="1:41" ht="13">
      <c r="A938" s="3">
        <f ca="1">IFERROR(__xludf.DUMMYFUNCTION("""COMPUTED_VALUE"""),1098)</f>
        <v>1098</v>
      </c>
      <c r="B938" s="3">
        <f ca="1">IFERROR(__xludf.DUMMYFUNCTION("""COMPUTED_VALUE"""),5)</f>
        <v>5</v>
      </c>
      <c r="C938" s="3">
        <f ca="1">IFERROR(__xludf.DUMMYFUNCTION("""COMPUTED_VALUE"""),4001)</f>
        <v>4001</v>
      </c>
      <c r="D938" s="3" t="str">
        <f ca="1">IFERROR(__xludf.DUMMYFUNCTION("""COMPUTED_VALUE"""),"Dashattan")</f>
        <v>Dashattan</v>
      </c>
      <c r="E938" s="3" t="str">
        <f ca="1">IFERROR(__xludf.DUMMYFUNCTION("""COMPUTED_VALUE"""),"Galaxy A")</f>
        <v>Galaxy A</v>
      </c>
      <c r="F938" s="3" t="str">
        <f ca="1">IFERROR(__xludf.DUMMYFUNCTION("""COMPUTED_VALUE"""),"Rojan")</f>
        <v>Rojan</v>
      </c>
      <c r="G938" s="3">
        <f ca="1">IFERROR(__xludf.DUMMYFUNCTION("""COMPUTED_VALUE"""),0)</f>
        <v>0</v>
      </c>
      <c r="H938" s="3" t="str">
        <f ca="1">IFERROR(__xludf.DUMMYFUNCTION("""COMPUTED_VALUE"""),"bicycle")</f>
        <v>bicycle</v>
      </c>
      <c r="I938" s="3" t="str">
        <f ca="1">IFERROR(__xludf.DUMMYFUNCTION("""COMPUTED_VALUE"""),"2055-06-10T00:36:30.004748Z")</f>
        <v>2055-06-10T00:36:30.004748Z</v>
      </c>
      <c r="J938" s="3" t="str">
        <f ca="1">IFERROR(__xludf.DUMMYFUNCTION("""COMPUTED_VALUE"""),"2055-06-10T01:36:42.054Z")</f>
        <v>2055-06-10T01:36:42.054Z</v>
      </c>
      <c r="K938" s="3" t="str">
        <f ca="1">IFERROR(__xludf.DUMMYFUNCTION("""COMPUTED_VALUE"""),"2055-06-10T01:13:24.054Z")</f>
        <v>2055-06-10T01:13:24.054Z</v>
      </c>
      <c r="L938" s="3">
        <f ca="1">IFERROR(__xludf.DUMMYFUNCTION("""COMPUTED_VALUE"""),1)</f>
        <v>1</v>
      </c>
      <c r="M938" s="3">
        <f ca="1">IFERROR(__xludf.DUMMYFUNCTION("""COMPUTED_VALUE"""),0)</f>
        <v>0</v>
      </c>
      <c r="N938" s="3" t="str">
        <f ca="1">IFERROR(__xludf.DUMMYFUNCTION("""COMPUTED_VALUE"""),"2055-06-10T00:56:13.546407Z")</f>
        <v>2055-06-10T00:56:13.546407Z</v>
      </c>
      <c r="O938" s="3" t="str">
        <f ca="1">IFERROR(__xludf.DUMMYFUNCTION("""COMPUTED_VALUE"""),"2055-06-10T01:04:28.640291Z")</f>
        <v>2055-06-10T01:04:28.640291Z</v>
      </c>
      <c r="P938" s="3" t="str">
        <f ca="1">IFERROR(__xludf.DUMMYFUNCTION("""COMPUTED_VALUE"""),"2055-06-10T00:46:15.203091Z")</f>
        <v>2055-06-10T00:46:15.203091Z</v>
      </c>
      <c r="Q938" s="3">
        <f ca="1">IFERROR(__xludf.DUMMYFUNCTION("""COMPUTED_VALUE"""),0)</f>
        <v>0</v>
      </c>
      <c r="R938" s="3" t="str">
        <f ca="1">IFERROR(__xludf.DUMMYFUNCTION("""COMPUTED_VALUE"""),"2055-06-10T00:46:34.657983Z")</f>
        <v>2055-06-10T00:46:34.657983Z</v>
      </c>
      <c r="S938" s="3" t="str">
        <f ca="1">IFERROR(__xludf.DUMMYFUNCTION("""COMPUTED_VALUE"""),"2055-06-10T00:55:53.655414Z")</f>
        <v>2055-06-10T00:55:53.655414Z</v>
      </c>
      <c r="T938" s="3"/>
      <c r="U938" s="4">
        <f ca="1">IFERROR(__xludf.DUMMYFUNCTION("""COMPUTED_VALUE"""),56774)</f>
        <v>56774</v>
      </c>
      <c r="V938" s="3">
        <f ca="1">IFERROR(__xludf.DUMMYFUNCTION("""COMPUTED_VALUE"""),3.379793039)</f>
        <v>3.3797930389999999</v>
      </c>
      <c r="W938" s="3">
        <f ca="1">IFERROR(__xludf.DUMMYFUNCTION("""COMPUTED_VALUE"""),1500)</f>
        <v>1500</v>
      </c>
      <c r="X938" s="3">
        <f ca="1">IFERROR(__xludf.DUMMYFUNCTION("""COMPUTED_VALUE"""),1074)</f>
        <v>1074</v>
      </c>
      <c r="Y938" s="3">
        <f ca="1">IFERROR(__xludf.DUMMYFUNCTION("""COMPUTED_VALUE"""),559)</f>
        <v>559</v>
      </c>
      <c r="Z938" s="3">
        <f ca="1">IFERROR(__xludf.DUMMYFUNCTION("""COMPUTED_VALUE"""),20)</f>
        <v>20</v>
      </c>
      <c r="AA938" s="3">
        <f ca="1">IFERROR(__xludf.DUMMYFUNCTION("""COMPUTED_VALUE"""),495)</f>
        <v>495</v>
      </c>
      <c r="AB938" s="3">
        <f ca="1">IFERROR(__xludf.DUMMYFUNCTION("""COMPUTED_VALUE"""),0)</f>
        <v>0</v>
      </c>
      <c r="AC938" s="3">
        <f ca="1">IFERROR(__xludf.DUMMYFUNCTION("""COMPUTED_VALUE"""),1)</f>
        <v>1</v>
      </c>
      <c r="AD938" s="3" t="str">
        <f ca="1">IFERROR(__xludf.DUMMYFUNCTION("""COMPUTED_VALUE"""),"late")</f>
        <v>late</v>
      </c>
      <c r="AE938" s="3" t="str">
        <f ca="1">IFERROR(__xludf.DUMMYFUNCTION("""COMPUTED_VALUE"""),"2055-06-09T20:56:13.546407Z")</f>
        <v>2055-06-09T20:56:13.546407Z</v>
      </c>
      <c r="AF938" s="3" t="str">
        <f ca="1">IFERROR(__xludf.DUMMYFUNCTION("""COMPUTED_VALUE"""),"2055-06-09T21:04:28.640291Z")</f>
        <v>2055-06-09T21:04:28.640291Z</v>
      </c>
      <c r="AG938" s="3" t="str">
        <f ca="1">IFERROR(__xludf.DUMMYFUNCTION("""COMPUTED_VALUE"""),"2055-06-09T20:46:15.203091Z")</f>
        <v>2055-06-09T20:46:15.203091Z</v>
      </c>
      <c r="AH938" s="3" t="str">
        <f ca="1">IFERROR(__xludf.DUMMYFUNCTION("""COMPUTED_VALUE"""),"2055-06-09T20:55:53.655414Z")</f>
        <v>2055-06-09T20:55:53.655414Z</v>
      </c>
      <c r="AI938" s="3">
        <f ca="1">IFERROR(__xludf.DUMMYFUNCTION("""COMPUTED_VALUE"""),4.58)</f>
        <v>4.58</v>
      </c>
      <c r="AJ938" s="3">
        <f ca="1">IFERROR(__xludf.DUMMYFUNCTION("""COMPUTED_VALUE"""),254)</f>
        <v>254</v>
      </c>
      <c r="AK938" s="3">
        <f ca="1">IFERROR(__xludf.DUMMYFUNCTION("""COMPUTED_VALUE"""),788)</f>
        <v>788</v>
      </c>
      <c r="AL938" s="3">
        <f ca="1">IFERROR(__xludf.DUMMYFUNCTION("""COMPUTED_VALUE"""),9)</f>
        <v>9</v>
      </c>
      <c r="AM938" s="3">
        <f>IFERROR(Raw_Data!AL938 / Raw_Data!AK938, "")</f>
        <v>1.1421319796954314E-2</v>
      </c>
      <c r="AN938" s="3" t="str">
        <f>IF(ISBLANK(Raw_Data!AL938), "No", "Yes")</f>
        <v>Yes</v>
      </c>
      <c r="AO938" s="3">
        <f>IFERROR(Raw_Data!Z938/60, "")</f>
        <v>0.33333333333333331</v>
      </c>
    </row>
    <row r="939" spans="1:41" ht="13">
      <c r="A939" s="3">
        <f ca="1">IFERROR(__xludf.DUMMYFUNCTION("""COMPUTED_VALUE"""),609)</f>
        <v>609</v>
      </c>
      <c r="B939" s="3"/>
      <c r="C939" s="3">
        <f ca="1">IFERROR(__xludf.DUMMYFUNCTION("""COMPUTED_VALUE"""),4050)</f>
        <v>4050</v>
      </c>
      <c r="D939" s="3" t="str">
        <f ca="1">IFERROR(__xludf.DUMMYFUNCTION("""COMPUTED_VALUE"""),"Doorlanta")</f>
        <v>Doorlanta</v>
      </c>
      <c r="E939" s="3" t="str">
        <f ca="1">IFERROR(__xludf.DUMMYFUNCTION("""COMPUTED_VALUE"""),"Galaxy A")</f>
        <v>Galaxy A</v>
      </c>
      <c r="F939" s="3" t="str">
        <f ca="1">IFERROR(__xludf.DUMMYFUNCTION("""COMPUTED_VALUE"""),"Anisha")</f>
        <v>Anisha</v>
      </c>
      <c r="G939" s="3">
        <f ca="1">IFERROR(__xludf.DUMMYFUNCTION("""COMPUTED_VALUE"""),0)</f>
        <v>0</v>
      </c>
      <c r="H939" s="3" t="str">
        <f ca="1">IFERROR(__xludf.DUMMYFUNCTION("""COMPUTED_VALUE"""),"car")</f>
        <v>car</v>
      </c>
      <c r="I939" s="3" t="str">
        <f ca="1">IFERROR(__xludf.DUMMYFUNCTION("""COMPUTED_VALUE"""),"2055-06-05T20:21:42.849002Z")</f>
        <v>2055-06-05T20:21:42.849002Z</v>
      </c>
      <c r="J939" s="3" t="str">
        <f ca="1">IFERROR(__xludf.DUMMYFUNCTION("""COMPUTED_VALUE"""),"2055-06-05T21:20:47.925Z")</f>
        <v>2055-06-05T21:20:47.925Z</v>
      </c>
      <c r="K939" s="3" t="str">
        <f ca="1">IFERROR(__xludf.DUMMYFUNCTION("""COMPUTED_VALUE"""),"2055-06-05T21:00:40.925Z")</f>
        <v>2055-06-05T21:00:40.925Z</v>
      </c>
      <c r="L939" s="3">
        <f ca="1">IFERROR(__xludf.DUMMYFUNCTION("""COMPUTED_VALUE"""),1)</f>
        <v>1</v>
      </c>
      <c r="M939" s="3">
        <f ca="1">IFERROR(__xludf.DUMMYFUNCTION("""COMPUTED_VALUE"""),0)</f>
        <v>0</v>
      </c>
      <c r="N939" s="3" t="str">
        <f ca="1">IFERROR(__xludf.DUMMYFUNCTION("""COMPUTED_VALUE"""),"2055-06-05T20:39:51.51345Z")</f>
        <v>2055-06-05T20:39:51.51345Z</v>
      </c>
      <c r="O939" s="3" t="str">
        <f ca="1">IFERROR(__xludf.DUMMYFUNCTION("""COMPUTED_VALUE"""),"2055-06-05T20:58:38.874539Z")</f>
        <v>2055-06-05T20:58:38.874539Z</v>
      </c>
      <c r="P939" s="3" t="str">
        <f ca="1">IFERROR(__xludf.DUMMYFUNCTION("""COMPUTED_VALUE"""),"2055-06-05T20:21:47.289969Z")</f>
        <v>2055-06-05T20:21:47.289969Z</v>
      </c>
      <c r="Q939" s="3">
        <f ca="1">IFERROR(__xludf.DUMMYFUNCTION("""COMPUTED_VALUE"""),0)</f>
        <v>0</v>
      </c>
      <c r="R939" s="3" t="str">
        <f ca="1">IFERROR(__xludf.DUMMYFUNCTION("""COMPUTED_VALUE"""),"2055-06-05T20:22:05.830604Z")</f>
        <v>2055-06-05T20:22:05.830604Z</v>
      </c>
      <c r="S939" s="3" t="str">
        <f ca="1">IFERROR(__xludf.DUMMYFUNCTION("""COMPUTED_VALUE"""),"2055-06-05T20:35:28.132758Z")</f>
        <v>2055-06-05T20:35:28.132758Z</v>
      </c>
      <c r="T939" s="3"/>
      <c r="U939" s="4">
        <f ca="1">IFERROR(__xludf.DUMMYFUNCTION("""COMPUTED_VALUE"""),56770)</f>
        <v>56770</v>
      </c>
      <c r="V939" s="3">
        <f ca="1">IFERROR(__xludf.DUMMYFUNCTION("""COMPUTED_VALUE"""),4.7)</f>
        <v>4.7</v>
      </c>
      <c r="W939" s="3">
        <f ca="1">IFERROR(__xludf.DUMMYFUNCTION("""COMPUTED_VALUE"""),1500)</f>
        <v>1500</v>
      </c>
      <c r="X939" s="3">
        <f ca="1">IFERROR(__xludf.DUMMYFUNCTION("""COMPUTED_VALUE"""),2193)</f>
        <v>2193</v>
      </c>
      <c r="Y939" s="3">
        <f ca="1">IFERROR(__xludf.DUMMYFUNCTION("""COMPUTED_VALUE"""),803)</f>
        <v>803</v>
      </c>
      <c r="Z939" s="3">
        <f ca="1">IFERROR(__xludf.DUMMYFUNCTION("""COMPUTED_VALUE"""),263)</f>
        <v>263</v>
      </c>
      <c r="AA939" s="3">
        <f ca="1">IFERROR(__xludf.DUMMYFUNCTION("""COMPUTED_VALUE"""),1127)</f>
        <v>1127</v>
      </c>
      <c r="AB939" s="3">
        <f ca="1">IFERROR(__xludf.DUMMYFUNCTION("""COMPUTED_VALUE"""),1)</f>
        <v>1</v>
      </c>
      <c r="AC939" s="3">
        <f ca="1">IFERROR(__xludf.DUMMYFUNCTION("""COMPUTED_VALUE"""),2)</f>
        <v>2</v>
      </c>
      <c r="AD939" s="3"/>
      <c r="AE939" s="3" t="str">
        <f ca="1">IFERROR(__xludf.DUMMYFUNCTION("""COMPUTED_VALUE"""),"2055-06-05T16:39:51.51345Z")</f>
        <v>2055-06-05T16:39:51.51345Z</v>
      </c>
      <c r="AF939" s="3" t="str">
        <f ca="1">IFERROR(__xludf.DUMMYFUNCTION("""COMPUTED_VALUE"""),"2055-06-05T16:58:38.874539Z")</f>
        <v>2055-06-05T16:58:38.874539Z</v>
      </c>
      <c r="AG939" s="3" t="str">
        <f ca="1">IFERROR(__xludf.DUMMYFUNCTION("""COMPUTED_VALUE"""),"2055-06-05T16:21:47.289969Z")</f>
        <v>2055-06-05T16:21:47.289969Z</v>
      </c>
      <c r="AH939" s="3" t="str">
        <f ca="1">IFERROR(__xludf.DUMMYFUNCTION("""COMPUTED_VALUE"""),"2055-06-05T16:35:28.132758Z")</f>
        <v>2055-06-05T16:35:28.132758Z</v>
      </c>
      <c r="AI939" s="3">
        <f ca="1">IFERROR(__xludf.DUMMYFUNCTION("""COMPUTED_VALUE"""),4.7)</f>
        <v>4.7</v>
      </c>
      <c r="AJ939" s="3">
        <f ca="1">IFERROR(__xludf.DUMMYFUNCTION("""COMPUTED_VALUE"""),272)</f>
        <v>272</v>
      </c>
      <c r="AK939" s="3">
        <f ca="1">IFERROR(__xludf.DUMMYFUNCTION("""COMPUTED_VALUE"""),931)</f>
        <v>931</v>
      </c>
      <c r="AL939" s="3">
        <f ca="1">IFERROR(__xludf.DUMMYFUNCTION("""COMPUTED_VALUE"""),144)</f>
        <v>144</v>
      </c>
      <c r="AM939" s="3">
        <f>IFERROR(Raw_Data!AL939 / Raw_Data!AK939, "")</f>
        <v>0.15467239527389903</v>
      </c>
      <c r="AN939" s="3" t="str">
        <f>IF(ISBLANK(Raw_Data!AL939), "No", "Yes")</f>
        <v>Yes</v>
      </c>
      <c r="AO939" s="3">
        <f>IFERROR(Raw_Data!Z939/60, "")</f>
        <v>4.3833333333333337</v>
      </c>
    </row>
    <row r="940" spans="1:41" ht="13">
      <c r="A940" s="3">
        <f ca="1">IFERROR(__xludf.DUMMYFUNCTION("""COMPUTED_VALUE"""),601)</f>
        <v>601</v>
      </c>
      <c r="B940" s="3">
        <f ca="1">IFERROR(__xludf.DUMMYFUNCTION("""COMPUTED_VALUE"""),5)</f>
        <v>5</v>
      </c>
      <c r="C940" s="3">
        <f ca="1">IFERROR(__xludf.DUMMYFUNCTION("""COMPUTED_VALUE"""),4001)</f>
        <v>4001</v>
      </c>
      <c r="D940" s="3" t="str">
        <f ca="1">IFERROR(__xludf.DUMMYFUNCTION("""COMPUTED_VALUE"""),"Dashattan")</f>
        <v>Dashattan</v>
      </c>
      <c r="E940" s="3" t="str">
        <f ca="1">IFERROR(__xludf.DUMMYFUNCTION("""COMPUTED_VALUE"""),"Galaxy A")</f>
        <v>Galaxy A</v>
      </c>
      <c r="F940" s="3" t="str">
        <f ca="1">IFERROR(__xludf.DUMMYFUNCTION("""COMPUTED_VALUE"""),"KC")</f>
        <v>KC</v>
      </c>
      <c r="G940" s="3">
        <f ca="1">IFERROR(__xludf.DUMMYFUNCTION("""COMPUTED_VALUE"""),0)</f>
        <v>0</v>
      </c>
      <c r="H940" s="3" t="str">
        <f ca="1">IFERROR(__xludf.DUMMYFUNCTION("""COMPUTED_VALUE"""),"car")</f>
        <v>car</v>
      </c>
      <c r="I940" s="3" t="str">
        <f ca="1">IFERROR(__xludf.DUMMYFUNCTION("""COMPUTED_VALUE"""),"2055-06-05T19:52:39.767576Z")</f>
        <v>2055-06-05T19:52:39.767576Z</v>
      </c>
      <c r="J940" s="3" t="str">
        <f ca="1">IFERROR(__xludf.DUMMYFUNCTION("""COMPUTED_VALUE"""),"2055-06-05T20:55:01.828Z")</f>
        <v>2055-06-05T20:55:01.828Z</v>
      </c>
      <c r="K940" s="3" t="str">
        <f ca="1">IFERROR(__xludf.DUMMYFUNCTION("""COMPUTED_VALUE"""),"2055-06-05T20:36:08.828Z")</f>
        <v>2055-06-05T20:36:08.828Z</v>
      </c>
      <c r="L940" s="3">
        <f ca="1">IFERROR(__xludf.DUMMYFUNCTION("""COMPUTED_VALUE"""),1)</f>
        <v>1</v>
      </c>
      <c r="M940" s="3">
        <f ca="1">IFERROR(__xludf.DUMMYFUNCTION("""COMPUTED_VALUE"""),0)</f>
        <v>0</v>
      </c>
      <c r="N940" s="3" t="str">
        <f ca="1">IFERROR(__xludf.DUMMYFUNCTION("""COMPUTED_VALUE"""),"2055-06-05T20:28:38.416864Z")</f>
        <v>2055-06-05T20:28:38.416864Z</v>
      </c>
      <c r="O940" s="3" t="str">
        <f ca="1">IFERROR(__xludf.DUMMYFUNCTION("""COMPUTED_VALUE"""),"2055-06-05T20:40:47.684163Z")</f>
        <v>2055-06-05T20:40:47.684163Z</v>
      </c>
      <c r="P940" s="3" t="str">
        <f ca="1">IFERROR(__xludf.DUMMYFUNCTION("""COMPUTED_VALUE"""),"2055-06-05T19:55:14.371339Z")</f>
        <v>2055-06-05T19:55:14.371339Z</v>
      </c>
      <c r="Q940" s="3">
        <f ca="1">IFERROR(__xludf.DUMMYFUNCTION("""COMPUTED_VALUE"""),0)</f>
        <v>0</v>
      </c>
      <c r="R940" s="3" t="str">
        <f ca="1">IFERROR(__xludf.DUMMYFUNCTION("""COMPUTED_VALUE"""),"2055-06-05T19:55:24.271015Z")</f>
        <v>2055-06-05T19:55:24.271015Z</v>
      </c>
      <c r="S940" s="3" t="str">
        <f ca="1">IFERROR(__xludf.DUMMYFUNCTION("""COMPUTED_VALUE"""),"2055-06-05T20:06:57.103714Z")</f>
        <v>2055-06-05T20:06:57.103714Z</v>
      </c>
      <c r="T940" s="3"/>
      <c r="U940" s="4">
        <f ca="1">IFERROR(__xludf.DUMMYFUNCTION("""COMPUTED_VALUE"""),56770)</f>
        <v>56770</v>
      </c>
      <c r="V940" s="3">
        <f ca="1">IFERROR(__xludf.DUMMYFUNCTION("""COMPUTED_VALUE"""),4.3)</f>
        <v>4.3</v>
      </c>
      <c r="W940" s="3">
        <f ca="1">IFERROR(__xludf.DUMMYFUNCTION("""COMPUTED_VALUE"""),1500)</f>
        <v>1500</v>
      </c>
      <c r="X940" s="3">
        <f ca="1">IFERROR(__xludf.DUMMYFUNCTION("""COMPUTED_VALUE"""),2723)</f>
        <v>2723</v>
      </c>
      <c r="Y940" s="3">
        <f ca="1">IFERROR(__xludf.DUMMYFUNCTION("""COMPUTED_VALUE"""),693)</f>
        <v>693</v>
      </c>
      <c r="Z940" s="3">
        <f ca="1">IFERROR(__xludf.DUMMYFUNCTION("""COMPUTED_VALUE"""),1301)</f>
        <v>1301</v>
      </c>
      <c r="AA940" s="3">
        <f ca="1">IFERROR(__xludf.DUMMYFUNCTION("""COMPUTED_VALUE"""),729)</f>
        <v>729</v>
      </c>
      <c r="AB940" s="3">
        <f ca="1">IFERROR(__xludf.DUMMYFUNCTION("""COMPUTED_VALUE"""),0)</f>
        <v>0</v>
      </c>
      <c r="AC940" s="3">
        <f ca="1">IFERROR(__xludf.DUMMYFUNCTION("""COMPUTED_VALUE"""),3)</f>
        <v>3</v>
      </c>
      <c r="AD940" s="3" t="str">
        <f ca="1">IFERROR(__xludf.DUMMYFUNCTION("""COMPUTED_VALUE"""),"early")</f>
        <v>early</v>
      </c>
      <c r="AE940" s="3" t="str">
        <f ca="1">IFERROR(__xludf.DUMMYFUNCTION("""COMPUTED_VALUE"""),"2055-06-05T16:28:38.416864Z")</f>
        <v>2055-06-05T16:28:38.416864Z</v>
      </c>
      <c r="AF940" s="3" t="str">
        <f ca="1">IFERROR(__xludf.DUMMYFUNCTION("""COMPUTED_VALUE"""),"2055-06-05T16:40:47.684163Z")</f>
        <v>2055-06-05T16:40:47.684163Z</v>
      </c>
      <c r="AG940" s="3" t="str">
        <f ca="1">IFERROR(__xludf.DUMMYFUNCTION("""COMPUTED_VALUE"""),"2055-06-05T15:55:14.371339Z")</f>
        <v>2055-06-05T15:55:14.371339Z</v>
      </c>
      <c r="AH940" s="3" t="str">
        <f ca="1">IFERROR(__xludf.DUMMYFUNCTION("""COMPUTED_VALUE"""),"2055-06-05T16:06:57.103714Z")</f>
        <v>2055-06-05T16:06:57.103714Z</v>
      </c>
      <c r="AI940" s="3">
        <f ca="1">IFERROR(__xludf.DUMMYFUNCTION("""COMPUTED_VALUE"""),4.54)</f>
        <v>4.54</v>
      </c>
      <c r="AJ940" s="3">
        <f ca="1">IFERROR(__xludf.DUMMYFUNCTION("""COMPUTED_VALUE"""),2229)</f>
        <v>2229</v>
      </c>
      <c r="AK940" s="3">
        <f ca="1">IFERROR(__xludf.DUMMYFUNCTION("""COMPUTED_VALUE"""),6580)</f>
        <v>6580</v>
      </c>
      <c r="AL940" s="3"/>
      <c r="AM940" s="3">
        <f>IFERROR(Raw_Data!AL940 / Raw_Data!AK940, "")</f>
        <v>0</v>
      </c>
      <c r="AN940" s="3" t="str">
        <f>IF(ISBLANK(Raw_Data!AL940), "No", "Yes")</f>
        <v>No</v>
      </c>
      <c r="AO940" s="3">
        <f>IFERROR(Raw_Data!Z940/60, "")</f>
        <v>21.683333333333334</v>
      </c>
    </row>
    <row r="941" spans="1:41" ht="13">
      <c r="A941" s="3">
        <f ca="1">IFERROR(__xludf.DUMMYFUNCTION("""COMPUTED_VALUE"""),155)</f>
        <v>155</v>
      </c>
      <c r="B941" s="3"/>
      <c r="C941" s="3">
        <f ca="1">IFERROR(__xludf.DUMMYFUNCTION("""COMPUTED_VALUE"""),4050)</f>
        <v>4050</v>
      </c>
      <c r="D941" s="3" t="str">
        <f ca="1">IFERROR(__xludf.DUMMYFUNCTION("""COMPUTED_VALUE"""),"Doorlanta")</f>
        <v>Doorlanta</v>
      </c>
      <c r="E941" s="3" t="str">
        <f ca="1">IFERROR(__xludf.DUMMYFUNCTION("""COMPUTED_VALUE"""),"Galaxy A")</f>
        <v>Galaxy A</v>
      </c>
      <c r="F941" s="3" t="str">
        <f ca="1">IFERROR(__xludf.DUMMYFUNCTION("""COMPUTED_VALUE"""),"Elon")</f>
        <v>Elon</v>
      </c>
      <c r="G941" s="3">
        <f ca="1">IFERROR(__xludf.DUMMYFUNCTION("""COMPUTED_VALUE"""),0)</f>
        <v>0</v>
      </c>
      <c r="H941" s="3" t="str">
        <f ca="1">IFERROR(__xludf.DUMMYFUNCTION("""COMPUTED_VALUE"""),"car")</f>
        <v>car</v>
      </c>
      <c r="I941" s="3" t="str">
        <f ca="1">IFERROR(__xludf.DUMMYFUNCTION("""COMPUTED_VALUE"""),"2055-06-02T19:03:03.240097Z")</f>
        <v>2055-06-02T19:03:03.240097Z</v>
      </c>
      <c r="J941" s="3" t="str">
        <f ca="1">IFERROR(__xludf.DUMMYFUNCTION("""COMPUTED_VALUE"""),"2055-06-02T19:43:03.305Z")</f>
        <v>2055-06-02T19:43:03.305Z</v>
      </c>
      <c r="K941" s="3" t="str">
        <f ca="1">IFERROR(__xludf.DUMMYFUNCTION("""COMPUTED_VALUE"""),"2055-06-02T19:33:01.305Z")</f>
        <v>2055-06-02T19:33:01.305Z</v>
      </c>
      <c r="L941" s="3">
        <f ca="1">IFERROR(__xludf.DUMMYFUNCTION("""COMPUTED_VALUE"""),1)</f>
        <v>1</v>
      </c>
      <c r="M941" s="3">
        <f ca="1">IFERROR(__xludf.DUMMYFUNCTION("""COMPUTED_VALUE"""),0)</f>
        <v>0</v>
      </c>
      <c r="N941" s="3" t="str">
        <f ca="1">IFERROR(__xludf.DUMMYFUNCTION("""COMPUTED_VALUE"""),"2055-06-02T19:16:49.814924Z")</f>
        <v>2055-06-02T19:16:49.814924Z</v>
      </c>
      <c r="O941" s="3" t="str">
        <f ca="1">IFERROR(__xludf.DUMMYFUNCTION("""COMPUTED_VALUE"""),"2055-06-02T19:25:48.855653Z")</f>
        <v>2055-06-02T19:25:48.855653Z</v>
      </c>
      <c r="P941" s="3" t="str">
        <f ca="1">IFERROR(__xludf.DUMMYFUNCTION("""COMPUTED_VALUE"""),"2055-06-02T19:03:07.295358Z")</f>
        <v>2055-06-02T19:03:07.295358Z</v>
      </c>
      <c r="Q941" s="3">
        <f ca="1">IFERROR(__xludf.DUMMYFUNCTION("""COMPUTED_VALUE"""),0)</f>
        <v>0</v>
      </c>
      <c r="R941" s="3" t="str">
        <f ca="1">IFERROR(__xludf.DUMMYFUNCTION("""COMPUTED_VALUE"""),"2055-06-02T19:03:33.603748Z")</f>
        <v>2055-06-02T19:03:33.603748Z</v>
      </c>
      <c r="S941" s="3" t="str">
        <f ca="1">IFERROR(__xludf.DUMMYFUNCTION("""COMPUTED_VALUE"""),"2055-06-02T19:14:29.304277Z")</f>
        <v>2055-06-02T19:14:29.304277Z</v>
      </c>
      <c r="T941" s="3"/>
      <c r="U941" s="4">
        <f ca="1">IFERROR(__xludf.DUMMYFUNCTION("""COMPUTED_VALUE"""),56767)</f>
        <v>56767</v>
      </c>
      <c r="V941" s="3">
        <f ca="1">IFERROR(__xludf.DUMMYFUNCTION("""COMPUTED_VALUE"""),4.6)</f>
        <v>4.5999999999999996</v>
      </c>
      <c r="W941" s="3">
        <f ca="1">IFERROR(__xludf.DUMMYFUNCTION("""COMPUTED_VALUE"""),1500)</f>
        <v>1500</v>
      </c>
      <c r="X941" s="3">
        <f ca="1">IFERROR(__xludf.DUMMYFUNCTION("""COMPUTED_VALUE"""),1335)</f>
        <v>1335</v>
      </c>
      <c r="Y941" s="3">
        <f ca="1">IFERROR(__xludf.DUMMYFUNCTION("""COMPUTED_VALUE"""),656)</f>
        <v>656</v>
      </c>
      <c r="Z941" s="3">
        <f ca="1">IFERROR(__xludf.DUMMYFUNCTION("""COMPUTED_VALUE"""),140)</f>
        <v>140</v>
      </c>
      <c r="AA941" s="3">
        <f ca="1">IFERROR(__xludf.DUMMYFUNCTION("""COMPUTED_VALUE"""),539)</f>
        <v>539</v>
      </c>
      <c r="AB941" s="3">
        <f ca="1">IFERROR(__xludf.DUMMYFUNCTION("""COMPUTED_VALUE"""),0)</f>
        <v>0</v>
      </c>
      <c r="AC941" s="3">
        <f ca="1">IFERROR(__xludf.DUMMYFUNCTION("""COMPUTED_VALUE"""),1)</f>
        <v>1</v>
      </c>
      <c r="AD941" s="3" t="str">
        <f ca="1">IFERROR(__xludf.DUMMYFUNCTION("""COMPUTED_VALUE"""),"on time")</f>
        <v>on time</v>
      </c>
      <c r="AE941" s="3" t="str">
        <f ca="1">IFERROR(__xludf.DUMMYFUNCTION("""COMPUTED_VALUE"""),"2055-06-02T15:16:49.814924Z")</f>
        <v>2055-06-02T15:16:49.814924Z</v>
      </c>
      <c r="AF941" s="3" t="str">
        <f ca="1">IFERROR(__xludf.DUMMYFUNCTION("""COMPUTED_VALUE"""),"2055-06-02T15:25:48.855653Z")</f>
        <v>2055-06-02T15:25:48.855653Z</v>
      </c>
      <c r="AG941" s="3" t="str">
        <f ca="1">IFERROR(__xludf.DUMMYFUNCTION("""COMPUTED_VALUE"""),"2055-06-02T15:03:07.295358Z")</f>
        <v>2055-06-02T15:03:07.295358Z</v>
      </c>
      <c r="AH941" s="3" t="str">
        <f ca="1">IFERROR(__xludf.DUMMYFUNCTION("""COMPUTED_VALUE"""),"2055-06-02T15:14:29.304277Z")</f>
        <v>2055-06-02T15:14:29.304277Z</v>
      </c>
      <c r="AI941" s="3">
        <f ca="1">IFERROR(__xludf.DUMMYFUNCTION("""COMPUTED_VALUE"""),4.62)</f>
        <v>4.62</v>
      </c>
      <c r="AJ941" s="3">
        <f ca="1">IFERROR(__xludf.DUMMYFUNCTION("""COMPUTED_VALUE"""),259)</f>
        <v>259</v>
      </c>
      <c r="AK941" s="3">
        <f ca="1">IFERROR(__xludf.DUMMYFUNCTION("""COMPUTED_VALUE"""),604)</f>
        <v>604</v>
      </c>
      <c r="AL941" s="3">
        <f ca="1">IFERROR(__xludf.DUMMYFUNCTION("""COMPUTED_VALUE"""),21)</f>
        <v>21</v>
      </c>
      <c r="AM941" s="3">
        <f>IFERROR(Raw_Data!AL941 / Raw_Data!AK941, "")</f>
        <v>3.4768211920529798E-2</v>
      </c>
      <c r="AN941" s="3" t="str">
        <f>IF(ISBLANK(Raw_Data!AL941), "No", "Yes")</f>
        <v>Yes</v>
      </c>
      <c r="AO941" s="3">
        <f>IFERROR(Raw_Data!Z941/60, "")</f>
        <v>2.3333333333333335</v>
      </c>
    </row>
    <row r="942" spans="1:41" ht="13">
      <c r="A942" s="3">
        <f ca="1">IFERROR(__xludf.DUMMYFUNCTION("""COMPUTED_VALUE"""),794)</f>
        <v>794</v>
      </c>
      <c r="B942" s="3"/>
      <c r="C942" s="3">
        <f ca="1">IFERROR(__xludf.DUMMYFUNCTION("""COMPUTED_VALUE"""),4050)</f>
        <v>4050</v>
      </c>
      <c r="D942" s="3" t="str">
        <f ca="1">IFERROR(__xludf.DUMMYFUNCTION("""COMPUTED_VALUE"""),"Doorlanta")</f>
        <v>Doorlanta</v>
      </c>
      <c r="E942" s="3" t="str">
        <f ca="1">IFERROR(__xludf.DUMMYFUNCTION("""COMPUTED_VALUE"""),"Galaxy A")</f>
        <v>Galaxy A</v>
      </c>
      <c r="F942" s="3" t="str">
        <f ca="1">IFERROR(__xludf.DUMMYFUNCTION("""COMPUTED_VALUE"""),"Jhordan")</f>
        <v>Jhordan</v>
      </c>
      <c r="G942" s="3">
        <f ca="1">IFERROR(__xludf.DUMMYFUNCTION("""COMPUTED_VALUE"""),0)</f>
        <v>0</v>
      </c>
      <c r="H942" s="3" t="str">
        <f ca="1">IFERROR(__xludf.DUMMYFUNCTION("""COMPUTED_VALUE"""),"car")</f>
        <v>car</v>
      </c>
      <c r="I942" s="3" t="str">
        <f ca="1">IFERROR(__xludf.DUMMYFUNCTION("""COMPUTED_VALUE"""),"2055-06-06T23:34:15.722575Z")</f>
        <v>2055-06-06T23:34:15.722575Z</v>
      </c>
      <c r="J942" s="3" t="str">
        <f ca="1">IFERROR(__xludf.DUMMYFUNCTION("""COMPUTED_VALUE"""),"2055-06-07T00:29:15.806Z")</f>
        <v>2055-06-07T00:29:15.806Z</v>
      </c>
      <c r="K942" s="3" t="str">
        <f ca="1">IFERROR(__xludf.DUMMYFUNCTION("""COMPUTED_VALUE"""),"2055-06-07T00:09:30.806Z")</f>
        <v>2055-06-07T00:09:30.806Z</v>
      </c>
      <c r="L942" s="3">
        <f ca="1">IFERROR(__xludf.DUMMYFUNCTION("""COMPUTED_VALUE"""),1)</f>
        <v>1</v>
      </c>
      <c r="M942" s="3">
        <f ca="1">IFERROR(__xludf.DUMMYFUNCTION("""COMPUTED_VALUE"""),0)</f>
        <v>0</v>
      </c>
      <c r="N942" s="3" t="str">
        <f ca="1">IFERROR(__xludf.DUMMYFUNCTION("""COMPUTED_VALUE"""),"2055-06-06T23:49:11.821811Z")</f>
        <v>2055-06-06T23:49:11.821811Z</v>
      </c>
      <c r="O942" s="3" t="str">
        <f ca="1">IFERROR(__xludf.DUMMYFUNCTION("""COMPUTED_VALUE"""),"2055-06-07T00:06:21.120082Z")</f>
        <v>2055-06-07T00:06:21.120082Z</v>
      </c>
      <c r="P942" s="3" t="str">
        <f ca="1">IFERROR(__xludf.DUMMYFUNCTION("""COMPUTED_VALUE"""),"2055-06-06T23:34:27.352193Z")</f>
        <v>2055-06-06T23:34:27.352193Z</v>
      </c>
      <c r="Q942" s="3">
        <f ca="1">IFERROR(__xludf.DUMMYFUNCTION("""COMPUTED_VALUE"""),0)</f>
        <v>0</v>
      </c>
      <c r="R942" s="3" t="str">
        <f ca="1">IFERROR(__xludf.DUMMYFUNCTION("""COMPUTED_VALUE"""),"2055-06-06T23:34:32.582722Z")</f>
        <v>2055-06-06T23:34:32.582722Z</v>
      </c>
      <c r="S942" s="3" t="str">
        <f ca="1">IFERROR(__xludf.DUMMYFUNCTION("""COMPUTED_VALUE"""),"2055-06-06T23:46:45.249712Z")</f>
        <v>2055-06-06T23:46:45.249712Z</v>
      </c>
      <c r="T942" s="3"/>
      <c r="U942" s="4">
        <f ca="1">IFERROR(__xludf.DUMMYFUNCTION("""COMPUTED_VALUE"""),56771)</f>
        <v>56771</v>
      </c>
      <c r="V942" s="3">
        <f ca="1">IFERROR(__xludf.DUMMYFUNCTION("""COMPUTED_VALUE"""),4.6)</f>
        <v>4.5999999999999996</v>
      </c>
      <c r="W942" s="3">
        <f ca="1">IFERROR(__xludf.DUMMYFUNCTION("""COMPUTED_VALUE"""),1500)</f>
        <v>1500</v>
      </c>
      <c r="X942" s="3">
        <f ca="1">IFERROR(__xludf.DUMMYFUNCTION("""COMPUTED_VALUE"""),1909)</f>
        <v>1909</v>
      </c>
      <c r="Y942" s="3">
        <f ca="1">IFERROR(__xludf.DUMMYFUNCTION("""COMPUTED_VALUE"""),733)</f>
        <v>733</v>
      </c>
      <c r="Z942" s="3">
        <f ca="1">IFERROR(__xludf.DUMMYFUNCTION("""COMPUTED_VALUE"""),146)</f>
        <v>146</v>
      </c>
      <c r="AA942" s="3">
        <f ca="1">IFERROR(__xludf.DUMMYFUNCTION("""COMPUTED_VALUE"""),1030)</f>
        <v>1030</v>
      </c>
      <c r="AB942" s="3">
        <f ca="1">IFERROR(__xludf.DUMMYFUNCTION("""COMPUTED_VALUE"""),0)</f>
        <v>0</v>
      </c>
      <c r="AC942" s="3">
        <f ca="1">IFERROR(__xludf.DUMMYFUNCTION("""COMPUTED_VALUE"""),1)</f>
        <v>1</v>
      </c>
      <c r="AD942" s="3" t="str">
        <f ca="1">IFERROR(__xludf.DUMMYFUNCTION("""COMPUTED_VALUE"""),"on time")</f>
        <v>on time</v>
      </c>
      <c r="AE942" s="3" t="str">
        <f ca="1">IFERROR(__xludf.DUMMYFUNCTION("""COMPUTED_VALUE"""),"2055-06-06T19:49:11.821811Z")</f>
        <v>2055-06-06T19:49:11.821811Z</v>
      </c>
      <c r="AF942" s="3" t="str">
        <f ca="1">IFERROR(__xludf.DUMMYFUNCTION("""COMPUTED_VALUE"""),"2055-06-06T20:06:21.120082Z")</f>
        <v>2055-06-06T20:06:21.120082Z</v>
      </c>
      <c r="AG942" s="3" t="str">
        <f ca="1">IFERROR(__xludf.DUMMYFUNCTION("""COMPUTED_VALUE"""),"2055-06-06T19:34:27.352193Z")</f>
        <v>2055-06-06T19:34:27.352193Z</v>
      </c>
      <c r="AH942" s="3" t="str">
        <f ca="1">IFERROR(__xludf.DUMMYFUNCTION("""COMPUTED_VALUE"""),"2055-06-06T19:46:45.249712Z")</f>
        <v>2055-06-06T19:46:45.249712Z</v>
      </c>
      <c r="AI942" s="3">
        <f ca="1">IFERROR(__xludf.DUMMYFUNCTION("""COMPUTED_VALUE"""),5)</f>
        <v>5</v>
      </c>
      <c r="AJ942" s="3">
        <f ca="1">IFERROR(__xludf.DUMMYFUNCTION("""COMPUTED_VALUE"""),6)</f>
        <v>6</v>
      </c>
      <c r="AK942" s="3">
        <f ca="1">IFERROR(__xludf.DUMMYFUNCTION("""COMPUTED_VALUE"""),20)</f>
        <v>20</v>
      </c>
      <c r="AL942" s="3">
        <f ca="1">IFERROR(__xludf.DUMMYFUNCTION("""COMPUTED_VALUE"""),5)</f>
        <v>5</v>
      </c>
      <c r="AM942" s="3">
        <f>IFERROR(Raw_Data!AL942 / Raw_Data!AK942, "")</f>
        <v>0.25</v>
      </c>
      <c r="AN942" s="3" t="str">
        <f>IF(ISBLANK(Raw_Data!AL942), "No", "Yes")</f>
        <v>Yes</v>
      </c>
      <c r="AO942" s="3">
        <f>IFERROR(Raw_Data!Z942/60, "")</f>
        <v>2.4333333333333331</v>
      </c>
    </row>
    <row r="943" spans="1:41" ht="13">
      <c r="A943" s="3">
        <f ca="1">IFERROR(__xludf.DUMMYFUNCTION("""COMPUTED_VALUE"""),869)</f>
        <v>869</v>
      </c>
      <c r="B943" s="3"/>
      <c r="C943" s="3">
        <f ca="1">IFERROR(__xludf.DUMMYFUNCTION("""COMPUTED_VALUE"""),4050)</f>
        <v>4050</v>
      </c>
      <c r="D943" s="3" t="str">
        <f ca="1">IFERROR(__xludf.DUMMYFUNCTION("""COMPUTED_VALUE"""),"Doorlanta")</f>
        <v>Doorlanta</v>
      </c>
      <c r="E943" s="3" t="str">
        <f ca="1">IFERROR(__xludf.DUMMYFUNCTION("""COMPUTED_VALUE"""),"Galaxy A")</f>
        <v>Galaxy A</v>
      </c>
      <c r="F943" s="3" t="str">
        <f ca="1">IFERROR(__xludf.DUMMYFUNCTION("""COMPUTED_VALUE"""),"Matt")</f>
        <v>Matt</v>
      </c>
      <c r="G943" s="3">
        <f ca="1">IFERROR(__xludf.DUMMYFUNCTION("""COMPUTED_VALUE"""),0)</f>
        <v>0</v>
      </c>
      <c r="H943" s="3" t="str">
        <f ca="1">IFERROR(__xludf.DUMMYFUNCTION("""COMPUTED_VALUE"""),"car")</f>
        <v>car</v>
      </c>
      <c r="I943" s="3" t="str">
        <f ca="1">IFERROR(__xludf.DUMMYFUNCTION("""COMPUTED_VALUE"""),"2055-06-07T20:00:52.304444Z")</f>
        <v>2055-06-07T20:00:52.304444Z</v>
      </c>
      <c r="J943" s="3" t="str">
        <f ca="1">IFERROR(__xludf.DUMMYFUNCTION("""COMPUTED_VALUE"""),"2055-06-07T20:55:52.391Z")</f>
        <v>2055-06-07T20:55:52.391Z</v>
      </c>
      <c r="K943" s="3" t="str">
        <f ca="1">IFERROR(__xludf.DUMMYFUNCTION("""COMPUTED_VALUE"""),"2055-06-07T20:33:04.391Z")</f>
        <v>2055-06-07T20:33:04.391Z</v>
      </c>
      <c r="L943" s="3">
        <f ca="1">IFERROR(__xludf.DUMMYFUNCTION("""COMPUTED_VALUE"""),1)</f>
        <v>1</v>
      </c>
      <c r="M943" s="3">
        <f ca="1">IFERROR(__xludf.DUMMYFUNCTION("""COMPUTED_VALUE"""),0)</f>
        <v>0</v>
      </c>
      <c r="N943" s="3" t="str">
        <f ca="1">IFERROR(__xludf.DUMMYFUNCTION("""COMPUTED_VALUE"""),"2055-06-07T20:29:26.058427Z")</f>
        <v>2055-06-07T20:29:26.058427Z</v>
      </c>
      <c r="O943" s="3" t="str">
        <f ca="1">IFERROR(__xludf.DUMMYFUNCTION("""COMPUTED_VALUE"""),"2055-06-07T20:49:51.759099Z")</f>
        <v>2055-06-07T20:49:51.759099Z</v>
      </c>
      <c r="P943" s="3" t="str">
        <f ca="1">IFERROR(__xludf.DUMMYFUNCTION("""COMPUTED_VALUE"""),"2055-06-07T20:01:07.267216Z")</f>
        <v>2055-06-07T20:01:07.267216Z</v>
      </c>
      <c r="Q943" s="3">
        <f ca="1">IFERROR(__xludf.DUMMYFUNCTION("""COMPUTED_VALUE"""),0)</f>
        <v>0</v>
      </c>
      <c r="R943" s="3" t="str">
        <f ca="1">IFERROR(__xludf.DUMMYFUNCTION("""COMPUTED_VALUE"""),"2055-06-07T20:01:23.454393Z")</f>
        <v>2055-06-07T20:01:23.454393Z</v>
      </c>
      <c r="S943" s="3" t="str">
        <f ca="1">IFERROR(__xludf.DUMMYFUNCTION("""COMPUTED_VALUE"""),"2055-06-07T20:27:06.914549Z")</f>
        <v>2055-06-07T20:27:06.914549Z</v>
      </c>
      <c r="T943" s="3"/>
      <c r="U943" s="4">
        <f ca="1">IFERROR(__xludf.DUMMYFUNCTION("""COMPUTED_VALUE"""),56772)</f>
        <v>56772</v>
      </c>
      <c r="V943" s="3">
        <f ca="1">IFERROR(__xludf.DUMMYFUNCTION("""COMPUTED_VALUE"""),4.5)</f>
        <v>4.5</v>
      </c>
      <c r="W943" s="3">
        <f ca="1">IFERROR(__xludf.DUMMYFUNCTION("""COMPUTED_VALUE"""),1500)</f>
        <v>1500</v>
      </c>
      <c r="X943" s="3">
        <f ca="1">IFERROR(__xludf.DUMMYFUNCTION("""COMPUTED_VALUE"""),2908)</f>
        <v>2908</v>
      </c>
      <c r="Y943" s="3">
        <f ca="1">IFERROR(__xludf.DUMMYFUNCTION("""COMPUTED_VALUE"""),1543)</f>
        <v>1543</v>
      </c>
      <c r="Z943" s="3">
        <f ca="1">IFERROR(__xludf.DUMMYFUNCTION("""COMPUTED_VALUE"""),140)</f>
        <v>140</v>
      </c>
      <c r="AA943" s="3">
        <f ca="1">IFERROR(__xludf.DUMMYFUNCTION("""COMPUTED_VALUE"""),1225)</f>
        <v>1225</v>
      </c>
      <c r="AB943" s="3">
        <f ca="1">IFERROR(__xludf.DUMMYFUNCTION("""COMPUTED_VALUE"""),0)</f>
        <v>0</v>
      </c>
      <c r="AC943" s="3">
        <f ca="1">IFERROR(__xludf.DUMMYFUNCTION("""COMPUTED_VALUE"""),1)</f>
        <v>1</v>
      </c>
      <c r="AD943" s="3" t="str">
        <f ca="1">IFERROR(__xludf.DUMMYFUNCTION("""COMPUTED_VALUE"""),"late")</f>
        <v>late</v>
      </c>
      <c r="AE943" s="3" t="str">
        <f ca="1">IFERROR(__xludf.DUMMYFUNCTION("""COMPUTED_VALUE"""),"2055-06-07T16:29:26.058427Z")</f>
        <v>2055-06-07T16:29:26.058427Z</v>
      </c>
      <c r="AF943" s="3" t="str">
        <f ca="1">IFERROR(__xludf.DUMMYFUNCTION("""COMPUTED_VALUE"""),"2055-06-07T16:49:51.759099Z")</f>
        <v>2055-06-07T16:49:51.759099Z</v>
      </c>
      <c r="AG943" s="3" t="str">
        <f ca="1">IFERROR(__xludf.DUMMYFUNCTION("""COMPUTED_VALUE"""),"2055-06-07T16:01:07.267216Z")</f>
        <v>2055-06-07T16:01:07.267216Z</v>
      </c>
      <c r="AH943" s="3" t="str">
        <f ca="1">IFERROR(__xludf.DUMMYFUNCTION("""COMPUTED_VALUE"""),"2055-06-07T16:27:06.914549Z")</f>
        <v>2055-06-07T16:27:06.914549Z</v>
      </c>
      <c r="AI943" s="3">
        <f ca="1">IFERROR(__xludf.DUMMYFUNCTION("""COMPUTED_VALUE"""),4.22)</f>
        <v>4.22</v>
      </c>
      <c r="AJ943" s="3">
        <f ca="1">IFERROR(__xludf.DUMMYFUNCTION("""COMPUTED_VALUE"""),1551)</f>
        <v>1551</v>
      </c>
      <c r="AK943" s="3">
        <f ca="1">IFERROR(__xludf.DUMMYFUNCTION("""COMPUTED_VALUE"""),4625)</f>
        <v>4625</v>
      </c>
      <c r="AL943" s="3"/>
      <c r="AM943" s="3">
        <f>IFERROR(Raw_Data!AL943 / Raw_Data!AK943, "")</f>
        <v>0</v>
      </c>
      <c r="AN943" s="3" t="str">
        <f>IF(ISBLANK(Raw_Data!AL943), "No", "Yes")</f>
        <v>No</v>
      </c>
      <c r="AO943" s="3">
        <f>IFERROR(Raw_Data!Z943/60, "")</f>
        <v>2.3333333333333335</v>
      </c>
    </row>
    <row r="944" spans="1:41" ht="13">
      <c r="A944" s="3">
        <f ca="1">IFERROR(__xludf.DUMMYFUNCTION("""COMPUTED_VALUE"""),1011)</f>
        <v>1011</v>
      </c>
      <c r="B944" s="3"/>
      <c r="C944" s="3">
        <f ca="1">IFERROR(__xludf.DUMMYFUNCTION("""COMPUTED_VALUE"""),4001)</f>
        <v>4001</v>
      </c>
      <c r="D944" s="3" t="str">
        <f ca="1">IFERROR(__xludf.DUMMYFUNCTION("""COMPUTED_VALUE"""),"Dashattan")</f>
        <v>Dashattan</v>
      </c>
      <c r="E944" s="3" t="str">
        <f ca="1">IFERROR(__xludf.DUMMYFUNCTION("""COMPUTED_VALUE"""),"Galaxy A")</f>
        <v>Galaxy A</v>
      </c>
      <c r="F944" s="3" t="str">
        <f ca="1">IFERROR(__xludf.DUMMYFUNCTION("""COMPUTED_VALUE"""),"Bret")</f>
        <v>Bret</v>
      </c>
      <c r="G944" s="3">
        <f ca="1">IFERROR(__xludf.DUMMYFUNCTION("""COMPUTED_VALUE"""),0)</f>
        <v>0</v>
      </c>
      <c r="H944" s="3" t="str">
        <f ca="1">IFERROR(__xludf.DUMMYFUNCTION("""COMPUTED_VALUE"""),"car")</f>
        <v>car</v>
      </c>
      <c r="I944" s="3" t="str">
        <f ca="1">IFERROR(__xludf.DUMMYFUNCTION("""COMPUTED_VALUE"""),"2055-06-09T13:40:00.250015Z")</f>
        <v>2055-06-09T13:40:00.250015Z</v>
      </c>
      <c r="J944" s="3" t="str">
        <f ca="1">IFERROR(__xludf.DUMMYFUNCTION("""COMPUTED_VALUE"""),"2055-06-09T16:15:00Z")</f>
        <v>2055-06-09T16:15:00Z</v>
      </c>
      <c r="K944" s="3" t="str">
        <f ca="1">IFERROR(__xludf.DUMMYFUNCTION("""COMPUTED_VALUE"""),"2055-06-09T16:15:00Z")</f>
        <v>2055-06-09T16:15:00Z</v>
      </c>
      <c r="L944" s="3">
        <f ca="1">IFERROR(__xludf.DUMMYFUNCTION("""COMPUTED_VALUE"""),0)</f>
        <v>0</v>
      </c>
      <c r="M944" s="3">
        <f ca="1">IFERROR(__xludf.DUMMYFUNCTION("""COMPUTED_VALUE"""),0)</f>
        <v>0</v>
      </c>
      <c r="N944" s="3" t="str">
        <f ca="1">IFERROR(__xludf.DUMMYFUNCTION("""COMPUTED_VALUE"""),"2055-06-09T15:45:05.330206Z")</f>
        <v>2055-06-09T15:45:05.330206Z</v>
      </c>
      <c r="O944" s="3" t="str">
        <f ca="1">IFERROR(__xludf.DUMMYFUNCTION("""COMPUTED_VALUE"""),"2055-06-09T16:31:24.421094Z")</f>
        <v>2055-06-09T16:31:24.421094Z</v>
      </c>
      <c r="P944" s="3" t="str">
        <f ca="1">IFERROR(__xludf.DUMMYFUNCTION("""COMPUTED_VALUE"""),"2055-06-09T15:15:14.211595Z")</f>
        <v>2055-06-09T15:15:14.211595Z</v>
      </c>
      <c r="Q944" s="3">
        <f ca="1">IFERROR(__xludf.DUMMYFUNCTION("""COMPUTED_VALUE"""),0)</f>
        <v>0</v>
      </c>
      <c r="R944" s="3" t="str">
        <f ca="1">IFERROR(__xludf.DUMMYFUNCTION("""COMPUTED_VALUE"""),"2055-06-09T15:15:29.54238Z")</f>
        <v>2055-06-09T15:15:29.54238Z</v>
      </c>
      <c r="S944" s="3" t="str">
        <f ca="1">IFERROR(__xludf.DUMMYFUNCTION("""COMPUTED_VALUE"""),"2055-06-09T15:43:14.517471Z")</f>
        <v>2055-06-09T15:43:14.517471Z</v>
      </c>
      <c r="T944" s="3"/>
      <c r="U944" s="4">
        <f ca="1">IFERROR(__xludf.DUMMYFUNCTION("""COMPUTED_VALUE"""),56774)</f>
        <v>56774</v>
      </c>
      <c r="V944" s="3">
        <f ca="1">IFERROR(__xludf.DUMMYFUNCTION("""COMPUTED_VALUE"""),4.3)</f>
        <v>4.3</v>
      </c>
      <c r="W944" s="3">
        <f ca="1">IFERROR(__xludf.DUMMYFUNCTION("""COMPUTED_VALUE"""),1500)</f>
        <v>1500</v>
      </c>
      <c r="X944" s="3">
        <f ca="1">IFERROR(__xludf.DUMMYFUNCTION("""COMPUTED_VALUE"""),4555)</f>
        <v>4555</v>
      </c>
      <c r="Y944" s="3">
        <f ca="1">IFERROR(__xludf.DUMMYFUNCTION("""COMPUTED_VALUE"""),1665)</f>
        <v>1665</v>
      </c>
      <c r="Z944" s="3">
        <f ca="1">IFERROR(__xludf.DUMMYFUNCTION("""COMPUTED_VALUE"""),111)</f>
        <v>111</v>
      </c>
      <c r="AA944" s="3">
        <f ca="1">IFERROR(__xludf.DUMMYFUNCTION("""COMPUTED_VALUE"""),2779)</f>
        <v>2779</v>
      </c>
      <c r="AB944" s="3">
        <f ca="1">IFERROR(__xludf.DUMMYFUNCTION("""COMPUTED_VALUE"""),1)</f>
        <v>1</v>
      </c>
      <c r="AC944" s="3">
        <f ca="1">IFERROR(__xludf.DUMMYFUNCTION("""COMPUTED_VALUE"""),2)</f>
        <v>2</v>
      </c>
      <c r="AD944" s="3"/>
      <c r="AE944" s="3" t="str">
        <f ca="1">IFERROR(__xludf.DUMMYFUNCTION("""COMPUTED_VALUE"""),"2055-06-09T11:45:05.330206Z")</f>
        <v>2055-06-09T11:45:05.330206Z</v>
      </c>
      <c r="AF944" s="3" t="str">
        <f ca="1">IFERROR(__xludf.DUMMYFUNCTION("""COMPUTED_VALUE"""),"2055-06-09T12:31:24.421094Z")</f>
        <v>2055-06-09T12:31:24.421094Z</v>
      </c>
      <c r="AG944" s="3" t="str">
        <f ca="1">IFERROR(__xludf.DUMMYFUNCTION("""COMPUTED_VALUE"""),"2055-06-09T11:15:14.211595Z")</f>
        <v>2055-06-09T11:15:14.211595Z</v>
      </c>
      <c r="AH944" s="3" t="str">
        <f ca="1">IFERROR(__xludf.DUMMYFUNCTION("""COMPUTED_VALUE"""),"2055-06-09T11:43:14.517471Z")</f>
        <v>2055-06-09T11:43:14.517471Z</v>
      </c>
      <c r="AI944" s="3">
        <f ca="1">IFERROR(__xludf.DUMMYFUNCTION("""COMPUTED_VALUE"""),3.82)</f>
        <v>3.82</v>
      </c>
      <c r="AJ944" s="3">
        <f ca="1">IFERROR(__xludf.DUMMYFUNCTION("""COMPUTED_VALUE"""),174)</f>
        <v>174</v>
      </c>
      <c r="AK944" s="3">
        <f ca="1">IFERROR(__xludf.DUMMYFUNCTION("""COMPUTED_VALUE"""),773)</f>
        <v>773</v>
      </c>
      <c r="AL944" s="3"/>
      <c r="AM944" s="3">
        <f>IFERROR(Raw_Data!AL944 / Raw_Data!AK944, "")</f>
        <v>0</v>
      </c>
      <c r="AN944" s="3" t="str">
        <f>IF(ISBLANK(Raw_Data!AL944), "No", "Yes")</f>
        <v>No</v>
      </c>
      <c r="AO944" s="3">
        <f>IFERROR(Raw_Data!Z944/60, "")</f>
        <v>1.85</v>
      </c>
    </row>
    <row r="945" spans="1:41" ht="13">
      <c r="A945" s="3">
        <f ca="1">IFERROR(__xludf.DUMMYFUNCTION("""COMPUTED_VALUE"""),1025)</f>
        <v>1025</v>
      </c>
      <c r="B945" s="3"/>
      <c r="C945" s="3">
        <f ca="1">IFERROR(__xludf.DUMMYFUNCTION("""COMPUTED_VALUE"""),4001)</f>
        <v>4001</v>
      </c>
      <c r="D945" s="3" t="str">
        <f ca="1">IFERROR(__xludf.DUMMYFUNCTION("""COMPUTED_VALUE"""),"Dashattan")</f>
        <v>Dashattan</v>
      </c>
      <c r="E945" s="3" t="str">
        <f ca="1">IFERROR(__xludf.DUMMYFUNCTION("""COMPUTED_VALUE"""),"Galaxy A")</f>
        <v>Galaxy A</v>
      </c>
      <c r="F945" s="3" t="str">
        <f ca="1">IFERROR(__xludf.DUMMYFUNCTION("""COMPUTED_VALUE"""),"Etan")</f>
        <v>Etan</v>
      </c>
      <c r="G945" s="3">
        <f ca="1">IFERROR(__xludf.DUMMYFUNCTION("""COMPUTED_VALUE"""),0)</f>
        <v>0</v>
      </c>
      <c r="H945" s="3" t="str">
        <f ca="1">IFERROR(__xludf.DUMMYFUNCTION("""COMPUTED_VALUE"""),"bicycle")</f>
        <v>bicycle</v>
      </c>
      <c r="I945" s="3" t="str">
        <f ca="1">IFERROR(__xludf.DUMMYFUNCTION("""COMPUTED_VALUE"""),"2055-06-09T16:03:25.292868Z")</f>
        <v>2055-06-09T16:03:25.292868Z</v>
      </c>
      <c r="J945" s="3" t="str">
        <f ca="1">IFERROR(__xludf.DUMMYFUNCTION("""COMPUTED_VALUE"""),"2055-06-09T16:49:01.359Z")</f>
        <v>2055-06-09T16:49:01.359Z</v>
      </c>
      <c r="K945" s="3" t="str">
        <f ca="1">IFERROR(__xludf.DUMMYFUNCTION("""COMPUTED_VALUE"""),"2055-06-09T16:28:54.359Z")</f>
        <v>2055-06-09T16:28:54.359Z</v>
      </c>
      <c r="L945" s="3">
        <f ca="1">IFERROR(__xludf.DUMMYFUNCTION("""COMPUTED_VALUE"""),1)</f>
        <v>1</v>
      </c>
      <c r="M945" s="3">
        <f ca="1">IFERROR(__xludf.DUMMYFUNCTION("""COMPUTED_VALUE"""),0)</f>
        <v>0</v>
      </c>
      <c r="N945" s="3" t="str">
        <f ca="1">IFERROR(__xludf.DUMMYFUNCTION("""COMPUTED_VALUE"""),"2055-06-09T16:24:35.045316Z")</f>
        <v>2055-06-09T16:24:35.045316Z</v>
      </c>
      <c r="O945" s="3" t="str">
        <f ca="1">IFERROR(__xludf.DUMMYFUNCTION("""COMPUTED_VALUE"""),"2055-06-09T16:25:50.499488Z")</f>
        <v>2055-06-09T16:25:50.499488Z</v>
      </c>
      <c r="P945" s="3" t="str">
        <f ca="1">IFERROR(__xludf.DUMMYFUNCTION("""COMPUTED_VALUE"""),"2055-06-09T16:06:14.912301Z")</f>
        <v>2055-06-09T16:06:14.912301Z</v>
      </c>
      <c r="Q945" s="3">
        <f ca="1">IFERROR(__xludf.DUMMYFUNCTION("""COMPUTED_VALUE"""),0)</f>
        <v>0</v>
      </c>
      <c r="R945" s="3" t="str">
        <f ca="1">IFERROR(__xludf.DUMMYFUNCTION("""COMPUTED_VALUE"""),"2055-06-09T16:06:34.735623Z")</f>
        <v>2055-06-09T16:06:34.735623Z</v>
      </c>
      <c r="S945" s="3" t="str">
        <f ca="1">IFERROR(__xludf.DUMMYFUNCTION("""COMPUTED_VALUE"""),"2055-06-09T16:16:22.470115Z")</f>
        <v>2055-06-09T16:16:22.470115Z</v>
      </c>
      <c r="T945" s="3"/>
      <c r="U945" s="4">
        <f ca="1">IFERROR(__xludf.DUMMYFUNCTION("""COMPUTED_VALUE"""),56774)</f>
        <v>56774</v>
      </c>
      <c r="V945" s="3">
        <f ca="1">IFERROR(__xludf.DUMMYFUNCTION("""COMPUTED_VALUE"""),3.979211633)</f>
        <v>3.9792116329999998</v>
      </c>
      <c r="W945" s="3">
        <f ca="1">IFERROR(__xludf.DUMMYFUNCTION("""COMPUTED_VALUE"""),1500)</f>
        <v>1500</v>
      </c>
      <c r="X945" s="3">
        <f ca="1">IFERROR(__xludf.DUMMYFUNCTION("""COMPUTED_VALUE"""),1156)</f>
        <v>1156</v>
      </c>
      <c r="Y945" s="3">
        <f ca="1">IFERROR(__xludf.DUMMYFUNCTION("""COMPUTED_VALUE"""),588)</f>
        <v>588</v>
      </c>
      <c r="Z945" s="3">
        <f ca="1">IFERROR(__xludf.DUMMYFUNCTION("""COMPUTED_VALUE"""),493)</f>
        <v>493</v>
      </c>
      <c r="AA945" s="3">
        <f ca="1">IFERROR(__xludf.DUMMYFUNCTION("""COMPUTED_VALUE"""),75)</f>
        <v>75</v>
      </c>
      <c r="AB945" s="3">
        <f ca="1">IFERROR(__xludf.DUMMYFUNCTION("""COMPUTED_VALUE"""),0)</f>
        <v>0</v>
      </c>
      <c r="AC945" s="3">
        <f ca="1">IFERROR(__xludf.DUMMYFUNCTION("""COMPUTED_VALUE"""),1)</f>
        <v>1</v>
      </c>
      <c r="AD945" s="3" t="str">
        <f ca="1">IFERROR(__xludf.DUMMYFUNCTION("""COMPUTED_VALUE"""),"late")</f>
        <v>late</v>
      </c>
      <c r="AE945" s="3" t="str">
        <f ca="1">IFERROR(__xludf.DUMMYFUNCTION("""COMPUTED_VALUE"""),"2055-06-09T12:24:35.045316Z")</f>
        <v>2055-06-09T12:24:35.045316Z</v>
      </c>
      <c r="AF945" s="3" t="str">
        <f ca="1">IFERROR(__xludf.DUMMYFUNCTION("""COMPUTED_VALUE"""),"2055-06-09T12:25:50.499488Z")</f>
        <v>2055-06-09T12:25:50.499488Z</v>
      </c>
      <c r="AG945" s="3" t="str">
        <f ca="1">IFERROR(__xludf.DUMMYFUNCTION("""COMPUTED_VALUE"""),"2055-06-09T12:06:14.912301Z")</f>
        <v>2055-06-09T12:06:14.912301Z</v>
      </c>
      <c r="AH945" s="3" t="str">
        <f ca="1">IFERROR(__xludf.DUMMYFUNCTION("""COMPUTED_VALUE"""),"2055-06-09T12:16:22.470115Z")</f>
        <v>2055-06-09T12:16:22.470115Z</v>
      </c>
      <c r="AI945" s="3">
        <f ca="1">IFERROR(__xludf.DUMMYFUNCTION("""COMPUTED_VALUE"""),4.35106383)</f>
        <v>4.3510638300000002</v>
      </c>
      <c r="AJ945" s="3">
        <f ca="1">IFERROR(__xludf.DUMMYFUNCTION("""COMPUTED_VALUE"""),62)</f>
        <v>62</v>
      </c>
      <c r="AK945" s="3">
        <f ca="1">IFERROR(__xludf.DUMMYFUNCTION("""COMPUTED_VALUE"""),228)</f>
        <v>228</v>
      </c>
      <c r="AL945" s="3"/>
      <c r="AM945" s="3">
        <f>IFERROR(Raw_Data!AL945 / Raw_Data!AK945, "")</f>
        <v>0</v>
      </c>
      <c r="AN945" s="3" t="str">
        <f>IF(ISBLANK(Raw_Data!AL945), "No", "Yes")</f>
        <v>No</v>
      </c>
      <c r="AO945" s="3">
        <f>IFERROR(Raw_Data!Z945/60, "")</f>
        <v>8.2166666666666668</v>
      </c>
    </row>
    <row r="946" spans="1:41" ht="13">
      <c r="A946" s="3">
        <f ca="1">IFERROR(__xludf.DUMMYFUNCTION("""COMPUTED_VALUE"""),1578)</f>
        <v>1578</v>
      </c>
      <c r="B946" s="3"/>
      <c r="C946" s="3">
        <f ca="1">IFERROR(__xludf.DUMMYFUNCTION("""COMPUTED_VALUE"""),4001)</f>
        <v>4001</v>
      </c>
      <c r="D946" s="3" t="str">
        <f ca="1">IFERROR(__xludf.DUMMYFUNCTION("""COMPUTED_VALUE"""),"Dashattan")</f>
        <v>Dashattan</v>
      </c>
      <c r="E946" s="3" t="str">
        <f ca="1">IFERROR(__xludf.DUMMYFUNCTION("""COMPUTED_VALUE"""),"Galaxy A")</f>
        <v>Galaxy A</v>
      </c>
      <c r="F946" s="3" t="str">
        <f ca="1">IFERROR(__xludf.DUMMYFUNCTION("""COMPUTED_VALUE"""),"Dave")</f>
        <v>Dave</v>
      </c>
      <c r="G946" s="3">
        <f ca="1">IFERROR(__xludf.DUMMYFUNCTION("""COMPUTED_VALUE"""),0)</f>
        <v>0</v>
      </c>
      <c r="H946" s="3" t="str">
        <f ca="1">IFERROR(__xludf.DUMMYFUNCTION("""COMPUTED_VALUE"""),"bicycle")</f>
        <v>bicycle</v>
      </c>
      <c r="I946" s="3" t="str">
        <f ca="1">IFERROR(__xludf.DUMMYFUNCTION("""COMPUTED_VALUE"""),"2055-06-13T17:19:38.989558Z")</f>
        <v>2055-06-13T17:19:38.989558Z</v>
      </c>
      <c r="J946" s="3" t="str">
        <f ca="1">IFERROR(__xludf.DUMMYFUNCTION("""COMPUTED_VALUE"""),"2055-06-13T18:28:57.061Z")</f>
        <v>2055-06-13T18:28:57.061Z</v>
      </c>
      <c r="K946" s="3" t="str">
        <f ca="1">IFERROR(__xludf.DUMMYFUNCTION("""COMPUTED_VALUE"""),"2055-06-13T18:09:18.061Z")</f>
        <v>2055-06-13T18:09:18.061Z</v>
      </c>
      <c r="L946" s="3">
        <f ca="1">IFERROR(__xludf.DUMMYFUNCTION("""COMPUTED_VALUE"""),1)</f>
        <v>1</v>
      </c>
      <c r="M946" s="3">
        <f ca="1">IFERROR(__xludf.DUMMYFUNCTION("""COMPUTED_VALUE"""),0)</f>
        <v>0</v>
      </c>
      <c r="N946" s="3" t="str">
        <f ca="1">IFERROR(__xludf.DUMMYFUNCTION("""COMPUTED_VALUE"""),"2055-06-13T17:44:27.45141Z")</f>
        <v>2055-06-13T17:44:27.45141Z</v>
      </c>
      <c r="O946" s="3" t="str">
        <f ca="1">IFERROR(__xludf.DUMMYFUNCTION("""COMPUTED_VALUE"""),"2055-06-13T18:02:43.472654Z")</f>
        <v>2055-06-13T18:02:43.472654Z</v>
      </c>
      <c r="P946" s="3" t="str">
        <f ca="1">IFERROR(__xludf.DUMMYFUNCTION("""COMPUTED_VALUE"""),"2055-06-13T17:22:15.191147Z")</f>
        <v>2055-06-13T17:22:15.191147Z</v>
      </c>
      <c r="Q946" s="3">
        <f ca="1">IFERROR(__xludf.DUMMYFUNCTION("""COMPUTED_VALUE"""),0)</f>
        <v>0</v>
      </c>
      <c r="R946" s="3" t="str">
        <f ca="1">IFERROR(__xludf.DUMMYFUNCTION("""COMPUTED_VALUE"""),"2055-06-13T17:22:37.015812Z")</f>
        <v>2055-06-13T17:22:37.015812Z</v>
      </c>
      <c r="S946" s="3" t="str">
        <f ca="1">IFERROR(__xludf.DUMMYFUNCTION("""COMPUTED_VALUE"""),"2055-06-13T17:26:45.450053Z")</f>
        <v>2055-06-13T17:26:45.450053Z</v>
      </c>
      <c r="T946" s="3"/>
      <c r="U946" s="4">
        <f ca="1">IFERROR(__xludf.DUMMYFUNCTION("""COMPUTED_VALUE"""),56778)</f>
        <v>56778</v>
      </c>
      <c r="V946" s="3">
        <f ca="1">IFERROR(__xludf.DUMMYFUNCTION("""COMPUTED_VALUE"""),3.5722389)</f>
        <v>3.5722388999999999</v>
      </c>
      <c r="W946" s="3">
        <f ca="1">IFERROR(__xludf.DUMMYFUNCTION("""COMPUTED_VALUE"""),1500)</f>
        <v>1500</v>
      </c>
      <c r="X946" s="3">
        <f ca="1">IFERROR(__xludf.DUMMYFUNCTION("""COMPUTED_VALUE"""),2406)</f>
        <v>2406</v>
      </c>
      <c r="Y946" s="3">
        <f ca="1">IFERROR(__xludf.DUMMYFUNCTION("""COMPUTED_VALUE"""),248)</f>
        <v>248</v>
      </c>
      <c r="Z946" s="3">
        <f ca="1">IFERROR(__xludf.DUMMYFUNCTION("""COMPUTED_VALUE"""),1062)</f>
        <v>1062</v>
      </c>
      <c r="AA946" s="3">
        <f ca="1">IFERROR(__xludf.DUMMYFUNCTION("""COMPUTED_VALUE"""),1096)</f>
        <v>1096</v>
      </c>
      <c r="AB946" s="3">
        <f ca="1">IFERROR(__xludf.DUMMYFUNCTION("""COMPUTED_VALUE"""),0)</f>
        <v>0</v>
      </c>
      <c r="AC946" s="3">
        <f ca="1">IFERROR(__xludf.DUMMYFUNCTION("""COMPUTED_VALUE"""),2)</f>
        <v>2</v>
      </c>
      <c r="AD946" s="3" t="str">
        <f ca="1">IFERROR(__xludf.DUMMYFUNCTION("""COMPUTED_VALUE"""),"early")</f>
        <v>early</v>
      </c>
      <c r="AE946" s="3" t="str">
        <f ca="1">IFERROR(__xludf.DUMMYFUNCTION("""COMPUTED_VALUE"""),"2055-06-13T13:44:27.45141Z")</f>
        <v>2055-06-13T13:44:27.45141Z</v>
      </c>
      <c r="AF946" s="3" t="str">
        <f ca="1">IFERROR(__xludf.DUMMYFUNCTION("""COMPUTED_VALUE"""),"2055-06-13T14:02:43.472654Z")</f>
        <v>2055-06-13T14:02:43.472654Z</v>
      </c>
      <c r="AG946" s="3" t="str">
        <f ca="1">IFERROR(__xludf.DUMMYFUNCTION("""COMPUTED_VALUE"""),"2055-06-13T13:22:15.191147Z")</f>
        <v>2055-06-13T13:22:15.191147Z</v>
      </c>
      <c r="AH946" s="3" t="str">
        <f ca="1">IFERROR(__xludf.DUMMYFUNCTION("""COMPUTED_VALUE"""),"2055-06-13T13:26:45.450053Z")</f>
        <v>2055-06-13T13:26:45.450053Z</v>
      </c>
      <c r="AI946" s="3">
        <f ca="1">IFERROR(__xludf.DUMMYFUNCTION("""COMPUTED_VALUE"""),4.537037037)</f>
        <v>4.5370370370000002</v>
      </c>
      <c r="AJ946" s="3">
        <f ca="1">IFERROR(__xludf.DUMMYFUNCTION("""COMPUTED_VALUE"""),43)</f>
        <v>43</v>
      </c>
      <c r="AK946" s="3">
        <f ca="1">IFERROR(__xludf.DUMMYFUNCTION("""COMPUTED_VALUE"""),142)</f>
        <v>142</v>
      </c>
      <c r="AL946" s="3">
        <f ca="1">IFERROR(__xludf.DUMMYFUNCTION("""COMPUTED_VALUE"""),11)</f>
        <v>11</v>
      </c>
      <c r="AM946" s="3">
        <f>IFERROR(Raw_Data!AL946 / Raw_Data!AK946, "")</f>
        <v>7.746478873239436E-2</v>
      </c>
      <c r="AN946" s="3" t="str">
        <f>IF(ISBLANK(Raw_Data!AL946), "No", "Yes")</f>
        <v>Yes</v>
      </c>
      <c r="AO946" s="3">
        <f>IFERROR(Raw_Data!Z946/60, "")</f>
        <v>17.7</v>
      </c>
    </row>
    <row r="947" spans="1:41" ht="13">
      <c r="A947" s="3">
        <f ca="1">IFERROR(__xludf.DUMMYFUNCTION("""COMPUTED_VALUE"""),470)</f>
        <v>470</v>
      </c>
      <c r="B947" s="3">
        <f ca="1">IFERROR(__xludf.DUMMYFUNCTION("""COMPUTED_VALUE"""),5)</f>
        <v>5</v>
      </c>
      <c r="C947" s="3">
        <f ca="1">IFERROR(__xludf.DUMMYFUNCTION("""COMPUTED_VALUE"""),4001)</f>
        <v>4001</v>
      </c>
      <c r="D947" s="3" t="str">
        <f ca="1">IFERROR(__xludf.DUMMYFUNCTION("""COMPUTED_VALUE"""),"Dashattan")</f>
        <v>Dashattan</v>
      </c>
      <c r="E947" s="3" t="str">
        <f ca="1">IFERROR(__xludf.DUMMYFUNCTION("""COMPUTED_VALUE"""),"Galaxy A")</f>
        <v>Galaxy A</v>
      </c>
      <c r="F947" s="3" t="str">
        <f ca="1">IFERROR(__xludf.DUMMYFUNCTION("""COMPUTED_VALUE"""),"Rojan")</f>
        <v>Rojan</v>
      </c>
      <c r="G947" s="3">
        <f ca="1">IFERROR(__xludf.DUMMYFUNCTION("""COMPUTED_VALUE"""),0)</f>
        <v>0</v>
      </c>
      <c r="H947" s="3" t="str">
        <f ca="1">IFERROR(__xludf.DUMMYFUNCTION("""COMPUTED_VALUE"""),"bicycle")</f>
        <v>bicycle</v>
      </c>
      <c r="I947" s="3" t="str">
        <f ca="1">IFERROR(__xludf.DUMMYFUNCTION("""COMPUTED_VALUE"""),"2055-06-04T22:39:18.820907Z")</f>
        <v>2055-06-04T22:39:18.820907Z</v>
      </c>
      <c r="J947" s="3" t="str">
        <f ca="1">IFERROR(__xludf.DUMMYFUNCTION("""COMPUTED_VALUE"""),"2055-06-04T23:28:55.883Z")</f>
        <v>2055-06-04T23:28:55.883Z</v>
      </c>
      <c r="K947" s="3" t="str">
        <f ca="1">IFERROR(__xludf.DUMMYFUNCTION("""COMPUTED_VALUE"""),"2055-06-04T23:10:02.883Z")</f>
        <v>2055-06-04T23:10:02.883Z</v>
      </c>
      <c r="L947" s="3">
        <f ca="1">IFERROR(__xludf.DUMMYFUNCTION("""COMPUTED_VALUE"""),1)</f>
        <v>1</v>
      </c>
      <c r="M947" s="3">
        <f ca="1">IFERROR(__xludf.DUMMYFUNCTION("""COMPUTED_VALUE"""),0)</f>
        <v>0</v>
      </c>
      <c r="N947" s="3" t="str">
        <f ca="1">IFERROR(__xludf.DUMMYFUNCTION("""COMPUTED_VALUE"""),"2055-06-04T22:54:52.105978Z")</f>
        <v>2055-06-04T22:54:52.105978Z</v>
      </c>
      <c r="O947" s="3" t="str">
        <f ca="1">IFERROR(__xludf.DUMMYFUNCTION("""COMPUTED_VALUE"""),"2055-06-04T23:07:12.41673Z")</f>
        <v>2055-06-04T23:07:12.41673Z</v>
      </c>
      <c r="P947" s="3" t="str">
        <f ca="1">IFERROR(__xludf.DUMMYFUNCTION("""COMPUTED_VALUE"""),"2055-06-04T22:39:34.624353Z")</f>
        <v>2055-06-04T22:39:34.624353Z</v>
      </c>
      <c r="Q947" s="3">
        <f ca="1">IFERROR(__xludf.DUMMYFUNCTION("""COMPUTED_VALUE"""),0)</f>
        <v>0</v>
      </c>
      <c r="R947" s="3" t="str">
        <f ca="1">IFERROR(__xludf.DUMMYFUNCTION("""COMPUTED_VALUE"""),"2055-06-04T22:39:54.895188Z")</f>
        <v>2055-06-04T22:39:54.895188Z</v>
      </c>
      <c r="S947" s="3" t="str">
        <f ca="1">IFERROR(__xludf.DUMMYFUNCTION("""COMPUTED_VALUE"""),"2055-06-04T22:44:32.54334Z")</f>
        <v>2055-06-04T22:44:32.54334Z</v>
      </c>
      <c r="T947" s="3"/>
      <c r="U947" s="4">
        <f ca="1">IFERROR(__xludf.DUMMYFUNCTION("""COMPUTED_VALUE"""),56769)</f>
        <v>56769</v>
      </c>
      <c r="V947" s="3">
        <f ca="1">IFERROR(__xludf.DUMMYFUNCTION("""COMPUTED_VALUE"""),4.5)</f>
        <v>4.5</v>
      </c>
      <c r="W947" s="3">
        <f ca="1">IFERROR(__xludf.DUMMYFUNCTION("""COMPUTED_VALUE"""),1500)</f>
        <v>1500</v>
      </c>
      <c r="X947" s="3">
        <f ca="1">IFERROR(__xludf.DUMMYFUNCTION("""COMPUTED_VALUE"""),1638)</f>
        <v>1638</v>
      </c>
      <c r="Y947" s="3">
        <f ca="1">IFERROR(__xludf.DUMMYFUNCTION("""COMPUTED_VALUE"""),278)</f>
        <v>278</v>
      </c>
      <c r="Z947" s="3">
        <f ca="1">IFERROR(__xludf.DUMMYFUNCTION("""COMPUTED_VALUE"""),620)</f>
        <v>620</v>
      </c>
      <c r="AA947" s="3">
        <f ca="1">IFERROR(__xludf.DUMMYFUNCTION("""COMPUTED_VALUE"""),740)</f>
        <v>740</v>
      </c>
      <c r="AB947" s="3">
        <f ca="1">IFERROR(__xludf.DUMMYFUNCTION("""COMPUTED_VALUE"""),0)</f>
        <v>0</v>
      </c>
      <c r="AC947" s="3">
        <f ca="1">IFERROR(__xludf.DUMMYFUNCTION("""COMPUTED_VALUE"""),2)</f>
        <v>2</v>
      </c>
      <c r="AD947" s="3" t="str">
        <f ca="1">IFERROR(__xludf.DUMMYFUNCTION("""COMPUTED_VALUE"""),"on time")</f>
        <v>on time</v>
      </c>
      <c r="AE947" s="3" t="str">
        <f ca="1">IFERROR(__xludf.DUMMYFUNCTION("""COMPUTED_VALUE"""),"2055-06-04T18:54:52.105978Z")</f>
        <v>2055-06-04T18:54:52.105978Z</v>
      </c>
      <c r="AF947" s="3" t="str">
        <f ca="1">IFERROR(__xludf.DUMMYFUNCTION("""COMPUTED_VALUE"""),"2055-06-04T19:07:12.41673Z")</f>
        <v>2055-06-04T19:07:12.41673Z</v>
      </c>
      <c r="AG947" s="3" t="str">
        <f ca="1">IFERROR(__xludf.DUMMYFUNCTION("""COMPUTED_VALUE"""),"2055-06-04T18:39:34.624353Z")</f>
        <v>2055-06-04T18:39:34.624353Z</v>
      </c>
      <c r="AH947" s="3" t="str">
        <f ca="1">IFERROR(__xludf.DUMMYFUNCTION("""COMPUTED_VALUE"""),"2055-06-04T18:44:32.54334Z")</f>
        <v>2055-06-04T18:44:32.54334Z</v>
      </c>
      <c r="AI947" s="3">
        <f ca="1">IFERROR(__xludf.DUMMYFUNCTION("""COMPUTED_VALUE"""),4.58)</f>
        <v>4.58</v>
      </c>
      <c r="AJ947" s="3">
        <f ca="1">IFERROR(__xludf.DUMMYFUNCTION("""COMPUTED_VALUE"""),254)</f>
        <v>254</v>
      </c>
      <c r="AK947" s="3">
        <f ca="1">IFERROR(__xludf.DUMMYFUNCTION("""COMPUTED_VALUE"""),788)</f>
        <v>788</v>
      </c>
      <c r="AL947" s="3">
        <f ca="1">IFERROR(__xludf.DUMMYFUNCTION("""COMPUTED_VALUE"""),9)</f>
        <v>9</v>
      </c>
      <c r="AM947" s="3">
        <f>IFERROR(Raw_Data!AL947 / Raw_Data!AK947, "")</f>
        <v>1.1421319796954314E-2</v>
      </c>
      <c r="AN947" s="3" t="str">
        <f>IF(ISBLANK(Raw_Data!AL947), "No", "Yes")</f>
        <v>Yes</v>
      </c>
      <c r="AO947" s="3">
        <f>IFERROR(Raw_Data!Z947/60, "")</f>
        <v>10.333333333333334</v>
      </c>
    </row>
    <row r="948" spans="1:41" ht="13">
      <c r="A948" s="3">
        <f ca="1">IFERROR(__xludf.DUMMYFUNCTION("""COMPUTED_VALUE"""),773)</f>
        <v>773</v>
      </c>
      <c r="B948" s="3"/>
      <c r="C948" s="3">
        <f ca="1">IFERROR(__xludf.DUMMYFUNCTION("""COMPUTED_VALUE"""),4050)</f>
        <v>4050</v>
      </c>
      <c r="D948" s="3" t="str">
        <f ca="1">IFERROR(__xludf.DUMMYFUNCTION("""COMPUTED_VALUE"""),"Doorlanta")</f>
        <v>Doorlanta</v>
      </c>
      <c r="E948" s="3" t="str">
        <f ca="1">IFERROR(__xludf.DUMMYFUNCTION("""COMPUTED_VALUE"""),"Galaxy A")</f>
        <v>Galaxy A</v>
      </c>
      <c r="F948" s="3" t="str">
        <f ca="1">IFERROR(__xludf.DUMMYFUNCTION("""COMPUTED_VALUE"""),"Jagar")</f>
        <v>Jagar</v>
      </c>
      <c r="G948" s="3">
        <f ca="1">IFERROR(__xludf.DUMMYFUNCTION("""COMPUTED_VALUE"""),0)</f>
        <v>0</v>
      </c>
      <c r="H948" s="3" t="str">
        <f ca="1">IFERROR(__xludf.DUMMYFUNCTION("""COMPUTED_VALUE"""),"car")</f>
        <v>car</v>
      </c>
      <c r="I948" s="3" t="str">
        <f ca="1">IFERROR(__xludf.DUMMYFUNCTION("""COMPUTED_VALUE"""),"2055-06-06T22:13:57.777959Z")</f>
        <v>2055-06-06T22:13:57.777959Z</v>
      </c>
      <c r="J948" s="3" t="str">
        <f ca="1">IFERROR(__xludf.DUMMYFUNCTION("""COMPUTED_VALUE"""),"2055-06-06T23:30:00Z")</f>
        <v>2055-06-06T23:30:00Z</v>
      </c>
      <c r="K948" s="3" t="str">
        <f ca="1">IFERROR(__xludf.DUMMYFUNCTION("""COMPUTED_VALUE"""),"2055-06-06T23:30:00Z")</f>
        <v>2055-06-06T23:30:00Z</v>
      </c>
      <c r="L948" s="3">
        <f ca="1">IFERROR(__xludf.DUMMYFUNCTION("""COMPUTED_VALUE"""),0)</f>
        <v>0</v>
      </c>
      <c r="M948" s="3">
        <f ca="1">IFERROR(__xludf.DUMMYFUNCTION("""COMPUTED_VALUE"""),0)</f>
        <v>0</v>
      </c>
      <c r="N948" s="3" t="str">
        <f ca="1">IFERROR(__xludf.DUMMYFUNCTION("""COMPUTED_VALUE"""),"2055-06-06T22:59:11.78819Z")</f>
        <v>2055-06-06T22:59:11.78819Z</v>
      </c>
      <c r="O948" s="3" t="str">
        <f ca="1">IFERROR(__xludf.DUMMYFUNCTION("""COMPUTED_VALUE"""),"2055-06-06T23:05:21.58672Z")</f>
        <v>2055-06-06T23:05:21.58672Z</v>
      </c>
      <c r="P948" s="3" t="str">
        <f ca="1">IFERROR(__xludf.DUMMYFUNCTION("""COMPUTED_VALUE"""),"2055-06-06T22:32:07.567313Z")</f>
        <v>2055-06-06T22:32:07.567313Z</v>
      </c>
      <c r="Q948" s="3">
        <f ca="1">IFERROR(__xludf.DUMMYFUNCTION("""COMPUTED_VALUE"""),0)</f>
        <v>0</v>
      </c>
      <c r="R948" s="3" t="str">
        <f ca="1">IFERROR(__xludf.DUMMYFUNCTION("""COMPUTED_VALUE"""),"2055-06-06T22:32:13.514824Z")</f>
        <v>2055-06-06T22:32:13.514824Z</v>
      </c>
      <c r="S948" s="3"/>
      <c r="T948" s="3"/>
      <c r="U948" s="4">
        <f ca="1">IFERROR(__xludf.DUMMYFUNCTION("""COMPUTED_VALUE"""),56771)</f>
        <v>56771</v>
      </c>
      <c r="V948" s="3">
        <f ca="1">IFERROR(__xludf.DUMMYFUNCTION("""COMPUTED_VALUE"""),4.5)</f>
        <v>4.5</v>
      </c>
      <c r="W948" s="3">
        <f ca="1">IFERROR(__xludf.DUMMYFUNCTION("""COMPUTED_VALUE"""),1500)</f>
        <v>1500</v>
      </c>
      <c r="X948" s="3">
        <f ca="1">IFERROR(__xludf.DUMMYFUNCTION("""COMPUTED_VALUE"""),1988)</f>
        <v>1988</v>
      </c>
      <c r="Y948" s="3"/>
      <c r="Z948" s="3"/>
      <c r="AA948" s="3">
        <f ca="1">IFERROR(__xludf.DUMMYFUNCTION("""COMPUTED_VALUE"""),370)</f>
        <v>370</v>
      </c>
      <c r="AB948" s="3">
        <f ca="1">IFERROR(__xludf.DUMMYFUNCTION("""COMPUTED_VALUE"""),0)</f>
        <v>0</v>
      </c>
      <c r="AC948" s="3">
        <f ca="1">IFERROR(__xludf.DUMMYFUNCTION("""COMPUTED_VALUE"""),1)</f>
        <v>1</v>
      </c>
      <c r="AD948" s="3"/>
      <c r="AE948" s="3" t="str">
        <f ca="1">IFERROR(__xludf.DUMMYFUNCTION("""COMPUTED_VALUE"""),"2055-06-06T18:59:11.78819Z")</f>
        <v>2055-06-06T18:59:11.78819Z</v>
      </c>
      <c r="AF948" s="3" t="str">
        <f ca="1">IFERROR(__xludf.DUMMYFUNCTION("""COMPUTED_VALUE"""),"2055-06-06T19:05:21.58672Z")</f>
        <v>2055-06-06T19:05:21.58672Z</v>
      </c>
      <c r="AG948" s="3" t="str">
        <f ca="1">IFERROR(__xludf.DUMMYFUNCTION("""COMPUTED_VALUE"""),"2055-06-06T18:32:07.567313Z")</f>
        <v>2055-06-06T18:32:07.567313Z</v>
      </c>
      <c r="AH948" s="3"/>
      <c r="AI948" s="3">
        <f ca="1">IFERROR(__xludf.DUMMYFUNCTION("""COMPUTED_VALUE"""),4.89)</f>
        <v>4.8899999999999997</v>
      </c>
      <c r="AJ948" s="3">
        <f ca="1">IFERROR(__xludf.DUMMYFUNCTION("""COMPUTED_VALUE"""),1778)</f>
        <v>1778</v>
      </c>
      <c r="AK948" s="3">
        <f ca="1">IFERROR(__xludf.DUMMYFUNCTION("""COMPUTED_VALUE"""),5138)</f>
        <v>5138</v>
      </c>
      <c r="AL948" s="3">
        <f ca="1">IFERROR(__xludf.DUMMYFUNCTION("""COMPUTED_VALUE"""),314)</f>
        <v>314</v>
      </c>
      <c r="AM948" s="3">
        <f>IFERROR(Raw_Data!AL948 / Raw_Data!AK948, "")</f>
        <v>6.1113273647333592E-2</v>
      </c>
      <c r="AN948" s="3" t="str">
        <f>IF(ISBLANK(Raw_Data!AL948), "No", "Yes")</f>
        <v>Yes</v>
      </c>
      <c r="AO948" s="3">
        <f>IFERROR(Raw_Data!Z948/60, "")</f>
        <v>0</v>
      </c>
    </row>
    <row r="949" spans="1:41" ht="13">
      <c r="A949" s="3">
        <f ca="1">IFERROR(__xludf.DUMMYFUNCTION("""COMPUTED_VALUE"""),832)</f>
        <v>832</v>
      </c>
      <c r="B949" s="3">
        <f ca="1">IFERROR(__xludf.DUMMYFUNCTION("""COMPUTED_VALUE"""),5)</f>
        <v>5</v>
      </c>
      <c r="C949" s="3">
        <f ca="1">IFERROR(__xludf.DUMMYFUNCTION("""COMPUTED_VALUE"""),4001)</f>
        <v>4001</v>
      </c>
      <c r="D949" s="3" t="str">
        <f ca="1">IFERROR(__xludf.DUMMYFUNCTION("""COMPUTED_VALUE"""),"Dashattan")</f>
        <v>Dashattan</v>
      </c>
      <c r="E949" s="3" t="str">
        <f ca="1">IFERROR(__xludf.DUMMYFUNCTION("""COMPUTED_VALUE"""),"Galaxy A")</f>
        <v>Galaxy A</v>
      </c>
      <c r="F949" s="3" t="str">
        <f ca="1">IFERROR(__xludf.DUMMYFUNCTION("""COMPUTED_VALUE"""),"KC")</f>
        <v>KC</v>
      </c>
      <c r="G949" s="3">
        <f ca="1">IFERROR(__xludf.DUMMYFUNCTION("""COMPUTED_VALUE"""),0)</f>
        <v>0</v>
      </c>
      <c r="H949" s="3" t="str">
        <f ca="1">IFERROR(__xludf.DUMMYFUNCTION("""COMPUTED_VALUE"""),"car")</f>
        <v>car</v>
      </c>
      <c r="I949" s="3" t="str">
        <f ca="1">IFERROR(__xludf.DUMMYFUNCTION("""COMPUTED_VALUE"""),"2055-06-07T15:25:16.092567Z")</f>
        <v>2055-06-07T15:25:16.092567Z</v>
      </c>
      <c r="J949" s="3" t="str">
        <f ca="1">IFERROR(__xludf.DUMMYFUNCTION("""COMPUTED_VALUE"""),"2055-06-07T16:37:31.172Z")</f>
        <v>2055-06-07T16:37:31.172Z</v>
      </c>
      <c r="K949" s="3" t="str">
        <f ca="1">IFERROR(__xludf.DUMMYFUNCTION("""COMPUTED_VALUE"""),"2055-06-07T16:27:50.172Z")</f>
        <v>2055-06-07T16:27:50.172Z</v>
      </c>
      <c r="L949" s="3">
        <f ca="1">IFERROR(__xludf.DUMMYFUNCTION("""COMPUTED_VALUE"""),1)</f>
        <v>1</v>
      </c>
      <c r="M949" s="3">
        <f ca="1">IFERROR(__xludf.DUMMYFUNCTION("""COMPUTED_VALUE"""),0)</f>
        <v>0</v>
      </c>
      <c r="N949" s="3" t="str">
        <f ca="1">IFERROR(__xludf.DUMMYFUNCTION("""COMPUTED_VALUE"""),"2055-06-07T15:57:08.692708Z")</f>
        <v>2055-06-07T15:57:08.692708Z</v>
      </c>
      <c r="O949" s="3" t="str">
        <f ca="1">IFERROR(__xludf.DUMMYFUNCTION("""COMPUTED_VALUE"""),"2055-06-07T16:03:26.072108Z")</f>
        <v>2055-06-07T16:03:26.072108Z</v>
      </c>
      <c r="P949" s="3" t="str">
        <f ca="1">IFERROR(__xludf.DUMMYFUNCTION("""COMPUTED_VALUE"""),"2055-06-07T15:39:14.567227Z")</f>
        <v>2055-06-07T15:39:14.567227Z</v>
      </c>
      <c r="Q949" s="3">
        <f ca="1">IFERROR(__xludf.DUMMYFUNCTION("""COMPUTED_VALUE"""),0)</f>
        <v>0</v>
      </c>
      <c r="R949" s="3" t="str">
        <f ca="1">IFERROR(__xludf.DUMMYFUNCTION("""COMPUTED_VALUE"""),"2055-06-07T15:39:30.428758Z")</f>
        <v>2055-06-07T15:39:30.428758Z</v>
      </c>
      <c r="S949" s="3"/>
      <c r="T949" s="3"/>
      <c r="U949" s="4">
        <f ca="1">IFERROR(__xludf.DUMMYFUNCTION("""COMPUTED_VALUE"""),56772)</f>
        <v>56772</v>
      </c>
      <c r="V949" s="3">
        <f ca="1">IFERROR(__xludf.DUMMYFUNCTION("""COMPUTED_VALUE"""),4)</f>
        <v>4</v>
      </c>
      <c r="W949" s="3">
        <f ca="1">IFERROR(__xludf.DUMMYFUNCTION("""COMPUTED_VALUE"""),1500)</f>
        <v>1500</v>
      </c>
      <c r="X949" s="3">
        <f ca="1">IFERROR(__xludf.DUMMYFUNCTION("""COMPUTED_VALUE"""),1436)</f>
        <v>1436</v>
      </c>
      <c r="Y949" s="3"/>
      <c r="Z949" s="3"/>
      <c r="AA949" s="3">
        <f ca="1">IFERROR(__xludf.DUMMYFUNCTION("""COMPUTED_VALUE"""),378)</f>
        <v>378</v>
      </c>
      <c r="AB949" s="3">
        <f ca="1">IFERROR(__xludf.DUMMYFUNCTION("""COMPUTED_VALUE"""),0)</f>
        <v>0</v>
      </c>
      <c r="AC949" s="3">
        <f ca="1">IFERROR(__xludf.DUMMYFUNCTION("""COMPUTED_VALUE"""),2)</f>
        <v>2</v>
      </c>
      <c r="AD949" s="3"/>
      <c r="AE949" s="3" t="str">
        <f ca="1">IFERROR(__xludf.DUMMYFUNCTION("""COMPUTED_VALUE"""),"2055-06-07T11:57:08.692708Z")</f>
        <v>2055-06-07T11:57:08.692708Z</v>
      </c>
      <c r="AF949" s="3" t="str">
        <f ca="1">IFERROR(__xludf.DUMMYFUNCTION("""COMPUTED_VALUE"""),"2055-06-07T12:03:26.072108Z")</f>
        <v>2055-06-07T12:03:26.072108Z</v>
      </c>
      <c r="AG949" s="3" t="str">
        <f ca="1">IFERROR(__xludf.DUMMYFUNCTION("""COMPUTED_VALUE"""),"2055-06-07T11:39:14.567227Z")</f>
        <v>2055-06-07T11:39:14.567227Z</v>
      </c>
      <c r="AH949" s="3"/>
      <c r="AI949" s="3">
        <f ca="1">IFERROR(__xludf.DUMMYFUNCTION("""COMPUTED_VALUE"""),4.54)</f>
        <v>4.54</v>
      </c>
      <c r="AJ949" s="3">
        <f ca="1">IFERROR(__xludf.DUMMYFUNCTION("""COMPUTED_VALUE"""),2229)</f>
        <v>2229</v>
      </c>
      <c r="AK949" s="3">
        <f ca="1">IFERROR(__xludf.DUMMYFUNCTION("""COMPUTED_VALUE"""),6580)</f>
        <v>6580</v>
      </c>
      <c r="AL949" s="3"/>
      <c r="AM949" s="3">
        <f>IFERROR(Raw_Data!AL949 / Raw_Data!AK949, "")</f>
        <v>0</v>
      </c>
      <c r="AN949" s="3" t="str">
        <f>IF(ISBLANK(Raw_Data!AL949), "No", "Yes")</f>
        <v>No</v>
      </c>
      <c r="AO949" s="3">
        <f>IFERROR(Raw_Data!Z949/60, "")</f>
        <v>0</v>
      </c>
    </row>
    <row r="950" spans="1:41" ht="13">
      <c r="A950" s="3">
        <f ca="1">IFERROR(__xludf.DUMMYFUNCTION("""COMPUTED_VALUE"""),948)</f>
        <v>948</v>
      </c>
      <c r="B950" s="3"/>
      <c r="C950" s="3">
        <f ca="1">IFERROR(__xludf.DUMMYFUNCTION("""COMPUTED_VALUE"""),4050)</f>
        <v>4050</v>
      </c>
      <c r="D950" s="3" t="str">
        <f ca="1">IFERROR(__xludf.DUMMYFUNCTION("""COMPUTED_VALUE"""),"Doorlanta")</f>
        <v>Doorlanta</v>
      </c>
      <c r="E950" s="3" t="str">
        <f ca="1">IFERROR(__xludf.DUMMYFUNCTION("""COMPUTED_VALUE"""),"Galaxy A")</f>
        <v>Galaxy A</v>
      </c>
      <c r="F950" s="3" t="str">
        <f ca="1">IFERROR(__xludf.DUMMYFUNCTION("""COMPUTED_VALUE"""),"Jagar")</f>
        <v>Jagar</v>
      </c>
      <c r="G950" s="3">
        <f ca="1">IFERROR(__xludf.DUMMYFUNCTION("""COMPUTED_VALUE"""),0)</f>
        <v>0</v>
      </c>
      <c r="H950" s="3" t="str">
        <f ca="1">IFERROR(__xludf.DUMMYFUNCTION("""COMPUTED_VALUE"""),"car")</f>
        <v>car</v>
      </c>
      <c r="I950" s="3" t="str">
        <f ca="1">IFERROR(__xludf.DUMMYFUNCTION("""COMPUTED_VALUE"""),"2055-06-08T17:02:37.580108Z")</f>
        <v>2055-06-08T17:02:37.580108Z</v>
      </c>
      <c r="J950" s="3" t="str">
        <f ca="1">IFERROR(__xludf.DUMMYFUNCTION("""COMPUTED_VALUE"""),"2055-06-08T17:47:37.648Z")</f>
        <v>2055-06-08T17:47:37.648Z</v>
      </c>
      <c r="K950" s="3" t="str">
        <f ca="1">IFERROR(__xludf.DUMMYFUNCTION("""COMPUTED_VALUE"""),"2055-06-08T17:36:27.648Z")</f>
        <v>2055-06-08T17:36:27.648Z</v>
      </c>
      <c r="L950" s="3">
        <f ca="1">IFERROR(__xludf.DUMMYFUNCTION("""COMPUTED_VALUE"""),1)</f>
        <v>1</v>
      </c>
      <c r="M950" s="3">
        <f ca="1">IFERROR(__xludf.DUMMYFUNCTION("""COMPUTED_VALUE"""),0)</f>
        <v>0</v>
      </c>
      <c r="N950" s="3" t="str">
        <f ca="1">IFERROR(__xludf.DUMMYFUNCTION("""COMPUTED_VALUE"""),"2055-06-08T17:19:06.212182Z")</f>
        <v>2055-06-08T17:19:06.212182Z</v>
      </c>
      <c r="O950" s="3" t="str">
        <f ca="1">IFERROR(__xludf.DUMMYFUNCTION("""COMPUTED_VALUE"""),"2055-06-08T17:22:21.272978Z")</f>
        <v>2055-06-08T17:22:21.272978Z</v>
      </c>
      <c r="P950" s="3" t="str">
        <f ca="1">IFERROR(__xludf.DUMMYFUNCTION("""COMPUTED_VALUE"""),"2055-06-08T17:02:47.32451Z")</f>
        <v>2055-06-08T17:02:47.32451Z</v>
      </c>
      <c r="Q950" s="3">
        <f ca="1">IFERROR(__xludf.DUMMYFUNCTION("""COMPUTED_VALUE"""),0)</f>
        <v>0</v>
      </c>
      <c r="R950" s="3" t="str">
        <f ca="1">IFERROR(__xludf.DUMMYFUNCTION("""COMPUTED_VALUE"""),"2055-06-08T17:03:18.927452Z")</f>
        <v>2055-06-08T17:03:18.927452Z</v>
      </c>
      <c r="S950" s="3" t="str">
        <f ca="1">IFERROR(__xludf.DUMMYFUNCTION("""COMPUTED_VALUE"""),"2055-06-08T17:12:05.572816Z")</f>
        <v>2055-06-08T17:12:05.572816Z</v>
      </c>
      <c r="T950" s="3"/>
      <c r="U950" s="4">
        <f ca="1">IFERROR(__xludf.DUMMYFUNCTION("""COMPUTED_VALUE"""),56773)</f>
        <v>56773</v>
      </c>
      <c r="V950" s="3">
        <f ca="1">IFERROR(__xludf.DUMMYFUNCTION("""COMPUTED_VALUE"""),4.6)</f>
        <v>4.5999999999999996</v>
      </c>
      <c r="W950" s="3">
        <f ca="1">IFERROR(__xludf.DUMMYFUNCTION("""COMPUTED_VALUE"""),1500)</f>
        <v>1500</v>
      </c>
      <c r="X950" s="3">
        <f ca="1">IFERROR(__xludf.DUMMYFUNCTION("""COMPUTED_VALUE"""),1143)</f>
        <v>1143</v>
      </c>
      <c r="Y950" s="3">
        <f ca="1">IFERROR(__xludf.DUMMYFUNCTION("""COMPUTED_VALUE"""),527)</f>
        <v>527</v>
      </c>
      <c r="Z950" s="3">
        <f ca="1">IFERROR(__xludf.DUMMYFUNCTION("""COMPUTED_VALUE"""),421)</f>
        <v>421</v>
      </c>
      <c r="AA950" s="3">
        <f ca="1">IFERROR(__xludf.DUMMYFUNCTION("""COMPUTED_VALUE"""),195)</f>
        <v>195</v>
      </c>
      <c r="AB950" s="3">
        <f ca="1">IFERROR(__xludf.DUMMYFUNCTION("""COMPUTED_VALUE"""),0)</f>
        <v>0</v>
      </c>
      <c r="AC950" s="3">
        <f ca="1">IFERROR(__xludf.DUMMYFUNCTION("""COMPUTED_VALUE"""),2)</f>
        <v>2</v>
      </c>
      <c r="AD950" s="3" t="str">
        <f ca="1">IFERROR(__xludf.DUMMYFUNCTION("""COMPUTED_VALUE"""),"early")</f>
        <v>early</v>
      </c>
      <c r="AE950" s="3" t="str">
        <f ca="1">IFERROR(__xludf.DUMMYFUNCTION("""COMPUTED_VALUE"""),"2055-06-08T13:19:06.212182Z")</f>
        <v>2055-06-08T13:19:06.212182Z</v>
      </c>
      <c r="AF950" s="3" t="str">
        <f ca="1">IFERROR(__xludf.DUMMYFUNCTION("""COMPUTED_VALUE"""),"2055-06-08T13:22:21.272978Z")</f>
        <v>2055-06-08T13:22:21.272978Z</v>
      </c>
      <c r="AG950" s="3" t="str">
        <f ca="1">IFERROR(__xludf.DUMMYFUNCTION("""COMPUTED_VALUE"""),"2055-06-08T13:02:47.32451Z")</f>
        <v>2055-06-08T13:02:47.32451Z</v>
      </c>
      <c r="AH950" s="3" t="str">
        <f ca="1">IFERROR(__xludf.DUMMYFUNCTION("""COMPUTED_VALUE"""),"2055-06-08T13:12:05.572816Z")</f>
        <v>2055-06-08T13:12:05.572816Z</v>
      </c>
      <c r="AI950" s="3">
        <f ca="1">IFERROR(__xludf.DUMMYFUNCTION("""COMPUTED_VALUE"""),4.89)</f>
        <v>4.8899999999999997</v>
      </c>
      <c r="AJ950" s="3">
        <f ca="1">IFERROR(__xludf.DUMMYFUNCTION("""COMPUTED_VALUE"""),1778)</f>
        <v>1778</v>
      </c>
      <c r="AK950" s="3">
        <f ca="1">IFERROR(__xludf.DUMMYFUNCTION("""COMPUTED_VALUE"""),5138)</f>
        <v>5138</v>
      </c>
      <c r="AL950" s="3">
        <f ca="1">IFERROR(__xludf.DUMMYFUNCTION("""COMPUTED_VALUE"""),314)</f>
        <v>314</v>
      </c>
      <c r="AM950" s="3">
        <f>IFERROR(Raw_Data!AL950 / Raw_Data!AK950, "")</f>
        <v>6.1113273647333592E-2</v>
      </c>
      <c r="AN950" s="3" t="str">
        <f>IF(ISBLANK(Raw_Data!AL950), "No", "Yes")</f>
        <v>Yes</v>
      </c>
      <c r="AO950" s="3">
        <f>IFERROR(Raw_Data!Z950/60, "")</f>
        <v>7.0166666666666666</v>
      </c>
    </row>
    <row r="951" spans="1:41" ht="13">
      <c r="A951" s="3">
        <f ca="1">IFERROR(__xludf.DUMMYFUNCTION("""COMPUTED_VALUE"""),873)</f>
        <v>873</v>
      </c>
      <c r="B951" s="3">
        <f ca="1">IFERROR(__xludf.DUMMYFUNCTION("""COMPUTED_VALUE"""),5)</f>
        <v>5</v>
      </c>
      <c r="C951" s="3">
        <f ca="1">IFERROR(__xludf.DUMMYFUNCTION("""COMPUTED_VALUE"""),4050)</f>
        <v>4050</v>
      </c>
      <c r="D951" s="3" t="str">
        <f ca="1">IFERROR(__xludf.DUMMYFUNCTION("""COMPUTED_VALUE"""),"Doorlanta")</f>
        <v>Doorlanta</v>
      </c>
      <c r="E951" s="3" t="str">
        <f ca="1">IFERROR(__xludf.DUMMYFUNCTION("""COMPUTED_VALUE"""),"Galaxy A")</f>
        <v>Galaxy A</v>
      </c>
      <c r="F951" s="3" t="str">
        <f ca="1">IFERROR(__xludf.DUMMYFUNCTION("""COMPUTED_VALUE"""),"Elon")</f>
        <v>Elon</v>
      </c>
      <c r="G951" s="3">
        <f ca="1">IFERROR(__xludf.DUMMYFUNCTION("""COMPUTED_VALUE"""),0)</f>
        <v>0</v>
      </c>
      <c r="H951" s="3" t="str">
        <f ca="1">IFERROR(__xludf.DUMMYFUNCTION("""COMPUTED_VALUE"""),"car")</f>
        <v>car</v>
      </c>
      <c r="I951" s="3" t="str">
        <f ca="1">IFERROR(__xludf.DUMMYFUNCTION("""COMPUTED_VALUE"""),"2055-06-07T20:57:52.035425Z")</f>
        <v>2055-06-07T20:57:52.035425Z</v>
      </c>
      <c r="J951" s="3" t="str">
        <f ca="1">IFERROR(__xludf.DUMMYFUNCTION("""COMPUTED_VALUE"""),"2055-06-07T21:52:52.103Z")</f>
        <v>2055-06-07T21:52:52.103Z</v>
      </c>
      <c r="K951" s="3" t="str">
        <f ca="1">IFERROR(__xludf.DUMMYFUNCTION("""COMPUTED_VALUE"""),"2055-06-07T21:32:20.103Z")</f>
        <v>2055-06-07T21:32:20.103Z</v>
      </c>
      <c r="L951" s="3">
        <f ca="1">IFERROR(__xludf.DUMMYFUNCTION("""COMPUTED_VALUE"""),1)</f>
        <v>1</v>
      </c>
      <c r="M951" s="3">
        <f ca="1">IFERROR(__xludf.DUMMYFUNCTION("""COMPUTED_VALUE"""),0)</f>
        <v>0</v>
      </c>
      <c r="N951" s="3" t="str">
        <f ca="1">IFERROR(__xludf.DUMMYFUNCTION("""COMPUTED_VALUE"""),"2055-06-07T21:29:15.715107Z")</f>
        <v>2055-06-07T21:29:15.715107Z</v>
      </c>
      <c r="O951" s="3" t="str">
        <f ca="1">IFERROR(__xludf.DUMMYFUNCTION("""COMPUTED_VALUE"""),"2055-06-07T21:28:23.63759Z")</f>
        <v>2055-06-07T21:28:23.63759Z</v>
      </c>
      <c r="P951" s="3" t="str">
        <f ca="1">IFERROR(__xludf.DUMMYFUNCTION("""COMPUTED_VALUE"""),"2055-06-07T20:58:07.230105Z")</f>
        <v>2055-06-07T20:58:07.230105Z</v>
      </c>
      <c r="Q951" s="3">
        <f ca="1">IFERROR(__xludf.DUMMYFUNCTION("""COMPUTED_VALUE"""),0)</f>
        <v>0</v>
      </c>
      <c r="R951" s="3" t="str">
        <f ca="1">IFERROR(__xludf.DUMMYFUNCTION("""COMPUTED_VALUE"""),"2055-06-07T20:59:11.331781Z")</f>
        <v>2055-06-07T20:59:11.331781Z</v>
      </c>
      <c r="S951" s="3" t="str">
        <f ca="1">IFERROR(__xludf.DUMMYFUNCTION("""COMPUTED_VALUE"""),"2055-06-07T21:06:16.271633Z")</f>
        <v>2055-06-07T21:06:16.271633Z</v>
      </c>
      <c r="T951" s="3"/>
      <c r="U951" s="4">
        <f ca="1">IFERROR(__xludf.DUMMYFUNCTION("""COMPUTED_VALUE"""),56772)</f>
        <v>56772</v>
      </c>
      <c r="V951" s="3">
        <f ca="1">IFERROR(__xludf.DUMMYFUNCTION("""COMPUTED_VALUE"""),2.664619877)</f>
        <v>2.6646198769999998</v>
      </c>
      <c r="W951" s="3">
        <f ca="1">IFERROR(__xludf.DUMMYFUNCTION("""COMPUTED_VALUE"""),1500)</f>
        <v>1500</v>
      </c>
      <c r="X951" s="3">
        <f ca="1">IFERROR(__xludf.DUMMYFUNCTION("""COMPUTED_VALUE"""),1752)</f>
        <v>1752</v>
      </c>
      <c r="Y951" s="3">
        <f ca="1">IFERROR(__xludf.DUMMYFUNCTION("""COMPUTED_VALUE"""),425)</f>
        <v>425</v>
      </c>
      <c r="Z951" s="3">
        <f ca="1">IFERROR(__xludf.DUMMYFUNCTION("""COMPUTED_VALUE"""),1379)</f>
        <v>1379</v>
      </c>
      <c r="AA951" s="3"/>
      <c r="AB951" s="3">
        <f ca="1">IFERROR(__xludf.DUMMYFUNCTION("""COMPUTED_VALUE"""),0)</f>
        <v>0</v>
      </c>
      <c r="AC951" s="3">
        <f ca="1">IFERROR(__xludf.DUMMYFUNCTION("""COMPUTED_VALUE"""),4)</f>
        <v>4</v>
      </c>
      <c r="AD951" s="3" t="str">
        <f ca="1">IFERROR(__xludf.DUMMYFUNCTION("""COMPUTED_VALUE"""),"on time")</f>
        <v>on time</v>
      </c>
      <c r="AE951" s="3" t="str">
        <f ca="1">IFERROR(__xludf.DUMMYFUNCTION("""COMPUTED_VALUE"""),"2055-06-07T17:29:15.715107Z")</f>
        <v>2055-06-07T17:29:15.715107Z</v>
      </c>
      <c r="AF951" s="3" t="str">
        <f ca="1">IFERROR(__xludf.DUMMYFUNCTION("""COMPUTED_VALUE"""),"2055-06-07T17:28:23.63759Z")</f>
        <v>2055-06-07T17:28:23.63759Z</v>
      </c>
      <c r="AG951" s="3" t="str">
        <f ca="1">IFERROR(__xludf.DUMMYFUNCTION("""COMPUTED_VALUE"""),"2055-06-07T16:58:07.230105Z")</f>
        <v>2055-06-07T16:58:07.230105Z</v>
      </c>
      <c r="AH951" s="3" t="str">
        <f ca="1">IFERROR(__xludf.DUMMYFUNCTION("""COMPUTED_VALUE"""),"2055-06-07T17:06:16.271633Z")</f>
        <v>2055-06-07T17:06:16.271633Z</v>
      </c>
      <c r="AI951" s="3">
        <f ca="1">IFERROR(__xludf.DUMMYFUNCTION("""COMPUTED_VALUE"""),4.62)</f>
        <v>4.62</v>
      </c>
      <c r="AJ951" s="3">
        <f ca="1">IFERROR(__xludf.DUMMYFUNCTION("""COMPUTED_VALUE"""),259)</f>
        <v>259</v>
      </c>
      <c r="AK951" s="3">
        <f ca="1">IFERROR(__xludf.DUMMYFUNCTION("""COMPUTED_VALUE"""),604)</f>
        <v>604</v>
      </c>
      <c r="AL951" s="3">
        <f ca="1">IFERROR(__xludf.DUMMYFUNCTION("""COMPUTED_VALUE"""),21)</f>
        <v>21</v>
      </c>
      <c r="AM951" s="3">
        <f>IFERROR(Raw_Data!AL951 / Raw_Data!AK951, "")</f>
        <v>3.4768211920529798E-2</v>
      </c>
      <c r="AN951" s="3" t="str">
        <f>IF(ISBLANK(Raw_Data!AL951), "No", "Yes")</f>
        <v>Yes</v>
      </c>
      <c r="AO951" s="3">
        <f>IFERROR(Raw_Data!Z951/60, "")</f>
        <v>22.983333333333334</v>
      </c>
    </row>
    <row r="952" spans="1:41" ht="13">
      <c r="A952" s="3">
        <f ca="1">IFERROR(__xludf.DUMMYFUNCTION("""COMPUTED_VALUE"""),1021)</f>
        <v>1021</v>
      </c>
      <c r="B952" s="3">
        <f ca="1">IFERROR(__xludf.DUMMYFUNCTION("""COMPUTED_VALUE"""),5)</f>
        <v>5</v>
      </c>
      <c r="C952" s="3">
        <f ca="1">IFERROR(__xludf.DUMMYFUNCTION("""COMPUTED_VALUE"""),4001)</f>
        <v>4001</v>
      </c>
      <c r="D952" s="3" t="str">
        <f ca="1">IFERROR(__xludf.DUMMYFUNCTION("""COMPUTED_VALUE"""),"Dashattan")</f>
        <v>Dashattan</v>
      </c>
      <c r="E952" s="3" t="str">
        <f ca="1">IFERROR(__xludf.DUMMYFUNCTION("""COMPUTED_VALUE"""),"Galaxy A")</f>
        <v>Galaxy A</v>
      </c>
      <c r="F952" s="3" t="str">
        <f ca="1">IFERROR(__xludf.DUMMYFUNCTION("""COMPUTED_VALUE"""),"Etan")</f>
        <v>Etan</v>
      </c>
      <c r="G952" s="3">
        <f ca="1">IFERROR(__xludf.DUMMYFUNCTION("""COMPUTED_VALUE"""),0)</f>
        <v>0</v>
      </c>
      <c r="H952" s="3" t="str">
        <f ca="1">IFERROR(__xludf.DUMMYFUNCTION("""COMPUTED_VALUE"""),"bicycle")</f>
        <v>bicycle</v>
      </c>
      <c r="I952" s="3" t="str">
        <f ca="1">IFERROR(__xludf.DUMMYFUNCTION("""COMPUTED_VALUE"""),"2055-06-09T15:17:58.19615Z")</f>
        <v>2055-06-09T15:17:58.19615Z</v>
      </c>
      <c r="J952" s="3" t="str">
        <f ca="1">IFERROR(__xludf.DUMMYFUNCTION("""COMPUTED_VALUE"""),"2055-06-09T16:11:22.26Z")</f>
        <v>2055-06-09T16:11:22.26Z</v>
      </c>
      <c r="K952" s="3" t="str">
        <f ca="1">IFERROR(__xludf.DUMMYFUNCTION("""COMPUTED_VALUE"""),"2055-06-09T15:51:43.26Z")</f>
        <v>2055-06-09T15:51:43.26Z</v>
      </c>
      <c r="L952" s="3">
        <f ca="1">IFERROR(__xludf.DUMMYFUNCTION("""COMPUTED_VALUE"""),1)</f>
        <v>1</v>
      </c>
      <c r="M952" s="3">
        <f ca="1">IFERROR(__xludf.DUMMYFUNCTION("""COMPUTED_VALUE"""),0)</f>
        <v>0</v>
      </c>
      <c r="N952" s="3" t="str">
        <f ca="1">IFERROR(__xludf.DUMMYFUNCTION("""COMPUTED_VALUE"""),"2055-06-09T15:39:01.258428Z")</f>
        <v>2055-06-09T15:39:01.258428Z</v>
      </c>
      <c r="O952" s="3" t="str">
        <f ca="1">IFERROR(__xludf.DUMMYFUNCTION("""COMPUTED_VALUE"""),"2055-06-09T16:05:17.26698Z")</f>
        <v>2055-06-09T16:05:17.26698Z</v>
      </c>
      <c r="P952" s="3" t="str">
        <f ca="1">IFERROR(__xludf.DUMMYFUNCTION("""COMPUTED_VALUE"""),"2055-06-09T15:22:34.105916Z")</f>
        <v>2055-06-09T15:22:34.105916Z</v>
      </c>
      <c r="Q952" s="3">
        <f ca="1">IFERROR(__xludf.DUMMYFUNCTION("""COMPUTED_VALUE"""),0)</f>
        <v>0</v>
      </c>
      <c r="R952" s="3" t="str">
        <f ca="1">IFERROR(__xludf.DUMMYFUNCTION("""COMPUTED_VALUE"""),"2055-06-09T15:22:37.299839Z")</f>
        <v>2055-06-09T15:22:37.299839Z</v>
      </c>
      <c r="S952" s="3" t="str">
        <f ca="1">IFERROR(__xludf.DUMMYFUNCTION("""COMPUTED_VALUE"""),"2055-06-09T15:36:17.469245Z")</f>
        <v>2055-06-09T15:36:17.469245Z</v>
      </c>
      <c r="T952" s="3"/>
      <c r="U952" s="4">
        <f ca="1">IFERROR(__xludf.DUMMYFUNCTION("""COMPUTED_VALUE"""),56774)</f>
        <v>56774</v>
      </c>
      <c r="V952" s="3">
        <f ca="1">IFERROR(__xludf.DUMMYFUNCTION("""COMPUTED_VALUE"""),4.3)</f>
        <v>4.3</v>
      </c>
      <c r="W952" s="3">
        <f ca="1">IFERROR(__xludf.DUMMYFUNCTION("""COMPUTED_VALUE"""),1500)</f>
        <v>1500</v>
      </c>
      <c r="X952" s="3">
        <f ca="1">IFERROR(__xludf.DUMMYFUNCTION("""COMPUTED_VALUE"""),2560)</f>
        <v>2560</v>
      </c>
      <c r="Y952" s="3">
        <f ca="1">IFERROR(__xludf.DUMMYFUNCTION("""COMPUTED_VALUE"""),820)</f>
        <v>820</v>
      </c>
      <c r="Z952" s="3">
        <f ca="1">IFERROR(__xludf.DUMMYFUNCTION("""COMPUTED_VALUE"""),164)</f>
        <v>164</v>
      </c>
      <c r="AA952" s="3">
        <f ca="1">IFERROR(__xludf.DUMMYFUNCTION("""COMPUTED_VALUE"""),1576)</f>
        <v>1576</v>
      </c>
      <c r="AB952" s="3">
        <f ca="1">IFERROR(__xludf.DUMMYFUNCTION("""COMPUTED_VALUE"""),1)</f>
        <v>1</v>
      </c>
      <c r="AC952" s="3">
        <f ca="1">IFERROR(__xludf.DUMMYFUNCTION("""COMPUTED_VALUE"""),2)</f>
        <v>2</v>
      </c>
      <c r="AD952" s="3"/>
      <c r="AE952" s="3" t="str">
        <f ca="1">IFERROR(__xludf.DUMMYFUNCTION("""COMPUTED_VALUE"""),"2055-06-09T11:39:01.258428Z")</f>
        <v>2055-06-09T11:39:01.258428Z</v>
      </c>
      <c r="AF952" s="3" t="str">
        <f ca="1">IFERROR(__xludf.DUMMYFUNCTION("""COMPUTED_VALUE"""),"2055-06-09T12:05:17.26698Z")</f>
        <v>2055-06-09T12:05:17.26698Z</v>
      </c>
      <c r="AG952" s="3" t="str">
        <f ca="1">IFERROR(__xludf.DUMMYFUNCTION("""COMPUTED_VALUE"""),"2055-06-09T11:22:34.105916Z")</f>
        <v>2055-06-09T11:22:34.105916Z</v>
      </c>
      <c r="AH952" s="3" t="str">
        <f ca="1">IFERROR(__xludf.DUMMYFUNCTION("""COMPUTED_VALUE"""),"2055-06-09T11:36:17.469245Z")</f>
        <v>2055-06-09T11:36:17.469245Z</v>
      </c>
      <c r="AI952" s="3">
        <f ca="1">IFERROR(__xludf.DUMMYFUNCTION("""COMPUTED_VALUE"""),4.35106383)</f>
        <v>4.3510638300000002</v>
      </c>
      <c r="AJ952" s="3">
        <f ca="1">IFERROR(__xludf.DUMMYFUNCTION("""COMPUTED_VALUE"""),62)</f>
        <v>62</v>
      </c>
      <c r="AK952" s="3">
        <f ca="1">IFERROR(__xludf.DUMMYFUNCTION("""COMPUTED_VALUE"""),228)</f>
        <v>228</v>
      </c>
      <c r="AL952" s="3"/>
      <c r="AM952" s="3">
        <f>IFERROR(Raw_Data!AL952 / Raw_Data!AK952, "")</f>
        <v>0</v>
      </c>
      <c r="AN952" s="3" t="str">
        <f>IF(ISBLANK(Raw_Data!AL952), "No", "Yes")</f>
        <v>No</v>
      </c>
      <c r="AO952" s="3">
        <f>IFERROR(Raw_Data!Z952/60, "")</f>
        <v>2.7333333333333334</v>
      </c>
    </row>
    <row r="953" spans="1:41" ht="13">
      <c r="A953" s="3">
        <f ca="1">IFERROR(__xludf.DUMMYFUNCTION("""COMPUTED_VALUE"""),474)</f>
        <v>474</v>
      </c>
      <c r="B953" s="3">
        <f ca="1">IFERROR(__xludf.DUMMYFUNCTION("""COMPUTED_VALUE"""),5)</f>
        <v>5</v>
      </c>
      <c r="C953" s="3">
        <f ca="1">IFERROR(__xludf.DUMMYFUNCTION("""COMPUTED_VALUE"""),4050)</f>
        <v>4050</v>
      </c>
      <c r="D953" s="3" t="str">
        <f ca="1">IFERROR(__xludf.DUMMYFUNCTION("""COMPUTED_VALUE"""),"Doorlanta")</f>
        <v>Doorlanta</v>
      </c>
      <c r="E953" s="3" t="str">
        <f ca="1">IFERROR(__xludf.DUMMYFUNCTION("""COMPUTED_VALUE"""),"Galaxy A")</f>
        <v>Galaxy A</v>
      </c>
      <c r="F953" s="3" t="str">
        <f ca="1">IFERROR(__xludf.DUMMYFUNCTION("""COMPUTED_VALUE"""),"Josh")</f>
        <v>Josh</v>
      </c>
      <c r="G953" s="3">
        <f ca="1">IFERROR(__xludf.DUMMYFUNCTION("""COMPUTED_VALUE"""),0)</f>
        <v>0</v>
      </c>
      <c r="H953" s="3" t="str">
        <f ca="1">IFERROR(__xludf.DUMMYFUNCTION("""COMPUTED_VALUE"""),"car")</f>
        <v>car</v>
      </c>
      <c r="I953" s="3" t="str">
        <f ca="1">IFERROR(__xludf.DUMMYFUNCTION("""COMPUTED_VALUE"""),"2055-06-04T22:47:18.259101Z")</f>
        <v>2055-06-04T22:47:18.259101Z</v>
      </c>
      <c r="J953" s="3" t="str">
        <f ca="1">IFERROR(__xludf.DUMMYFUNCTION("""COMPUTED_VALUE"""),"2055-06-04T23:46:09.314Z")</f>
        <v>2055-06-04T23:46:09.314Z</v>
      </c>
      <c r="K953" s="3" t="str">
        <f ca="1">IFERROR(__xludf.DUMMYFUNCTION("""COMPUTED_VALUE"""),"2055-06-04T23:26:02.314Z")</f>
        <v>2055-06-04T23:26:02.314Z</v>
      </c>
      <c r="L953" s="3">
        <f ca="1">IFERROR(__xludf.DUMMYFUNCTION("""COMPUTED_VALUE"""),1)</f>
        <v>1</v>
      </c>
      <c r="M953" s="3">
        <f ca="1">IFERROR(__xludf.DUMMYFUNCTION("""COMPUTED_VALUE"""),0)</f>
        <v>0</v>
      </c>
      <c r="N953" s="3" t="str">
        <f ca="1">IFERROR(__xludf.DUMMYFUNCTION("""COMPUTED_VALUE"""),"2055-06-04T23:18:09.730292Z")</f>
        <v>2055-06-04T23:18:09.730292Z</v>
      </c>
      <c r="O953" s="3" t="str">
        <f ca="1">IFERROR(__xludf.DUMMYFUNCTION("""COMPUTED_VALUE"""),"2055-06-04T23:34:57.355981Z")</f>
        <v>2055-06-04T23:34:57.355981Z</v>
      </c>
      <c r="P953" s="3" t="str">
        <f ca="1">IFERROR(__xludf.DUMMYFUNCTION("""COMPUTED_VALUE"""),"2055-06-04T22:59:27.478412Z")</f>
        <v>2055-06-04T22:59:27.478412Z</v>
      </c>
      <c r="Q953" s="3">
        <f ca="1">IFERROR(__xludf.DUMMYFUNCTION("""COMPUTED_VALUE"""),0)</f>
        <v>0</v>
      </c>
      <c r="R953" s="3" t="str">
        <f ca="1">IFERROR(__xludf.DUMMYFUNCTION("""COMPUTED_VALUE"""),"2055-06-04T22:59:30.922528Z")</f>
        <v>2055-06-04T22:59:30.922528Z</v>
      </c>
      <c r="S953" s="3" t="str">
        <f ca="1">IFERROR(__xludf.DUMMYFUNCTION("""COMPUTED_VALUE"""),"2055-06-04T23:14:41.551645Z")</f>
        <v>2055-06-04T23:14:41.551645Z</v>
      </c>
      <c r="T953" s="3"/>
      <c r="U953" s="4">
        <f ca="1">IFERROR(__xludf.DUMMYFUNCTION("""COMPUTED_VALUE"""),56769)</f>
        <v>56769</v>
      </c>
      <c r="V953" s="3">
        <f ca="1">IFERROR(__xludf.DUMMYFUNCTION("""COMPUTED_VALUE"""),4.5)</f>
        <v>4.5</v>
      </c>
      <c r="W953" s="3">
        <f ca="1">IFERROR(__xludf.DUMMYFUNCTION("""COMPUTED_VALUE"""),1500)</f>
        <v>1500</v>
      </c>
      <c r="X953" s="3">
        <f ca="1">IFERROR(__xludf.DUMMYFUNCTION("""COMPUTED_VALUE"""),2127)</f>
        <v>2127</v>
      </c>
      <c r="Y953" s="3">
        <f ca="1">IFERROR(__xludf.DUMMYFUNCTION("""COMPUTED_VALUE"""),911)</f>
        <v>911</v>
      </c>
      <c r="Z953" s="3">
        <f ca="1">IFERROR(__xludf.DUMMYFUNCTION("""COMPUTED_VALUE"""),208)</f>
        <v>208</v>
      </c>
      <c r="AA953" s="3">
        <f ca="1">IFERROR(__xludf.DUMMYFUNCTION("""COMPUTED_VALUE"""),1008)</f>
        <v>1008</v>
      </c>
      <c r="AB953" s="3">
        <f ca="1">IFERROR(__xludf.DUMMYFUNCTION("""COMPUTED_VALUE"""),0)</f>
        <v>0</v>
      </c>
      <c r="AC953" s="3">
        <f ca="1">IFERROR(__xludf.DUMMYFUNCTION("""COMPUTED_VALUE"""),1)</f>
        <v>1</v>
      </c>
      <c r="AD953" s="3" t="str">
        <f ca="1">IFERROR(__xludf.DUMMYFUNCTION("""COMPUTED_VALUE"""),"late")</f>
        <v>late</v>
      </c>
      <c r="AE953" s="3" t="str">
        <f ca="1">IFERROR(__xludf.DUMMYFUNCTION("""COMPUTED_VALUE"""),"2055-06-04T19:18:09.730292Z")</f>
        <v>2055-06-04T19:18:09.730292Z</v>
      </c>
      <c r="AF953" s="3" t="str">
        <f ca="1">IFERROR(__xludf.DUMMYFUNCTION("""COMPUTED_VALUE"""),"2055-06-04T19:34:57.355981Z")</f>
        <v>2055-06-04T19:34:57.355981Z</v>
      </c>
      <c r="AG953" s="3" t="str">
        <f ca="1">IFERROR(__xludf.DUMMYFUNCTION("""COMPUTED_VALUE"""),"2055-06-04T18:59:27.478412Z")</f>
        <v>2055-06-04T18:59:27.478412Z</v>
      </c>
      <c r="AH953" s="3" t="str">
        <f ca="1">IFERROR(__xludf.DUMMYFUNCTION("""COMPUTED_VALUE"""),"2055-06-04T19:14:41.551645Z")</f>
        <v>2055-06-04T19:14:41.551645Z</v>
      </c>
      <c r="AI953" s="3">
        <f ca="1">IFERROR(__xludf.DUMMYFUNCTION("""COMPUTED_VALUE"""),4.77)</f>
        <v>4.7699999999999996</v>
      </c>
      <c r="AJ953" s="3">
        <f ca="1">IFERROR(__xludf.DUMMYFUNCTION("""COMPUTED_VALUE"""),426)</f>
        <v>426</v>
      </c>
      <c r="AK953" s="3">
        <f ca="1">IFERROR(__xludf.DUMMYFUNCTION("""COMPUTED_VALUE"""),1226)</f>
        <v>1226</v>
      </c>
      <c r="AL953" s="3">
        <f ca="1">IFERROR(__xludf.DUMMYFUNCTION("""COMPUTED_VALUE"""),85)</f>
        <v>85</v>
      </c>
      <c r="AM953" s="3">
        <f>IFERROR(Raw_Data!AL953 / Raw_Data!AK953, "")</f>
        <v>6.9331158238172916E-2</v>
      </c>
      <c r="AN953" s="3" t="str">
        <f>IF(ISBLANK(Raw_Data!AL953), "No", "Yes")</f>
        <v>Yes</v>
      </c>
      <c r="AO953" s="3">
        <f>IFERROR(Raw_Data!Z953/60, "")</f>
        <v>3.4666666666666668</v>
      </c>
    </row>
    <row r="954" spans="1:41" ht="13">
      <c r="A954" s="3">
        <f ca="1">IFERROR(__xludf.DUMMYFUNCTION("""COMPUTED_VALUE"""),739)</f>
        <v>739</v>
      </c>
      <c r="B954" s="3">
        <f ca="1">IFERROR(__xludf.DUMMYFUNCTION("""COMPUTED_VALUE"""),4)</f>
        <v>4</v>
      </c>
      <c r="C954" s="3">
        <f ca="1">IFERROR(__xludf.DUMMYFUNCTION("""COMPUTED_VALUE"""),4050)</f>
        <v>4050</v>
      </c>
      <c r="D954" s="3" t="str">
        <f ca="1">IFERROR(__xludf.DUMMYFUNCTION("""COMPUTED_VALUE"""),"Doorlanta")</f>
        <v>Doorlanta</v>
      </c>
      <c r="E954" s="3" t="str">
        <f ca="1">IFERROR(__xludf.DUMMYFUNCTION("""COMPUTED_VALUE"""),"Galaxy A")</f>
        <v>Galaxy A</v>
      </c>
      <c r="F954" s="3" t="str">
        <f ca="1">IFERROR(__xludf.DUMMYFUNCTION("""COMPUTED_VALUE"""),"Faud")</f>
        <v>Faud</v>
      </c>
      <c r="G954" s="3">
        <f ca="1">IFERROR(__xludf.DUMMYFUNCTION("""COMPUTED_VALUE"""),0)</f>
        <v>0</v>
      </c>
      <c r="H954" s="3" t="str">
        <f ca="1">IFERROR(__xludf.DUMMYFUNCTION("""COMPUTED_VALUE"""),"car")</f>
        <v>car</v>
      </c>
      <c r="I954" s="3" t="str">
        <f ca="1">IFERROR(__xludf.DUMMYFUNCTION("""COMPUTED_VALUE"""),"2055-06-06T16:33:00.092811Z")</f>
        <v>2055-06-06T16:33:00.092811Z</v>
      </c>
      <c r="J954" s="3" t="str">
        <f ca="1">IFERROR(__xludf.DUMMYFUNCTION("""COMPUTED_VALUE"""),"2055-06-06T17:28:00.168Z")</f>
        <v>2055-06-06T17:28:00.168Z</v>
      </c>
      <c r="K954" s="3" t="str">
        <f ca="1">IFERROR(__xludf.DUMMYFUNCTION("""COMPUTED_VALUE"""),"2055-06-06T16:55:36.168Z")</f>
        <v>2055-06-06T16:55:36.168Z</v>
      </c>
      <c r="L954" s="3">
        <f ca="1">IFERROR(__xludf.DUMMYFUNCTION("""COMPUTED_VALUE"""),1)</f>
        <v>1</v>
      </c>
      <c r="M954" s="3">
        <f ca="1">IFERROR(__xludf.DUMMYFUNCTION("""COMPUTED_VALUE"""),0)</f>
        <v>0</v>
      </c>
      <c r="N954" s="3" t="str">
        <f ca="1">IFERROR(__xludf.DUMMYFUNCTION("""COMPUTED_VALUE"""),"2055-06-06T16:47:07.528832Z")</f>
        <v>2055-06-06T16:47:07.528832Z</v>
      </c>
      <c r="O954" s="3" t="str">
        <f ca="1">IFERROR(__xludf.DUMMYFUNCTION("""COMPUTED_VALUE"""),"2055-06-06T16:56:49.019623Z")</f>
        <v>2055-06-06T16:56:49.019623Z</v>
      </c>
      <c r="P954" s="3" t="str">
        <f ca="1">IFERROR(__xludf.DUMMYFUNCTION("""COMPUTED_VALUE"""),"2055-06-06T16:33:07.250152Z")</f>
        <v>2055-06-06T16:33:07.250152Z</v>
      </c>
      <c r="Q954" s="3">
        <f ca="1">IFERROR(__xludf.DUMMYFUNCTION("""COMPUTED_VALUE"""),0)</f>
        <v>0</v>
      </c>
      <c r="R954" s="3" t="str">
        <f ca="1">IFERROR(__xludf.DUMMYFUNCTION("""COMPUTED_VALUE"""),"2055-06-06T16:33:57.778553Z")</f>
        <v>2055-06-06T16:33:57.778553Z</v>
      </c>
      <c r="S954" s="3" t="str">
        <f ca="1">IFERROR(__xludf.DUMMYFUNCTION("""COMPUTED_VALUE"""),"2055-06-06T16:38:49.268557Z")</f>
        <v>2055-06-06T16:38:49.268557Z</v>
      </c>
      <c r="T954" s="3"/>
      <c r="U954" s="4">
        <f ca="1">IFERROR(__xludf.DUMMYFUNCTION("""COMPUTED_VALUE"""),56771)</f>
        <v>56771</v>
      </c>
      <c r="V954" s="3">
        <f ca="1">IFERROR(__xludf.DUMMYFUNCTION("""COMPUTED_VALUE"""),4.6)</f>
        <v>4.5999999999999996</v>
      </c>
      <c r="W954" s="3">
        <f ca="1">IFERROR(__xludf.DUMMYFUNCTION("""COMPUTED_VALUE"""),1500)</f>
        <v>1500</v>
      </c>
      <c r="X954" s="3">
        <f ca="1">IFERROR(__xludf.DUMMYFUNCTION("""COMPUTED_VALUE"""),1372)</f>
        <v>1372</v>
      </c>
      <c r="Y954" s="3">
        <f ca="1">IFERROR(__xludf.DUMMYFUNCTION("""COMPUTED_VALUE"""),292)</f>
        <v>292</v>
      </c>
      <c r="Z954" s="3">
        <f ca="1">IFERROR(__xludf.DUMMYFUNCTION("""COMPUTED_VALUE"""),498)</f>
        <v>498</v>
      </c>
      <c r="AA954" s="3">
        <f ca="1">IFERROR(__xludf.DUMMYFUNCTION("""COMPUTED_VALUE"""),582)</f>
        <v>582</v>
      </c>
      <c r="AB954" s="3">
        <f ca="1">IFERROR(__xludf.DUMMYFUNCTION("""COMPUTED_VALUE"""),0)</f>
        <v>0</v>
      </c>
      <c r="AC954" s="3">
        <f ca="1">IFERROR(__xludf.DUMMYFUNCTION("""COMPUTED_VALUE"""),1)</f>
        <v>1</v>
      </c>
      <c r="AD954" s="3" t="str">
        <f ca="1">IFERROR(__xludf.DUMMYFUNCTION("""COMPUTED_VALUE"""),"early")</f>
        <v>early</v>
      </c>
      <c r="AE954" s="3" t="str">
        <f ca="1">IFERROR(__xludf.DUMMYFUNCTION("""COMPUTED_VALUE"""),"2055-06-06T12:47:07.528832Z")</f>
        <v>2055-06-06T12:47:07.528832Z</v>
      </c>
      <c r="AF954" s="3" t="str">
        <f ca="1">IFERROR(__xludf.DUMMYFUNCTION("""COMPUTED_VALUE"""),"2055-06-06T12:56:49.019623Z")</f>
        <v>2055-06-06T12:56:49.019623Z</v>
      </c>
      <c r="AG954" s="3" t="str">
        <f ca="1">IFERROR(__xludf.DUMMYFUNCTION("""COMPUTED_VALUE"""),"2055-06-06T12:33:07.250152Z")</f>
        <v>2055-06-06T12:33:07.250152Z</v>
      </c>
      <c r="AH954" s="3" t="str">
        <f ca="1">IFERROR(__xludf.DUMMYFUNCTION("""COMPUTED_VALUE"""),"2055-06-06T12:38:49.268557Z")</f>
        <v>2055-06-06T12:38:49.268557Z</v>
      </c>
      <c r="AI954" s="3">
        <f ca="1">IFERROR(__xludf.DUMMYFUNCTION("""COMPUTED_VALUE"""),4.69)</f>
        <v>4.6900000000000004</v>
      </c>
      <c r="AJ954" s="3">
        <f ca="1">IFERROR(__xludf.DUMMYFUNCTION("""COMPUTED_VALUE"""),89)</f>
        <v>89</v>
      </c>
      <c r="AK954" s="3">
        <f ca="1">IFERROR(__xludf.DUMMYFUNCTION("""COMPUTED_VALUE"""),258)</f>
        <v>258</v>
      </c>
      <c r="AL954" s="3">
        <f ca="1">IFERROR(__xludf.DUMMYFUNCTION("""COMPUTED_VALUE"""),154)</f>
        <v>154</v>
      </c>
      <c r="AM954" s="3">
        <f>IFERROR(Raw_Data!AL954 / Raw_Data!AK954, "")</f>
        <v>0.5968992248062015</v>
      </c>
      <c r="AN954" s="3" t="str">
        <f>IF(ISBLANK(Raw_Data!AL954), "No", "Yes")</f>
        <v>Yes</v>
      </c>
      <c r="AO954" s="3">
        <f>IFERROR(Raw_Data!Z954/60, "")</f>
        <v>8.3000000000000007</v>
      </c>
    </row>
    <row r="955" spans="1:41" ht="13">
      <c r="A955" s="3">
        <f ca="1">IFERROR(__xludf.DUMMYFUNCTION("""COMPUTED_VALUE"""),736)</f>
        <v>736</v>
      </c>
      <c r="B955" s="3">
        <f ca="1">IFERROR(__xludf.DUMMYFUNCTION("""COMPUTED_VALUE"""),4)</f>
        <v>4</v>
      </c>
      <c r="C955" s="3">
        <f ca="1">IFERROR(__xludf.DUMMYFUNCTION("""COMPUTED_VALUE"""),4050)</f>
        <v>4050</v>
      </c>
      <c r="D955" s="3" t="str">
        <f ca="1">IFERROR(__xludf.DUMMYFUNCTION("""COMPUTED_VALUE"""),"Doorlanta")</f>
        <v>Doorlanta</v>
      </c>
      <c r="E955" s="3" t="str">
        <f ca="1">IFERROR(__xludf.DUMMYFUNCTION("""COMPUTED_VALUE"""),"Galaxy A")</f>
        <v>Galaxy A</v>
      </c>
      <c r="F955" s="3" t="str">
        <f ca="1">IFERROR(__xludf.DUMMYFUNCTION("""COMPUTED_VALUE"""),"Hanna")</f>
        <v>Hanna</v>
      </c>
      <c r="G955" s="3">
        <f ca="1">IFERROR(__xludf.DUMMYFUNCTION("""COMPUTED_VALUE"""),0)</f>
        <v>0</v>
      </c>
      <c r="H955" s="3" t="str">
        <f ca="1">IFERROR(__xludf.DUMMYFUNCTION("""COMPUTED_VALUE"""),"car")</f>
        <v>car</v>
      </c>
      <c r="I955" s="3" t="str">
        <f ca="1">IFERROR(__xludf.DUMMYFUNCTION("""COMPUTED_VALUE"""),"2055-06-06T16:10:41.879622Z")</f>
        <v>2055-06-06T16:10:41.879622Z</v>
      </c>
      <c r="J955" s="3" t="str">
        <f ca="1">IFERROR(__xludf.DUMMYFUNCTION("""COMPUTED_VALUE"""),"2055-06-06T17:00:42.03Z")</f>
        <v>2055-06-06T17:00:42.03Z</v>
      </c>
      <c r="K955" s="3" t="str">
        <f ca="1">IFERROR(__xludf.DUMMYFUNCTION("""COMPUTED_VALUE"""),"2055-06-06T16:42:23.03Z")</f>
        <v>2055-06-06T16:42:23.03Z</v>
      </c>
      <c r="L955" s="3">
        <f ca="1">IFERROR(__xludf.DUMMYFUNCTION("""COMPUTED_VALUE"""),1)</f>
        <v>1</v>
      </c>
      <c r="M955" s="3">
        <f ca="1">IFERROR(__xludf.DUMMYFUNCTION("""COMPUTED_VALUE"""),0)</f>
        <v>0</v>
      </c>
      <c r="N955" s="3" t="str">
        <f ca="1">IFERROR(__xludf.DUMMYFUNCTION("""COMPUTED_VALUE"""),"2055-06-06T16:36:21.975207Z")</f>
        <v>2055-06-06T16:36:21.975207Z</v>
      </c>
      <c r="O955" s="3" t="str">
        <f ca="1">IFERROR(__xludf.DUMMYFUNCTION("""COMPUTED_VALUE"""),"2055-06-06T16:47:22.433496Z")</f>
        <v>2055-06-06T16:47:22.433496Z</v>
      </c>
      <c r="P955" s="3" t="str">
        <f ca="1">IFERROR(__xludf.DUMMYFUNCTION("""COMPUTED_VALUE"""),"2055-06-06T16:10:47.286407Z")</f>
        <v>2055-06-06T16:10:47.286407Z</v>
      </c>
      <c r="Q955" s="3">
        <f ca="1">IFERROR(__xludf.DUMMYFUNCTION("""COMPUTED_VALUE"""),0)</f>
        <v>0</v>
      </c>
      <c r="R955" s="3" t="str">
        <f ca="1">IFERROR(__xludf.DUMMYFUNCTION("""COMPUTED_VALUE"""),"2055-06-06T16:11:00.55753Z")</f>
        <v>2055-06-06T16:11:00.55753Z</v>
      </c>
      <c r="S955" s="3"/>
      <c r="T955" s="3"/>
      <c r="U955" s="4">
        <f ca="1">IFERROR(__xludf.DUMMYFUNCTION("""COMPUTED_VALUE"""),56771)</f>
        <v>56771</v>
      </c>
      <c r="V955" s="3">
        <f ca="1">IFERROR(__xludf.DUMMYFUNCTION("""COMPUTED_VALUE"""),4.6)</f>
        <v>4.5999999999999996</v>
      </c>
      <c r="W955" s="3">
        <f ca="1">IFERROR(__xludf.DUMMYFUNCTION("""COMPUTED_VALUE"""),1500)</f>
        <v>1500</v>
      </c>
      <c r="X955" s="3">
        <f ca="1">IFERROR(__xludf.DUMMYFUNCTION("""COMPUTED_VALUE"""),2182)</f>
        <v>2182</v>
      </c>
      <c r="Y955" s="3"/>
      <c r="Z955" s="3"/>
      <c r="AA955" s="3">
        <f ca="1">IFERROR(__xludf.DUMMYFUNCTION("""COMPUTED_VALUE"""),661)</f>
        <v>661</v>
      </c>
      <c r="AB955" s="3">
        <f ca="1">IFERROR(__xludf.DUMMYFUNCTION("""COMPUTED_VALUE"""),0)</f>
        <v>0</v>
      </c>
      <c r="AC955" s="3">
        <f ca="1">IFERROR(__xludf.DUMMYFUNCTION("""COMPUTED_VALUE"""),4)</f>
        <v>4</v>
      </c>
      <c r="AD955" s="3"/>
      <c r="AE955" s="3" t="str">
        <f ca="1">IFERROR(__xludf.DUMMYFUNCTION("""COMPUTED_VALUE"""),"2055-06-06T12:36:21.975207Z")</f>
        <v>2055-06-06T12:36:21.975207Z</v>
      </c>
      <c r="AF955" s="3" t="str">
        <f ca="1">IFERROR(__xludf.DUMMYFUNCTION("""COMPUTED_VALUE"""),"2055-06-06T12:47:22.433496Z")</f>
        <v>2055-06-06T12:47:22.433496Z</v>
      </c>
      <c r="AG955" s="3" t="str">
        <f ca="1">IFERROR(__xludf.DUMMYFUNCTION("""COMPUTED_VALUE"""),"2055-06-06T12:10:47.286407Z")</f>
        <v>2055-06-06T12:10:47.286407Z</v>
      </c>
      <c r="AH955" s="3"/>
      <c r="AI955" s="3">
        <f ca="1">IFERROR(__xludf.DUMMYFUNCTION("""COMPUTED_VALUE"""),4.79)</f>
        <v>4.79</v>
      </c>
      <c r="AJ955" s="3">
        <f ca="1">IFERROR(__xludf.DUMMYFUNCTION("""COMPUTED_VALUE"""),1007)</f>
        <v>1007</v>
      </c>
      <c r="AK955" s="3">
        <f ca="1">IFERROR(__xludf.DUMMYFUNCTION("""COMPUTED_VALUE"""),2899)</f>
        <v>2899</v>
      </c>
      <c r="AL955" s="3">
        <f ca="1">IFERROR(__xludf.DUMMYFUNCTION("""COMPUTED_VALUE"""),1301)</f>
        <v>1301</v>
      </c>
      <c r="AM955" s="3">
        <f>IFERROR(Raw_Data!AL955 / Raw_Data!AK955, "")</f>
        <v>0.44877543980682993</v>
      </c>
      <c r="AN955" s="3" t="str">
        <f>IF(ISBLANK(Raw_Data!AL955), "No", "Yes")</f>
        <v>Yes</v>
      </c>
      <c r="AO955" s="3">
        <f>IFERROR(Raw_Data!Z955/60, "")</f>
        <v>0</v>
      </c>
    </row>
    <row r="956" spans="1:41" ht="13">
      <c r="A956" s="3">
        <f ca="1">IFERROR(__xludf.DUMMYFUNCTION("""COMPUTED_VALUE"""),388)</f>
        <v>388</v>
      </c>
      <c r="B956" s="3"/>
      <c r="C956" s="3">
        <f ca="1">IFERROR(__xludf.DUMMYFUNCTION("""COMPUTED_VALUE"""),4050)</f>
        <v>4050</v>
      </c>
      <c r="D956" s="3" t="str">
        <f ca="1">IFERROR(__xludf.DUMMYFUNCTION("""COMPUTED_VALUE"""),"Doorlanta")</f>
        <v>Doorlanta</v>
      </c>
      <c r="E956" s="3" t="str">
        <f ca="1">IFERROR(__xludf.DUMMYFUNCTION("""COMPUTED_VALUE"""),"Galaxy A")</f>
        <v>Galaxy A</v>
      </c>
      <c r="F956" s="3" t="str">
        <f ca="1">IFERROR(__xludf.DUMMYFUNCTION("""COMPUTED_VALUE"""),"Anisha")</f>
        <v>Anisha</v>
      </c>
      <c r="G956" s="3">
        <f ca="1">IFERROR(__xludf.DUMMYFUNCTION("""COMPUTED_VALUE"""),0)</f>
        <v>0</v>
      </c>
      <c r="H956" s="3" t="str">
        <f ca="1">IFERROR(__xludf.DUMMYFUNCTION("""COMPUTED_VALUE"""),"car")</f>
        <v>car</v>
      </c>
      <c r="I956" s="3" t="str">
        <f ca="1">IFERROR(__xludf.DUMMYFUNCTION("""COMPUTED_VALUE"""),"2055-06-04T01:06:02.459451Z")</f>
        <v>2055-06-04T01:06:02.459451Z</v>
      </c>
      <c r="J956" s="3" t="str">
        <f ca="1">IFERROR(__xludf.DUMMYFUNCTION("""COMPUTED_VALUE"""),"2055-06-04T02:12:37.544Z")</f>
        <v>2055-06-04T02:12:37.544Z</v>
      </c>
      <c r="K956" s="3" t="str">
        <f ca="1">IFERROR(__xludf.DUMMYFUNCTION("""COMPUTED_VALUE"""),"2055-06-04T01:58:44.544Z")</f>
        <v>2055-06-04T01:58:44.544Z</v>
      </c>
      <c r="L956" s="3">
        <f ca="1">IFERROR(__xludf.DUMMYFUNCTION("""COMPUTED_VALUE"""),1)</f>
        <v>1</v>
      </c>
      <c r="M956" s="3">
        <f ca="1">IFERROR(__xludf.DUMMYFUNCTION("""COMPUTED_VALUE"""),0)</f>
        <v>0</v>
      </c>
      <c r="N956" s="3" t="str">
        <f ca="1">IFERROR(__xludf.DUMMYFUNCTION("""COMPUTED_VALUE"""),"2055-06-04T01:31:48.427171Z")</f>
        <v>2055-06-04T01:31:48.427171Z</v>
      </c>
      <c r="O956" s="3" t="str">
        <f ca="1">IFERROR(__xludf.DUMMYFUNCTION("""COMPUTED_VALUE"""),"2055-06-04T01:48:06.850964Z")</f>
        <v>2055-06-04T01:48:06.850964Z</v>
      </c>
      <c r="P956" s="3" t="str">
        <f ca="1">IFERROR(__xludf.DUMMYFUNCTION("""COMPUTED_VALUE"""),"2055-06-04T01:09:07.780809Z")</f>
        <v>2055-06-04T01:09:07.780809Z</v>
      </c>
      <c r="Q956" s="3">
        <f ca="1">IFERROR(__xludf.DUMMYFUNCTION("""COMPUTED_VALUE"""),0)</f>
        <v>0</v>
      </c>
      <c r="R956" s="3" t="str">
        <f ca="1">IFERROR(__xludf.DUMMYFUNCTION("""COMPUTED_VALUE"""),"2055-06-04T01:09:23.006553Z")</f>
        <v>2055-06-04T01:09:23.006553Z</v>
      </c>
      <c r="S956" s="3" t="str">
        <f ca="1">IFERROR(__xludf.DUMMYFUNCTION("""COMPUTED_VALUE"""),"2055-06-04T01:21:50.719988Z")</f>
        <v>2055-06-04T01:21:50.719988Z</v>
      </c>
      <c r="T956" s="3"/>
      <c r="U956" s="4">
        <f ca="1">IFERROR(__xludf.DUMMYFUNCTION("""COMPUTED_VALUE"""),56768)</f>
        <v>56768</v>
      </c>
      <c r="V956" s="3">
        <f ca="1">IFERROR(__xludf.DUMMYFUNCTION("""COMPUTED_VALUE"""),4.7)</f>
        <v>4.7</v>
      </c>
      <c r="W956" s="3">
        <f ca="1">IFERROR(__xludf.DUMMYFUNCTION("""COMPUTED_VALUE"""),1500)</f>
        <v>1500</v>
      </c>
      <c r="X956" s="3">
        <f ca="1">IFERROR(__xludf.DUMMYFUNCTION("""COMPUTED_VALUE"""),2323)</f>
        <v>2323</v>
      </c>
      <c r="Y956" s="3">
        <f ca="1">IFERROR(__xludf.DUMMYFUNCTION("""COMPUTED_VALUE"""),747)</f>
        <v>747</v>
      </c>
      <c r="Z956" s="3">
        <f ca="1">IFERROR(__xludf.DUMMYFUNCTION("""COMPUTED_VALUE"""),598)</f>
        <v>598</v>
      </c>
      <c r="AA956" s="3">
        <f ca="1">IFERROR(__xludf.DUMMYFUNCTION("""COMPUTED_VALUE"""),978)</f>
        <v>978</v>
      </c>
      <c r="AB956" s="3">
        <f ca="1">IFERROR(__xludf.DUMMYFUNCTION("""COMPUTED_VALUE"""),0)</f>
        <v>0</v>
      </c>
      <c r="AC956" s="3">
        <f ca="1">IFERROR(__xludf.DUMMYFUNCTION("""COMPUTED_VALUE"""),2)</f>
        <v>2</v>
      </c>
      <c r="AD956" s="3" t="str">
        <f ca="1">IFERROR(__xludf.DUMMYFUNCTION("""COMPUTED_VALUE"""),"early")</f>
        <v>early</v>
      </c>
      <c r="AE956" s="3" t="str">
        <f ca="1">IFERROR(__xludf.DUMMYFUNCTION("""COMPUTED_VALUE"""),"2055-06-03T21:31:48.427171Z")</f>
        <v>2055-06-03T21:31:48.427171Z</v>
      </c>
      <c r="AF956" s="3" t="str">
        <f ca="1">IFERROR(__xludf.DUMMYFUNCTION("""COMPUTED_VALUE"""),"2055-06-03T21:48:06.850964Z")</f>
        <v>2055-06-03T21:48:06.850964Z</v>
      </c>
      <c r="AG956" s="3" t="str">
        <f ca="1">IFERROR(__xludf.DUMMYFUNCTION("""COMPUTED_VALUE"""),"2055-06-03T21:09:07.780809Z")</f>
        <v>2055-06-03T21:09:07.780809Z</v>
      </c>
      <c r="AH956" s="3" t="str">
        <f ca="1">IFERROR(__xludf.DUMMYFUNCTION("""COMPUTED_VALUE"""),"2055-06-03T21:21:50.719988Z")</f>
        <v>2055-06-03T21:21:50.719988Z</v>
      </c>
      <c r="AI956" s="3">
        <f ca="1">IFERROR(__xludf.DUMMYFUNCTION("""COMPUTED_VALUE"""),4.7)</f>
        <v>4.7</v>
      </c>
      <c r="AJ956" s="3">
        <f ca="1">IFERROR(__xludf.DUMMYFUNCTION("""COMPUTED_VALUE"""),272)</f>
        <v>272</v>
      </c>
      <c r="AK956" s="3">
        <f ca="1">IFERROR(__xludf.DUMMYFUNCTION("""COMPUTED_VALUE"""),931)</f>
        <v>931</v>
      </c>
      <c r="AL956" s="3">
        <f ca="1">IFERROR(__xludf.DUMMYFUNCTION("""COMPUTED_VALUE"""),144)</f>
        <v>144</v>
      </c>
      <c r="AM956" s="3">
        <f>IFERROR(Raw_Data!AL956 / Raw_Data!AK956, "")</f>
        <v>0.15467239527389903</v>
      </c>
      <c r="AN956" s="3" t="str">
        <f>IF(ISBLANK(Raw_Data!AL956), "No", "Yes")</f>
        <v>Yes</v>
      </c>
      <c r="AO956" s="3">
        <f>IFERROR(Raw_Data!Z956/60, "")</f>
        <v>9.9666666666666668</v>
      </c>
    </row>
    <row r="957" spans="1:41" ht="13">
      <c r="A957" s="3">
        <f ca="1">IFERROR(__xludf.DUMMYFUNCTION("""COMPUTED_VALUE"""),1056)</f>
        <v>1056</v>
      </c>
      <c r="B957" s="3">
        <f ca="1">IFERROR(__xludf.DUMMYFUNCTION("""COMPUTED_VALUE"""),5)</f>
        <v>5</v>
      </c>
      <c r="C957" s="3">
        <f ca="1">IFERROR(__xludf.DUMMYFUNCTION("""COMPUTED_VALUE"""),4001)</f>
        <v>4001</v>
      </c>
      <c r="D957" s="3" t="str">
        <f ca="1">IFERROR(__xludf.DUMMYFUNCTION("""COMPUTED_VALUE"""),"Dashattan")</f>
        <v>Dashattan</v>
      </c>
      <c r="E957" s="3" t="str">
        <f ca="1">IFERROR(__xludf.DUMMYFUNCTION("""COMPUTED_VALUE"""),"Galaxy A")</f>
        <v>Galaxy A</v>
      </c>
      <c r="F957" s="3" t="str">
        <f ca="1">IFERROR(__xludf.DUMMYFUNCTION("""COMPUTED_VALUE"""),"Samm")</f>
        <v>Samm</v>
      </c>
      <c r="G957" s="3">
        <f ca="1">IFERROR(__xludf.DUMMYFUNCTION("""COMPUTED_VALUE"""),0)</f>
        <v>0</v>
      </c>
      <c r="H957" s="3" t="str">
        <f ca="1">IFERROR(__xludf.DUMMYFUNCTION("""COMPUTED_VALUE"""),"car")</f>
        <v>car</v>
      </c>
      <c r="I957" s="3" t="str">
        <f ca="1">IFERROR(__xludf.DUMMYFUNCTION("""COMPUTED_VALUE"""),"2055-06-09T20:44:25.730063Z")</f>
        <v>2055-06-09T20:44:25.730063Z</v>
      </c>
      <c r="J957" s="3" t="str">
        <f ca="1">IFERROR(__xludf.DUMMYFUNCTION("""COMPUTED_VALUE"""),"2055-06-09T21:24:56.805Z")</f>
        <v>2055-06-09T21:24:56.805Z</v>
      </c>
      <c r="K957" s="3" t="str">
        <f ca="1">IFERROR(__xludf.DUMMYFUNCTION("""COMPUTED_VALUE"""),"2055-06-09T21:19:49.805Z")</f>
        <v>2055-06-09T21:19:49.805Z</v>
      </c>
      <c r="L957" s="3">
        <f ca="1">IFERROR(__xludf.DUMMYFUNCTION("""COMPUTED_VALUE"""),1)</f>
        <v>1</v>
      </c>
      <c r="M957" s="3">
        <f ca="1">IFERROR(__xludf.DUMMYFUNCTION("""COMPUTED_VALUE"""),0)</f>
        <v>0</v>
      </c>
      <c r="N957" s="3" t="str">
        <f ca="1">IFERROR(__xludf.DUMMYFUNCTION("""COMPUTED_VALUE"""),"2055-06-09T21:26:11.93889Z")</f>
        <v>2055-06-09T21:26:11.93889Z</v>
      </c>
      <c r="O957" s="3" t="str">
        <f ca="1">IFERROR(__xludf.DUMMYFUNCTION("""COMPUTED_VALUE"""),"2055-06-09T21:32:36.829301Z")</f>
        <v>2055-06-09T21:32:36.829301Z</v>
      </c>
      <c r="P957" s="3" t="str">
        <f ca="1">IFERROR(__xludf.DUMMYFUNCTION("""COMPUTED_VALUE"""),"2055-06-09T21:05:34.301892Z")</f>
        <v>2055-06-09T21:05:34.301892Z</v>
      </c>
      <c r="Q957" s="3">
        <f ca="1">IFERROR(__xludf.DUMMYFUNCTION("""COMPUTED_VALUE"""),0)</f>
        <v>0</v>
      </c>
      <c r="R957" s="3" t="str">
        <f ca="1">IFERROR(__xludf.DUMMYFUNCTION("""COMPUTED_VALUE"""),"2055-06-09T21:05:46.812383Z")</f>
        <v>2055-06-09T21:05:46.812383Z</v>
      </c>
      <c r="S957" s="3" t="str">
        <f ca="1">IFERROR(__xludf.DUMMYFUNCTION("""COMPUTED_VALUE"""),"2055-06-09T21:24:23.253766Z")</f>
        <v>2055-06-09T21:24:23.253766Z</v>
      </c>
      <c r="T957" s="3"/>
      <c r="U957" s="4">
        <f ca="1">IFERROR(__xludf.DUMMYFUNCTION("""COMPUTED_VALUE"""),56774)</f>
        <v>56774</v>
      </c>
      <c r="V957" s="3">
        <f ca="1">IFERROR(__xludf.DUMMYFUNCTION("""COMPUTED_VALUE"""),4.3)</f>
        <v>4.3</v>
      </c>
      <c r="W957" s="3">
        <f ca="1">IFERROR(__xludf.DUMMYFUNCTION("""COMPUTED_VALUE"""),1500)</f>
        <v>1500</v>
      </c>
      <c r="X957" s="3">
        <f ca="1">IFERROR(__xludf.DUMMYFUNCTION("""COMPUTED_VALUE"""),1610)</f>
        <v>1610</v>
      </c>
      <c r="Y957" s="3">
        <f ca="1">IFERROR(__xludf.DUMMYFUNCTION("""COMPUTED_VALUE"""),1117)</f>
        <v>1117</v>
      </c>
      <c r="Z957" s="3">
        <f ca="1">IFERROR(__xludf.DUMMYFUNCTION("""COMPUTED_VALUE"""),108)</f>
        <v>108</v>
      </c>
      <c r="AA957" s="3">
        <f ca="1">IFERROR(__xludf.DUMMYFUNCTION("""COMPUTED_VALUE"""),385)</f>
        <v>385</v>
      </c>
      <c r="AB957" s="3">
        <f ca="1">IFERROR(__xludf.DUMMYFUNCTION("""COMPUTED_VALUE"""),0)</f>
        <v>0</v>
      </c>
      <c r="AC957" s="3">
        <f ca="1">IFERROR(__xludf.DUMMYFUNCTION("""COMPUTED_VALUE"""),1)</f>
        <v>1</v>
      </c>
      <c r="AD957" s="3" t="str">
        <f ca="1">IFERROR(__xludf.DUMMYFUNCTION("""COMPUTED_VALUE"""),"late")</f>
        <v>late</v>
      </c>
      <c r="AE957" s="3" t="str">
        <f ca="1">IFERROR(__xludf.DUMMYFUNCTION("""COMPUTED_VALUE"""),"2055-06-09T17:26:11.93889Z")</f>
        <v>2055-06-09T17:26:11.93889Z</v>
      </c>
      <c r="AF957" s="3" t="str">
        <f ca="1">IFERROR(__xludf.DUMMYFUNCTION("""COMPUTED_VALUE"""),"2055-06-09T17:32:36.829301Z")</f>
        <v>2055-06-09T17:32:36.829301Z</v>
      </c>
      <c r="AG957" s="3" t="str">
        <f ca="1">IFERROR(__xludf.DUMMYFUNCTION("""COMPUTED_VALUE"""),"2055-06-09T17:05:34.301892Z")</f>
        <v>2055-06-09T17:05:34.301892Z</v>
      </c>
      <c r="AH957" s="3" t="str">
        <f ca="1">IFERROR(__xludf.DUMMYFUNCTION("""COMPUTED_VALUE"""),"2055-06-09T17:24:23.253766Z")</f>
        <v>2055-06-09T17:24:23.253766Z</v>
      </c>
      <c r="AI957" s="3">
        <f ca="1">IFERROR(__xludf.DUMMYFUNCTION("""COMPUTED_VALUE"""),4.03)</f>
        <v>4.03</v>
      </c>
      <c r="AJ957" s="3">
        <f ca="1">IFERROR(__xludf.DUMMYFUNCTION("""COMPUTED_VALUE"""),505)</f>
        <v>505</v>
      </c>
      <c r="AK957" s="3">
        <f ca="1">IFERROR(__xludf.DUMMYFUNCTION("""COMPUTED_VALUE"""),1721)</f>
        <v>1721</v>
      </c>
      <c r="AL957" s="3">
        <f ca="1">IFERROR(__xludf.DUMMYFUNCTION("""COMPUTED_VALUE"""),457)</f>
        <v>457</v>
      </c>
      <c r="AM957" s="3">
        <f>IFERROR(Raw_Data!AL957 / Raw_Data!AK957, "")</f>
        <v>0.26554328878558975</v>
      </c>
      <c r="AN957" s="3" t="str">
        <f>IF(ISBLANK(Raw_Data!AL957), "No", "Yes")</f>
        <v>Yes</v>
      </c>
      <c r="AO957" s="3">
        <f>IFERROR(Raw_Data!Z957/60, "")</f>
        <v>1.8</v>
      </c>
    </row>
    <row r="958" spans="1:41" ht="13">
      <c r="A958" s="3">
        <f ca="1">IFERROR(__xludf.DUMMYFUNCTION("""COMPUTED_VALUE"""),550)</f>
        <v>550</v>
      </c>
      <c r="B958" s="3"/>
      <c r="C958" s="3">
        <f ca="1">IFERROR(__xludf.DUMMYFUNCTION("""COMPUTED_VALUE"""),4050)</f>
        <v>4050</v>
      </c>
      <c r="D958" s="3" t="str">
        <f ca="1">IFERROR(__xludf.DUMMYFUNCTION("""COMPUTED_VALUE"""),"Doorlanta")</f>
        <v>Doorlanta</v>
      </c>
      <c r="E958" s="3" t="str">
        <f ca="1">IFERROR(__xludf.DUMMYFUNCTION("""COMPUTED_VALUE"""),"Galaxy A")</f>
        <v>Galaxy A</v>
      </c>
      <c r="F958" s="3" t="str">
        <f ca="1">IFERROR(__xludf.DUMMYFUNCTION("""COMPUTED_VALUE"""),"Hanna")</f>
        <v>Hanna</v>
      </c>
      <c r="G958" s="3">
        <f ca="1">IFERROR(__xludf.DUMMYFUNCTION("""COMPUTED_VALUE"""),0)</f>
        <v>0</v>
      </c>
      <c r="H958" s="3" t="str">
        <f ca="1">IFERROR(__xludf.DUMMYFUNCTION("""COMPUTED_VALUE"""),"car")</f>
        <v>car</v>
      </c>
      <c r="I958" s="3" t="str">
        <f ca="1">IFERROR(__xludf.DUMMYFUNCTION("""COMPUTED_VALUE"""),"2055-06-05T15:21:14.444414Z")</f>
        <v>2055-06-05T15:21:14.444414Z</v>
      </c>
      <c r="J958" s="3" t="str">
        <f ca="1">IFERROR(__xludf.DUMMYFUNCTION("""COMPUTED_VALUE"""),"2055-06-05T16:16:14.559Z")</f>
        <v>2055-06-05T16:16:14.559Z</v>
      </c>
      <c r="K958" s="3" t="str">
        <f ca="1">IFERROR(__xludf.DUMMYFUNCTION("""COMPUTED_VALUE"""),"2055-06-05T15:52:46.559Z")</f>
        <v>2055-06-05T15:52:46.559Z</v>
      </c>
      <c r="L958" s="3">
        <f ca="1">IFERROR(__xludf.DUMMYFUNCTION("""COMPUTED_VALUE"""),1)</f>
        <v>1</v>
      </c>
      <c r="M958" s="3">
        <f ca="1">IFERROR(__xludf.DUMMYFUNCTION("""COMPUTED_VALUE"""),0)</f>
        <v>0</v>
      </c>
      <c r="N958" s="3" t="str">
        <f ca="1">IFERROR(__xludf.DUMMYFUNCTION("""COMPUTED_VALUE"""),"2055-06-05T15:38:13.578293Z")</f>
        <v>2055-06-05T15:38:13.578293Z</v>
      </c>
      <c r="O958" s="3" t="str">
        <f ca="1">IFERROR(__xludf.DUMMYFUNCTION("""COMPUTED_VALUE"""),"2055-06-05T15:49:04.603567Z")</f>
        <v>2055-06-05T15:49:04.603567Z</v>
      </c>
      <c r="P958" s="3" t="str">
        <f ca="1">IFERROR(__xludf.DUMMYFUNCTION("""COMPUTED_VALUE"""),"2055-06-05T15:21:27.320104Z")</f>
        <v>2055-06-05T15:21:27.320104Z</v>
      </c>
      <c r="Q958" s="3">
        <f ca="1">IFERROR(__xludf.DUMMYFUNCTION("""COMPUTED_VALUE"""),0)</f>
        <v>0</v>
      </c>
      <c r="R958" s="3" t="str">
        <f ca="1">IFERROR(__xludf.DUMMYFUNCTION("""COMPUTED_VALUE"""),"2055-06-05T15:21:36.474082Z")</f>
        <v>2055-06-05T15:21:36.474082Z</v>
      </c>
      <c r="S958" s="3" t="str">
        <f ca="1">IFERROR(__xludf.DUMMYFUNCTION("""COMPUTED_VALUE"""),"2055-06-05T15:27:29.721742Z")</f>
        <v>2055-06-05T15:27:29.721742Z</v>
      </c>
      <c r="T958" s="3"/>
      <c r="U958" s="4">
        <f ca="1">IFERROR(__xludf.DUMMYFUNCTION("""COMPUTED_VALUE"""),56770)</f>
        <v>56770</v>
      </c>
      <c r="V958" s="3">
        <f ca="1">IFERROR(__xludf.DUMMYFUNCTION("""COMPUTED_VALUE"""),4.6)</f>
        <v>4.5999999999999996</v>
      </c>
      <c r="W958" s="3">
        <f ca="1">IFERROR(__xludf.DUMMYFUNCTION("""COMPUTED_VALUE"""),1500)</f>
        <v>1500</v>
      </c>
      <c r="X958" s="3">
        <f ca="1">IFERROR(__xludf.DUMMYFUNCTION("""COMPUTED_VALUE"""),1648)</f>
        <v>1648</v>
      </c>
      <c r="Y958" s="3">
        <f ca="1">IFERROR(__xludf.DUMMYFUNCTION("""COMPUTED_VALUE"""),353)</f>
        <v>353</v>
      </c>
      <c r="Z958" s="3">
        <f ca="1">IFERROR(__xludf.DUMMYFUNCTION("""COMPUTED_VALUE"""),644)</f>
        <v>644</v>
      </c>
      <c r="AA958" s="3">
        <f ca="1">IFERROR(__xludf.DUMMYFUNCTION("""COMPUTED_VALUE"""),651)</f>
        <v>651</v>
      </c>
      <c r="AB958" s="3">
        <f ca="1">IFERROR(__xludf.DUMMYFUNCTION("""COMPUTED_VALUE"""),0)</f>
        <v>0</v>
      </c>
      <c r="AC958" s="3">
        <f ca="1">IFERROR(__xludf.DUMMYFUNCTION("""COMPUTED_VALUE"""),1)</f>
        <v>1</v>
      </c>
      <c r="AD958" s="3" t="str">
        <f ca="1">IFERROR(__xludf.DUMMYFUNCTION("""COMPUTED_VALUE"""),"early")</f>
        <v>early</v>
      </c>
      <c r="AE958" s="3" t="str">
        <f ca="1">IFERROR(__xludf.DUMMYFUNCTION("""COMPUTED_VALUE"""),"2055-06-05T11:38:13.578293Z")</f>
        <v>2055-06-05T11:38:13.578293Z</v>
      </c>
      <c r="AF958" s="3" t="str">
        <f ca="1">IFERROR(__xludf.DUMMYFUNCTION("""COMPUTED_VALUE"""),"2055-06-05T11:49:04.603567Z")</f>
        <v>2055-06-05T11:49:04.603567Z</v>
      </c>
      <c r="AG958" s="3" t="str">
        <f ca="1">IFERROR(__xludf.DUMMYFUNCTION("""COMPUTED_VALUE"""),"2055-06-05T11:21:27.320104Z")</f>
        <v>2055-06-05T11:21:27.320104Z</v>
      </c>
      <c r="AH958" s="3" t="str">
        <f ca="1">IFERROR(__xludf.DUMMYFUNCTION("""COMPUTED_VALUE"""),"2055-06-05T11:27:29.721742Z")</f>
        <v>2055-06-05T11:27:29.721742Z</v>
      </c>
      <c r="AI958" s="3">
        <f ca="1">IFERROR(__xludf.DUMMYFUNCTION("""COMPUTED_VALUE"""),4.79)</f>
        <v>4.79</v>
      </c>
      <c r="AJ958" s="3">
        <f ca="1">IFERROR(__xludf.DUMMYFUNCTION("""COMPUTED_VALUE"""),1007)</f>
        <v>1007</v>
      </c>
      <c r="AK958" s="3">
        <f ca="1">IFERROR(__xludf.DUMMYFUNCTION("""COMPUTED_VALUE"""),2899)</f>
        <v>2899</v>
      </c>
      <c r="AL958" s="3">
        <f ca="1">IFERROR(__xludf.DUMMYFUNCTION("""COMPUTED_VALUE"""),1301)</f>
        <v>1301</v>
      </c>
      <c r="AM958" s="3">
        <f>IFERROR(Raw_Data!AL958 / Raw_Data!AK958, "")</f>
        <v>0.44877543980682993</v>
      </c>
      <c r="AN958" s="3" t="str">
        <f>IF(ISBLANK(Raw_Data!AL958), "No", "Yes")</f>
        <v>Yes</v>
      </c>
      <c r="AO958" s="3">
        <f>IFERROR(Raw_Data!Z958/60, "")</f>
        <v>10.733333333333333</v>
      </c>
    </row>
    <row r="959" spans="1:41" ht="13">
      <c r="A959" s="3">
        <f ca="1">IFERROR(__xludf.DUMMYFUNCTION("""COMPUTED_VALUE"""),120)</f>
        <v>120</v>
      </c>
      <c r="B959" s="3"/>
      <c r="C959" s="3">
        <f ca="1">IFERROR(__xludf.DUMMYFUNCTION("""COMPUTED_VALUE"""),4050)</f>
        <v>4050</v>
      </c>
      <c r="D959" s="3" t="str">
        <f ca="1">IFERROR(__xludf.DUMMYFUNCTION("""COMPUTED_VALUE"""),"Doorlanta")</f>
        <v>Doorlanta</v>
      </c>
      <c r="E959" s="3" t="str">
        <f ca="1">IFERROR(__xludf.DUMMYFUNCTION("""COMPUTED_VALUE"""),"Galaxy A")</f>
        <v>Galaxy A</v>
      </c>
      <c r="F959" s="3" t="str">
        <f ca="1">IFERROR(__xludf.DUMMYFUNCTION("""COMPUTED_VALUE"""),"Hanna")</f>
        <v>Hanna</v>
      </c>
      <c r="G959" s="3">
        <f ca="1">IFERROR(__xludf.DUMMYFUNCTION("""COMPUTED_VALUE"""),0)</f>
        <v>0</v>
      </c>
      <c r="H959" s="3" t="str">
        <f ca="1">IFERROR(__xludf.DUMMYFUNCTION("""COMPUTED_VALUE"""),"car")</f>
        <v>car</v>
      </c>
      <c r="I959" s="3" t="str">
        <f ca="1">IFERROR(__xludf.DUMMYFUNCTION("""COMPUTED_VALUE"""),"2055-06-02T15:16:55.719213Z")</f>
        <v>2055-06-02T15:16:55.719213Z</v>
      </c>
      <c r="J959" s="3" t="str">
        <f ca="1">IFERROR(__xludf.DUMMYFUNCTION("""COMPUTED_VALUE"""),"2055-06-02T16:54:16.801Z")</f>
        <v>2055-06-02T16:54:16.801Z</v>
      </c>
      <c r="K959" s="3" t="str">
        <f ca="1">IFERROR(__xludf.DUMMYFUNCTION("""COMPUTED_VALUE"""),"2055-06-02T16:31:03.801Z")</f>
        <v>2055-06-02T16:31:03.801Z</v>
      </c>
      <c r="L959" s="3">
        <f ca="1">IFERROR(__xludf.DUMMYFUNCTION("""COMPUTED_VALUE"""),1)</f>
        <v>1</v>
      </c>
      <c r="M959" s="3">
        <f ca="1">IFERROR(__xludf.DUMMYFUNCTION("""COMPUTED_VALUE"""),0)</f>
        <v>0</v>
      </c>
      <c r="N959" s="3" t="str">
        <f ca="1">IFERROR(__xludf.DUMMYFUNCTION("""COMPUTED_VALUE"""),"2055-06-02T15:42:24.256075Z")</f>
        <v>2055-06-02T15:42:24.256075Z</v>
      </c>
      <c r="O959" s="3" t="str">
        <f ca="1">IFERROR(__xludf.DUMMYFUNCTION("""COMPUTED_VALUE"""),"2055-06-02T15:55:00.74901Z")</f>
        <v>2055-06-02T15:55:00.74901Z</v>
      </c>
      <c r="P959" s="3" t="str">
        <f ca="1">IFERROR(__xludf.DUMMYFUNCTION("""COMPUTED_VALUE"""),"2055-06-02T15:31:07.442776Z")</f>
        <v>2055-06-02T15:31:07.442776Z</v>
      </c>
      <c r="Q959" s="3">
        <f ca="1">IFERROR(__xludf.DUMMYFUNCTION("""COMPUTED_VALUE"""),0)</f>
        <v>0</v>
      </c>
      <c r="R959" s="3" t="str">
        <f ca="1">IFERROR(__xludf.DUMMYFUNCTION("""COMPUTED_VALUE"""),"2055-06-02T15:31:24.011639Z")</f>
        <v>2055-06-02T15:31:24.011639Z</v>
      </c>
      <c r="S959" s="3" t="str">
        <f ca="1">IFERROR(__xludf.DUMMYFUNCTION("""COMPUTED_VALUE"""),"2055-06-02T15:38:33.749481Z")</f>
        <v>2055-06-02T15:38:33.749481Z</v>
      </c>
      <c r="T959" s="3"/>
      <c r="U959" s="4">
        <f ca="1">IFERROR(__xludf.DUMMYFUNCTION("""COMPUTED_VALUE"""),56767)</f>
        <v>56767</v>
      </c>
      <c r="V959" s="3">
        <f ca="1">IFERROR(__xludf.DUMMYFUNCTION("""COMPUTED_VALUE"""),4.5)</f>
        <v>4.5</v>
      </c>
      <c r="W959" s="3">
        <f ca="1">IFERROR(__xludf.DUMMYFUNCTION("""COMPUTED_VALUE"""),1500)</f>
        <v>1500</v>
      </c>
      <c r="X959" s="3">
        <f ca="1">IFERROR(__xludf.DUMMYFUNCTION("""COMPUTED_VALUE"""),1416)</f>
        <v>1416</v>
      </c>
      <c r="Y959" s="3">
        <f ca="1">IFERROR(__xludf.DUMMYFUNCTION("""COMPUTED_VALUE"""),429)</f>
        <v>429</v>
      </c>
      <c r="Z959" s="3">
        <f ca="1">IFERROR(__xludf.DUMMYFUNCTION("""COMPUTED_VALUE"""),231)</f>
        <v>231</v>
      </c>
      <c r="AA959" s="3">
        <f ca="1">IFERROR(__xludf.DUMMYFUNCTION("""COMPUTED_VALUE"""),756)</f>
        <v>756</v>
      </c>
      <c r="AB959" s="3">
        <f ca="1">IFERROR(__xludf.DUMMYFUNCTION("""COMPUTED_VALUE"""),0)</f>
        <v>0</v>
      </c>
      <c r="AC959" s="3">
        <f ca="1">IFERROR(__xludf.DUMMYFUNCTION("""COMPUTED_VALUE"""),2)</f>
        <v>2</v>
      </c>
      <c r="AD959" s="3" t="str">
        <f ca="1">IFERROR(__xludf.DUMMYFUNCTION("""COMPUTED_VALUE"""),"early")</f>
        <v>early</v>
      </c>
      <c r="AE959" s="3" t="str">
        <f ca="1">IFERROR(__xludf.DUMMYFUNCTION("""COMPUTED_VALUE"""),"2055-06-02T11:42:24.256075Z")</f>
        <v>2055-06-02T11:42:24.256075Z</v>
      </c>
      <c r="AF959" s="3" t="str">
        <f ca="1">IFERROR(__xludf.DUMMYFUNCTION("""COMPUTED_VALUE"""),"2055-06-02T11:55:00.74901Z")</f>
        <v>2055-06-02T11:55:00.74901Z</v>
      </c>
      <c r="AG959" s="3" t="str">
        <f ca="1">IFERROR(__xludf.DUMMYFUNCTION("""COMPUTED_VALUE"""),"2055-06-02T11:31:07.442776Z")</f>
        <v>2055-06-02T11:31:07.442776Z</v>
      </c>
      <c r="AH959" s="3" t="str">
        <f ca="1">IFERROR(__xludf.DUMMYFUNCTION("""COMPUTED_VALUE"""),"2055-06-02T11:38:33.749481Z")</f>
        <v>2055-06-02T11:38:33.749481Z</v>
      </c>
      <c r="AI959" s="3">
        <f ca="1">IFERROR(__xludf.DUMMYFUNCTION("""COMPUTED_VALUE"""),4.79)</f>
        <v>4.79</v>
      </c>
      <c r="AJ959" s="3">
        <f ca="1">IFERROR(__xludf.DUMMYFUNCTION("""COMPUTED_VALUE"""),1007)</f>
        <v>1007</v>
      </c>
      <c r="AK959" s="3">
        <f ca="1">IFERROR(__xludf.DUMMYFUNCTION("""COMPUTED_VALUE"""),2899)</f>
        <v>2899</v>
      </c>
      <c r="AL959" s="3">
        <f ca="1">IFERROR(__xludf.DUMMYFUNCTION("""COMPUTED_VALUE"""),1301)</f>
        <v>1301</v>
      </c>
      <c r="AM959" s="3">
        <f>IFERROR(Raw_Data!AL959 / Raw_Data!AK959, "")</f>
        <v>0.44877543980682993</v>
      </c>
      <c r="AN959" s="3" t="str">
        <f>IF(ISBLANK(Raw_Data!AL959), "No", "Yes")</f>
        <v>Yes</v>
      </c>
      <c r="AO959" s="3">
        <f>IFERROR(Raw_Data!Z959/60, "")</f>
        <v>3.85</v>
      </c>
    </row>
    <row r="960" spans="1:41" ht="13">
      <c r="A960" s="3">
        <f ca="1">IFERROR(__xludf.DUMMYFUNCTION("""COMPUTED_VALUE"""),836)</f>
        <v>836</v>
      </c>
      <c r="B960" s="3">
        <f ca="1">IFERROR(__xludf.DUMMYFUNCTION("""COMPUTED_VALUE"""),1)</f>
        <v>1</v>
      </c>
      <c r="C960" s="3">
        <f ca="1">IFERROR(__xludf.DUMMYFUNCTION("""COMPUTED_VALUE"""),4001)</f>
        <v>4001</v>
      </c>
      <c r="D960" s="3" t="str">
        <f ca="1">IFERROR(__xludf.DUMMYFUNCTION("""COMPUTED_VALUE"""),"Dashattan")</f>
        <v>Dashattan</v>
      </c>
      <c r="E960" s="3" t="str">
        <f ca="1">IFERROR(__xludf.DUMMYFUNCTION("""COMPUTED_VALUE"""),"Galaxy A")</f>
        <v>Galaxy A</v>
      </c>
      <c r="F960" s="3" t="str">
        <f ca="1">IFERROR(__xludf.DUMMYFUNCTION("""COMPUTED_VALUE"""),"Bret")</f>
        <v>Bret</v>
      </c>
      <c r="G960" s="3">
        <f ca="1">IFERROR(__xludf.DUMMYFUNCTION("""COMPUTED_VALUE"""),0)</f>
        <v>0</v>
      </c>
      <c r="H960" s="3" t="str">
        <f ca="1">IFERROR(__xludf.DUMMYFUNCTION("""COMPUTED_VALUE"""),"car")</f>
        <v>car</v>
      </c>
      <c r="I960" s="3" t="str">
        <f ca="1">IFERROR(__xludf.DUMMYFUNCTION("""COMPUTED_VALUE"""),"2055-06-07T15:46:21.063955Z")</f>
        <v>2055-06-07T15:46:21.063955Z</v>
      </c>
      <c r="J960" s="3" t="str">
        <f ca="1">IFERROR(__xludf.DUMMYFUNCTION("""COMPUTED_VALUE"""),"2055-06-07T16:40:27.125Z")</f>
        <v>2055-06-07T16:40:27.125Z</v>
      </c>
      <c r="K960" s="3" t="str">
        <f ca="1">IFERROR(__xludf.DUMMYFUNCTION("""COMPUTED_VALUE"""),"2055-06-07T16:30:46.125Z")</f>
        <v>2055-06-07T16:30:46.125Z</v>
      </c>
      <c r="L960" s="3">
        <f ca="1">IFERROR(__xludf.DUMMYFUNCTION("""COMPUTED_VALUE"""),1)</f>
        <v>1</v>
      </c>
      <c r="M960" s="3">
        <f ca="1">IFERROR(__xludf.DUMMYFUNCTION("""COMPUTED_VALUE"""),0)</f>
        <v>0</v>
      </c>
      <c r="N960" s="3" t="str">
        <f ca="1">IFERROR(__xludf.DUMMYFUNCTION("""COMPUTED_VALUE"""),"2055-06-07T16:21:27.674571Z")</f>
        <v>2055-06-07T16:21:27.674571Z</v>
      </c>
      <c r="O960" s="3" t="str">
        <f ca="1">IFERROR(__xludf.DUMMYFUNCTION("""COMPUTED_VALUE"""),"2055-06-07T17:18:57.400909Z")</f>
        <v>2055-06-07T17:18:57.400909Z</v>
      </c>
      <c r="P960" s="3" t="str">
        <f ca="1">IFERROR(__xludf.DUMMYFUNCTION("""COMPUTED_VALUE"""),"2055-06-07T15:52:14.101122Z")</f>
        <v>2055-06-07T15:52:14.101122Z</v>
      </c>
      <c r="Q960" s="3">
        <f ca="1">IFERROR(__xludf.DUMMYFUNCTION("""COMPUTED_VALUE"""),0)</f>
        <v>0</v>
      </c>
      <c r="R960" s="3" t="str">
        <f ca="1">IFERROR(__xludf.DUMMYFUNCTION("""COMPUTED_VALUE"""),"2055-06-07T15:52:29.247376Z")</f>
        <v>2055-06-07T15:52:29.247376Z</v>
      </c>
      <c r="S960" s="3" t="str">
        <f ca="1">IFERROR(__xludf.DUMMYFUNCTION("""COMPUTED_VALUE"""),"2055-06-07T16:15:31.043439Z")</f>
        <v>2055-06-07T16:15:31.043439Z</v>
      </c>
      <c r="T960" s="3"/>
      <c r="U960" s="4">
        <f ca="1">IFERROR(__xludf.DUMMYFUNCTION("""COMPUTED_VALUE"""),56772)</f>
        <v>56772</v>
      </c>
      <c r="V960" s="3">
        <f ca="1">IFERROR(__xludf.DUMMYFUNCTION("""COMPUTED_VALUE"""),4.4)</f>
        <v>4.4000000000000004</v>
      </c>
      <c r="W960" s="3">
        <f ca="1">IFERROR(__xludf.DUMMYFUNCTION("""COMPUTED_VALUE"""),1500)</f>
        <v>1500</v>
      </c>
      <c r="X960" s="3">
        <f ca="1">IFERROR(__xludf.DUMMYFUNCTION("""COMPUTED_VALUE"""),5188)</f>
        <v>5188</v>
      </c>
      <c r="Y960" s="3">
        <f ca="1">IFERROR(__xludf.DUMMYFUNCTION("""COMPUTED_VALUE"""),1382)</f>
        <v>1382</v>
      </c>
      <c r="Z960" s="3">
        <f ca="1">IFERROR(__xludf.DUMMYFUNCTION("""COMPUTED_VALUE"""),356)</f>
        <v>356</v>
      </c>
      <c r="AA960" s="3">
        <f ca="1">IFERROR(__xludf.DUMMYFUNCTION("""COMPUTED_VALUE"""),3450)</f>
        <v>3450</v>
      </c>
      <c r="AB960" s="3">
        <f ca="1">IFERROR(__xludf.DUMMYFUNCTION("""COMPUTED_VALUE"""),1)</f>
        <v>1</v>
      </c>
      <c r="AC960" s="3">
        <f ca="1">IFERROR(__xludf.DUMMYFUNCTION("""COMPUTED_VALUE"""),1)</f>
        <v>1</v>
      </c>
      <c r="AD960" s="3"/>
      <c r="AE960" s="3" t="str">
        <f ca="1">IFERROR(__xludf.DUMMYFUNCTION("""COMPUTED_VALUE"""),"2055-06-07T12:21:27.674571Z")</f>
        <v>2055-06-07T12:21:27.674571Z</v>
      </c>
      <c r="AF960" s="3" t="str">
        <f ca="1">IFERROR(__xludf.DUMMYFUNCTION("""COMPUTED_VALUE"""),"2055-06-07T13:18:57.400909Z")</f>
        <v>2055-06-07T13:18:57.400909Z</v>
      </c>
      <c r="AG960" s="3" t="str">
        <f ca="1">IFERROR(__xludf.DUMMYFUNCTION("""COMPUTED_VALUE"""),"2055-06-07T11:52:14.101122Z")</f>
        <v>2055-06-07T11:52:14.101122Z</v>
      </c>
      <c r="AH960" s="3" t="str">
        <f ca="1">IFERROR(__xludf.DUMMYFUNCTION("""COMPUTED_VALUE"""),"2055-06-07T12:15:31.043439Z")</f>
        <v>2055-06-07T12:15:31.043439Z</v>
      </c>
      <c r="AI960" s="3">
        <f ca="1">IFERROR(__xludf.DUMMYFUNCTION("""COMPUTED_VALUE"""),3.82)</f>
        <v>3.82</v>
      </c>
      <c r="AJ960" s="3">
        <f ca="1">IFERROR(__xludf.DUMMYFUNCTION("""COMPUTED_VALUE"""),174)</f>
        <v>174</v>
      </c>
      <c r="AK960" s="3">
        <f ca="1">IFERROR(__xludf.DUMMYFUNCTION("""COMPUTED_VALUE"""),773)</f>
        <v>773</v>
      </c>
      <c r="AL960" s="3"/>
      <c r="AM960" s="3">
        <f>IFERROR(Raw_Data!AL960 / Raw_Data!AK960, "")</f>
        <v>0</v>
      </c>
      <c r="AN960" s="3" t="str">
        <f>IF(ISBLANK(Raw_Data!AL960), "No", "Yes")</f>
        <v>No</v>
      </c>
      <c r="AO960" s="3">
        <f>IFERROR(Raw_Data!Z960/60, "")</f>
        <v>5.9333333333333336</v>
      </c>
    </row>
    <row r="961" spans="1:41" ht="13">
      <c r="A961" s="3">
        <f ca="1">IFERROR(__xludf.DUMMYFUNCTION("""COMPUTED_VALUE"""),453)</f>
        <v>453</v>
      </c>
      <c r="B961" s="3"/>
      <c r="C961" s="3">
        <f ca="1">IFERROR(__xludf.DUMMYFUNCTION("""COMPUTED_VALUE"""),4050)</f>
        <v>4050</v>
      </c>
      <c r="D961" s="3" t="str">
        <f ca="1">IFERROR(__xludf.DUMMYFUNCTION("""COMPUTED_VALUE"""),"Doorlanta")</f>
        <v>Doorlanta</v>
      </c>
      <c r="E961" s="3" t="str">
        <f ca="1">IFERROR(__xludf.DUMMYFUNCTION("""COMPUTED_VALUE"""),"Galaxy A")</f>
        <v>Galaxy A</v>
      </c>
      <c r="F961" s="3" t="str">
        <f ca="1">IFERROR(__xludf.DUMMYFUNCTION("""COMPUTED_VALUE"""),"Matthew")</f>
        <v>Matthew</v>
      </c>
      <c r="G961" s="3">
        <f ca="1">IFERROR(__xludf.DUMMYFUNCTION("""COMPUTED_VALUE"""),0)</f>
        <v>0</v>
      </c>
      <c r="H961" s="3" t="str">
        <f ca="1">IFERROR(__xludf.DUMMYFUNCTION("""COMPUTED_VALUE"""),"car")</f>
        <v>car</v>
      </c>
      <c r="I961" s="3" t="str">
        <f ca="1">IFERROR(__xludf.DUMMYFUNCTION("""COMPUTED_VALUE"""),"2055-06-04T21:51:30.907029Z")</f>
        <v>2055-06-04T21:51:30.907029Z</v>
      </c>
      <c r="J961" s="3" t="str">
        <f ca="1">IFERROR(__xludf.DUMMYFUNCTION("""COMPUTED_VALUE"""),"2055-06-04T22:48:39.969Z")</f>
        <v>2055-06-04T22:48:39.969Z</v>
      </c>
      <c r="K961" s="3" t="str">
        <f ca="1">IFERROR(__xludf.DUMMYFUNCTION("""COMPUTED_VALUE"""),"2055-06-04T22:28:32.969Z")</f>
        <v>2055-06-04T22:28:32.969Z</v>
      </c>
      <c r="L961" s="3">
        <f ca="1">IFERROR(__xludf.DUMMYFUNCTION("""COMPUTED_VALUE"""),1)</f>
        <v>1</v>
      </c>
      <c r="M961" s="3">
        <f ca="1">IFERROR(__xludf.DUMMYFUNCTION("""COMPUTED_VALUE"""),0)</f>
        <v>0</v>
      </c>
      <c r="N961" s="3" t="str">
        <f ca="1">IFERROR(__xludf.DUMMYFUNCTION("""COMPUTED_VALUE"""),"2055-06-04T22:14:08.164889Z")</f>
        <v>2055-06-04T22:14:08.164889Z</v>
      </c>
      <c r="O961" s="3" t="str">
        <f ca="1">IFERROR(__xludf.DUMMYFUNCTION("""COMPUTED_VALUE"""),"2055-06-04T22:31:27.34891Z")</f>
        <v>2055-06-04T22:31:27.34891Z</v>
      </c>
      <c r="P961" s="3" t="str">
        <f ca="1">IFERROR(__xludf.DUMMYFUNCTION("""COMPUTED_VALUE"""),"2055-06-04T21:57:47.4509Z")</f>
        <v>2055-06-04T21:57:47.4509Z</v>
      </c>
      <c r="Q961" s="3">
        <f ca="1">IFERROR(__xludf.DUMMYFUNCTION("""COMPUTED_VALUE"""),0)</f>
        <v>0</v>
      </c>
      <c r="R961" s="3" t="str">
        <f ca="1">IFERROR(__xludf.DUMMYFUNCTION("""COMPUTED_VALUE"""),"2055-06-04T21:59:04.73726Z")</f>
        <v>2055-06-04T21:59:04.73726Z</v>
      </c>
      <c r="S961" s="3" t="str">
        <f ca="1">IFERROR(__xludf.DUMMYFUNCTION("""COMPUTED_VALUE"""),"2055-06-04T22:10:11.099915Z")</f>
        <v>2055-06-04T22:10:11.099915Z</v>
      </c>
      <c r="T961" s="3"/>
      <c r="U961" s="4">
        <f ca="1">IFERROR(__xludf.DUMMYFUNCTION("""COMPUTED_VALUE"""),56769)</f>
        <v>56769</v>
      </c>
      <c r="V961" s="3">
        <f ca="1">IFERROR(__xludf.DUMMYFUNCTION("""COMPUTED_VALUE"""),4.5)</f>
        <v>4.5</v>
      </c>
      <c r="W961" s="3">
        <f ca="1">IFERROR(__xludf.DUMMYFUNCTION("""COMPUTED_VALUE"""),1500)</f>
        <v>1500</v>
      </c>
      <c r="X961" s="3">
        <f ca="1">IFERROR(__xludf.DUMMYFUNCTION("""COMPUTED_VALUE"""),1943)</f>
        <v>1943</v>
      </c>
      <c r="Y961" s="3">
        <f ca="1">IFERROR(__xludf.DUMMYFUNCTION("""COMPUTED_VALUE"""),667)</f>
        <v>667</v>
      </c>
      <c r="Z961" s="3">
        <f ca="1">IFERROR(__xludf.DUMMYFUNCTION("""COMPUTED_VALUE"""),237)</f>
        <v>237</v>
      </c>
      <c r="AA961" s="3">
        <f ca="1">IFERROR(__xludf.DUMMYFUNCTION("""COMPUTED_VALUE"""),1039)</f>
        <v>1039</v>
      </c>
      <c r="AB961" s="3">
        <f ca="1">IFERROR(__xludf.DUMMYFUNCTION("""COMPUTED_VALUE"""),0)</f>
        <v>0</v>
      </c>
      <c r="AC961" s="3">
        <f ca="1">IFERROR(__xludf.DUMMYFUNCTION("""COMPUTED_VALUE"""),3)</f>
        <v>3</v>
      </c>
      <c r="AD961" s="3" t="str">
        <f ca="1">IFERROR(__xludf.DUMMYFUNCTION("""COMPUTED_VALUE"""),"late")</f>
        <v>late</v>
      </c>
      <c r="AE961" s="3" t="str">
        <f ca="1">IFERROR(__xludf.DUMMYFUNCTION("""COMPUTED_VALUE"""),"2055-06-04T18:14:08.164889Z")</f>
        <v>2055-06-04T18:14:08.164889Z</v>
      </c>
      <c r="AF961" s="3" t="str">
        <f ca="1">IFERROR(__xludf.DUMMYFUNCTION("""COMPUTED_VALUE"""),"2055-06-04T18:31:27.34891Z")</f>
        <v>2055-06-04T18:31:27.34891Z</v>
      </c>
      <c r="AG961" s="3" t="str">
        <f ca="1">IFERROR(__xludf.DUMMYFUNCTION("""COMPUTED_VALUE"""),"2055-06-04T17:57:47.4509Z")</f>
        <v>2055-06-04T17:57:47.4509Z</v>
      </c>
      <c r="AH961" s="3" t="str">
        <f ca="1">IFERROR(__xludf.DUMMYFUNCTION("""COMPUTED_VALUE"""),"2055-06-04T18:10:11.099915Z")</f>
        <v>2055-06-04T18:10:11.099915Z</v>
      </c>
      <c r="AI961" s="3">
        <f ca="1">IFERROR(__xludf.DUMMYFUNCTION("""COMPUTED_VALUE"""),4.411111111)</f>
        <v>4.4111111110000003</v>
      </c>
      <c r="AJ961" s="3">
        <f ca="1">IFERROR(__xludf.DUMMYFUNCTION("""COMPUTED_VALUE"""),68)</f>
        <v>68</v>
      </c>
      <c r="AK961" s="3">
        <f ca="1">IFERROR(__xludf.DUMMYFUNCTION("""COMPUTED_VALUE"""),223)</f>
        <v>223</v>
      </c>
      <c r="AL961" s="3">
        <f ca="1">IFERROR(__xludf.DUMMYFUNCTION("""COMPUTED_VALUE"""),118)</f>
        <v>118</v>
      </c>
      <c r="AM961" s="3">
        <f>IFERROR(Raw_Data!AL961 / Raw_Data!AK961, "")</f>
        <v>0.52914798206278024</v>
      </c>
      <c r="AN961" s="3" t="str">
        <f>IF(ISBLANK(Raw_Data!AL961), "No", "Yes")</f>
        <v>Yes</v>
      </c>
      <c r="AO961" s="3">
        <f>IFERROR(Raw_Data!Z961/60, "")</f>
        <v>3.95</v>
      </c>
    </row>
    <row r="962" spans="1:41" ht="13">
      <c r="A962" s="3">
        <f ca="1">IFERROR(__xludf.DUMMYFUNCTION("""COMPUTED_VALUE"""),92)</f>
        <v>92</v>
      </c>
      <c r="B962" s="3"/>
      <c r="C962" s="3">
        <f ca="1">IFERROR(__xludf.DUMMYFUNCTION("""COMPUTED_VALUE"""),4001)</f>
        <v>4001</v>
      </c>
      <c r="D962" s="3" t="str">
        <f ca="1">IFERROR(__xludf.DUMMYFUNCTION("""COMPUTED_VALUE"""),"Dashattan")</f>
        <v>Dashattan</v>
      </c>
      <c r="E962" s="3" t="str">
        <f ca="1">IFERROR(__xludf.DUMMYFUNCTION("""COMPUTED_VALUE"""),"Galaxy A")</f>
        <v>Galaxy A</v>
      </c>
      <c r="F962" s="3" t="str">
        <f ca="1">IFERROR(__xludf.DUMMYFUNCTION("""COMPUTED_VALUE"""),"J")</f>
        <v>J</v>
      </c>
      <c r="G962" s="3">
        <f ca="1">IFERROR(__xludf.DUMMYFUNCTION("""COMPUTED_VALUE"""),0)</f>
        <v>0</v>
      </c>
      <c r="H962" s="3" t="str">
        <f ca="1">IFERROR(__xludf.DUMMYFUNCTION("""COMPUTED_VALUE"""),"bicycle")</f>
        <v>bicycle</v>
      </c>
      <c r="I962" s="3" t="str">
        <f ca="1">IFERROR(__xludf.DUMMYFUNCTION("""COMPUTED_VALUE"""),"2055-06-02T00:12:22.690145Z")</f>
        <v>2055-06-02T00:12:22.690145Z</v>
      </c>
      <c r="J962" s="3" t="str">
        <f ca="1">IFERROR(__xludf.DUMMYFUNCTION("""COMPUTED_VALUE"""),"2055-06-02T01:20:13.763Z")</f>
        <v>2055-06-02T01:20:13.763Z</v>
      </c>
      <c r="K962" s="3" t="str">
        <f ca="1">IFERROR(__xludf.DUMMYFUNCTION("""COMPUTED_VALUE"""),"2055-06-02T01:00:06.763Z")</f>
        <v>2055-06-02T01:00:06.763Z</v>
      </c>
      <c r="L962" s="3">
        <f ca="1">IFERROR(__xludf.DUMMYFUNCTION("""COMPUTED_VALUE"""),1)</f>
        <v>1</v>
      </c>
      <c r="M962" s="3">
        <f ca="1">IFERROR(__xludf.DUMMYFUNCTION("""COMPUTED_VALUE"""),0)</f>
        <v>0</v>
      </c>
      <c r="N962" s="3" t="str">
        <f ca="1">IFERROR(__xludf.DUMMYFUNCTION("""COMPUTED_VALUE"""),"2055-06-02T00:46:51.609716Z")</f>
        <v>2055-06-02T00:46:51.609716Z</v>
      </c>
      <c r="O962" s="3" t="str">
        <f ca="1">IFERROR(__xludf.DUMMYFUNCTION("""COMPUTED_VALUE"""),"2055-06-02T00:58:05.393145Z")</f>
        <v>2055-06-02T00:58:05.393145Z</v>
      </c>
      <c r="P962" s="3" t="str">
        <f ca="1">IFERROR(__xludf.DUMMYFUNCTION("""COMPUTED_VALUE"""),"2055-06-02T00:12:55.765239Z")</f>
        <v>2055-06-02T00:12:55.765239Z</v>
      </c>
      <c r="Q962" s="3">
        <f ca="1">IFERROR(__xludf.DUMMYFUNCTION("""COMPUTED_VALUE"""),0)</f>
        <v>0</v>
      </c>
      <c r="R962" s="3" t="str">
        <f ca="1">IFERROR(__xludf.DUMMYFUNCTION("""COMPUTED_VALUE"""),"2055-06-02T00:13:01.662977Z")</f>
        <v>2055-06-02T00:13:01.662977Z</v>
      </c>
      <c r="S962" s="3" t="str">
        <f ca="1">IFERROR(__xludf.DUMMYFUNCTION("""COMPUTED_VALUE"""),"2055-06-02T00:30:48.362362Z")</f>
        <v>2055-06-02T00:30:48.362362Z</v>
      </c>
      <c r="T962" s="3"/>
      <c r="U962" s="4">
        <f ca="1">IFERROR(__xludf.DUMMYFUNCTION("""COMPUTED_VALUE"""),56766)</f>
        <v>56766</v>
      </c>
      <c r="V962" s="3">
        <f ca="1">IFERROR(__xludf.DUMMYFUNCTION("""COMPUTED_VALUE"""),4.3)</f>
        <v>4.3</v>
      </c>
      <c r="W962" s="3">
        <f ca="1">IFERROR(__xludf.DUMMYFUNCTION("""COMPUTED_VALUE"""),1500)</f>
        <v>1500</v>
      </c>
      <c r="X962" s="3">
        <f ca="1">IFERROR(__xludf.DUMMYFUNCTION("""COMPUTED_VALUE"""),2704)</f>
        <v>2704</v>
      </c>
      <c r="Y962" s="3">
        <f ca="1">IFERROR(__xludf.DUMMYFUNCTION("""COMPUTED_VALUE"""),1067)</f>
        <v>1067</v>
      </c>
      <c r="Z962" s="3">
        <f ca="1">IFERROR(__xludf.DUMMYFUNCTION("""COMPUTED_VALUE"""),963)</f>
        <v>963</v>
      </c>
      <c r="AA962" s="3">
        <f ca="1">IFERROR(__xludf.DUMMYFUNCTION("""COMPUTED_VALUE"""),674)</f>
        <v>674</v>
      </c>
      <c r="AB962" s="3">
        <f ca="1">IFERROR(__xludf.DUMMYFUNCTION("""COMPUTED_VALUE"""),0)</f>
        <v>0</v>
      </c>
      <c r="AC962" s="3">
        <f ca="1">IFERROR(__xludf.DUMMYFUNCTION("""COMPUTED_VALUE"""),2)</f>
        <v>2</v>
      </c>
      <c r="AD962" s="3" t="str">
        <f ca="1">IFERROR(__xludf.DUMMYFUNCTION("""COMPUTED_VALUE"""),"on time")</f>
        <v>on time</v>
      </c>
      <c r="AE962" s="3" t="str">
        <f ca="1">IFERROR(__xludf.DUMMYFUNCTION("""COMPUTED_VALUE"""),"2055-06-01T20:46:51.609716Z")</f>
        <v>2055-06-01T20:46:51.609716Z</v>
      </c>
      <c r="AF962" s="3" t="str">
        <f ca="1">IFERROR(__xludf.DUMMYFUNCTION("""COMPUTED_VALUE"""),"2055-06-01T20:58:05.393145Z")</f>
        <v>2055-06-01T20:58:05.393145Z</v>
      </c>
      <c r="AG962" s="3" t="str">
        <f ca="1">IFERROR(__xludf.DUMMYFUNCTION("""COMPUTED_VALUE"""),"2055-06-01T20:12:55.765239Z")</f>
        <v>2055-06-01T20:12:55.765239Z</v>
      </c>
      <c r="AH962" s="3" t="str">
        <f ca="1">IFERROR(__xludf.DUMMYFUNCTION("""COMPUTED_VALUE"""),"2055-06-01T20:30:48.362362Z")</f>
        <v>2055-06-01T20:30:48.362362Z</v>
      </c>
      <c r="AI962" s="3">
        <f ca="1">IFERROR(__xludf.DUMMYFUNCTION("""COMPUTED_VALUE"""),4.6)</f>
        <v>4.5999999999999996</v>
      </c>
      <c r="AJ962" s="3">
        <f ca="1">IFERROR(__xludf.DUMMYFUNCTION("""COMPUTED_VALUE"""),292)</f>
        <v>292</v>
      </c>
      <c r="AK962" s="3">
        <f ca="1">IFERROR(__xludf.DUMMYFUNCTION("""COMPUTED_VALUE"""),1027)</f>
        <v>1027</v>
      </c>
      <c r="AL962" s="3">
        <f ca="1">IFERROR(__xludf.DUMMYFUNCTION("""COMPUTED_VALUE"""),26)</f>
        <v>26</v>
      </c>
      <c r="AM962" s="3">
        <f>IFERROR(Raw_Data!AL962 / Raw_Data!AK962, "")</f>
        <v>2.5316455696202531E-2</v>
      </c>
      <c r="AN962" s="3" t="str">
        <f>IF(ISBLANK(Raw_Data!AL962), "No", "Yes")</f>
        <v>Yes</v>
      </c>
      <c r="AO962" s="3">
        <f>IFERROR(Raw_Data!Z962/60, "")</f>
        <v>16.05</v>
      </c>
    </row>
    <row r="963" spans="1:41" ht="13">
      <c r="A963" s="3">
        <f ca="1">IFERROR(__xludf.DUMMYFUNCTION("""COMPUTED_VALUE"""),936)</f>
        <v>936</v>
      </c>
      <c r="B963" s="3">
        <f ca="1">IFERROR(__xludf.DUMMYFUNCTION("""COMPUTED_VALUE"""),5)</f>
        <v>5</v>
      </c>
      <c r="C963" s="3">
        <f ca="1">IFERROR(__xludf.DUMMYFUNCTION("""COMPUTED_VALUE"""),4050)</f>
        <v>4050</v>
      </c>
      <c r="D963" s="3" t="str">
        <f ca="1">IFERROR(__xludf.DUMMYFUNCTION("""COMPUTED_VALUE"""),"Doorlanta")</f>
        <v>Doorlanta</v>
      </c>
      <c r="E963" s="3" t="str">
        <f ca="1">IFERROR(__xludf.DUMMYFUNCTION("""COMPUTED_VALUE"""),"Galaxy A")</f>
        <v>Galaxy A</v>
      </c>
      <c r="F963" s="3" t="str">
        <f ca="1">IFERROR(__xludf.DUMMYFUNCTION("""COMPUTED_VALUE"""),"Hanna")</f>
        <v>Hanna</v>
      </c>
      <c r="G963" s="3">
        <f ca="1">IFERROR(__xludf.DUMMYFUNCTION("""COMPUTED_VALUE"""),0)</f>
        <v>0</v>
      </c>
      <c r="H963" s="3" t="str">
        <f ca="1">IFERROR(__xludf.DUMMYFUNCTION("""COMPUTED_VALUE"""),"car")</f>
        <v>car</v>
      </c>
      <c r="I963" s="3" t="str">
        <f ca="1">IFERROR(__xludf.DUMMYFUNCTION("""COMPUTED_VALUE"""),"2055-06-08T15:41:17.283015Z")</f>
        <v>2055-06-08T15:41:17.283015Z</v>
      </c>
      <c r="J963" s="3" t="str">
        <f ca="1">IFERROR(__xludf.DUMMYFUNCTION("""COMPUTED_VALUE"""),"2055-06-08T16:21:17.367Z")</f>
        <v>2055-06-08T16:21:17.367Z</v>
      </c>
      <c r="K963" s="3" t="str">
        <f ca="1">IFERROR(__xludf.DUMMYFUNCTION("""COMPUTED_VALUE"""),"2055-06-08T16:09:31.367Z")</f>
        <v>2055-06-08T16:09:31.367Z</v>
      </c>
      <c r="L963" s="3">
        <f ca="1">IFERROR(__xludf.DUMMYFUNCTION("""COMPUTED_VALUE"""),1)</f>
        <v>1</v>
      </c>
      <c r="M963" s="3">
        <f ca="1">IFERROR(__xludf.DUMMYFUNCTION("""COMPUTED_VALUE"""),0)</f>
        <v>0</v>
      </c>
      <c r="N963" s="3" t="str">
        <f ca="1">IFERROR(__xludf.DUMMYFUNCTION("""COMPUTED_VALUE"""),"2055-06-08T16:07:06.312829Z")</f>
        <v>2055-06-08T16:07:06.312829Z</v>
      </c>
      <c r="O963" s="3" t="str">
        <f ca="1">IFERROR(__xludf.DUMMYFUNCTION("""COMPUTED_VALUE"""),"2055-06-08T16:16:15.321235Z")</f>
        <v>2055-06-08T16:16:15.321235Z</v>
      </c>
      <c r="P963" s="3" t="str">
        <f ca="1">IFERROR(__xludf.DUMMYFUNCTION("""COMPUTED_VALUE"""),"2055-06-08T15:41:27.335844Z")</f>
        <v>2055-06-08T15:41:27.335844Z</v>
      </c>
      <c r="Q963" s="3">
        <f ca="1">IFERROR(__xludf.DUMMYFUNCTION("""COMPUTED_VALUE"""),0)</f>
        <v>0</v>
      </c>
      <c r="R963" s="3" t="str">
        <f ca="1">IFERROR(__xludf.DUMMYFUNCTION("""COMPUTED_VALUE"""),"2055-06-08T15:41:58.528704Z")</f>
        <v>2055-06-08T15:41:58.528704Z</v>
      </c>
      <c r="S963" s="3" t="str">
        <f ca="1">IFERROR(__xludf.DUMMYFUNCTION("""COMPUTED_VALUE"""),"2055-06-08T16:00:03.934656Z")</f>
        <v>2055-06-08T16:00:03.934656Z</v>
      </c>
      <c r="T963" s="3"/>
      <c r="U963" s="4">
        <f ca="1">IFERROR(__xludf.DUMMYFUNCTION("""COMPUTED_VALUE"""),56773)</f>
        <v>56773</v>
      </c>
      <c r="V963" s="3">
        <f ca="1">IFERROR(__xludf.DUMMYFUNCTION("""COMPUTED_VALUE"""),3.632242013)</f>
        <v>3.6322420129999999</v>
      </c>
      <c r="W963" s="3">
        <f ca="1">IFERROR(__xludf.DUMMYFUNCTION("""COMPUTED_VALUE"""),1500)</f>
        <v>1500</v>
      </c>
      <c r="X963" s="3">
        <f ca="1">IFERROR(__xludf.DUMMYFUNCTION("""COMPUTED_VALUE"""),2057)</f>
        <v>2057</v>
      </c>
      <c r="Y963" s="3">
        <f ca="1">IFERROR(__xludf.DUMMYFUNCTION("""COMPUTED_VALUE"""),1085)</f>
        <v>1085</v>
      </c>
      <c r="Z963" s="3">
        <f ca="1">IFERROR(__xludf.DUMMYFUNCTION("""COMPUTED_VALUE"""),423)</f>
        <v>423</v>
      </c>
      <c r="AA963" s="3">
        <f ca="1">IFERROR(__xludf.DUMMYFUNCTION("""COMPUTED_VALUE"""),549)</f>
        <v>549</v>
      </c>
      <c r="AB963" s="3">
        <f ca="1">IFERROR(__xludf.DUMMYFUNCTION("""COMPUTED_VALUE"""),0)</f>
        <v>0</v>
      </c>
      <c r="AC963" s="3">
        <f ca="1">IFERROR(__xludf.DUMMYFUNCTION("""COMPUTED_VALUE"""),1)</f>
        <v>1</v>
      </c>
      <c r="AD963" s="3" t="str">
        <f ca="1">IFERROR(__xludf.DUMMYFUNCTION("""COMPUTED_VALUE"""),"late")</f>
        <v>late</v>
      </c>
      <c r="AE963" s="3" t="str">
        <f ca="1">IFERROR(__xludf.DUMMYFUNCTION("""COMPUTED_VALUE"""),"2055-06-08T12:07:06.312829Z")</f>
        <v>2055-06-08T12:07:06.312829Z</v>
      </c>
      <c r="AF963" s="3" t="str">
        <f ca="1">IFERROR(__xludf.DUMMYFUNCTION("""COMPUTED_VALUE"""),"2055-06-08T12:16:15.321235Z")</f>
        <v>2055-06-08T12:16:15.321235Z</v>
      </c>
      <c r="AG963" s="3" t="str">
        <f ca="1">IFERROR(__xludf.DUMMYFUNCTION("""COMPUTED_VALUE"""),"2055-06-08T11:41:27.335844Z")</f>
        <v>2055-06-08T11:41:27.335844Z</v>
      </c>
      <c r="AH963" s="3" t="str">
        <f ca="1">IFERROR(__xludf.DUMMYFUNCTION("""COMPUTED_VALUE"""),"2055-06-08T12:00:03.934656Z")</f>
        <v>2055-06-08T12:00:03.934656Z</v>
      </c>
      <c r="AI963" s="3">
        <f ca="1">IFERROR(__xludf.DUMMYFUNCTION("""COMPUTED_VALUE"""),4.79)</f>
        <v>4.79</v>
      </c>
      <c r="AJ963" s="3">
        <f ca="1">IFERROR(__xludf.DUMMYFUNCTION("""COMPUTED_VALUE"""),1007)</f>
        <v>1007</v>
      </c>
      <c r="AK963" s="3">
        <f ca="1">IFERROR(__xludf.DUMMYFUNCTION("""COMPUTED_VALUE"""),2899)</f>
        <v>2899</v>
      </c>
      <c r="AL963" s="3">
        <f ca="1">IFERROR(__xludf.DUMMYFUNCTION("""COMPUTED_VALUE"""),1301)</f>
        <v>1301</v>
      </c>
      <c r="AM963" s="3">
        <f>IFERROR(Raw_Data!AL963 / Raw_Data!AK963, "")</f>
        <v>0.44877543980682993</v>
      </c>
      <c r="AN963" s="3" t="str">
        <f>IF(ISBLANK(Raw_Data!AL963), "No", "Yes")</f>
        <v>Yes</v>
      </c>
      <c r="AO963" s="3">
        <f>IFERROR(Raw_Data!Z963/60, "")</f>
        <v>7.05</v>
      </c>
    </row>
    <row r="964" spans="1:41" ht="13">
      <c r="A964" s="3">
        <f ca="1">IFERROR(__xludf.DUMMYFUNCTION("""COMPUTED_VALUE"""),1299)</f>
        <v>1299</v>
      </c>
      <c r="B964" s="3">
        <f ca="1">IFERROR(__xludf.DUMMYFUNCTION("""COMPUTED_VALUE"""),5)</f>
        <v>5</v>
      </c>
      <c r="C964" s="3">
        <f ca="1">IFERROR(__xludf.DUMMYFUNCTION("""COMPUTED_VALUE"""),4001)</f>
        <v>4001</v>
      </c>
      <c r="D964" s="3" t="str">
        <f ca="1">IFERROR(__xludf.DUMMYFUNCTION("""COMPUTED_VALUE"""),"Dashattan")</f>
        <v>Dashattan</v>
      </c>
      <c r="E964" s="3" t="str">
        <f ca="1">IFERROR(__xludf.DUMMYFUNCTION("""COMPUTED_VALUE"""),"Galaxy A")</f>
        <v>Galaxy A</v>
      </c>
      <c r="F964" s="3" t="str">
        <f ca="1">IFERROR(__xludf.DUMMYFUNCTION("""COMPUTED_VALUE"""),"Mike")</f>
        <v>Mike</v>
      </c>
      <c r="G964" s="3">
        <f ca="1">IFERROR(__xludf.DUMMYFUNCTION("""COMPUTED_VALUE"""),0)</f>
        <v>0</v>
      </c>
      <c r="H964" s="3" t="str">
        <f ca="1">IFERROR(__xludf.DUMMYFUNCTION("""COMPUTED_VALUE"""),"bicycle")</f>
        <v>bicycle</v>
      </c>
      <c r="I964" s="3" t="str">
        <f ca="1">IFERROR(__xludf.DUMMYFUNCTION("""COMPUTED_VALUE"""),"2055-06-11T20:44:37.191721Z")</f>
        <v>2055-06-11T20:44:37.191721Z</v>
      </c>
      <c r="J964" s="3" t="str">
        <f ca="1">IFERROR(__xludf.DUMMYFUNCTION("""COMPUTED_VALUE"""),"2055-06-11T21:51:29.254Z")</f>
        <v>2055-06-11T21:51:29.254Z</v>
      </c>
      <c r="K964" s="3" t="str">
        <f ca="1">IFERROR(__xludf.DUMMYFUNCTION("""COMPUTED_VALUE"""),"2055-06-11T21:36:22.254Z")</f>
        <v>2055-06-11T21:36:22.254Z</v>
      </c>
      <c r="L964" s="3">
        <f ca="1">IFERROR(__xludf.DUMMYFUNCTION("""COMPUTED_VALUE"""),1)</f>
        <v>1</v>
      </c>
      <c r="M964" s="3">
        <f ca="1">IFERROR(__xludf.DUMMYFUNCTION("""COMPUTED_VALUE"""),0)</f>
        <v>0</v>
      </c>
      <c r="N964" s="3" t="str">
        <f ca="1">IFERROR(__xludf.DUMMYFUNCTION("""COMPUTED_VALUE"""),"2055-06-11T21:11:06.916285Z")</f>
        <v>2055-06-11T21:11:06.916285Z</v>
      </c>
      <c r="O964" s="3" t="str">
        <f ca="1">IFERROR(__xludf.DUMMYFUNCTION("""COMPUTED_VALUE"""),"2055-06-11T21:36:17.7456Z")</f>
        <v>2055-06-11T21:36:17.7456Z</v>
      </c>
      <c r="P964" s="3" t="str">
        <f ca="1">IFERROR(__xludf.DUMMYFUNCTION("""COMPUTED_VALUE"""),"2055-06-11T20:49:14.290109Z")</f>
        <v>2055-06-11T20:49:14.290109Z</v>
      </c>
      <c r="Q964" s="3">
        <f ca="1">IFERROR(__xludf.DUMMYFUNCTION("""COMPUTED_VALUE"""),0)</f>
        <v>0</v>
      </c>
      <c r="R964" s="3" t="str">
        <f ca="1">IFERROR(__xludf.DUMMYFUNCTION("""COMPUTED_VALUE"""),"2055-06-11T20:49:29.278631Z")</f>
        <v>2055-06-11T20:49:29.278631Z</v>
      </c>
      <c r="S964" s="3" t="str">
        <f ca="1">IFERROR(__xludf.DUMMYFUNCTION("""COMPUTED_VALUE"""),"2055-06-11T21:01:19.433804Z")</f>
        <v>2055-06-11T21:01:19.433804Z</v>
      </c>
      <c r="T964" s="3"/>
      <c r="U964" s="4">
        <f ca="1">IFERROR(__xludf.DUMMYFUNCTION("""COMPUTED_VALUE"""),56776)</f>
        <v>56776</v>
      </c>
      <c r="V964" s="3">
        <f ca="1">IFERROR(__xludf.DUMMYFUNCTION("""COMPUTED_VALUE"""),4.3)</f>
        <v>4.3</v>
      </c>
      <c r="W964" s="3">
        <f ca="1">IFERROR(__xludf.DUMMYFUNCTION("""COMPUTED_VALUE"""),1500)</f>
        <v>1500</v>
      </c>
      <c r="X964" s="3">
        <f ca="1">IFERROR(__xludf.DUMMYFUNCTION("""COMPUTED_VALUE"""),2808)</f>
        <v>2808</v>
      </c>
      <c r="Y964" s="3">
        <f ca="1">IFERROR(__xludf.DUMMYFUNCTION("""COMPUTED_VALUE"""),710)</f>
        <v>710</v>
      </c>
      <c r="Z964" s="3">
        <f ca="1">IFERROR(__xludf.DUMMYFUNCTION("""COMPUTED_VALUE"""),587)</f>
        <v>587</v>
      </c>
      <c r="AA964" s="3">
        <f ca="1">IFERROR(__xludf.DUMMYFUNCTION("""COMPUTED_VALUE"""),1511)</f>
        <v>1511</v>
      </c>
      <c r="AB964" s="3">
        <f ca="1">IFERROR(__xludf.DUMMYFUNCTION("""COMPUTED_VALUE"""),0)</f>
        <v>0</v>
      </c>
      <c r="AC964" s="3">
        <f ca="1">IFERROR(__xludf.DUMMYFUNCTION("""COMPUTED_VALUE"""),2)</f>
        <v>2</v>
      </c>
      <c r="AD964" s="3" t="str">
        <f ca="1">IFERROR(__xludf.DUMMYFUNCTION("""COMPUTED_VALUE"""),"early")</f>
        <v>early</v>
      </c>
      <c r="AE964" s="3" t="str">
        <f ca="1">IFERROR(__xludf.DUMMYFUNCTION("""COMPUTED_VALUE"""),"2055-06-11T17:11:06.916285Z")</f>
        <v>2055-06-11T17:11:06.916285Z</v>
      </c>
      <c r="AF964" s="3" t="str">
        <f ca="1">IFERROR(__xludf.DUMMYFUNCTION("""COMPUTED_VALUE"""),"2055-06-11T17:36:17.7456Z")</f>
        <v>2055-06-11T17:36:17.7456Z</v>
      </c>
      <c r="AG964" s="3" t="str">
        <f ca="1">IFERROR(__xludf.DUMMYFUNCTION("""COMPUTED_VALUE"""),"2055-06-11T16:49:14.290109Z")</f>
        <v>2055-06-11T16:49:14.290109Z</v>
      </c>
      <c r="AH964" s="3" t="str">
        <f ca="1">IFERROR(__xludf.DUMMYFUNCTION("""COMPUTED_VALUE"""),"2055-06-11T17:01:19.433804Z")</f>
        <v>2055-06-11T17:01:19.433804Z</v>
      </c>
      <c r="AI964" s="3">
        <f ca="1">IFERROR(__xludf.DUMMYFUNCTION("""COMPUTED_VALUE"""),4.63)</f>
        <v>4.63</v>
      </c>
      <c r="AJ964" s="3">
        <f ca="1">IFERROR(__xludf.DUMMYFUNCTION("""COMPUTED_VALUE"""),242)</f>
        <v>242</v>
      </c>
      <c r="AK964" s="3">
        <f ca="1">IFERROR(__xludf.DUMMYFUNCTION("""COMPUTED_VALUE"""),736)</f>
        <v>736</v>
      </c>
      <c r="AL964" s="3"/>
      <c r="AM964" s="3">
        <f>IFERROR(Raw_Data!AL964 / Raw_Data!AK964, "")</f>
        <v>0</v>
      </c>
      <c r="AN964" s="3" t="str">
        <f>IF(ISBLANK(Raw_Data!AL964), "No", "Yes")</f>
        <v>No</v>
      </c>
      <c r="AO964" s="3">
        <f>IFERROR(Raw_Data!Z964/60, "")</f>
        <v>9.7833333333333332</v>
      </c>
    </row>
    <row r="965" spans="1:41" ht="13">
      <c r="A965" s="3">
        <f ca="1">IFERROR(__xludf.DUMMYFUNCTION("""COMPUTED_VALUE"""),1168)</f>
        <v>1168</v>
      </c>
      <c r="B965" s="3">
        <f ca="1">IFERROR(__xludf.DUMMYFUNCTION("""COMPUTED_VALUE"""),5)</f>
        <v>5</v>
      </c>
      <c r="C965" s="3">
        <f ca="1">IFERROR(__xludf.DUMMYFUNCTION("""COMPUTED_VALUE"""),4001)</f>
        <v>4001</v>
      </c>
      <c r="D965" s="3" t="str">
        <f ca="1">IFERROR(__xludf.DUMMYFUNCTION("""COMPUTED_VALUE"""),"Dashattan")</f>
        <v>Dashattan</v>
      </c>
      <c r="E965" s="3" t="str">
        <f ca="1">IFERROR(__xludf.DUMMYFUNCTION("""COMPUTED_VALUE"""),"Galaxy A")</f>
        <v>Galaxy A</v>
      </c>
      <c r="F965" s="3" t="str">
        <f ca="1">IFERROR(__xludf.DUMMYFUNCTION("""COMPUTED_VALUE"""),"Arya")</f>
        <v>Arya</v>
      </c>
      <c r="G965" s="3">
        <f ca="1">IFERROR(__xludf.DUMMYFUNCTION("""COMPUTED_VALUE"""),0)</f>
        <v>0</v>
      </c>
      <c r="H965" s="3" t="str">
        <f ca="1">IFERROR(__xludf.DUMMYFUNCTION("""COMPUTED_VALUE"""),"bicycle")</f>
        <v>bicycle</v>
      </c>
      <c r="I965" s="3" t="str">
        <f ca="1">IFERROR(__xludf.DUMMYFUNCTION("""COMPUTED_VALUE"""),"2055-06-10T21:31:16.262762Z")</f>
        <v>2055-06-10T21:31:16.262762Z</v>
      </c>
      <c r="J965" s="3" t="str">
        <f ca="1">IFERROR(__xludf.DUMMYFUNCTION("""COMPUTED_VALUE"""),"2055-06-10T22:10:53.404Z")</f>
        <v>2055-06-10T22:10:53.404Z</v>
      </c>
      <c r="K965" s="3" t="str">
        <f ca="1">IFERROR(__xludf.DUMMYFUNCTION("""COMPUTED_VALUE"""),"2055-06-10T22:07:00.404Z")</f>
        <v>2055-06-10T22:07:00.404Z</v>
      </c>
      <c r="L965" s="3">
        <f ca="1">IFERROR(__xludf.DUMMYFUNCTION("""COMPUTED_VALUE"""),1)</f>
        <v>1</v>
      </c>
      <c r="M965" s="3">
        <f ca="1">IFERROR(__xludf.DUMMYFUNCTION("""COMPUTED_VALUE"""),0)</f>
        <v>0</v>
      </c>
      <c r="N965" s="3" t="str">
        <f ca="1">IFERROR(__xludf.DUMMYFUNCTION("""COMPUTED_VALUE"""),"2055-06-10T22:07:40.518134Z")</f>
        <v>2055-06-10T22:07:40.518134Z</v>
      </c>
      <c r="O965" s="3" t="str">
        <f ca="1">IFERROR(__xludf.DUMMYFUNCTION("""COMPUTED_VALUE"""),"2055-06-10T22:39:01.509571Z")</f>
        <v>2055-06-10T22:39:01.509571Z</v>
      </c>
      <c r="P965" s="3" t="str">
        <f ca="1">IFERROR(__xludf.DUMMYFUNCTION("""COMPUTED_VALUE"""),"2055-06-10T21:31:34.396059Z")</f>
        <v>2055-06-10T21:31:34.396059Z</v>
      </c>
      <c r="Q965" s="3">
        <f ca="1">IFERROR(__xludf.DUMMYFUNCTION("""COMPUTED_VALUE"""),0)</f>
        <v>0</v>
      </c>
      <c r="R965" s="3" t="str">
        <f ca="1">IFERROR(__xludf.DUMMYFUNCTION("""COMPUTED_VALUE"""),"2055-06-10T21:32:02.42792Z")</f>
        <v>2055-06-10T21:32:02.42792Z</v>
      </c>
      <c r="S965" s="3" t="str">
        <f ca="1">IFERROR(__xludf.DUMMYFUNCTION("""COMPUTED_VALUE"""),"2055-06-10T22:08:29.243868Z")</f>
        <v>2055-06-10T22:08:29.243868Z</v>
      </c>
      <c r="T965" s="3"/>
      <c r="U965" s="4">
        <f ca="1">IFERROR(__xludf.DUMMYFUNCTION("""COMPUTED_VALUE"""),56775)</f>
        <v>56775</v>
      </c>
      <c r="V965" s="3">
        <f ca="1">IFERROR(__xludf.DUMMYFUNCTION("""COMPUTED_VALUE"""),4.5)</f>
        <v>4.5</v>
      </c>
      <c r="W965" s="3">
        <f ca="1">IFERROR(__xludf.DUMMYFUNCTION("""COMPUTED_VALUE"""),1500)</f>
        <v>1500</v>
      </c>
      <c r="X965" s="3">
        <f ca="1">IFERROR(__xludf.DUMMYFUNCTION("""COMPUTED_VALUE"""),4019)</f>
        <v>4019</v>
      </c>
      <c r="Y965" s="3">
        <f ca="1">IFERROR(__xludf.DUMMYFUNCTION("""COMPUTED_VALUE"""),2187)</f>
        <v>2187</v>
      </c>
      <c r="Z965" s="3"/>
      <c r="AA965" s="3">
        <f ca="1">IFERROR(__xludf.DUMMYFUNCTION("""COMPUTED_VALUE"""),1881)</f>
        <v>1881</v>
      </c>
      <c r="AB965" s="3">
        <f ca="1">IFERROR(__xludf.DUMMYFUNCTION("""COMPUTED_VALUE"""),0)</f>
        <v>0</v>
      </c>
      <c r="AC965" s="3">
        <f ca="1">IFERROR(__xludf.DUMMYFUNCTION("""COMPUTED_VALUE"""),2)</f>
        <v>2</v>
      </c>
      <c r="AD965" s="3"/>
      <c r="AE965" s="3" t="str">
        <f ca="1">IFERROR(__xludf.DUMMYFUNCTION("""COMPUTED_VALUE"""),"2055-06-10T18:07:40.518134Z")</f>
        <v>2055-06-10T18:07:40.518134Z</v>
      </c>
      <c r="AF965" s="3" t="str">
        <f ca="1">IFERROR(__xludf.DUMMYFUNCTION("""COMPUTED_VALUE"""),"2055-06-10T18:39:01.509571Z")</f>
        <v>2055-06-10T18:39:01.509571Z</v>
      </c>
      <c r="AG965" s="3" t="str">
        <f ca="1">IFERROR(__xludf.DUMMYFUNCTION("""COMPUTED_VALUE"""),"2055-06-10T17:31:34.396059Z")</f>
        <v>2055-06-10T17:31:34.396059Z</v>
      </c>
      <c r="AH965" s="3" t="str">
        <f ca="1">IFERROR(__xludf.DUMMYFUNCTION("""COMPUTED_VALUE"""),"2055-06-10T18:08:29.243868Z")</f>
        <v>2055-06-10T18:08:29.243868Z</v>
      </c>
      <c r="AI965" s="3">
        <f ca="1">IFERROR(__xludf.DUMMYFUNCTION("""COMPUTED_VALUE"""),4.17)</f>
        <v>4.17</v>
      </c>
      <c r="AJ965" s="3">
        <f ca="1">IFERROR(__xludf.DUMMYFUNCTION("""COMPUTED_VALUE"""),457)</f>
        <v>457</v>
      </c>
      <c r="AK965" s="3">
        <f ca="1">IFERROR(__xludf.DUMMYFUNCTION("""COMPUTED_VALUE"""),1599)</f>
        <v>1599</v>
      </c>
      <c r="AL965" s="3"/>
      <c r="AM965" s="3">
        <f>IFERROR(Raw_Data!AL965 / Raw_Data!AK965, "")</f>
        <v>0</v>
      </c>
      <c r="AN965" s="3" t="str">
        <f>IF(ISBLANK(Raw_Data!AL965), "No", "Yes")</f>
        <v>No</v>
      </c>
      <c r="AO965" s="3">
        <f>IFERROR(Raw_Data!Z965/60, "")</f>
        <v>0</v>
      </c>
    </row>
    <row r="966" spans="1:41" ht="13">
      <c r="A966" s="3">
        <f ca="1">IFERROR(__xludf.DUMMYFUNCTION("""COMPUTED_VALUE"""),44)</f>
        <v>44</v>
      </c>
      <c r="B966" s="3">
        <f ca="1">IFERROR(__xludf.DUMMYFUNCTION("""COMPUTED_VALUE"""),5)</f>
        <v>5</v>
      </c>
      <c r="C966" s="3">
        <f ca="1">IFERROR(__xludf.DUMMYFUNCTION("""COMPUTED_VALUE"""),4001)</f>
        <v>4001</v>
      </c>
      <c r="D966" s="3" t="str">
        <f ca="1">IFERROR(__xludf.DUMMYFUNCTION("""COMPUTED_VALUE"""),"Dashattan")</f>
        <v>Dashattan</v>
      </c>
      <c r="E966" s="3" t="str">
        <f ca="1">IFERROR(__xludf.DUMMYFUNCTION("""COMPUTED_VALUE"""),"Galaxy A")</f>
        <v>Galaxy A</v>
      </c>
      <c r="F966" s="3" t="str">
        <f ca="1">IFERROR(__xludf.DUMMYFUNCTION("""COMPUTED_VALUE"""),"J")</f>
        <v>J</v>
      </c>
      <c r="G966" s="3">
        <f ca="1">IFERROR(__xludf.DUMMYFUNCTION("""COMPUTED_VALUE"""),0)</f>
        <v>0</v>
      </c>
      <c r="H966" s="3" t="str">
        <f ca="1">IFERROR(__xludf.DUMMYFUNCTION("""COMPUTED_VALUE"""),"bicycle")</f>
        <v>bicycle</v>
      </c>
      <c r="I966" s="3" t="str">
        <f ca="1">IFERROR(__xludf.DUMMYFUNCTION("""COMPUTED_VALUE"""),"2055-06-01T21:29:46.832983Z")</f>
        <v>2055-06-01T21:29:46.832983Z</v>
      </c>
      <c r="J966" s="3" t="str">
        <f ca="1">IFERROR(__xludf.DUMMYFUNCTION("""COMPUTED_VALUE"""),"2055-06-01T22:17:53.907Z")</f>
        <v>2055-06-01T22:17:53.907Z</v>
      </c>
      <c r="K966" s="3" t="str">
        <f ca="1">IFERROR(__xludf.DUMMYFUNCTION("""COMPUTED_VALUE"""),"2055-06-01T21:59:00.907Z")</f>
        <v>2055-06-01T21:59:00.907Z</v>
      </c>
      <c r="L966" s="3">
        <f ca="1">IFERROR(__xludf.DUMMYFUNCTION("""COMPUTED_VALUE"""),1)</f>
        <v>1</v>
      </c>
      <c r="M966" s="3">
        <f ca="1">IFERROR(__xludf.DUMMYFUNCTION("""COMPUTED_VALUE"""),0)</f>
        <v>0</v>
      </c>
      <c r="N966" s="3" t="str">
        <f ca="1">IFERROR(__xludf.DUMMYFUNCTION("""COMPUTED_VALUE"""),"2055-06-01T21:51:36.159546Z")</f>
        <v>2055-06-01T21:51:36.159546Z</v>
      </c>
      <c r="O966" s="3" t="str">
        <f ca="1">IFERROR(__xludf.DUMMYFUNCTION("""COMPUTED_VALUE"""),"2055-06-01T22:09:12.920568Z")</f>
        <v>2055-06-01T22:09:12.920568Z</v>
      </c>
      <c r="P966" s="3" t="str">
        <f ca="1">IFERROR(__xludf.DUMMYFUNCTION("""COMPUTED_VALUE"""),"2055-06-01T21:35:54.319155Z")</f>
        <v>2055-06-01T21:35:54.319155Z</v>
      </c>
      <c r="Q966" s="3">
        <f ca="1">IFERROR(__xludf.DUMMYFUNCTION("""COMPUTED_VALUE"""),0)</f>
        <v>0</v>
      </c>
      <c r="R966" s="3" t="str">
        <f ca="1">IFERROR(__xludf.DUMMYFUNCTION("""COMPUTED_VALUE"""),"2055-06-01T21:37:25.897431Z")</f>
        <v>2055-06-01T21:37:25.897431Z</v>
      </c>
      <c r="S966" s="3" t="str">
        <f ca="1">IFERROR(__xludf.DUMMYFUNCTION("""COMPUTED_VALUE"""),"2055-06-01T21:50:41.30777Z")</f>
        <v>2055-06-01T21:50:41.30777Z</v>
      </c>
      <c r="T966" s="3"/>
      <c r="U966" s="4">
        <f ca="1">IFERROR(__xludf.DUMMYFUNCTION("""COMPUTED_VALUE"""),56766)</f>
        <v>56766</v>
      </c>
      <c r="V966" s="3">
        <f ca="1">IFERROR(__xludf.DUMMYFUNCTION("""COMPUTED_VALUE"""),4.678193006)</f>
        <v>4.6781930059999999</v>
      </c>
      <c r="W966" s="3">
        <f ca="1">IFERROR(__xludf.DUMMYFUNCTION("""COMPUTED_VALUE"""),1500)</f>
        <v>1500</v>
      </c>
      <c r="X966" s="3">
        <f ca="1">IFERROR(__xludf.DUMMYFUNCTION("""COMPUTED_VALUE"""),1907)</f>
        <v>1907</v>
      </c>
      <c r="Y966" s="3">
        <f ca="1">IFERROR(__xludf.DUMMYFUNCTION("""COMPUTED_VALUE"""),796)</f>
        <v>796</v>
      </c>
      <c r="Z966" s="3">
        <f ca="1">IFERROR(__xludf.DUMMYFUNCTION("""COMPUTED_VALUE"""),55)</f>
        <v>55</v>
      </c>
      <c r="AA966" s="3">
        <f ca="1">IFERROR(__xludf.DUMMYFUNCTION("""COMPUTED_VALUE"""),1056)</f>
        <v>1056</v>
      </c>
      <c r="AB966" s="3">
        <f ca="1">IFERROR(__xludf.DUMMYFUNCTION("""COMPUTED_VALUE"""),0)</f>
        <v>0</v>
      </c>
      <c r="AC966" s="3">
        <f ca="1">IFERROR(__xludf.DUMMYFUNCTION("""COMPUTED_VALUE"""),1)</f>
        <v>1</v>
      </c>
      <c r="AD966" s="3" t="str">
        <f ca="1">IFERROR(__xludf.DUMMYFUNCTION("""COMPUTED_VALUE"""),"late")</f>
        <v>late</v>
      </c>
      <c r="AE966" s="3" t="str">
        <f ca="1">IFERROR(__xludf.DUMMYFUNCTION("""COMPUTED_VALUE"""),"2055-06-01T17:51:36.159546Z")</f>
        <v>2055-06-01T17:51:36.159546Z</v>
      </c>
      <c r="AF966" s="3" t="str">
        <f ca="1">IFERROR(__xludf.DUMMYFUNCTION("""COMPUTED_VALUE"""),"2055-06-01T18:09:12.920568Z")</f>
        <v>2055-06-01T18:09:12.920568Z</v>
      </c>
      <c r="AG966" s="3" t="str">
        <f ca="1">IFERROR(__xludf.DUMMYFUNCTION("""COMPUTED_VALUE"""),"2055-06-01T17:35:54.319155Z")</f>
        <v>2055-06-01T17:35:54.319155Z</v>
      </c>
      <c r="AH966" s="3" t="str">
        <f ca="1">IFERROR(__xludf.DUMMYFUNCTION("""COMPUTED_VALUE"""),"2055-06-01T17:50:41.30777Z")</f>
        <v>2055-06-01T17:50:41.30777Z</v>
      </c>
      <c r="AI966" s="3">
        <f ca="1">IFERROR(__xludf.DUMMYFUNCTION("""COMPUTED_VALUE"""),4.6)</f>
        <v>4.5999999999999996</v>
      </c>
      <c r="AJ966" s="3">
        <f ca="1">IFERROR(__xludf.DUMMYFUNCTION("""COMPUTED_VALUE"""),292)</f>
        <v>292</v>
      </c>
      <c r="AK966" s="3">
        <f ca="1">IFERROR(__xludf.DUMMYFUNCTION("""COMPUTED_VALUE"""),1027)</f>
        <v>1027</v>
      </c>
      <c r="AL966" s="3">
        <f ca="1">IFERROR(__xludf.DUMMYFUNCTION("""COMPUTED_VALUE"""),26)</f>
        <v>26</v>
      </c>
      <c r="AM966" s="3">
        <f>IFERROR(Raw_Data!AL966 / Raw_Data!AK966, "")</f>
        <v>2.5316455696202531E-2</v>
      </c>
      <c r="AN966" s="3" t="str">
        <f>IF(ISBLANK(Raw_Data!AL966), "No", "Yes")</f>
        <v>Yes</v>
      </c>
      <c r="AO966" s="3">
        <f>IFERROR(Raw_Data!Z966/60, "")</f>
        <v>0.91666666666666663</v>
      </c>
    </row>
    <row r="967" spans="1:41" ht="13">
      <c r="A967" s="3">
        <f ca="1">IFERROR(__xludf.DUMMYFUNCTION("""COMPUTED_VALUE"""),225)</f>
        <v>225</v>
      </c>
      <c r="B967" s="3">
        <f ca="1">IFERROR(__xludf.DUMMYFUNCTION("""COMPUTED_VALUE"""),5)</f>
        <v>5</v>
      </c>
      <c r="C967" s="3">
        <f ca="1">IFERROR(__xludf.DUMMYFUNCTION("""COMPUTED_VALUE"""),4050)</f>
        <v>4050</v>
      </c>
      <c r="D967" s="3" t="str">
        <f ca="1">IFERROR(__xludf.DUMMYFUNCTION("""COMPUTED_VALUE"""),"Doorlanta")</f>
        <v>Doorlanta</v>
      </c>
      <c r="E967" s="3" t="str">
        <f ca="1">IFERROR(__xludf.DUMMYFUNCTION("""COMPUTED_VALUE"""),"Galaxy A")</f>
        <v>Galaxy A</v>
      </c>
      <c r="F967" s="3" t="str">
        <f ca="1">IFERROR(__xludf.DUMMYFUNCTION("""COMPUTED_VALUE"""),"Jagar")</f>
        <v>Jagar</v>
      </c>
      <c r="G967" s="3">
        <f ca="1">IFERROR(__xludf.DUMMYFUNCTION("""COMPUTED_VALUE"""),0)</f>
        <v>0</v>
      </c>
      <c r="H967" s="3" t="str">
        <f ca="1">IFERROR(__xludf.DUMMYFUNCTION("""COMPUTED_VALUE"""),"car")</f>
        <v>car</v>
      </c>
      <c r="I967" s="3" t="str">
        <f ca="1">IFERROR(__xludf.DUMMYFUNCTION("""COMPUTED_VALUE"""),"2055-06-03T00:27:44.951183Z")</f>
        <v>2055-06-03T00:27:44.951183Z</v>
      </c>
      <c r="J967" s="3" t="str">
        <f ca="1">IFERROR(__xludf.DUMMYFUNCTION("""COMPUTED_VALUE"""),"2055-06-03T01:07:45.063Z")</f>
        <v>2055-06-03T01:07:45.063Z</v>
      </c>
      <c r="K967" s="3" t="str">
        <f ca="1">IFERROR(__xludf.DUMMYFUNCTION("""COMPUTED_VALUE"""),"2055-06-03T01:02:18.063Z")</f>
        <v>2055-06-03T01:02:18.063Z</v>
      </c>
      <c r="L967" s="3">
        <f ca="1">IFERROR(__xludf.DUMMYFUNCTION("""COMPUTED_VALUE"""),1)</f>
        <v>1</v>
      </c>
      <c r="M967" s="3">
        <f ca="1">IFERROR(__xludf.DUMMYFUNCTION("""COMPUTED_VALUE"""),0)</f>
        <v>0</v>
      </c>
      <c r="N967" s="3" t="str">
        <f ca="1">IFERROR(__xludf.DUMMYFUNCTION("""COMPUTED_VALUE"""),"2055-06-03T00:41:07.854309Z")</f>
        <v>2055-06-03T00:41:07.854309Z</v>
      </c>
      <c r="O967" s="3" t="str">
        <f ca="1">IFERROR(__xludf.DUMMYFUNCTION("""COMPUTED_VALUE"""),"2055-06-03T00:57:42.344484Z")</f>
        <v>2055-06-03T00:57:42.344484Z</v>
      </c>
      <c r="P967" s="3" t="str">
        <f ca="1">IFERROR(__xludf.DUMMYFUNCTION("""COMPUTED_VALUE"""),"2055-06-03T00:30:27.462273Z")</f>
        <v>2055-06-03T00:30:27.462273Z</v>
      </c>
      <c r="Q967" s="3">
        <f ca="1">IFERROR(__xludf.DUMMYFUNCTION("""COMPUTED_VALUE"""),0)</f>
        <v>0</v>
      </c>
      <c r="R967" s="3" t="str">
        <f ca="1">IFERROR(__xludf.DUMMYFUNCTION("""COMPUTED_VALUE"""),"2055-06-03T00:30:47.358672Z")</f>
        <v>2055-06-03T00:30:47.358672Z</v>
      </c>
      <c r="S967" s="3" t="str">
        <f ca="1">IFERROR(__xludf.DUMMYFUNCTION("""COMPUTED_VALUE"""),"2055-06-03T00:38:20.615234Z")</f>
        <v>2055-06-03T00:38:20.615234Z</v>
      </c>
      <c r="T967" s="3"/>
      <c r="U967" s="4">
        <f ca="1">IFERROR(__xludf.DUMMYFUNCTION("""COMPUTED_VALUE"""),56767)</f>
        <v>56767</v>
      </c>
      <c r="V967" s="3">
        <f ca="1">IFERROR(__xludf.DUMMYFUNCTION("""COMPUTED_VALUE"""),4.6)</f>
        <v>4.5999999999999996</v>
      </c>
      <c r="W967" s="3">
        <f ca="1">IFERROR(__xludf.DUMMYFUNCTION("""COMPUTED_VALUE"""),1500)</f>
        <v>1500</v>
      </c>
      <c r="X967" s="3">
        <f ca="1">IFERROR(__xludf.DUMMYFUNCTION("""COMPUTED_VALUE"""),1615)</f>
        <v>1615</v>
      </c>
      <c r="Y967" s="3">
        <f ca="1">IFERROR(__xludf.DUMMYFUNCTION("""COMPUTED_VALUE"""),453)</f>
        <v>453</v>
      </c>
      <c r="Z967" s="3">
        <f ca="1">IFERROR(__xludf.DUMMYFUNCTION("""COMPUTED_VALUE"""),167)</f>
        <v>167</v>
      </c>
      <c r="AA967" s="3">
        <f ca="1">IFERROR(__xludf.DUMMYFUNCTION("""COMPUTED_VALUE"""),995)</f>
        <v>995</v>
      </c>
      <c r="AB967" s="3">
        <f ca="1">IFERROR(__xludf.DUMMYFUNCTION("""COMPUTED_VALUE"""),0)</f>
        <v>0</v>
      </c>
      <c r="AC967" s="3">
        <f ca="1">IFERROR(__xludf.DUMMYFUNCTION("""COMPUTED_VALUE"""),1)</f>
        <v>1</v>
      </c>
      <c r="AD967" s="3" t="str">
        <f ca="1">IFERROR(__xludf.DUMMYFUNCTION("""COMPUTED_VALUE"""),"on time")</f>
        <v>on time</v>
      </c>
      <c r="AE967" s="3" t="str">
        <f ca="1">IFERROR(__xludf.DUMMYFUNCTION("""COMPUTED_VALUE"""),"2055-06-02T20:41:07.854309Z")</f>
        <v>2055-06-02T20:41:07.854309Z</v>
      </c>
      <c r="AF967" s="3" t="str">
        <f ca="1">IFERROR(__xludf.DUMMYFUNCTION("""COMPUTED_VALUE"""),"2055-06-02T20:57:42.344484Z")</f>
        <v>2055-06-02T20:57:42.344484Z</v>
      </c>
      <c r="AG967" s="3" t="str">
        <f ca="1">IFERROR(__xludf.DUMMYFUNCTION("""COMPUTED_VALUE"""),"2055-06-02T20:30:27.462273Z")</f>
        <v>2055-06-02T20:30:27.462273Z</v>
      </c>
      <c r="AH967" s="3" t="str">
        <f ca="1">IFERROR(__xludf.DUMMYFUNCTION("""COMPUTED_VALUE"""),"2055-06-02T20:38:20.615234Z")</f>
        <v>2055-06-02T20:38:20.615234Z</v>
      </c>
      <c r="AI967" s="3">
        <f ca="1">IFERROR(__xludf.DUMMYFUNCTION("""COMPUTED_VALUE"""),4.89)</f>
        <v>4.8899999999999997</v>
      </c>
      <c r="AJ967" s="3">
        <f ca="1">IFERROR(__xludf.DUMMYFUNCTION("""COMPUTED_VALUE"""),1778)</f>
        <v>1778</v>
      </c>
      <c r="AK967" s="3">
        <f ca="1">IFERROR(__xludf.DUMMYFUNCTION("""COMPUTED_VALUE"""),5138)</f>
        <v>5138</v>
      </c>
      <c r="AL967" s="3">
        <f ca="1">IFERROR(__xludf.DUMMYFUNCTION("""COMPUTED_VALUE"""),314)</f>
        <v>314</v>
      </c>
      <c r="AM967" s="3">
        <f>IFERROR(Raw_Data!AL967 / Raw_Data!AK967, "")</f>
        <v>6.1113273647333592E-2</v>
      </c>
      <c r="AN967" s="3" t="str">
        <f>IF(ISBLANK(Raw_Data!AL967), "No", "Yes")</f>
        <v>Yes</v>
      </c>
      <c r="AO967" s="3">
        <f>IFERROR(Raw_Data!Z967/60, "")</f>
        <v>2.7833333333333332</v>
      </c>
    </row>
    <row r="968" spans="1:41" ht="13">
      <c r="A968" s="3">
        <f ca="1">IFERROR(__xludf.DUMMYFUNCTION("""COMPUTED_VALUE"""),264)</f>
        <v>264</v>
      </c>
      <c r="B968" s="3"/>
      <c r="C968" s="3">
        <f ca="1">IFERROR(__xludf.DUMMYFUNCTION("""COMPUTED_VALUE"""),4001)</f>
        <v>4001</v>
      </c>
      <c r="D968" s="3" t="str">
        <f ca="1">IFERROR(__xludf.DUMMYFUNCTION("""COMPUTED_VALUE"""),"Dashattan")</f>
        <v>Dashattan</v>
      </c>
      <c r="E968" s="3" t="str">
        <f ca="1">IFERROR(__xludf.DUMMYFUNCTION("""COMPUTED_VALUE"""),"Galaxy A")</f>
        <v>Galaxy A</v>
      </c>
      <c r="F968" s="3" t="str">
        <f ca="1">IFERROR(__xludf.DUMMYFUNCTION("""COMPUTED_VALUE"""),"KC")</f>
        <v>KC</v>
      </c>
      <c r="G968" s="3">
        <f ca="1">IFERROR(__xludf.DUMMYFUNCTION("""COMPUTED_VALUE"""),0)</f>
        <v>0</v>
      </c>
      <c r="H968" s="3" t="str">
        <f ca="1">IFERROR(__xludf.DUMMYFUNCTION("""COMPUTED_VALUE"""),"car")</f>
        <v>car</v>
      </c>
      <c r="I968" s="3" t="str">
        <f ca="1">IFERROR(__xludf.DUMMYFUNCTION("""COMPUTED_VALUE"""),"2055-06-03T15:21:37.275683Z")</f>
        <v>2055-06-03T15:21:37.275683Z</v>
      </c>
      <c r="J968" s="3" t="str">
        <f ca="1">IFERROR(__xludf.DUMMYFUNCTION("""COMPUTED_VALUE"""),"2055-06-03T16:30:00Z")</f>
        <v>2055-06-03T16:30:00Z</v>
      </c>
      <c r="K968" s="3" t="str">
        <f ca="1">IFERROR(__xludf.DUMMYFUNCTION("""COMPUTED_VALUE"""),"2055-06-03T16:30:00Z")</f>
        <v>2055-06-03T16:30:00Z</v>
      </c>
      <c r="L968" s="3">
        <f ca="1">IFERROR(__xludf.DUMMYFUNCTION("""COMPUTED_VALUE"""),0)</f>
        <v>0</v>
      </c>
      <c r="M968" s="3">
        <f ca="1">IFERROR(__xludf.DUMMYFUNCTION("""COMPUTED_VALUE"""),0)</f>
        <v>0</v>
      </c>
      <c r="N968" s="3" t="str">
        <f ca="1">IFERROR(__xludf.DUMMYFUNCTION("""COMPUTED_VALUE"""),"2055-06-03T15:42:24.80316Z")</f>
        <v>2055-06-03T15:42:24.80316Z</v>
      </c>
      <c r="O968" s="3" t="str">
        <f ca="1">IFERROR(__xludf.DUMMYFUNCTION("""COMPUTED_VALUE"""),"2055-06-03T15:47:48.675759Z")</f>
        <v>2055-06-03T15:47:48.675759Z</v>
      </c>
      <c r="P968" s="3" t="str">
        <f ca="1">IFERROR(__xludf.DUMMYFUNCTION("""COMPUTED_VALUE"""),"2055-06-03T15:30:14.648221Z")</f>
        <v>2055-06-03T15:30:14.648221Z</v>
      </c>
      <c r="Q968" s="3">
        <f ca="1">IFERROR(__xludf.DUMMYFUNCTION("""COMPUTED_VALUE"""),0)</f>
        <v>0</v>
      </c>
      <c r="R968" s="3" t="str">
        <f ca="1">IFERROR(__xludf.DUMMYFUNCTION("""COMPUTED_VALUE"""),"2055-06-03T15:30:24.376927Z")</f>
        <v>2055-06-03T15:30:24.376927Z</v>
      </c>
      <c r="S968" s="3" t="str">
        <f ca="1">IFERROR(__xludf.DUMMYFUNCTION("""COMPUTED_VALUE"""),"2055-06-03T15:33:15.448921Z")</f>
        <v>2055-06-03T15:33:15.448921Z</v>
      </c>
      <c r="T968" s="3"/>
      <c r="U968" s="4">
        <f ca="1">IFERROR(__xludf.DUMMYFUNCTION("""COMPUTED_VALUE"""),56768)</f>
        <v>56768</v>
      </c>
      <c r="V968" s="3">
        <f ca="1">IFERROR(__xludf.DUMMYFUNCTION("""COMPUTED_VALUE"""),4.5)</f>
        <v>4.5</v>
      </c>
      <c r="W968" s="3">
        <f ca="1">IFERROR(__xludf.DUMMYFUNCTION("""COMPUTED_VALUE"""),1500)</f>
        <v>1500</v>
      </c>
      <c r="X968" s="3">
        <f ca="1">IFERROR(__xludf.DUMMYFUNCTION("""COMPUTED_VALUE"""),1044)</f>
        <v>1044</v>
      </c>
      <c r="Y968" s="3">
        <f ca="1">IFERROR(__xludf.DUMMYFUNCTION("""COMPUTED_VALUE"""),171)</f>
        <v>171</v>
      </c>
      <c r="Z968" s="3">
        <f ca="1">IFERROR(__xludf.DUMMYFUNCTION("""COMPUTED_VALUE"""),549)</f>
        <v>549</v>
      </c>
      <c r="AA968" s="3">
        <f ca="1">IFERROR(__xludf.DUMMYFUNCTION("""COMPUTED_VALUE"""),324)</f>
        <v>324</v>
      </c>
      <c r="AB968" s="3">
        <f ca="1">IFERROR(__xludf.DUMMYFUNCTION("""COMPUTED_VALUE"""),1)</f>
        <v>1</v>
      </c>
      <c r="AC968" s="3">
        <f ca="1">IFERROR(__xludf.DUMMYFUNCTION("""COMPUTED_VALUE"""),1)</f>
        <v>1</v>
      </c>
      <c r="AD968" s="3"/>
      <c r="AE968" s="3" t="str">
        <f ca="1">IFERROR(__xludf.DUMMYFUNCTION("""COMPUTED_VALUE"""),"2055-06-03T11:42:24.80316Z")</f>
        <v>2055-06-03T11:42:24.80316Z</v>
      </c>
      <c r="AF968" s="3" t="str">
        <f ca="1">IFERROR(__xludf.DUMMYFUNCTION("""COMPUTED_VALUE"""),"2055-06-03T11:47:48.675759Z")</f>
        <v>2055-06-03T11:47:48.675759Z</v>
      </c>
      <c r="AG968" s="3" t="str">
        <f ca="1">IFERROR(__xludf.DUMMYFUNCTION("""COMPUTED_VALUE"""),"2055-06-03T11:30:14.648221Z")</f>
        <v>2055-06-03T11:30:14.648221Z</v>
      </c>
      <c r="AH968" s="3" t="str">
        <f ca="1">IFERROR(__xludf.DUMMYFUNCTION("""COMPUTED_VALUE"""),"2055-06-03T11:33:15.448921Z")</f>
        <v>2055-06-03T11:33:15.448921Z</v>
      </c>
      <c r="AI968" s="3">
        <f ca="1">IFERROR(__xludf.DUMMYFUNCTION("""COMPUTED_VALUE"""),4.54)</f>
        <v>4.54</v>
      </c>
      <c r="AJ968" s="3">
        <f ca="1">IFERROR(__xludf.DUMMYFUNCTION("""COMPUTED_VALUE"""),2229)</f>
        <v>2229</v>
      </c>
      <c r="AK968" s="3">
        <f ca="1">IFERROR(__xludf.DUMMYFUNCTION("""COMPUTED_VALUE"""),6580)</f>
        <v>6580</v>
      </c>
      <c r="AL968" s="3"/>
      <c r="AM968" s="3">
        <f>IFERROR(Raw_Data!AL968 / Raw_Data!AK968, "")</f>
        <v>0</v>
      </c>
      <c r="AN968" s="3" t="str">
        <f>IF(ISBLANK(Raw_Data!AL968), "No", "Yes")</f>
        <v>No</v>
      </c>
      <c r="AO968" s="3">
        <f>IFERROR(Raw_Data!Z968/60, "")</f>
        <v>9.15</v>
      </c>
    </row>
    <row r="969" spans="1:41" ht="13">
      <c r="A969" s="3">
        <f ca="1">IFERROR(__xludf.DUMMYFUNCTION("""COMPUTED_VALUE"""),419)</f>
        <v>419</v>
      </c>
      <c r="B969" s="3"/>
      <c r="C969" s="3">
        <f ca="1">IFERROR(__xludf.DUMMYFUNCTION("""COMPUTED_VALUE"""),4001)</f>
        <v>4001</v>
      </c>
      <c r="D969" s="3" t="str">
        <f ca="1">IFERROR(__xludf.DUMMYFUNCTION("""COMPUTED_VALUE"""),"Dashattan")</f>
        <v>Dashattan</v>
      </c>
      <c r="E969" s="3" t="str">
        <f ca="1">IFERROR(__xludf.DUMMYFUNCTION("""COMPUTED_VALUE"""),"Galaxy A")</f>
        <v>Galaxy A</v>
      </c>
      <c r="F969" s="3" t="str">
        <f ca="1">IFERROR(__xludf.DUMMYFUNCTION("""COMPUTED_VALUE"""),"Samm")</f>
        <v>Samm</v>
      </c>
      <c r="G969" s="3">
        <f ca="1">IFERROR(__xludf.DUMMYFUNCTION("""COMPUTED_VALUE"""),0)</f>
        <v>0</v>
      </c>
      <c r="H969" s="3" t="str">
        <f ca="1">IFERROR(__xludf.DUMMYFUNCTION("""COMPUTED_VALUE"""),"car")</f>
        <v>car</v>
      </c>
      <c r="I969" s="3" t="str">
        <f ca="1">IFERROR(__xludf.DUMMYFUNCTION("""COMPUTED_VALUE"""),"2055-06-04T17:04:49.813836Z")</f>
        <v>2055-06-04T17:04:49.813836Z</v>
      </c>
      <c r="J969" s="3" t="str">
        <f ca="1">IFERROR(__xludf.DUMMYFUNCTION("""COMPUTED_VALUE"""),"2055-06-04T17:55:07.866Z")</f>
        <v>2055-06-04T17:55:07.866Z</v>
      </c>
      <c r="K969" s="3" t="str">
        <f ca="1">IFERROR(__xludf.DUMMYFUNCTION("""COMPUTED_VALUE"""),"2055-06-04T17:41:14.866Z")</f>
        <v>2055-06-04T17:41:14.866Z</v>
      </c>
      <c r="L969" s="3">
        <f ca="1">IFERROR(__xludf.DUMMYFUNCTION("""COMPUTED_VALUE"""),1)</f>
        <v>1</v>
      </c>
      <c r="M969" s="3">
        <f ca="1">IFERROR(__xludf.DUMMYFUNCTION("""COMPUTED_VALUE"""),0)</f>
        <v>0</v>
      </c>
      <c r="N969" s="3" t="str">
        <f ca="1">IFERROR(__xludf.DUMMYFUNCTION("""COMPUTED_VALUE"""),"2055-06-04T17:36:51.173539Z")</f>
        <v>2055-06-04T17:36:51.173539Z</v>
      </c>
      <c r="O969" s="3" t="str">
        <f ca="1">IFERROR(__xludf.DUMMYFUNCTION("""COMPUTED_VALUE"""),"2055-06-04T17:37:21.116103Z")</f>
        <v>2055-06-04T17:37:21.116103Z</v>
      </c>
      <c r="P969" s="3" t="str">
        <f ca="1">IFERROR(__xludf.DUMMYFUNCTION("""COMPUTED_VALUE"""),"2055-06-04T17:09:14.334833Z")</f>
        <v>2055-06-04T17:09:14.334833Z</v>
      </c>
      <c r="Q969" s="3">
        <f ca="1">IFERROR(__xludf.DUMMYFUNCTION("""COMPUTED_VALUE"""),0)</f>
        <v>0</v>
      </c>
      <c r="R969" s="3" t="str">
        <f ca="1">IFERROR(__xludf.DUMMYFUNCTION("""COMPUTED_VALUE"""),"2055-06-04T17:09:20.730698Z")</f>
        <v>2055-06-04T17:09:20.730698Z</v>
      </c>
      <c r="S969" s="3" t="str">
        <f ca="1">IFERROR(__xludf.DUMMYFUNCTION("""COMPUTED_VALUE"""),"2055-06-04T17:12:25.27222Z")</f>
        <v>2055-06-04T17:12:25.27222Z</v>
      </c>
      <c r="T969" s="3"/>
      <c r="U969" s="4">
        <f ca="1">IFERROR(__xludf.DUMMYFUNCTION("""COMPUTED_VALUE"""),56769)</f>
        <v>56769</v>
      </c>
      <c r="V969" s="3">
        <f ca="1">IFERROR(__xludf.DUMMYFUNCTION("""COMPUTED_VALUE"""),4.6)</f>
        <v>4.5999999999999996</v>
      </c>
      <c r="W969" s="3">
        <f ca="1">IFERROR(__xludf.DUMMYFUNCTION("""COMPUTED_VALUE"""),1500)</f>
        <v>1500</v>
      </c>
      <c r="X969" s="3">
        <f ca="1">IFERROR(__xludf.DUMMYFUNCTION("""COMPUTED_VALUE"""),1681)</f>
        <v>1681</v>
      </c>
      <c r="Y969" s="3">
        <f ca="1">IFERROR(__xludf.DUMMYFUNCTION("""COMPUTED_VALUE"""),185)</f>
        <v>185</v>
      </c>
      <c r="Z969" s="3">
        <f ca="1">IFERROR(__xludf.DUMMYFUNCTION("""COMPUTED_VALUE"""),1466)</f>
        <v>1466</v>
      </c>
      <c r="AA969" s="3">
        <f ca="1">IFERROR(__xludf.DUMMYFUNCTION("""COMPUTED_VALUE"""),30)</f>
        <v>30</v>
      </c>
      <c r="AB969" s="3">
        <f ca="1">IFERROR(__xludf.DUMMYFUNCTION("""COMPUTED_VALUE"""),0)</f>
        <v>0</v>
      </c>
      <c r="AC969" s="3">
        <f ca="1">IFERROR(__xludf.DUMMYFUNCTION("""COMPUTED_VALUE"""),3)</f>
        <v>3</v>
      </c>
      <c r="AD969" s="3" t="str">
        <f ca="1">IFERROR(__xludf.DUMMYFUNCTION("""COMPUTED_VALUE"""),"early")</f>
        <v>early</v>
      </c>
      <c r="AE969" s="3" t="str">
        <f ca="1">IFERROR(__xludf.DUMMYFUNCTION("""COMPUTED_VALUE"""),"2055-06-04T13:36:51.173539Z")</f>
        <v>2055-06-04T13:36:51.173539Z</v>
      </c>
      <c r="AF969" s="3" t="str">
        <f ca="1">IFERROR(__xludf.DUMMYFUNCTION("""COMPUTED_VALUE"""),"2055-06-04T13:37:21.116103Z")</f>
        <v>2055-06-04T13:37:21.116103Z</v>
      </c>
      <c r="AG969" s="3" t="str">
        <f ca="1">IFERROR(__xludf.DUMMYFUNCTION("""COMPUTED_VALUE"""),"2055-06-04T13:09:14.334833Z")</f>
        <v>2055-06-04T13:09:14.334833Z</v>
      </c>
      <c r="AH969" s="3" t="str">
        <f ca="1">IFERROR(__xludf.DUMMYFUNCTION("""COMPUTED_VALUE"""),"2055-06-04T13:12:25.27222Z")</f>
        <v>2055-06-04T13:12:25.27222Z</v>
      </c>
      <c r="AI969" s="3">
        <f ca="1">IFERROR(__xludf.DUMMYFUNCTION("""COMPUTED_VALUE"""),4.03)</f>
        <v>4.03</v>
      </c>
      <c r="AJ969" s="3">
        <f ca="1">IFERROR(__xludf.DUMMYFUNCTION("""COMPUTED_VALUE"""),505)</f>
        <v>505</v>
      </c>
      <c r="AK969" s="3">
        <f ca="1">IFERROR(__xludf.DUMMYFUNCTION("""COMPUTED_VALUE"""),1721)</f>
        <v>1721</v>
      </c>
      <c r="AL969" s="3">
        <f ca="1">IFERROR(__xludf.DUMMYFUNCTION("""COMPUTED_VALUE"""),457)</f>
        <v>457</v>
      </c>
      <c r="AM969" s="3">
        <f>IFERROR(Raw_Data!AL969 / Raw_Data!AK969, "")</f>
        <v>0.26554328878558975</v>
      </c>
      <c r="AN969" s="3" t="str">
        <f>IF(ISBLANK(Raw_Data!AL969), "No", "Yes")</f>
        <v>Yes</v>
      </c>
      <c r="AO969" s="3">
        <f>IFERROR(Raw_Data!Z969/60, "")</f>
        <v>24.433333333333334</v>
      </c>
    </row>
    <row r="970" spans="1:41" ht="13">
      <c r="A970" s="3">
        <f ca="1">IFERROR(__xludf.DUMMYFUNCTION("""COMPUTED_VALUE"""),565)</f>
        <v>565</v>
      </c>
      <c r="B970" s="3">
        <f ca="1">IFERROR(__xludf.DUMMYFUNCTION("""COMPUTED_VALUE"""),3)</f>
        <v>3</v>
      </c>
      <c r="C970" s="3">
        <f ca="1">IFERROR(__xludf.DUMMYFUNCTION("""COMPUTED_VALUE"""),4050)</f>
        <v>4050</v>
      </c>
      <c r="D970" s="3" t="str">
        <f ca="1">IFERROR(__xludf.DUMMYFUNCTION("""COMPUTED_VALUE"""),"Doorlanta")</f>
        <v>Doorlanta</v>
      </c>
      <c r="E970" s="3" t="str">
        <f ca="1">IFERROR(__xludf.DUMMYFUNCTION("""COMPUTED_VALUE"""),"Galaxy A")</f>
        <v>Galaxy A</v>
      </c>
      <c r="F970" s="3" t="str">
        <f ca="1">IFERROR(__xludf.DUMMYFUNCTION("""COMPUTED_VALUE"""),"Elon")</f>
        <v>Elon</v>
      </c>
      <c r="G970" s="3">
        <f ca="1">IFERROR(__xludf.DUMMYFUNCTION("""COMPUTED_VALUE"""),0)</f>
        <v>0</v>
      </c>
      <c r="H970" s="3" t="str">
        <f ca="1">IFERROR(__xludf.DUMMYFUNCTION("""COMPUTED_VALUE"""),"car")</f>
        <v>car</v>
      </c>
      <c r="I970" s="3" t="str">
        <f ca="1">IFERROR(__xludf.DUMMYFUNCTION("""COMPUTED_VALUE"""),"2055-06-05T16:31:33.216977Z")</f>
        <v>2055-06-05T16:31:33.216977Z</v>
      </c>
      <c r="J970" s="3" t="str">
        <f ca="1">IFERROR(__xludf.DUMMYFUNCTION("""COMPUTED_VALUE"""),"2055-06-05T17:26:33.295Z")</f>
        <v>2055-06-05T17:26:33.295Z</v>
      </c>
      <c r="K970" s="3" t="str">
        <f ca="1">IFERROR(__xludf.DUMMYFUNCTION("""COMPUTED_VALUE"""),"2055-06-05T17:05:56.295Z")</f>
        <v>2055-06-05T17:05:56.295Z</v>
      </c>
      <c r="L970" s="3">
        <f ca="1">IFERROR(__xludf.DUMMYFUNCTION("""COMPUTED_VALUE"""),1)</f>
        <v>1</v>
      </c>
      <c r="M970" s="3">
        <f ca="1">IFERROR(__xludf.DUMMYFUNCTION("""COMPUTED_VALUE"""),0)</f>
        <v>0</v>
      </c>
      <c r="N970" s="3" t="str">
        <f ca="1">IFERROR(__xludf.DUMMYFUNCTION("""COMPUTED_VALUE"""),"2055-06-05T16:58:07.501713Z")</f>
        <v>2055-06-05T16:58:07.501713Z</v>
      </c>
      <c r="O970" s="3" t="str">
        <f ca="1">IFERROR(__xludf.DUMMYFUNCTION("""COMPUTED_VALUE"""),"2055-06-05T17:04:30.542991Z")</f>
        <v>2055-06-05T17:04:30.542991Z</v>
      </c>
      <c r="P970" s="3" t="str">
        <f ca="1">IFERROR(__xludf.DUMMYFUNCTION("""COMPUTED_VALUE"""),"2055-06-05T16:43:27.396337Z")</f>
        <v>2055-06-05T16:43:27.396337Z</v>
      </c>
      <c r="Q970" s="3">
        <f ca="1">IFERROR(__xludf.DUMMYFUNCTION("""COMPUTED_VALUE"""),0)</f>
        <v>0</v>
      </c>
      <c r="R970" s="3" t="str">
        <f ca="1">IFERROR(__xludf.DUMMYFUNCTION("""COMPUTED_VALUE"""),"2055-06-05T16:43:44.051997Z")</f>
        <v>2055-06-05T16:43:44.051997Z</v>
      </c>
      <c r="S970" s="3" t="str">
        <f ca="1">IFERROR(__xludf.DUMMYFUNCTION("""COMPUTED_VALUE"""),"2055-06-05T16:49:53.774506Z")</f>
        <v>2055-06-05T16:49:53.774506Z</v>
      </c>
      <c r="T970" s="3"/>
      <c r="U970" s="4">
        <f ca="1">IFERROR(__xludf.DUMMYFUNCTION("""COMPUTED_VALUE"""),56770)</f>
        <v>56770</v>
      </c>
      <c r="V970" s="3">
        <f ca="1">IFERROR(__xludf.DUMMYFUNCTION("""COMPUTED_VALUE"""),4.6)</f>
        <v>4.5999999999999996</v>
      </c>
      <c r="W970" s="3">
        <f ca="1">IFERROR(__xludf.DUMMYFUNCTION("""COMPUTED_VALUE"""),1500)</f>
        <v>1500</v>
      </c>
      <c r="X970" s="3">
        <f ca="1">IFERROR(__xludf.DUMMYFUNCTION("""COMPUTED_VALUE"""),1246)</f>
        <v>1246</v>
      </c>
      <c r="Y970" s="3">
        <f ca="1">IFERROR(__xludf.DUMMYFUNCTION("""COMPUTED_VALUE"""),369)</f>
        <v>369</v>
      </c>
      <c r="Z970" s="3">
        <f ca="1">IFERROR(__xludf.DUMMYFUNCTION("""COMPUTED_VALUE"""),494)</f>
        <v>494</v>
      </c>
      <c r="AA970" s="3">
        <f ca="1">IFERROR(__xludf.DUMMYFUNCTION("""COMPUTED_VALUE"""),383)</f>
        <v>383</v>
      </c>
      <c r="AB970" s="3">
        <f ca="1">IFERROR(__xludf.DUMMYFUNCTION("""COMPUTED_VALUE"""),1)</f>
        <v>1</v>
      </c>
      <c r="AC970" s="3">
        <f ca="1">IFERROR(__xludf.DUMMYFUNCTION("""COMPUTED_VALUE"""),1)</f>
        <v>1</v>
      </c>
      <c r="AD970" s="3"/>
      <c r="AE970" s="3" t="str">
        <f ca="1">IFERROR(__xludf.DUMMYFUNCTION("""COMPUTED_VALUE"""),"2055-06-05T12:58:07.501713Z")</f>
        <v>2055-06-05T12:58:07.501713Z</v>
      </c>
      <c r="AF970" s="3" t="str">
        <f ca="1">IFERROR(__xludf.DUMMYFUNCTION("""COMPUTED_VALUE"""),"2055-06-05T13:04:30.542991Z")</f>
        <v>2055-06-05T13:04:30.542991Z</v>
      </c>
      <c r="AG970" s="3" t="str">
        <f ca="1">IFERROR(__xludf.DUMMYFUNCTION("""COMPUTED_VALUE"""),"2055-06-05T12:43:27.396337Z")</f>
        <v>2055-06-05T12:43:27.396337Z</v>
      </c>
      <c r="AH970" s="3" t="str">
        <f ca="1">IFERROR(__xludf.DUMMYFUNCTION("""COMPUTED_VALUE"""),"2055-06-05T12:49:53.774506Z")</f>
        <v>2055-06-05T12:49:53.774506Z</v>
      </c>
      <c r="AI970" s="3">
        <f ca="1">IFERROR(__xludf.DUMMYFUNCTION("""COMPUTED_VALUE"""),4.62)</f>
        <v>4.62</v>
      </c>
      <c r="AJ970" s="3">
        <f ca="1">IFERROR(__xludf.DUMMYFUNCTION("""COMPUTED_VALUE"""),259)</f>
        <v>259</v>
      </c>
      <c r="AK970" s="3">
        <f ca="1">IFERROR(__xludf.DUMMYFUNCTION("""COMPUTED_VALUE"""),604)</f>
        <v>604</v>
      </c>
      <c r="AL970" s="3">
        <f ca="1">IFERROR(__xludf.DUMMYFUNCTION("""COMPUTED_VALUE"""),21)</f>
        <v>21</v>
      </c>
      <c r="AM970" s="3">
        <f>IFERROR(Raw_Data!AL970 / Raw_Data!AK970, "")</f>
        <v>3.4768211920529798E-2</v>
      </c>
      <c r="AN970" s="3" t="str">
        <f>IF(ISBLANK(Raw_Data!AL970), "No", "Yes")</f>
        <v>Yes</v>
      </c>
      <c r="AO970" s="3">
        <f>IFERROR(Raw_Data!Z970/60, "")</f>
        <v>8.2333333333333325</v>
      </c>
    </row>
    <row r="971" spans="1:41" ht="13">
      <c r="A971" s="3">
        <f ca="1">IFERROR(__xludf.DUMMYFUNCTION("""COMPUTED_VALUE"""),856)</f>
        <v>856</v>
      </c>
      <c r="B971" s="3"/>
      <c r="C971" s="3">
        <f ca="1">IFERROR(__xludf.DUMMYFUNCTION("""COMPUTED_VALUE"""),4001)</f>
        <v>4001</v>
      </c>
      <c r="D971" s="3" t="str">
        <f ca="1">IFERROR(__xludf.DUMMYFUNCTION("""COMPUTED_VALUE"""),"Dashattan")</f>
        <v>Dashattan</v>
      </c>
      <c r="E971" s="3" t="str">
        <f ca="1">IFERROR(__xludf.DUMMYFUNCTION("""COMPUTED_VALUE"""),"Galaxy A")</f>
        <v>Galaxy A</v>
      </c>
      <c r="F971" s="3" t="str">
        <f ca="1">IFERROR(__xludf.DUMMYFUNCTION("""COMPUTED_VALUE"""),"KC")</f>
        <v>KC</v>
      </c>
      <c r="G971" s="3">
        <f ca="1">IFERROR(__xludf.DUMMYFUNCTION("""COMPUTED_VALUE"""),0)</f>
        <v>0</v>
      </c>
      <c r="H971" s="3" t="str">
        <f ca="1">IFERROR(__xludf.DUMMYFUNCTION("""COMPUTED_VALUE"""),"car")</f>
        <v>car</v>
      </c>
      <c r="I971" s="3" t="str">
        <f ca="1">IFERROR(__xludf.DUMMYFUNCTION("""COMPUTED_VALUE"""),"2055-06-07T17:39:29.655216Z")</f>
        <v>2055-06-07T17:39:29.655216Z</v>
      </c>
      <c r="J971" s="3" t="str">
        <f ca="1">IFERROR(__xludf.DUMMYFUNCTION("""COMPUTED_VALUE"""),"2055-06-07T18:28:02.735Z")</f>
        <v>2055-06-07T18:28:02.735Z</v>
      </c>
      <c r="K971" s="3" t="str">
        <f ca="1">IFERROR(__xludf.DUMMYFUNCTION("""COMPUTED_VALUE"""),"2055-06-07T18:13:23.735Z")</f>
        <v>2055-06-07T18:13:23.735Z</v>
      </c>
      <c r="L971" s="3">
        <f ca="1">IFERROR(__xludf.DUMMYFUNCTION("""COMPUTED_VALUE"""),1)</f>
        <v>1</v>
      </c>
      <c r="M971" s="3">
        <f ca="1">IFERROR(__xludf.DUMMYFUNCTION("""COMPUTED_VALUE"""),0)</f>
        <v>0</v>
      </c>
      <c r="N971" s="3" t="str">
        <f ca="1">IFERROR(__xludf.DUMMYFUNCTION("""COMPUTED_VALUE"""),"2055-06-07T17:46:04.052781Z")</f>
        <v>2055-06-07T17:46:04.052781Z</v>
      </c>
      <c r="O971" s="3" t="str">
        <f ca="1">IFERROR(__xludf.DUMMYFUNCTION("""COMPUTED_VALUE"""),"2055-06-07T17:53:01.980141Z")</f>
        <v>2055-06-07T17:53:01.980141Z</v>
      </c>
      <c r="P971" s="3" t="str">
        <f ca="1">IFERROR(__xludf.DUMMYFUNCTION("""COMPUTED_VALUE"""),"2055-06-07T17:40:54.297719Z")</f>
        <v>2055-06-07T17:40:54.297719Z</v>
      </c>
      <c r="Q971" s="3">
        <f ca="1">IFERROR(__xludf.DUMMYFUNCTION("""COMPUTED_VALUE"""),0)</f>
        <v>0</v>
      </c>
      <c r="R971" s="3" t="str">
        <f ca="1">IFERROR(__xludf.DUMMYFUNCTION("""COMPUTED_VALUE"""),"2055-06-07T17:41:13.21667Z")</f>
        <v>2055-06-07T17:41:13.21667Z</v>
      </c>
      <c r="S971" s="3" t="str">
        <f ca="1">IFERROR(__xludf.DUMMYFUNCTION("""COMPUTED_VALUE"""),"2055-06-07T17:42:38.543498Z")</f>
        <v>2055-06-07T17:42:38.543498Z</v>
      </c>
      <c r="T971" s="3"/>
      <c r="U971" s="4">
        <f ca="1">IFERROR(__xludf.DUMMYFUNCTION("""COMPUTED_VALUE"""),56772)</f>
        <v>56772</v>
      </c>
      <c r="V971" s="3">
        <f ca="1">IFERROR(__xludf.DUMMYFUNCTION("""COMPUTED_VALUE"""),4.649691893)</f>
        <v>4.649691893</v>
      </c>
      <c r="W971" s="3">
        <f ca="1">IFERROR(__xludf.DUMMYFUNCTION("""COMPUTED_VALUE"""),1500)</f>
        <v>1500</v>
      </c>
      <c r="X971" s="3">
        <f ca="1">IFERROR(__xludf.DUMMYFUNCTION("""COMPUTED_VALUE"""),708)</f>
        <v>708</v>
      </c>
      <c r="Y971" s="3">
        <f ca="1">IFERROR(__xludf.DUMMYFUNCTION("""COMPUTED_VALUE"""),85)</f>
        <v>85</v>
      </c>
      <c r="Z971" s="3">
        <f ca="1">IFERROR(__xludf.DUMMYFUNCTION("""COMPUTED_VALUE"""),206)</f>
        <v>206</v>
      </c>
      <c r="AA971" s="3">
        <f ca="1">IFERROR(__xludf.DUMMYFUNCTION("""COMPUTED_VALUE"""),417)</f>
        <v>417</v>
      </c>
      <c r="AB971" s="3">
        <f ca="1">IFERROR(__xludf.DUMMYFUNCTION("""COMPUTED_VALUE"""),0)</f>
        <v>0</v>
      </c>
      <c r="AC971" s="3">
        <f ca="1">IFERROR(__xludf.DUMMYFUNCTION("""COMPUTED_VALUE"""),3)</f>
        <v>3</v>
      </c>
      <c r="AD971" s="3" t="str">
        <f ca="1">IFERROR(__xludf.DUMMYFUNCTION("""COMPUTED_VALUE"""),"early")</f>
        <v>early</v>
      </c>
      <c r="AE971" s="3" t="str">
        <f ca="1">IFERROR(__xludf.DUMMYFUNCTION("""COMPUTED_VALUE"""),"2055-06-07T13:46:04.052781Z")</f>
        <v>2055-06-07T13:46:04.052781Z</v>
      </c>
      <c r="AF971" s="3" t="str">
        <f ca="1">IFERROR(__xludf.DUMMYFUNCTION("""COMPUTED_VALUE"""),"2055-06-07T13:53:01.980141Z")</f>
        <v>2055-06-07T13:53:01.980141Z</v>
      </c>
      <c r="AG971" s="3" t="str">
        <f ca="1">IFERROR(__xludf.DUMMYFUNCTION("""COMPUTED_VALUE"""),"2055-06-07T13:40:54.297719Z")</f>
        <v>2055-06-07T13:40:54.297719Z</v>
      </c>
      <c r="AH971" s="3" t="str">
        <f ca="1">IFERROR(__xludf.DUMMYFUNCTION("""COMPUTED_VALUE"""),"2055-06-07T13:42:38.543498Z")</f>
        <v>2055-06-07T13:42:38.543498Z</v>
      </c>
      <c r="AI971" s="3">
        <f ca="1">IFERROR(__xludf.DUMMYFUNCTION("""COMPUTED_VALUE"""),4.54)</f>
        <v>4.54</v>
      </c>
      <c r="AJ971" s="3">
        <f ca="1">IFERROR(__xludf.DUMMYFUNCTION("""COMPUTED_VALUE"""),2229)</f>
        <v>2229</v>
      </c>
      <c r="AK971" s="3">
        <f ca="1">IFERROR(__xludf.DUMMYFUNCTION("""COMPUTED_VALUE"""),6580)</f>
        <v>6580</v>
      </c>
      <c r="AL971" s="3"/>
      <c r="AM971" s="3">
        <f>IFERROR(Raw_Data!AL971 / Raw_Data!AK971, "")</f>
        <v>0</v>
      </c>
      <c r="AN971" s="3" t="str">
        <f>IF(ISBLANK(Raw_Data!AL971), "No", "Yes")</f>
        <v>No</v>
      </c>
      <c r="AO971" s="3">
        <f>IFERROR(Raw_Data!Z971/60, "")</f>
        <v>3.4333333333333331</v>
      </c>
    </row>
    <row r="972" spans="1:41" ht="13">
      <c r="A972" s="3">
        <f ca="1">IFERROR(__xludf.DUMMYFUNCTION("""COMPUTED_VALUE"""),1552)</f>
        <v>1552</v>
      </c>
      <c r="B972" s="3"/>
      <c r="C972" s="3">
        <f ca="1">IFERROR(__xludf.DUMMYFUNCTION("""COMPUTED_VALUE"""),4001)</f>
        <v>4001</v>
      </c>
      <c r="D972" s="3" t="str">
        <f ca="1">IFERROR(__xludf.DUMMYFUNCTION("""COMPUTED_VALUE"""),"Dashattan")</f>
        <v>Dashattan</v>
      </c>
      <c r="E972" s="3" t="str">
        <f ca="1">IFERROR(__xludf.DUMMYFUNCTION("""COMPUTED_VALUE"""),"Galaxy A")</f>
        <v>Galaxy A</v>
      </c>
      <c r="F972" s="3" t="str">
        <f ca="1">IFERROR(__xludf.DUMMYFUNCTION("""COMPUTED_VALUE"""),"KC")</f>
        <v>KC</v>
      </c>
      <c r="G972" s="3">
        <f ca="1">IFERROR(__xludf.DUMMYFUNCTION("""COMPUTED_VALUE"""),0)</f>
        <v>0</v>
      </c>
      <c r="H972" s="3" t="str">
        <f ca="1">IFERROR(__xludf.DUMMYFUNCTION("""COMPUTED_VALUE"""),"car")</f>
        <v>car</v>
      </c>
      <c r="I972" s="3" t="str">
        <f ca="1">IFERROR(__xludf.DUMMYFUNCTION("""COMPUTED_VALUE"""),"2055-06-13T14:41:33.667437Z")</f>
        <v>2055-06-13T14:41:33.667437Z</v>
      </c>
      <c r="J972" s="3" t="str">
        <f ca="1">IFERROR(__xludf.DUMMYFUNCTION("""COMPUTED_VALUE"""),"2055-06-13T15:22:45.734Z")</f>
        <v>2055-06-13T15:22:45.734Z</v>
      </c>
      <c r="K972" s="3" t="str">
        <f ca="1">IFERROR(__xludf.DUMMYFUNCTION("""COMPUTED_VALUE"""),"2055-06-13T15:08:06.734Z")</f>
        <v>2055-06-13T15:08:06.734Z</v>
      </c>
      <c r="L972" s="3">
        <f ca="1">IFERROR(__xludf.DUMMYFUNCTION("""COMPUTED_VALUE"""),1)</f>
        <v>1</v>
      </c>
      <c r="M972" s="3">
        <f ca="1">IFERROR(__xludf.DUMMYFUNCTION("""COMPUTED_VALUE"""),0)</f>
        <v>0</v>
      </c>
      <c r="N972" s="3" t="str">
        <f ca="1">IFERROR(__xludf.DUMMYFUNCTION("""COMPUTED_VALUE"""),"2055-06-13T15:07:11.268965Z")</f>
        <v>2055-06-13T15:07:11.268965Z</v>
      </c>
      <c r="O972" s="3" t="str">
        <f ca="1">IFERROR(__xludf.DUMMYFUNCTION("""COMPUTED_VALUE"""),"2055-06-13T15:11:48.484477Z")</f>
        <v>2055-06-13T15:11:48.484477Z</v>
      </c>
      <c r="P972" s="3" t="str">
        <f ca="1">IFERROR(__xludf.DUMMYFUNCTION("""COMPUTED_VALUE"""),"2055-06-13T14:43:34.243353Z")</f>
        <v>2055-06-13T14:43:34.243353Z</v>
      </c>
      <c r="Q972" s="3">
        <f ca="1">IFERROR(__xludf.DUMMYFUNCTION("""COMPUTED_VALUE"""),0)</f>
        <v>0</v>
      </c>
      <c r="R972" s="3" t="str">
        <f ca="1">IFERROR(__xludf.DUMMYFUNCTION("""COMPUTED_VALUE"""),"2055-06-13T14:43:47.750162Z")</f>
        <v>2055-06-13T14:43:47.750162Z</v>
      </c>
      <c r="S972" s="3" t="str">
        <f ca="1">IFERROR(__xludf.DUMMYFUNCTION("""COMPUTED_VALUE"""),"2055-06-13T14:47:38.951458Z")</f>
        <v>2055-06-13T14:47:38.951458Z</v>
      </c>
      <c r="T972" s="3"/>
      <c r="U972" s="4">
        <f ca="1">IFERROR(__xludf.DUMMYFUNCTION("""COMPUTED_VALUE"""),56778)</f>
        <v>56778</v>
      </c>
      <c r="V972" s="3">
        <f ca="1">IFERROR(__xludf.DUMMYFUNCTION("""COMPUTED_VALUE"""),4.6)</f>
        <v>4.5999999999999996</v>
      </c>
      <c r="W972" s="3">
        <f ca="1">IFERROR(__xludf.DUMMYFUNCTION("""COMPUTED_VALUE"""),1500)</f>
        <v>1500</v>
      </c>
      <c r="X972" s="3">
        <f ca="1">IFERROR(__xludf.DUMMYFUNCTION("""COMPUTED_VALUE"""),1681)</f>
        <v>1681</v>
      </c>
      <c r="Y972" s="3">
        <f ca="1">IFERROR(__xludf.DUMMYFUNCTION("""COMPUTED_VALUE"""),231)</f>
        <v>231</v>
      </c>
      <c r="Z972" s="3">
        <f ca="1">IFERROR(__xludf.DUMMYFUNCTION("""COMPUTED_VALUE"""),1173)</f>
        <v>1173</v>
      </c>
      <c r="AA972" s="3">
        <f ca="1">IFERROR(__xludf.DUMMYFUNCTION("""COMPUTED_VALUE"""),277)</f>
        <v>277</v>
      </c>
      <c r="AB972" s="3">
        <f ca="1">IFERROR(__xludf.DUMMYFUNCTION("""COMPUTED_VALUE"""),0)</f>
        <v>0</v>
      </c>
      <c r="AC972" s="3">
        <f ca="1">IFERROR(__xludf.DUMMYFUNCTION("""COMPUTED_VALUE"""),2)</f>
        <v>2</v>
      </c>
      <c r="AD972" s="3" t="str">
        <f ca="1">IFERROR(__xludf.DUMMYFUNCTION("""COMPUTED_VALUE"""),"on time")</f>
        <v>on time</v>
      </c>
      <c r="AE972" s="3" t="str">
        <f ca="1">IFERROR(__xludf.DUMMYFUNCTION("""COMPUTED_VALUE"""),"2055-06-13T11:07:11.268965Z")</f>
        <v>2055-06-13T11:07:11.268965Z</v>
      </c>
      <c r="AF972" s="3" t="str">
        <f ca="1">IFERROR(__xludf.DUMMYFUNCTION("""COMPUTED_VALUE"""),"2055-06-13T11:11:48.484477Z")</f>
        <v>2055-06-13T11:11:48.484477Z</v>
      </c>
      <c r="AG972" s="3" t="str">
        <f ca="1">IFERROR(__xludf.DUMMYFUNCTION("""COMPUTED_VALUE"""),"2055-06-13T10:43:34.243353Z")</f>
        <v>2055-06-13T10:43:34.243353Z</v>
      </c>
      <c r="AH972" s="3" t="str">
        <f ca="1">IFERROR(__xludf.DUMMYFUNCTION("""COMPUTED_VALUE"""),"2055-06-13T10:47:38.951458Z")</f>
        <v>2055-06-13T10:47:38.951458Z</v>
      </c>
      <c r="AI972" s="3">
        <f ca="1">IFERROR(__xludf.DUMMYFUNCTION("""COMPUTED_VALUE"""),4.54)</f>
        <v>4.54</v>
      </c>
      <c r="AJ972" s="3">
        <f ca="1">IFERROR(__xludf.DUMMYFUNCTION("""COMPUTED_VALUE"""),2229)</f>
        <v>2229</v>
      </c>
      <c r="AK972" s="3">
        <f ca="1">IFERROR(__xludf.DUMMYFUNCTION("""COMPUTED_VALUE"""),6580)</f>
        <v>6580</v>
      </c>
      <c r="AL972" s="3"/>
      <c r="AM972" s="3">
        <f>IFERROR(Raw_Data!AL972 / Raw_Data!AK972, "")</f>
        <v>0</v>
      </c>
      <c r="AN972" s="3" t="str">
        <f>IF(ISBLANK(Raw_Data!AL972), "No", "Yes")</f>
        <v>No</v>
      </c>
      <c r="AO972" s="3">
        <f>IFERROR(Raw_Data!Z972/60, "")</f>
        <v>19.55</v>
      </c>
    </row>
    <row r="973" spans="1:41" ht="13">
      <c r="A973" s="3">
        <f ca="1">IFERROR(__xludf.DUMMYFUNCTION("""COMPUTED_VALUE"""),19)</f>
        <v>19</v>
      </c>
      <c r="B973" s="3"/>
      <c r="C973" s="3">
        <f ca="1">IFERROR(__xludf.DUMMYFUNCTION("""COMPUTED_VALUE"""),4001)</f>
        <v>4001</v>
      </c>
      <c r="D973" s="3" t="str">
        <f ca="1">IFERROR(__xludf.DUMMYFUNCTION("""COMPUTED_VALUE"""),"Dashattan")</f>
        <v>Dashattan</v>
      </c>
      <c r="E973" s="3" t="str">
        <f ca="1">IFERROR(__xludf.DUMMYFUNCTION("""COMPUTED_VALUE"""),"Galaxy A")</f>
        <v>Galaxy A</v>
      </c>
      <c r="F973" s="3" t="str">
        <f ca="1">IFERROR(__xludf.DUMMYFUNCTION("""COMPUTED_VALUE"""),"Sean")</f>
        <v>Sean</v>
      </c>
      <c r="G973" s="3">
        <f ca="1">IFERROR(__xludf.DUMMYFUNCTION("""COMPUTED_VALUE"""),0)</f>
        <v>0</v>
      </c>
      <c r="H973" s="3" t="str">
        <f ca="1">IFERROR(__xludf.DUMMYFUNCTION("""COMPUTED_VALUE"""),"bicycle")</f>
        <v>bicycle</v>
      </c>
      <c r="I973" s="3" t="str">
        <f ca="1">IFERROR(__xludf.DUMMYFUNCTION("""COMPUTED_VALUE"""),"2055-06-01T16:28:15.938695Z")</f>
        <v>2055-06-01T16:28:15.938695Z</v>
      </c>
      <c r="J973" s="3" t="str">
        <f ca="1">IFERROR(__xludf.DUMMYFUNCTION("""COMPUTED_VALUE"""),"2055-06-01T17:50:48.008Z")</f>
        <v>2055-06-01T17:50:48.008Z</v>
      </c>
      <c r="K973" s="3" t="str">
        <f ca="1">IFERROR(__xludf.DUMMYFUNCTION("""COMPUTED_VALUE"""),"2055-06-01T17:28:54.008Z")</f>
        <v>2055-06-01T17:28:54.008Z</v>
      </c>
      <c r="L973" s="3">
        <f ca="1">IFERROR(__xludf.DUMMYFUNCTION("""COMPUTED_VALUE"""),1)</f>
        <v>1</v>
      </c>
      <c r="M973" s="3">
        <f ca="1">IFERROR(__xludf.DUMMYFUNCTION("""COMPUTED_VALUE"""),0)</f>
        <v>0</v>
      </c>
      <c r="N973" s="3" t="str">
        <f ca="1">IFERROR(__xludf.DUMMYFUNCTION("""COMPUTED_VALUE"""),"2055-06-01T17:39:38.176669Z")</f>
        <v>2055-06-01T17:39:38.176669Z</v>
      </c>
      <c r="O973" s="3" t="str">
        <f ca="1">IFERROR(__xludf.DUMMYFUNCTION("""COMPUTED_VALUE"""),"2055-06-01T17:57:54.069456Z")</f>
        <v>2055-06-01T17:57:54.069456Z</v>
      </c>
      <c r="P973" s="3" t="str">
        <f ca="1">IFERROR(__xludf.DUMMYFUNCTION("""COMPUTED_VALUE"""),"2055-06-01T17:18:14.353335Z")</f>
        <v>2055-06-01T17:18:14.353335Z</v>
      </c>
      <c r="Q973" s="3">
        <f ca="1">IFERROR(__xludf.DUMMYFUNCTION("""COMPUTED_VALUE"""),0)</f>
        <v>0</v>
      </c>
      <c r="R973" s="3" t="str">
        <f ca="1">IFERROR(__xludf.DUMMYFUNCTION("""COMPUTED_VALUE"""),"2055-06-01T17:18:55.316353Z")</f>
        <v>2055-06-01T17:18:55.316353Z</v>
      </c>
      <c r="S973" s="3"/>
      <c r="T973" s="3"/>
      <c r="U973" s="4">
        <f ca="1">IFERROR(__xludf.DUMMYFUNCTION("""COMPUTED_VALUE"""),56766)</f>
        <v>56766</v>
      </c>
      <c r="V973" s="3">
        <f ca="1">IFERROR(__xludf.DUMMYFUNCTION("""COMPUTED_VALUE"""),4.2)</f>
        <v>4.2</v>
      </c>
      <c r="W973" s="3">
        <f ca="1">IFERROR(__xludf.DUMMYFUNCTION("""COMPUTED_VALUE"""),1500)</f>
        <v>1500</v>
      </c>
      <c r="X973" s="3">
        <f ca="1">IFERROR(__xludf.DUMMYFUNCTION("""COMPUTED_VALUE"""),2339)</f>
        <v>2339</v>
      </c>
      <c r="Y973" s="3"/>
      <c r="Z973" s="3"/>
      <c r="AA973" s="3">
        <f ca="1">IFERROR(__xludf.DUMMYFUNCTION("""COMPUTED_VALUE"""),1096)</f>
        <v>1096</v>
      </c>
      <c r="AB973" s="3">
        <f ca="1">IFERROR(__xludf.DUMMYFUNCTION("""COMPUTED_VALUE"""),0)</f>
        <v>0</v>
      </c>
      <c r="AC973" s="3">
        <f ca="1">IFERROR(__xludf.DUMMYFUNCTION("""COMPUTED_VALUE"""),2)</f>
        <v>2</v>
      </c>
      <c r="AD973" s="3"/>
      <c r="AE973" s="3" t="str">
        <f ca="1">IFERROR(__xludf.DUMMYFUNCTION("""COMPUTED_VALUE"""),"2055-06-01T13:39:38.176669Z")</f>
        <v>2055-06-01T13:39:38.176669Z</v>
      </c>
      <c r="AF973" s="3" t="str">
        <f ca="1">IFERROR(__xludf.DUMMYFUNCTION("""COMPUTED_VALUE"""),"2055-06-01T13:57:54.069456Z")</f>
        <v>2055-06-01T13:57:54.069456Z</v>
      </c>
      <c r="AG973" s="3" t="str">
        <f ca="1">IFERROR(__xludf.DUMMYFUNCTION("""COMPUTED_VALUE"""),"2055-06-01T13:18:14.353335Z")</f>
        <v>2055-06-01T13:18:14.353335Z</v>
      </c>
      <c r="AH973" s="3"/>
      <c r="AI973" s="3">
        <f ca="1">IFERROR(__xludf.DUMMYFUNCTION("""COMPUTED_VALUE"""),4.52)</f>
        <v>4.5199999999999996</v>
      </c>
      <c r="AJ973" s="3">
        <f ca="1">IFERROR(__xludf.DUMMYFUNCTION("""COMPUTED_VALUE"""),183)</f>
        <v>183</v>
      </c>
      <c r="AK973" s="3">
        <f ca="1">IFERROR(__xludf.DUMMYFUNCTION("""COMPUTED_VALUE"""),522)</f>
        <v>522</v>
      </c>
      <c r="AL973" s="3"/>
      <c r="AM973" s="3">
        <f>IFERROR(Raw_Data!AL973 / Raw_Data!AK973, "")</f>
        <v>0</v>
      </c>
      <c r="AN973" s="3" t="str">
        <f>IF(ISBLANK(Raw_Data!AL973), "No", "Yes")</f>
        <v>No</v>
      </c>
      <c r="AO973" s="3">
        <f>IFERROR(Raw_Data!Z973/60, "")</f>
        <v>0</v>
      </c>
    </row>
    <row r="974" spans="1:41" ht="13">
      <c r="A974" s="3">
        <f ca="1">IFERROR(__xludf.DUMMYFUNCTION("""COMPUTED_VALUE"""),598)</f>
        <v>598</v>
      </c>
      <c r="B974" s="3"/>
      <c r="C974" s="3">
        <f ca="1">IFERROR(__xludf.DUMMYFUNCTION("""COMPUTED_VALUE"""),4050)</f>
        <v>4050</v>
      </c>
      <c r="D974" s="3" t="str">
        <f ca="1">IFERROR(__xludf.DUMMYFUNCTION("""COMPUTED_VALUE"""),"Doorlanta")</f>
        <v>Doorlanta</v>
      </c>
      <c r="E974" s="3" t="str">
        <f ca="1">IFERROR(__xludf.DUMMYFUNCTION("""COMPUTED_VALUE"""),"Galaxy A")</f>
        <v>Galaxy A</v>
      </c>
      <c r="F974" s="3" t="str">
        <f ca="1">IFERROR(__xludf.DUMMYFUNCTION("""COMPUTED_VALUE"""),"Elon")</f>
        <v>Elon</v>
      </c>
      <c r="G974" s="3">
        <f ca="1">IFERROR(__xludf.DUMMYFUNCTION("""COMPUTED_VALUE"""),0)</f>
        <v>0</v>
      </c>
      <c r="H974" s="3" t="str">
        <f ca="1">IFERROR(__xludf.DUMMYFUNCTION("""COMPUTED_VALUE"""),"car")</f>
        <v>car</v>
      </c>
      <c r="I974" s="3" t="str">
        <f ca="1">IFERROR(__xludf.DUMMYFUNCTION("""COMPUTED_VALUE"""),"2055-06-05T19:28:14.979058Z")</f>
        <v>2055-06-05T19:28:14.979058Z</v>
      </c>
      <c r="J974" s="3" t="str">
        <f ca="1">IFERROR(__xludf.DUMMYFUNCTION("""COMPUTED_VALUE"""),"2055-06-05T20:22:08.063Z")</f>
        <v>2055-06-05T20:22:08.063Z</v>
      </c>
      <c r="K974" s="3" t="str">
        <f ca="1">IFERROR(__xludf.DUMMYFUNCTION("""COMPUTED_VALUE"""),"2055-06-05T20:07:01.063Z")</f>
        <v>2055-06-05T20:07:01.063Z</v>
      </c>
      <c r="L974" s="3">
        <f ca="1">IFERROR(__xludf.DUMMYFUNCTION("""COMPUTED_VALUE"""),1)</f>
        <v>1</v>
      </c>
      <c r="M974" s="3">
        <f ca="1">IFERROR(__xludf.DUMMYFUNCTION("""COMPUTED_VALUE"""),0)</f>
        <v>0</v>
      </c>
      <c r="N974" s="3" t="str">
        <f ca="1">IFERROR(__xludf.DUMMYFUNCTION("""COMPUTED_VALUE"""),"2055-06-05T19:44:51.62217Z")</f>
        <v>2055-06-05T19:44:51.62217Z</v>
      </c>
      <c r="O974" s="3" t="str">
        <f ca="1">IFERROR(__xludf.DUMMYFUNCTION("""COMPUTED_VALUE"""),"2055-06-05T19:59:47.675437Z")</f>
        <v>2055-06-05T19:59:47.675437Z</v>
      </c>
      <c r="P974" s="3" t="str">
        <f ca="1">IFERROR(__xludf.DUMMYFUNCTION("""COMPUTED_VALUE"""),"2055-06-05T19:28:27.327268Z")</f>
        <v>2055-06-05T19:28:27.327268Z</v>
      </c>
      <c r="Q974" s="3">
        <f ca="1">IFERROR(__xludf.DUMMYFUNCTION("""COMPUTED_VALUE"""),0)</f>
        <v>0</v>
      </c>
      <c r="R974" s="3" t="str">
        <f ca="1">IFERROR(__xludf.DUMMYFUNCTION("""COMPUTED_VALUE"""),"2055-06-05T19:28:39.698737Z")</f>
        <v>2055-06-05T19:28:39.698737Z</v>
      </c>
      <c r="S974" s="3" t="str">
        <f ca="1">IFERROR(__xludf.DUMMYFUNCTION("""COMPUTED_VALUE"""),"2055-06-05T19:40:54.970901Z")</f>
        <v>2055-06-05T19:40:54.970901Z</v>
      </c>
      <c r="T974" s="3"/>
      <c r="U974" s="4">
        <f ca="1">IFERROR(__xludf.DUMMYFUNCTION("""COMPUTED_VALUE"""),56770)</f>
        <v>56770</v>
      </c>
      <c r="V974" s="3">
        <f ca="1">IFERROR(__xludf.DUMMYFUNCTION("""COMPUTED_VALUE"""),3.753117198)</f>
        <v>3.753117198</v>
      </c>
      <c r="W974" s="3">
        <f ca="1">IFERROR(__xludf.DUMMYFUNCTION("""COMPUTED_VALUE"""),1500)</f>
        <v>1500</v>
      </c>
      <c r="X974" s="3">
        <f ca="1">IFERROR(__xludf.DUMMYFUNCTION("""COMPUTED_VALUE"""),1868)</f>
        <v>1868</v>
      </c>
      <c r="Y974" s="3">
        <f ca="1">IFERROR(__xludf.DUMMYFUNCTION("""COMPUTED_VALUE"""),735)</f>
        <v>735</v>
      </c>
      <c r="Z974" s="3">
        <f ca="1">IFERROR(__xludf.DUMMYFUNCTION("""COMPUTED_VALUE"""),237)</f>
        <v>237</v>
      </c>
      <c r="AA974" s="3">
        <f ca="1">IFERROR(__xludf.DUMMYFUNCTION("""COMPUTED_VALUE"""),896)</f>
        <v>896</v>
      </c>
      <c r="AB974" s="3">
        <f ca="1">IFERROR(__xludf.DUMMYFUNCTION("""COMPUTED_VALUE"""),0)</f>
        <v>0</v>
      </c>
      <c r="AC974" s="3">
        <f ca="1">IFERROR(__xludf.DUMMYFUNCTION("""COMPUTED_VALUE"""),2)</f>
        <v>2</v>
      </c>
      <c r="AD974" s="3" t="str">
        <f ca="1">IFERROR(__xludf.DUMMYFUNCTION("""COMPUTED_VALUE"""),"on time")</f>
        <v>on time</v>
      </c>
      <c r="AE974" s="3" t="str">
        <f ca="1">IFERROR(__xludf.DUMMYFUNCTION("""COMPUTED_VALUE"""),"2055-06-05T15:44:51.62217Z")</f>
        <v>2055-06-05T15:44:51.62217Z</v>
      </c>
      <c r="AF974" s="3" t="str">
        <f ca="1">IFERROR(__xludf.DUMMYFUNCTION("""COMPUTED_VALUE"""),"2055-06-05T15:59:47.675437Z")</f>
        <v>2055-06-05T15:59:47.675437Z</v>
      </c>
      <c r="AG974" s="3" t="str">
        <f ca="1">IFERROR(__xludf.DUMMYFUNCTION("""COMPUTED_VALUE"""),"2055-06-05T15:28:27.327268Z")</f>
        <v>2055-06-05T15:28:27.327268Z</v>
      </c>
      <c r="AH974" s="3" t="str">
        <f ca="1">IFERROR(__xludf.DUMMYFUNCTION("""COMPUTED_VALUE"""),"2055-06-05T15:40:54.970901Z")</f>
        <v>2055-06-05T15:40:54.970901Z</v>
      </c>
      <c r="AI974" s="3">
        <f ca="1">IFERROR(__xludf.DUMMYFUNCTION("""COMPUTED_VALUE"""),4.62)</f>
        <v>4.62</v>
      </c>
      <c r="AJ974" s="3">
        <f ca="1">IFERROR(__xludf.DUMMYFUNCTION("""COMPUTED_VALUE"""),259)</f>
        <v>259</v>
      </c>
      <c r="AK974" s="3">
        <f ca="1">IFERROR(__xludf.DUMMYFUNCTION("""COMPUTED_VALUE"""),604)</f>
        <v>604</v>
      </c>
      <c r="AL974" s="3">
        <f ca="1">IFERROR(__xludf.DUMMYFUNCTION("""COMPUTED_VALUE"""),21)</f>
        <v>21</v>
      </c>
      <c r="AM974" s="3">
        <f>IFERROR(Raw_Data!AL974 / Raw_Data!AK974, "")</f>
        <v>3.4768211920529798E-2</v>
      </c>
      <c r="AN974" s="3" t="str">
        <f>IF(ISBLANK(Raw_Data!AL974), "No", "Yes")</f>
        <v>Yes</v>
      </c>
      <c r="AO974" s="3">
        <f>IFERROR(Raw_Data!Z974/60, "")</f>
        <v>3.95</v>
      </c>
    </row>
    <row r="975" spans="1:41" ht="13">
      <c r="A975" s="3">
        <f ca="1">IFERROR(__xludf.DUMMYFUNCTION("""COMPUTED_VALUE"""),140)</f>
        <v>140</v>
      </c>
      <c r="B975" s="3">
        <f ca="1">IFERROR(__xludf.DUMMYFUNCTION("""COMPUTED_VALUE"""),5)</f>
        <v>5</v>
      </c>
      <c r="C975" s="3">
        <f ca="1">IFERROR(__xludf.DUMMYFUNCTION("""COMPUTED_VALUE"""),4050)</f>
        <v>4050</v>
      </c>
      <c r="D975" s="3" t="str">
        <f ca="1">IFERROR(__xludf.DUMMYFUNCTION("""COMPUTED_VALUE"""),"Doorlanta")</f>
        <v>Doorlanta</v>
      </c>
      <c r="E975" s="3" t="str">
        <f ca="1">IFERROR(__xludf.DUMMYFUNCTION("""COMPUTED_VALUE"""),"Galaxy A")</f>
        <v>Galaxy A</v>
      </c>
      <c r="F975" s="3" t="str">
        <f ca="1">IFERROR(__xludf.DUMMYFUNCTION("""COMPUTED_VALUE"""),"Merissa")</f>
        <v>Merissa</v>
      </c>
      <c r="G975" s="3">
        <f ca="1">IFERROR(__xludf.DUMMYFUNCTION("""COMPUTED_VALUE"""),0)</f>
        <v>0</v>
      </c>
      <c r="H975" s="3" t="str">
        <f ca="1">IFERROR(__xludf.DUMMYFUNCTION("""COMPUTED_VALUE"""),"car")</f>
        <v>car</v>
      </c>
      <c r="I975" s="3" t="str">
        <f ca="1">IFERROR(__xludf.DUMMYFUNCTION("""COMPUTED_VALUE"""),"2055-06-02T16:27:43.097187Z")</f>
        <v>2055-06-02T16:27:43.097187Z</v>
      </c>
      <c r="J975" s="3" t="str">
        <f ca="1">IFERROR(__xludf.DUMMYFUNCTION("""COMPUTED_VALUE"""),"2055-06-02T17:23:32.165Z")</f>
        <v>2055-06-02T17:23:32.165Z</v>
      </c>
      <c r="K975" s="3" t="str">
        <f ca="1">IFERROR(__xludf.DUMMYFUNCTION("""COMPUTED_VALUE"""),"2055-06-02T17:04:39.165Z")</f>
        <v>2055-06-02T17:04:39.165Z</v>
      </c>
      <c r="L975" s="3">
        <f ca="1">IFERROR(__xludf.DUMMYFUNCTION("""COMPUTED_VALUE"""),1)</f>
        <v>1</v>
      </c>
      <c r="M975" s="3">
        <f ca="1">IFERROR(__xludf.DUMMYFUNCTION("""COMPUTED_VALUE"""),0)</f>
        <v>0</v>
      </c>
      <c r="N975" s="3" t="str">
        <f ca="1">IFERROR(__xludf.DUMMYFUNCTION("""COMPUTED_VALUE"""),"2055-06-02T16:39:51.114213Z")</f>
        <v>2055-06-02T16:39:51.114213Z</v>
      </c>
      <c r="O975" s="3" t="str">
        <f ca="1">IFERROR(__xludf.DUMMYFUNCTION("""COMPUTED_VALUE"""),"2055-06-02T17:00:48.701579Z")</f>
        <v>2055-06-02T17:00:48.701579Z</v>
      </c>
      <c r="P975" s="3" t="str">
        <f ca="1">IFERROR(__xludf.DUMMYFUNCTION("""COMPUTED_VALUE"""),"2055-06-02T16:27:47.24655Z")</f>
        <v>2055-06-02T16:27:47.24655Z</v>
      </c>
      <c r="Q975" s="3">
        <f ca="1">IFERROR(__xludf.DUMMYFUNCTION("""COMPUTED_VALUE"""),0)</f>
        <v>0</v>
      </c>
      <c r="R975" s="3" t="str">
        <f ca="1">IFERROR(__xludf.DUMMYFUNCTION("""COMPUTED_VALUE"""),"2055-06-02T16:27:52.419985Z")</f>
        <v>2055-06-02T16:27:52.419985Z</v>
      </c>
      <c r="S975" s="3" t="str">
        <f ca="1">IFERROR(__xludf.DUMMYFUNCTION("""COMPUTED_VALUE"""),"2055-06-02T16:36:54.015548Z")</f>
        <v>2055-06-02T16:36:54.015548Z</v>
      </c>
      <c r="T975" s="3"/>
      <c r="U975" s="4">
        <f ca="1">IFERROR(__xludf.DUMMYFUNCTION("""COMPUTED_VALUE"""),56767)</f>
        <v>56767</v>
      </c>
      <c r="V975" s="3">
        <f ca="1">IFERROR(__xludf.DUMMYFUNCTION("""COMPUTED_VALUE"""),4.5)</f>
        <v>4.5</v>
      </c>
      <c r="W975" s="3">
        <f ca="1">IFERROR(__xludf.DUMMYFUNCTION("""COMPUTED_VALUE"""),1500)</f>
        <v>1500</v>
      </c>
      <c r="X975" s="3">
        <f ca="1">IFERROR(__xludf.DUMMYFUNCTION("""COMPUTED_VALUE"""),1976)</f>
        <v>1976</v>
      </c>
      <c r="Y975" s="3">
        <f ca="1">IFERROR(__xludf.DUMMYFUNCTION("""COMPUTED_VALUE"""),542)</f>
        <v>542</v>
      </c>
      <c r="Z975" s="3">
        <f ca="1">IFERROR(__xludf.DUMMYFUNCTION("""COMPUTED_VALUE"""),177)</f>
        <v>177</v>
      </c>
      <c r="AA975" s="3">
        <f ca="1">IFERROR(__xludf.DUMMYFUNCTION("""COMPUTED_VALUE"""),1257)</f>
        <v>1257</v>
      </c>
      <c r="AB975" s="3">
        <f ca="1">IFERROR(__xludf.DUMMYFUNCTION("""COMPUTED_VALUE"""),0)</f>
        <v>0</v>
      </c>
      <c r="AC975" s="3">
        <f ca="1">IFERROR(__xludf.DUMMYFUNCTION("""COMPUTED_VALUE"""),4)</f>
        <v>4</v>
      </c>
      <c r="AD975" s="3" t="str">
        <f ca="1">IFERROR(__xludf.DUMMYFUNCTION("""COMPUTED_VALUE"""),"on time")</f>
        <v>on time</v>
      </c>
      <c r="AE975" s="3" t="str">
        <f ca="1">IFERROR(__xludf.DUMMYFUNCTION("""COMPUTED_VALUE"""),"2055-06-02T12:39:51.114213Z")</f>
        <v>2055-06-02T12:39:51.114213Z</v>
      </c>
      <c r="AF975" s="3" t="str">
        <f ca="1">IFERROR(__xludf.DUMMYFUNCTION("""COMPUTED_VALUE"""),"2055-06-02T13:00:48.701579Z")</f>
        <v>2055-06-02T13:00:48.701579Z</v>
      </c>
      <c r="AG975" s="3" t="str">
        <f ca="1">IFERROR(__xludf.DUMMYFUNCTION("""COMPUTED_VALUE"""),"2055-06-02T12:27:47.24655Z")</f>
        <v>2055-06-02T12:27:47.24655Z</v>
      </c>
      <c r="AH975" s="3" t="str">
        <f ca="1">IFERROR(__xludf.DUMMYFUNCTION("""COMPUTED_VALUE"""),"2055-06-02T12:36:54.015548Z")</f>
        <v>2055-06-02T12:36:54.015548Z</v>
      </c>
      <c r="AI975" s="3">
        <f ca="1">IFERROR(__xludf.DUMMYFUNCTION("""COMPUTED_VALUE"""),4.58)</f>
        <v>4.58</v>
      </c>
      <c r="AJ975" s="3">
        <f ca="1">IFERROR(__xludf.DUMMYFUNCTION("""COMPUTED_VALUE"""),679)</f>
        <v>679</v>
      </c>
      <c r="AK975" s="3">
        <f ca="1">IFERROR(__xludf.DUMMYFUNCTION("""COMPUTED_VALUE"""),2371)</f>
        <v>2371</v>
      </c>
      <c r="AL975" s="3">
        <f ca="1">IFERROR(__xludf.DUMMYFUNCTION("""COMPUTED_VALUE"""),1830)</f>
        <v>1830</v>
      </c>
      <c r="AM975" s="3">
        <f>IFERROR(Raw_Data!AL975 / Raw_Data!AK975, "")</f>
        <v>0.7718262336566849</v>
      </c>
      <c r="AN975" s="3" t="str">
        <f>IF(ISBLANK(Raw_Data!AL975), "No", "Yes")</f>
        <v>Yes</v>
      </c>
      <c r="AO975" s="3">
        <f>IFERROR(Raw_Data!Z975/60, "")</f>
        <v>2.95</v>
      </c>
    </row>
    <row r="976" spans="1:41" ht="13">
      <c r="A976" s="3">
        <f ca="1">IFERROR(__xludf.DUMMYFUNCTION("""COMPUTED_VALUE"""),314)</f>
        <v>314</v>
      </c>
      <c r="B976" s="3">
        <f ca="1">IFERROR(__xludf.DUMMYFUNCTION("""COMPUTED_VALUE"""),5)</f>
        <v>5</v>
      </c>
      <c r="C976" s="3">
        <f ca="1">IFERROR(__xludf.DUMMYFUNCTION("""COMPUTED_VALUE"""),4050)</f>
        <v>4050</v>
      </c>
      <c r="D976" s="3" t="str">
        <f ca="1">IFERROR(__xludf.DUMMYFUNCTION("""COMPUTED_VALUE"""),"Doorlanta")</f>
        <v>Doorlanta</v>
      </c>
      <c r="E976" s="3" t="str">
        <f ca="1">IFERROR(__xludf.DUMMYFUNCTION("""COMPUTED_VALUE"""),"Galaxy A")</f>
        <v>Galaxy A</v>
      </c>
      <c r="F976" s="3" t="str">
        <f ca="1">IFERROR(__xludf.DUMMYFUNCTION("""COMPUTED_VALUE"""),"Hersh")</f>
        <v>Hersh</v>
      </c>
      <c r="G976" s="3">
        <f ca="1">IFERROR(__xludf.DUMMYFUNCTION("""COMPUTED_VALUE"""),0)</f>
        <v>0</v>
      </c>
      <c r="H976" s="3" t="str">
        <f ca="1">IFERROR(__xludf.DUMMYFUNCTION("""COMPUTED_VALUE"""),"car")</f>
        <v>car</v>
      </c>
      <c r="I976" s="3" t="str">
        <f ca="1">IFERROR(__xludf.DUMMYFUNCTION("""COMPUTED_VALUE"""),"2055-06-03T18:39:08.583271Z")</f>
        <v>2055-06-03T18:39:08.583271Z</v>
      </c>
      <c r="J976" s="3" t="str">
        <f ca="1">IFERROR(__xludf.DUMMYFUNCTION("""COMPUTED_VALUE"""),"2055-06-03T19:34:08.652Z")</f>
        <v>2055-06-03T19:34:08.652Z</v>
      </c>
      <c r="K976" s="3" t="str">
        <f ca="1">IFERROR(__xludf.DUMMYFUNCTION("""COMPUTED_VALUE"""),"2055-06-03T19:05:20.652Z")</f>
        <v>2055-06-03T19:05:20.652Z</v>
      </c>
      <c r="L976" s="3">
        <f ca="1">IFERROR(__xludf.DUMMYFUNCTION("""COMPUTED_VALUE"""),1)</f>
        <v>1</v>
      </c>
      <c r="M976" s="3">
        <f ca="1">IFERROR(__xludf.DUMMYFUNCTION("""COMPUTED_VALUE"""),0)</f>
        <v>0</v>
      </c>
      <c r="N976" s="3" t="str">
        <f ca="1">IFERROR(__xludf.DUMMYFUNCTION("""COMPUTED_VALUE"""),"2055-06-03T19:19:12.35627Z")</f>
        <v>2055-06-03T19:19:12.35627Z</v>
      </c>
      <c r="O976" s="3" t="str">
        <f ca="1">IFERROR(__xludf.DUMMYFUNCTION("""COMPUTED_VALUE"""),"2055-06-03T19:34:10.005032Z")</f>
        <v>2055-06-03T19:34:10.005032Z</v>
      </c>
      <c r="P976" s="3" t="str">
        <f ca="1">IFERROR(__xludf.DUMMYFUNCTION("""COMPUTED_VALUE"""),"2055-06-03T18:48:27.425171Z")</f>
        <v>2055-06-03T18:48:27.425171Z</v>
      </c>
      <c r="Q976" s="3">
        <f ca="1">IFERROR(__xludf.DUMMYFUNCTION("""COMPUTED_VALUE"""),0)</f>
        <v>0</v>
      </c>
      <c r="R976" s="3" t="str">
        <f ca="1">IFERROR(__xludf.DUMMYFUNCTION("""COMPUTED_VALUE"""),"2055-06-03T18:48:30.871958Z")</f>
        <v>2055-06-03T18:48:30.871958Z</v>
      </c>
      <c r="S976" s="3" t="str">
        <f ca="1">IFERROR(__xludf.DUMMYFUNCTION("""COMPUTED_VALUE"""),"2055-06-03T19:10:46.34037Z")</f>
        <v>2055-06-03T19:10:46.34037Z</v>
      </c>
      <c r="T976" s="3"/>
      <c r="U976" s="4">
        <f ca="1">IFERROR(__xludf.DUMMYFUNCTION("""COMPUTED_VALUE"""),56768)</f>
        <v>56768</v>
      </c>
      <c r="V976" s="3">
        <f ca="1">IFERROR(__xludf.DUMMYFUNCTION("""COMPUTED_VALUE"""),5)</f>
        <v>5</v>
      </c>
      <c r="W976" s="3">
        <f ca="1">IFERROR(__xludf.DUMMYFUNCTION("""COMPUTED_VALUE"""),1500)</f>
        <v>1500</v>
      </c>
      <c r="X976" s="3">
        <f ca="1">IFERROR(__xludf.DUMMYFUNCTION("""COMPUTED_VALUE"""),2740)</f>
        <v>2740</v>
      </c>
      <c r="Y976" s="3">
        <f ca="1">IFERROR(__xludf.DUMMYFUNCTION("""COMPUTED_VALUE"""),1336)</f>
        <v>1336</v>
      </c>
      <c r="Z976" s="3">
        <f ca="1">IFERROR(__xludf.DUMMYFUNCTION("""COMPUTED_VALUE"""),506)</f>
        <v>506</v>
      </c>
      <c r="AA976" s="3">
        <f ca="1">IFERROR(__xludf.DUMMYFUNCTION("""COMPUTED_VALUE"""),898)</f>
        <v>898</v>
      </c>
      <c r="AB976" s="3">
        <f ca="1">IFERROR(__xludf.DUMMYFUNCTION("""COMPUTED_VALUE"""),0)</f>
        <v>0</v>
      </c>
      <c r="AC976" s="3">
        <f ca="1">IFERROR(__xludf.DUMMYFUNCTION("""COMPUTED_VALUE"""),2)</f>
        <v>2</v>
      </c>
      <c r="AD976" s="3" t="str">
        <f ca="1">IFERROR(__xludf.DUMMYFUNCTION("""COMPUTED_VALUE"""),"early")</f>
        <v>early</v>
      </c>
      <c r="AE976" s="3" t="str">
        <f ca="1">IFERROR(__xludf.DUMMYFUNCTION("""COMPUTED_VALUE"""),"2055-06-03T15:19:12.35627Z")</f>
        <v>2055-06-03T15:19:12.35627Z</v>
      </c>
      <c r="AF976" s="3" t="str">
        <f ca="1">IFERROR(__xludf.DUMMYFUNCTION("""COMPUTED_VALUE"""),"2055-06-03T15:34:10.005032Z")</f>
        <v>2055-06-03T15:34:10.005032Z</v>
      </c>
      <c r="AG976" s="3" t="str">
        <f ca="1">IFERROR(__xludf.DUMMYFUNCTION("""COMPUTED_VALUE"""),"2055-06-03T14:48:27.425171Z")</f>
        <v>2055-06-03T14:48:27.425171Z</v>
      </c>
      <c r="AH976" s="3" t="str">
        <f ca="1">IFERROR(__xludf.DUMMYFUNCTION("""COMPUTED_VALUE"""),"2055-06-03T15:10:46.34037Z")</f>
        <v>2055-06-03T15:10:46.34037Z</v>
      </c>
      <c r="AI976" s="3">
        <f ca="1">IFERROR(__xludf.DUMMYFUNCTION("""COMPUTED_VALUE"""),4.7)</f>
        <v>4.7</v>
      </c>
      <c r="AJ976" s="3">
        <f ca="1">IFERROR(__xludf.DUMMYFUNCTION("""COMPUTED_VALUE"""),212)</f>
        <v>212</v>
      </c>
      <c r="AK976" s="3">
        <f ca="1">IFERROR(__xludf.DUMMYFUNCTION("""COMPUTED_VALUE"""),624)</f>
        <v>624</v>
      </c>
      <c r="AL976" s="3">
        <f ca="1">IFERROR(__xludf.DUMMYFUNCTION("""COMPUTED_VALUE"""),347)</f>
        <v>347</v>
      </c>
      <c r="AM976" s="3">
        <f>IFERROR(Raw_Data!AL976 / Raw_Data!AK976, "")</f>
        <v>0.55608974358974361</v>
      </c>
      <c r="AN976" s="3" t="str">
        <f>IF(ISBLANK(Raw_Data!AL976), "No", "Yes")</f>
        <v>Yes</v>
      </c>
      <c r="AO976" s="3">
        <f>IFERROR(Raw_Data!Z976/60, "")</f>
        <v>8.4333333333333336</v>
      </c>
    </row>
    <row r="977" spans="1:41" ht="13">
      <c r="A977" s="3">
        <f ca="1">IFERROR(__xludf.DUMMYFUNCTION("""COMPUTED_VALUE"""),10)</f>
        <v>10</v>
      </c>
      <c r="B977" s="3">
        <f ca="1">IFERROR(__xludf.DUMMYFUNCTION("""COMPUTED_VALUE"""),5)</f>
        <v>5</v>
      </c>
      <c r="C977" s="3">
        <f ca="1">IFERROR(__xludf.DUMMYFUNCTION("""COMPUTED_VALUE"""),4050)</f>
        <v>4050</v>
      </c>
      <c r="D977" s="3" t="str">
        <f ca="1">IFERROR(__xludf.DUMMYFUNCTION("""COMPUTED_VALUE"""),"Doorlanta")</f>
        <v>Doorlanta</v>
      </c>
      <c r="E977" s="3" t="str">
        <f ca="1">IFERROR(__xludf.DUMMYFUNCTION("""COMPUTED_VALUE"""),"Galaxy A")</f>
        <v>Galaxy A</v>
      </c>
      <c r="F977" s="3" t="str">
        <f ca="1">IFERROR(__xludf.DUMMYFUNCTION("""COMPUTED_VALUE"""),"Jagar")</f>
        <v>Jagar</v>
      </c>
      <c r="G977" s="3">
        <f ca="1">IFERROR(__xludf.DUMMYFUNCTION("""COMPUTED_VALUE"""),0)</f>
        <v>0</v>
      </c>
      <c r="H977" s="3" t="str">
        <f ca="1">IFERROR(__xludf.DUMMYFUNCTION("""COMPUTED_VALUE"""),"car")</f>
        <v>car</v>
      </c>
      <c r="I977" s="3" t="str">
        <f ca="1">IFERROR(__xludf.DUMMYFUNCTION("""COMPUTED_VALUE"""),"2055-06-01T15:53:50.193927Z")</f>
        <v>2055-06-01T15:53:50.193927Z</v>
      </c>
      <c r="J977" s="3" t="str">
        <f ca="1">IFERROR(__xludf.DUMMYFUNCTION("""COMPUTED_VALUE"""),"2055-06-01T16:56:15.286Z")</f>
        <v>2055-06-01T16:56:15.286Z</v>
      </c>
      <c r="K977" s="3" t="str">
        <f ca="1">IFERROR(__xludf.DUMMYFUNCTION("""COMPUTED_VALUE"""),"2055-06-01T16:37:22.286Z")</f>
        <v>2055-06-01T16:37:22.286Z</v>
      </c>
      <c r="L977" s="3">
        <f ca="1">IFERROR(__xludf.DUMMYFUNCTION("""COMPUTED_VALUE"""),1)</f>
        <v>1</v>
      </c>
      <c r="M977" s="3">
        <f ca="1">IFERROR(__xludf.DUMMYFUNCTION("""COMPUTED_VALUE"""),0)</f>
        <v>0</v>
      </c>
      <c r="N977" s="3" t="str">
        <f ca="1">IFERROR(__xludf.DUMMYFUNCTION("""COMPUTED_VALUE"""),"2055-06-01T16:16:46.000738Z")</f>
        <v>2055-06-01T16:16:46.000738Z</v>
      </c>
      <c r="O977" s="3" t="str">
        <f ca="1">IFERROR(__xludf.DUMMYFUNCTION("""COMPUTED_VALUE"""),"2055-06-01T16:21:15.772442Z")</f>
        <v>2055-06-01T16:21:15.772442Z</v>
      </c>
      <c r="P977" s="3" t="str">
        <f ca="1">IFERROR(__xludf.DUMMYFUNCTION("""COMPUTED_VALUE"""),"2055-06-01T15:57:07.296708Z")</f>
        <v>2055-06-01T15:57:07.296708Z</v>
      </c>
      <c r="Q977" s="3">
        <f ca="1">IFERROR(__xludf.DUMMYFUNCTION("""COMPUTED_VALUE"""),0)</f>
        <v>0</v>
      </c>
      <c r="R977" s="3" t="str">
        <f ca="1">IFERROR(__xludf.DUMMYFUNCTION("""COMPUTED_VALUE"""),"2055-06-01T15:57:13.054333Z")</f>
        <v>2055-06-01T15:57:13.054333Z</v>
      </c>
      <c r="S977" s="3" t="str">
        <f ca="1">IFERROR(__xludf.DUMMYFUNCTION("""COMPUTED_VALUE"""),"2055-06-01T16:04:01.303963Z")</f>
        <v>2055-06-01T16:04:01.303963Z</v>
      </c>
      <c r="T977" s="3"/>
      <c r="U977" s="4">
        <f ca="1">IFERROR(__xludf.DUMMYFUNCTION("""COMPUTED_VALUE"""),56766)</f>
        <v>56766</v>
      </c>
      <c r="V977" s="3">
        <f ca="1">IFERROR(__xludf.DUMMYFUNCTION("""COMPUTED_VALUE"""),4.4)</f>
        <v>4.4000000000000004</v>
      </c>
      <c r="W977" s="3">
        <f ca="1">IFERROR(__xludf.DUMMYFUNCTION("""COMPUTED_VALUE"""),1500)</f>
        <v>1500</v>
      </c>
      <c r="X977" s="3">
        <f ca="1">IFERROR(__xludf.DUMMYFUNCTION("""COMPUTED_VALUE"""),1442)</f>
        <v>1442</v>
      </c>
      <c r="Y977" s="3">
        <f ca="1">IFERROR(__xludf.DUMMYFUNCTION("""COMPUTED_VALUE"""),408)</f>
        <v>408</v>
      </c>
      <c r="Z977" s="3">
        <f ca="1">IFERROR(__xludf.DUMMYFUNCTION("""COMPUTED_VALUE"""),765)</f>
        <v>765</v>
      </c>
      <c r="AA977" s="3">
        <f ca="1">IFERROR(__xludf.DUMMYFUNCTION("""COMPUTED_VALUE"""),269)</f>
        <v>269</v>
      </c>
      <c r="AB977" s="3">
        <f ca="1">IFERROR(__xludf.DUMMYFUNCTION("""COMPUTED_VALUE"""),0)</f>
        <v>0</v>
      </c>
      <c r="AC977" s="3">
        <f ca="1">IFERROR(__xludf.DUMMYFUNCTION("""COMPUTED_VALUE"""),3)</f>
        <v>3</v>
      </c>
      <c r="AD977" s="3" t="str">
        <f ca="1">IFERROR(__xludf.DUMMYFUNCTION("""COMPUTED_VALUE"""),"early")</f>
        <v>early</v>
      </c>
      <c r="AE977" s="3" t="str">
        <f ca="1">IFERROR(__xludf.DUMMYFUNCTION("""COMPUTED_VALUE"""),"2055-06-01T12:16:46.000738Z")</f>
        <v>2055-06-01T12:16:46.000738Z</v>
      </c>
      <c r="AF977" s="3" t="str">
        <f ca="1">IFERROR(__xludf.DUMMYFUNCTION("""COMPUTED_VALUE"""),"2055-06-01T12:21:15.772442Z")</f>
        <v>2055-06-01T12:21:15.772442Z</v>
      </c>
      <c r="AG977" s="3" t="str">
        <f ca="1">IFERROR(__xludf.DUMMYFUNCTION("""COMPUTED_VALUE"""),"2055-06-01T11:57:07.296708Z")</f>
        <v>2055-06-01T11:57:07.296708Z</v>
      </c>
      <c r="AH977" s="3" t="str">
        <f ca="1">IFERROR(__xludf.DUMMYFUNCTION("""COMPUTED_VALUE"""),"2055-06-01T12:04:01.303963Z")</f>
        <v>2055-06-01T12:04:01.303963Z</v>
      </c>
      <c r="AI977" s="3">
        <f ca="1">IFERROR(__xludf.DUMMYFUNCTION("""COMPUTED_VALUE"""),4.89)</f>
        <v>4.8899999999999997</v>
      </c>
      <c r="AJ977" s="3">
        <f ca="1">IFERROR(__xludf.DUMMYFUNCTION("""COMPUTED_VALUE"""),1778)</f>
        <v>1778</v>
      </c>
      <c r="AK977" s="3">
        <f ca="1">IFERROR(__xludf.DUMMYFUNCTION("""COMPUTED_VALUE"""),5138)</f>
        <v>5138</v>
      </c>
      <c r="AL977" s="3">
        <f ca="1">IFERROR(__xludf.DUMMYFUNCTION("""COMPUTED_VALUE"""),314)</f>
        <v>314</v>
      </c>
      <c r="AM977" s="3">
        <f>IFERROR(Raw_Data!AL977 / Raw_Data!AK977, "")</f>
        <v>6.1113273647333592E-2</v>
      </c>
      <c r="AN977" s="3" t="str">
        <f>IF(ISBLANK(Raw_Data!AL977), "No", "Yes")</f>
        <v>Yes</v>
      </c>
      <c r="AO977" s="3">
        <f>IFERROR(Raw_Data!Z977/60, "")</f>
        <v>12.75</v>
      </c>
    </row>
    <row r="978" spans="1:41" ht="13">
      <c r="A978" s="3">
        <f ca="1">IFERROR(__xludf.DUMMYFUNCTION("""COMPUTED_VALUE"""),114)</f>
        <v>114</v>
      </c>
      <c r="B978" s="3">
        <f ca="1">IFERROR(__xludf.DUMMYFUNCTION("""COMPUTED_VALUE"""),5)</f>
        <v>5</v>
      </c>
      <c r="C978" s="3">
        <f ca="1">IFERROR(__xludf.DUMMYFUNCTION("""COMPUTED_VALUE"""),4050)</f>
        <v>4050</v>
      </c>
      <c r="D978" s="3" t="str">
        <f ca="1">IFERROR(__xludf.DUMMYFUNCTION("""COMPUTED_VALUE"""),"Doorlanta")</f>
        <v>Doorlanta</v>
      </c>
      <c r="E978" s="3" t="str">
        <f ca="1">IFERROR(__xludf.DUMMYFUNCTION("""COMPUTED_VALUE"""),"Galaxy A")</f>
        <v>Galaxy A</v>
      </c>
      <c r="F978" s="3" t="str">
        <f ca="1">IFERROR(__xludf.DUMMYFUNCTION("""COMPUTED_VALUE"""),"Ash")</f>
        <v>Ash</v>
      </c>
      <c r="G978" s="3">
        <f ca="1">IFERROR(__xludf.DUMMYFUNCTION("""COMPUTED_VALUE"""),0)</f>
        <v>0</v>
      </c>
      <c r="H978" s="3" t="str">
        <f ca="1">IFERROR(__xludf.DUMMYFUNCTION("""COMPUTED_VALUE"""),"car")</f>
        <v>car</v>
      </c>
      <c r="I978" s="3" t="str">
        <f ca="1">IFERROR(__xludf.DUMMYFUNCTION("""COMPUTED_VALUE"""),"2055-06-02T14:52:58.508532Z")</f>
        <v>2055-06-02T14:52:58.508532Z</v>
      </c>
      <c r="J978" s="3" t="str">
        <f ca="1">IFERROR(__xludf.DUMMYFUNCTION("""COMPUTED_VALUE"""),"2055-06-02T15:45:00Z")</f>
        <v>2055-06-02T15:45:00Z</v>
      </c>
      <c r="K978" s="3" t="str">
        <f ca="1">IFERROR(__xludf.DUMMYFUNCTION("""COMPUTED_VALUE"""),"2055-06-02T15:45:00Z")</f>
        <v>2055-06-02T15:45:00Z</v>
      </c>
      <c r="L978" s="3">
        <f ca="1">IFERROR(__xludf.DUMMYFUNCTION("""COMPUTED_VALUE"""),0)</f>
        <v>0</v>
      </c>
      <c r="M978" s="3">
        <f ca="1">IFERROR(__xludf.DUMMYFUNCTION("""COMPUTED_VALUE"""),0)</f>
        <v>0</v>
      </c>
      <c r="N978" s="3" t="str">
        <f ca="1">IFERROR(__xludf.DUMMYFUNCTION("""COMPUTED_VALUE"""),"2055-06-02T15:14:18.910701Z")</f>
        <v>2055-06-02T15:14:18.910701Z</v>
      </c>
      <c r="O978" s="3" t="str">
        <f ca="1">IFERROR(__xludf.DUMMYFUNCTION("""COMPUTED_VALUE"""),"2055-06-02T15:28:07.699112Z")</f>
        <v>2055-06-02T15:28:07.699112Z</v>
      </c>
      <c r="P978" s="3" t="str">
        <f ca="1">IFERROR(__xludf.DUMMYFUNCTION("""COMPUTED_VALUE"""),"2055-06-02T14:53:07.324732Z")</f>
        <v>2055-06-02T14:53:07.324732Z</v>
      </c>
      <c r="Q978" s="3">
        <f ca="1">IFERROR(__xludf.DUMMYFUNCTION("""COMPUTED_VALUE"""),0)</f>
        <v>0</v>
      </c>
      <c r="R978" s="3" t="str">
        <f ca="1">IFERROR(__xludf.DUMMYFUNCTION("""COMPUTED_VALUE"""),"2055-06-02T14:53:10.69533Z")</f>
        <v>2055-06-02T14:53:10.69533Z</v>
      </c>
      <c r="S978" s="3" t="str">
        <f ca="1">IFERROR(__xludf.DUMMYFUNCTION("""COMPUTED_VALUE"""),"2055-06-02T14:57:12.51912Z")</f>
        <v>2055-06-02T14:57:12.51912Z</v>
      </c>
      <c r="T978" s="3"/>
      <c r="U978" s="4">
        <f ca="1">IFERROR(__xludf.DUMMYFUNCTION("""COMPUTED_VALUE"""),56767)</f>
        <v>56767</v>
      </c>
      <c r="V978" s="3">
        <f ca="1">IFERROR(__xludf.DUMMYFUNCTION("""COMPUTED_VALUE"""),4.4)</f>
        <v>4.4000000000000004</v>
      </c>
      <c r="W978" s="3">
        <f ca="1">IFERROR(__xludf.DUMMYFUNCTION("""COMPUTED_VALUE"""),1500)</f>
        <v>1500</v>
      </c>
      <c r="X978" s="3">
        <f ca="1">IFERROR(__xludf.DUMMYFUNCTION("""COMPUTED_VALUE"""),2097)</f>
        <v>2097</v>
      </c>
      <c r="Y978" s="3">
        <f ca="1">IFERROR(__xludf.DUMMYFUNCTION("""COMPUTED_VALUE"""),242)</f>
        <v>242</v>
      </c>
      <c r="Z978" s="3">
        <f ca="1">IFERROR(__xludf.DUMMYFUNCTION("""COMPUTED_VALUE"""),1026)</f>
        <v>1026</v>
      </c>
      <c r="AA978" s="3">
        <f ca="1">IFERROR(__xludf.DUMMYFUNCTION("""COMPUTED_VALUE"""),829)</f>
        <v>829</v>
      </c>
      <c r="AB978" s="3">
        <f ca="1">IFERROR(__xludf.DUMMYFUNCTION("""COMPUTED_VALUE"""),0)</f>
        <v>0</v>
      </c>
      <c r="AC978" s="3">
        <f ca="1">IFERROR(__xludf.DUMMYFUNCTION("""COMPUTED_VALUE"""),1)</f>
        <v>1</v>
      </c>
      <c r="AD978" s="3" t="str">
        <f ca="1">IFERROR(__xludf.DUMMYFUNCTION("""COMPUTED_VALUE"""),"early")</f>
        <v>early</v>
      </c>
      <c r="AE978" s="3" t="str">
        <f ca="1">IFERROR(__xludf.DUMMYFUNCTION("""COMPUTED_VALUE"""),"2055-06-02T11:14:18.910701Z")</f>
        <v>2055-06-02T11:14:18.910701Z</v>
      </c>
      <c r="AF978" s="3" t="str">
        <f ca="1">IFERROR(__xludf.DUMMYFUNCTION("""COMPUTED_VALUE"""),"2055-06-02T11:28:07.699112Z")</f>
        <v>2055-06-02T11:28:07.699112Z</v>
      </c>
      <c r="AG978" s="3" t="str">
        <f ca="1">IFERROR(__xludf.DUMMYFUNCTION("""COMPUTED_VALUE"""),"2055-06-02T10:53:07.324732Z")</f>
        <v>2055-06-02T10:53:07.324732Z</v>
      </c>
      <c r="AH978" s="3" t="str">
        <f ca="1">IFERROR(__xludf.DUMMYFUNCTION("""COMPUTED_VALUE"""),"2055-06-02T10:57:12.51912Z")</f>
        <v>2055-06-02T10:57:12.51912Z</v>
      </c>
      <c r="AI978" s="3">
        <f ca="1">IFERROR(__xludf.DUMMYFUNCTION("""COMPUTED_VALUE"""),4.66)</f>
        <v>4.66</v>
      </c>
      <c r="AJ978" s="3">
        <f ca="1">IFERROR(__xludf.DUMMYFUNCTION("""COMPUTED_VALUE"""),161)</f>
        <v>161</v>
      </c>
      <c r="AK978" s="3">
        <f ca="1">IFERROR(__xludf.DUMMYFUNCTION("""COMPUTED_VALUE"""),398)</f>
        <v>398</v>
      </c>
      <c r="AL978" s="3"/>
      <c r="AM978" s="3">
        <f>IFERROR(Raw_Data!AL978 / Raw_Data!AK978, "")</f>
        <v>0</v>
      </c>
      <c r="AN978" s="3" t="str">
        <f>IF(ISBLANK(Raw_Data!AL978), "No", "Yes")</f>
        <v>No</v>
      </c>
      <c r="AO978" s="3">
        <f>IFERROR(Raw_Data!Z978/60, "")</f>
        <v>17.100000000000001</v>
      </c>
    </row>
    <row r="979" spans="1:41" ht="13">
      <c r="A979" s="3">
        <f ca="1">IFERROR(__xludf.DUMMYFUNCTION("""COMPUTED_VALUE"""),356)</f>
        <v>356</v>
      </c>
      <c r="B979" s="3">
        <f ca="1">IFERROR(__xludf.DUMMYFUNCTION("""COMPUTED_VALUE"""),5)</f>
        <v>5</v>
      </c>
      <c r="C979" s="3">
        <f ca="1">IFERROR(__xludf.DUMMYFUNCTION("""COMPUTED_VALUE"""),4050)</f>
        <v>4050</v>
      </c>
      <c r="D979" s="3" t="str">
        <f ca="1">IFERROR(__xludf.DUMMYFUNCTION("""COMPUTED_VALUE"""),"Doorlanta")</f>
        <v>Doorlanta</v>
      </c>
      <c r="E979" s="3" t="str">
        <f ca="1">IFERROR(__xludf.DUMMYFUNCTION("""COMPUTED_VALUE"""),"Galaxy A")</f>
        <v>Galaxy A</v>
      </c>
      <c r="F979" s="3" t="str">
        <f ca="1">IFERROR(__xludf.DUMMYFUNCTION("""COMPUTED_VALUE"""),"Jagar")</f>
        <v>Jagar</v>
      </c>
      <c r="G979" s="3">
        <f ca="1">IFERROR(__xludf.DUMMYFUNCTION("""COMPUTED_VALUE"""),0)</f>
        <v>0</v>
      </c>
      <c r="H979" s="3" t="str">
        <f ca="1">IFERROR(__xludf.DUMMYFUNCTION("""COMPUTED_VALUE"""),"car")</f>
        <v>car</v>
      </c>
      <c r="I979" s="3" t="str">
        <f ca="1">IFERROR(__xludf.DUMMYFUNCTION("""COMPUTED_VALUE"""),"2055-06-03T22:59:02.06111Z")</f>
        <v>2055-06-03T22:59:02.06111Z</v>
      </c>
      <c r="J979" s="3" t="str">
        <f ca="1">IFERROR(__xludf.DUMMYFUNCTION("""COMPUTED_VALUE"""),"2055-06-03T23:54:02.156Z")</f>
        <v>2055-06-03T23:54:02.156Z</v>
      </c>
      <c r="K979" s="3" t="str">
        <f ca="1">IFERROR(__xludf.DUMMYFUNCTION("""COMPUTED_VALUE"""),"2055-06-03T23:31:22.156Z")</f>
        <v>2055-06-03T23:31:22.156Z</v>
      </c>
      <c r="L979" s="3">
        <f ca="1">IFERROR(__xludf.DUMMYFUNCTION("""COMPUTED_VALUE"""),1)</f>
        <v>1</v>
      </c>
      <c r="M979" s="3">
        <f ca="1">IFERROR(__xludf.DUMMYFUNCTION("""COMPUTED_VALUE"""),0)</f>
        <v>0</v>
      </c>
      <c r="N979" s="3" t="str">
        <f ca="1">IFERROR(__xludf.DUMMYFUNCTION("""COMPUTED_VALUE"""),"2055-06-03T23:37:13.756547Z")</f>
        <v>2055-06-03T23:37:13.756547Z</v>
      </c>
      <c r="O979" s="3" t="str">
        <f ca="1">IFERROR(__xludf.DUMMYFUNCTION("""COMPUTED_VALUE"""),"2055-06-03T23:48:45.31696Z")</f>
        <v>2055-06-03T23:48:45.31696Z</v>
      </c>
      <c r="P979" s="3" t="str">
        <f ca="1">IFERROR(__xludf.DUMMYFUNCTION("""COMPUTED_VALUE"""),"2055-06-03T23:00:07.37541Z")</f>
        <v>2055-06-03T23:00:07.37541Z</v>
      </c>
      <c r="Q979" s="3">
        <f ca="1">IFERROR(__xludf.DUMMYFUNCTION("""COMPUTED_VALUE"""),0)</f>
        <v>0</v>
      </c>
      <c r="R979" s="3" t="str">
        <f ca="1">IFERROR(__xludf.DUMMYFUNCTION("""COMPUTED_VALUE"""),"2055-06-03T23:00:13.556127Z")</f>
        <v>2055-06-03T23:00:13.556127Z</v>
      </c>
      <c r="S979" s="3" t="str">
        <f ca="1">IFERROR(__xludf.DUMMYFUNCTION("""COMPUTED_VALUE"""),"2055-06-03T23:33:57.596301Z")</f>
        <v>2055-06-03T23:33:57.596301Z</v>
      </c>
      <c r="T979" s="3"/>
      <c r="U979" s="4">
        <f ca="1">IFERROR(__xludf.DUMMYFUNCTION("""COMPUTED_VALUE"""),56768)</f>
        <v>56768</v>
      </c>
      <c r="V979" s="3">
        <f ca="1">IFERROR(__xludf.DUMMYFUNCTION("""COMPUTED_VALUE"""),4.8)</f>
        <v>4.8</v>
      </c>
      <c r="W979" s="3">
        <f ca="1">IFERROR(__xludf.DUMMYFUNCTION("""COMPUTED_VALUE"""),1500)</f>
        <v>1500</v>
      </c>
      <c r="X979" s="3">
        <f ca="1">IFERROR(__xludf.DUMMYFUNCTION("""COMPUTED_VALUE"""),2912)</f>
        <v>2912</v>
      </c>
      <c r="Y979" s="3">
        <f ca="1">IFERROR(__xludf.DUMMYFUNCTION("""COMPUTED_VALUE"""),2024)</f>
        <v>2024</v>
      </c>
      <c r="Z979" s="3">
        <f ca="1">IFERROR(__xludf.DUMMYFUNCTION("""COMPUTED_VALUE"""),196)</f>
        <v>196</v>
      </c>
      <c r="AA979" s="3">
        <f ca="1">IFERROR(__xludf.DUMMYFUNCTION("""COMPUTED_VALUE"""),692)</f>
        <v>692</v>
      </c>
      <c r="AB979" s="3">
        <f ca="1">IFERROR(__xludf.DUMMYFUNCTION("""COMPUTED_VALUE"""),0)</f>
        <v>0</v>
      </c>
      <c r="AC979" s="3">
        <f ca="1">IFERROR(__xludf.DUMMYFUNCTION("""COMPUTED_VALUE"""),1)</f>
        <v>1</v>
      </c>
      <c r="AD979" s="3" t="str">
        <f ca="1">IFERROR(__xludf.DUMMYFUNCTION("""COMPUTED_VALUE"""),"late")</f>
        <v>late</v>
      </c>
      <c r="AE979" s="3" t="str">
        <f ca="1">IFERROR(__xludf.DUMMYFUNCTION("""COMPUTED_VALUE"""),"2055-06-03T19:37:13.756547Z")</f>
        <v>2055-06-03T19:37:13.756547Z</v>
      </c>
      <c r="AF979" s="3" t="str">
        <f ca="1">IFERROR(__xludf.DUMMYFUNCTION("""COMPUTED_VALUE"""),"2055-06-03T19:48:45.31696Z")</f>
        <v>2055-06-03T19:48:45.31696Z</v>
      </c>
      <c r="AG979" s="3" t="str">
        <f ca="1">IFERROR(__xludf.DUMMYFUNCTION("""COMPUTED_VALUE"""),"2055-06-03T19:00:07.37541Z")</f>
        <v>2055-06-03T19:00:07.37541Z</v>
      </c>
      <c r="AH979" s="3" t="str">
        <f ca="1">IFERROR(__xludf.DUMMYFUNCTION("""COMPUTED_VALUE"""),"2055-06-03T19:33:57.596301Z")</f>
        <v>2055-06-03T19:33:57.596301Z</v>
      </c>
      <c r="AI979" s="3">
        <f ca="1">IFERROR(__xludf.DUMMYFUNCTION("""COMPUTED_VALUE"""),4.89)</f>
        <v>4.8899999999999997</v>
      </c>
      <c r="AJ979" s="3">
        <f ca="1">IFERROR(__xludf.DUMMYFUNCTION("""COMPUTED_VALUE"""),1778)</f>
        <v>1778</v>
      </c>
      <c r="AK979" s="3">
        <f ca="1">IFERROR(__xludf.DUMMYFUNCTION("""COMPUTED_VALUE"""),5138)</f>
        <v>5138</v>
      </c>
      <c r="AL979" s="3">
        <f ca="1">IFERROR(__xludf.DUMMYFUNCTION("""COMPUTED_VALUE"""),314)</f>
        <v>314</v>
      </c>
      <c r="AM979" s="3">
        <f>IFERROR(Raw_Data!AL979 / Raw_Data!AK979, "")</f>
        <v>6.1113273647333592E-2</v>
      </c>
      <c r="AN979" s="3" t="str">
        <f>IF(ISBLANK(Raw_Data!AL979), "No", "Yes")</f>
        <v>Yes</v>
      </c>
      <c r="AO979" s="3">
        <f>IFERROR(Raw_Data!Z979/60, "")</f>
        <v>3.2666666666666666</v>
      </c>
    </row>
    <row r="980" spans="1:41" ht="13">
      <c r="A980" s="3">
        <f ca="1">IFERROR(__xludf.DUMMYFUNCTION("""COMPUTED_VALUE"""),751)</f>
        <v>751</v>
      </c>
      <c r="B980" s="3"/>
      <c r="C980" s="3">
        <f ca="1">IFERROR(__xludf.DUMMYFUNCTION("""COMPUTED_VALUE"""),4050)</f>
        <v>4050</v>
      </c>
      <c r="D980" s="3" t="str">
        <f ca="1">IFERROR(__xludf.DUMMYFUNCTION("""COMPUTED_VALUE"""),"Doorlanta")</f>
        <v>Doorlanta</v>
      </c>
      <c r="E980" s="3" t="str">
        <f ca="1">IFERROR(__xludf.DUMMYFUNCTION("""COMPUTED_VALUE"""),"Galaxy A")</f>
        <v>Galaxy A</v>
      </c>
      <c r="F980" s="3" t="str">
        <f ca="1">IFERROR(__xludf.DUMMYFUNCTION("""COMPUTED_VALUE"""),"Faud")</f>
        <v>Faud</v>
      </c>
      <c r="G980" s="3">
        <f ca="1">IFERROR(__xludf.DUMMYFUNCTION("""COMPUTED_VALUE"""),0)</f>
        <v>0</v>
      </c>
      <c r="H980" s="3" t="str">
        <f ca="1">IFERROR(__xludf.DUMMYFUNCTION("""COMPUTED_VALUE"""),"car")</f>
        <v>car</v>
      </c>
      <c r="I980" s="3" t="str">
        <f ca="1">IFERROR(__xludf.DUMMYFUNCTION("""COMPUTED_VALUE"""),"2055-06-06T17:33:47.229494Z")</f>
        <v>2055-06-06T17:33:47.229494Z</v>
      </c>
      <c r="J980" s="3" t="str">
        <f ca="1">IFERROR(__xludf.DUMMYFUNCTION("""COMPUTED_VALUE"""),"2055-06-06T19:04:15.313Z")</f>
        <v>2055-06-06T19:04:15.313Z</v>
      </c>
      <c r="K980" s="3" t="str">
        <f ca="1">IFERROR(__xludf.DUMMYFUNCTION("""COMPUTED_VALUE"""),"2055-06-06T18:36:02.313Z")</f>
        <v>2055-06-06T18:36:02.313Z</v>
      </c>
      <c r="L980" s="3">
        <f ca="1">IFERROR(__xludf.DUMMYFUNCTION("""COMPUTED_VALUE"""),1)</f>
        <v>1</v>
      </c>
      <c r="M980" s="3">
        <f ca="1">IFERROR(__xludf.DUMMYFUNCTION("""COMPUTED_VALUE"""),0)</f>
        <v>0</v>
      </c>
      <c r="N980" s="3" t="str">
        <f ca="1">IFERROR(__xludf.DUMMYFUNCTION("""COMPUTED_VALUE"""),"2055-06-06T17:53:55.895049Z")</f>
        <v>2055-06-06T17:53:55.895049Z</v>
      </c>
      <c r="O980" s="3" t="str">
        <f ca="1">IFERROR(__xludf.DUMMYFUNCTION("""COMPUTED_VALUE"""),"2055-06-06T18:12:05.388116Z")</f>
        <v>2055-06-06T18:12:05.388116Z</v>
      </c>
      <c r="P980" s="3" t="str">
        <f ca="1">IFERROR(__xludf.DUMMYFUNCTION("""COMPUTED_VALUE"""),"2055-06-06T17:36:07.30745Z")</f>
        <v>2055-06-06T17:36:07.30745Z</v>
      </c>
      <c r="Q980" s="3">
        <f ca="1">IFERROR(__xludf.DUMMYFUNCTION("""COMPUTED_VALUE"""),0)</f>
        <v>0</v>
      </c>
      <c r="R980" s="3" t="str">
        <f ca="1">IFERROR(__xludf.DUMMYFUNCTION("""COMPUTED_VALUE"""),"2055-06-06T17:36:19.575302Z")</f>
        <v>2055-06-06T17:36:19.575302Z</v>
      </c>
      <c r="S980" s="3" t="str">
        <f ca="1">IFERROR(__xludf.DUMMYFUNCTION("""COMPUTED_VALUE"""),"2055-06-06T17:50:56.523799Z")</f>
        <v>2055-06-06T17:50:56.523799Z</v>
      </c>
      <c r="T980" s="3"/>
      <c r="U980" s="4">
        <f ca="1">IFERROR(__xludf.DUMMYFUNCTION("""COMPUTED_VALUE"""),56771)</f>
        <v>56771</v>
      </c>
      <c r="V980" s="3">
        <f ca="1">IFERROR(__xludf.DUMMYFUNCTION("""COMPUTED_VALUE"""),4.3)</f>
        <v>4.3</v>
      </c>
      <c r="W980" s="3">
        <f ca="1">IFERROR(__xludf.DUMMYFUNCTION("""COMPUTED_VALUE"""),1500)</f>
        <v>1500</v>
      </c>
      <c r="X980" s="3">
        <f ca="1">IFERROR(__xludf.DUMMYFUNCTION("""COMPUTED_VALUE"""),2146)</f>
        <v>2146</v>
      </c>
      <c r="Y980" s="3">
        <f ca="1">IFERROR(__xludf.DUMMYFUNCTION("""COMPUTED_VALUE"""),877)</f>
        <v>877</v>
      </c>
      <c r="Z980" s="3">
        <f ca="1">IFERROR(__xludf.DUMMYFUNCTION("""COMPUTED_VALUE"""),179)</f>
        <v>179</v>
      </c>
      <c r="AA980" s="3">
        <f ca="1">IFERROR(__xludf.DUMMYFUNCTION("""COMPUTED_VALUE"""),1090)</f>
        <v>1090</v>
      </c>
      <c r="AB980" s="3">
        <f ca="1">IFERROR(__xludf.DUMMYFUNCTION("""COMPUTED_VALUE"""),0)</f>
        <v>0</v>
      </c>
      <c r="AC980" s="3">
        <f ca="1">IFERROR(__xludf.DUMMYFUNCTION("""COMPUTED_VALUE"""),1)</f>
        <v>1</v>
      </c>
      <c r="AD980" s="3" t="str">
        <f ca="1">IFERROR(__xludf.DUMMYFUNCTION("""COMPUTED_VALUE"""),"late")</f>
        <v>late</v>
      </c>
      <c r="AE980" s="3" t="str">
        <f ca="1">IFERROR(__xludf.DUMMYFUNCTION("""COMPUTED_VALUE"""),"2055-06-06T13:53:55.895049Z")</f>
        <v>2055-06-06T13:53:55.895049Z</v>
      </c>
      <c r="AF980" s="3" t="str">
        <f ca="1">IFERROR(__xludf.DUMMYFUNCTION("""COMPUTED_VALUE"""),"2055-06-06T14:12:05.388116Z")</f>
        <v>2055-06-06T14:12:05.388116Z</v>
      </c>
      <c r="AG980" s="3" t="str">
        <f ca="1">IFERROR(__xludf.DUMMYFUNCTION("""COMPUTED_VALUE"""),"2055-06-06T13:36:07.30745Z")</f>
        <v>2055-06-06T13:36:07.30745Z</v>
      </c>
      <c r="AH980" s="3" t="str">
        <f ca="1">IFERROR(__xludf.DUMMYFUNCTION("""COMPUTED_VALUE"""),"2055-06-06T13:50:56.523799Z")</f>
        <v>2055-06-06T13:50:56.523799Z</v>
      </c>
      <c r="AI980" s="3">
        <f ca="1">IFERROR(__xludf.DUMMYFUNCTION("""COMPUTED_VALUE"""),4.69)</f>
        <v>4.6900000000000004</v>
      </c>
      <c r="AJ980" s="3">
        <f ca="1">IFERROR(__xludf.DUMMYFUNCTION("""COMPUTED_VALUE"""),89)</f>
        <v>89</v>
      </c>
      <c r="AK980" s="3">
        <f ca="1">IFERROR(__xludf.DUMMYFUNCTION("""COMPUTED_VALUE"""),258)</f>
        <v>258</v>
      </c>
      <c r="AL980" s="3">
        <f ca="1">IFERROR(__xludf.DUMMYFUNCTION("""COMPUTED_VALUE"""),154)</f>
        <v>154</v>
      </c>
      <c r="AM980" s="3">
        <f>IFERROR(Raw_Data!AL980 / Raw_Data!AK980, "")</f>
        <v>0.5968992248062015</v>
      </c>
      <c r="AN980" s="3" t="str">
        <f>IF(ISBLANK(Raw_Data!AL980), "No", "Yes")</f>
        <v>Yes</v>
      </c>
      <c r="AO980" s="3">
        <f>IFERROR(Raw_Data!Z980/60, "")</f>
        <v>2.9833333333333334</v>
      </c>
    </row>
    <row r="981" spans="1:41" ht="13">
      <c r="A981" s="3">
        <f ca="1">IFERROR(__xludf.DUMMYFUNCTION("""COMPUTED_VALUE"""),790)</f>
        <v>790</v>
      </c>
      <c r="B981" s="3"/>
      <c r="C981" s="3">
        <f ca="1">IFERROR(__xludf.DUMMYFUNCTION("""COMPUTED_VALUE"""),4050)</f>
        <v>4050</v>
      </c>
      <c r="D981" s="3" t="str">
        <f ca="1">IFERROR(__xludf.DUMMYFUNCTION("""COMPUTED_VALUE"""),"Doorlanta")</f>
        <v>Doorlanta</v>
      </c>
      <c r="E981" s="3" t="str">
        <f ca="1">IFERROR(__xludf.DUMMYFUNCTION("""COMPUTED_VALUE"""),"Galaxy A")</f>
        <v>Galaxy A</v>
      </c>
      <c r="F981" s="3" t="str">
        <f ca="1">IFERROR(__xludf.DUMMYFUNCTION("""COMPUTED_VALUE"""),"Carol")</f>
        <v>Carol</v>
      </c>
      <c r="G981" s="3">
        <f ca="1">IFERROR(__xludf.DUMMYFUNCTION("""COMPUTED_VALUE"""),0)</f>
        <v>0</v>
      </c>
      <c r="H981" s="3" t="str">
        <f ca="1">IFERROR(__xludf.DUMMYFUNCTION("""COMPUTED_VALUE"""),"car")</f>
        <v>car</v>
      </c>
      <c r="I981" s="3" t="str">
        <f ca="1">IFERROR(__xludf.DUMMYFUNCTION("""COMPUTED_VALUE"""),"2055-06-06T23:20:51.540593Z")</f>
        <v>2055-06-06T23:20:51.540593Z</v>
      </c>
      <c r="J981" s="3" t="str">
        <f ca="1">IFERROR(__xludf.DUMMYFUNCTION("""COMPUTED_VALUE"""),"2055-06-07T00:25:10.62Z")</f>
        <v>2055-06-07T00:25:10.62Z</v>
      </c>
      <c r="K981" s="3" t="str">
        <f ca="1">IFERROR(__xludf.DUMMYFUNCTION("""COMPUTED_VALUE"""),"2055-06-07T00:03:16.62Z")</f>
        <v>2055-06-07T00:03:16.62Z</v>
      </c>
      <c r="L981" s="3">
        <f ca="1">IFERROR(__xludf.DUMMYFUNCTION("""COMPUTED_VALUE"""),1)</f>
        <v>1</v>
      </c>
      <c r="M981" s="3">
        <f ca="1">IFERROR(__xludf.DUMMYFUNCTION("""COMPUTED_VALUE"""),0)</f>
        <v>0</v>
      </c>
      <c r="N981" s="3" t="str">
        <f ca="1">IFERROR(__xludf.DUMMYFUNCTION("""COMPUTED_VALUE"""),"2055-06-06T23:41:10.314972Z")</f>
        <v>2055-06-06T23:41:10.314972Z</v>
      </c>
      <c r="O981" s="3" t="str">
        <f ca="1">IFERROR(__xludf.DUMMYFUNCTION("""COMPUTED_VALUE"""),"2055-06-06T23:59:52.645822Z")</f>
        <v>2055-06-06T23:59:52.645822Z</v>
      </c>
      <c r="P981" s="3" t="str">
        <f ca="1">IFERROR(__xludf.DUMMYFUNCTION("""COMPUTED_VALUE"""),"2055-06-06T23:34:07.345375Z")</f>
        <v>2055-06-06T23:34:07.345375Z</v>
      </c>
      <c r="Q981" s="3">
        <f ca="1">IFERROR(__xludf.DUMMYFUNCTION("""COMPUTED_VALUE"""),0)</f>
        <v>0</v>
      </c>
      <c r="R981" s="3" t="str">
        <f ca="1">IFERROR(__xludf.DUMMYFUNCTION("""COMPUTED_VALUE"""),"2055-06-06T23:34:11.570465Z")</f>
        <v>2055-06-06T23:34:11.570465Z</v>
      </c>
      <c r="S981" s="3" t="str">
        <f ca="1">IFERROR(__xludf.DUMMYFUNCTION("""COMPUTED_VALUE"""),"2055-06-06T23:36:18.040408Z")</f>
        <v>2055-06-06T23:36:18.040408Z</v>
      </c>
      <c r="T981" s="3"/>
      <c r="U981" s="4">
        <f ca="1">IFERROR(__xludf.DUMMYFUNCTION("""COMPUTED_VALUE"""),56771)</f>
        <v>56771</v>
      </c>
      <c r="V981" s="3">
        <f ca="1">IFERROR(__xludf.DUMMYFUNCTION("""COMPUTED_VALUE"""),4.5)</f>
        <v>4.5</v>
      </c>
      <c r="W981" s="3">
        <f ca="1">IFERROR(__xludf.DUMMYFUNCTION("""COMPUTED_VALUE"""),1500)</f>
        <v>1500</v>
      </c>
      <c r="X981" s="3">
        <f ca="1">IFERROR(__xludf.DUMMYFUNCTION("""COMPUTED_VALUE"""),1541)</f>
        <v>1541</v>
      </c>
      <c r="Y981" s="3">
        <f ca="1">IFERROR(__xludf.DUMMYFUNCTION("""COMPUTED_VALUE"""),127)</f>
        <v>127</v>
      </c>
      <c r="Z981" s="3">
        <f ca="1">IFERROR(__xludf.DUMMYFUNCTION("""COMPUTED_VALUE"""),292)</f>
        <v>292</v>
      </c>
      <c r="AA981" s="3">
        <f ca="1">IFERROR(__xludf.DUMMYFUNCTION("""COMPUTED_VALUE"""),1122)</f>
        <v>1122</v>
      </c>
      <c r="AB981" s="3">
        <f ca="1">IFERROR(__xludf.DUMMYFUNCTION("""COMPUTED_VALUE"""),0)</f>
        <v>0</v>
      </c>
      <c r="AC981" s="3">
        <f ca="1">IFERROR(__xludf.DUMMYFUNCTION("""COMPUTED_VALUE"""),3)</f>
        <v>3</v>
      </c>
      <c r="AD981" s="3" t="str">
        <f ca="1">IFERROR(__xludf.DUMMYFUNCTION("""COMPUTED_VALUE"""),"on time")</f>
        <v>on time</v>
      </c>
      <c r="AE981" s="3" t="str">
        <f ca="1">IFERROR(__xludf.DUMMYFUNCTION("""COMPUTED_VALUE"""),"2055-06-06T19:41:10.314972Z")</f>
        <v>2055-06-06T19:41:10.314972Z</v>
      </c>
      <c r="AF981" s="3" t="str">
        <f ca="1">IFERROR(__xludf.DUMMYFUNCTION("""COMPUTED_VALUE"""),"2055-06-06T19:59:52.645822Z")</f>
        <v>2055-06-06T19:59:52.645822Z</v>
      </c>
      <c r="AG981" s="3" t="str">
        <f ca="1">IFERROR(__xludf.DUMMYFUNCTION("""COMPUTED_VALUE"""),"2055-06-06T19:34:07.345375Z")</f>
        <v>2055-06-06T19:34:07.345375Z</v>
      </c>
      <c r="AH981" s="3" t="str">
        <f ca="1">IFERROR(__xludf.DUMMYFUNCTION("""COMPUTED_VALUE"""),"2055-06-06T19:36:18.040408Z")</f>
        <v>2055-06-06T19:36:18.040408Z</v>
      </c>
      <c r="AI981" s="3">
        <f ca="1">IFERROR(__xludf.DUMMYFUNCTION("""COMPUTED_VALUE"""),4.452054795)</f>
        <v>4.4520547949999996</v>
      </c>
      <c r="AJ981" s="3">
        <f ca="1">IFERROR(__xludf.DUMMYFUNCTION("""COMPUTED_VALUE"""),59)</f>
        <v>59</v>
      </c>
      <c r="AK981" s="3">
        <f ca="1">IFERROR(__xludf.DUMMYFUNCTION("""COMPUTED_VALUE"""),171)</f>
        <v>171</v>
      </c>
      <c r="AL981" s="3">
        <f ca="1">IFERROR(__xludf.DUMMYFUNCTION("""COMPUTED_VALUE"""),52)</f>
        <v>52</v>
      </c>
      <c r="AM981" s="3">
        <f>IFERROR(Raw_Data!AL981 / Raw_Data!AK981, "")</f>
        <v>0.30409356725146197</v>
      </c>
      <c r="AN981" s="3" t="str">
        <f>IF(ISBLANK(Raw_Data!AL981), "No", "Yes")</f>
        <v>Yes</v>
      </c>
      <c r="AO981" s="3">
        <f>IFERROR(Raw_Data!Z981/60, "")</f>
        <v>4.8666666666666663</v>
      </c>
    </row>
    <row r="982" spans="1:41" ht="13">
      <c r="A982" s="3">
        <f ca="1">IFERROR(__xludf.DUMMYFUNCTION("""COMPUTED_VALUE"""),828)</f>
        <v>828</v>
      </c>
      <c r="B982" s="3">
        <f ca="1">IFERROR(__xludf.DUMMYFUNCTION("""COMPUTED_VALUE"""),5)</f>
        <v>5</v>
      </c>
      <c r="C982" s="3">
        <f ca="1">IFERROR(__xludf.DUMMYFUNCTION("""COMPUTED_VALUE"""),4001)</f>
        <v>4001</v>
      </c>
      <c r="D982" s="3" t="str">
        <f ca="1">IFERROR(__xludf.DUMMYFUNCTION("""COMPUTED_VALUE"""),"Dashattan")</f>
        <v>Dashattan</v>
      </c>
      <c r="E982" s="3" t="str">
        <f ca="1">IFERROR(__xludf.DUMMYFUNCTION("""COMPUTED_VALUE"""),"Galaxy A")</f>
        <v>Galaxy A</v>
      </c>
      <c r="F982" s="3" t="str">
        <f ca="1">IFERROR(__xludf.DUMMYFUNCTION("""COMPUTED_VALUE"""),"KC")</f>
        <v>KC</v>
      </c>
      <c r="G982" s="3">
        <f ca="1">IFERROR(__xludf.DUMMYFUNCTION("""COMPUTED_VALUE"""),0)</f>
        <v>0</v>
      </c>
      <c r="H982" s="3" t="str">
        <f ca="1">IFERROR(__xludf.DUMMYFUNCTION("""COMPUTED_VALUE"""),"car")</f>
        <v>car</v>
      </c>
      <c r="I982" s="3" t="str">
        <f ca="1">IFERROR(__xludf.DUMMYFUNCTION("""COMPUTED_VALUE"""),"2055-06-07T14:14:34.948724Z")</f>
        <v>2055-06-07T14:14:34.948724Z</v>
      </c>
      <c r="J982" s="3" t="str">
        <f ca="1">IFERROR(__xludf.DUMMYFUNCTION("""COMPUTED_VALUE"""),"2055-06-07T14:59:23.003Z")</f>
        <v>2055-06-07T14:59:23.003Z</v>
      </c>
      <c r="K982" s="3" t="str">
        <f ca="1">IFERROR(__xludf.DUMMYFUNCTION("""COMPUTED_VALUE"""),"2055-06-07T14:40:30.003Z")</f>
        <v>2055-06-07T14:40:30.003Z</v>
      </c>
      <c r="L982" s="3">
        <f ca="1">IFERROR(__xludf.DUMMYFUNCTION("""COMPUTED_VALUE"""),1)</f>
        <v>1</v>
      </c>
      <c r="M982" s="3">
        <f ca="1">IFERROR(__xludf.DUMMYFUNCTION("""COMPUTED_VALUE"""),0)</f>
        <v>0</v>
      </c>
      <c r="N982" s="3" t="str">
        <f ca="1">IFERROR(__xludf.DUMMYFUNCTION("""COMPUTED_VALUE"""),"2055-06-07T14:41:29.516797Z")</f>
        <v>2055-06-07T14:41:29.516797Z</v>
      </c>
      <c r="O982" s="3" t="str">
        <f ca="1">IFERROR(__xludf.DUMMYFUNCTION("""COMPUTED_VALUE"""),"2055-06-07T14:47:16.617359Z")</f>
        <v>2055-06-07T14:47:16.617359Z</v>
      </c>
      <c r="P982" s="3" t="str">
        <f ca="1">IFERROR(__xludf.DUMMYFUNCTION("""COMPUTED_VALUE"""),"2055-06-07T14:25:54.056866Z")</f>
        <v>2055-06-07T14:25:54.056866Z</v>
      </c>
      <c r="Q982" s="3">
        <f ca="1">IFERROR(__xludf.DUMMYFUNCTION("""COMPUTED_VALUE"""),0)</f>
        <v>0</v>
      </c>
      <c r="R982" s="3" t="str">
        <f ca="1">IFERROR(__xludf.DUMMYFUNCTION("""COMPUTED_VALUE"""),"2055-06-07T14:26:04.265076Z")</f>
        <v>2055-06-07T14:26:04.265076Z</v>
      </c>
      <c r="S982" s="3" t="str">
        <f ca="1">IFERROR(__xludf.DUMMYFUNCTION("""COMPUTED_VALUE"""),"2055-06-07T14:28:51.047291Z")</f>
        <v>2055-06-07T14:28:51.047291Z</v>
      </c>
      <c r="T982" s="3"/>
      <c r="U982" s="4">
        <f ca="1">IFERROR(__xludf.DUMMYFUNCTION("""COMPUTED_VALUE"""),56772)</f>
        <v>56772</v>
      </c>
      <c r="V982" s="3">
        <f ca="1">IFERROR(__xludf.DUMMYFUNCTION("""COMPUTED_VALUE"""),4.5)</f>
        <v>4.5</v>
      </c>
      <c r="W982" s="3">
        <f ca="1">IFERROR(__xludf.DUMMYFUNCTION("""COMPUTED_VALUE"""),1500)</f>
        <v>1500</v>
      </c>
      <c r="X982" s="3">
        <f ca="1">IFERROR(__xludf.DUMMYFUNCTION("""COMPUTED_VALUE"""),1272)</f>
        <v>1272</v>
      </c>
      <c r="Y982" s="3">
        <f ca="1">IFERROR(__xludf.DUMMYFUNCTION("""COMPUTED_VALUE"""),167)</f>
        <v>167</v>
      </c>
      <c r="Z982" s="3">
        <f ca="1">IFERROR(__xludf.DUMMYFUNCTION("""COMPUTED_VALUE"""),758)</f>
        <v>758</v>
      </c>
      <c r="AA982" s="3">
        <f ca="1">IFERROR(__xludf.DUMMYFUNCTION("""COMPUTED_VALUE"""),347)</f>
        <v>347</v>
      </c>
      <c r="AB982" s="3">
        <f ca="1">IFERROR(__xludf.DUMMYFUNCTION("""COMPUTED_VALUE"""),0)</f>
        <v>0</v>
      </c>
      <c r="AC982" s="3">
        <f ca="1">IFERROR(__xludf.DUMMYFUNCTION("""COMPUTED_VALUE"""),1)</f>
        <v>1</v>
      </c>
      <c r="AD982" s="3"/>
      <c r="AE982" s="3" t="str">
        <f ca="1">IFERROR(__xludf.DUMMYFUNCTION("""COMPUTED_VALUE"""),"2055-06-07T10:41:29.516797Z")</f>
        <v>2055-06-07T10:41:29.516797Z</v>
      </c>
      <c r="AF982" s="3" t="str">
        <f ca="1">IFERROR(__xludf.DUMMYFUNCTION("""COMPUTED_VALUE"""),"2055-06-07T10:47:16.617359Z")</f>
        <v>2055-06-07T10:47:16.617359Z</v>
      </c>
      <c r="AG982" s="3" t="str">
        <f ca="1">IFERROR(__xludf.DUMMYFUNCTION("""COMPUTED_VALUE"""),"2055-06-07T10:25:54.056866Z")</f>
        <v>2055-06-07T10:25:54.056866Z</v>
      </c>
      <c r="AH982" s="3" t="str">
        <f ca="1">IFERROR(__xludf.DUMMYFUNCTION("""COMPUTED_VALUE"""),"2055-06-07T10:28:51.047291Z")</f>
        <v>2055-06-07T10:28:51.047291Z</v>
      </c>
      <c r="AI982" s="3">
        <f ca="1">IFERROR(__xludf.DUMMYFUNCTION("""COMPUTED_VALUE"""),4.54)</f>
        <v>4.54</v>
      </c>
      <c r="AJ982" s="3">
        <f ca="1">IFERROR(__xludf.DUMMYFUNCTION("""COMPUTED_VALUE"""),2229)</f>
        <v>2229</v>
      </c>
      <c r="AK982" s="3">
        <f ca="1">IFERROR(__xludf.DUMMYFUNCTION("""COMPUTED_VALUE"""),6580)</f>
        <v>6580</v>
      </c>
      <c r="AL982" s="3"/>
      <c r="AM982" s="3">
        <f>IFERROR(Raw_Data!AL982 / Raw_Data!AK982, "")</f>
        <v>0</v>
      </c>
      <c r="AN982" s="3" t="str">
        <f>IF(ISBLANK(Raw_Data!AL982), "No", "Yes")</f>
        <v>No</v>
      </c>
      <c r="AO982" s="3">
        <f>IFERROR(Raw_Data!Z982/60, "")</f>
        <v>12.633333333333333</v>
      </c>
    </row>
    <row r="983" spans="1:41" ht="13">
      <c r="A983" s="3">
        <f ca="1">IFERROR(__xludf.DUMMYFUNCTION("""COMPUTED_VALUE"""),1566)</f>
        <v>1566</v>
      </c>
      <c r="B983" s="3"/>
      <c r="C983" s="3">
        <f ca="1">IFERROR(__xludf.DUMMYFUNCTION("""COMPUTED_VALUE"""),4001)</f>
        <v>4001</v>
      </c>
      <c r="D983" s="3" t="str">
        <f ca="1">IFERROR(__xludf.DUMMYFUNCTION("""COMPUTED_VALUE"""),"Dashattan")</f>
        <v>Dashattan</v>
      </c>
      <c r="E983" s="3" t="str">
        <f ca="1">IFERROR(__xludf.DUMMYFUNCTION("""COMPUTED_VALUE"""),"Galaxy A")</f>
        <v>Galaxy A</v>
      </c>
      <c r="F983" s="3" t="str">
        <f ca="1">IFERROR(__xludf.DUMMYFUNCTION("""COMPUTED_VALUE"""),"Dave")</f>
        <v>Dave</v>
      </c>
      <c r="G983" s="3">
        <f ca="1">IFERROR(__xludf.DUMMYFUNCTION("""COMPUTED_VALUE"""),0)</f>
        <v>0</v>
      </c>
      <c r="H983" s="3" t="str">
        <f ca="1">IFERROR(__xludf.DUMMYFUNCTION("""COMPUTED_VALUE"""),"bicycle")</f>
        <v>bicycle</v>
      </c>
      <c r="I983" s="3" t="str">
        <f ca="1">IFERROR(__xludf.DUMMYFUNCTION("""COMPUTED_VALUE"""),"2055-06-13T16:01:57.354507Z")</f>
        <v>2055-06-13T16:01:57.354507Z</v>
      </c>
      <c r="J983" s="3" t="str">
        <f ca="1">IFERROR(__xludf.DUMMYFUNCTION("""COMPUTED_VALUE"""),"2055-06-13T16:51:46.425Z")</f>
        <v>2055-06-13T16:51:46.425Z</v>
      </c>
      <c r="K983" s="3" t="str">
        <f ca="1">IFERROR(__xludf.DUMMYFUNCTION("""COMPUTED_VALUE"""),"2055-06-13T16:31:39.425Z")</f>
        <v>2055-06-13T16:31:39.425Z</v>
      </c>
      <c r="L983" s="3">
        <f ca="1">IFERROR(__xludf.DUMMYFUNCTION("""COMPUTED_VALUE"""),1)</f>
        <v>1</v>
      </c>
      <c r="M983" s="3">
        <f ca="1">IFERROR(__xludf.DUMMYFUNCTION("""COMPUTED_VALUE"""),0)</f>
        <v>0</v>
      </c>
      <c r="N983" s="3" t="str">
        <f ca="1">IFERROR(__xludf.DUMMYFUNCTION("""COMPUTED_VALUE"""),"2055-06-13T16:32:16.565818Z")</f>
        <v>2055-06-13T16:32:16.565818Z</v>
      </c>
      <c r="O983" s="3" t="str">
        <f ca="1">IFERROR(__xludf.DUMMYFUNCTION("""COMPUTED_VALUE"""),"2055-06-13T16:52:43.228599Z")</f>
        <v>2055-06-13T16:52:43.228599Z</v>
      </c>
      <c r="P983" s="3" t="str">
        <f ca="1">IFERROR(__xludf.DUMMYFUNCTION("""COMPUTED_VALUE"""),"2055-06-13T16:06:34.534256Z")</f>
        <v>2055-06-13T16:06:34.534256Z</v>
      </c>
      <c r="Q983" s="3">
        <f ca="1">IFERROR(__xludf.DUMMYFUNCTION("""COMPUTED_VALUE"""),0)</f>
        <v>0</v>
      </c>
      <c r="R983" s="3" t="str">
        <f ca="1">IFERROR(__xludf.DUMMYFUNCTION("""COMPUTED_VALUE"""),"2055-06-13T16:06:39.328594Z")</f>
        <v>2055-06-13T16:06:39.328594Z</v>
      </c>
      <c r="S983" s="3" t="str">
        <f ca="1">IFERROR(__xludf.DUMMYFUNCTION("""COMPUTED_VALUE"""),"2055-06-13T16:19:08.599651Z")</f>
        <v>2055-06-13T16:19:08.599651Z</v>
      </c>
      <c r="T983" s="3"/>
      <c r="U983" s="4">
        <f ca="1">IFERROR(__xludf.DUMMYFUNCTION("""COMPUTED_VALUE"""),56778)</f>
        <v>56778</v>
      </c>
      <c r="V983" s="3">
        <f ca="1">IFERROR(__xludf.DUMMYFUNCTION("""COMPUTED_VALUE"""),3.7553505)</f>
        <v>3.7553505</v>
      </c>
      <c r="W983" s="3">
        <f ca="1">IFERROR(__xludf.DUMMYFUNCTION("""COMPUTED_VALUE"""),1500)</f>
        <v>1500</v>
      </c>
      <c r="X983" s="3">
        <f ca="1">IFERROR(__xludf.DUMMYFUNCTION("""COMPUTED_VALUE"""),2764)</f>
        <v>2764</v>
      </c>
      <c r="Y983" s="3">
        <f ca="1">IFERROR(__xludf.DUMMYFUNCTION("""COMPUTED_VALUE"""),749)</f>
        <v>749</v>
      </c>
      <c r="Z983" s="3">
        <f ca="1">IFERROR(__xludf.DUMMYFUNCTION("""COMPUTED_VALUE"""),788)</f>
        <v>788</v>
      </c>
      <c r="AA983" s="3">
        <f ca="1">IFERROR(__xludf.DUMMYFUNCTION("""COMPUTED_VALUE"""),1227)</f>
        <v>1227</v>
      </c>
      <c r="AB983" s="3">
        <f ca="1">IFERROR(__xludf.DUMMYFUNCTION("""COMPUTED_VALUE"""),0)</f>
        <v>0</v>
      </c>
      <c r="AC983" s="3">
        <f ca="1">IFERROR(__xludf.DUMMYFUNCTION("""COMPUTED_VALUE"""),2)</f>
        <v>2</v>
      </c>
      <c r="AD983" s="3" t="str">
        <f ca="1">IFERROR(__xludf.DUMMYFUNCTION("""COMPUTED_VALUE"""),"late")</f>
        <v>late</v>
      </c>
      <c r="AE983" s="3" t="str">
        <f ca="1">IFERROR(__xludf.DUMMYFUNCTION("""COMPUTED_VALUE"""),"2055-06-13T12:32:16.565818Z")</f>
        <v>2055-06-13T12:32:16.565818Z</v>
      </c>
      <c r="AF983" s="3" t="str">
        <f ca="1">IFERROR(__xludf.DUMMYFUNCTION("""COMPUTED_VALUE"""),"2055-06-13T12:52:43.228599Z")</f>
        <v>2055-06-13T12:52:43.228599Z</v>
      </c>
      <c r="AG983" s="3" t="str">
        <f ca="1">IFERROR(__xludf.DUMMYFUNCTION("""COMPUTED_VALUE"""),"2055-06-13T12:06:34.534256Z")</f>
        <v>2055-06-13T12:06:34.534256Z</v>
      </c>
      <c r="AH983" s="3" t="str">
        <f ca="1">IFERROR(__xludf.DUMMYFUNCTION("""COMPUTED_VALUE"""),"2055-06-13T12:19:08.599651Z")</f>
        <v>2055-06-13T12:19:08.599651Z</v>
      </c>
      <c r="AI983" s="3">
        <f ca="1">IFERROR(__xludf.DUMMYFUNCTION("""COMPUTED_VALUE"""),4.537037037)</f>
        <v>4.5370370370000002</v>
      </c>
      <c r="AJ983" s="3">
        <f ca="1">IFERROR(__xludf.DUMMYFUNCTION("""COMPUTED_VALUE"""),43)</f>
        <v>43</v>
      </c>
      <c r="AK983" s="3">
        <f ca="1">IFERROR(__xludf.DUMMYFUNCTION("""COMPUTED_VALUE"""),142)</f>
        <v>142</v>
      </c>
      <c r="AL983" s="3">
        <f ca="1">IFERROR(__xludf.DUMMYFUNCTION("""COMPUTED_VALUE"""),11)</f>
        <v>11</v>
      </c>
      <c r="AM983" s="3">
        <f>IFERROR(Raw_Data!AL983 / Raw_Data!AK983, "")</f>
        <v>7.746478873239436E-2</v>
      </c>
      <c r="AN983" s="3" t="str">
        <f>IF(ISBLANK(Raw_Data!AL983), "No", "Yes")</f>
        <v>Yes</v>
      </c>
      <c r="AO983" s="3">
        <f>IFERROR(Raw_Data!Z983/60, "")</f>
        <v>13.133333333333333</v>
      </c>
    </row>
    <row r="984" spans="1:41" ht="13">
      <c r="A984" s="3">
        <f ca="1">IFERROR(__xludf.DUMMYFUNCTION("""COMPUTED_VALUE"""),350)</f>
        <v>350</v>
      </c>
      <c r="B984" s="3">
        <f ca="1">IFERROR(__xludf.DUMMYFUNCTION("""COMPUTED_VALUE"""),5)</f>
        <v>5</v>
      </c>
      <c r="C984" s="3">
        <f ca="1">IFERROR(__xludf.DUMMYFUNCTION("""COMPUTED_VALUE"""),4001)</f>
        <v>4001</v>
      </c>
      <c r="D984" s="3" t="str">
        <f ca="1">IFERROR(__xludf.DUMMYFUNCTION("""COMPUTED_VALUE"""),"Dashattan")</f>
        <v>Dashattan</v>
      </c>
      <c r="E984" s="3" t="str">
        <f ca="1">IFERROR(__xludf.DUMMYFUNCTION("""COMPUTED_VALUE"""),"Galaxy A")</f>
        <v>Galaxy A</v>
      </c>
      <c r="F984" s="3" t="str">
        <f ca="1">IFERROR(__xludf.DUMMYFUNCTION("""COMPUTED_VALUE"""),"Bunje")</f>
        <v>Bunje</v>
      </c>
      <c r="G984" s="3">
        <f ca="1">IFERROR(__xludf.DUMMYFUNCTION("""COMPUTED_VALUE"""),0)</f>
        <v>0</v>
      </c>
      <c r="H984" s="3" t="str">
        <f ca="1">IFERROR(__xludf.DUMMYFUNCTION("""COMPUTED_VALUE"""),"bicycle")</f>
        <v>bicycle</v>
      </c>
      <c r="I984" s="3" t="str">
        <f ca="1">IFERROR(__xludf.DUMMYFUNCTION("""COMPUTED_VALUE"""),"2055-06-03T22:36:49.345094Z")</f>
        <v>2055-06-03T22:36:49.345094Z</v>
      </c>
      <c r="J984" s="3" t="str">
        <f ca="1">IFERROR(__xludf.DUMMYFUNCTION("""COMPUTED_VALUE"""),"2055-06-03T23:29:16.4Z")</f>
        <v>2055-06-03T23:29:16.4Z</v>
      </c>
      <c r="K984" s="3" t="str">
        <f ca="1">IFERROR(__xludf.DUMMYFUNCTION("""COMPUTED_VALUE"""),"2055-06-03T23:10:23.4Z")</f>
        <v>2055-06-03T23:10:23.4Z</v>
      </c>
      <c r="L984" s="3">
        <f ca="1">IFERROR(__xludf.DUMMYFUNCTION("""COMPUTED_VALUE"""),1)</f>
        <v>1</v>
      </c>
      <c r="M984" s="3">
        <f ca="1">IFERROR(__xludf.DUMMYFUNCTION("""COMPUTED_VALUE"""),0)</f>
        <v>0</v>
      </c>
      <c r="N984" s="3" t="str">
        <f ca="1">IFERROR(__xludf.DUMMYFUNCTION("""COMPUTED_VALUE"""),"2055-06-03T22:54:16.936743Z")</f>
        <v>2055-06-03T22:54:16.936743Z</v>
      </c>
      <c r="O984" s="3" t="str">
        <f ca="1">IFERROR(__xludf.DUMMYFUNCTION("""COMPUTED_VALUE"""),"2055-06-03T23:09:14.055859Z")</f>
        <v>2055-06-03T23:09:14.055859Z</v>
      </c>
      <c r="P984" s="3" t="str">
        <f ca="1">IFERROR(__xludf.DUMMYFUNCTION("""COMPUTED_VALUE"""),"2055-06-03T22:36:54.549125Z")</f>
        <v>2055-06-03T22:36:54.549125Z</v>
      </c>
      <c r="Q984" s="3">
        <f ca="1">IFERROR(__xludf.DUMMYFUNCTION("""COMPUTED_VALUE"""),0)</f>
        <v>0</v>
      </c>
      <c r="R984" s="3" t="str">
        <f ca="1">IFERROR(__xludf.DUMMYFUNCTION("""COMPUTED_VALUE"""),"2055-06-03T22:37:03.522491Z")</f>
        <v>2055-06-03T22:37:03.522491Z</v>
      </c>
      <c r="S984" s="3" t="str">
        <f ca="1">IFERROR(__xludf.DUMMYFUNCTION("""COMPUTED_VALUE"""),"2055-06-03T22:42:12.869691Z")</f>
        <v>2055-06-03T22:42:12.869691Z</v>
      </c>
      <c r="T984" s="3"/>
      <c r="U984" s="4">
        <f ca="1">IFERROR(__xludf.DUMMYFUNCTION("""COMPUTED_VALUE"""),56768)</f>
        <v>56768</v>
      </c>
      <c r="V984" s="3">
        <f ca="1">IFERROR(__xludf.DUMMYFUNCTION("""COMPUTED_VALUE"""),3.125580518)</f>
        <v>3.125580518</v>
      </c>
      <c r="W984" s="3">
        <f ca="1">IFERROR(__xludf.DUMMYFUNCTION("""COMPUTED_VALUE"""),1500)</f>
        <v>1500</v>
      </c>
      <c r="X984" s="3">
        <f ca="1">IFERROR(__xludf.DUMMYFUNCTION("""COMPUTED_VALUE"""),1931)</f>
        <v>1931</v>
      </c>
      <c r="Y984" s="3">
        <f ca="1">IFERROR(__xludf.DUMMYFUNCTION("""COMPUTED_VALUE"""),309)</f>
        <v>309</v>
      </c>
      <c r="Z984" s="3">
        <f ca="1">IFERROR(__xludf.DUMMYFUNCTION("""COMPUTED_VALUE"""),724)</f>
        <v>724</v>
      </c>
      <c r="AA984" s="3">
        <f ca="1">IFERROR(__xludf.DUMMYFUNCTION("""COMPUTED_VALUE"""),898)</f>
        <v>898</v>
      </c>
      <c r="AB984" s="3">
        <f ca="1">IFERROR(__xludf.DUMMYFUNCTION("""COMPUTED_VALUE"""),0)</f>
        <v>0</v>
      </c>
      <c r="AC984" s="3">
        <f ca="1">IFERROR(__xludf.DUMMYFUNCTION("""COMPUTED_VALUE"""),3)</f>
        <v>3</v>
      </c>
      <c r="AD984" s="3" t="str">
        <f ca="1">IFERROR(__xludf.DUMMYFUNCTION("""COMPUTED_VALUE"""),"on time")</f>
        <v>on time</v>
      </c>
      <c r="AE984" s="3" t="str">
        <f ca="1">IFERROR(__xludf.DUMMYFUNCTION("""COMPUTED_VALUE"""),"2055-06-03T18:54:16.936743Z")</f>
        <v>2055-06-03T18:54:16.936743Z</v>
      </c>
      <c r="AF984" s="3" t="str">
        <f ca="1">IFERROR(__xludf.DUMMYFUNCTION("""COMPUTED_VALUE"""),"2055-06-03T19:09:14.055859Z")</f>
        <v>2055-06-03T19:09:14.055859Z</v>
      </c>
      <c r="AG984" s="3" t="str">
        <f ca="1">IFERROR(__xludf.DUMMYFUNCTION("""COMPUTED_VALUE"""),"2055-06-03T18:36:54.549125Z")</f>
        <v>2055-06-03T18:36:54.549125Z</v>
      </c>
      <c r="AH984" s="3" t="str">
        <f ca="1">IFERROR(__xludf.DUMMYFUNCTION("""COMPUTED_VALUE"""),"2055-06-03T18:42:12.869691Z")</f>
        <v>2055-06-03T18:42:12.869691Z</v>
      </c>
      <c r="AI984" s="3">
        <f ca="1">IFERROR(__xludf.DUMMYFUNCTION("""COMPUTED_VALUE"""),4.7)</f>
        <v>4.7</v>
      </c>
      <c r="AJ984" s="3">
        <f ca="1">IFERROR(__xludf.DUMMYFUNCTION("""COMPUTED_VALUE"""),443)</f>
        <v>443</v>
      </c>
      <c r="AK984" s="3">
        <f ca="1">IFERROR(__xludf.DUMMYFUNCTION("""COMPUTED_VALUE"""),1579)</f>
        <v>1579</v>
      </c>
      <c r="AL984" s="3"/>
      <c r="AM984" s="3">
        <f>IFERROR(Raw_Data!AL984 / Raw_Data!AK984, "")</f>
        <v>0</v>
      </c>
      <c r="AN984" s="3" t="str">
        <f>IF(ISBLANK(Raw_Data!AL984), "No", "Yes")</f>
        <v>No</v>
      </c>
      <c r="AO984" s="3">
        <f>IFERROR(Raw_Data!Z984/60, "")</f>
        <v>12.066666666666666</v>
      </c>
    </row>
    <row r="985" spans="1:41" ht="13">
      <c r="A985" s="3">
        <f ca="1">IFERROR(__xludf.DUMMYFUNCTION("""COMPUTED_VALUE"""),355)</f>
        <v>355</v>
      </c>
      <c r="B985" s="3">
        <f ca="1">IFERROR(__xludf.DUMMYFUNCTION("""COMPUTED_VALUE"""),5)</f>
        <v>5</v>
      </c>
      <c r="C985" s="3">
        <f ca="1">IFERROR(__xludf.DUMMYFUNCTION("""COMPUTED_VALUE"""),4001)</f>
        <v>4001</v>
      </c>
      <c r="D985" s="3" t="str">
        <f ca="1">IFERROR(__xludf.DUMMYFUNCTION("""COMPUTED_VALUE"""),"Dashattan")</f>
        <v>Dashattan</v>
      </c>
      <c r="E985" s="3" t="str">
        <f ca="1">IFERROR(__xludf.DUMMYFUNCTION("""COMPUTED_VALUE"""),"Galaxy A")</f>
        <v>Galaxy A</v>
      </c>
      <c r="F985" s="3" t="str">
        <f ca="1">IFERROR(__xludf.DUMMYFUNCTION("""COMPUTED_VALUE"""),"Zak")</f>
        <v>Zak</v>
      </c>
      <c r="G985" s="3">
        <f ca="1">IFERROR(__xludf.DUMMYFUNCTION("""COMPUTED_VALUE"""),0)</f>
        <v>0</v>
      </c>
      <c r="H985" s="3" t="str">
        <f ca="1">IFERROR(__xludf.DUMMYFUNCTION("""COMPUTED_VALUE"""),"bicycle")</f>
        <v>bicycle</v>
      </c>
      <c r="I985" s="3" t="str">
        <f ca="1">IFERROR(__xludf.DUMMYFUNCTION("""COMPUTED_VALUE"""),"2055-06-03T22:54:15.677461Z")</f>
        <v>2055-06-03T22:54:15.677461Z</v>
      </c>
      <c r="J985" s="3" t="str">
        <f ca="1">IFERROR(__xludf.DUMMYFUNCTION("""COMPUTED_VALUE"""),"2055-06-03T23:37:00.759Z")</f>
        <v>2055-06-03T23:37:00.759Z</v>
      </c>
      <c r="K985" s="3" t="str">
        <f ca="1">IFERROR(__xludf.DUMMYFUNCTION("""COMPUTED_VALUE"""),"2055-06-03T23:28:07.759Z")</f>
        <v>2055-06-03T23:28:07.759Z</v>
      </c>
      <c r="L985" s="3">
        <f ca="1">IFERROR(__xludf.DUMMYFUNCTION("""COMPUTED_VALUE"""),1)</f>
        <v>1</v>
      </c>
      <c r="M985" s="3">
        <f ca="1">IFERROR(__xludf.DUMMYFUNCTION("""COMPUTED_VALUE"""),0)</f>
        <v>0</v>
      </c>
      <c r="N985" s="3" t="str">
        <f ca="1">IFERROR(__xludf.DUMMYFUNCTION("""COMPUTED_VALUE"""),"2055-06-03T23:06:37.940739Z")</f>
        <v>2055-06-03T23:06:37.940739Z</v>
      </c>
      <c r="O985" s="3" t="str">
        <f ca="1">IFERROR(__xludf.DUMMYFUNCTION("""COMPUTED_VALUE"""),"2055-06-03T23:22:27.309155Z")</f>
        <v>2055-06-03T23:22:27.309155Z</v>
      </c>
      <c r="P985" s="3" t="str">
        <f ca="1">IFERROR(__xludf.DUMMYFUNCTION("""COMPUTED_VALUE"""),"2055-06-03T22:58:54.896888Z")</f>
        <v>2055-06-03T22:58:54.896888Z</v>
      </c>
      <c r="Q985" s="3">
        <f ca="1">IFERROR(__xludf.DUMMYFUNCTION("""COMPUTED_VALUE"""),0)</f>
        <v>0</v>
      </c>
      <c r="R985" s="3" t="str">
        <f ca="1">IFERROR(__xludf.DUMMYFUNCTION("""COMPUTED_VALUE"""),"2055-06-03T22:59:51.783871Z")</f>
        <v>2055-06-03T22:59:51.783871Z</v>
      </c>
      <c r="S985" s="3"/>
      <c r="T985" s="3"/>
      <c r="U985" s="4">
        <f ca="1">IFERROR(__xludf.DUMMYFUNCTION("""COMPUTED_VALUE"""),56768)</f>
        <v>56768</v>
      </c>
      <c r="V985" s="3">
        <f ca="1">IFERROR(__xludf.DUMMYFUNCTION("""COMPUTED_VALUE"""),3.839915861)</f>
        <v>3.8399158610000002</v>
      </c>
      <c r="W985" s="3">
        <f ca="1">IFERROR(__xludf.DUMMYFUNCTION("""COMPUTED_VALUE"""),1500)</f>
        <v>1500</v>
      </c>
      <c r="X985" s="3">
        <f ca="1">IFERROR(__xludf.DUMMYFUNCTION("""COMPUTED_VALUE"""),1356)</f>
        <v>1356</v>
      </c>
      <c r="Y985" s="3"/>
      <c r="Z985" s="3"/>
      <c r="AA985" s="3">
        <f ca="1">IFERROR(__xludf.DUMMYFUNCTION("""COMPUTED_VALUE"""),950)</f>
        <v>950</v>
      </c>
      <c r="AB985" s="3">
        <f ca="1">IFERROR(__xludf.DUMMYFUNCTION("""COMPUTED_VALUE"""),0)</f>
        <v>0</v>
      </c>
      <c r="AC985" s="3">
        <f ca="1">IFERROR(__xludf.DUMMYFUNCTION("""COMPUTED_VALUE"""),1)</f>
        <v>1</v>
      </c>
      <c r="AD985" s="3"/>
      <c r="AE985" s="3" t="str">
        <f ca="1">IFERROR(__xludf.DUMMYFUNCTION("""COMPUTED_VALUE"""),"2055-06-03T19:06:37.940739Z")</f>
        <v>2055-06-03T19:06:37.940739Z</v>
      </c>
      <c r="AF985" s="3" t="str">
        <f ca="1">IFERROR(__xludf.DUMMYFUNCTION("""COMPUTED_VALUE"""),"2055-06-03T19:22:27.309155Z")</f>
        <v>2055-06-03T19:22:27.309155Z</v>
      </c>
      <c r="AG985" s="3" t="str">
        <f ca="1">IFERROR(__xludf.DUMMYFUNCTION("""COMPUTED_VALUE"""),"2055-06-03T18:58:54.896888Z")</f>
        <v>2055-06-03T18:58:54.896888Z</v>
      </c>
      <c r="AH985" s="3"/>
      <c r="AI985" s="3">
        <f ca="1">IFERROR(__xludf.DUMMYFUNCTION("""COMPUTED_VALUE"""),4.63)</f>
        <v>4.63</v>
      </c>
      <c r="AJ985" s="3">
        <f ca="1">IFERROR(__xludf.DUMMYFUNCTION("""COMPUTED_VALUE"""),265)</f>
        <v>265</v>
      </c>
      <c r="AK985" s="3">
        <f ca="1">IFERROR(__xludf.DUMMYFUNCTION("""COMPUTED_VALUE"""),905)</f>
        <v>905</v>
      </c>
      <c r="AL985" s="3">
        <f ca="1">IFERROR(__xludf.DUMMYFUNCTION("""COMPUTED_VALUE"""),77)</f>
        <v>77</v>
      </c>
      <c r="AM985" s="3">
        <f>IFERROR(Raw_Data!AL985 / Raw_Data!AK985, "")</f>
        <v>8.5082872928176789E-2</v>
      </c>
      <c r="AN985" s="3" t="str">
        <f>IF(ISBLANK(Raw_Data!AL985), "No", "Yes")</f>
        <v>Yes</v>
      </c>
      <c r="AO985" s="3">
        <f>IFERROR(Raw_Data!Z985/60, "")</f>
        <v>0</v>
      </c>
    </row>
    <row r="986" spans="1:41" ht="13">
      <c r="A986" s="3">
        <f ca="1">IFERROR(__xludf.DUMMYFUNCTION("""COMPUTED_VALUE"""),570)</f>
        <v>570</v>
      </c>
      <c r="B986" s="3">
        <f ca="1">IFERROR(__xludf.DUMMYFUNCTION("""COMPUTED_VALUE"""),2)</f>
        <v>2</v>
      </c>
      <c r="C986" s="3">
        <f ca="1">IFERROR(__xludf.DUMMYFUNCTION("""COMPUTED_VALUE"""),4001)</f>
        <v>4001</v>
      </c>
      <c r="D986" s="3" t="str">
        <f ca="1">IFERROR(__xludf.DUMMYFUNCTION("""COMPUTED_VALUE"""),"Dashattan")</f>
        <v>Dashattan</v>
      </c>
      <c r="E986" s="3" t="str">
        <f ca="1">IFERROR(__xludf.DUMMYFUNCTION("""COMPUTED_VALUE"""),"Galaxy A")</f>
        <v>Galaxy A</v>
      </c>
      <c r="F986" s="3" t="str">
        <f ca="1">IFERROR(__xludf.DUMMYFUNCTION("""COMPUTED_VALUE"""),"KC")</f>
        <v>KC</v>
      </c>
      <c r="G986" s="3">
        <f ca="1">IFERROR(__xludf.DUMMYFUNCTION("""COMPUTED_VALUE"""),0)</f>
        <v>0</v>
      </c>
      <c r="H986" s="3" t="str">
        <f ca="1">IFERROR(__xludf.DUMMYFUNCTION("""COMPUTED_VALUE"""),"car")</f>
        <v>car</v>
      </c>
      <c r="I986" s="3" t="str">
        <f ca="1">IFERROR(__xludf.DUMMYFUNCTION("""COMPUTED_VALUE"""),"2055-06-05T16:59:02.468964Z")</f>
        <v>2055-06-05T16:59:02.468964Z</v>
      </c>
      <c r="J986" s="3" t="str">
        <f ca="1">IFERROR(__xludf.DUMMYFUNCTION("""COMPUTED_VALUE"""),"2055-06-05T18:09:46.526Z")</f>
        <v>2055-06-05T18:09:46.526Z</v>
      </c>
      <c r="K986" s="3" t="str">
        <f ca="1">IFERROR(__xludf.DUMMYFUNCTION("""COMPUTED_VALUE"""),"2055-06-05T17:51:28.526Z")</f>
        <v>2055-06-05T17:51:28.526Z</v>
      </c>
      <c r="L986" s="3">
        <f ca="1">IFERROR(__xludf.DUMMYFUNCTION("""COMPUTED_VALUE"""),1)</f>
        <v>1</v>
      </c>
      <c r="M986" s="3">
        <f ca="1">IFERROR(__xludf.DUMMYFUNCTION("""COMPUTED_VALUE"""),0)</f>
        <v>0</v>
      </c>
      <c r="N986" s="3" t="str">
        <f ca="1">IFERROR(__xludf.DUMMYFUNCTION("""COMPUTED_VALUE"""),"2055-06-05T17:25:42.105245Z")</f>
        <v>2055-06-05T17:25:42.105245Z</v>
      </c>
      <c r="O986" s="3" t="str">
        <f ca="1">IFERROR(__xludf.DUMMYFUNCTION("""COMPUTED_VALUE"""),"2055-06-05T17:33:22.990532Z")</f>
        <v>2055-06-05T17:33:22.990532Z</v>
      </c>
      <c r="P986" s="3" t="str">
        <f ca="1">IFERROR(__xludf.DUMMYFUNCTION("""COMPUTED_VALUE"""),"2055-06-05T17:17:14.687984Z")</f>
        <v>2055-06-05T17:17:14.687984Z</v>
      </c>
      <c r="Q986" s="3">
        <f ca="1">IFERROR(__xludf.DUMMYFUNCTION("""COMPUTED_VALUE"""),0)</f>
        <v>0</v>
      </c>
      <c r="R986" s="3" t="str">
        <f ca="1">IFERROR(__xludf.DUMMYFUNCTION("""COMPUTED_VALUE"""),"2055-06-05T17:17:24.771533Z")</f>
        <v>2055-06-05T17:17:24.771533Z</v>
      </c>
      <c r="S986" s="3" t="str">
        <f ca="1">IFERROR(__xludf.DUMMYFUNCTION("""COMPUTED_VALUE"""),"2055-06-05T17:22:02.69519Z")</f>
        <v>2055-06-05T17:22:02.69519Z</v>
      </c>
      <c r="T986" s="3"/>
      <c r="U986" s="4">
        <f ca="1">IFERROR(__xludf.DUMMYFUNCTION("""COMPUTED_VALUE"""),56770)</f>
        <v>56770</v>
      </c>
      <c r="V986" s="3">
        <f ca="1">IFERROR(__xludf.DUMMYFUNCTION("""COMPUTED_VALUE"""),4.4)</f>
        <v>4.4000000000000004</v>
      </c>
      <c r="W986" s="3">
        <f ca="1">IFERROR(__xludf.DUMMYFUNCTION("""COMPUTED_VALUE"""),1500)</f>
        <v>1500</v>
      </c>
      <c r="X986" s="3">
        <f ca="1">IFERROR(__xludf.DUMMYFUNCTION("""COMPUTED_VALUE"""),958)</f>
        <v>958</v>
      </c>
      <c r="Y986" s="3">
        <f ca="1">IFERROR(__xludf.DUMMYFUNCTION("""COMPUTED_VALUE"""),278)</f>
        <v>278</v>
      </c>
      <c r="Z986" s="3">
        <f ca="1">IFERROR(__xludf.DUMMYFUNCTION("""COMPUTED_VALUE"""),220)</f>
        <v>220</v>
      </c>
      <c r="AA986" s="3">
        <f ca="1">IFERROR(__xludf.DUMMYFUNCTION("""COMPUTED_VALUE"""),460)</f>
        <v>460</v>
      </c>
      <c r="AB986" s="3">
        <f ca="1">IFERROR(__xludf.DUMMYFUNCTION("""COMPUTED_VALUE"""),0)</f>
        <v>0</v>
      </c>
      <c r="AC986" s="3">
        <f ca="1">IFERROR(__xludf.DUMMYFUNCTION("""COMPUTED_VALUE"""),1)</f>
        <v>1</v>
      </c>
      <c r="AD986" s="3" t="str">
        <f ca="1">IFERROR(__xludf.DUMMYFUNCTION("""COMPUTED_VALUE"""),"early")</f>
        <v>early</v>
      </c>
      <c r="AE986" s="3" t="str">
        <f ca="1">IFERROR(__xludf.DUMMYFUNCTION("""COMPUTED_VALUE"""),"2055-06-05T13:25:42.105245Z")</f>
        <v>2055-06-05T13:25:42.105245Z</v>
      </c>
      <c r="AF986" s="3" t="str">
        <f ca="1">IFERROR(__xludf.DUMMYFUNCTION("""COMPUTED_VALUE"""),"2055-06-05T13:33:22.990532Z")</f>
        <v>2055-06-05T13:33:22.990532Z</v>
      </c>
      <c r="AG986" s="3" t="str">
        <f ca="1">IFERROR(__xludf.DUMMYFUNCTION("""COMPUTED_VALUE"""),"2055-06-05T13:17:14.687984Z")</f>
        <v>2055-06-05T13:17:14.687984Z</v>
      </c>
      <c r="AH986" s="3" t="str">
        <f ca="1">IFERROR(__xludf.DUMMYFUNCTION("""COMPUTED_VALUE"""),"2055-06-05T13:22:02.69519Z")</f>
        <v>2055-06-05T13:22:02.69519Z</v>
      </c>
      <c r="AI986" s="3">
        <f ca="1">IFERROR(__xludf.DUMMYFUNCTION("""COMPUTED_VALUE"""),4.54)</f>
        <v>4.54</v>
      </c>
      <c r="AJ986" s="3">
        <f ca="1">IFERROR(__xludf.DUMMYFUNCTION("""COMPUTED_VALUE"""),2229)</f>
        <v>2229</v>
      </c>
      <c r="AK986" s="3">
        <f ca="1">IFERROR(__xludf.DUMMYFUNCTION("""COMPUTED_VALUE"""),6580)</f>
        <v>6580</v>
      </c>
      <c r="AL986" s="3"/>
      <c r="AM986" s="3">
        <f>IFERROR(Raw_Data!AL986 / Raw_Data!AK986, "")</f>
        <v>0</v>
      </c>
      <c r="AN986" s="3" t="str">
        <f>IF(ISBLANK(Raw_Data!AL986), "No", "Yes")</f>
        <v>No</v>
      </c>
      <c r="AO986" s="3">
        <f>IFERROR(Raw_Data!Z986/60, "")</f>
        <v>3.6666666666666665</v>
      </c>
    </row>
    <row r="987" spans="1:41" ht="13">
      <c r="A987" s="3">
        <f ca="1">IFERROR(__xludf.DUMMYFUNCTION("""COMPUTED_VALUE"""),634)</f>
        <v>634</v>
      </c>
      <c r="B987" s="3"/>
      <c r="C987" s="3">
        <f ca="1">IFERROR(__xludf.DUMMYFUNCTION("""COMPUTED_VALUE"""),4001)</f>
        <v>4001</v>
      </c>
      <c r="D987" s="3" t="str">
        <f ca="1">IFERROR(__xludf.DUMMYFUNCTION("""COMPUTED_VALUE"""),"Dashattan")</f>
        <v>Dashattan</v>
      </c>
      <c r="E987" s="3" t="str">
        <f ca="1">IFERROR(__xludf.DUMMYFUNCTION("""COMPUTED_VALUE"""),"Galaxy A")</f>
        <v>Galaxy A</v>
      </c>
      <c r="F987" s="3" t="str">
        <f ca="1">IFERROR(__xludf.DUMMYFUNCTION("""COMPUTED_VALUE"""),"Bunje")</f>
        <v>Bunje</v>
      </c>
      <c r="G987" s="3">
        <f ca="1">IFERROR(__xludf.DUMMYFUNCTION("""COMPUTED_VALUE"""),0)</f>
        <v>0</v>
      </c>
      <c r="H987" s="3" t="str">
        <f ca="1">IFERROR(__xludf.DUMMYFUNCTION("""COMPUTED_VALUE"""),"bicycle")</f>
        <v>bicycle</v>
      </c>
      <c r="I987" s="3" t="str">
        <f ca="1">IFERROR(__xludf.DUMMYFUNCTION("""COMPUTED_VALUE"""),"2055-06-05T21:57:14.725848Z")</f>
        <v>2055-06-05T21:57:14.725848Z</v>
      </c>
      <c r="J987" s="3" t="str">
        <f ca="1">IFERROR(__xludf.DUMMYFUNCTION("""COMPUTED_VALUE"""),"2055-06-05T22:32:10.802Z")</f>
        <v>2055-06-05T22:32:10.802Z</v>
      </c>
      <c r="K987" s="3" t="str">
        <f ca="1">IFERROR(__xludf.DUMMYFUNCTION("""COMPUTED_VALUE"""),"2055-06-05T22:23:17.802Z")</f>
        <v>2055-06-05T22:23:17.802Z</v>
      </c>
      <c r="L987" s="3">
        <f ca="1">IFERROR(__xludf.DUMMYFUNCTION("""COMPUTED_VALUE"""),1)</f>
        <v>1</v>
      </c>
      <c r="M987" s="3">
        <f ca="1">IFERROR(__xludf.DUMMYFUNCTION("""COMPUTED_VALUE"""),0)</f>
        <v>0</v>
      </c>
      <c r="N987" s="3" t="str">
        <f ca="1">IFERROR(__xludf.DUMMYFUNCTION("""COMPUTED_VALUE"""),"2055-06-05T22:09:52.110503Z")</f>
        <v>2055-06-05T22:09:52.110503Z</v>
      </c>
      <c r="O987" s="3" t="str">
        <f ca="1">IFERROR(__xludf.DUMMYFUNCTION("""COMPUTED_VALUE"""),"2055-06-05T22:22:53.05641Z")</f>
        <v>2055-06-05T22:22:53.05641Z</v>
      </c>
      <c r="P987" s="3" t="str">
        <f ca="1">IFERROR(__xludf.DUMMYFUNCTION("""COMPUTED_VALUE"""),"2055-06-05T22:03:35.48907Z")</f>
        <v>2055-06-05T22:03:35.48907Z</v>
      </c>
      <c r="Q987" s="3">
        <f ca="1">IFERROR(__xludf.DUMMYFUNCTION("""COMPUTED_VALUE"""),0)</f>
        <v>0</v>
      </c>
      <c r="R987" s="3" t="str">
        <f ca="1">IFERROR(__xludf.DUMMYFUNCTION("""COMPUTED_VALUE"""),"2055-06-05T22:03:43.168359Z")</f>
        <v>2055-06-05T22:03:43.168359Z</v>
      </c>
      <c r="S987" s="3" t="str">
        <f ca="1">IFERROR(__xludf.DUMMYFUNCTION("""COMPUTED_VALUE"""),"2055-06-05T22:08:19.604365Z")</f>
        <v>2055-06-05T22:08:19.604365Z</v>
      </c>
      <c r="T987" s="3"/>
      <c r="U987" s="4">
        <f ca="1">IFERROR(__xludf.DUMMYFUNCTION("""COMPUTED_VALUE"""),56770)</f>
        <v>56770</v>
      </c>
      <c r="V987" s="3">
        <f ca="1">IFERROR(__xludf.DUMMYFUNCTION("""COMPUTED_VALUE"""),4.714704911)</f>
        <v>4.7147049110000001</v>
      </c>
      <c r="W987" s="3">
        <f ca="1">IFERROR(__xludf.DUMMYFUNCTION("""COMPUTED_VALUE"""),1500)</f>
        <v>1500</v>
      </c>
      <c r="X987" s="3">
        <f ca="1">IFERROR(__xludf.DUMMYFUNCTION("""COMPUTED_VALUE"""),1150)</f>
        <v>1150</v>
      </c>
      <c r="Y987" s="3">
        <f ca="1">IFERROR(__xludf.DUMMYFUNCTION("""COMPUTED_VALUE"""),276)</f>
        <v>276</v>
      </c>
      <c r="Z987" s="3">
        <f ca="1">IFERROR(__xludf.DUMMYFUNCTION("""COMPUTED_VALUE"""),93)</f>
        <v>93</v>
      </c>
      <c r="AA987" s="3">
        <f ca="1">IFERROR(__xludf.DUMMYFUNCTION("""COMPUTED_VALUE"""),781)</f>
        <v>781</v>
      </c>
      <c r="AB987" s="3">
        <f ca="1">IFERROR(__xludf.DUMMYFUNCTION("""COMPUTED_VALUE"""),0)</f>
        <v>0</v>
      </c>
      <c r="AC987" s="3">
        <f ca="1">IFERROR(__xludf.DUMMYFUNCTION("""COMPUTED_VALUE"""),4)</f>
        <v>4</v>
      </c>
      <c r="AD987" s="3" t="str">
        <f ca="1">IFERROR(__xludf.DUMMYFUNCTION("""COMPUTED_VALUE"""),"on time")</f>
        <v>on time</v>
      </c>
      <c r="AE987" s="3" t="str">
        <f ca="1">IFERROR(__xludf.DUMMYFUNCTION("""COMPUTED_VALUE"""),"2055-06-05T18:09:52.110503Z")</f>
        <v>2055-06-05T18:09:52.110503Z</v>
      </c>
      <c r="AF987" s="3" t="str">
        <f ca="1">IFERROR(__xludf.DUMMYFUNCTION("""COMPUTED_VALUE"""),"2055-06-05T18:22:53.05641Z")</f>
        <v>2055-06-05T18:22:53.05641Z</v>
      </c>
      <c r="AG987" s="3" t="str">
        <f ca="1">IFERROR(__xludf.DUMMYFUNCTION("""COMPUTED_VALUE"""),"2055-06-05T18:03:35.48907Z")</f>
        <v>2055-06-05T18:03:35.48907Z</v>
      </c>
      <c r="AH987" s="3" t="str">
        <f ca="1">IFERROR(__xludf.DUMMYFUNCTION("""COMPUTED_VALUE"""),"2055-06-05T18:08:19.604365Z")</f>
        <v>2055-06-05T18:08:19.604365Z</v>
      </c>
      <c r="AI987" s="3">
        <f ca="1">IFERROR(__xludf.DUMMYFUNCTION("""COMPUTED_VALUE"""),4.7)</f>
        <v>4.7</v>
      </c>
      <c r="AJ987" s="3">
        <f ca="1">IFERROR(__xludf.DUMMYFUNCTION("""COMPUTED_VALUE"""),443)</f>
        <v>443</v>
      </c>
      <c r="AK987" s="3">
        <f ca="1">IFERROR(__xludf.DUMMYFUNCTION("""COMPUTED_VALUE"""),1579)</f>
        <v>1579</v>
      </c>
      <c r="AL987" s="3"/>
      <c r="AM987" s="3">
        <f>IFERROR(Raw_Data!AL987 / Raw_Data!AK987, "")</f>
        <v>0</v>
      </c>
      <c r="AN987" s="3" t="str">
        <f>IF(ISBLANK(Raw_Data!AL987), "No", "Yes")</f>
        <v>No</v>
      </c>
      <c r="AO987" s="3">
        <f>IFERROR(Raw_Data!Z987/60, "")</f>
        <v>1.55</v>
      </c>
    </row>
    <row r="988" spans="1:41" ht="13">
      <c r="A988" s="3">
        <f ca="1">IFERROR(__xludf.DUMMYFUNCTION("""COMPUTED_VALUE"""),1534)</f>
        <v>1534</v>
      </c>
      <c r="B988" s="3"/>
      <c r="C988" s="3">
        <f ca="1">IFERROR(__xludf.DUMMYFUNCTION("""COMPUTED_VALUE"""),4001)</f>
        <v>4001</v>
      </c>
      <c r="D988" s="3" t="str">
        <f ca="1">IFERROR(__xludf.DUMMYFUNCTION("""COMPUTED_VALUE"""),"Dashattan")</f>
        <v>Dashattan</v>
      </c>
      <c r="E988" s="3" t="str">
        <f ca="1">IFERROR(__xludf.DUMMYFUNCTION("""COMPUTED_VALUE"""),"Galaxy A")</f>
        <v>Galaxy A</v>
      </c>
      <c r="F988" s="3" t="str">
        <f ca="1">IFERROR(__xludf.DUMMYFUNCTION("""COMPUTED_VALUE"""),"Rojan")</f>
        <v>Rojan</v>
      </c>
      <c r="G988" s="3">
        <f ca="1">IFERROR(__xludf.DUMMYFUNCTION("""COMPUTED_VALUE"""),0)</f>
        <v>0</v>
      </c>
      <c r="H988" s="3" t="str">
        <f ca="1">IFERROR(__xludf.DUMMYFUNCTION("""COMPUTED_VALUE"""),"bicycle")</f>
        <v>bicycle</v>
      </c>
      <c r="I988" s="3" t="str">
        <f ca="1">IFERROR(__xludf.DUMMYFUNCTION("""COMPUTED_VALUE"""),"2055-06-13T00:58:22.960202Z")</f>
        <v>2055-06-13T00:58:22.960202Z</v>
      </c>
      <c r="J988" s="3" t="str">
        <f ca="1">IFERROR(__xludf.DUMMYFUNCTION("""COMPUTED_VALUE"""),"2055-06-13T02:08:10.007Z")</f>
        <v>2055-06-13T02:08:10.007Z</v>
      </c>
      <c r="K988" s="3" t="str">
        <f ca="1">IFERROR(__xludf.DUMMYFUNCTION("""COMPUTED_VALUE"""),"2055-06-13T01:43:29.007Z")</f>
        <v>2055-06-13T01:43:29.007Z</v>
      </c>
      <c r="L988" s="3">
        <f ca="1">IFERROR(__xludf.DUMMYFUNCTION("""COMPUTED_VALUE"""),1)</f>
        <v>1</v>
      </c>
      <c r="M988" s="3">
        <f ca="1">IFERROR(__xludf.DUMMYFUNCTION("""COMPUTED_VALUE"""),0)</f>
        <v>0</v>
      </c>
      <c r="N988" s="3" t="str">
        <f ca="1">IFERROR(__xludf.DUMMYFUNCTION("""COMPUTED_VALUE"""),"2055-06-13T01:25:34.965785Z")</f>
        <v>2055-06-13T01:25:34.965785Z</v>
      </c>
      <c r="O988" s="3" t="str">
        <f ca="1">IFERROR(__xludf.DUMMYFUNCTION("""COMPUTED_VALUE"""),"2055-06-13T01:33:12.166446Z")</f>
        <v>2055-06-13T01:33:12.166446Z</v>
      </c>
      <c r="P988" s="3" t="str">
        <f ca="1">IFERROR(__xludf.DUMMYFUNCTION("""COMPUTED_VALUE"""),"2055-06-13T01:15:35.231014Z")</f>
        <v>2055-06-13T01:15:35.231014Z</v>
      </c>
      <c r="Q988" s="3">
        <f ca="1">IFERROR(__xludf.DUMMYFUNCTION("""COMPUTED_VALUE"""),0)</f>
        <v>0</v>
      </c>
      <c r="R988" s="3" t="str">
        <f ca="1">IFERROR(__xludf.DUMMYFUNCTION("""COMPUTED_VALUE"""),"2055-06-13T01:15:52.952949Z")</f>
        <v>2055-06-13T01:15:52.952949Z</v>
      </c>
      <c r="S988" s="3" t="str">
        <f ca="1">IFERROR(__xludf.DUMMYFUNCTION("""COMPUTED_VALUE"""),"2055-06-13T01:24:37.03124Z")</f>
        <v>2055-06-13T01:24:37.03124Z</v>
      </c>
      <c r="T988" s="3"/>
      <c r="U988" s="4">
        <f ca="1">IFERROR(__xludf.DUMMYFUNCTION("""COMPUTED_VALUE"""),56777)</f>
        <v>56777</v>
      </c>
      <c r="V988" s="3">
        <f ca="1">IFERROR(__xludf.DUMMYFUNCTION("""COMPUTED_VALUE"""),4.3)</f>
        <v>4.3</v>
      </c>
      <c r="W988" s="3">
        <f ca="1">IFERROR(__xludf.DUMMYFUNCTION("""COMPUTED_VALUE"""),1500)</f>
        <v>1500</v>
      </c>
      <c r="X988" s="3">
        <f ca="1">IFERROR(__xludf.DUMMYFUNCTION("""COMPUTED_VALUE"""),1040)</f>
        <v>1040</v>
      </c>
      <c r="Y988" s="3">
        <f ca="1">IFERROR(__xludf.DUMMYFUNCTION("""COMPUTED_VALUE"""),525)</f>
        <v>525</v>
      </c>
      <c r="Z988" s="3">
        <f ca="1">IFERROR(__xludf.DUMMYFUNCTION("""COMPUTED_VALUE"""),57)</f>
        <v>57</v>
      </c>
      <c r="AA988" s="3">
        <f ca="1">IFERROR(__xludf.DUMMYFUNCTION("""COMPUTED_VALUE"""),458)</f>
        <v>458</v>
      </c>
      <c r="AB988" s="3">
        <f ca="1">IFERROR(__xludf.DUMMYFUNCTION("""COMPUTED_VALUE"""),0)</f>
        <v>0</v>
      </c>
      <c r="AC988" s="3">
        <f ca="1">IFERROR(__xludf.DUMMYFUNCTION("""COMPUTED_VALUE"""),1)</f>
        <v>1</v>
      </c>
      <c r="AD988" s="3" t="str">
        <f ca="1">IFERROR(__xludf.DUMMYFUNCTION("""COMPUTED_VALUE"""),"late")</f>
        <v>late</v>
      </c>
      <c r="AE988" s="3" t="str">
        <f ca="1">IFERROR(__xludf.DUMMYFUNCTION("""COMPUTED_VALUE"""),"2055-06-12T21:25:34.965785Z")</f>
        <v>2055-06-12T21:25:34.965785Z</v>
      </c>
      <c r="AF988" s="3" t="str">
        <f ca="1">IFERROR(__xludf.DUMMYFUNCTION("""COMPUTED_VALUE"""),"2055-06-12T21:33:12.166446Z")</f>
        <v>2055-06-12T21:33:12.166446Z</v>
      </c>
      <c r="AG988" s="3" t="str">
        <f ca="1">IFERROR(__xludf.DUMMYFUNCTION("""COMPUTED_VALUE"""),"2055-06-12T21:15:35.231014Z")</f>
        <v>2055-06-12T21:15:35.231014Z</v>
      </c>
      <c r="AH988" s="3" t="str">
        <f ca="1">IFERROR(__xludf.DUMMYFUNCTION("""COMPUTED_VALUE"""),"2055-06-12T21:24:37.03124Z")</f>
        <v>2055-06-12T21:24:37.03124Z</v>
      </c>
      <c r="AI988" s="3">
        <f ca="1">IFERROR(__xludf.DUMMYFUNCTION("""COMPUTED_VALUE"""),4.58)</f>
        <v>4.58</v>
      </c>
      <c r="AJ988" s="3">
        <f ca="1">IFERROR(__xludf.DUMMYFUNCTION("""COMPUTED_VALUE"""),254)</f>
        <v>254</v>
      </c>
      <c r="AK988" s="3">
        <f ca="1">IFERROR(__xludf.DUMMYFUNCTION("""COMPUTED_VALUE"""),788)</f>
        <v>788</v>
      </c>
      <c r="AL988" s="3">
        <f ca="1">IFERROR(__xludf.DUMMYFUNCTION("""COMPUTED_VALUE"""),9)</f>
        <v>9</v>
      </c>
      <c r="AM988" s="3">
        <f>IFERROR(Raw_Data!AL988 / Raw_Data!AK988, "")</f>
        <v>1.1421319796954314E-2</v>
      </c>
      <c r="AN988" s="3" t="str">
        <f>IF(ISBLANK(Raw_Data!AL988), "No", "Yes")</f>
        <v>Yes</v>
      </c>
      <c r="AO988" s="3">
        <f>IFERROR(Raw_Data!Z988/60, "")</f>
        <v>0.95</v>
      </c>
    </row>
    <row r="989" spans="1:41" ht="13">
      <c r="A989" s="3">
        <f ca="1">IFERROR(__xludf.DUMMYFUNCTION("""COMPUTED_VALUE"""),1574)</f>
        <v>1574</v>
      </c>
      <c r="B989" s="3">
        <f ca="1">IFERROR(__xludf.DUMMYFUNCTION("""COMPUTED_VALUE"""),4)</f>
        <v>4</v>
      </c>
      <c r="C989" s="3">
        <f ca="1">IFERROR(__xludf.DUMMYFUNCTION("""COMPUTED_VALUE"""),4001)</f>
        <v>4001</v>
      </c>
      <c r="D989" s="3" t="str">
        <f ca="1">IFERROR(__xludf.DUMMYFUNCTION("""COMPUTED_VALUE"""),"Dashattan")</f>
        <v>Dashattan</v>
      </c>
      <c r="E989" s="3" t="str">
        <f ca="1">IFERROR(__xludf.DUMMYFUNCTION("""COMPUTED_VALUE"""),"Galaxy A")</f>
        <v>Galaxy A</v>
      </c>
      <c r="F989" s="3" t="str">
        <f ca="1">IFERROR(__xludf.DUMMYFUNCTION("""COMPUTED_VALUE"""),"Sean")</f>
        <v>Sean</v>
      </c>
      <c r="G989" s="3">
        <f ca="1">IFERROR(__xludf.DUMMYFUNCTION("""COMPUTED_VALUE"""),0)</f>
        <v>0</v>
      </c>
      <c r="H989" s="3" t="str">
        <f ca="1">IFERROR(__xludf.DUMMYFUNCTION("""COMPUTED_VALUE"""),"bicycle")</f>
        <v>bicycle</v>
      </c>
      <c r="I989" s="3" t="str">
        <f ca="1">IFERROR(__xludf.DUMMYFUNCTION("""COMPUTED_VALUE"""),"2055-06-13T16:28:24.134724Z")</f>
        <v>2055-06-13T16:28:24.134724Z</v>
      </c>
      <c r="J989" s="3" t="str">
        <f ca="1">IFERROR(__xludf.DUMMYFUNCTION("""COMPUTED_VALUE"""),"2055-06-13T17:26:17.194Z")</f>
        <v>2055-06-13T17:26:17.194Z</v>
      </c>
      <c r="K989" s="3" t="str">
        <f ca="1">IFERROR(__xludf.DUMMYFUNCTION("""COMPUTED_VALUE"""),"2055-06-13T17:06:10.194Z")</f>
        <v>2055-06-13T17:06:10.194Z</v>
      </c>
      <c r="L989" s="3">
        <f ca="1">IFERROR(__xludf.DUMMYFUNCTION("""COMPUTED_VALUE"""),1)</f>
        <v>1</v>
      </c>
      <c r="M989" s="3">
        <f ca="1">IFERROR(__xludf.DUMMYFUNCTION("""COMPUTED_VALUE"""),0)</f>
        <v>0</v>
      </c>
      <c r="N989" s="3" t="str">
        <f ca="1">IFERROR(__xludf.DUMMYFUNCTION("""COMPUTED_VALUE"""),"2055-06-13T17:13:44.826765Z")</f>
        <v>2055-06-13T17:13:44.826765Z</v>
      </c>
      <c r="O989" s="3" t="str">
        <f ca="1">IFERROR(__xludf.DUMMYFUNCTION("""COMPUTED_VALUE"""),"2055-06-13T17:24:48.484234Z")</f>
        <v>2055-06-13T17:24:48.484234Z</v>
      </c>
      <c r="P989" s="3" t="str">
        <f ca="1">IFERROR(__xludf.DUMMYFUNCTION("""COMPUTED_VALUE"""),"2055-06-13T16:32:54.421381Z")</f>
        <v>2055-06-13T16:32:54.421381Z</v>
      </c>
      <c r="Q989" s="3">
        <f ca="1">IFERROR(__xludf.DUMMYFUNCTION("""COMPUTED_VALUE"""),0)</f>
        <v>0</v>
      </c>
      <c r="R989" s="3" t="str">
        <f ca="1">IFERROR(__xludf.DUMMYFUNCTION("""COMPUTED_VALUE"""),"2055-06-13T16:33:33.56117Z")</f>
        <v>2055-06-13T16:33:33.56117Z</v>
      </c>
      <c r="S989" s="3" t="str">
        <f ca="1">IFERROR(__xludf.DUMMYFUNCTION("""COMPUTED_VALUE"""),"2055-06-13T16:54:52.86523Z")</f>
        <v>2055-06-13T16:54:52.86523Z</v>
      </c>
      <c r="T989" s="3"/>
      <c r="U989" s="4">
        <f ca="1">IFERROR(__xludf.DUMMYFUNCTION("""COMPUTED_VALUE"""),56778)</f>
        <v>56778</v>
      </c>
      <c r="V989" s="3">
        <f ca="1">IFERROR(__xludf.DUMMYFUNCTION("""COMPUTED_VALUE"""),4.5)</f>
        <v>4.5</v>
      </c>
      <c r="W989" s="3">
        <f ca="1">IFERROR(__xludf.DUMMYFUNCTION("""COMPUTED_VALUE"""),1500)</f>
        <v>1500</v>
      </c>
      <c r="X989" s="3">
        <f ca="1">IFERROR(__xludf.DUMMYFUNCTION("""COMPUTED_VALUE"""),3075)</f>
        <v>3075</v>
      </c>
      <c r="Y989" s="3">
        <f ca="1">IFERROR(__xludf.DUMMYFUNCTION("""COMPUTED_VALUE"""),1279)</f>
        <v>1279</v>
      </c>
      <c r="Z989" s="3">
        <f ca="1">IFERROR(__xludf.DUMMYFUNCTION("""COMPUTED_VALUE"""),1132)</f>
        <v>1132</v>
      </c>
      <c r="AA989" s="3">
        <f ca="1">IFERROR(__xludf.DUMMYFUNCTION("""COMPUTED_VALUE"""),664)</f>
        <v>664</v>
      </c>
      <c r="AB989" s="3">
        <f ca="1">IFERROR(__xludf.DUMMYFUNCTION("""COMPUTED_VALUE"""),1)</f>
        <v>1</v>
      </c>
      <c r="AC989" s="3">
        <f ca="1">IFERROR(__xludf.DUMMYFUNCTION("""COMPUTED_VALUE"""),1)</f>
        <v>1</v>
      </c>
      <c r="AD989" s="3"/>
      <c r="AE989" s="3" t="str">
        <f ca="1">IFERROR(__xludf.DUMMYFUNCTION("""COMPUTED_VALUE"""),"2055-06-13T13:13:44.826765Z")</f>
        <v>2055-06-13T13:13:44.826765Z</v>
      </c>
      <c r="AF989" s="3" t="str">
        <f ca="1">IFERROR(__xludf.DUMMYFUNCTION("""COMPUTED_VALUE"""),"2055-06-13T13:24:48.484234Z")</f>
        <v>2055-06-13T13:24:48.484234Z</v>
      </c>
      <c r="AG989" s="3" t="str">
        <f ca="1">IFERROR(__xludf.DUMMYFUNCTION("""COMPUTED_VALUE"""),"2055-06-13T12:32:54.421381Z")</f>
        <v>2055-06-13T12:32:54.421381Z</v>
      </c>
      <c r="AH989" s="3" t="str">
        <f ca="1">IFERROR(__xludf.DUMMYFUNCTION("""COMPUTED_VALUE"""),"2055-06-13T12:54:52.86523Z")</f>
        <v>2055-06-13T12:54:52.86523Z</v>
      </c>
      <c r="AI989" s="3">
        <f ca="1">IFERROR(__xludf.DUMMYFUNCTION("""COMPUTED_VALUE"""),4.52)</f>
        <v>4.5199999999999996</v>
      </c>
      <c r="AJ989" s="3">
        <f ca="1">IFERROR(__xludf.DUMMYFUNCTION("""COMPUTED_VALUE"""),183)</f>
        <v>183</v>
      </c>
      <c r="AK989" s="3">
        <f ca="1">IFERROR(__xludf.DUMMYFUNCTION("""COMPUTED_VALUE"""),522)</f>
        <v>522</v>
      </c>
      <c r="AL989" s="3"/>
      <c r="AM989" s="3">
        <f>IFERROR(Raw_Data!AL989 / Raw_Data!AK989, "")</f>
        <v>0</v>
      </c>
      <c r="AN989" s="3" t="str">
        <f>IF(ISBLANK(Raw_Data!AL989), "No", "Yes")</f>
        <v>No</v>
      </c>
      <c r="AO989" s="3">
        <f>IFERROR(Raw_Data!Z989/60, "")</f>
        <v>18.866666666666667</v>
      </c>
    </row>
    <row r="990" spans="1:41" ht="13">
      <c r="A990" s="3">
        <f ca="1">IFERROR(__xludf.DUMMYFUNCTION("""COMPUTED_VALUE"""),1585)</f>
        <v>1585</v>
      </c>
      <c r="B990" s="3"/>
      <c r="C990" s="3">
        <f ca="1">IFERROR(__xludf.DUMMYFUNCTION("""COMPUTED_VALUE"""),4001)</f>
        <v>4001</v>
      </c>
      <c r="D990" s="3" t="str">
        <f ca="1">IFERROR(__xludf.DUMMYFUNCTION("""COMPUTED_VALUE"""),"Dashattan")</f>
        <v>Dashattan</v>
      </c>
      <c r="E990" s="3" t="str">
        <f ca="1">IFERROR(__xludf.DUMMYFUNCTION("""COMPUTED_VALUE"""),"Galaxy A")</f>
        <v>Galaxy A</v>
      </c>
      <c r="F990" s="3" t="str">
        <f ca="1">IFERROR(__xludf.DUMMYFUNCTION("""COMPUTED_VALUE"""),"Mike")</f>
        <v>Mike</v>
      </c>
      <c r="G990" s="3">
        <f ca="1">IFERROR(__xludf.DUMMYFUNCTION("""COMPUTED_VALUE"""),0)</f>
        <v>0</v>
      </c>
      <c r="H990" s="3" t="str">
        <f ca="1">IFERROR(__xludf.DUMMYFUNCTION("""COMPUTED_VALUE"""),"bicycle")</f>
        <v>bicycle</v>
      </c>
      <c r="I990" s="3" t="str">
        <f ca="1">IFERROR(__xludf.DUMMYFUNCTION("""COMPUTED_VALUE"""),"2055-06-13T18:52:11.627437Z")</f>
        <v>2055-06-13T18:52:11.627437Z</v>
      </c>
      <c r="J990" s="3" t="str">
        <f ca="1">IFERROR(__xludf.DUMMYFUNCTION("""COMPUTED_VALUE"""),"2055-06-13T19:30:52.701Z")</f>
        <v>2055-06-13T19:30:52.701Z</v>
      </c>
      <c r="K990" s="3" t="str">
        <f ca="1">IFERROR(__xludf.DUMMYFUNCTION("""COMPUTED_VALUE"""),"2055-06-13T19:21:59.701Z")</f>
        <v>2055-06-13T19:21:59.701Z</v>
      </c>
      <c r="L990" s="3">
        <f ca="1">IFERROR(__xludf.DUMMYFUNCTION("""COMPUTED_VALUE"""),1)</f>
        <v>1</v>
      </c>
      <c r="M990" s="3">
        <f ca="1">IFERROR(__xludf.DUMMYFUNCTION("""COMPUTED_VALUE"""),0)</f>
        <v>0</v>
      </c>
      <c r="N990" s="3" t="str">
        <f ca="1">IFERROR(__xludf.DUMMYFUNCTION("""COMPUTED_VALUE"""),"2055-06-13T19:12:49.187674Z")</f>
        <v>2055-06-13T19:12:49.187674Z</v>
      </c>
      <c r="O990" s="3" t="str">
        <f ca="1">IFERROR(__xludf.DUMMYFUNCTION("""COMPUTED_VALUE"""),"2055-06-13T19:30:16.805378Z")</f>
        <v>2055-06-13T19:30:16.805378Z</v>
      </c>
      <c r="P990" s="3" t="str">
        <f ca="1">IFERROR(__xludf.DUMMYFUNCTION("""COMPUTED_VALUE"""),"2055-06-13T18:59:14.201824Z")</f>
        <v>2055-06-13T18:59:14.201824Z</v>
      </c>
      <c r="Q990" s="3">
        <f ca="1">IFERROR(__xludf.DUMMYFUNCTION("""COMPUTED_VALUE"""),0)</f>
        <v>0</v>
      </c>
      <c r="R990" s="3" t="str">
        <f ca="1">IFERROR(__xludf.DUMMYFUNCTION("""COMPUTED_VALUE"""),"2055-06-13T18:59:32.668113Z")</f>
        <v>2055-06-13T18:59:32.668113Z</v>
      </c>
      <c r="S990" s="3" t="str">
        <f ca="1">IFERROR(__xludf.DUMMYFUNCTION("""COMPUTED_VALUE"""),"2055-06-13T19:07:19.311093Z")</f>
        <v>2055-06-13T19:07:19.311093Z</v>
      </c>
      <c r="T990" s="3"/>
      <c r="U990" s="4">
        <f ca="1">IFERROR(__xludf.DUMMYFUNCTION("""COMPUTED_VALUE"""),56778)</f>
        <v>56778</v>
      </c>
      <c r="V990" s="3">
        <f ca="1">IFERROR(__xludf.DUMMYFUNCTION("""COMPUTED_VALUE"""),4.3)</f>
        <v>4.3</v>
      </c>
      <c r="W990" s="3">
        <f ca="1">IFERROR(__xludf.DUMMYFUNCTION("""COMPUTED_VALUE"""),1500)</f>
        <v>1500</v>
      </c>
      <c r="X990" s="3">
        <f ca="1">IFERROR(__xludf.DUMMYFUNCTION("""COMPUTED_VALUE"""),1844)</f>
        <v>1844</v>
      </c>
      <c r="Y990" s="3">
        <f ca="1">IFERROR(__xludf.DUMMYFUNCTION("""COMPUTED_VALUE"""),467)</f>
        <v>467</v>
      </c>
      <c r="Z990" s="3">
        <f ca="1">IFERROR(__xludf.DUMMYFUNCTION("""COMPUTED_VALUE"""),330)</f>
        <v>330</v>
      </c>
      <c r="AA990" s="3">
        <f ca="1">IFERROR(__xludf.DUMMYFUNCTION("""COMPUTED_VALUE"""),1047)</f>
        <v>1047</v>
      </c>
      <c r="AB990" s="3">
        <f ca="1">IFERROR(__xludf.DUMMYFUNCTION("""COMPUTED_VALUE"""),1)</f>
        <v>1</v>
      </c>
      <c r="AC990" s="3">
        <f ca="1">IFERROR(__xludf.DUMMYFUNCTION("""COMPUTED_VALUE"""),1)</f>
        <v>1</v>
      </c>
      <c r="AD990" s="3"/>
      <c r="AE990" s="3" t="str">
        <f ca="1">IFERROR(__xludf.DUMMYFUNCTION("""COMPUTED_VALUE"""),"2055-06-13T15:12:49.187674Z")</f>
        <v>2055-06-13T15:12:49.187674Z</v>
      </c>
      <c r="AF990" s="3" t="str">
        <f ca="1">IFERROR(__xludf.DUMMYFUNCTION("""COMPUTED_VALUE"""),"2055-06-13T15:30:16.805378Z")</f>
        <v>2055-06-13T15:30:16.805378Z</v>
      </c>
      <c r="AG990" s="3" t="str">
        <f ca="1">IFERROR(__xludf.DUMMYFUNCTION("""COMPUTED_VALUE"""),"2055-06-13T14:59:14.201824Z")</f>
        <v>2055-06-13T14:59:14.201824Z</v>
      </c>
      <c r="AH990" s="3" t="str">
        <f ca="1">IFERROR(__xludf.DUMMYFUNCTION("""COMPUTED_VALUE"""),"2055-06-13T15:07:19.311093Z")</f>
        <v>2055-06-13T15:07:19.311093Z</v>
      </c>
      <c r="AI990" s="3">
        <f ca="1">IFERROR(__xludf.DUMMYFUNCTION("""COMPUTED_VALUE"""),4.63)</f>
        <v>4.63</v>
      </c>
      <c r="AJ990" s="3">
        <f ca="1">IFERROR(__xludf.DUMMYFUNCTION("""COMPUTED_VALUE"""),242)</f>
        <v>242</v>
      </c>
      <c r="AK990" s="3">
        <f ca="1">IFERROR(__xludf.DUMMYFUNCTION("""COMPUTED_VALUE"""),736)</f>
        <v>736</v>
      </c>
      <c r="AL990" s="3"/>
      <c r="AM990" s="3">
        <f>IFERROR(Raw_Data!AL990 / Raw_Data!AK990, "")</f>
        <v>0</v>
      </c>
      <c r="AN990" s="3" t="str">
        <f>IF(ISBLANK(Raw_Data!AL990), "No", "Yes")</f>
        <v>No</v>
      </c>
      <c r="AO990" s="3">
        <f>IFERROR(Raw_Data!Z990/60, "")</f>
        <v>5.5</v>
      </c>
    </row>
    <row r="991" spans="1:41" ht="13">
      <c r="A991" s="3">
        <f ca="1">IFERROR(__xludf.DUMMYFUNCTION("""COMPUTED_VALUE"""),1586)</f>
        <v>1586</v>
      </c>
      <c r="B991" s="3"/>
      <c r="C991" s="3">
        <f ca="1">IFERROR(__xludf.DUMMYFUNCTION("""COMPUTED_VALUE"""),4001)</f>
        <v>4001</v>
      </c>
      <c r="D991" s="3" t="str">
        <f ca="1">IFERROR(__xludf.DUMMYFUNCTION("""COMPUTED_VALUE"""),"Dashattan")</f>
        <v>Dashattan</v>
      </c>
      <c r="E991" s="3" t="str">
        <f ca="1">IFERROR(__xludf.DUMMYFUNCTION("""COMPUTED_VALUE"""),"Galaxy A")</f>
        <v>Galaxy A</v>
      </c>
      <c r="F991" s="3" t="str">
        <f ca="1">IFERROR(__xludf.DUMMYFUNCTION("""COMPUTED_VALUE"""),"Mike")</f>
        <v>Mike</v>
      </c>
      <c r="G991" s="3">
        <f ca="1">IFERROR(__xludf.DUMMYFUNCTION("""COMPUTED_VALUE"""),0)</f>
        <v>0</v>
      </c>
      <c r="H991" s="3" t="str">
        <f ca="1">IFERROR(__xludf.DUMMYFUNCTION("""COMPUTED_VALUE"""),"bicycle")</f>
        <v>bicycle</v>
      </c>
      <c r="I991" s="3" t="str">
        <f ca="1">IFERROR(__xludf.DUMMYFUNCTION("""COMPUTED_VALUE"""),"2055-06-13T18:53:12.909094Z")</f>
        <v>2055-06-13T18:53:12.909094Z</v>
      </c>
      <c r="J991" s="3" t="str">
        <f ca="1">IFERROR(__xludf.DUMMYFUNCTION("""COMPUTED_VALUE"""),"2055-06-13T19:32:13.975Z")</f>
        <v>2055-06-13T19:32:13.975Z</v>
      </c>
      <c r="K991" s="3" t="str">
        <f ca="1">IFERROR(__xludf.DUMMYFUNCTION("""COMPUTED_VALUE"""),"2055-06-13T19:23:20.975Z")</f>
        <v>2055-06-13T19:23:20.975Z</v>
      </c>
      <c r="L991" s="3">
        <f ca="1">IFERROR(__xludf.DUMMYFUNCTION("""COMPUTED_VALUE"""),1)</f>
        <v>1</v>
      </c>
      <c r="M991" s="3">
        <f ca="1">IFERROR(__xludf.DUMMYFUNCTION("""COMPUTED_VALUE"""),0)</f>
        <v>0</v>
      </c>
      <c r="N991" s="3" t="str">
        <f ca="1">IFERROR(__xludf.DUMMYFUNCTION("""COMPUTED_VALUE"""),"2055-06-13T19:12:58.158263Z")</f>
        <v>2055-06-13T19:12:58.158263Z</v>
      </c>
      <c r="O991" s="3" t="str">
        <f ca="1">IFERROR(__xludf.DUMMYFUNCTION("""COMPUTED_VALUE"""),"2055-06-13T19:29:59.027889Z")</f>
        <v>2055-06-13T19:29:59.027889Z</v>
      </c>
      <c r="P991" s="3" t="str">
        <f ca="1">IFERROR(__xludf.DUMMYFUNCTION("""COMPUTED_VALUE"""),"2055-06-13T19:02:34.121661Z")</f>
        <v>2055-06-13T19:02:34.121661Z</v>
      </c>
      <c r="Q991" s="3">
        <f ca="1">IFERROR(__xludf.DUMMYFUNCTION("""COMPUTED_VALUE"""),0)</f>
        <v>0</v>
      </c>
      <c r="R991" s="3" t="str">
        <f ca="1">IFERROR(__xludf.DUMMYFUNCTION("""COMPUTED_VALUE"""),"2055-06-13T19:02:45.009199Z")</f>
        <v>2055-06-13T19:02:45.009199Z</v>
      </c>
      <c r="S991" s="3" t="str">
        <f ca="1">IFERROR(__xludf.DUMMYFUNCTION("""COMPUTED_VALUE"""),"2055-06-13T19:07:19.870579Z")</f>
        <v>2055-06-13T19:07:19.870579Z</v>
      </c>
      <c r="T991" s="3"/>
      <c r="U991" s="4">
        <f ca="1">IFERROR(__xludf.DUMMYFUNCTION("""COMPUTED_VALUE"""),56778)</f>
        <v>56778</v>
      </c>
      <c r="V991" s="3">
        <f ca="1">IFERROR(__xludf.DUMMYFUNCTION("""COMPUTED_VALUE"""),4.3)</f>
        <v>4.3</v>
      </c>
      <c r="W991" s="3">
        <f ca="1">IFERROR(__xludf.DUMMYFUNCTION("""COMPUTED_VALUE"""),1500)</f>
        <v>1500</v>
      </c>
      <c r="X991" s="3">
        <f ca="1">IFERROR(__xludf.DUMMYFUNCTION("""COMPUTED_VALUE"""),1634)</f>
        <v>1634</v>
      </c>
      <c r="Y991" s="3">
        <f ca="1">IFERROR(__xludf.DUMMYFUNCTION("""COMPUTED_VALUE"""),274)</f>
        <v>274</v>
      </c>
      <c r="Z991" s="3">
        <f ca="1">IFERROR(__xludf.DUMMYFUNCTION("""COMPUTED_VALUE"""),339)</f>
        <v>339</v>
      </c>
      <c r="AA991" s="3">
        <f ca="1">IFERROR(__xludf.DUMMYFUNCTION("""COMPUTED_VALUE"""),1021)</f>
        <v>1021</v>
      </c>
      <c r="AB991" s="3">
        <f ca="1">IFERROR(__xludf.DUMMYFUNCTION("""COMPUTED_VALUE"""),1)</f>
        <v>1</v>
      </c>
      <c r="AC991" s="3">
        <f ca="1">IFERROR(__xludf.DUMMYFUNCTION("""COMPUTED_VALUE"""),1)</f>
        <v>1</v>
      </c>
      <c r="AD991" s="3"/>
      <c r="AE991" s="3" t="str">
        <f ca="1">IFERROR(__xludf.DUMMYFUNCTION("""COMPUTED_VALUE"""),"2055-06-13T15:12:58.158263Z")</f>
        <v>2055-06-13T15:12:58.158263Z</v>
      </c>
      <c r="AF991" s="3" t="str">
        <f ca="1">IFERROR(__xludf.DUMMYFUNCTION("""COMPUTED_VALUE"""),"2055-06-13T15:29:59.027889Z")</f>
        <v>2055-06-13T15:29:59.027889Z</v>
      </c>
      <c r="AG991" s="3" t="str">
        <f ca="1">IFERROR(__xludf.DUMMYFUNCTION("""COMPUTED_VALUE"""),"2055-06-13T15:02:34.121661Z")</f>
        <v>2055-06-13T15:02:34.121661Z</v>
      </c>
      <c r="AH991" s="3" t="str">
        <f ca="1">IFERROR(__xludf.DUMMYFUNCTION("""COMPUTED_VALUE"""),"2055-06-13T15:07:19.870579Z")</f>
        <v>2055-06-13T15:07:19.870579Z</v>
      </c>
      <c r="AI991" s="3">
        <f ca="1">IFERROR(__xludf.DUMMYFUNCTION("""COMPUTED_VALUE"""),4.63)</f>
        <v>4.63</v>
      </c>
      <c r="AJ991" s="3">
        <f ca="1">IFERROR(__xludf.DUMMYFUNCTION("""COMPUTED_VALUE"""),242)</f>
        <v>242</v>
      </c>
      <c r="AK991" s="3">
        <f ca="1">IFERROR(__xludf.DUMMYFUNCTION("""COMPUTED_VALUE"""),736)</f>
        <v>736</v>
      </c>
      <c r="AL991" s="3"/>
      <c r="AM991" s="3">
        <f>IFERROR(Raw_Data!AL991 / Raw_Data!AK991, "")</f>
        <v>0</v>
      </c>
      <c r="AN991" s="3" t="str">
        <f>IF(ISBLANK(Raw_Data!AL991), "No", "Yes")</f>
        <v>No</v>
      </c>
      <c r="AO991" s="3">
        <f>IFERROR(Raw_Data!Z991/60, "")</f>
        <v>5.65</v>
      </c>
    </row>
    <row r="992" spans="1:41" ht="13">
      <c r="A992" s="3">
        <f ca="1">IFERROR(__xludf.DUMMYFUNCTION("""COMPUTED_VALUE"""),79)</f>
        <v>79</v>
      </c>
      <c r="B992" s="3"/>
      <c r="C992" s="3">
        <f ca="1">IFERROR(__xludf.DUMMYFUNCTION("""COMPUTED_VALUE"""),4050)</f>
        <v>4050</v>
      </c>
      <c r="D992" s="3" t="str">
        <f ca="1">IFERROR(__xludf.DUMMYFUNCTION("""COMPUTED_VALUE"""),"Doorlanta")</f>
        <v>Doorlanta</v>
      </c>
      <c r="E992" s="3" t="str">
        <f ca="1">IFERROR(__xludf.DUMMYFUNCTION("""COMPUTED_VALUE"""),"Galaxy A")</f>
        <v>Galaxy A</v>
      </c>
      <c r="F992" s="3" t="str">
        <f ca="1">IFERROR(__xludf.DUMMYFUNCTION("""COMPUTED_VALUE"""),"Merissa")</f>
        <v>Merissa</v>
      </c>
      <c r="G992" s="3">
        <f ca="1">IFERROR(__xludf.DUMMYFUNCTION("""COMPUTED_VALUE"""),0)</f>
        <v>0</v>
      </c>
      <c r="H992" s="3" t="str">
        <f ca="1">IFERROR(__xludf.DUMMYFUNCTION("""COMPUTED_VALUE"""),"car")</f>
        <v>car</v>
      </c>
      <c r="I992" s="3" t="str">
        <f ca="1">IFERROR(__xludf.DUMMYFUNCTION("""COMPUTED_VALUE"""),"2055-06-01T23:22:31.663827Z")</f>
        <v>2055-06-01T23:22:31.663827Z</v>
      </c>
      <c r="J992" s="3" t="str">
        <f ca="1">IFERROR(__xludf.DUMMYFUNCTION("""COMPUTED_VALUE"""),"2055-06-02T00:14:17.764Z")</f>
        <v>2055-06-02T00:14:17.764Z</v>
      </c>
      <c r="K992" s="3" t="str">
        <f ca="1">IFERROR(__xludf.DUMMYFUNCTION("""COMPUTED_VALUE"""),"2055-06-01T23:59:10.764Z")</f>
        <v>2055-06-01T23:59:10.764Z</v>
      </c>
      <c r="L992" s="3">
        <f ca="1">IFERROR(__xludf.DUMMYFUNCTION("""COMPUTED_VALUE"""),1)</f>
        <v>1</v>
      </c>
      <c r="M992" s="3">
        <f ca="1">IFERROR(__xludf.DUMMYFUNCTION("""COMPUTED_VALUE"""),0)</f>
        <v>0</v>
      </c>
      <c r="N992" s="3" t="str">
        <f ca="1">IFERROR(__xludf.DUMMYFUNCTION("""COMPUTED_VALUE"""),"2055-06-01T23:36:02.644694Z")</f>
        <v>2055-06-01T23:36:02.644694Z</v>
      </c>
      <c r="O992" s="3" t="str">
        <f ca="1">IFERROR(__xludf.DUMMYFUNCTION("""COMPUTED_VALUE"""),"2055-06-01T23:48:19.059803Z")</f>
        <v>2055-06-01T23:48:19.059803Z</v>
      </c>
      <c r="P992" s="3" t="str">
        <f ca="1">IFERROR(__xludf.DUMMYFUNCTION("""COMPUTED_VALUE"""),"2055-06-01T23:22:47.448275Z")</f>
        <v>2055-06-01T23:22:47.448275Z</v>
      </c>
      <c r="Q992" s="3">
        <f ca="1">IFERROR(__xludf.DUMMYFUNCTION("""COMPUTED_VALUE"""),0)</f>
        <v>0</v>
      </c>
      <c r="R992" s="3" t="str">
        <f ca="1">IFERROR(__xludf.DUMMYFUNCTION("""COMPUTED_VALUE"""),"2055-06-01T23:23:02.19767Z")</f>
        <v>2055-06-01T23:23:02.19767Z</v>
      </c>
      <c r="S992" s="3" t="str">
        <f ca="1">IFERROR(__xludf.DUMMYFUNCTION("""COMPUTED_VALUE"""),"2055-06-01T23:36:43.071725Z")</f>
        <v>2055-06-01T23:36:43.071725Z</v>
      </c>
      <c r="T992" s="3"/>
      <c r="U992" s="4">
        <f ca="1">IFERROR(__xludf.DUMMYFUNCTION("""COMPUTED_VALUE"""),56766)</f>
        <v>56766</v>
      </c>
      <c r="V992" s="3">
        <f ca="1">IFERROR(__xludf.DUMMYFUNCTION("""COMPUTED_VALUE"""),4.7)</f>
        <v>4.7</v>
      </c>
      <c r="W992" s="3">
        <f ca="1">IFERROR(__xludf.DUMMYFUNCTION("""COMPUTED_VALUE"""),1500)</f>
        <v>1500</v>
      </c>
      <c r="X992" s="3">
        <f ca="1">IFERROR(__xludf.DUMMYFUNCTION("""COMPUTED_VALUE"""),1517)</f>
        <v>1517</v>
      </c>
      <c r="Y992" s="3">
        <f ca="1">IFERROR(__xludf.DUMMYFUNCTION("""COMPUTED_VALUE"""),821)</f>
        <v>821</v>
      </c>
      <c r="Z992" s="3"/>
      <c r="AA992" s="3">
        <f ca="1">IFERROR(__xludf.DUMMYFUNCTION("""COMPUTED_VALUE"""),737)</f>
        <v>737</v>
      </c>
      <c r="AB992" s="3">
        <f ca="1">IFERROR(__xludf.DUMMYFUNCTION("""COMPUTED_VALUE"""),0)</f>
        <v>0</v>
      </c>
      <c r="AC992" s="3">
        <f ca="1">IFERROR(__xludf.DUMMYFUNCTION("""COMPUTED_VALUE"""),2)</f>
        <v>2</v>
      </c>
      <c r="AD992" s="3" t="str">
        <f ca="1">IFERROR(__xludf.DUMMYFUNCTION("""COMPUTED_VALUE"""),"late")</f>
        <v>late</v>
      </c>
      <c r="AE992" s="3" t="str">
        <f ca="1">IFERROR(__xludf.DUMMYFUNCTION("""COMPUTED_VALUE"""),"2055-06-01T19:36:02.644694Z")</f>
        <v>2055-06-01T19:36:02.644694Z</v>
      </c>
      <c r="AF992" s="3" t="str">
        <f ca="1">IFERROR(__xludf.DUMMYFUNCTION("""COMPUTED_VALUE"""),"2055-06-01T19:48:19.059803Z")</f>
        <v>2055-06-01T19:48:19.059803Z</v>
      </c>
      <c r="AG992" s="3" t="str">
        <f ca="1">IFERROR(__xludf.DUMMYFUNCTION("""COMPUTED_VALUE"""),"2055-06-01T19:22:47.448275Z")</f>
        <v>2055-06-01T19:22:47.448275Z</v>
      </c>
      <c r="AH992" s="3" t="str">
        <f ca="1">IFERROR(__xludf.DUMMYFUNCTION("""COMPUTED_VALUE"""),"2055-06-01T19:36:43.071725Z")</f>
        <v>2055-06-01T19:36:43.071725Z</v>
      </c>
      <c r="AI992" s="3">
        <f ca="1">IFERROR(__xludf.DUMMYFUNCTION("""COMPUTED_VALUE"""),4.58)</f>
        <v>4.58</v>
      </c>
      <c r="AJ992" s="3">
        <f ca="1">IFERROR(__xludf.DUMMYFUNCTION("""COMPUTED_VALUE"""),679)</f>
        <v>679</v>
      </c>
      <c r="AK992" s="3">
        <f ca="1">IFERROR(__xludf.DUMMYFUNCTION("""COMPUTED_VALUE"""),2371)</f>
        <v>2371</v>
      </c>
      <c r="AL992" s="3">
        <f ca="1">IFERROR(__xludf.DUMMYFUNCTION("""COMPUTED_VALUE"""),1830)</f>
        <v>1830</v>
      </c>
      <c r="AM992" s="3">
        <f>IFERROR(Raw_Data!AL992 / Raw_Data!AK992, "")</f>
        <v>0.7718262336566849</v>
      </c>
      <c r="AN992" s="3" t="str">
        <f>IF(ISBLANK(Raw_Data!AL992), "No", "Yes")</f>
        <v>Yes</v>
      </c>
      <c r="AO992" s="3">
        <f>IFERROR(Raw_Data!Z992/60, "")</f>
        <v>0</v>
      </c>
    </row>
    <row r="993" spans="1:41" ht="13">
      <c r="A993" s="3">
        <f ca="1">IFERROR(__xludf.DUMMYFUNCTION("""COMPUTED_VALUE"""),708)</f>
        <v>708</v>
      </c>
      <c r="B993" s="3">
        <f ca="1">IFERROR(__xludf.DUMMYFUNCTION("""COMPUTED_VALUE"""),5)</f>
        <v>5</v>
      </c>
      <c r="C993" s="3">
        <f ca="1">IFERROR(__xludf.DUMMYFUNCTION("""COMPUTED_VALUE"""),4050)</f>
        <v>4050</v>
      </c>
      <c r="D993" s="3" t="str">
        <f ca="1">IFERROR(__xludf.DUMMYFUNCTION("""COMPUTED_VALUE"""),"Doorlanta")</f>
        <v>Doorlanta</v>
      </c>
      <c r="E993" s="3" t="str">
        <f ca="1">IFERROR(__xludf.DUMMYFUNCTION("""COMPUTED_VALUE"""),"Galaxy A")</f>
        <v>Galaxy A</v>
      </c>
      <c r="F993" s="3" t="str">
        <f ca="1">IFERROR(__xludf.DUMMYFUNCTION("""COMPUTED_VALUE"""),"Ajay")</f>
        <v>Ajay</v>
      </c>
      <c r="G993" s="3">
        <f ca="1">IFERROR(__xludf.DUMMYFUNCTION("""COMPUTED_VALUE"""),0)</f>
        <v>0</v>
      </c>
      <c r="H993" s="3" t="str">
        <f ca="1">IFERROR(__xludf.DUMMYFUNCTION("""COMPUTED_VALUE"""),"car")</f>
        <v>car</v>
      </c>
      <c r="I993" s="3" t="str">
        <f ca="1">IFERROR(__xludf.DUMMYFUNCTION("""COMPUTED_VALUE"""),"2055-06-06T00:42:57.779612Z")</f>
        <v>2055-06-06T00:42:57.779612Z</v>
      </c>
      <c r="J993" s="3" t="str">
        <f ca="1">IFERROR(__xludf.DUMMYFUNCTION("""COMPUTED_VALUE"""),"2055-06-06T01:39:22.933Z")</f>
        <v>2055-06-06T01:39:22.933Z</v>
      </c>
      <c r="K993" s="3" t="str">
        <f ca="1">IFERROR(__xludf.DUMMYFUNCTION("""COMPUTED_VALUE"""),"2055-06-06T01:17:28.933Z")</f>
        <v>2055-06-06T01:17:28.933Z</v>
      </c>
      <c r="L993" s="3">
        <f ca="1">IFERROR(__xludf.DUMMYFUNCTION("""COMPUTED_VALUE"""),1)</f>
        <v>1</v>
      </c>
      <c r="M993" s="3">
        <f ca="1">IFERROR(__xludf.DUMMYFUNCTION("""COMPUTED_VALUE"""),0)</f>
        <v>0</v>
      </c>
      <c r="N993" s="3" t="str">
        <f ca="1">IFERROR(__xludf.DUMMYFUNCTION("""COMPUTED_VALUE"""),"2055-06-06T01:20:41.368042Z")</f>
        <v>2055-06-06T01:20:41.368042Z</v>
      </c>
      <c r="O993" s="3" t="str">
        <f ca="1">IFERROR(__xludf.DUMMYFUNCTION("""COMPUTED_VALUE"""),"2055-06-06T01:28:12.782758Z")</f>
        <v>2055-06-06T01:28:12.782758Z</v>
      </c>
      <c r="P993" s="3" t="str">
        <f ca="1">IFERROR(__xludf.DUMMYFUNCTION("""COMPUTED_VALUE"""),"2055-06-06T01:00:27.401252Z")</f>
        <v>2055-06-06T01:00:27.401252Z</v>
      </c>
      <c r="Q993" s="3">
        <f ca="1">IFERROR(__xludf.DUMMYFUNCTION("""COMPUTED_VALUE"""),0)</f>
        <v>0</v>
      </c>
      <c r="R993" s="3" t="str">
        <f ca="1">IFERROR(__xludf.DUMMYFUNCTION("""COMPUTED_VALUE"""),"2055-06-06T01:00:33.079596Z")</f>
        <v>2055-06-06T01:00:33.079596Z</v>
      </c>
      <c r="S993" s="3" t="str">
        <f ca="1">IFERROR(__xludf.DUMMYFUNCTION("""COMPUTED_VALUE"""),"2055-06-06T01:04:36.312391Z")</f>
        <v>2055-06-06T01:04:36.312391Z</v>
      </c>
      <c r="T993" s="3"/>
      <c r="U993" s="4">
        <f ca="1">IFERROR(__xludf.DUMMYFUNCTION("""COMPUTED_VALUE"""),56770)</f>
        <v>56770</v>
      </c>
      <c r="V993" s="3">
        <f ca="1">IFERROR(__xludf.DUMMYFUNCTION("""COMPUTED_VALUE"""),4.5)</f>
        <v>4.5</v>
      </c>
      <c r="W993" s="3">
        <f ca="1">IFERROR(__xludf.DUMMYFUNCTION("""COMPUTED_VALUE"""),1500)</f>
        <v>1500</v>
      </c>
      <c r="X993" s="3">
        <f ca="1">IFERROR(__xludf.DUMMYFUNCTION("""COMPUTED_VALUE"""),1659)</f>
        <v>1659</v>
      </c>
      <c r="Y993" s="3">
        <f ca="1">IFERROR(__xludf.DUMMYFUNCTION("""COMPUTED_VALUE"""),243)</f>
        <v>243</v>
      </c>
      <c r="Z993" s="3">
        <f ca="1">IFERROR(__xludf.DUMMYFUNCTION("""COMPUTED_VALUE"""),965)</f>
        <v>965</v>
      </c>
      <c r="AA993" s="3">
        <f ca="1">IFERROR(__xludf.DUMMYFUNCTION("""COMPUTED_VALUE"""),451)</f>
        <v>451</v>
      </c>
      <c r="AB993" s="3">
        <f ca="1">IFERROR(__xludf.DUMMYFUNCTION("""COMPUTED_VALUE"""),0)</f>
        <v>0</v>
      </c>
      <c r="AC993" s="3">
        <f ca="1">IFERROR(__xludf.DUMMYFUNCTION("""COMPUTED_VALUE"""),3)</f>
        <v>3</v>
      </c>
      <c r="AD993" s="3" t="str">
        <f ca="1">IFERROR(__xludf.DUMMYFUNCTION("""COMPUTED_VALUE"""),"early")</f>
        <v>early</v>
      </c>
      <c r="AE993" s="3" t="str">
        <f ca="1">IFERROR(__xludf.DUMMYFUNCTION("""COMPUTED_VALUE"""),"2055-06-05T21:20:41.368042Z")</f>
        <v>2055-06-05T21:20:41.368042Z</v>
      </c>
      <c r="AF993" s="3" t="str">
        <f ca="1">IFERROR(__xludf.DUMMYFUNCTION("""COMPUTED_VALUE"""),"2055-06-05T21:28:12.782758Z")</f>
        <v>2055-06-05T21:28:12.782758Z</v>
      </c>
      <c r="AG993" s="3" t="str">
        <f ca="1">IFERROR(__xludf.DUMMYFUNCTION("""COMPUTED_VALUE"""),"2055-06-05T21:00:27.401252Z")</f>
        <v>2055-06-05T21:00:27.401252Z</v>
      </c>
      <c r="AH993" s="3" t="str">
        <f ca="1">IFERROR(__xludf.DUMMYFUNCTION("""COMPUTED_VALUE"""),"2055-06-05T21:04:36.312391Z")</f>
        <v>2055-06-05T21:04:36.312391Z</v>
      </c>
      <c r="AI993" s="3">
        <f ca="1">IFERROR(__xludf.DUMMYFUNCTION("""COMPUTED_VALUE"""),4.57)</f>
        <v>4.57</v>
      </c>
      <c r="AJ993" s="3">
        <f ca="1">IFERROR(__xludf.DUMMYFUNCTION("""COMPUTED_VALUE"""),234)</f>
        <v>234</v>
      </c>
      <c r="AK993" s="3">
        <f ca="1">IFERROR(__xludf.DUMMYFUNCTION("""COMPUTED_VALUE"""),726)</f>
        <v>726</v>
      </c>
      <c r="AL993" s="3">
        <f ca="1">IFERROR(__xludf.DUMMYFUNCTION("""COMPUTED_VALUE"""),99)</f>
        <v>99</v>
      </c>
      <c r="AM993" s="3">
        <f>IFERROR(Raw_Data!AL993 / Raw_Data!AK993, "")</f>
        <v>0.13636363636363635</v>
      </c>
      <c r="AN993" s="3" t="str">
        <f>IF(ISBLANK(Raw_Data!AL993), "No", "Yes")</f>
        <v>Yes</v>
      </c>
      <c r="AO993" s="3">
        <f>IFERROR(Raw_Data!Z993/60, "")</f>
        <v>16.083333333333332</v>
      </c>
    </row>
    <row r="994" spans="1:41" ht="13">
      <c r="A994" s="3">
        <f ca="1">IFERROR(__xludf.DUMMYFUNCTION("""COMPUTED_VALUE"""),298)</f>
        <v>298</v>
      </c>
      <c r="B994" s="3">
        <f ca="1">IFERROR(__xludf.DUMMYFUNCTION("""COMPUTED_VALUE"""),5)</f>
        <v>5</v>
      </c>
      <c r="C994" s="3">
        <f ca="1">IFERROR(__xludf.DUMMYFUNCTION("""COMPUTED_VALUE"""),4001)</f>
        <v>4001</v>
      </c>
      <c r="D994" s="3" t="str">
        <f ca="1">IFERROR(__xludf.DUMMYFUNCTION("""COMPUTED_VALUE"""),"Dashattan")</f>
        <v>Dashattan</v>
      </c>
      <c r="E994" s="3" t="str">
        <f ca="1">IFERROR(__xludf.DUMMYFUNCTION("""COMPUTED_VALUE"""),"Galaxy A")</f>
        <v>Galaxy A</v>
      </c>
      <c r="F994" s="3" t="str">
        <f ca="1">IFERROR(__xludf.DUMMYFUNCTION("""COMPUTED_VALUE"""),"Samm")</f>
        <v>Samm</v>
      </c>
      <c r="G994" s="3">
        <f ca="1">IFERROR(__xludf.DUMMYFUNCTION("""COMPUTED_VALUE"""),0)</f>
        <v>0</v>
      </c>
      <c r="H994" s="3" t="str">
        <f ca="1">IFERROR(__xludf.DUMMYFUNCTION("""COMPUTED_VALUE"""),"car")</f>
        <v>car</v>
      </c>
      <c r="I994" s="3" t="str">
        <f ca="1">IFERROR(__xludf.DUMMYFUNCTION("""COMPUTED_VALUE"""),"2055-06-03T17:31:31.391234Z")</f>
        <v>2055-06-03T17:31:31.391234Z</v>
      </c>
      <c r="J994" s="3" t="str">
        <f ca="1">IFERROR(__xludf.DUMMYFUNCTION("""COMPUTED_VALUE"""),"2055-06-03T18:24:31.46Z")</f>
        <v>2055-06-03T18:24:31.46Z</v>
      </c>
      <c r="K994" s="3" t="str">
        <f ca="1">IFERROR(__xludf.DUMMYFUNCTION("""COMPUTED_VALUE"""),"2055-06-03T18:04:52.46Z")</f>
        <v>2055-06-03T18:04:52.46Z</v>
      </c>
      <c r="L994" s="3">
        <f ca="1">IFERROR(__xludf.DUMMYFUNCTION("""COMPUTED_VALUE"""),1)</f>
        <v>1</v>
      </c>
      <c r="M994" s="3">
        <f ca="1">IFERROR(__xludf.DUMMYFUNCTION("""COMPUTED_VALUE"""),0)</f>
        <v>0</v>
      </c>
      <c r="N994" s="3" t="str">
        <f ca="1">IFERROR(__xludf.DUMMYFUNCTION("""COMPUTED_VALUE"""),"2055-06-03T17:54:59.653889Z")</f>
        <v>2055-06-03T17:54:59.653889Z</v>
      </c>
      <c r="O994" s="3" t="str">
        <f ca="1">IFERROR(__xludf.DUMMYFUNCTION("""COMPUTED_VALUE"""),"2055-06-03T18:10:33.94675Z")</f>
        <v>2055-06-03T18:10:33.94675Z</v>
      </c>
      <c r="P994" s="3" t="str">
        <f ca="1">IFERROR(__xludf.DUMMYFUNCTION("""COMPUTED_VALUE"""),"2055-06-03T17:34:54.618783Z")</f>
        <v>2055-06-03T17:34:54.618783Z</v>
      </c>
      <c r="Q994" s="3">
        <f ca="1">IFERROR(__xludf.DUMMYFUNCTION("""COMPUTED_VALUE"""),0)</f>
        <v>0</v>
      </c>
      <c r="R994" s="3" t="str">
        <f ca="1">IFERROR(__xludf.DUMMYFUNCTION("""COMPUTED_VALUE"""),"2055-06-03T17:35:08.659897Z")</f>
        <v>2055-06-03T17:35:08.659897Z</v>
      </c>
      <c r="S994" s="3" t="str">
        <f ca="1">IFERROR(__xludf.DUMMYFUNCTION("""COMPUTED_VALUE"""),"2055-06-03T17:43:22.277984Z")</f>
        <v>2055-06-03T17:43:22.277984Z</v>
      </c>
      <c r="T994" s="3"/>
      <c r="U994" s="4">
        <f ca="1">IFERROR(__xludf.DUMMYFUNCTION("""COMPUTED_VALUE"""),56768)</f>
        <v>56768</v>
      </c>
      <c r="V994" s="3">
        <f ca="1">IFERROR(__xludf.DUMMYFUNCTION("""COMPUTED_VALUE"""),4.6)</f>
        <v>4.5999999999999996</v>
      </c>
      <c r="W994" s="3">
        <f ca="1">IFERROR(__xludf.DUMMYFUNCTION("""COMPUTED_VALUE"""),1500)</f>
        <v>1500</v>
      </c>
      <c r="X994" s="3">
        <f ca="1">IFERROR(__xludf.DUMMYFUNCTION("""COMPUTED_VALUE"""),2125)</f>
        <v>2125</v>
      </c>
      <c r="Y994" s="3">
        <f ca="1">IFERROR(__xludf.DUMMYFUNCTION("""COMPUTED_VALUE"""),494)</f>
        <v>494</v>
      </c>
      <c r="Z994" s="3">
        <f ca="1">IFERROR(__xludf.DUMMYFUNCTION("""COMPUTED_VALUE"""),697)</f>
        <v>697</v>
      </c>
      <c r="AA994" s="3">
        <f ca="1">IFERROR(__xludf.DUMMYFUNCTION("""COMPUTED_VALUE"""),934)</f>
        <v>934</v>
      </c>
      <c r="AB994" s="3">
        <f ca="1">IFERROR(__xludf.DUMMYFUNCTION("""COMPUTED_VALUE"""),0)</f>
        <v>0</v>
      </c>
      <c r="AC994" s="3">
        <f ca="1">IFERROR(__xludf.DUMMYFUNCTION("""COMPUTED_VALUE"""),2)</f>
        <v>2</v>
      </c>
      <c r="AD994" s="3" t="str">
        <f ca="1">IFERROR(__xludf.DUMMYFUNCTION("""COMPUTED_VALUE"""),"on time")</f>
        <v>on time</v>
      </c>
      <c r="AE994" s="3" t="str">
        <f ca="1">IFERROR(__xludf.DUMMYFUNCTION("""COMPUTED_VALUE"""),"2055-06-03T13:54:59.653889Z")</f>
        <v>2055-06-03T13:54:59.653889Z</v>
      </c>
      <c r="AF994" s="3" t="str">
        <f ca="1">IFERROR(__xludf.DUMMYFUNCTION("""COMPUTED_VALUE"""),"2055-06-03T14:10:33.94675Z")</f>
        <v>2055-06-03T14:10:33.94675Z</v>
      </c>
      <c r="AG994" s="3" t="str">
        <f ca="1">IFERROR(__xludf.DUMMYFUNCTION("""COMPUTED_VALUE"""),"2055-06-03T13:34:54.618783Z")</f>
        <v>2055-06-03T13:34:54.618783Z</v>
      </c>
      <c r="AH994" s="3" t="str">
        <f ca="1">IFERROR(__xludf.DUMMYFUNCTION("""COMPUTED_VALUE"""),"2055-06-03T13:43:22.277984Z")</f>
        <v>2055-06-03T13:43:22.277984Z</v>
      </c>
      <c r="AI994" s="3">
        <f ca="1">IFERROR(__xludf.DUMMYFUNCTION("""COMPUTED_VALUE"""),4.03)</f>
        <v>4.03</v>
      </c>
      <c r="AJ994" s="3">
        <f ca="1">IFERROR(__xludf.DUMMYFUNCTION("""COMPUTED_VALUE"""),505)</f>
        <v>505</v>
      </c>
      <c r="AK994" s="3">
        <f ca="1">IFERROR(__xludf.DUMMYFUNCTION("""COMPUTED_VALUE"""),1721)</f>
        <v>1721</v>
      </c>
      <c r="AL994" s="3">
        <f ca="1">IFERROR(__xludf.DUMMYFUNCTION("""COMPUTED_VALUE"""),457)</f>
        <v>457</v>
      </c>
      <c r="AM994" s="3">
        <f>IFERROR(Raw_Data!AL994 / Raw_Data!AK994, "")</f>
        <v>0.26554328878558975</v>
      </c>
      <c r="AN994" s="3" t="str">
        <f>IF(ISBLANK(Raw_Data!AL994), "No", "Yes")</f>
        <v>Yes</v>
      </c>
      <c r="AO994" s="3">
        <f>IFERROR(Raw_Data!Z994/60, "")</f>
        <v>11.616666666666667</v>
      </c>
    </row>
    <row r="995" spans="1:41" ht="13">
      <c r="A995" s="3">
        <f ca="1">IFERROR(__xludf.DUMMYFUNCTION("""COMPUTED_VALUE"""),266)</f>
        <v>266</v>
      </c>
      <c r="B995" s="3">
        <f ca="1">IFERROR(__xludf.DUMMYFUNCTION("""COMPUTED_VALUE"""),4)</f>
        <v>4</v>
      </c>
      <c r="C995" s="3">
        <f ca="1">IFERROR(__xludf.DUMMYFUNCTION("""COMPUTED_VALUE"""),4050)</f>
        <v>4050</v>
      </c>
      <c r="D995" s="3" t="str">
        <f ca="1">IFERROR(__xludf.DUMMYFUNCTION("""COMPUTED_VALUE"""),"Doorlanta")</f>
        <v>Doorlanta</v>
      </c>
      <c r="E995" s="3" t="str">
        <f ca="1">IFERROR(__xludf.DUMMYFUNCTION("""COMPUTED_VALUE"""),"Galaxy A")</f>
        <v>Galaxy A</v>
      </c>
      <c r="F995" s="3" t="str">
        <f ca="1">IFERROR(__xludf.DUMMYFUNCTION("""COMPUTED_VALUE"""),"Ash")</f>
        <v>Ash</v>
      </c>
      <c r="G995" s="3">
        <f ca="1">IFERROR(__xludf.DUMMYFUNCTION("""COMPUTED_VALUE"""),0)</f>
        <v>0</v>
      </c>
      <c r="H995" s="3" t="str">
        <f ca="1">IFERROR(__xludf.DUMMYFUNCTION("""COMPUTED_VALUE"""),"car")</f>
        <v>car</v>
      </c>
      <c r="I995" s="3" t="str">
        <f ca="1">IFERROR(__xludf.DUMMYFUNCTION("""COMPUTED_VALUE"""),"2055-06-03T15:29:14.460893Z")</f>
        <v>2055-06-03T15:29:14.460893Z</v>
      </c>
      <c r="J995" s="3" t="str">
        <f ca="1">IFERROR(__xludf.DUMMYFUNCTION("""COMPUTED_VALUE"""),"2055-06-03T16:30:35.55Z")</f>
        <v>2055-06-03T16:30:35.55Z</v>
      </c>
      <c r="K995" s="3" t="str">
        <f ca="1">IFERROR(__xludf.DUMMYFUNCTION("""COMPUTED_VALUE"""),"2055-06-03T16:20:28.55Z")</f>
        <v>2055-06-03T16:20:28.55Z</v>
      </c>
      <c r="L995" s="3">
        <f ca="1">IFERROR(__xludf.DUMMYFUNCTION("""COMPUTED_VALUE"""),1)</f>
        <v>1</v>
      </c>
      <c r="M995" s="3">
        <f ca="1">IFERROR(__xludf.DUMMYFUNCTION("""COMPUTED_VALUE"""),0)</f>
        <v>0</v>
      </c>
      <c r="N995" s="3" t="str">
        <f ca="1">IFERROR(__xludf.DUMMYFUNCTION("""COMPUTED_VALUE"""),"2055-06-03T16:25:21.131015Z")</f>
        <v>2055-06-03T16:25:21.131015Z</v>
      </c>
      <c r="O995" s="3" t="str">
        <f ca="1">IFERROR(__xludf.DUMMYFUNCTION("""COMPUTED_VALUE"""),"2055-06-03T16:31:22.130197Z")</f>
        <v>2055-06-03T16:31:22.130197Z</v>
      </c>
      <c r="P995" s="3" t="str">
        <f ca="1">IFERROR(__xludf.DUMMYFUNCTION("""COMPUTED_VALUE"""),"2055-06-03T15:57:07.703645Z")</f>
        <v>2055-06-03T15:57:07.703645Z</v>
      </c>
      <c r="Q995" s="3">
        <f ca="1">IFERROR(__xludf.DUMMYFUNCTION("""COMPUTED_VALUE"""),0)</f>
        <v>0</v>
      </c>
      <c r="R995" s="3" t="str">
        <f ca="1">IFERROR(__xludf.DUMMYFUNCTION("""COMPUTED_VALUE"""),"2055-06-03T15:57:16.109228Z")</f>
        <v>2055-06-03T15:57:16.109228Z</v>
      </c>
      <c r="S995" s="3" t="str">
        <f ca="1">IFERROR(__xludf.DUMMYFUNCTION("""COMPUTED_VALUE"""),"2055-06-03T16:19:52.45733Z")</f>
        <v>2055-06-03T16:19:52.45733Z</v>
      </c>
      <c r="T995" s="3"/>
      <c r="U995" s="4">
        <f ca="1">IFERROR(__xludf.DUMMYFUNCTION("""COMPUTED_VALUE"""),56768)</f>
        <v>56768</v>
      </c>
      <c r="V995" s="3">
        <f ca="1">IFERROR(__xludf.DUMMYFUNCTION("""COMPUTED_VALUE"""),4.5)</f>
        <v>4.5</v>
      </c>
      <c r="W995" s="3">
        <f ca="1">IFERROR(__xludf.DUMMYFUNCTION("""COMPUTED_VALUE"""),1500)</f>
        <v>1500</v>
      </c>
      <c r="X995" s="3">
        <f ca="1">IFERROR(__xludf.DUMMYFUNCTION("""COMPUTED_VALUE"""),2046)</f>
        <v>2046</v>
      </c>
      <c r="Y995" s="3">
        <f ca="1">IFERROR(__xludf.DUMMYFUNCTION("""COMPUTED_VALUE"""),1356)</f>
        <v>1356</v>
      </c>
      <c r="Z995" s="3">
        <f ca="1">IFERROR(__xludf.DUMMYFUNCTION("""COMPUTED_VALUE"""),329)</f>
        <v>329</v>
      </c>
      <c r="AA995" s="3">
        <f ca="1">IFERROR(__xludf.DUMMYFUNCTION("""COMPUTED_VALUE"""),361)</f>
        <v>361</v>
      </c>
      <c r="AB995" s="3">
        <f ca="1">IFERROR(__xludf.DUMMYFUNCTION("""COMPUTED_VALUE"""),0)</f>
        <v>0</v>
      </c>
      <c r="AC995" s="3">
        <f ca="1">IFERROR(__xludf.DUMMYFUNCTION("""COMPUTED_VALUE"""),4)</f>
        <v>4</v>
      </c>
      <c r="AD995" s="3" t="str">
        <f ca="1">IFERROR(__xludf.DUMMYFUNCTION("""COMPUTED_VALUE"""),"early")</f>
        <v>early</v>
      </c>
      <c r="AE995" s="3" t="str">
        <f ca="1">IFERROR(__xludf.DUMMYFUNCTION("""COMPUTED_VALUE"""),"2055-06-03T12:25:21.131015Z")</f>
        <v>2055-06-03T12:25:21.131015Z</v>
      </c>
      <c r="AF995" s="3" t="str">
        <f ca="1">IFERROR(__xludf.DUMMYFUNCTION("""COMPUTED_VALUE"""),"2055-06-03T12:31:22.130197Z")</f>
        <v>2055-06-03T12:31:22.130197Z</v>
      </c>
      <c r="AG995" s="3" t="str">
        <f ca="1">IFERROR(__xludf.DUMMYFUNCTION("""COMPUTED_VALUE"""),"2055-06-03T11:57:07.703645Z")</f>
        <v>2055-06-03T11:57:07.703645Z</v>
      </c>
      <c r="AH995" s="3" t="str">
        <f ca="1">IFERROR(__xludf.DUMMYFUNCTION("""COMPUTED_VALUE"""),"2055-06-03T12:19:52.45733Z")</f>
        <v>2055-06-03T12:19:52.45733Z</v>
      </c>
      <c r="AI995" s="3">
        <f ca="1">IFERROR(__xludf.DUMMYFUNCTION("""COMPUTED_VALUE"""),4.66)</f>
        <v>4.66</v>
      </c>
      <c r="AJ995" s="3">
        <f ca="1">IFERROR(__xludf.DUMMYFUNCTION("""COMPUTED_VALUE"""),161)</f>
        <v>161</v>
      </c>
      <c r="AK995" s="3">
        <f ca="1">IFERROR(__xludf.DUMMYFUNCTION("""COMPUTED_VALUE"""),398)</f>
        <v>398</v>
      </c>
      <c r="AL995" s="3"/>
      <c r="AM995" s="3">
        <f>IFERROR(Raw_Data!AL995 / Raw_Data!AK995, "")</f>
        <v>0</v>
      </c>
      <c r="AN995" s="3" t="str">
        <f>IF(ISBLANK(Raw_Data!AL995), "No", "Yes")</f>
        <v>No</v>
      </c>
      <c r="AO995" s="3">
        <f>IFERROR(Raw_Data!Z995/60, "")</f>
        <v>5.4833333333333334</v>
      </c>
    </row>
    <row r="996" spans="1:41" ht="13">
      <c r="A996" s="3">
        <f ca="1">IFERROR(__xludf.DUMMYFUNCTION("""COMPUTED_VALUE"""),123)</f>
        <v>123</v>
      </c>
      <c r="B996" s="3">
        <f ca="1">IFERROR(__xludf.DUMMYFUNCTION("""COMPUTED_VALUE"""),1)</f>
        <v>1</v>
      </c>
      <c r="C996" s="3">
        <f ca="1">IFERROR(__xludf.DUMMYFUNCTION("""COMPUTED_VALUE"""),4001)</f>
        <v>4001</v>
      </c>
      <c r="D996" s="3" t="str">
        <f ca="1">IFERROR(__xludf.DUMMYFUNCTION("""COMPUTED_VALUE"""),"Dashattan")</f>
        <v>Dashattan</v>
      </c>
      <c r="E996" s="3" t="str">
        <f ca="1">IFERROR(__xludf.DUMMYFUNCTION("""COMPUTED_VALUE"""),"Galaxy A")</f>
        <v>Galaxy A</v>
      </c>
      <c r="F996" s="3" t="str">
        <f ca="1">IFERROR(__xludf.DUMMYFUNCTION("""COMPUTED_VALUE"""),"KC")</f>
        <v>KC</v>
      </c>
      <c r="G996" s="3">
        <f ca="1">IFERROR(__xludf.DUMMYFUNCTION("""COMPUTED_VALUE"""),0)</f>
        <v>0</v>
      </c>
      <c r="H996" s="3" t="str">
        <f ca="1">IFERROR(__xludf.DUMMYFUNCTION("""COMPUTED_VALUE"""),"car")</f>
        <v>car</v>
      </c>
      <c r="I996" s="3" t="str">
        <f ca="1">IFERROR(__xludf.DUMMYFUNCTION("""COMPUTED_VALUE"""),"2055-06-02T15:20:11.173923Z")</f>
        <v>2055-06-02T15:20:11.173923Z</v>
      </c>
      <c r="J996" s="3" t="str">
        <f ca="1">IFERROR(__xludf.DUMMYFUNCTION("""COMPUTED_VALUE"""),"2055-06-02T16:01:53.235Z")</f>
        <v>2055-06-02T16:01:53.235Z</v>
      </c>
      <c r="K996" s="3" t="str">
        <f ca="1">IFERROR(__xludf.DUMMYFUNCTION("""COMPUTED_VALUE"""),"2055-06-02T15:57:14.235Z")</f>
        <v>2055-06-02T15:57:14.235Z</v>
      </c>
      <c r="L996" s="3">
        <f ca="1">IFERROR(__xludf.DUMMYFUNCTION("""COMPUTED_VALUE"""),1)</f>
        <v>1</v>
      </c>
      <c r="M996" s="3">
        <f ca="1">IFERROR(__xludf.DUMMYFUNCTION("""COMPUTED_VALUE"""),0)</f>
        <v>0</v>
      </c>
      <c r="N996" s="3" t="str">
        <f ca="1">IFERROR(__xludf.DUMMYFUNCTION("""COMPUTED_VALUE"""),"2055-06-02T16:21:39.919107Z")</f>
        <v>2055-06-02T16:21:39.919107Z</v>
      </c>
      <c r="O996" s="3" t="str">
        <f ca="1">IFERROR(__xludf.DUMMYFUNCTION("""COMPUTED_VALUE"""),"2055-06-02T16:44:21.076098Z")</f>
        <v>2055-06-02T16:44:21.076098Z</v>
      </c>
      <c r="P996" s="3" t="str">
        <f ca="1">IFERROR(__xludf.DUMMYFUNCTION("""COMPUTED_VALUE"""),"2055-06-02T15:20:14.109666Z")</f>
        <v>2055-06-02T15:20:14.109666Z</v>
      </c>
      <c r="Q996" s="3">
        <f ca="1">IFERROR(__xludf.DUMMYFUNCTION("""COMPUTED_VALUE"""),0)</f>
        <v>0</v>
      </c>
      <c r="R996" s="3" t="str">
        <f ca="1">IFERROR(__xludf.DUMMYFUNCTION("""COMPUTED_VALUE"""),"2055-06-02T15:20:22.335768Z")</f>
        <v>2055-06-02T15:20:22.335768Z</v>
      </c>
      <c r="S996" s="3" t="str">
        <f ca="1">IFERROR(__xludf.DUMMYFUNCTION("""COMPUTED_VALUE"""),"2055-06-02T15:20:15.505027Z")</f>
        <v>2055-06-02T15:20:15.505027Z</v>
      </c>
      <c r="T996" s="3"/>
      <c r="U996" s="4">
        <f ca="1">IFERROR(__xludf.DUMMYFUNCTION("""COMPUTED_VALUE"""),56767)</f>
        <v>56767</v>
      </c>
      <c r="V996" s="3">
        <f ca="1">IFERROR(__xludf.DUMMYFUNCTION("""COMPUTED_VALUE"""),4.3)</f>
        <v>4.3</v>
      </c>
      <c r="W996" s="3">
        <f ca="1">IFERROR(__xludf.DUMMYFUNCTION("""COMPUTED_VALUE"""),1500)</f>
        <v>1500</v>
      </c>
      <c r="X996" s="3">
        <f ca="1">IFERROR(__xludf.DUMMYFUNCTION("""COMPUTED_VALUE"""),5039)</f>
        <v>5039</v>
      </c>
      <c r="Y996" s="3"/>
      <c r="Z996" s="3">
        <f ca="1">IFERROR(__xludf.DUMMYFUNCTION("""COMPUTED_VALUE"""),3684)</f>
        <v>3684</v>
      </c>
      <c r="AA996" s="3">
        <f ca="1">IFERROR(__xludf.DUMMYFUNCTION("""COMPUTED_VALUE"""),1362)</f>
        <v>1362</v>
      </c>
      <c r="AB996" s="3">
        <f ca="1">IFERROR(__xludf.DUMMYFUNCTION("""COMPUTED_VALUE"""),1)</f>
        <v>1</v>
      </c>
      <c r="AC996" s="3">
        <f ca="1">IFERROR(__xludf.DUMMYFUNCTION("""COMPUTED_VALUE"""),1)</f>
        <v>1</v>
      </c>
      <c r="AD996" s="3"/>
      <c r="AE996" s="3" t="str">
        <f ca="1">IFERROR(__xludf.DUMMYFUNCTION("""COMPUTED_VALUE"""),"2055-06-02T12:21:39.919107Z")</f>
        <v>2055-06-02T12:21:39.919107Z</v>
      </c>
      <c r="AF996" s="3" t="str">
        <f ca="1">IFERROR(__xludf.DUMMYFUNCTION("""COMPUTED_VALUE"""),"2055-06-02T12:44:21.076098Z")</f>
        <v>2055-06-02T12:44:21.076098Z</v>
      </c>
      <c r="AG996" s="3" t="str">
        <f ca="1">IFERROR(__xludf.DUMMYFUNCTION("""COMPUTED_VALUE"""),"2055-06-02T11:20:14.109666Z")</f>
        <v>2055-06-02T11:20:14.109666Z</v>
      </c>
      <c r="AH996" s="3" t="str">
        <f ca="1">IFERROR(__xludf.DUMMYFUNCTION("""COMPUTED_VALUE"""),"2055-06-02T11:20:15.505027Z")</f>
        <v>2055-06-02T11:20:15.505027Z</v>
      </c>
      <c r="AI996" s="3">
        <f ca="1">IFERROR(__xludf.DUMMYFUNCTION("""COMPUTED_VALUE"""),4.54)</f>
        <v>4.54</v>
      </c>
      <c r="AJ996" s="3">
        <f ca="1">IFERROR(__xludf.DUMMYFUNCTION("""COMPUTED_VALUE"""),2229)</f>
        <v>2229</v>
      </c>
      <c r="AK996" s="3">
        <f ca="1">IFERROR(__xludf.DUMMYFUNCTION("""COMPUTED_VALUE"""),6580)</f>
        <v>6580</v>
      </c>
      <c r="AL996" s="3"/>
      <c r="AM996" s="3">
        <f>IFERROR(Raw_Data!AL996 / Raw_Data!AK996, "")</f>
        <v>0</v>
      </c>
      <c r="AN996" s="3" t="str">
        <f>IF(ISBLANK(Raw_Data!AL996), "No", "Yes")</f>
        <v>No</v>
      </c>
      <c r="AO996" s="3">
        <f>IFERROR(Raw_Data!Z996/60, "")</f>
        <v>61.4</v>
      </c>
    </row>
    <row r="997" spans="1:41" ht="13">
      <c r="A997" s="3">
        <f ca="1">IFERROR(__xludf.DUMMYFUNCTION("""COMPUTED_VALUE"""),630)</f>
        <v>630</v>
      </c>
      <c r="B997" s="3">
        <f ca="1">IFERROR(__xludf.DUMMYFUNCTION("""COMPUTED_VALUE"""),4)</f>
        <v>4</v>
      </c>
      <c r="C997" s="3">
        <f ca="1">IFERROR(__xludf.DUMMYFUNCTION("""COMPUTED_VALUE"""),4001)</f>
        <v>4001</v>
      </c>
      <c r="D997" s="3" t="str">
        <f ca="1">IFERROR(__xludf.DUMMYFUNCTION("""COMPUTED_VALUE"""),"Dashattan")</f>
        <v>Dashattan</v>
      </c>
      <c r="E997" s="3" t="str">
        <f ca="1">IFERROR(__xludf.DUMMYFUNCTION("""COMPUTED_VALUE"""),"Galaxy A")</f>
        <v>Galaxy A</v>
      </c>
      <c r="F997" s="3" t="str">
        <f ca="1">IFERROR(__xludf.DUMMYFUNCTION("""COMPUTED_VALUE"""),"KC")</f>
        <v>KC</v>
      </c>
      <c r="G997" s="3">
        <f ca="1">IFERROR(__xludf.DUMMYFUNCTION("""COMPUTED_VALUE"""),0)</f>
        <v>0</v>
      </c>
      <c r="H997" s="3" t="str">
        <f ca="1">IFERROR(__xludf.DUMMYFUNCTION("""COMPUTED_VALUE"""),"car")</f>
        <v>car</v>
      </c>
      <c r="I997" s="3" t="str">
        <f ca="1">IFERROR(__xludf.DUMMYFUNCTION("""COMPUTED_VALUE"""),"2055-06-05T21:50:07.618594Z")</f>
        <v>2055-06-05T21:50:07.618594Z</v>
      </c>
      <c r="J997" s="3" t="str">
        <f ca="1">IFERROR(__xludf.DUMMYFUNCTION("""COMPUTED_VALUE"""),"2055-06-05T22:55:28.686Z")</f>
        <v>2055-06-05T22:55:28.686Z</v>
      </c>
      <c r="K997" s="3" t="str">
        <f ca="1">IFERROR(__xludf.DUMMYFUNCTION("""COMPUTED_VALUE"""),"2055-06-05T22:36:35.686Z")</f>
        <v>2055-06-05T22:36:35.686Z</v>
      </c>
      <c r="L997" s="3">
        <f ca="1">IFERROR(__xludf.DUMMYFUNCTION("""COMPUTED_VALUE"""),1)</f>
        <v>1</v>
      </c>
      <c r="M997" s="3">
        <f ca="1">IFERROR(__xludf.DUMMYFUNCTION("""COMPUTED_VALUE"""),0)</f>
        <v>0</v>
      </c>
      <c r="N997" s="3" t="str">
        <f ca="1">IFERROR(__xludf.DUMMYFUNCTION("""COMPUTED_VALUE"""),"2055-06-05T23:09:47.656963Z")</f>
        <v>2055-06-05T23:09:47.656963Z</v>
      </c>
      <c r="O997" s="3" t="str">
        <f ca="1">IFERROR(__xludf.DUMMYFUNCTION("""COMPUTED_VALUE"""),"2055-06-05T23:30:33.542438Z")</f>
        <v>2055-06-05T23:30:33.542438Z</v>
      </c>
      <c r="P997" s="3" t="str">
        <f ca="1">IFERROR(__xludf.DUMMYFUNCTION("""COMPUTED_VALUE"""),"2055-06-05T23:01:17.059739Z")</f>
        <v>2055-06-05T23:01:17.059739Z</v>
      </c>
      <c r="Q997" s="3">
        <f ca="1">IFERROR(__xludf.DUMMYFUNCTION("""COMPUTED_VALUE"""),1)</f>
        <v>1</v>
      </c>
      <c r="R997" s="3" t="str">
        <f ca="1">IFERROR(__xludf.DUMMYFUNCTION("""COMPUTED_VALUE"""),"2055-06-05T23:01:51.600033Z")</f>
        <v>2055-06-05T23:01:51.600033Z</v>
      </c>
      <c r="S997" s="3" t="str">
        <f ca="1">IFERROR(__xludf.DUMMYFUNCTION("""COMPUTED_VALUE"""),"2055-06-05T23:08:19.311131Z")</f>
        <v>2055-06-05T23:08:19.311131Z</v>
      </c>
      <c r="T997" s="3"/>
      <c r="U997" s="4">
        <f ca="1">IFERROR(__xludf.DUMMYFUNCTION("""COMPUTED_VALUE"""),56770)</f>
        <v>56770</v>
      </c>
      <c r="V997" s="3">
        <f ca="1">IFERROR(__xludf.DUMMYFUNCTION("""COMPUTED_VALUE"""),4.3)</f>
        <v>4.3</v>
      </c>
      <c r="W997" s="3">
        <f ca="1">IFERROR(__xludf.DUMMYFUNCTION("""COMPUTED_VALUE"""),1500)</f>
        <v>1500</v>
      </c>
      <c r="X997" s="3">
        <f ca="1">IFERROR(__xludf.DUMMYFUNCTION("""COMPUTED_VALUE"""),1722)</f>
        <v>1722</v>
      </c>
      <c r="Y997" s="3">
        <f ca="1">IFERROR(__xludf.DUMMYFUNCTION("""COMPUTED_VALUE"""),388)</f>
        <v>388</v>
      </c>
      <c r="Z997" s="3">
        <f ca="1">IFERROR(__xludf.DUMMYFUNCTION("""COMPUTED_VALUE"""),88)</f>
        <v>88</v>
      </c>
      <c r="AA997" s="3">
        <f ca="1">IFERROR(__xludf.DUMMYFUNCTION("""COMPUTED_VALUE"""),1246)</f>
        <v>1246</v>
      </c>
      <c r="AB997" s="3">
        <f ca="1">IFERROR(__xludf.DUMMYFUNCTION("""COMPUTED_VALUE"""),1)</f>
        <v>1</v>
      </c>
      <c r="AC997" s="3">
        <f ca="1">IFERROR(__xludf.DUMMYFUNCTION("""COMPUTED_VALUE"""),1)</f>
        <v>1</v>
      </c>
      <c r="AD997" s="3"/>
      <c r="AE997" s="3" t="str">
        <f ca="1">IFERROR(__xludf.DUMMYFUNCTION("""COMPUTED_VALUE"""),"2055-06-05T19:09:47.656963Z")</f>
        <v>2055-06-05T19:09:47.656963Z</v>
      </c>
      <c r="AF997" s="3" t="str">
        <f ca="1">IFERROR(__xludf.DUMMYFUNCTION("""COMPUTED_VALUE"""),"2055-06-05T19:30:33.542438Z")</f>
        <v>2055-06-05T19:30:33.542438Z</v>
      </c>
      <c r="AG997" s="3" t="str">
        <f ca="1">IFERROR(__xludf.DUMMYFUNCTION("""COMPUTED_VALUE"""),"2055-06-05T19:01:17.059739Z")</f>
        <v>2055-06-05T19:01:17.059739Z</v>
      </c>
      <c r="AH997" s="3" t="str">
        <f ca="1">IFERROR(__xludf.DUMMYFUNCTION("""COMPUTED_VALUE"""),"2055-06-05T19:08:19.311131Z")</f>
        <v>2055-06-05T19:08:19.311131Z</v>
      </c>
      <c r="AI997" s="3">
        <f ca="1">IFERROR(__xludf.DUMMYFUNCTION("""COMPUTED_VALUE"""),4.54)</f>
        <v>4.54</v>
      </c>
      <c r="AJ997" s="3">
        <f ca="1">IFERROR(__xludf.DUMMYFUNCTION("""COMPUTED_VALUE"""),2229)</f>
        <v>2229</v>
      </c>
      <c r="AK997" s="3">
        <f ca="1">IFERROR(__xludf.DUMMYFUNCTION("""COMPUTED_VALUE"""),6580)</f>
        <v>6580</v>
      </c>
      <c r="AL997" s="3"/>
      <c r="AM997" s="3">
        <f>IFERROR(Raw_Data!AL997 / Raw_Data!AK997, "")</f>
        <v>0</v>
      </c>
      <c r="AN997" s="3" t="str">
        <f>IF(ISBLANK(Raw_Data!AL997), "No", "Yes")</f>
        <v>No</v>
      </c>
      <c r="AO997" s="3">
        <f>IFERROR(Raw_Data!Z997/60, "")</f>
        <v>1.4666666666666666</v>
      </c>
    </row>
    <row r="998" spans="1:41" ht="13">
      <c r="A998" s="3">
        <f ca="1">IFERROR(__xludf.DUMMYFUNCTION("""COMPUTED_VALUE"""),744)</f>
        <v>744</v>
      </c>
      <c r="B998" s="3">
        <f ca="1">IFERROR(__xludf.DUMMYFUNCTION("""COMPUTED_VALUE"""),5)</f>
        <v>5</v>
      </c>
      <c r="C998" s="3">
        <f ca="1">IFERROR(__xludf.DUMMYFUNCTION("""COMPUTED_VALUE"""),4050)</f>
        <v>4050</v>
      </c>
      <c r="D998" s="3" t="str">
        <f ca="1">IFERROR(__xludf.DUMMYFUNCTION("""COMPUTED_VALUE"""),"Doorlanta")</f>
        <v>Doorlanta</v>
      </c>
      <c r="E998" s="3" t="str">
        <f ca="1">IFERROR(__xludf.DUMMYFUNCTION("""COMPUTED_VALUE"""),"Galaxy A")</f>
        <v>Galaxy A</v>
      </c>
      <c r="F998" s="3" t="str">
        <f ca="1">IFERROR(__xludf.DUMMYFUNCTION("""COMPUTED_VALUE"""),"Jagar")</f>
        <v>Jagar</v>
      </c>
      <c r="G998" s="3">
        <f ca="1">IFERROR(__xludf.DUMMYFUNCTION("""COMPUTED_VALUE"""),0)</f>
        <v>0</v>
      </c>
      <c r="H998" s="3" t="str">
        <f ca="1">IFERROR(__xludf.DUMMYFUNCTION("""COMPUTED_VALUE"""),"car")</f>
        <v>car</v>
      </c>
      <c r="I998" s="3" t="str">
        <f ca="1">IFERROR(__xludf.DUMMYFUNCTION("""COMPUTED_VALUE"""),"2055-06-06T16:42:15.619461Z")</f>
        <v>2055-06-06T16:42:15.619461Z</v>
      </c>
      <c r="J998" s="3" t="str">
        <f ca="1">IFERROR(__xludf.DUMMYFUNCTION("""COMPUTED_VALUE"""),"2055-06-06T17:40:47.691Z")</f>
        <v>2055-06-06T17:40:47.691Z</v>
      </c>
      <c r="K998" s="3" t="str">
        <f ca="1">IFERROR(__xludf.DUMMYFUNCTION("""COMPUTED_VALUE"""),"2055-06-06T17:31:54.691Z")</f>
        <v>2055-06-06T17:31:54.691Z</v>
      </c>
      <c r="L998" s="3">
        <f ca="1">IFERROR(__xludf.DUMMYFUNCTION("""COMPUTED_VALUE"""),1)</f>
        <v>1</v>
      </c>
      <c r="M998" s="3">
        <f ca="1">IFERROR(__xludf.DUMMYFUNCTION("""COMPUTED_VALUE"""),0)</f>
        <v>0</v>
      </c>
      <c r="N998" s="3" t="str">
        <f ca="1">IFERROR(__xludf.DUMMYFUNCTION("""COMPUTED_VALUE"""),"2055-06-06T17:18:56.944093Z")</f>
        <v>2055-06-06T17:18:56.944093Z</v>
      </c>
      <c r="O998" s="3" t="str">
        <f ca="1">IFERROR(__xludf.DUMMYFUNCTION("""COMPUTED_VALUE"""),"2055-06-06T17:30:16.026139Z")</f>
        <v>2055-06-06T17:30:16.026139Z</v>
      </c>
      <c r="P998" s="3" t="str">
        <f ca="1">IFERROR(__xludf.DUMMYFUNCTION("""COMPUTED_VALUE"""),"2055-06-06T16:42:27.308603Z")</f>
        <v>2055-06-06T16:42:27.308603Z</v>
      </c>
      <c r="Q998" s="3">
        <f ca="1">IFERROR(__xludf.DUMMYFUNCTION("""COMPUTED_VALUE"""),0)</f>
        <v>0</v>
      </c>
      <c r="R998" s="3" t="str">
        <f ca="1">IFERROR(__xludf.DUMMYFUNCTION("""COMPUTED_VALUE"""),"2055-06-06T16:42:32.161895Z")</f>
        <v>2055-06-06T16:42:32.161895Z</v>
      </c>
      <c r="S998" s="3" t="str">
        <f ca="1">IFERROR(__xludf.DUMMYFUNCTION("""COMPUTED_VALUE"""),"2055-06-06T16:44:51.208667Z")</f>
        <v>2055-06-06T16:44:51.208667Z</v>
      </c>
      <c r="T998" s="3"/>
      <c r="U998" s="4">
        <f ca="1">IFERROR(__xludf.DUMMYFUNCTION("""COMPUTED_VALUE"""),56771)</f>
        <v>56771</v>
      </c>
      <c r="V998" s="3">
        <f ca="1">IFERROR(__xludf.DUMMYFUNCTION("""COMPUTED_VALUE"""),4.4)</f>
        <v>4.4000000000000004</v>
      </c>
      <c r="W998" s="3">
        <f ca="1">IFERROR(__xludf.DUMMYFUNCTION("""COMPUTED_VALUE"""),1500)</f>
        <v>1500</v>
      </c>
      <c r="X998" s="3">
        <f ca="1">IFERROR(__xludf.DUMMYFUNCTION("""COMPUTED_VALUE"""),2864)</f>
        <v>2864</v>
      </c>
      <c r="Y998" s="3">
        <f ca="1">IFERROR(__xludf.DUMMYFUNCTION("""COMPUTED_VALUE"""),139)</f>
        <v>139</v>
      </c>
      <c r="Z998" s="3">
        <f ca="1">IFERROR(__xludf.DUMMYFUNCTION("""COMPUTED_VALUE"""),2045)</f>
        <v>2045</v>
      </c>
      <c r="AA998" s="3">
        <f ca="1">IFERROR(__xludf.DUMMYFUNCTION("""COMPUTED_VALUE"""),680)</f>
        <v>680</v>
      </c>
      <c r="AB998" s="3">
        <f ca="1">IFERROR(__xludf.DUMMYFUNCTION("""COMPUTED_VALUE"""),1)</f>
        <v>1</v>
      </c>
      <c r="AC998" s="3">
        <f ca="1">IFERROR(__xludf.DUMMYFUNCTION("""COMPUTED_VALUE"""),1)</f>
        <v>1</v>
      </c>
      <c r="AD998" s="3"/>
      <c r="AE998" s="3" t="str">
        <f ca="1">IFERROR(__xludf.DUMMYFUNCTION("""COMPUTED_VALUE"""),"2055-06-06T13:18:56.944093Z")</f>
        <v>2055-06-06T13:18:56.944093Z</v>
      </c>
      <c r="AF998" s="3" t="str">
        <f ca="1">IFERROR(__xludf.DUMMYFUNCTION("""COMPUTED_VALUE"""),"2055-06-06T13:30:16.026139Z")</f>
        <v>2055-06-06T13:30:16.026139Z</v>
      </c>
      <c r="AG998" s="3" t="str">
        <f ca="1">IFERROR(__xludf.DUMMYFUNCTION("""COMPUTED_VALUE"""),"2055-06-06T12:42:27.308603Z")</f>
        <v>2055-06-06T12:42:27.308603Z</v>
      </c>
      <c r="AH998" s="3" t="str">
        <f ca="1">IFERROR(__xludf.DUMMYFUNCTION("""COMPUTED_VALUE"""),"2055-06-06T12:44:51.208667Z")</f>
        <v>2055-06-06T12:44:51.208667Z</v>
      </c>
      <c r="AI998" s="3">
        <f ca="1">IFERROR(__xludf.DUMMYFUNCTION("""COMPUTED_VALUE"""),4.89)</f>
        <v>4.8899999999999997</v>
      </c>
      <c r="AJ998" s="3">
        <f ca="1">IFERROR(__xludf.DUMMYFUNCTION("""COMPUTED_VALUE"""),1778)</f>
        <v>1778</v>
      </c>
      <c r="AK998" s="3">
        <f ca="1">IFERROR(__xludf.DUMMYFUNCTION("""COMPUTED_VALUE"""),5138)</f>
        <v>5138</v>
      </c>
      <c r="AL998" s="3">
        <f ca="1">IFERROR(__xludf.DUMMYFUNCTION("""COMPUTED_VALUE"""),314)</f>
        <v>314</v>
      </c>
      <c r="AM998" s="3">
        <f>IFERROR(Raw_Data!AL998 / Raw_Data!AK998, "")</f>
        <v>6.1113273647333592E-2</v>
      </c>
      <c r="AN998" s="3" t="str">
        <f>IF(ISBLANK(Raw_Data!AL998), "No", "Yes")</f>
        <v>Yes</v>
      </c>
      <c r="AO998" s="3">
        <f>IFERROR(Raw_Data!Z998/60, "")</f>
        <v>34.083333333333336</v>
      </c>
    </row>
    <row r="999" spans="1:41" ht="13">
      <c r="A999" s="3">
        <f ca="1">IFERROR(__xludf.DUMMYFUNCTION("""COMPUTED_VALUE"""),765)</f>
        <v>765</v>
      </c>
      <c r="B999" s="3">
        <f ca="1">IFERROR(__xludf.DUMMYFUNCTION("""COMPUTED_VALUE"""),5)</f>
        <v>5</v>
      </c>
      <c r="C999" s="3">
        <f ca="1">IFERROR(__xludf.DUMMYFUNCTION("""COMPUTED_VALUE"""),4001)</f>
        <v>4001</v>
      </c>
      <c r="D999" s="3" t="str">
        <f ca="1">IFERROR(__xludf.DUMMYFUNCTION("""COMPUTED_VALUE"""),"Dashattan")</f>
        <v>Dashattan</v>
      </c>
      <c r="E999" s="3" t="str">
        <f ca="1">IFERROR(__xludf.DUMMYFUNCTION("""COMPUTED_VALUE"""),"Galaxy A")</f>
        <v>Galaxy A</v>
      </c>
      <c r="F999" s="3" t="str">
        <f ca="1">IFERROR(__xludf.DUMMYFUNCTION("""COMPUTED_VALUE"""),"Sean")</f>
        <v>Sean</v>
      </c>
      <c r="G999" s="3">
        <f ca="1">IFERROR(__xludf.DUMMYFUNCTION("""COMPUTED_VALUE"""),0)</f>
        <v>0</v>
      </c>
      <c r="H999" s="3" t="str">
        <f ca="1">IFERROR(__xludf.DUMMYFUNCTION("""COMPUTED_VALUE"""),"bicycle")</f>
        <v>bicycle</v>
      </c>
      <c r="I999" s="3" t="str">
        <f ca="1">IFERROR(__xludf.DUMMYFUNCTION("""COMPUTED_VALUE"""),"2055-06-06T21:10:54.747129Z")</f>
        <v>2055-06-06T21:10:54.747129Z</v>
      </c>
      <c r="J999" s="3" t="str">
        <f ca="1">IFERROR(__xludf.DUMMYFUNCTION("""COMPUTED_VALUE"""),"2055-06-06T21:59:44.798Z")</f>
        <v>2055-06-06T21:59:44.798Z</v>
      </c>
      <c r="K999" s="3" t="str">
        <f ca="1">IFERROR(__xludf.DUMMYFUNCTION("""COMPUTED_VALUE"""),"2055-06-06T21:40:51.798Z")</f>
        <v>2055-06-06T21:40:51.798Z</v>
      </c>
      <c r="L999" s="3">
        <f ca="1">IFERROR(__xludf.DUMMYFUNCTION("""COMPUTED_VALUE"""),1)</f>
        <v>1</v>
      </c>
      <c r="M999" s="3">
        <f ca="1">IFERROR(__xludf.DUMMYFUNCTION("""COMPUTED_VALUE"""),0)</f>
        <v>0</v>
      </c>
      <c r="N999" s="3" t="str">
        <f ca="1">IFERROR(__xludf.DUMMYFUNCTION("""COMPUTED_VALUE"""),"2055-06-06T21:26:39.631499Z")</f>
        <v>2055-06-06T21:26:39.631499Z</v>
      </c>
      <c r="O999" s="3" t="str">
        <f ca="1">IFERROR(__xludf.DUMMYFUNCTION("""COMPUTED_VALUE"""),"2055-06-06T21:40:35.58425Z")</f>
        <v>2055-06-06T21:40:35.58425Z</v>
      </c>
      <c r="P999" s="3" t="str">
        <f ca="1">IFERROR(__xludf.DUMMYFUNCTION("""COMPUTED_VALUE"""),"2055-06-06T21:17:14.125246Z")</f>
        <v>2055-06-06T21:17:14.125246Z</v>
      </c>
      <c r="Q999" s="3">
        <f ca="1">IFERROR(__xludf.DUMMYFUNCTION("""COMPUTED_VALUE"""),0)</f>
        <v>0</v>
      </c>
      <c r="R999" s="3" t="str">
        <f ca="1">IFERROR(__xludf.DUMMYFUNCTION("""COMPUTED_VALUE"""),"2055-06-06T21:17:26.821485Z")</f>
        <v>2055-06-06T21:17:26.821485Z</v>
      </c>
      <c r="S999" s="3" t="str">
        <f ca="1">IFERROR(__xludf.DUMMYFUNCTION("""COMPUTED_VALUE"""),"2055-06-06T21:19:25.527069Z")</f>
        <v>2055-06-06T21:19:25.527069Z</v>
      </c>
      <c r="T999" s="3"/>
      <c r="U999" s="4">
        <f ca="1">IFERROR(__xludf.DUMMYFUNCTION("""COMPUTED_VALUE"""),56771)</f>
        <v>56771</v>
      </c>
      <c r="V999" s="3">
        <f ca="1">IFERROR(__xludf.DUMMYFUNCTION("""COMPUTED_VALUE"""),4.5)</f>
        <v>4.5</v>
      </c>
      <c r="W999" s="3">
        <f ca="1">IFERROR(__xludf.DUMMYFUNCTION("""COMPUTED_VALUE"""),1500)</f>
        <v>1500</v>
      </c>
      <c r="X999" s="3">
        <f ca="1">IFERROR(__xludf.DUMMYFUNCTION("""COMPUTED_VALUE"""),1389)</f>
        <v>1389</v>
      </c>
      <c r="Y999" s="3">
        <f ca="1">IFERROR(__xludf.DUMMYFUNCTION("""COMPUTED_VALUE"""),119)</f>
        <v>119</v>
      </c>
      <c r="Z999" s="3">
        <f ca="1">IFERROR(__xludf.DUMMYFUNCTION("""COMPUTED_VALUE"""),434)</f>
        <v>434</v>
      </c>
      <c r="AA999" s="3">
        <f ca="1">IFERROR(__xludf.DUMMYFUNCTION("""COMPUTED_VALUE"""),836)</f>
        <v>836</v>
      </c>
      <c r="AB999" s="3">
        <f ca="1">IFERROR(__xludf.DUMMYFUNCTION("""COMPUTED_VALUE"""),0)</f>
        <v>0</v>
      </c>
      <c r="AC999" s="3">
        <f ca="1">IFERROR(__xludf.DUMMYFUNCTION("""COMPUTED_VALUE"""),1)</f>
        <v>1</v>
      </c>
      <c r="AD999" s="3" t="str">
        <f ca="1">IFERROR(__xludf.DUMMYFUNCTION("""COMPUTED_VALUE"""),"early")</f>
        <v>early</v>
      </c>
      <c r="AE999" s="3" t="str">
        <f ca="1">IFERROR(__xludf.DUMMYFUNCTION("""COMPUTED_VALUE"""),"2055-06-06T17:26:39.631499Z")</f>
        <v>2055-06-06T17:26:39.631499Z</v>
      </c>
      <c r="AF999" s="3" t="str">
        <f ca="1">IFERROR(__xludf.DUMMYFUNCTION("""COMPUTED_VALUE"""),"2055-06-06T17:40:35.58425Z")</f>
        <v>2055-06-06T17:40:35.58425Z</v>
      </c>
      <c r="AG999" s="3" t="str">
        <f ca="1">IFERROR(__xludf.DUMMYFUNCTION("""COMPUTED_VALUE"""),"2055-06-06T17:17:14.125246Z")</f>
        <v>2055-06-06T17:17:14.125246Z</v>
      </c>
      <c r="AH999" s="3" t="str">
        <f ca="1">IFERROR(__xludf.DUMMYFUNCTION("""COMPUTED_VALUE"""),"2055-06-06T17:19:25.527069Z")</f>
        <v>2055-06-06T17:19:25.527069Z</v>
      </c>
      <c r="AI999" s="3">
        <f ca="1">IFERROR(__xludf.DUMMYFUNCTION("""COMPUTED_VALUE"""),4.52)</f>
        <v>4.5199999999999996</v>
      </c>
      <c r="AJ999" s="3">
        <f ca="1">IFERROR(__xludf.DUMMYFUNCTION("""COMPUTED_VALUE"""),183)</f>
        <v>183</v>
      </c>
      <c r="AK999" s="3">
        <f ca="1">IFERROR(__xludf.DUMMYFUNCTION("""COMPUTED_VALUE"""),522)</f>
        <v>522</v>
      </c>
      <c r="AL999" s="3"/>
      <c r="AM999" s="3">
        <f>IFERROR(Raw_Data!AL999 / Raw_Data!AK999, "")</f>
        <v>0</v>
      </c>
      <c r="AN999" s="3" t="str">
        <f>IF(ISBLANK(Raw_Data!AL999), "No", "Yes")</f>
        <v>No</v>
      </c>
      <c r="AO999" s="3">
        <f>IFERROR(Raw_Data!Z999/60, "")</f>
        <v>7.2333333333333334</v>
      </c>
    </row>
    <row r="1000" spans="1:41" ht="13">
      <c r="A1000" s="3">
        <f ca="1">IFERROR(__xludf.DUMMYFUNCTION("""COMPUTED_VALUE"""),1277)</f>
        <v>1277</v>
      </c>
      <c r="B1000" s="3"/>
      <c r="C1000" s="3">
        <f ca="1">IFERROR(__xludf.DUMMYFUNCTION("""COMPUTED_VALUE"""),4001)</f>
        <v>4001</v>
      </c>
      <c r="D1000" s="3" t="str">
        <f ca="1">IFERROR(__xludf.DUMMYFUNCTION("""COMPUTED_VALUE"""),"Dashattan")</f>
        <v>Dashattan</v>
      </c>
      <c r="E1000" s="3" t="str">
        <f ca="1">IFERROR(__xludf.DUMMYFUNCTION("""COMPUTED_VALUE"""),"Galaxy A")</f>
        <v>Galaxy A</v>
      </c>
      <c r="F1000" s="3" t="str">
        <f ca="1">IFERROR(__xludf.DUMMYFUNCTION("""COMPUTED_VALUE"""),"KC")</f>
        <v>KC</v>
      </c>
      <c r="G1000" s="3">
        <f ca="1">IFERROR(__xludf.DUMMYFUNCTION("""COMPUTED_VALUE"""),0)</f>
        <v>0</v>
      </c>
      <c r="H1000" s="3" t="str">
        <f ca="1">IFERROR(__xludf.DUMMYFUNCTION("""COMPUTED_VALUE"""),"car")</f>
        <v>car</v>
      </c>
      <c r="I1000" s="3" t="str">
        <f ca="1">IFERROR(__xludf.DUMMYFUNCTION("""COMPUTED_VALUE"""),"2055-06-11T18:03:45.268728Z")</f>
        <v>2055-06-11T18:03:45.268728Z</v>
      </c>
      <c r="J1000" s="3" t="str">
        <f ca="1">IFERROR(__xludf.DUMMYFUNCTION("""COMPUTED_VALUE"""),"2055-06-11T19:25:24.327Z")</f>
        <v>2055-06-11T19:25:24.327Z</v>
      </c>
      <c r="K1000" s="3" t="str">
        <f ca="1">IFERROR(__xludf.DUMMYFUNCTION("""COMPUTED_VALUE"""),"2055-06-11T19:00:43.327Z")</f>
        <v>2055-06-11T19:00:43.327Z</v>
      </c>
      <c r="L1000" s="3">
        <f ca="1">IFERROR(__xludf.DUMMYFUNCTION("""COMPUTED_VALUE"""),1)</f>
        <v>1</v>
      </c>
      <c r="M1000" s="3">
        <f ca="1">IFERROR(__xludf.DUMMYFUNCTION("""COMPUTED_VALUE"""),0)</f>
        <v>0</v>
      </c>
      <c r="N1000" s="3" t="str">
        <f ca="1">IFERROR(__xludf.DUMMYFUNCTION("""COMPUTED_VALUE"""),"2055-06-11T18:39:15.594853Z")</f>
        <v>2055-06-11T18:39:15.594853Z</v>
      </c>
      <c r="O1000" s="3" t="str">
        <f ca="1">IFERROR(__xludf.DUMMYFUNCTION("""COMPUTED_VALUE"""),"2055-06-11T18:44:33.277459Z")</f>
        <v>2055-06-11T18:44:33.277459Z</v>
      </c>
      <c r="P1000" s="3" t="str">
        <f ca="1">IFERROR(__xludf.DUMMYFUNCTION("""COMPUTED_VALUE"""),"2055-06-11T18:22:34.241718Z")</f>
        <v>2055-06-11T18:22:34.241718Z</v>
      </c>
      <c r="Q1000" s="3">
        <f ca="1">IFERROR(__xludf.DUMMYFUNCTION("""COMPUTED_VALUE"""),0)</f>
        <v>0</v>
      </c>
      <c r="R1000" s="3" t="str">
        <f ca="1">IFERROR(__xludf.DUMMYFUNCTION("""COMPUTED_VALUE"""),"2055-06-11T18:22:44.309388Z")</f>
        <v>2055-06-11T18:22:44.309388Z</v>
      </c>
      <c r="S1000" s="3" t="str">
        <f ca="1">IFERROR(__xludf.DUMMYFUNCTION("""COMPUTED_VALUE"""),"2055-06-11T18:36:54.18199Z")</f>
        <v>2055-06-11T18:36:54.18199Z</v>
      </c>
      <c r="T1000" s="3"/>
      <c r="U1000" s="4">
        <f ca="1">IFERROR(__xludf.DUMMYFUNCTION("""COMPUTED_VALUE"""),56776)</f>
        <v>56776</v>
      </c>
      <c r="V1000" s="3">
        <f ca="1">IFERROR(__xludf.DUMMYFUNCTION("""COMPUTED_VALUE"""),4.3)</f>
        <v>4.3</v>
      </c>
      <c r="W1000" s="3">
        <f ca="1">IFERROR(__xludf.DUMMYFUNCTION("""COMPUTED_VALUE"""),1500)</f>
        <v>1500</v>
      </c>
      <c r="X1000" s="3">
        <f ca="1">IFERROR(__xludf.DUMMYFUNCTION("""COMPUTED_VALUE"""),1309)</f>
        <v>1309</v>
      </c>
      <c r="Y1000" s="3">
        <f ca="1">IFERROR(__xludf.DUMMYFUNCTION("""COMPUTED_VALUE"""),850)</f>
        <v>850</v>
      </c>
      <c r="Z1000" s="3">
        <f ca="1">IFERROR(__xludf.DUMMYFUNCTION("""COMPUTED_VALUE"""),141)</f>
        <v>141</v>
      </c>
      <c r="AA1000" s="3">
        <f ca="1">IFERROR(__xludf.DUMMYFUNCTION("""COMPUTED_VALUE"""),318)</f>
        <v>318</v>
      </c>
      <c r="AB1000" s="3">
        <f ca="1">IFERROR(__xludf.DUMMYFUNCTION("""COMPUTED_VALUE"""),0)</f>
        <v>0</v>
      </c>
      <c r="AC1000" s="3">
        <f ca="1">IFERROR(__xludf.DUMMYFUNCTION("""COMPUTED_VALUE"""),1)</f>
        <v>1</v>
      </c>
      <c r="AD1000" s="3" t="str">
        <f ca="1">IFERROR(__xludf.DUMMYFUNCTION("""COMPUTED_VALUE"""),"on time")</f>
        <v>on time</v>
      </c>
      <c r="AE1000" s="3" t="str">
        <f ca="1">IFERROR(__xludf.DUMMYFUNCTION("""COMPUTED_VALUE"""),"2055-06-11T14:39:15.594853Z")</f>
        <v>2055-06-11T14:39:15.594853Z</v>
      </c>
      <c r="AF1000" s="3" t="str">
        <f ca="1">IFERROR(__xludf.DUMMYFUNCTION("""COMPUTED_VALUE"""),"2055-06-11T14:44:33.277459Z")</f>
        <v>2055-06-11T14:44:33.277459Z</v>
      </c>
      <c r="AG1000" s="3" t="str">
        <f ca="1">IFERROR(__xludf.DUMMYFUNCTION("""COMPUTED_VALUE"""),"2055-06-11T14:22:34.241718Z")</f>
        <v>2055-06-11T14:22:34.241718Z</v>
      </c>
      <c r="AH1000" s="3" t="str">
        <f ca="1">IFERROR(__xludf.DUMMYFUNCTION("""COMPUTED_VALUE"""),"2055-06-11T14:36:54.18199Z")</f>
        <v>2055-06-11T14:36:54.18199Z</v>
      </c>
      <c r="AI1000" s="3">
        <f ca="1">IFERROR(__xludf.DUMMYFUNCTION("""COMPUTED_VALUE"""),4.54)</f>
        <v>4.54</v>
      </c>
      <c r="AJ1000" s="3">
        <f ca="1">IFERROR(__xludf.DUMMYFUNCTION("""COMPUTED_VALUE"""),2229)</f>
        <v>2229</v>
      </c>
      <c r="AK1000" s="3">
        <f ca="1">IFERROR(__xludf.DUMMYFUNCTION("""COMPUTED_VALUE"""),6580)</f>
        <v>6580</v>
      </c>
      <c r="AL1000" s="3"/>
      <c r="AM1000" s="3">
        <f>IFERROR(Raw_Data!AL1000 / Raw_Data!AK1000, "")</f>
        <v>0</v>
      </c>
      <c r="AN1000" s="3" t="str">
        <f>IF(ISBLANK(Raw_Data!AL1000), "No", "Yes")</f>
        <v>No</v>
      </c>
      <c r="AO1000" s="3">
        <f>IFERROR(Raw_Data!Z1000/60, "")</f>
        <v>2.35</v>
      </c>
    </row>
    <row r="1001" spans="1:41" ht="13">
      <c r="A1001" s="3">
        <f ca="1">IFERROR(__xludf.DUMMYFUNCTION("""COMPUTED_VALUE"""),1422)</f>
        <v>1422</v>
      </c>
      <c r="B1001" s="3">
        <f ca="1">IFERROR(__xludf.DUMMYFUNCTION("""COMPUTED_VALUE"""),5)</f>
        <v>5</v>
      </c>
      <c r="C1001" s="3">
        <f ca="1">IFERROR(__xludf.DUMMYFUNCTION("""COMPUTED_VALUE"""),4001)</f>
        <v>4001</v>
      </c>
      <c r="D1001" s="3" t="str">
        <f ca="1">IFERROR(__xludf.DUMMYFUNCTION("""COMPUTED_VALUE"""),"Dashattan")</f>
        <v>Dashattan</v>
      </c>
      <c r="E1001" s="3" t="str">
        <f ca="1">IFERROR(__xludf.DUMMYFUNCTION("""COMPUTED_VALUE"""),"Galaxy A")</f>
        <v>Galaxy A</v>
      </c>
      <c r="F1001" s="3" t="str">
        <f ca="1">IFERROR(__xludf.DUMMYFUNCTION("""COMPUTED_VALUE"""),"Rojan")</f>
        <v>Rojan</v>
      </c>
      <c r="G1001" s="3">
        <f ca="1">IFERROR(__xludf.DUMMYFUNCTION("""COMPUTED_VALUE"""),0)</f>
        <v>0</v>
      </c>
      <c r="H1001" s="3" t="str">
        <f ca="1">IFERROR(__xludf.DUMMYFUNCTION("""COMPUTED_VALUE"""),"bicycle")</f>
        <v>bicycle</v>
      </c>
      <c r="I1001" s="3" t="str">
        <f ca="1">IFERROR(__xludf.DUMMYFUNCTION("""COMPUTED_VALUE"""),"2055-06-12T17:54:52.384065Z")</f>
        <v>2055-06-12T17:54:52.384065Z</v>
      </c>
      <c r="J1001" s="3" t="str">
        <f ca="1">IFERROR(__xludf.DUMMYFUNCTION("""COMPUTED_VALUE"""),"2055-06-12T18:50:36.44Z")</f>
        <v>2055-06-12T18:50:36.44Z</v>
      </c>
      <c r="K1001" s="3" t="str">
        <f ca="1">IFERROR(__xludf.DUMMYFUNCTION("""COMPUTED_VALUE"""),"2055-06-12T18:45:57.44Z")</f>
        <v>2055-06-12T18:45:57.44Z</v>
      </c>
      <c r="L1001" s="3">
        <f ca="1">IFERROR(__xludf.DUMMYFUNCTION("""COMPUTED_VALUE"""),1)</f>
        <v>1</v>
      </c>
      <c r="M1001" s="3">
        <f ca="1">IFERROR(__xludf.DUMMYFUNCTION("""COMPUTED_VALUE"""),0)</f>
        <v>0</v>
      </c>
      <c r="N1001" s="3" t="str">
        <f ca="1">IFERROR(__xludf.DUMMYFUNCTION("""COMPUTED_VALUE"""),"2055-06-12T18:30:24.941479Z")</f>
        <v>2055-06-12T18:30:24.941479Z</v>
      </c>
      <c r="O1001" s="3" t="str">
        <f ca="1">IFERROR(__xludf.DUMMYFUNCTION("""COMPUTED_VALUE"""),"2055-06-12T18:40:13.596888Z")</f>
        <v>2055-06-12T18:40:13.596888Z</v>
      </c>
      <c r="P1001" s="3" t="str">
        <f ca="1">IFERROR(__xludf.DUMMYFUNCTION("""COMPUTED_VALUE"""),"2055-06-12T18:15:34.256242Z")</f>
        <v>2055-06-12T18:15:34.256242Z</v>
      </c>
      <c r="Q1001" s="3">
        <f ca="1">IFERROR(__xludf.DUMMYFUNCTION("""COMPUTED_VALUE"""),0)</f>
        <v>0</v>
      </c>
      <c r="R1001" s="3" t="str">
        <f ca="1">IFERROR(__xludf.DUMMYFUNCTION("""COMPUTED_VALUE"""),"2055-06-12T18:15:38.077532Z")</f>
        <v>2055-06-12T18:15:38.077532Z</v>
      </c>
      <c r="S1001" s="3" t="str">
        <f ca="1">IFERROR(__xludf.DUMMYFUNCTION("""COMPUTED_VALUE"""),"2055-06-12T18:25:29.635706Z")</f>
        <v>2055-06-12T18:25:29.635706Z</v>
      </c>
      <c r="T1001" s="3"/>
      <c r="U1001" s="4">
        <f ca="1">IFERROR(__xludf.DUMMYFUNCTION("""COMPUTED_VALUE"""),56777)</f>
        <v>56777</v>
      </c>
      <c r="V1001" s="3">
        <f ca="1">IFERROR(__xludf.DUMMYFUNCTION("""COMPUTED_VALUE"""),4.3)</f>
        <v>4.3</v>
      </c>
      <c r="W1001" s="3">
        <f ca="1">IFERROR(__xludf.DUMMYFUNCTION("""COMPUTED_VALUE"""),1500)</f>
        <v>1500</v>
      </c>
      <c r="X1001" s="3">
        <f ca="1">IFERROR(__xludf.DUMMYFUNCTION("""COMPUTED_VALUE"""),1475)</f>
        <v>1475</v>
      </c>
      <c r="Y1001" s="3">
        <f ca="1">IFERROR(__xludf.DUMMYFUNCTION("""COMPUTED_VALUE"""),591)</f>
        <v>591</v>
      </c>
      <c r="Z1001" s="3">
        <f ca="1">IFERROR(__xludf.DUMMYFUNCTION("""COMPUTED_VALUE"""),295)</f>
        <v>295</v>
      </c>
      <c r="AA1001" s="3">
        <f ca="1">IFERROR(__xludf.DUMMYFUNCTION("""COMPUTED_VALUE"""),589)</f>
        <v>589</v>
      </c>
      <c r="AB1001" s="3">
        <f ca="1">IFERROR(__xludf.DUMMYFUNCTION("""COMPUTED_VALUE"""),0)</f>
        <v>0</v>
      </c>
      <c r="AC1001" s="3">
        <f ca="1">IFERROR(__xludf.DUMMYFUNCTION("""COMPUTED_VALUE"""),1)</f>
        <v>1</v>
      </c>
      <c r="AD1001" s="3" t="str">
        <f ca="1">IFERROR(__xludf.DUMMYFUNCTION("""COMPUTED_VALUE"""),"on time")</f>
        <v>on time</v>
      </c>
      <c r="AE1001" s="3" t="str">
        <f ca="1">IFERROR(__xludf.DUMMYFUNCTION("""COMPUTED_VALUE"""),"2055-06-12T14:30:24.941479Z")</f>
        <v>2055-06-12T14:30:24.941479Z</v>
      </c>
      <c r="AF1001" s="3" t="str">
        <f ca="1">IFERROR(__xludf.DUMMYFUNCTION("""COMPUTED_VALUE"""),"2055-06-12T14:40:13.596888Z")</f>
        <v>2055-06-12T14:40:13.596888Z</v>
      </c>
      <c r="AG1001" s="3" t="str">
        <f ca="1">IFERROR(__xludf.DUMMYFUNCTION("""COMPUTED_VALUE"""),"2055-06-12T14:15:34.256242Z")</f>
        <v>2055-06-12T14:15:34.256242Z</v>
      </c>
      <c r="AH1001" s="3" t="str">
        <f ca="1">IFERROR(__xludf.DUMMYFUNCTION("""COMPUTED_VALUE"""),"2055-06-12T14:25:29.635706Z")</f>
        <v>2055-06-12T14:25:29.635706Z</v>
      </c>
      <c r="AI1001" s="3">
        <f ca="1">IFERROR(__xludf.DUMMYFUNCTION("""COMPUTED_VALUE"""),4.58)</f>
        <v>4.58</v>
      </c>
      <c r="AJ1001" s="3">
        <f ca="1">IFERROR(__xludf.DUMMYFUNCTION("""COMPUTED_VALUE"""),254)</f>
        <v>254</v>
      </c>
      <c r="AK1001" s="3">
        <f ca="1">IFERROR(__xludf.DUMMYFUNCTION("""COMPUTED_VALUE"""),788)</f>
        <v>788</v>
      </c>
      <c r="AL1001" s="3">
        <f ca="1">IFERROR(__xludf.DUMMYFUNCTION("""COMPUTED_VALUE"""),9)</f>
        <v>9</v>
      </c>
      <c r="AM1001" s="3">
        <f>IFERROR(Raw_Data!AL1001 / Raw_Data!AK1001, "")</f>
        <v>1.1421319796954314E-2</v>
      </c>
      <c r="AN1001" s="3" t="str">
        <f>IF(ISBLANK(Raw_Data!AL1001), "No", "Yes")</f>
        <v>Yes</v>
      </c>
      <c r="AO1001" s="3">
        <f>IFERROR(Raw_Data!Z1001/60, "")</f>
        <v>4.916666666666667</v>
      </c>
    </row>
    <row r="1002" spans="1:41" ht="13">
      <c r="A1002" s="3">
        <f ca="1">IFERROR(__xludf.DUMMYFUNCTION("""COMPUTED_VALUE"""),767)</f>
        <v>767</v>
      </c>
      <c r="B1002" s="3">
        <f ca="1">IFERROR(__xludf.DUMMYFUNCTION("""COMPUTED_VALUE"""),5)</f>
        <v>5</v>
      </c>
      <c r="C1002" s="3">
        <f ca="1">IFERROR(__xludf.DUMMYFUNCTION("""COMPUTED_VALUE"""),4001)</f>
        <v>4001</v>
      </c>
      <c r="D1002" s="3" t="str">
        <f ca="1">IFERROR(__xludf.DUMMYFUNCTION("""COMPUTED_VALUE"""),"Dashattan")</f>
        <v>Dashattan</v>
      </c>
      <c r="E1002" s="3" t="str">
        <f ca="1">IFERROR(__xludf.DUMMYFUNCTION("""COMPUTED_VALUE"""),"Galaxy A")</f>
        <v>Galaxy A</v>
      </c>
      <c r="F1002" s="3" t="str">
        <f ca="1">IFERROR(__xludf.DUMMYFUNCTION("""COMPUTED_VALUE"""),"Sean")</f>
        <v>Sean</v>
      </c>
      <c r="G1002" s="3">
        <f ca="1">IFERROR(__xludf.DUMMYFUNCTION("""COMPUTED_VALUE"""),0)</f>
        <v>0</v>
      </c>
      <c r="H1002" s="3" t="str">
        <f ca="1">IFERROR(__xludf.DUMMYFUNCTION("""COMPUTED_VALUE"""),"bicycle")</f>
        <v>bicycle</v>
      </c>
      <c r="I1002" s="3" t="str">
        <f ca="1">IFERROR(__xludf.DUMMYFUNCTION("""COMPUTED_VALUE"""),"2055-06-06T21:41:18.14118Z")</f>
        <v>2055-06-06T21:41:18.14118Z</v>
      </c>
      <c r="J1002" s="3" t="str">
        <f ca="1">IFERROR(__xludf.DUMMYFUNCTION("""COMPUTED_VALUE"""),"2055-06-06T22:34:57.186Z")</f>
        <v>2055-06-06T22:34:57.186Z</v>
      </c>
      <c r="K1002" s="3" t="str">
        <f ca="1">IFERROR(__xludf.DUMMYFUNCTION("""COMPUTED_VALUE"""),"2055-06-06T22:16:04.186Z")</f>
        <v>2055-06-06T22:16:04.186Z</v>
      </c>
      <c r="L1002" s="3">
        <f ca="1">IFERROR(__xludf.DUMMYFUNCTION("""COMPUTED_VALUE"""),1)</f>
        <v>1</v>
      </c>
      <c r="M1002" s="3">
        <f ca="1">IFERROR(__xludf.DUMMYFUNCTION("""COMPUTED_VALUE"""),0)</f>
        <v>0</v>
      </c>
      <c r="N1002" s="3" t="str">
        <f ca="1">IFERROR(__xludf.DUMMYFUNCTION("""COMPUTED_VALUE"""),"2055-06-06T21:49:52.431566Z")</f>
        <v>2055-06-06T21:49:52.431566Z</v>
      </c>
      <c r="O1002" s="3" t="str">
        <f ca="1">IFERROR(__xludf.DUMMYFUNCTION("""COMPUTED_VALUE"""),"2055-06-06T21:58:01.758908Z")</f>
        <v>2055-06-06T21:58:01.758908Z</v>
      </c>
      <c r="P1002" s="3" t="str">
        <f ca="1">IFERROR(__xludf.DUMMYFUNCTION("""COMPUTED_VALUE"""),"2055-06-06T21:41:34.402634Z")</f>
        <v>2055-06-06T21:41:34.402634Z</v>
      </c>
      <c r="Q1002" s="3">
        <f ca="1">IFERROR(__xludf.DUMMYFUNCTION("""COMPUTED_VALUE"""),0)</f>
        <v>0</v>
      </c>
      <c r="R1002" s="3" t="str">
        <f ca="1">IFERROR(__xludf.DUMMYFUNCTION("""COMPUTED_VALUE"""),"2055-06-06T21:41:55.001806Z")</f>
        <v>2055-06-06T21:41:55.001806Z</v>
      </c>
      <c r="S1002" s="3" t="str">
        <f ca="1">IFERROR(__xludf.DUMMYFUNCTION("""COMPUTED_VALUE"""),"2055-06-06T21:44:49.517015Z")</f>
        <v>2055-06-06T21:44:49.517015Z</v>
      </c>
      <c r="T1002" s="3"/>
      <c r="U1002" s="4">
        <f ca="1">IFERROR(__xludf.DUMMYFUNCTION("""COMPUTED_VALUE"""),56771)</f>
        <v>56771</v>
      </c>
      <c r="V1002" s="3">
        <f ca="1">IFERROR(__xludf.DUMMYFUNCTION("""COMPUTED_VALUE"""),2.495450152)</f>
        <v>2.4954501520000001</v>
      </c>
      <c r="W1002" s="3">
        <f ca="1">IFERROR(__xludf.DUMMYFUNCTION("""COMPUTED_VALUE"""),1500)</f>
        <v>1500</v>
      </c>
      <c r="X1002" s="3">
        <f ca="1">IFERROR(__xludf.DUMMYFUNCTION("""COMPUTED_VALUE"""),966)</f>
        <v>966</v>
      </c>
      <c r="Y1002" s="3">
        <f ca="1">IFERROR(__xludf.DUMMYFUNCTION("""COMPUTED_VALUE"""),174)</f>
        <v>174</v>
      </c>
      <c r="Z1002" s="3">
        <f ca="1">IFERROR(__xludf.DUMMYFUNCTION("""COMPUTED_VALUE"""),303)</f>
        <v>303</v>
      </c>
      <c r="AA1002" s="3">
        <f ca="1">IFERROR(__xludf.DUMMYFUNCTION("""COMPUTED_VALUE"""),489)</f>
        <v>489</v>
      </c>
      <c r="AB1002" s="3">
        <f ca="1">IFERROR(__xludf.DUMMYFUNCTION("""COMPUTED_VALUE"""),0)</f>
        <v>0</v>
      </c>
      <c r="AC1002" s="3">
        <f ca="1">IFERROR(__xludf.DUMMYFUNCTION("""COMPUTED_VALUE"""),3)</f>
        <v>3</v>
      </c>
      <c r="AD1002" s="3" t="str">
        <f ca="1">IFERROR(__xludf.DUMMYFUNCTION("""COMPUTED_VALUE"""),"on time")</f>
        <v>on time</v>
      </c>
      <c r="AE1002" s="3" t="str">
        <f ca="1">IFERROR(__xludf.DUMMYFUNCTION("""COMPUTED_VALUE"""),"2055-06-06T17:49:52.431566Z")</f>
        <v>2055-06-06T17:49:52.431566Z</v>
      </c>
      <c r="AF1002" s="3" t="str">
        <f ca="1">IFERROR(__xludf.DUMMYFUNCTION("""COMPUTED_VALUE"""),"2055-06-06T17:58:01.758908Z")</f>
        <v>2055-06-06T17:58:01.758908Z</v>
      </c>
      <c r="AG1002" s="3" t="str">
        <f ca="1">IFERROR(__xludf.DUMMYFUNCTION("""COMPUTED_VALUE"""),"2055-06-06T17:41:34.402634Z")</f>
        <v>2055-06-06T17:41:34.402634Z</v>
      </c>
      <c r="AH1002" s="3" t="str">
        <f ca="1">IFERROR(__xludf.DUMMYFUNCTION("""COMPUTED_VALUE"""),"2055-06-06T17:44:49.517015Z")</f>
        <v>2055-06-06T17:44:49.517015Z</v>
      </c>
      <c r="AI1002" s="3">
        <f ca="1">IFERROR(__xludf.DUMMYFUNCTION("""COMPUTED_VALUE"""),4.52)</f>
        <v>4.5199999999999996</v>
      </c>
      <c r="AJ1002" s="3">
        <f ca="1">IFERROR(__xludf.DUMMYFUNCTION("""COMPUTED_VALUE"""),183)</f>
        <v>183</v>
      </c>
      <c r="AK1002" s="3">
        <f ca="1">IFERROR(__xludf.DUMMYFUNCTION("""COMPUTED_VALUE"""),522)</f>
        <v>522</v>
      </c>
      <c r="AL1002" s="3"/>
      <c r="AM1002" s="3">
        <f>IFERROR(Raw_Data!AL1002 / Raw_Data!AK1002, "")</f>
        <v>0</v>
      </c>
      <c r="AN1002" s="3" t="str">
        <f>IF(ISBLANK(Raw_Data!AL1002), "No", "Yes")</f>
        <v>No</v>
      </c>
      <c r="AO1002" s="3">
        <f>IFERROR(Raw_Data!Z1002/60, "")</f>
        <v>5.05</v>
      </c>
    </row>
    <row r="1003" spans="1:41" ht="13">
      <c r="A1003" s="3">
        <f ca="1">IFERROR(__xludf.DUMMYFUNCTION("""COMPUTED_VALUE"""),384)</f>
        <v>384</v>
      </c>
      <c r="B1003" s="3">
        <f ca="1">IFERROR(__xludf.DUMMYFUNCTION("""COMPUTED_VALUE"""),4)</f>
        <v>4</v>
      </c>
      <c r="C1003" s="3">
        <f ca="1">IFERROR(__xludf.DUMMYFUNCTION("""COMPUTED_VALUE"""),4001)</f>
        <v>4001</v>
      </c>
      <c r="D1003" s="3" t="str">
        <f ca="1">IFERROR(__xludf.DUMMYFUNCTION("""COMPUTED_VALUE"""),"Dashattan")</f>
        <v>Dashattan</v>
      </c>
      <c r="E1003" s="3" t="str">
        <f ca="1">IFERROR(__xludf.DUMMYFUNCTION("""COMPUTED_VALUE"""),"Galaxy A")</f>
        <v>Galaxy A</v>
      </c>
      <c r="F1003" s="3" t="str">
        <f ca="1">IFERROR(__xludf.DUMMYFUNCTION("""COMPUTED_VALUE"""),"Arya")</f>
        <v>Arya</v>
      </c>
      <c r="G1003" s="3">
        <f ca="1">IFERROR(__xludf.DUMMYFUNCTION("""COMPUTED_VALUE"""),0)</f>
        <v>0</v>
      </c>
      <c r="H1003" s="3" t="str">
        <f ca="1">IFERROR(__xludf.DUMMYFUNCTION("""COMPUTED_VALUE"""),"bicycle")</f>
        <v>bicycle</v>
      </c>
      <c r="I1003" s="3" t="str">
        <f ca="1">IFERROR(__xludf.DUMMYFUNCTION("""COMPUTED_VALUE"""),"2055-06-04T00:52:29.787814Z")</f>
        <v>2055-06-04T00:52:29.787814Z</v>
      </c>
      <c r="J1003" s="3" t="str">
        <f ca="1">IFERROR(__xludf.DUMMYFUNCTION("""COMPUTED_VALUE"""),"2055-06-04T01:59:39.835Z")</f>
        <v>2055-06-04T01:59:39.835Z</v>
      </c>
      <c r="K1003" s="3" t="str">
        <f ca="1">IFERROR(__xludf.DUMMYFUNCTION("""COMPUTED_VALUE"""),"2055-06-04T01:37:45.835Z")</f>
        <v>2055-06-04T01:37:45.835Z</v>
      </c>
      <c r="L1003" s="3">
        <f ca="1">IFERROR(__xludf.DUMMYFUNCTION("""COMPUTED_VALUE"""),1)</f>
        <v>1</v>
      </c>
      <c r="M1003" s="3">
        <f ca="1">IFERROR(__xludf.DUMMYFUNCTION("""COMPUTED_VALUE"""),0)</f>
        <v>0</v>
      </c>
      <c r="N1003" s="3" t="str">
        <f ca="1">IFERROR(__xludf.DUMMYFUNCTION("""COMPUTED_VALUE"""),"2055-06-04T01:32:05.760016Z")</f>
        <v>2055-06-04T01:32:05.760016Z</v>
      </c>
      <c r="O1003" s="3" t="str">
        <f ca="1">IFERROR(__xludf.DUMMYFUNCTION("""COMPUTED_VALUE"""),"2055-06-04T01:37:12.093788Z")</f>
        <v>2055-06-04T01:37:12.093788Z</v>
      </c>
      <c r="P1003" s="3" t="str">
        <f ca="1">IFERROR(__xludf.DUMMYFUNCTION("""COMPUTED_VALUE"""),"2055-06-04T01:08:35.166636Z")</f>
        <v>2055-06-04T01:08:35.166636Z</v>
      </c>
      <c r="Q1003" s="3">
        <f ca="1">IFERROR(__xludf.DUMMYFUNCTION("""COMPUTED_VALUE"""),0)</f>
        <v>0</v>
      </c>
      <c r="R1003" s="3" t="str">
        <f ca="1">IFERROR(__xludf.DUMMYFUNCTION("""COMPUTED_VALUE"""),"2055-06-04T01:08:49.061261Z")</f>
        <v>2055-06-04T01:08:49.061261Z</v>
      </c>
      <c r="S1003" s="3" t="str">
        <f ca="1">IFERROR(__xludf.DUMMYFUNCTION("""COMPUTED_VALUE"""),"2055-06-04T01:13:43.905484Z")</f>
        <v>2055-06-04T01:13:43.905484Z</v>
      </c>
      <c r="T1003" s="3"/>
      <c r="U1003" s="4">
        <f ca="1">IFERROR(__xludf.DUMMYFUNCTION("""COMPUTED_VALUE"""),56768)</f>
        <v>56768</v>
      </c>
      <c r="V1003" s="3">
        <f ca="1">IFERROR(__xludf.DUMMYFUNCTION("""COMPUTED_VALUE"""),4.2)</f>
        <v>4.2</v>
      </c>
      <c r="W1003" s="3">
        <f ca="1">IFERROR(__xludf.DUMMYFUNCTION("""COMPUTED_VALUE"""),1500)</f>
        <v>1500</v>
      </c>
      <c r="X1003" s="3">
        <f ca="1">IFERROR(__xludf.DUMMYFUNCTION("""COMPUTED_VALUE"""),1703)</f>
        <v>1703</v>
      </c>
      <c r="Y1003" s="3">
        <f ca="1">IFERROR(__xludf.DUMMYFUNCTION("""COMPUTED_VALUE"""),294)</f>
        <v>294</v>
      </c>
      <c r="Z1003" s="3">
        <f ca="1">IFERROR(__xludf.DUMMYFUNCTION("""COMPUTED_VALUE"""),1102)</f>
        <v>1102</v>
      </c>
      <c r="AA1003" s="3">
        <f ca="1">IFERROR(__xludf.DUMMYFUNCTION("""COMPUTED_VALUE"""),307)</f>
        <v>307</v>
      </c>
      <c r="AB1003" s="3">
        <f ca="1">IFERROR(__xludf.DUMMYFUNCTION("""COMPUTED_VALUE"""),0)</f>
        <v>0</v>
      </c>
      <c r="AC1003" s="3">
        <f ca="1">IFERROR(__xludf.DUMMYFUNCTION("""COMPUTED_VALUE"""),2)</f>
        <v>2</v>
      </c>
      <c r="AD1003" s="3" t="str">
        <f ca="1">IFERROR(__xludf.DUMMYFUNCTION("""COMPUTED_VALUE"""),"on time")</f>
        <v>on time</v>
      </c>
      <c r="AE1003" s="3" t="str">
        <f ca="1">IFERROR(__xludf.DUMMYFUNCTION("""COMPUTED_VALUE"""),"2055-06-03T21:32:05.760016Z")</f>
        <v>2055-06-03T21:32:05.760016Z</v>
      </c>
      <c r="AF1003" s="3" t="str">
        <f ca="1">IFERROR(__xludf.DUMMYFUNCTION("""COMPUTED_VALUE"""),"2055-06-03T21:37:12.093788Z")</f>
        <v>2055-06-03T21:37:12.093788Z</v>
      </c>
      <c r="AG1003" s="3" t="str">
        <f ca="1">IFERROR(__xludf.DUMMYFUNCTION("""COMPUTED_VALUE"""),"2055-06-03T21:08:35.166636Z")</f>
        <v>2055-06-03T21:08:35.166636Z</v>
      </c>
      <c r="AH1003" s="3" t="str">
        <f ca="1">IFERROR(__xludf.DUMMYFUNCTION("""COMPUTED_VALUE"""),"2055-06-03T21:13:43.905484Z")</f>
        <v>2055-06-03T21:13:43.905484Z</v>
      </c>
      <c r="AI1003" s="3">
        <f ca="1">IFERROR(__xludf.DUMMYFUNCTION("""COMPUTED_VALUE"""),4.17)</f>
        <v>4.17</v>
      </c>
      <c r="AJ1003" s="3">
        <f ca="1">IFERROR(__xludf.DUMMYFUNCTION("""COMPUTED_VALUE"""),457)</f>
        <v>457</v>
      </c>
      <c r="AK1003" s="3">
        <f ca="1">IFERROR(__xludf.DUMMYFUNCTION("""COMPUTED_VALUE"""),1599)</f>
        <v>1599</v>
      </c>
      <c r="AL1003" s="3"/>
      <c r="AM1003" s="3">
        <f>IFERROR(Raw_Data!AL1003 / Raw_Data!AK1003, "")</f>
        <v>0</v>
      </c>
      <c r="AN1003" s="3" t="str">
        <f>IF(ISBLANK(Raw_Data!AL1003), "No", "Yes")</f>
        <v>No</v>
      </c>
      <c r="AO1003" s="3">
        <f>IFERROR(Raw_Data!Z1003/60, "")</f>
        <v>18.366666666666667</v>
      </c>
    </row>
    <row r="1004" spans="1:41" ht="13">
      <c r="A1004" s="3">
        <f ca="1">IFERROR(__xludf.DUMMYFUNCTION("""COMPUTED_VALUE"""),6)</f>
        <v>6</v>
      </c>
      <c r="B1004" s="3">
        <f ca="1">IFERROR(__xludf.DUMMYFUNCTION("""COMPUTED_VALUE"""),5)</f>
        <v>5</v>
      </c>
      <c r="C1004" s="3">
        <f ca="1">IFERROR(__xludf.DUMMYFUNCTION("""COMPUTED_VALUE"""),4050)</f>
        <v>4050</v>
      </c>
      <c r="D1004" s="3" t="str">
        <f ca="1">IFERROR(__xludf.DUMMYFUNCTION("""COMPUTED_VALUE"""),"Doorlanta")</f>
        <v>Doorlanta</v>
      </c>
      <c r="E1004" s="3" t="str">
        <f ca="1">IFERROR(__xludf.DUMMYFUNCTION("""COMPUTED_VALUE"""),"Galaxy A")</f>
        <v>Galaxy A</v>
      </c>
      <c r="F1004" s="3" t="str">
        <f ca="1">IFERROR(__xludf.DUMMYFUNCTION("""COMPUTED_VALUE"""),"Ash")</f>
        <v>Ash</v>
      </c>
      <c r="G1004" s="3">
        <f ca="1">IFERROR(__xludf.DUMMYFUNCTION("""COMPUTED_VALUE"""),0)</f>
        <v>0</v>
      </c>
      <c r="H1004" s="3" t="str">
        <f ca="1">IFERROR(__xludf.DUMMYFUNCTION("""COMPUTED_VALUE"""),"car")</f>
        <v>car</v>
      </c>
      <c r="I1004" s="3" t="str">
        <f ca="1">IFERROR(__xludf.DUMMYFUNCTION("""COMPUTED_VALUE"""),"2055-06-01T14:33:38.440073Z")</f>
        <v>2055-06-01T14:33:38.440073Z</v>
      </c>
      <c r="J1004" s="3" t="str">
        <f ca="1">IFERROR(__xludf.DUMMYFUNCTION("""COMPUTED_VALUE"""),"2055-06-01T15:45:00Z")</f>
        <v>2055-06-01T15:45:00Z</v>
      </c>
      <c r="K1004" s="3" t="str">
        <f ca="1">IFERROR(__xludf.DUMMYFUNCTION("""COMPUTED_VALUE"""),"2055-06-01T15:45:00Z")</f>
        <v>2055-06-01T15:45:00Z</v>
      </c>
      <c r="L1004" s="3">
        <f ca="1">IFERROR(__xludf.DUMMYFUNCTION("""COMPUTED_VALUE"""),0)</f>
        <v>0</v>
      </c>
      <c r="M1004" s="3">
        <f ca="1">IFERROR(__xludf.DUMMYFUNCTION("""COMPUTED_VALUE"""),0)</f>
        <v>0</v>
      </c>
      <c r="N1004" s="3" t="str">
        <f ca="1">IFERROR(__xludf.DUMMYFUNCTION("""COMPUTED_VALUE"""),"2055-06-01T15:20:59.346147Z")</f>
        <v>2055-06-01T15:20:59.346147Z</v>
      </c>
      <c r="O1004" s="3" t="str">
        <f ca="1">IFERROR(__xludf.DUMMYFUNCTION("""COMPUTED_VALUE"""),"2055-06-01T15:44:20.543861Z")</f>
        <v>2055-06-01T15:44:20.543861Z</v>
      </c>
      <c r="P1004" s="3" t="str">
        <f ca="1">IFERROR(__xludf.DUMMYFUNCTION("""COMPUTED_VALUE"""),"2055-06-01T14:47:07.407286Z")</f>
        <v>2055-06-01T14:47:07.407286Z</v>
      </c>
      <c r="Q1004" s="3">
        <f ca="1">IFERROR(__xludf.DUMMYFUNCTION("""COMPUTED_VALUE"""),0)</f>
        <v>0</v>
      </c>
      <c r="R1004" s="3" t="str">
        <f ca="1">IFERROR(__xludf.DUMMYFUNCTION("""COMPUTED_VALUE"""),"2055-06-01T14:48:10.653549Z")</f>
        <v>2055-06-01T14:48:10.653549Z</v>
      </c>
      <c r="S1004" s="3" t="str">
        <f ca="1">IFERROR(__xludf.DUMMYFUNCTION("""COMPUTED_VALUE"""),"2055-06-01T15:04:28.382304Z")</f>
        <v>2055-06-01T15:04:28.382304Z</v>
      </c>
      <c r="T1004" s="3"/>
      <c r="U1004" s="4">
        <f ca="1">IFERROR(__xludf.DUMMYFUNCTION("""COMPUTED_VALUE"""),56766)</f>
        <v>56766</v>
      </c>
      <c r="V1004" s="3">
        <f ca="1">IFERROR(__xludf.DUMMYFUNCTION("""COMPUTED_VALUE"""),4.7)</f>
        <v>4.7</v>
      </c>
      <c r="W1004" s="3">
        <f ca="1">IFERROR(__xludf.DUMMYFUNCTION("""COMPUTED_VALUE"""),1500)</f>
        <v>1500</v>
      </c>
      <c r="X1004" s="3">
        <f ca="1">IFERROR(__xludf.DUMMYFUNCTION("""COMPUTED_VALUE"""),3370)</f>
        <v>3370</v>
      </c>
      <c r="Y1004" s="3">
        <f ca="1">IFERROR(__xludf.DUMMYFUNCTION("""COMPUTED_VALUE"""),978)</f>
        <v>978</v>
      </c>
      <c r="Z1004" s="3">
        <f ca="1">IFERROR(__xludf.DUMMYFUNCTION("""COMPUTED_VALUE"""),991)</f>
        <v>991</v>
      </c>
      <c r="AA1004" s="3">
        <f ca="1">IFERROR(__xludf.DUMMYFUNCTION("""COMPUTED_VALUE"""),1401)</f>
        <v>1401</v>
      </c>
      <c r="AB1004" s="3">
        <f ca="1">IFERROR(__xludf.DUMMYFUNCTION("""COMPUTED_VALUE"""),0)</f>
        <v>0</v>
      </c>
      <c r="AC1004" s="3">
        <f ca="1">IFERROR(__xludf.DUMMYFUNCTION("""COMPUTED_VALUE"""),1)</f>
        <v>1</v>
      </c>
      <c r="AD1004" s="3" t="str">
        <f ca="1">IFERROR(__xludf.DUMMYFUNCTION("""COMPUTED_VALUE"""),"early")</f>
        <v>early</v>
      </c>
      <c r="AE1004" s="3" t="str">
        <f ca="1">IFERROR(__xludf.DUMMYFUNCTION("""COMPUTED_VALUE"""),"2055-06-01T11:20:59.346147Z")</f>
        <v>2055-06-01T11:20:59.346147Z</v>
      </c>
      <c r="AF1004" s="3" t="str">
        <f ca="1">IFERROR(__xludf.DUMMYFUNCTION("""COMPUTED_VALUE"""),"2055-06-01T11:44:20.543861Z")</f>
        <v>2055-06-01T11:44:20.543861Z</v>
      </c>
      <c r="AG1004" s="3" t="str">
        <f ca="1">IFERROR(__xludf.DUMMYFUNCTION("""COMPUTED_VALUE"""),"2055-06-01T10:47:07.407286Z")</f>
        <v>2055-06-01T10:47:07.407286Z</v>
      </c>
      <c r="AH1004" s="3" t="str">
        <f ca="1">IFERROR(__xludf.DUMMYFUNCTION("""COMPUTED_VALUE"""),"2055-06-01T11:04:28.382304Z")</f>
        <v>2055-06-01T11:04:28.382304Z</v>
      </c>
      <c r="AI1004" s="3">
        <f ca="1">IFERROR(__xludf.DUMMYFUNCTION("""COMPUTED_VALUE"""),4.66)</f>
        <v>4.66</v>
      </c>
      <c r="AJ1004" s="3">
        <f ca="1">IFERROR(__xludf.DUMMYFUNCTION("""COMPUTED_VALUE"""),161)</f>
        <v>161</v>
      </c>
      <c r="AK1004" s="3">
        <f ca="1">IFERROR(__xludf.DUMMYFUNCTION("""COMPUTED_VALUE"""),398)</f>
        <v>398</v>
      </c>
      <c r="AL1004" s="3"/>
      <c r="AM1004" s="3">
        <f>IFERROR(Raw_Data!AL1004 / Raw_Data!AK1004, "")</f>
        <v>0</v>
      </c>
      <c r="AN1004" s="3" t="str">
        <f>IF(ISBLANK(Raw_Data!AL1004), "No", "Yes")</f>
        <v>No</v>
      </c>
      <c r="AO1004" s="3">
        <f>IFERROR(Raw_Data!Z1004/60, "")</f>
        <v>16.516666666666666</v>
      </c>
    </row>
    <row r="1005" spans="1:41" ht="13">
      <c r="A1005" s="3">
        <f ca="1">IFERROR(__xludf.DUMMYFUNCTION("""COMPUTED_VALUE"""),145)</f>
        <v>145</v>
      </c>
      <c r="B1005" s="3"/>
      <c r="C1005" s="3">
        <f ca="1">IFERROR(__xludf.DUMMYFUNCTION("""COMPUTED_VALUE"""),4050)</f>
        <v>4050</v>
      </c>
      <c r="D1005" s="3" t="str">
        <f ca="1">IFERROR(__xludf.DUMMYFUNCTION("""COMPUTED_VALUE"""),"Doorlanta")</f>
        <v>Doorlanta</v>
      </c>
      <c r="E1005" s="3" t="str">
        <f ca="1">IFERROR(__xludf.DUMMYFUNCTION("""COMPUTED_VALUE"""),"Galaxy A")</f>
        <v>Galaxy A</v>
      </c>
      <c r="F1005" s="3" t="str">
        <f ca="1">IFERROR(__xludf.DUMMYFUNCTION("""COMPUTED_VALUE"""),"Jagar")</f>
        <v>Jagar</v>
      </c>
      <c r="G1005" s="3">
        <f ca="1">IFERROR(__xludf.DUMMYFUNCTION("""COMPUTED_VALUE"""),0)</f>
        <v>0</v>
      </c>
      <c r="H1005" s="3" t="str">
        <f ca="1">IFERROR(__xludf.DUMMYFUNCTION("""COMPUTED_VALUE"""),"car")</f>
        <v>car</v>
      </c>
      <c r="I1005" s="3" t="str">
        <f ca="1">IFERROR(__xludf.DUMMYFUNCTION("""COMPUTED_VALUE"""),"2055-06-02T17:19:46.600054Z")</f>
        <v>2055-06-02T17:19:46.600054Z</v>
      </c>
      <c r="J1005" s="3" t="str">
        <f ca="1">IFERROR(__xludf.DUMMYFUNCTION("""COMPUTED_VALUE"""),"2055-06-02T18:04:46.677Z")</f>
        <v>2055-06-02T18:04:46.677Z</v>
      </c>
      <c r="K1005" s="3" t="str">
        <f ca="1">IFERROR(__xludf.DUMMYFUNCTION("""COMPUTED_VALUE"""),"2055-06-02T17:43:46.677Z")</f>
        <v>2055-06-02T17:43:46.677Z</v>
      </c>
      <c r="L1005" s="3">
        <f ca="1">IFERROR(__xludf.DUMMYFUNCTION("""COMPUTED_VALUE"""),1)</f>
        <v>1</v>
      </c>
      <c r="M1005" s="3">
        <f ca="1">IFERROR(__xludf.DUMMYFUNCTION("""COMPUTED_VALUE"""),0)</f>
        <v>0</v>
      </c>
      <c r="N1005" s="3" t="str">
        <f ca="1">IFERROR(__xludf.DUMMYFUNCTION("""COMPUTED_VALUE"""),"2055-06-02T17:33:18.01464Z")</f>
        <v>2055-06-02T17:33:18.01464Z</v>
      </c>
      <c r="O1005" s="3" t="str">
        <f ca="1">IFERROR(__xludf.DUMMYFUNCTION("""COMPUTED_VALUE"""),"2055-06-02T17:41:50.752042Z")</f>
        <v>2055-06-02T17:41:50.752042Z</v>
      </c>
      <c r="P1005" s="3" t="str">
        <f ca="1">IFERROR(__xludf.DUMMYFUNCTION("""COMPUTED_VALUE"""),"2055-06-02T17:20:07.314331Z")</f>
        <v>2055-06-02T17:20:07.314331Z</v>
      </c>
      <c r="Q1005" s="3">
        <f ca="1">IFERROR(__xludf.DUMMYFUNCTION("""COMPUTED_VALUE"""),0)</f>
        <v>0</v>
      </c>
      <c r="R1005" s="3" t="str">
        <f ca="1">IFERROR(__xludf.DUMMYFUNCTION("""COMPUTED_VALUE"""),"2055-06-02T17:20:14.96574Z")</f>
        <v>2055-06-02T17:20:14.96574Z</v>
      </c>
      <c r="S1005" s="3" t="str">
        <f ca="1">IFERROR(__xludf.DUMMYFUNCTION("""COMPUTED_VALUE"""),"2055-06-02T17:27:49.280127Z")</f>
        <v>2055-06-02T17:27:49.280127Z</v>
      </c>
      <c r="T1005" s="3"/>
      <c r="U1005" s="4">
        <f ca="1">IFERROR(__xludf.DUMMYFUNCTION("""COMPUTED_VALUE"""),56767)</f>
        <v>56767</v>
      </c>
      <c r="V1005" s="3">
        <f ca="1">IFERROR(__xludf.DUMMYFUNCTION("""COMPUTED_VALUE"""),4.6)</f>
        <v>4.5999999999999996</v>
      </c>
      <c r="W1005" s="3">
        <f ca="1">IFERROR(__xludf.DUMMYFUNCTION("""COMPUTED_VALUE"""),1500)</f>
        <v>1500</v>
      </c>
      <c r="X1005" s="3">
        <f ca="1">IFERROR(__xludf.DUMMYFUNCTION("""COMPUTED_VALUE"""),1296)</f>
        <v>1296</v>
      </c>
      <c r="Y1005" s="3">
        <f ca="1">IFERROR(__xludf.DUMMYFUNCTION("""COMPUTED_VALUE"""),455)</f>
        <v>455</v>
      </c>
      <c r="Z1005" s="3">
        <f ca="1">IFERROR(__xludf.DUMMYFUNCTION("""COMPUTED_VALUE"""),329)</f>
        <v>329</v>
      </c>
      <c r="AA1005" s="3">
        <f ca="1">IFERROR(__xludf.DUMMYFUNCTION("""COMPUTED_VALUE"""),512)</f>
        <v>512</v>
      </c>
      <c r="AB1005" s="3">
        <f ca="1">IFERROR(__xludf.DUMMYFUNCTION("""COMPUTED_VALUE"""),0)</f>
        <v>0</v>
      </c>
      <c r="AC1005" s="3">
        <f ca="1">IFERROR(__xludf.DUMMYFUNCTION("""COMPUTED_VALUE"""),1)</f>
        <v>1</v>
      </c>
      <c r="AD1005" s="3" t="str">
        <f ca="1">IFERROR(__xludf.DUMMYFUNCTION("""COMPUTED_VALUE"""),"on time")</f>
        <v>on time</v>
      </c>
      <c r="AE1005" s="3" t="str">
        <f ca="1">IFERROR(__xludf.DUMMYFUNCTION("""COMPUTED_VALUE"""),"2055-06-02T13:33:18.01464Z")</f>
        <v>2055-06-02T13:33:18.01464Z</v>
      </c>
      <c r="AF1005" s="3" t="str">
        <f ca="1">IFERROR(__xludf.DUMMYFUNCTION("""COMPUTED_VALUE"""),"2055-06-02T13:41:50.752042Z")</f>
        <v>2055-06-02T13:41:50.752042Z</v>
      </c>
      <c r="AG1005" s="3" t="str">
        <f ca="1">IFERROR(__xludf.DUMMYFUNCTION("""COMPUTED_VALUE"""),"2055-06-02T13:20:07.314331Z")</f>
        <v>2055-06-02T13:20:07.314331Z</v>
      </c>
      <c r="AH1005" s="3" t="str">
        <f ca="1">IFERROR(__xludf.DUMMYFUNCTION("""COMPUTED_VALUE"""),"2055-06-02T13:27:49.280127Z")</f>
        <v>2055-06-02T13:27:49.280127Z</v>
      </c>
      <c r="AI1005" s="3">
        <f ca="1">IFERROR(__xludf.DUMMYFUNCTION("""COMPUTED_VALUE"""),4.89)</f>
        <v>4.8899999999999997</v>
      </c>
      <c r="AJ1005" s="3">
        <f ca="1">IFERROR(__xludf.DUMMYFUNCTION("""COMPUTED_VALUE"""),1778)</f>
        <v>1778</v>
      </c>
      <c r="AK1005" s="3">
        <f ca="1">IFERROR(__xludf.DUMMYFUNCTION("""COMPUTED_VALUE"""),5138)</f>
        <v>5138</v>
      </c>
      <c r="AL1005" s="3">
        <f ca="1">IFERROR(__xludf.DUMMYFUNCTION("""COMPUTED_VALUE"""),314)</f>
        <v>314</v>
      </c>
      <c r="AM1005" s="3">
        <f>IFERROR(Raw_Data!AL1005 / Raw_Data!AK1005, "")</f>
        <v>6.1113273647333592E-2</v>
      </c>
      <c r="AN1005" s="3" t="str">
        <f>IF(ISBLANK(Raw_Data!AL1005), "No", "Yes")</f>
        <v>Yes</v>
      </c>
      <c r="AO1005" s="3">
        <f>IFERROR(Raw_Data!Z1005/60, "")</f>
        <v>5.4833333333333334</v>
      </c>
    </row>
    <row r="1006" spans="1:41" ht="13">
      <c r="A1006" s="3">
        <f ca="1">IFERROR(__xludf.DUMMYFUNCTION("""COMPUTED_VALUE"""),311)</f>
        <v>311</v>
      </c>
      <c r="B1006" s="3"/>
      <c r="C1006" s="3">
        <f ca="1">IFERROR(__xludf.DUMMYFUNCTION("""COMPUTED_VALUE"""),4001)</f>
        <v>4001</v>
      </c>
      <c r="D1006" s="3" t="str">
        <f ca="1">IFERROR(__xludf.DUMMYFUNCTION("""COMPUTED_VALUE"""),"Dashattan")</f>
        <v>Dashattan</v>
      </c>
      <c r="E1006" s="3" t="str">
        <f ca="1">IFERROR(__xludf.DUMMYFUNCTION("""COMPUTED_VALUE"""),"Galaxy A")</f>
        <v>Galaxy A</v>
      </c>
      <c r="F1006" s="3" t="str">
        <f ca="1">IFERROR(__xludf.DUMMYFUNCTION("""COMPUTED_VALUE"""),"KC")</f>
        <v>KC</v>
      </c>
      <c r="G1006" s="3">
        <f ca="1">IFERROR(__xludf.DUMMYFUNCTION("""COMPUTED_VALUE"""),0)</f>
        <v>0</v>
      </c>
      <c r="H1006" s="3" t="str">
        <f ca="1">IFERROR(__xludf.DUMMYFUNCTION("""COMPUTED_VALUE"""),"car")</f>
        <v>car</v>
      </c>
      <c r="I1006" s="3" t="str">
        <f ca="1">IFERROR(__xludf.DUMMYFUNCTION("""COMPUTED_VALUE"""),"2055-06-03T18:21:24.328847Z")</f>
        <v>2055-06-03T18:21:24.328847Z</v>
      </c>
      <c r="J1006" s="3" t="str">
        <f ca="1">IFERROR(__xludf.DUMMYFUNCTION("""COMPUTED_VALUE"""),"2055-06-03T19:16:35.398Z")</f>
        <v>2055-06-03T19:16:35.398Z</v>
      </c>
      <c r="K1006" s="3" t="str">
        <f ca="1">IFERROR(__xludf.DUMMYFUNCTION("""COMPUTED_VALUE"""),"2055-06-03T18:57:42.398Z")</f>
        <v>2055-06-03T18:57:42.398Z</v>
      </c>
      <c r="L1006" s="3">
        <f ca="1">IFERROR(__xludf.DUMMYFUNCTION("""COMPUTED_VALUE"""),1)</f>
        <v>1</v>
      </c>
      <c r="M1006" s="3">
        <f ca="1">IFERROR(__xludf.DUMMYFUNCTION("""COMPUTED_VALUE"""),0)</f>
        <v>0</v>
      </c>
      <c r="N1006" s="3" t="str">
        <f ca="1">IFERROR(__xludf.DUMMYFUNCTION("""COMPUTED_VALUE"""),"2055-06-03T19:04:48.480628Z")</f>
        <v>2055-06-03T19:04:48.480628Z</v>
      </c>
      <c r="O1006" s="3" t="str">
        <f ca="1">IFERROR(__xludf.DUMMYFUNCTION("""COMPUTED_VALUE"""),"2055-06-03T19:11:11.579698Z")</f>
        <v>2055-06-03T19:11:11.579698Z</v>
      </c>
      <c r="P1006" s="3" t="str">
        <f ca="1">IFERROR(__xludf.DUMMYFUNCTION("""COMPUTED_VALUE"""),"2055-06-03T18:26:14.307683Z")</f>
        <v>2055-06-03T18:26:14.307683Z</v>
      </c>
      <c r="Q1006" s="3">
        <f ca="1">IFERROR(__xludf.DUMMYFUNCTION("""COMPUTED_VALUE"""),0)</f>
        <v>0</v>
      </c>
      <c r="R1006" s="3" t="str">
        <f ca="1">IFERROR(__xludf.DUMMYFUNCTION("""COMPUTED_VALUE"""),"2055-06-03T18:26:21.512973Z")</f>
        <v>2055-06-03T18:26:21.512973Z</v>
      </c>
      <c r="S1006" s="3" t="str">
        <f ca="1">IFERROR(__xludf.DUMMYFUNCTION("""COMPUTED_VALUE"""),"2055-06-03T19:03:24.829228Z")</f>
        <v>2055-06-03T19:03:24.829228Z</v>
      </c>
      <c r="T1006" s="3"/>
      <c r="U1006" s="4">
        <f ca="1">IFERROR(__xludf.DUMMYFUNCTION("""COMPUTED_VALUE"""),56768)</f>
        <v>56768</v>
      </c>
      <c r="V1006" s="3">
        <f ca="1">IFERROR(__xludf.DUMMYFUNCTION("""COMPUTED_VALUE"""),4.5)</f>
        <v>4.5</v>
      </c>
      <c r="W1006" s="3">
        <f ca="1">IFERROR(__xludf.DUMMYFUNCTION("""COMPUTED_VALUE"""),1500)</f>
        <v>1500</v>
      </c>
      <c r="X1006" s="3">
        <f ca="1">IFERROR(__xludf.DUMMYFUNCTION("""COMPUTED_VALUE"""),2690)</f>
        <v>2690</v>
      </c>
      <c r="Y1006" s="3">
        <f ca="1">IFERROR(__xludf.DUMMYFUNCTION("""COMPUTED_VALUE"""),2223)</f>
        <v>2223</v>
      </c>
      <c r="Z1006" s="3">
        <f ca="1">IFERROR(__xludf.DUMMYFUNCTION("""COMPUTED_VALUE"""),84)</f>
        <v>84</v>
      </c>
      <c r="AA1006" s="3">
        <f ca="1">IFERROR(__xludf.DUMMYFUNCTION("""COMPUTED_VALUE"""),383)</f>
        <v>383</v>
      </c>
      <c r="AB1006" s="3">
        <f ca="1">IFERROR(__xludf.DUMMYFUNCTION("""COMPUTED_VALUE"""),1)</f>
        <v>1</v>
      </c>
      <c r="AC1006" s="3">
        <f ca="1">IFERROR(__xludf.DUMMYFUNCTION("""COMPUTED_VALUE"""),2)</f>
        <v>2</v>
      </c>
      <c r="AD1006" s="3"/>
      <c r="AE1006" s="3" t="str">
        <f ca="1">IFERROR(__xludf.DUMMYFUNCTION("""COMPUTED_VALUE"""),"2055-06-03T15:04:48.480628Z")</f>
        <v>2055-06-03T15:04:48.480628Z</v>
      </c>
      <c r="AF1006" s="3" t="str">
        <f ca="1">IFERROR(__xludf.DUMMYFUNCTION("""COMPUTED_VALUE"""),"2055-06-03T15:11:11.579698Z")</f>
        <v>2055-06-03T15:11:11.579698Z</v>
      </c>
      <c r="AG1006" s="3" t="str">
        <f ca="1">IFERROR(__xludf.DUMMYFUNCTION("""COMPUTED_VALUE"""),"2055-06-03T14:26:14.307683Z")</f>
        <v>2055-06-03T14:26:14.307683Z</v>
      </c>
      <c r="AH1006" s="3" t="str">
        <f ca="1">IFERROR(__xludf.DUMMYFUNCTION("""COMPUTED_VALUE"""),"2055-06-03T15:03:24.829228Z")</f>
        <v>2055-06-03T15:03:24.829228Z</v>
      </c>
      <c r="AI1006" s="3">
        <f ca="1">IFERROR(__xludf.DUMMYFUNCTION("""COMPUTED_VALUE"""),4.54)</f>
        <v>4.54</v>
      </c>
      <c r="AJ1006" s="3">
        <f ca="1">IFERROR(__xludf.DUMMYFUNCTION("""COMPUTED_VALUE"""),2229)</f>
        <v>2229</v>
      </c>
      <c r="AK1006" s="3">
        <f ca="1">IFERROR(__xludf.DUMMYFUNCTION("""COMPUTED_VALUE"""),6580)</f>
        <v>6580</v>
      </c>
      <c r="AL1006" s="3"/>
      <c r="AM1006" s="3">
        <f>IFERROR(Raw_Data!AL1006 / Raw_Data!AK1006, "")</f>
        <v>0</v>
      </c>
      <c r="AN1006" s="3" t="str">
        <f>IF(ISBLANK(Raw_Data!AL1006), "No", "Yes")</f>
        <v>No</v>
      </c>
      <c r="AO1006" s="3">
        <f>IFERROR(Raw_Data!Z1006/60, "")</f>
        <v>1.4</v>
      </c>
    </row>
    <row r="1007" spans="1:41" ht="13">
      <c r="A1007" s="3">
        <f ca="1">IFERROR(__xludf.DUMMYFUNCTION("""COMPUTED_VALUE"""),883)</f>
        <v>883</v>
      </c>
      <c r="B1007" s="3"/>
      <c r="C1007" s="3">
        <f ca="1">IFERROR(__xludf.DUMMYFUNCTION("""COMPUTED_VALUE"""),4050)</f>
        <v>4050</v>
      </c>
      <c r="D1007" s="3" t="str">
        <f ca="1">IFERROR(__xludf.DUMMYFUNCTION("""COMPUTED_VALUE"""),"Doorlanta")</f>
        <v>Doorlanta</v>
      </c>
      <c r="E1007" s="3" t="str">
        <f ca="1">IFERROR(__xludf.DUMMYFUNCTION("""COMPUTED_VALUE"""),"Galaxy A")</f>
        <v>Galaxy A</v>
      </c>
      <c r="F1007" s="3" t="str">
        <f ca="1">IFERROR(__xludf.DUMMYFUNCTION("""COMPUTED_VALUE"""),"Elon")</f>
        <v>Elon</v>
      </c>
      <c r="G1007" s="3">
        <f ca="1">IFERROR(__xludf.DUMMYFUNCTION("""COMPUTED_VALUE"""),0)</f>
        <v>0</v>
      </c>
      <c r="H1007" s="3" t="str">
        <f ca="1">IFERROR(__xludf.DUMMYFUNCTION("""COMPUTED_VALUE"""),"car")</f>
        <v>car</v>
      </c>
      <c r="I1007" s="3" t="str">
        <f ca="1">IFERROR(__xludf.DUMMYFUNCTION("""COMPUTED_VALUE"""),"2055-06-07T22:34:34.451902Z")</f>
        <v>2055-06-07T22:34:34.451902Z</v>
      </c>
      <c r="J1007" s="3" t="str">
        <f ca="1">IFERROR(__xludf.DUMMYFUNCTION("""COMPUTED_VALUE"""),"2055-06-07T23:33:59.523Z")</f>
        <v>2055-06-07T23:33:59.523Z</v>
      </c>
      <c r="K1007" s="3" t="str">
        <f ca="1">IFERROR(__xludf.DUMMYFUNCTION("""COMPUTED_VALUE"""),"2055-06-07T23:17:05.523Z")</f>
        <v>2055-06-07T23:17:05.523Z</v>
      </c>
      <c r="L1007" s="3">
        <f ca="1">IFERROR(__xludf.DUMMYFUNCTION("""COMPUTED_VALUE"""),1)</f>
        <v>1</v>
      </c>
      <c r="M1007" s="3">
        <f ca="1">IFERROR(__xludf.DUMMYFUNCTION("""COMPUTED_VALUE"""),0)</f>
        <v>0</v>
      </c>
      <c r="N1007" s="3" t="str">
        <f ca="1">IFERROR(__xludf.DUMMYFUNCTION("""COMPUTED_VALUE"""),"2055-06-07T22:59:04.714231Z")</f>
        <v>2055-06-07T22:59:04.714231Z</v>
      </c>
      <c r="O1007" s="3" t="str">
        <f ca="1">IFERROR(__xludf.DUMMYFUNCTION("""COMPUTED_VALUE"""),"2055-06-07T23:12:10.961254Z")</f>
        <v>2055-06-07T23:12:10.961254Z</v>
      </c>
      <c r="P1007" s="3" t="str">
        <f ca="1">IFERROR(__xludf.DUMMYFUNCTION("""COMPUTED_VALUE"""),"2055-06-07T22:36:26.093716Z")</f>
        <v>2055-06-07T22:36:26.093716Z</v>
      </c>
      <c r="Q1007" s="3">
        <f ca="1">IFERROR(__xludf.DUMMYFUNCTION("""COMPUTED_VALUE"""),1)</f>
        <v>1</v>
      </c>
      <c r="R1007" s="3" t="str">
        <f ca="1">IFERROR(__xludf.DUMMYFUNCTION("""COMPUTED_VALUE"""),"2055-06-07T22:36:41.006269Z")</f>
        <v>2055-06-07T22:36:41.006269Z</v>
      </c>
      <c r="S1007" s="3" t="str">
        <f ca="1">IFERROR(__xludf.DUMMYFUNCTION("""COMPUTED_VALUE"""),"2055-06-07T22:57:15.939566Z")</f>
        <v>2055-06-07T22:57:15.939566Z</v>
      </c>
      <c r="T1007" s="3"/>
      <c r="U1007" s="4">
        <f ca="1">IFERROR(__xludf.DUMMYFUNCTION("""COMPUTED_VALUE"""),56772)</f>
        <v>56772</v>
      </c>
      <c r="V1007" s="3">
        <f ca="1">IFERROR(__xludf.DUMMYFUNCTION("""COMPUTED_VALUE"""),4.5)</f>
        <v>4.5</v>
      </c>
      <c r="W1007" s="3">
        <f ca="1">IFERROR(__xludf.DUMMYFUNCTION("""COMPUTED_VALUE"""),1500)</f>
        <v>1500</v>
      </c>
      <c r="X1007" s="3">
        <f ca="1">IFERROR(__xludf.DUMMYFUNCTION("""COMPUTED_VALUE"""),2129)</f>
        <v>2129</v>
      </c>
      <c r="Y1007" s="3">
        <f ca="1">IFERROR(__xludf.DUMMYFUNCTION("""COMPUTED_VALUE"""),1234)</f>
        <v>1234</v>
      </c>
      <c r="Z1007" s="3">
        <f ca="1">IFERROR(__xludf.DUMMYFUNCTION("""COMPUTED_VALUE"""),109)</f>
        <v>109</v>
      </c>
      <c r="AA1007" s="3">
        <f ca="1">IFERROR(__xludf.DUMMYFUNCTION("""COMPUTED_VALUE"""),786)</f>
        <v>786</v>
      </c>
      <c r="AB1007" s="3">
        <f ca="1">IFERROR(__xludf.DUMMYFUNCTION("""COMPUTED_VALUE"""),0)</f>
        <v>0</v>
      </c>
      <c r="AC1007" s="3">
        <f ca="1">IFERROR(__xludf.DUMMYFUNCTION("""COMPUTED_VALUE"""),3)</f>
        <v>3</v>
      </c>
      <c r="AD1007" s="3" t="str">
        <f ca="1">IFERROR(__xludf.DUMMYFUNCTION("""COMPUTED_VALUE"""),"late")</f>
        <v>late</v>
      </c>
      <c r="AE1007" s="3" t="str">
        <f ca="1">IFERROR(__xludf.DUMMYFUNCTION("""COMPUTED_VALUE"""),"2055-06-07T18:59:04.714231Z")</f>
        <v>2055-06-07T18:59:04.714231Z</v>
      </c>
      <c r="AF1007" s="3" t="str">
        <f ca="1">IFERROR(__xludf.DUMMYFUNCTION("""COMPUTED_VALUE"""),"2055-06-07T19:12:10.961254Z")</f>
        <v>2055-06-07T19:12:10.961254Z</v>
      </c>
      <c r="AG1007" s="3" t="str">
        <f ca="1">IFERROR(__xludf.DUMMYFUNCTION("""COMPUTED_VALUE"""),"2055-06-07T18:36:26.093716Z")</f>
        <v>2055-06-07T18:36:26.093716Z</v>
      </c>
      <c r="AH1007" s="3" t="str">
        <f ca="1">IFERROR(__xludf.DUMMYFUNCTION("""COMPUTED_VALUE"""),"2055-06-07T18:57:15.939566Z")</f>
        <v>2055-06-07T18:57:15.939566Z</v>
      </c>
      <c r="AI1007" s="3">
        <f ca="1">IFERROR(__xludf.DUMMYFUNCTION("""COMPUTED_VALUE"""),4.62)</f>
        <v>4.62</v>
      </c>
      <c r="AJ1007" s="3">
        <f ca="1">IFERROR(__xludf.DUMMYFUNCTION("""COMPUTED_VALUE"""),259)</f>
        <v>259</v>
      </c>
      <c r="AK1007" s="3">
        <f ca="1">IFERROR(__xludf.DUMMYFUNCTION("""COMPUTED_VALUE"""),604)</f>
        <v>604</v>
      </c>
      <c r="AL1007" s="3">
        <f ca="1">IFERROR(__xludf.DUMMYFUNCTION("""COMPUTED_VALUE"""),21)</f>
        <v>21</v>
      </c>
      <c r="AM1007" s="3">
        <f>IFERROR(Raw_Data!AL1007 / Raw_Data!AK1007, "")</f>
        <v>3.4768211920529798E-2</v>
      </c>
      <c r="AN1007" s="3" t="str">
        <f>IF(ISBLANK(Raw_Data!AL1007), "No", "Yes")</f>
        <v>Yes</v>
      </c>
      <c r="AO1007" s="3">
        <f>IFERROR(Raw_Data!Z1007/60, "")</f>
        <v>1.8166666666666667</v>
      </c>
    </row>
    <row r="1008" spans="1:41" ht="13">
      <c r="A1008" s="3">
        <f ca="1">IFERROR(__xludf.DUMMYFUNCTION("""COMPUTED_VALUE"""),1568)</f>
        <v>1568</v>
      </c>
      <c r="B1008" s="3"/>
      <c r="C1008" s="3">
        <f ca="1">IFERROR(__xludf.DUMMYFUNCTION("""COMPUTED_VALUE"""),4001)</f>
        <v>4001</v>
      </c>
      <c r="D1008" s="3" t="str">
        <f ca="1">IFERROR(__xludf.DUMMYFUNCTION("""COMPUTED_VALUE"""),"Dashattan")</f>
        <v>Dashattan</v>
      </c>
      <c r="E1008" s="3" t="str">
        <f ca="1">IFERROR(__xludf.DUMMYFUNCTION("""COMPUTED_VALUE"""),"Galaxy A")</f>
        <v>Galaxy A</v>
      </c>
      <c r="F1008" s="3" t="str">
        <f ca="1">IFERROR(__xludf.DUMMYFUNCTION("""COMPUTED_VALUE"""),"Sean")</f>
        <v>Sean</v>
      </c>
      <c r="G1008" s="3">
        <f ca="1">IFERROR(__xludf.DUMMYFUNCTION("""COMPUTED_VALUE"""),0)</f>
        <v>0</v>
      </c>
      <c r="H1008" s="3" t="str">
        <f ca="1">IFERROR(__xludf.DUMMYFUNCTION("""COMPUTED_VALUE"""),"bicycle")</f>
        <v>bicycle</v>
      </c>
      <c r="I1008" s="3" t="str">
        <f ca="1">IFERROR(__xludf.DUMMYFUNCTION("""COMPUTED_VALUE"""),"2055-06-13T16:06:46.886729Z")</f>
        <v>2055-06-13T16:06:46.886729Z</v>
      </c>
      <c r="J1008" s="3" t="str">
        <f ca="1">IFERROR(__xludf.DUMMYFUNCTION("""COMPUTED_VALUE"""),"2055-06-13T16:57:57.937Z")</f>
        <v>2055-06-13T16:57:57.937Z</v>
      </c>
      <c r="K1008" s="3" t="str">
        <f ca="1">IFERROR(__xludf.DUMMYFUNCTION("""COMPUTED_VALUE"""),"2055-06-13T16:37:50.937Z")</f>
        <v>2055-06-13T16:37:50.937Z</v>
      </c>
      <c r="L1008" s="3">
        <f ca="1">IFERROR(__xludf.DUMMYFUNCTION("""COMPUTED_VALUE"""),1)</f>
        <v>1</v>
      </c>
      <c r="M1008" s="3">
        <f ca="1">IFERROR(__xludf.DUMMYFUNCTION("""COMPUTED_VALUE"""),0)</f>
        <v>0</v>
      </c>
      <c r="N1008" s="3" t="str">
        <f ca="1">IFERROR(__xludf.DUMMYFUNCTION("""COMPUTED_VALUE"""),"2055-06-13T16:19:15.130521Z")</f>
        <v>2055-06-13T16:19:15.130521Z</v>
      </c>
      <c r="O1008" s="3" t="str">
        <f ca="1">IFERROR(__xludf.DUMMYFUNCTION("""COMPUTED_VALUE"""),"2055-06-13T16:29:14.719657Z")</f>
        <v>2055-06-13T16:29:14.719657Z</v>
      </c>
      <c r="P1008" s="3" t="str">
        <f ca="1">IFERROR(__xludf.DUMMYFUNCTION("""COMPUTED_VALUE"""),"2055-06-13T16:14:54.837467Z")</f>
        <v>2055-06-13T16:14:54.837467Z</v>
      </c>
      <c r="Q1008" s="3">
        <f ca="1">IFERROR(__xludf.DUMMYFUNCTION("""COMPUTED_VALUE"""),0)</f>
        <v>0</v>
      </c>
      <c r="R1008" s="3" t="str">
        <f ca="1">IFERROR(__xludf.DUMMYFUNCTION("""COMPUTED_VALUE"""),"2055-06-13T16:15:04.556579Z")</f>
        <v>2055-06-13T16:15:04.556579Z</v>
      </c>
      <c r="S1008" s="3" t="str">
        <f ca="1">IFERROR(__xludf.DUMMYFUNCTION("""COMPUTED_VALUE"""),"2055-06-13T16:17:18.073495Z")</f>
        <v>2055-06-13T16:17:18.073495Z</v>
      </c>
      <c r="T1008" s="3"/>
      <c r="U1008" s="4">
        <f ca="1">IFERROR(__xludf.DUMMYFUNCTION("""COMPUTED_VALUE"""),56778)</f>
        <v>56778</v>
      </c>
      <c r="V1008" s="3">
        <f ca="1">IFERROR(__xludf.DUMMYFUNCTION("""COMPUTED_VALUE"""),3.897026173)</f>
        <v>3.897026173</v>
      </c>
      <c r="W1008" s="3">
        <f ca="1">IFERROR(__xludf.DUMMYFUNCTION("""COMPUTED_VALUE"""),1500)</f>
        <v>1500</v>
      </c>
      <c r="X1008" s="3">
        <f ca="1">IFERROR(__xludf.DUMMYFUNCTION("""COMPUTED_VALUE"""),850)</f>
        <v>850</v>
      </c>
      <c r="Y1008" s="3">
        <f ca="1">IFERROR(__xludf.DUMMYFUNCTION("""COMPUTED_VALUE"""),134)</f>
        <v>134</v>
      </c>
      <c r="Z1008" s="3">
        <f ca="1">IFERROR(__xludf.DUMMYFUNCTION("""COMPUTED_VALUE"""),117)</f>
        <v>117</v>
      </c>
      <c r="AA1008" s="3">
        <f ca="1">IFERROR(__xludf.DUMMYFUNCTION("""COMPUTED_VALUE"""),599)</f>
        <v>599</v>
      </c>
      <c r="AB1008" s="3">
        <f ca="1">IFERROR(__xludf.DUMMYFUNCTION("""COMPUTED_VALUE"""),0)</f>
        <v>0</v>
      </c>
      <c r="AC1008" s="3">
        <f ca="1">IFERROR(__xludf.DUMMYFUNCTION("""COMPUTED_VALUE"""),1)</f>
        <v>1</v>
      </c>
      <c r="AD1008" s="3" t="str">
        <f ca="1">IFERROR(__xludf.DUMMYFUNCTION("""COMPUTED_VALUE"""),"on time")</f>
        <v>on time</v>
      </c>
      <c r="AE1008" s="3" t="str">
        <f ca="1">IFERROR(__xludf.DUMMYFUNCTION("""COMPUTED_VALUE"""),"2055-06-13T12:19:15.130521Z")</f>
        <v>2055-06-13T12:19:15.130521Z</v>
      </c>
      <c r="AF1008" s="3" t="str">
        <f ca="1">IFERROR(__xludf.DUMMYFUNCTION("""COMPUTED_VALUE"""),"2055-06-13T12:29:14.719657Z")</f>
        <v>2055-06-13T12:29:14.719657Z</v>
      </c>
      <c r="AG1008" s="3" t="str">
        <f ca="1">IFERROR(__xludf.DUMMYFUNCTION("""COMPUTED_VALUE"""),"2055-06-13T12:14:54.837467Z")</f>
        <v>2055-06-13T12:14:54.837467Z</v>
      </c>
      <c r="AH1008" s="3" t="str">
        <f ca="1">IFERROR(__xludf.DUMMYFUNCTION("""COMPUTED_VALUE"""),"2055-06-13T12:17:18.073495Z")</f>
        <v>2055-06-13T12:17:18.073495Z</v>
      </c>
      <c r="AI1008" s="3">
        <f ca="1">IFERROR(__xludf.DUMMYFUNCTION("""COMPUTED_VALUE"""),4.52)</f>
        <v>4.5199999999999996</v>
      </c>
      <c r="AJ1008" s="3">
        <f ca="1">IFERROR(__xludf.DUMMYFUNCTION("""COMPUTED_VALUE"""),183)</f>
        <v>183</v>
      </c>
      <c r="AK1008" s="3">
        <f ca="1">IFERROR(__xludf.DUMMYFUNCTION("""COMPUTED_VALUE"""),522)</f>
        <v>522</v>
      </c>
      <c r="AL1008" s="3"/>
      <c r="AM1008" s="3">
        <f>IFERROR(Raw_Data!AL1008 / Raw_Data!AK1008, "")</f>
        <v>0</v>
      </c>
      <c r="AN1008" s="3" t="str">
        <f>IF(ISBLANK(Raw_Data!AL1008), "No", "Yes")</f>
        <v>No</v>
      </c>
      <c r="AO1008" s="3">
        <f>IFERROR(Raw_Data!Z1008/60, "")</f>
        <v>1.95</v>
      </c>
    </row>
    <row r="1009" spans="1:41" ht="13">
      <c r="A1009" s="3">
        <f ca="1">IFERROR(__xludf.DUMMYFUNCTION("""COMPUTED_VALUE"""),454)</f>
        <v>454</v>
      </c>
      <c r="B1009" s="3"/>
      <c r="C1009" s="3">
        <f ca="1">IFERROR(__xludf.DUMMYFUNCTION("""COMPUTED_VALUE"""),4050)</f>
        <v>4050</v>
      </c>
      <c r="D1009" s="3" t="str">
        <f ca="1">IFERROR(__xludf.DUMMYFUNCTION("""COMPUTED_VALUE"""),"Doorlanta")</f>
        <v>Doorlanta</v>
      </c>
      <c r="E1009" s="3" t="str">
        <f ca="1">IFERROR(__xludf.DUMMYFUNCTION("""COMPUTED_VALUE"""),"Galaxy A")</f>
        <v>Galaxy A</v>
      </c>
      <c r="F1009" s="3" t="str">
        <f ca="1">IFERROR(__xludf.DUMMYFUNCTION("""COMPUTED_VALUE"""),"Elon")</f>
        <v>Elon</v>
      </c>
      <c r="G1009" s="3">
        <f ca="1">IFERROR(__xludf.DUMMYFUNCTION("""COMPUTED_VALUE"""),0)</f>
        <v>0</v>
      </c>
      <c r="H1009" s="3" t="str">
        <f ca="1">IFERROR(__xludf.DUMMYFUNCTION("""COMPUTED_VALUE"""),"car")</f>
        <v>car</v>
      </c>
      <c r="I1009" s="3" t="str">
        <f ca="1">IFERROR(__xludf.DUMMYFUNCTION("""COMPUTED_VALUE"""),"2055-06-04T21:52:10.587832Z")</f>
        <v>2055-06-04T21:52:10.587832Z</v>
      </c>
      <c r="J1009" s="3" t="str">
        <f ca="1">IFERROR(__xludf.DUMMYFUNCTION("""COMPUTED_VALUE"""),"2055-06-04T23:01:34.661Z")</f>
        <v>2055-06-04T23:01:34.661Z</v>
      </c>
      <c r="K1009" s="3" t="str">
        <f ca="1">IFERROR(__xludf.DUMMYFUNCTION("""COMPUTED_VALUE"""),"2055-06-04T22:41:27.661Z")</f>
        <v>2055-06-04T22:41:27.661Z</v>
      </c>
      <c r="L1009" s="3">
        <f ca="1">IFERROR(__xludf.DUMMYFUNCTION("""COMPUTED_VALUE"""),1)</f>
        <v>1</v>
      </c>
      <c r="M1009" s="3">
        <f ca="1">IFERROR(__xludf.DUMMYFUNCTION("""COMPUTED_VALUE"""),0)</f>
        <v>0</v>
      </c>
      <c r="N1009" s="3" t="str">
        <f ca="1">IFERROR(__xludf.DUMMYFUNCTION("""COMPUTED_VALUE"""),"2055-06-04T22:23:22.728114Z")</f>
        <v>2055-06-04T22:23:22.728114Z</v>
      </c>
      <c r="O1009" s="3" t="str">
        <f ca="1">IFERROR(__xludf.DUMMYFUNCTION("""COMPUTED_VALUE"""),"2055-06-04T22:31:56.798841Z")</f>
        <v>2055-06-04T22:31:56.798841Z</v>
      </c>
      <c r="P1009" s="3" t="str">
        <f ca="1">IFERROR(__xludf.DUMMYFUNCTION("""COMPUTED_VALUE"""),"2055-06-04T22:05:47.384099Z")</f>
        <v>2055-06-04T22:05:47.384099Z</v>
      </c>
      <c r="Q1009" s="3">
        <f ca="1">IFERROR(__xludf.DUMMYFUNCTION("""COMPUTED_VALUE"""),0)</f>
        <v>0</v>
      </c>
      <c r="R1009" s="3" t="str">
        <f ca="1">IFERROR(__xludf.DUMMYFUNCTION("""COMPUTED_VALUE"""),"2055-06-04T22:05:51.399452Z")</f>
        <v>2055-06-04T22:05:51.399452Z</v>
      </c>
      <c r="S1009" s="3" t="str">
        <f ca="1">IFERROR(__xludf.DUMMYFUNCTION("""COMPUTED_VALUE"""),"2055-06-04T22:20:22.433933Z")</f>
        <v>2055-06-04T22:20:22.433933Z</v>
      </c>
      <c r="T1009" s="3"/>
      <c r="U1009" s="4">
        <f ca="1">IFERROR(__xludf.DUMMYFUNCTION("""COMPUTED_VALUE"""),56769)</f>
        <v>56769</v>
      </c>
      <c r="V1009" s="3">
        <f ca="1">IFERROR(__xludf.DUMMYFUNCTION("""COMPUTED_VALUE"""),4.7)</f>
        <v>4.7</v>
      </c>
      <c r="W1009" s="3">
        <f ca="1">IFERROR(__xludf.DUMMYFUNCTION("""COMPUTED_VALUE"""),1500)</f>
        <v>1500</v>
      </c>
      <c r="X1009" s="3">
        <f ca="1">IFERROR(__xludf.DUMMYFUNCTION("""COMPUTED_VALUE"""),1565)</f>
        <v>1565</v>
      </c>
      <c r="Y1009" s="3">
        <f ca="1">IFERROR(__xludf.DUMMYFUNCTION("""COMPUTED_VALUE"""),871)</f>
        <v>871</v>
      </c>
      <c r="Z1009" s="3">
        <f ca="1">IFERROR(__xludf.DUMMYFUNCTION("""COMPUTED_VALUE"""),180)</f>
        <v>180</v>
      </c>
      <c r="AA1009" s="3">
        <f ca="1">IFERROR(__xludf.DUMMYFUNCTION("""COMPUTED_VALUE"""),514)</f>
        <v>514</v>
      </c>
      <c r="AB1009" s="3">
        <f ca="1">IFERROR(__xludf.DUMMYFUNCTION("""COMPUTED_VALUE"""),0)</f>
        <v>0</v>
      </c>
      <c r="AC1009" s="3">
        <f ca="1">IFERROR(__xludf.DUMMYFUNCTION("""COMPUTED_VALUE"""),1)</f>
        <v>1</v>
      </c>
      <c r="AD1009" s="3" t="str">
        <f ca="1">IFERROR(__xludf.DUMMYFUNCTION("""COMPUTED_VALUE"""),"early")</f>
        <v>early</v>
      </c>
      <c r="AE1009" s="3" t="str">
        <f ca="1">IFERROR(__xludf.DUMMYFUNCTION("""COMPUTED_VALUE"""),"2055-06-04T18:23:22.728114Z")</f>
        <v>2055-06-04T18:23:22.728114Z</v>
      </c>
      <c r="AF1009" s="3" t="str">
        <f ca="1">IFERROR(__xludf.DUMMYFUNCTION("""COMPUTED_VALUE"""),"2055-06-04T18:31:56.798841Z")</f>
        <v>2055-06-04T18:31:56.798841Z</v>
      </c>
      <c r="AG1009" s="3" t="str">
        <f ca="1">IFERROR(__xludf.DUMMYFUNCTION("""COMPUTED_VALUE"""),"2055-06-04T18:05:47.384099Z")</f>
        <v>2055-06-04T18:05:47.384099Z</v>
      </c>
      <c r="AH1009" s="3" t="str">
        <f ca="1">IFERROR(__xludf.DUMMYFUNCTION("""COMPUTED_VALUE"""),"2055-06-04T18:20:22.433933Z")</f>
        <v>2055-06-04T18:20:22.433933Z</v>
      </c>
      <c r="AI1009" s="3">
        <f ca="1">IFERROR(__xludf.DUMMYFUNCTION("""COMPUTED_VALUE"""),4.62)</f>
        <v>4.62</v>
      </c>
      <c r="AJ1009" s="3">
        <f ca="1">IFERROR(__xludf.DUMMYFUNCTION("""COMPUTED_VALUE"""),259)</f>
        <v>259</v>
      </c>
      <c r="AK1009" s="3">
        <f ca="1">IFERROR(__xludf.DUMMYFUNCTION("""COMPUTED_VALUE"""),604)</f>
        <v>604</v>
      </c>
      <c r="AL1009" s="3">
        <f ca="1">IFERROR(__xludf.DUMMYFUNCTION("""COMPUTED_VALUE"""),21)</f>
        <v>21</v>
      </c>
      <c r="AM1009" s="3">
        <f>IFERROR(Raw_Data!AL1009 / Raw_Data!AK1009, "")</f>
        <v>3.4768211920529798E-2</v>
      </c>
      <c r="AN1009" s="3" t="str">
        <f>IF(ISBLANK(Raw_Data!AL1009), "No", "Yes")</f>
        <v>Yes</v>
      </c>
      <c r="AO1009" s="3">
        <f>IFERROR(Raw_Data!Z1009/60, "")</f>
        <v>3</v>
      </c>
    </row>
    <row r="1010" spans="1:41" ht="13">
      <c r="A1010" s="3">
        <f ca="1">IFERROR(__xludf.DUMMYFUNCTION("""COMPUTED_VALUE"""),413)</f>
        <v>413</v>
      </c>
      <c r="B1010" s="3">
        <f ca="1">IFERROR(__xludf.DUMMYFUNCTION("""COMPUTED_VALUE"""),5)</f>
        <v>5</v>
      </c>
      <c r="C1010" s="3">
        <f ca="1">IFERROR(__xludf.DUMMYFUNCTION("""COMPUTED_VALUE"""),4050)</f>
        <v>4050</v>
      </c>
      <c r="D1010" s="3" t="str">
        <f ca="1">IFERROR(__xludf.DUMMYFUNCTION("""COMPUTED_VALUE"""),"Doorlanta")</f>
        <v>Doorlanta</v>
      </c>
      <c r="E1010" s="3" t="str">
        <f ca="1">IFERROR(__xludf.DUMMYFUNCTION("""COMPUTED_VALUE"""),"Galaxy A")</f>
        <v>Galaxy A</v>
      </c>
      <c r="F1010" s="3" t="str">
        <f ca="1">IFERROR(__xludf.DUMMYFUNCTION("""COMPUTED_VALUE"""),"Elon")</f>
        <v>Elon</v>
      </c>
      <c r="G1010" s="3">
        <f ca="1">IFERROR(__xludf.DUMMYFUNCTION("""COMPUTED_VALUE"""),0)</f>
        <v>0</v>
      </c>
      <c r="H1010" s="3" t="str">
        <f ca="1">IFERROR(__xludf.DUMMYFUNCTION("""COMPUTED_VALUE"""),"car")</f>
        <v>car</v>
      </c>
      <c r="I1010" s="3" t="str">
        <f ca="1">IFERROR(__xludf.DUMMYFUNCTION("""COMPUTED_VALUE"""),"2055-06-04T16:11:54.518806Z")</f>
        <v>2055-06-04T16:11:54.518806Z</v>
      </c>
      <c r="J1010" s="3" t="str">
        <f ca="1">IFERROR(__xludf.DUMMYFUNCTION("""COMPUTED_VALUE"""),"2055-06-04T17:14:59.597Z")</f>
        <v>2055-06-04T17:14:59.597Z</v>
      </c>
      <c r="K1010" s="3" t="str">
        <f ca="1">IFERROR(__xludf.DUMMYFUNCTION("""COMPUTED_VALUE"""),"2055-06-04T16:55:20.597Z")</f>
        <v>2055-06-04T16:55:20.597Z</v>
      </c>
      <c r="L1010" s="3">
        <f ca="1">IFERROR(__xludf.DUMMYFUNCTION("""COMPUTED_VALUE"""),1)</f>
        <v>1</v>
      </c>
      <c r="M1010" s="3">
        <f ca="1">IFERROR(__xludf.DUMMYFUNCTION("""COMPUTED_VALUE"""),0)</f>
        <v>0</v>
      </c>
      <c r="N1010" s="3" t="str">
        <f ca="1">IFERROR(__xludf.DUMMYFUNCTION("""COMPUTED_VALUE"""),"2055-06-04T16:51:26.193053Z")</f>
        <v>2055-06-04T16:51:26.193053Z</v>
      </c>
      <c r="O1010" s="3" t="str">
        <f ca="1">IFERROR(__xludf.DUMMYFUNCTION("""COMPUTED_VALUE"""),"2055-06-04T17:10:30.084328Z")</f>
        <v>2055-06-04T17:10:30.084328Z</v>
      </c>
      <c r="P1010" s="3" t="str">
        <f ca="1">IFERROR(__xludf.DUMMYFUNCTION("""COMPUTED_VALUE"""),"2055-06-04T16:21:07.241974Z")</f>
        <v>2055-06-04T16:21:07.241974Z</v>
      </c>
      <c r="Q1010" s="3">
        <f ca="1">IFERROR(__xludf.DUMMYFUNCTION("""COMPUTED_VALUE"""),0)</f>
        <v>0</v>
      </c>
      <c r="R1010" s="3" t="str">
        <f ca="1">IFERROR(__xludf.DUMMYFUNCTION("""COMPUTED_VALUE"""),"2055-06-04T16:21:12.466561Z")</f>
        <v>2055-06-04T16:21:12.466561Z</v>
      </c>
      <c r="S1010" s="3" t="str">
        <f ca="1">IFERROR(__xludf.DUMMYFUNCTION("""COMPUTED_VALUE"""),"2055-06-04T16:40:53.65028Z")</f>
        <v>2055-06-04T16:40:53.65028Z</v>
      </c>
      <c r="T1010" s="3"/>
      <c r="U1010" s="4">
        <f ca="1">IFERROR(__xludf.DUMMYFUNCTION("""COMPUTED_VALUE"""),56769)</f>
        <v>56769</v>
      </c>
      <c r="V1010" s="3">
        <f ca="1">IFERROR(__xludf.DUMMYFUNCTION("""COMPUTED_VALUE"""),4.3)</f>
        <v>4.3</v>
      </c>
      <c r="W1010" s="3">
        <f ca="1">IFERROR(__xludf.DUMMYFUNCTION("""COMPUTED_VALUE"""),1500)</f>
        <v>1500</v>
      </c>
      <c r="X1010" s="3">
        <f ca="1">IFERROR(__xludf.DUMMYFUNCTION("""COMPUTED_VALUE"""),2958)</f>
        <v>2958</v>
      </c>
      <c r="Y1010" s="3">
        <f ca="1">IFERROR(__xludf.DUMMYFUNCTION("""COMPUTED_VALUE"""),1181)</f>
        <v>1181</v>
      </c>
      <c r="Z1010" s="3">
        <f ca="1">IFERROR(__xludf.DUMMYFUNCTION("""COMPUTED_VALUE"""),633)</f>
        <v>633</v>
      </c>
      <c r="AA1010" s="3">
        <f ca="1">IFERROR(__xludf.DUMMYFUNCTION("""COMPUTED_VALUE"""),1144)</f>
        <v>1144</v>
      </c>
      <c r="AB1010" s="3">
        <f ca="1">IFERROR(__xludf.DUMMYFUNCTION("""COMPUTED_VALUE"""),0)</f>
        <v>0</v>
      </c>
      <c r="AC1010" s="3">
        <f ca="1">IFERROR(__xludf.DUMMYFUNCTION("""COMPUTED_VALUE"""),3)</f>
        <v>3</v>
      </c>
      <c r="AD1010" s="3" t="str">
        <f ca="1">IFERROR(__xludf.DUMMYFUNCTION("""COMPUTED_VALUE"""),"late")</f>
        <v>late</v>
      </c>
      <c r="AE1010" s="3" t="str">
        <f ca="1">IFERROR(__xludf.DUMMYFUNCTION("""COMPUTED_VALUE"""),"2055-06-04T12:51:26.193053Z")</f>
        <v>2055-06-04T12:51:26.193053Z</v>
      </c>
      <c r="AF1010" s="3" t="str">
        <f ca="1">IFERROR(__xludf.DUMMYFUNCTION("""COMPUTED_VALUE"""),"2055-06-04T13:10:30.084328Z")</f>
        <v>2055-06-04T13:10:30.084328Z</v>
      </c>
      <c r="AG1010" s="3" t="str">
        <f ca="1">IFERROR(__xludf.DUMMYFUNCTION("""COMPUTED_VALUE"""),"2055-06-04T12:21:07.241974Z")</f>
        <v>2055-06-04T12:21:07.241974Z</v>
      </c>
      <c r="AH1010" s="3" t="str">
        <f ca="1">IFERROR(__xludf.DUMMYFUNCTION("""COMPUTED_VALUE"""),"2055-06-04T12:40:53.65028Z")</f>
        <v>2055-06-04T12:40:53.65028Z</v>
      </c>
      <c r="AI1010" s="3">
        <f ca="1">IFERROR(__xludf.DUMMYFUNCTION("""COMPUTED_VALUE"""),4.62)</f>
        <v>4.62</v>
      </c>
      <c r="AJ1010" s="3">
        <f ca="1">IFERROR(__xludf.DUMMYFUNCTION("""COMPUTED_VALUE"""),259)</f>
        <v>259</v>
      </c>
      <c r="AK1010" s="3">
        <f ca="1">IFERROR(__xludf.DUMMYFUNCTION("""COMPUTED_VALUE"""),604)</f>
        <v>604</v>
      </c>
      <c r="AL1010" s="3">
        <f ca="1">IFERROR(__xludf.DUMMYFUNCTION("""COMPUTED_VALUE"""),21)</f>
        <v>21</v>
      </c>
      <c r="AM1010" s="3">
        <f>IFERROR(Raw_Data!AL1010 / Raw_Data!AK1010, "")</f>
        <v>3.4768211920529798E-2</v>
      </c>
      <c r="AN1010" s="3" t="str">
        <f>IF(ISBLANK(Raw_Data!AL1010), "No", "Yes")</f>
        <v>Yes</v>
      </c>
      <c r="AO1010" s="3">
        <f>IFERROR(Raw_Data!Z1010/60, "")</f>
        <v>10.55</v>
      </c>
    </row>
    <row r="1011" spans="1:41" ht="13">
      <c r="A1011" s="3">
        <f ca="1">IFERROR(__xludf.DUMMYFUNCTION("""COMPUTED_VALUE"""),189)</f>
        <v>189</v>
      </c>
      <c r="B1011" s="3"/>
      <c r="C1011" s="3">
        <f ca="1">IFERROR(__xludf.DUMMYFUNCTION("""COMPUTED_VALUE"""),4001)</f>
        <v>4001</v>
      </c>
      <c r="D1011" s="3" t="str">
        <f ca="1">IFERROR(__xludf.DUMMYFUNCTION("""COMPUTED_VALUE"""),"Dashattan")</f>
        <v>Dashattan</v>
      </c>
      <c r="E1011" s="3" t="str">
        <f ca="1">IFERROR(__xludf.DUMMYFUNCTION("""COMPUTED_VALUE"""),"Galaxy A")</f>
        <v>Galaxy A</v>
      </c>
      <c r="F1011" s="3" t="str">
        <f ca="1">IFERROR(__xludf.DUMMYFUNCTION("""COMPUTED_VALUE"""),"Samm")</f>
        <v>Samm</v>
      </c>
      <c r="G1011" s="3">
        <f ca="1">IFERROR(__xludf.DUMMYFUNCTION("""COMPUTED_VALUE"""),0)</f>
        <v>0</v>
      </c>
      <c r="H1011" s="3" t="str">
        <f ca="1">IFERROR(__xludf.DUMMYFUNCTION("""COMPUTED_VALUE"""),"car")</f>
        <v>car</v>
      </c>
      <c r="I1011" s="3" t="str">
        <f ca="1">IFERROR(__xludf.DUMMYFUNCTION("""COMPUTED_VALUE"""),"2055-06-02T22:34:50.270623Z")</f>
        <v>2055-06-02T22:34:50.270623Z</v>
      </c>
      <c r="J1011" s="3" t="str">
        <f ca="1">IFERROR(__xludf.DUMMYFUNCTION("""COMPUTED_VALUE"""),"2055-06-02T23:23:41.346Z")</f>
        <v>2055-06-02T23:23:41.346Z</v>
      </c>
      <c r="K1011" s="3" t="str">
        <f ca="1">IFERROR(__xludf.DUMMYFUNCTION("""COMPUTED_VALUE"""),"2055-06-02T23:09:02.346Z")</f>
        <v>2055-06-02T23:09:02.346Z</v>
      </c>
      <c r="L1011" s="3">
        <f ca="1">IFERROR(__xludf.DUMMYFUNCTION("""COMPUTED_VALUE"""),1)</f>
        <v>1</v>
      </c>
      <c r="M1011" s="3">
        <f ca="1">IFERROR(__xludf.DUMMYFUNCTION("""COMPUTED_VALUE"""),0)</f>
        <v>0</v>
      </c>
      <c r="N1011" s="3" t="str">
        <f ca="1">IFERROR(__xludf.DUMMYFUNCTION("""COMPUTED_VALUE"""),"2055-06-02T22:45:10.929848Z")</f>
        <v>2055-06-02T22:45:10.929848Z</v>
      </c>
      <c r="O1011" s="3" t="str">
        <f ca="1">IFERROR(__xludf.DUMMYFUNCTION("""COMPUTED_VALUE"""),"2055-06-02T23:09:49.432716Z")</f>
        <v>2055-06-02T23:09:49.432716Z</v>
      </c>
      <c r="P1011" s="3" t="str">
        <f ca="1">IFERROR(__xludf.DUMMYFUNCTION("""COMPUTED_VALUE"""),"2055-06-02T22:34:54.445682Z")</f>
        <v>2055-06-02T22:34:54.445682Z</v>
      </c>
      <c r="Q1011" s="3">
        <f ca="1">IFERROR(__xludf.DUMMYFUNCTION("""COMPUTED_VALUE"""),0)</f>
        <v>0</v>
      </c>
      <c r="R1011" s="3" t="str">
        <f ca="1">IFERROR(__xludf.DUMMYFUNCTION("""COMPUTED_VALUE"""),"2055-06-02T22:34:59.420056Z")</f>
        <v>2055-06-02T22:34:59.420056Z</v>
      </c>
      <c r="S1011" s="3" t="str">
        <f ca="1">IFERROR(__xludf.DUMMYFUNCTION("""COMPUTED_VALUE"""),"2055-06-02T22:41:47.56354Z")</f>
        <v>2055-06-02T22:41:47.56354Z</v>
      </c>
      <c r="T1011" s="3"/>
      <c r="U1011" s="4">
        <f ca="1">IFERROR(__xludf.DUMMYFUNCTION("""COMPUTED_VALUE"""),56767)</f>
        <v>56767</v>
      </c>
      <c r="V1011" s="3">
        <f ca="1">IFERROR(__xludf.DUMMYFUNCTION("""COMPUTED_VALUE"""),3.364537599)</f>
        <v>3.3645375990000002</v>
      </c>
      <c r="W1011" s="3">
        <f ca="1">IFERROR(__xludf.DUMMYFUNCTION("""COMPUTED_VALUE"""),1500)</f>
        <v>1500</v>
      </c>
      <c r="X1011" s="3">
        <f ca="1">IFERROR(__xludf.DUMMYFUNCTION("""COMPUTED_VALUE"""),2090)</f>
        <v>2090</v>
      </c>
      <c r="Y1011" s="3">
        <f ca="1">IFERROR(__xludf.DUMMYFUNCTION("""COMPUTED_VALUE"""),408)</f>
        <v>408</v>
      </c>
      <c r="Z1011" s="3">
        <f ca="1">IFERROR(__xludf.DUMMYFUNCTION("""COMPUTED_VALUE"""),203)</f>
        <v>203</v>
      </c>
      <c r="AA1011" s="3">
        <f ca="1">IFERROR(__xludf.DUMMYFUNCTION("""COMPUTED_VALUE"""),1479)</f>
        <v>1479</v>
      </c>
      <c r="AB1011" s="3">
        <f ca="1">IFERROR(__xludf.DUMMYFUNCTION("""COMPUTED_VALUE"""),0)</f>
        <v>0</v>
      </c>
      <c r="AC1011" s="3">
        <f ca="1">IFERROR(__xludf.DUMMYFUNCTION("""COMPUTED_VALUE"""),1)</f>
        <v>1</v>
      </c>
      <c r="AD1011" s="3" t="str">
        <f ca="1">IFERROR(__xludf.DUMMYFUNCTION("""COMPUTED_VALUE"""),"on time")</f>
        <v>on time</v>
      </c>
      <c r="AE1011" s="3" t="str">
        <f ca="1">IFERROR(__xludf.DUMMYFUNCTION("""COMPUTED_VALUE"""),"2055-06-02T18:45:10.929848Z")</f>
        <v>2055-06-02T18:45:10.929848Z</v>
      </c>
      <c r="AF1011" s="3" t="str">
        <f ca="1">IFERROR(__xludf.DUMMYFUNCTION("""COMPUTED_VALUE"""),"2055-06-02T19:09:49.432716Z")</f>
        <v>2055-06-02T19:09:49.432716Z</v>
      </c>
      <c r="AG1011" s="3" t="str">
        <f ca="1">IFERROR(__xludf.DUMMYFUNCTION("""COMPUTED_VALUE"""),"2055-06-02T18:34:54.445682Z")</f>
        <v>2055-06-02T18:34:54.445682Z</v>
      </c>
      <c r="AH1011" s="3" t="str">
        <f ca="1">IFERROR(__xludf.DUMMYFUNCTION("""COMPUTED_VALUE"""),"2055-06-02T18:41:47.56354Z")</f>
        <v>2055-06-02T18:41:47.56354Z</v>
      </c>
      <c r="AI1011" s="3">
        <f ca="1">IFERROR(__xludf.DUMMYFUNCTION("""COMPUTED_VALUE"""),4.03)</f>
        <v>4.03</v>
      </c>
      <c r="AJ1011" s="3">
        <f ca="1">IFERROR(__xludf.DUMMYFUNCTION("""COMPUTED_VALUE"""),505)</f>
        <v>505</v>
      </c>
      <c r="AK1011" s="3">
        <f ca="1">IFERROR(__xludf.DUMMYFUNCTION("""COMPUTED_VALUE"""),1721)</f>
        <v>1721</v>
      </c>
      <c r="AL1011" s="3">
        <f ca="1">IFERROR(__xludf.DUMMYFUNCTION("""COMPUTED_VALUE"""),457)</f>
        <v>457</v>
      </c>
      <c r="AM1011" s="3">
        <f>IFERROR(Raw_Data!AL1011 / Raw_Data!AK1011, "")</f>
        <v>0.26554328878558975</v>
      </c>
      <c r="AN1011" s="3" t="str">
        <f>IF(ISBLANK(Raw_Data!AL1011), "No", "Yes")</f>
        <v>Yes</v>
      </c>
      <c r="AO1011" s="3">
        <f>IFERROR(Raw_Data!Z1011/60, "")</f>
        <v>3.3833333333333333</v>
      </c>
    </row>
    <row r="1012" spans="1:41" ht="13">
      <c r="A1012" s="3">
        <f ca="1">IFERROR(__xludf.DUMMYFUNCTION("""COMPUTED_VALUE"""),255)</f>
        <v>255</v>
      </c>
      <c r="B1012" s="3"/>
      <c r="C1012" s="3">
        <f ca="1">IFERROR(__xludf.DUMMYFUNCTION("""COMPUTED_VALUE"""),4050)</f>
        <v>4050</v>
      </c>
      <c r="D1012" s="3" t="str">
        <f ca="1">IFERROR(__xludf.DUMMYFUNCTION("""COMPUTED_VALUE"""),"Doorlanta")</f>
        <v>Doorlanta</v>
      </c>
      <c r="E1012" s="3" t="str">
        <f ca="1">IFERROR(__xludf.DUMMYFUNCTION("""COMPUTED_VALUE"""),"Galaxy A")</f>
        <v>Galaxy A</v>
      </c>
      <c r="F1012" s="3" t="str">
        <f ca="1">IFERROR(__xludf.DUMMYFUNCTION("""COMPUTED_VALUE"""),"Elon")</f>
        <v>Elon</v>
      </c>
      <c r="G1012" s="3">
        <f ca="1">IFERROR(__xludf.DUMMYFUNCTION("""COMPUTED_VALUE"""),0)</f>
        <v>0</v>
      </c>
      <c r="H1012" s="3" t="str">
        <f ca="1">IFERROR(__xludf.DUMMYFUNCTION("""COMPUTED_VALUE"""),"car")</f>
        <v>car</v>
      </c>
      <c r="I1012" s="3" t="str">
        <f ca="1">IFERROR(__xludf.DUMMYFUNCTION("""COMPUTED_VALUE"""),"2055-06-03T14:09:11.956074Z")</f>
        <v>2055-06-03T14:09:11.956074Z</v>
      </c>
      <c r="J1012" s="3" t="str">
        <f ca="1">IFERROR(__xludf.DUMMYFUNCTION("""COMPUTED_VALUE"""),"2055-06-03T16:00:00Z")</f>
        <v>2055-06-03T16:00:00Z</v>
      </c>
      <c r="K1012" s="3" t="str">
        <f ca="1">IFERROR(__xludf.DUMMYFUNCTION("""COMPUTED_VALUE"""),"2055-06-03T16:00:00Z")</f>
        <v>2055-06-03T16:00:00Z</v>
      </c>
      <c r="L1012" s="3">
        <f ca="1">IFERROR(__xludf.DUMMYFUNCTION("""COMPUTED_VALUE"""),0)</f>
        <v>0</v>
      </c>
      <c r="M1012" s="3">
        <f ca="1">IFERROR(__xludf.DUMMYFUNCTION("""COMPUTED_VALUE"""),0)</f>
        <v>0</v>
      </c>
      <c r="N1012" s="3" t="str">
        <f ca="1">IFERROR(__xludf.DUMMYFUNCTION("""COMPUTED_VALUE"""),"2055-06-03T15:41:33.464642Z")</f>
        <v>2055-06-03T15:41:33.464642Z</v>
      </c>
      <c r="O1012" s="3" t="str">
        <f ca="1">IFERROR(__xludf.DUMMYFUNCTION("""COMPUTED_VALUE"""),"2055-06-03T15:57:11.960808Z")</f>
        <v>2055-06-03T15:57:11.960808Z</v>
      </c>
      <c r="P1012" s="3" t="str">
        <f ca="1">IFERROR(__xludf.DUMMYFUNCTION("""COMPUTED_VALUE"""),"2055-06-03T15:01:47.304808Z")</f>
        <v>2055-06-03T15:01:47.304808Z</v>
      </c>
      <c r="Q1012" s="3">
        <f ca="1">IFERROR(__xludf.DUMMYFUNCTION("""COMPUTED_VALUE"""),0)</f>
        <v>0</v>
      </c>
      <c r="R1012" s="3" t="str">
        <f ca="1">IFERROR(__xludf.DUMMYFUNCTION("""COMPUTED_VALUE"""),"2055-06-03T15:02:12.846345Z")</f>
        <v>2055-06-03T15:02:12.846345Z</v>
      </c>
      <c r="S1012" s="3" t="str">
        <f ca="1">IFERROR(__xludf.DUMMYFUNCTION("""COMPUTED_VALUE"""),"2055-06-03T15:18:28.905063Z")</f>
        <v>2055-06-03T15:18:28.905063Z</v>
      </c>
      <c r="T1012" s="3"/>
      <c r="U1012" s="4">
        <f ca="1">IFERROR(__xludf.DUMMYFUNCTION("""COMPUTED_VALUE"""),56768)</f>
        <v>56768</v>
      </c>
      <c r="V1012" s="3">
        <f ca="1">IFERROR(__xludf.DUMMYFUNCTION("""COMPUTED_VALUE"""),3.33797579)</f>
        <v>3.3379757900000002</v>
      </c>
      <c r="W1012" s="3">
        <f ca="1">IFERROR(__xludf.DUMMYFUNCTION("""COMPUTED_VALUE"""),1500)</f>
        <v>1500</v>
      </c>
      <c r="X1012" s="3">
        <f ca="1">IFERROR(__xludf.DUMMYFUNCTION("""COMPUTED_VALUE"""),3299)</f>
        <v>3299</v>
      </c>
      <c r="Y1012" s="3">
        <f ca="1">IFERROR(__xludf.DUMMYFUNCTION("""COMPUTED_VALUE"""),976)</f>
        <v>976</v>
      </c>
      <c r="Z1012" s="3">
        <f ca="1">IFERROR(__xludf.DUMMYFUNCTION("""COMPUTED_VALUE"""),1385)</f>
        <v>1385</v>
      </c>
      <c r="AA1012" s="3">
        <f ca="1">IFERROR(__xludf.DUMMYFUNCTION("""COMPUTED_VALUE"""),938)</f>
        <v>938</v>
      </c>
      <c r="AB1012" s="3">
        <f ca="1">IFERROR(__xludf.DUMMYFUNCTION("""COMPUTED_VALUE"""),0)</f>
        <v>0</v>
      </c>
      <c r="AC1012" s="3">
        <f ca="1">IFERROR(__xludf.DUMMYFUNCTION("""COMPUTED_VALUE"""),2)</f>
        <v>2</v>
      </c>
      <c r="AD1012" s="3" t="str">
        <f ca="1">IFERROR(__xludf.DUMMYFUNCTION("""COMPUTED_VALUE"""),"on time")</f>
        <v>on time</v>
      </c>
      <c r="AE1012" s="3" t="str">
        <f ca="1">IFERROR(__xludf.DUMMYFUNCTION("""COMPUTED_VALUE"""),"2055-06-03T11:41:33.464642Z")</f>
        <v>2055-06-03T11:41:33.464642Z</v>
      </c>
      <c r="AF1012" s="3" t="str">
        <f ca="1">IFERROR(__xludf.DUMMYFUNCTION("""COMPUTED_VALUE"""),"2055-06-03T11:57:11.960808Z")</f>
        <v>2055-06-03T11:57:11.960808Z</v>
      </c>
      <c r="AG1012" s="3" t="str">
        <f ca="1">IFERROR(__xludf.DUMMYFUNCTION("""COMPUTED_VALUE"""),"2055-06-03T11:01:47.304808Z")</f>
        <v>2055-06-03T11:01:47.304808Z</v>
      </c>
      <c r="AH1012" s="3" t="str">
        <f ca="1">IFERROR(__xludf.DUMMYFUNCTION("""COMPUTED_VALUE"""),"2055-06-03T11:18:28.905063Z")</f>
        <v>2055-06-03T11:18:28.905063Z</v>
      </c>
      <c r="AI1012" s="3">
        <f ca="1">IFERROR(__xludf.DUMMYFUNCTION("""COMPUTED_VALUE"""),4.62)</f>
        <v>4.62</v>
      </c>
      <c r="AJ1012" s="3">
        <f ca="1">IFERROR(__xludf.DUMMYFUNCTION("""COMPUTED_VALUE"""),259)</f>
        <v>259</v>
      </c>
      <c r="AK1012" s="3">
        <f ca="1">IFERROR(__xludf.DUMMYFUNCTION("""COMPUTED_VALUE"""),604)</f>
        <v>604</v>
      </c>
      <c r="AL1012" s="3">
        <f ca="1">IFERROR(__xludf.DUMMYFUNCTION("""COMPUTED_VALUE"""),21)</f>
        <v>21</v>
      </c>
      <c r="AM1012" s="3">
        <f>IFERROR(Raw_Data!AL1012 / Raw_Data!AK1012, "")</f>
        <v>3.4768211920529798E-2</v>
      </c>
      <c r="AN1012" s="3" t="str">
        <f>IF(ISBLANK(Raw_Data!AL1012), "No", "Yes")</f>
        <v>Yes</v>
      </c>
      <c r="AO1012" s="3">
        <f>IFERROR(Raw_Data!Z1012/60, "")</f>
        <v>23.083333333333332</v>
      </c>
    </row>
    <row r="1013" spans="1:41" ht="13">
      <c r="A1013" s="3">
        <f ca="1">IFERROR(__xludf.DUMMYFUNCTION("""COMPUTED_VALUE"""),552)</f>
        <v>552</v>
      </c>
      <c r="B1013" s="3">
        <f ca="1">IFERROR(__xludf.DUMMYFUNCTION("""COMPUTED_VALUE"""),5)</f>
        <v>5</v>
      </c>
      <c r="C1013" s="3">
        <f ca="1">IFERROR(__xludf.DUMMYFUNCTION("""COMPUTED_VALUE"""),4001)</f>
        <v>4001</v>
      </c>
      <c r="D1013" s="3" t="str">
        <f ca="1">IFERROR(__xludf.DUMMYFUNCTION("""COMPUTED_VALUE"""),"Dashattan")</f>
        <v>Dashattan</v>
      </c>
      <c r="E1013" s="3" t="str">
        <f ca="1">IFERROR(__xludf.DUMMYFUNCTION("""COMPUTED_VALUE"""),"Galaxy A")</f>
        <v>Galaxy A</v>
      </c>
      <c r="F1013" s="3" t="str">
        <f ca="1">IFERROR(__xludf.DUMMYFUNCTION("""COMPUTED_VALUE"""),"Samm")</f>
        <v>Samm</v>
      </c>
      <c r="G1013" s="3">
        <f ca="1">IFERROR(__xludf.DUMMYFUNCTION("""COMPUTED_VALUE"""),0)</f>
        <v>0</v>
      </c>
      <c r="H1013" s="3" t="str">
        <f ca="1">IFERROR(__xludf.DUMMYFUNCTION("""COMPUTED_VALUE"""),"car")</f>
        <v>car</v>
      </c>
      <c r="I1013" s="3" t="str">
        <f ca="1">IFERROR(__xludf.DUMMYFUNCTION("""COMPUTED_VALUE"""),"2055-06-05T15:26:13.199679Z")</f>
        <v>2055-06-05T15:26:13.199679Z</v>
      </c>
      <c r="J1013" s="3" t="str">
        <f ca="1">IFERROR(__xludf.DUMMYFUNCTION("""COMPUTED_VALUE"""),"2055-06-05T16:22:40.287Z")</f>
        <v>2055-06-05T16:22:40.287Z</v>
      </c>
      <c r="K1013" s="3" t="str">
        <f ca="1">IFERROR(__xludf.DUMMYFUNCTION("""COMPUTED_VALUE"""),"2055-06-05T16:18:47.287Z")</f>
        <v>2055-06-05T16:18:47.287Z</v>
      </c>
      <c r="L1013" s="3">
        <f ca="1">IFERROR(__xludf.DUMMYFUNCTION("""COMPUTED_VALUE"""),1)</f>
        <v>1</v>
      </c>
      <c r="M1013" s="3">
        <f ca="1">IFERROR(__xludf.DUMMYFUNCTION("""COMPUTED_VALUE"""),0)</f>
        <v>0</v>
      </c>
      <c r="N1013" s="3" t="str">
        <f ca="1">IFERROR(__xludf.DUMMYFUNCTION("""COMPUTED_VALUE"""),"2055-06-05T15:42:43.168066Z")</f>
        <v>2055-06-05T15:42:43.168066Z</v>
      </c>
      <c r="O1013" s="3" t="str">
        <f ca="1">IFERROR(__xludf.DUMMYFUNCTION("""COMPUTED_VALUE"""),"2055-06-05T15:50:32.094331Z")</f>
        <v>2055-06-05T15:50:32.094331Z</v>
      </c>
      <c r="P1013" s="3" t="str">
        <f ca="1">IFERROR(__xludf.DUMMYFUNCTION("""COMPUTED_VALUE"""),"2055-06-05T15:26:34.468889Z")</f>
        <v>2055-06-05T15:26:34.468889Z</v>
      </c>
      <c r="Q1013" s="3">
        <f ca="1">IFERROR(__xludf.DUMMYFUNCTION("""COMPUTED_VALUE"""),0)</f>
        <v>0</v>
      </c>
      <c r="R1013" s="3" t="str">
        <f ca="1">IFERROR(__xludf.DUMMYFUNCTION("""COMPUTED_VALUE"""),"2055-06-05T15:26:59.065837Z")</f>
        <v>2055-06-05T15:26:59.065837Z</v>
      </c>
      <c r="S1013" s="3" t="str">
        <f ca="1">IFERROR(__xludf.DUMMYFUNCTION("""COMPUTED_VALUE"""),"2055-06-05T15:34:56.439499Z")</f>
        <v>2055-06-05T15:34:56.439499Z</v>
      </c>
      <c r="T1013" s="3"/>
      <c r="U1013" s="4">
        <f ca="1">IFERROR(__xludf.DUMMYFUNCTION("""COMPUTED_VALUE"""),56770)</f>
        <v>56770</v>
      </c>
      <c r="V1013" s="3">
        <f ca="1">IFERROR(__xludf.DUMMYFUNCTION("""COMPUTED_VALUE"""),4.4)</f>
        <v>4.4000000000000004</v>
      </c>
      <c r="W1013" s="3">
        <f ca="1">IFERROR(__xludf.DUMMYFUNCTION("""COMPUTED_VALUE"""),1500)</f>
        <v>1500</v>
      </c>
      <c r="X1013" s="3">
        <f ca="1">IFERROR(__xludf.DUMMYFUNCTION("""COMPUTED_VALUE"""),1413)</f>
        <v>1413</v>
      </c>
      <c r="Y1013" s="3">
        <f ca="1">IFERROR(__xludf.DUMMYFUNCTION("""COMPUTED_VALUE"""),477)</f>
        <v>477</v>
      </c>
      <c r="Z1013" s="3">
        <f ca="1">IFERROR(__xludf.DUMMYFUNCTION("""COMPUTED_VALUE"""),467)</f>
        <v>467</v>
      </c>
      <c r="AA1013" s="3">
        <f ca="1">IFERROR(__xludf.DUMMYFUNCTION("""COMPUTED_VALUE"""),469)</f>
        <v>469</v>
      </c>
      <c r="AB1013" s="3">
        <f ca="1">IFERROR(__xludf.DUMMYFUNCTION("""COMPUTED_VALUE"""),1)</f>
        <v>1</v>
      </c>
      <c r="AC1013" s="3">
        <f ca="1">IFERROR(__xludf.DUMMYFUNCTION("""COMPUTED_VALUE"""),25)</f>
        <v>25</v>
      </c>
      <c r="AD1013" s="3"/>
      <c r="AE1013" s="3" t="str">
        <f ca="1">IFERROR(__xludf.DUMMYFUNCTION("""COMPUTED_VALUE"""),"2055-06-05T11:42:43.168066Z")</f>
        <v>2055-06-05T11:42:43.168066Z</v>
      </c>
      <c r="AF1013" s="3" t="str">
        <f ca="1">IFERROR(__xludf.DUMMYFUNCTION("""COMPUTED_VALUE"""),"2055-06-05T11:50:32.094331Z")</f>
        <v>2055-06-05T11:50:32.094331Z</v>
      </c>
      <c r="AG1013" s="3" t="str">
        <f ca="1">IFERROR(__xludf.DUMMYFUNCTION("""COMPUTED_VALUE"""),"2055-06-05T11:26:34.468889Z")</f>
        <v>2055-06-05T11:26:34.468889Z</v>
      </c>
      <c r="AH1013" s="3" t="str">
        <f ca="1">IFERROR(__xludf.DUMMYFUNCTION("""COMPUTED_VALUE"""),"2055-06-05T11:34:56.439499Z")</f>
        <v>2055-06-05T11:34:56.439499Z</v>
      </c>
      <c r="AI1013" s="3">
        <f ca="1">IFERROR(__xludf.DUMMYFUNCTION("""COMPUTED_VALUE"""),4.03)</f>
        <v>4.03</v>
      </c>
      <c r="AJ1013" s="3">
        <f ca="1">IFERROR(__xludf.DUMMYFUNCTION("""COMPUTED_VALUE"""),505)</f>
        <v>505</v>
      </c>
      <c r="AK1013" s="3">
        <f ca="1">IFERROR(__xludf.DUMMYFUNCTION("""COMPUTED_VALUE"""),1721)</f>
        <v>1721</v>
      </c>
      <c r="AL1013" s="3">
        <f ca="1">IFERROR(__xludf.DUMMYFUNCTION("""COMPUTED_VALUE"""),457)</f>
        <v>457</v>
      </c>
      <c r="AM1013" s="3">
        <f>IFERROR(Raw_Data!AL1013 / Raw_Data!AK1013, "")</f>
        <v>0.26554328878558975</v>
      </c>
      <c r="AN1013" s="3" t="str">
        <f>IF(ISBLANK(Raw_Data!AL1013), "No", "Yes")</f>
        <v>Yes</v>
      </c>
      <c r="AO1013" s="3">
        <f>IFERROR(Raw_Data!Z1013/60, "")</f>
        <v>7.7833333333333332</v>
      </c>
    </row>
    <row r="1014" spans="1:41" ht="13">
      <c r="A1014" s="3">
        <f ca="1">IFERROR(__xludf.DUMMYFUNCTION("""COMPUTED_VALUE"""),760)</f>
        <v>760</v>
      </c>
      <c r="B1014" s="3">
        <f ca="1">IFERROR(__xludf.DUMMYFUNCTION("""COMPUTED_VALUE"""),5)</f>
        <v>5</v>
      </c>
      <c r="C1014" s="3">
        <f ca="1">IFERROR(__xludf.DUMMYFUNCTION("""COMPUTED_VALUE"""),4050)</f>
        <v>4050</v>
      </c>
      <c r="D1014" s="3" t="str">
        <f ca="1">IFERROR(__xludf.DUMMYFUNCTION("""COMPUTED_VALUE"""),"Doorlanta")</f>
        <v>Doorlanta</v>
      </c>
      <c r="E1014" s="3" t="str">
        <f ca="1">IFERROR(__xludf.DUMMYFUNCTION("""COMPUTED_VALUE"""),"Galaxy A")</f>
        <v>Galaxy A</v>
      </c>
      <c r="F1014" s="3" t="str">
        <f ca="1">IFERROR(__xludf.DUMMYFUNCTION("""COMPUTED_VALUE"""),"Jagar")</f>
        <v>Jagar</v>
      </c>
      <c r="G1014" s="3">
        <f ca="1">IFERROR(__xludf.DUMMYFUNCTION("""COMPUTED_VALUE"""),0)</f>
        <v>0</v>
      </c>
      <c r="H1014" s="3" t="str">
        <f ca="1">IFERROR(__xludf.DUMMYFUNCTION("""COMPUTED_VALUE"""),"car")</f>
        <v>car</v>
      </c>
      <c r="I1014" s="3" t="str">
        <f ca="1">IFERROR(__xludf.DUMMYFUNCTION("""COMPUTED_VALUE"""),"2055-06-06T20:08:05.051328Z")</f>
        <v>2055-06-06T20:08:05.051328Z</v>
      </c>
      <c r="J1014" s="3" t="str">
        <f ca="1">IFERROR(__xludf.DUMMYFUNCTION("""COMPUTED_VALUE"""),"2055-06-06T21:03:05.13Z")</f>
        <v>2055-06-06T21:03:05.13Z</v>
      </c>
      <c r="K1014" s="3" t="str">
        <f ca="1">IFERROR(__xludf.DUMMYFUNCTION("""COMPUTED_VALUE"""),"2055-06-06T20:39:38.13Z")</f>
        <v>2055-06-06T20:39:38.13Z</v>
      </c>
      <c r="L1014" s="3">
        <f ca="1">IFERROR(__xludf.DUMMYFUNCTION("""COMPUTED_VALUE"""),1)</f>
        <v>1</v>
      </c>
      <c r="M1014" s="3">
        <f ca="1">IFERROR(__xludf.DUMMYFUNCTION("""COMPUTED_VALUE"""),0)</f>
        <v>0</v>
      </c>
      <c r="N1014" s="3" t="str">
        <f ca="1">IFERROR(__xludf.DUMMYFUNCTION("""COMPUTED_VALUE"""),"2055-06-06T20:39:14.856006Z")</f>
        <v>2055-06-06T20:39:14.856006Z</v>
      </c>
      <c r="O1014" s="3" t="str">
        <f ca="1">IFERROR(__xludf.DUMMYFUNCTION("""COMPUTED_VALUE"""),"2055-06-06T20:46:49.83338Z")</f>
        <v>2055-06-06T20:46:49.83338Z</v>
      </c>
      <c r="P1014" s="3" t="str">
        <f ca="1">IFERROR(__xludf.DUMMYFUNCTION("""COMPUTED_VALUE"""),"2055-06-06T20:08:27.251002Z")</f>
        <v>2055-06-06T20:08:27.251002Z</v>
      </c>
      <c r="Q1014" s="3">
        <f ca="1">IFERROR(__xludf.DUMMYFUNCTION("""COMPUTED_VALUE"""),0)</f>
        <v>0</v>
      </c>
      <c r="R1014" s="3" t="str">
        <f ca="1">IFERROR(__xludf.DUMMYFUNCTION("""COMPUTED_VALUE"""),"2055-06-06T20:08:34.439655Z")</f>
        <v>2055-06-06T20:08:34.439655Z</v>
      </c>
      <c r="S1014" s="3"/>
      <c r="T1014" s="3"/>
      <c r="U1014" s="4">
        <f ca="1">IFERROR(__xludf.DUMMYFUNCTION("""COMPUTED_VALUE"""),56771)</f>
        <v>56771</v>
      </c>
      <c r="V1014" s="3">
        <f ca="1">IFERROR(__xludf.DUMMYFUNCTION("""COMPUTED_VALUE"""),4.3)</f>
        <v>4.3</v>
      </c>
      <c r="W1014" s="3">
        <f ca="1">IFERROR(__xludf.DUMMYFUNCTION("""COMPUTED_VALUE"""),1500)</f>
        <v>1500</v>
      </c>
      <c r="X1014" s="3">
        <f ca="1">IFERROR(__xludf.DUMMYFUNCTION("""COMPUTED_VALUE"""),2295)</f>
        <v>2295</v>
      </c>
      <c r="Y1014" s="3"/>
      <c r="Z1014" s="3"/>
      <c r="AA1014" s="3">
        <f ca="1">IFERROR(__xludf.DUMMYFUNCTION("""COMPUTED_VALUE"""),455)</f>
        <v>455</v>
      </c>
      <c r="AB1014" s="3">
        <f ca="1">IFERROR(__xludf.DUMMYFUNCTION("""COMPUTED_VALUE"""),0)</f>
        <v>0</v>
      </c>
      <c r="AC1014" s="3">
        <f ca="1">IFERROR(__xludf.DUMMYFUNCTION("""COMPUTED_VALUE"""),3)</f>
        <v>3</v>
      </c>
      <c r="AD1014" s="3"/>
      <c r="AE1014" s="3" t="str">
        <f ca="1">IFERROR(__xludf.DUMMYFUNCTION("""COMPUTED_VALUE"""),"2055-06-06T16:39:14.856006Z")</f>
        <v>2055-06-06T16:39:14.856006Z</v>
      </c>
      <c r="AF1014" s="3" t="str">
        <f ca="1">IFERROR(__xludf.DUMMYFUNCTION("""COMPUTED_VALUE"""),"2055-06-06T16:46:49.83338Z")</f>
        <v>2055-06-06T16:46:49.83338Z</v>
      </c>
      <c r="AG1014" s="3" t="str">
        <f ca="1">IFERROR(__xludf.DUMMYFUNCTION("""COMPUTED_VALUE"""),"2055-06-06T16:08:27.251002Z")</f>
        <v>2055-06-06T16:08:27.251002Z</v>
      </c>
      <c r="AH1014" s="3"/>
      <c r="AI1014" s="3">
        <f ca="1">IFERROR(__xludf.DUMMYFUNCTION("""COMPUTED_VALUE"""),4.89)</f>
        <v>4.8899999999999997</v>
      </c>
      <c r="AJ1014" s="3">
        <f ca="1">IFERROR(__xludf.DUMMYFUNCTION("""COMPUTED_VALUE"""),1778)</f>
        <v>1778</v>
      </c>
      <c r="AK1014" s="3">
        <f ca="1">IFERROR(__xludf.DUMMYFUNCTION("""COMPUTED_VALUE"""),5138)</f>
        <v>5138</v>
      </c>
      <c r="AL1014" s="3">
        <f ca="1">IFERROR(__xludf.DUMMYFUNCTION("""COMPUTED_VALUE"""),314)</f>
        <v>314</v>
      </c>
      <c r="AM1014" s="3">
        <f>IFERROR(Raw_Data!AL1014 / Raw_Data!AK1014, "")</f>
        <v>6.1113273647333592E-2</v>
      </c>
      <c r="AN1014" s="3" t="str">
        <f>IF(ISBLANK(Raw_Data!AL1014), "No", "Yes")</f>
        <v>Yes</v>
      </c>
      <c r="AO1014" s="3">
        <f>IFERROR(Raw_Data!Z1014/60, "")</f>
        <v>0</v>
      </c>
    </row>
    <row r="1015" spans="1:41" ht="13">
      <c r="A1015" s="3">
        <f ca="1">IFERROR(__xludf.DUMMYFUNCTION("""COMPUTED_VALUE"""),843)</f>
        <v>843</v>
      </c>
      <c r="B1015" s="3">
        <f ca="1">IFERROR(__xludf.DUMMYFUNCTION("""COMPUTED_VALUE"""),5)</f>
        <v>5</v>
      </c>
      <c r="C1015" s="3">
        <f ca="1">IFERROR(__xludf.DUMMYFUNCTION("""COMPUTED_VALUE"""),4050)</f>
        <v>4050</v>
      </c>
      <c r="D1015" s="3" t="str">
        <f ca="1">IFERROR(__xludf.DUMMYFUNCTION("""COMPUTED_VALUE"""),"Doorlanta")</f>
        <v>Doorlanta</v>
      </c>
      <c r="E1015" s="3" t="str">
        <f ca="1">IFERROR(__xludf.DUMMYFUNCTION("""COMPUTED_VALUE"""),"Galaxy A")</f>
        <v>Galaxy A</v>
      </c>
      <c r="F1015" s="3" t="str">
        <f ca="1">IFERROR(__xludf.DUMMYFUNCTION("""COMPUTED_VALUE"""),"Elon")</f>
        <v>Elon</v>
      </c>
      <c r="G1015" s="3">
        <f ca="1">IFERROR(__xludf.DUMMYFUNCTION("""COMPUTED_VALUE"""),0)</f>
        <v>0</v>
      </c>
      <c r="H1015" s="3" t="str">
        <f ca="1">IFERROR(__xludf.DUMMYFUNCTION("""COMPUTED_VALUE"""),"car")</f>
        <v>car</v>
      </c>
      <c r="I1015" s="3" t="str">
        <f ca="1">IFERROR(__xludf.DUMMYFUNCTION("""COMPUTED_VALUE"""),"2055-06-07T16:31:07.31943Z")</f>
        <v>2055-06-07T16:31:07.31943Z</v>
      </c>
      <c r="J1015" s="3" t="str">
        <f ca="1">IFERROR(__xludf.DUMMYFUNCTION("""COMPUTED_VALUE"""),"2055-06-07T17:21:07.441Z")</f>
        <v>2055-06-07T17:21:07.441Z</v>
      </c>
      <c r="K1015" s="3" t="str">
        <f ca="1">IFERROR(__xludf.DUMMYFUNCTION("""COMPUTED_VALUE"""),"2055-06-07T16:55:33.441Z")</f>
        <v>2055-06-07T16:55:33.441Z</v>
      </c>
      <c r="L1015" s="3">
        <f ca="1">IFERROR(__xludf.DUMMYFUNCTION("""COMPUTED_VALUE"""),1)</f>
        <v>1</v>
      </c>
      <c r="M1015" s="3">
        <f ca="1">IFERROR(__xludf.DUMMYFUNCTION("""COMPUTED_VALUE"""),0)</f>
        <v>0</v>
      </c>
      <c r="N1015" s="3" t="str">
        <f ca="1">IFERROR(__xludf.DUMMYFUNCTION("""COMPUTED_VALUE"""),"2055-06-07T16:48:40.994527Z")</f>
        <v>2055-06-07T16:48:40.994527Z</v>
      </c>
      <c r="O1015" s="3" t="str">
        <f ca="1">IFERROR(__xludf.DUMMYFUNCTION("""COMPUTED_VALUE"""),"2055-06-07T17:02:40.571356Z")</f>
        <v>2055-06-07T17:02:40.571356Z</v>
      </c>
      <c r="P1015" s="3" t="str">
        <f ca="1">IFERROR(__xludf.DUMMYFUNCTION("""COMPUTED_VALUE"""),"2055-06-07T16:33:07.288002Z")</f>
        <v>2055-06-07T16:33:07.288002Z</v>
      </c>
      <c r="Q1015" s="3">
        <f ca="1">IFERROR(__xludf.DUMMYFUNCTION("""COMPUTED_VALUE"""),0)</f>
        <v>0</v>
      </c>
      <c r="R1015" s="3" t="str">
        <f ca="1">IFERROR(__xludf.DUMMYFUNCTION("""COMPUTED_VALUE"""),"2055-06-07T16:33:25.803455Z")</f>
        <v>2055-06-07T16:33:25.803455Z</v>
      </c>
      <c r="S1015" s="3" t="str">
        <f ca="1">IFERROR(__xludf.DUMMYFUNCTION("""COMPUTED_VALUE"""),"2055-06-07T16:45:58.177588Z")</f>
        <v>2055-06-07T16:45:58.177588Z</v>
      </c>
      <c r="T1015" s="3"/>
      <c r="U1015" s="4">
        <f ca="1">IFERROR(__xludf.DUMMYFUNCTION("""COMPUTED_VALUE"""),56772)</f>
        <v>56772</v>
      </c>
      <c r="V1015" s="3">
        <f ca="1">IFERROR(__xludf.DUMMYFUNCTION("""COMPUTED_VALUE"""),4.5)</f>
        <v>4.5</v>
      </c>
      <c r="W1015" s="3">
        <f ca="1">IFERROR(__xludf.DUMMYFUNCTION("""COMPUTED_VALUE"""),1500)</f>
        <v>1500</v>
      </c>
      <c r="X1015" s="3">
        <f ca="1">IFERROR(__xludf.DUMMYFUNCTION("""COMPUTED_VALUE"""),1755)</f>
        <v>1755</v>
      </c>
      <c r="Y1015" s="3">
        <f ca="1">IFERROR(__xludf.DUMMYFUNCTION("""COMPUTED_VALUE"""),753)</f>
        <v>753</v>
      </c>
      <c r="Z1015" s="3">
        <f ca="1">IFERROR(__xludf.DUMMYFUNCTION("""COMPUTED_VALUE"""),162)</f>
        <v>162</v>
      </c>
      <c r="AA1015" s="3">
        <f ca="1">IFERROR(__xludf.DUMMYFUNCTION("""COMPUTED_VALUE"""),840)</f>
        <v>840</v>
      </c>
      <c r="AB1015" s="3">
        <f ca="1">IFERROR(__xludf.DUMMYFUNCTION("""COMPUTED_VALUE"""),0)</f>
        <v>0</v>
      </c>
      <c r="AC1015" s="3">
        <f ca="1">IFERROR(__xludf.DUMMYFUNCTION("""COMPUTED_VALUE"""),1)</f>
        <v>1</v>
      </c>
      <c r="AD1015" s="3" t="str">
        <f ca="1">IFERROR(__xludf.DUMMYFUNCTION("""COMPUTED_VALUE"""),"late")</f>
        <v>late</v>
      </c>
      <c r="AE1015" s="3" t="str">
        <f ca="1">IFERROR(__xludf.DUMMYFUNCTION("""COMPUTED_VALUE"""),"2055-06-07T12:48:40.994527Z")</f>
        <v>2055-06-07T12:48:40.994527Z</v>
      </c>
      <c r="AF1015" s="3" t="str">
        <f ca="1">IFERROR(__xludf.DUMMYFUNCTION("""COMPUTED_VALUE"""),"2055-06-07T13:02:40.571356Z")</f>
        <v>2055-06-07T13:02:40.571356Z</v>
      </c>
      <c r="AG1015" s="3" t="str">
        <f ca="1">IFERROR(__xludf.DUMMYFUNCTION("""COMPUTED_VALUE"""),"2055-06-07T12:33:07.288002Z")</f>
        <v>2055-06-07T12:33:07.288002Z</v>
      </c>
      <c r="AH1015" s="3" t="str">
        <f ca="1">IFERROR(__xludf.DUMMYFUNCTION("""COMPUTED_VALUE"""),"2055-06-07T12:45:58.177588Z")</f>
        <v>2055-06-07T12:45:58.177588Z</v>
      </c>
      <c r="AI1015" s="3">
        <f ca="1">IFERROR(__xludf.DUMMYFUNCTION("""COMPUTED_VALUE"""),4.62)</f>
        <v>4.62</v>
      </c>
      <c r="AJ1015" s="3">
        <f ca="1">IFERROR(__xludf.DUMMYFUNCTION("""COMPUTED_VALUE"""),259)</f>
        <v>259</v>
      </c>
      <c r="AK1015" s="3">
        <f ca="1">IFERROR(__xludf.DUMMYFUNCTION("""COMPUTED_VALUE"""),604)</f>
        <v>604</v>
      </c>
      <c r="AL1015" s="3">
        <f ca="1">IFERROR(__xludf.DUMMYFUNCTION("""COMPUTED_VALUE"""),21)</f>
        <v>21</v>
      </c>
      <c r="AM1015" s="3">
        <f>IFERROR(Raw_Data!AL1015 / Raw_Data!AK1015, "")</f>
        <v>3.4768211920529798E-2</v>
      </c>
      <c r="AN1015" s="3" t="str">
        <f>IF(ISBLANK(Raw_Data!AL1015), "No", "Yes")</f>
        <v>Yes</v>
      </c>
      <c r="AO1015" s="3">
        <f>IFERROR(Raw_Data!Z1015/60, "")</f>
        <v>2.7</v>
      </c>
    </row>
    <row r="1016" spans="1:41" ht="13">
      <c r="A1016" s="3">
        <f ca="1">IFERROR(__xludf.DUMMYFUNCTION("""COMPUTED_VALUE"""),1440)</f>
        <v>1440</v>
      </c>
      <c r="B1016" s="3">
        <f ca="1">IFERROR(__xludf.DUMMYFUNCTION("""COMPUTED_VALUE"""),5)</f>
        <v>5</v>
      </c>
      <c r="C1016" s="3">
        <f ca="1">IFERROR(__xludf.DUMMYFUNCTION("""COMPUTED_VALUE"""),4001)</f>
        <v>4001</v>
      </c>
      <c r="D1016" s="3" t="str">
        <f ca="1">IFERROR(__xludf.DUMMYFUNCTION("""COMPUTED_VALUE"""),"Dashattan")</f>
        <v>Dashattan</v>
      </c>
      <c r="E1016" s="3" t="str">
        <f ca="1">IFERROR(__xludf.DUMMYFUNCTION("""COMPUTED_VALUE"""),"Galaxy A")</f>
        <v>Galaxy A</v>
      </c>
      <c r="F1016" s="3" t="str">
        <f ca="1">IFERROR(__xludf.DUMMYFUNCTION("""COMPUTED_VALUE"""),"Etan")</f>
        <v>Etan</v>
      </c>
      <c r="G1016" s="3">
        <f ca="1">IFERROR(__xludf.DUMMYFUNCTION("""COMPUTED_VALUE"""),0)</f>
        <v>0</v>
      </c>
      <c r="H1016" s="3" t="str">
        <f ca="1">IFERROR(__xludf.DUMMYFUNCTION("""COMPUTED_VALUE"""),"bicycle")</f>
        <v>bicycle</v>
      </c>
      <c r="I1016" s="3" t="str">
        <f ca="1">IFERROR(__xludf.DUMMYFUNCTION("""COMPUTED_VALUE"""),"2055-06-12T19:37:50.267161Z")</f>
        <v>2055-06-12T19:37:50.267161Z</v>
      </c>
      <c r="J1016" s="3" t="str">
        <f ca="1">IFERROR(__xludf.DUMMYFUNCTION("""COMPUTED_VALUE"""),"2055-06-12T20:37:56.34Z")</f>
        <v>2055-06-12T20:37:56.34Z</v>
      </c>
      <c r="K1016" s="3" t="str">
        <f ca="1">IFERROR(__xludf.DUMMYFUNCTION("""COMPUTED_VALUE"""),"2055-06-12T20:18:17.34Z")</f>
        <v>2055-06-12T20:18:17.34Z</v>
      </c>
      <c r="L1016" s="3">
        <f ca="1">IFERROR(__xludf.DUMMYFUNCTION("""COMPUTED_VALUE"""),1)</f>
        <v>1</v>
      </c>
      <c r="M1016" s="3">
        <f ca="1">IFERROR(__xludf.DUMMYFUNCTION("""COMPUTED_VALUE"""),0)</f>
        <v>0</v>
      </c>
      <c r="N1016" s="3" t="str">
        <f ca="1">IFERROR(__xludf.DUMMYFUNCTION("""COMPUTED_VALUE"""),"2055-06-12T20:19:00.355007Z")</f>
        <v>2055-06-12T20:19:00.355007Z</v>
      </c>
      <c r="O1016" s="3" t="str">
        <f ca="1">IFERROR(__xludf.DUMMYFUNCTION("""COMPUTED_VALUE"""),"2055-06-12T20:54:10.823306Z")</f>
        <v>2055-06-12T20:54:10.823306Z</v>
      </c>
      <c r="P1016" s="3" t="str">
        <f ca="1">IFERROR(__xludf.DUMMYFUNCTION("""COMPUTED_VALUE"""),"2055-06-12T19:37:54.300781Z")</f>
        <v>2055-06-12T19:37:54.300781Z</v>
      </c>
      <c r="Q1016" s="3">
        <f ca="1">IFERROR(__xludf.DUMMYFUNCTION("""COMPUTED_VALUE"""),0)</f>
        <v>0</v>
      </c>
      <c r="R1016" s="3" t="str">
        <f ca="1">IFERROR(__xludf.DUMMYFUNCTION("""COMPUTED_VALUE"""),"2055-06-12T19:38:01.678815Z")</f>
        <v>2055-06-12T19:38:01.678815Z</v>
      </c>
      <c r="S1016" s="3" t="str">
        <f ca="1">IFERROR(__xludf.DUMMYFUNCTION("""COMPUTED_VALUE"""),"2055-06-12T20:01:04.66551Z")</f>
        <v>2055-06-12T20:01:04.66551Z</v>
      </c>
      <c r="T1016" s="3"/>
      <c r="U1016" s="4">
        <f ca="1">IFERROR(__xludf.DUMMYFUNCTION("""COMPUTED_VALUE"""),56777)</f>
        <v>56777</v>
      </c>
      <c r="V1016" s="3">
        <f ca="1">IFERROR(__xludf.DUMMYFUNCTION("""COMPUTED_VALUE"""),4.2)</f>
        <v>4.2</v>
      </c>
      <c r="W1016" s="3">
        <f ca="1">IFERROR(__xludf.DUMMYFUNCTION("""COMPUTED_VALUE"""),1500)</f>
        <v>1500</v>
      </c>
      <c r="X1016" s="3">
        <f ca="1">IFERROR(__xludf.DUMMYFUNCTION("""COMPUTED_VALUE"""),4569)</f>
        <v>4569</v>
      </c>
      <c r="Y1016" s="3">
        <f ca="1">IFERROR(__xludf.DUMMYFUNCTION("""COMPUTED_VALUE"""),1383)</f>
        <v>1383</v>
      </c>
      <c r="Z1016" s="3">
        <f ca="1">IFERROR(__xludf.DUMMYFUNCTION("""COMPUTED_VALUE"""),1076)</f>
        <v>1076</v>
      </c>
      <c r="AA1016" s="3">
        <f ca="1">IFERROR(__xludf.DUMMYFUNCTION("""COMPUTED_VALUE"""),2110)</f>
        <v>2110</v>
      </c>
      <c r="AB1016" s="3">
        <f ca="1">IFERROR(__xludf.DUMMYFUNCTION("""COMPUTED_VALUE"""),0)</f>
        <v>0</v>
      </c>
      <c r="AC1016" s="3">
        <f ca="1">IFERROR(__xludf.DUMMYFUNCTION("""COMPUTED_VALUE"""),2)</f>
        <v>2</v>
      </c>
      <c r="AD1016" s="3" t="str">
        <f ca="1">IFERROR(__xludf.DUMMYFUNCTION("""COMPUTED_VALUE"""),"early")</f>
        <v>early</v>
      </c>
      <c r="AE1016" s="3" t="str">
        <f ca="1">IFERROR(__xludf.DUMMYFUNCTION("""COMPUTED_VALUE"""),"2055-06-12T16:19:00.355007Z")</f>
        <v>2055-06-12T16:19:00.355007Z</v>
      </c>
      <c r="AF1016" s="3" t="str">
        <f ca="1">IFERROR(__xludf.DUMMYFUNCTION("""COMPUTED_VALUE"""),"2055-06-12T16:54:10.823306Z")</f>
        <v>2055-06-12T16:54:10.823306Z</v>
      </c>
      <c r="AG1016" s="3" t="str">
        <f ca="1">IFERROR(__xludf.DUMMYFUNCTION("""COMPUTED_VALUE"""),"2055-06-12T15:37:54.300781Z")</f>
        <v>2055-06-12T15:37:54.300781Z</v>
      </c>
      <c r="AH1016" s="3" t="str">
        <f ca="1">IFERROR(__xludf.DUMMYFUNCTION("""COMPUTED_VALUE"""),"2055-06-12T16:01:04.66551Z")</f>
        <v>2055-06-12T16:01:04.66551Z</v>
      </c>
      <c r="AI1016" s="3">
        <f ca="1">IFERROR(__xludf.DUMMYFUNCTION("""COMPUTED_VALUE"""),4.35106383)</f>
        <v>4.3510638300000002</v>
      </c>
      <c r="AJ1016" s="3">
        <f ca="1">IFERROR(__xludf.DUMMYFUNCTION("""COMPUTED_VALUE"""),62)</f>
        <v>62</v>
      </c>
      <c r="AK1016" s="3">
        <f ca="1">IFERROR(__xludf.DUMMYFUNCTION("""COMPUTED_VALUE"""),228)</f>
        <v>228</v>
      </c>
      <c r="AL1016" s="3"/>
      <c r="AM1016" s="3">
        <f>IFERROR(Raw_Data!AL1016 / Raw_Data!AK1016, "")</f>
        <v>0</v>
      </c>
      <c r="AN1016" s="3" t="str">
        <f>IF(ISBLANK(Raw_Data!AL1016), "No", "Yes")</f>
        <v>No</v>
      </c>
      <c r="AO1016" s="3">
        <f>IFERROR(Raw_Data!Z1016/60, "")</f>
        <v>17.933333333333334</v>
      </c>
    </row>
    <row r="1017" spans="1:41" ht="13">
      <c r="A1017" s="3">
        <f ca="1">IFERROR(__xludf.DUMMYFUNCTION("""COMPUTED_VALUE"""),734)</f>
        <v>734</v>
      </c>
      <c r="B1017" s="3"/>
      <c r="C1017" s="3">
        <f ca="1">IFERROR(__xludf.DUMMYFUNCTION("""COMPUTED_VALUE"""),4050)</f>
        <v>4050</v>
      </c>
      <c r="D1017" s="3" t="str">
        <f ca="1">IFERROR(__xludf.DUMMYFUNCTION("""COMPUTED_VALUE"""),"Doorlanta")</f>
        <v>Doorlanta</v>
      </c>
      <c r="E1017" s="3" t="str">
        <f ca="1">IFERROR(__xludf.DUMMYFUNCTION("""COMPUTED_VALUE"""),"Galaxy A")</f>
        <v>Galaxy A</v>
      </c>
      <c r="F1017" s="3" t="str">
        <f ca="1">IFERROR(__xludf.DUMMYFUNCTION("""COMPUTED_VALUE"""),"Codee")</f>
        <v>Codee</v>
      </c>
      <c r="G1017" s="3">
        <f ca="1">IFERROR(__xludf.DUMMYFUNCTION("""COMPUTED_VALUE"""),0)</f>
        <v>0</v>
      </c>
      <c r="H1017" s="3" t="str">
        <f ca="1">IFERROR(__xludf.DUMMYFUNCTION("""COMPUTED_VALUE"""),"car")</f>
        <v>car</v>
      </c>
      <c r="I1017" s="3" t="str">
        <f ca="1">IFERROR(__xludf.DUMMYFUNCTION("""COMPUTED_VALUE"""),"2055-06-06T16:04:55.890182Z")</f>
        <v>2055-06-06T16:04:55.890182Z</v>
      </c>
      <c r="J1017" s="3" t="str">
        <f ca="1">IFERROR(__xludf.DUMMYFUNCTION("""COMPUTED_VALUE"""),"2055-06-06T17:02:06.972Z")</f>
        <v>2055-06-06T17:02:06.972Z</v>
      </c>
      <c r="K1017" s="3" t="str">
        <f ca="1">IFERROR(__xludf.DUMMYFUNCTION("""COMPUTED_VALUE"""),"2055-06-06T16:41:59.972Z")</f>
        <v>2055-06-06T16:41:59.972Z</v>
      </c>
      <c r="L1017" s="3">
        <f ca="1">IFERROR(__xludf.DUMMYFUNCTION("""COMPUTED_VALUE"""),1)</f>
        <v>1</v>
      </c>
      <c r="M1017" s="3">
        <f ca="1">IFERROR(__xludf.DUMMYFUNCTION("""COMPUTED_VALUE"""),0)</f>
        <v>0</v>
      </c>
      <c r="N1017" s="3" t="str">
        <f ca="1">IFERROR(__xludf.DUMMYFUNCTION("""COMPUTED_VALUE"""),"2055-06-06T16:28:23.133958Z")</f>
        <v>2055-06-06T16:28:23.133958Z</v>
      </c>
      <c r="O1017" s="3" t="str">
        <f ca="1">IFERROR(__xludf.DUMMYFUNCTION("""COMPUTED_VALUE"""),"2055-06-06T16:37:30.514418Z")</f>
        <v>2055-06-06T16:37:30.514418Z</v>
      </c>
      <c r="P1017" s="3" t="str">
        <f ca="1">IFERROR(__xludf.DUMMYFUNCTION("""COMPUTED_VALUE"""),"2055-06-06T16:16:07.303375Z")</f>
        <v>2055-06-06T16:16:07.303375Z</v>
      </c>
      <c r="Q1017" s="3">
        <f ca="1">IFERROR(__xludf.DUMMYFUNCTION("""COMPUTED_VALUE"""),0)</f>
        <v>0</v>
      </c>
      <c r="R1017" s="3" t="str">
        <f ca="1">IFERROR(__xludf.DUMMYFUNCTION("""COMPUTED_VALUE"""),"2055-06-06T16:16:12.441351Z")</f>
        <v>2055-06-06T16:16:12.441351Z</v>
      </c>
      <c r="S1017" s="3" t="str">
        <f ca="1">IFERROR(__xludf.DUMMYFUNCTION("""COMPUTED_VALUE"""),"2055-06-06T16:27:32.518911Z")</f>
        <v>2055-06-06T16:27:32.518911Z</v>
      </c>
      <c r="T1017" s="3"/>
      <c r="U1017" s="4">
        <f ca="1">IFERROR(__xludf.DUMMYFUNCTION("""COMPUTED_VALUE"""),56771)</f>
        <v>56771</v>
      </c>
      <c r="V1017" s="3">
        <f ca="1">IFERROR(__xludf.DUMMYFUNCTION("""COMPUTED_VALUE"""),4.8)</f>
        <v>4.8</v>
      </c>
      <c r="W1017" s="3">
        <f ca="1">IFERROR(__xludf.DUMMYFUNCTION("""COMPUTED_VALUE"""),1500)</f>
        <v>1500</v>
      </c>
      <c r="X1017" s="3">
        <f ca="1">IFERROR(__xludf.DUMMYFUNCTION("""COMPUTED_VALUE"""),1278)</f>
        <v>1278</v>
      </c>
      <c r="Y1017" s="3">
        <f ca="1">IFERROR(__xludf.DUMMYFUNCTION("""COMPUTED_VALUE"""),680)</f>
        <v>680</v>
      </c>
      <c r="Z1017" s="3">
        <f ca="1">IFERROR(__xludf.DUMMYFUNCTION("""COMPUTED_VALUE"""),51)</f>
        <v>51</v>
      </c>
      <c r="AA1017" s="3">
        <f ca="1">IFERROR(__xludf.DUMMYFUNCTION("""COMPUTED_VALUE"""),547)</f>
        <v>547</v>
      </c>
      <c r="AB1017" s="3">
        <f ca="1">IFERROR(__xludf.DUMMYFUNCTION("""COMPUTED_VALUE"""),0)</f>
        <v>0</v>
      </c>
      <c r="AC1017" s="3">
        <f ca="1">IFERROR(__xludf.DUMMYFUNCTION("""COMPUTED_VALUE"""),1)</f>
        <v>1</v>
      </c>
      <c r="AD1017" s="3" t="str">
        <f ca="1">IFERROR(__xludf.DUMMYFUNCTION("""COMPUTED_VALUE"""),"late")</f>
        <v>late</v>
      </c>
      <c r="AE1017" s="3" t="str">
        <f ca="1">IFERROR(__xludf.DUMMYFUNCTION("""COMPUTED_VALUE"""),"2055-06-06T12:28:23.133958Z")</f>
        <v>2055-06-06T12:28:23.133958Z</v>
      </c>
      <c r="AF1017" s="3" t="str">
        <f ca="1">IFERROR(__xludf.DUMMYFUNCTION("""COMPUTED_VALUE"""),"2055-06-06T12:37:30.514418Z")</f>
        <v>2055-06-06T12:37:30.514418Z</v>
      </c>
      <c r="AG1017" s="3" t="str">
        <f ca="1">IFERROR(__xludf.DUMMYFUNCTION("""COMPUTED_VALUE"""),"2055-06-06T12:16:07.303375Z")</f>
        <v>2055-06-06T12:16:07.303375Z</v>
      </c>
      <c r="AH1017" s="3" t="str">
        <f ca="1">IFERROR(__xludf.DUMMYFUNCTION("""COMPUTED_VALUE"""),"2055-06-06T12:27:32.518911Z")</f>
        <v>2055-06-06T12:27:32.518911Z</v>
      </c>
      <c r="AI1017" s="3">
        <f ca="1">IFERROR(__xludf.DUMMYFUNCTION("""COMPUTED_VALUE"""),4.367088608)</f>
        <v>4.3670886080000004</v>
      </c>
      <c r="AJ1017" s="3">
        <f ca="1">IFERROR(__xludf.DUMMYFUNCTION("""COMPUTED_VALUE"""),59)</f>
        <v>59</v>
      </c>
      <c r="AK1017" s="3">
        <f ca="1">IFERROR(__xludf.DUMMYFUNCTION("""COMPUTED_VALUE"""),198)</f>
        <v>198</v>
      </c>
      <c r="AL1017" s="3">
        <f ca="1">IFERROR(__xludf.DUMMYFUNCTION("""COMPUTED_VALUE"""),42)</f>
        <v>42</v>
      </c>
      <c r="AM1017" s="3">
        <f>IFERROR(Raw_Data!AL1017 / Raw_Data!AK1017, "")</f>
        <v>0.21212121212121213</v>
      </c>
      <c r="AN1017" s="3" t="str">
        <f>IF(ISBLANK(Raw_Data!AL1017), "No", "Yes")</f>
        <v>Yes</v>
      </c>
      <c r="AO1017" s="3">
        <f>IFERROR(Raw_Data!Z1017/60, "")</f>
        <v>0.85</v>
      </c>
    </row>
    <row r="1018" spans="1:41" ht="13">
      <c r="A1018" s="3">
        <f ca="1">IFERROR(__xludf.DUMMYFUNCTION("""COMPUTED_VALUE"""),914)</f>
        <v>914</v>
      </c>
      <c r="B1018" s="3"/>
      <c r="C1018" s="3">
        <f ca="1">IFERROR(__xludf.DUMMYFUNCTION("""COMPUTED_VALUE"""),4050)</f>
        <v>4050</v>
      </c>
      <c r="D1018" s="3" t="str">
        <f ca="1">IFERROR(__xludf.DUMMYFUNCTION("""COMPUTED_VALUE"""),"Doorlanta")</f>
        <v>Doorlanta</v>
      </c>
      <c r="E1018" s="3" t="str">
        <f ca="1">IFERROR(__xludf.DUMMYFUNCTION("""COMPUTED_VALUE"""),"Galaxy A")</f>
        <v>Galaxy A</v>
      </c>
      <c r="F1018" s="3" t="str">
        <f ca="1">IFERROR(__xludf.DUMMYFUNCTION("""COMPUTED_VALUE"""),"Elon")</f>
        <v>Elon</v>
      </c>
      <c r="G1018" s="3">
        <f ca="1">IFERROR(__xludf.DUMMYFUNCTION("""COMPUTED_VALUE"""),0)</f>
        <v>0</v>
      </c>
      <c r="H1018" s="3" t="str">
        <f ca="1">IFERROR(__xludf.DUMMYFUNCTION("""COMPUTED_VALUE"""),"car")</f>
        <v>car</v>
      </c>
      <c r="I1018" s="3" t="str">
        <f ca="1">IFERROR(__xludf.DUMMYFUNCTION("""COMPUTED_VALUE"""),"2055-06-08T01:59:37.850258Z")</f>
        <v>2055-06-08T01:59:37.850258Z</v>
      </c>
      <c r="J1018" s="3" t="str">
        <f ca="1">IFERROR(__xludf.DUMMYFUNCTION("""COMPUTED_VALUE"""),"2055-06-08T03:22:26.916Z")</f>
        <v>2055-06-08T03:22:26.916Z</v>
      </c>
      <c r="K1018" s="3" t="str">
        <f ca="1">IFERROR(__xludf.DUMMYFUNCTION("""COMPUTED_VALUE"""),"2055-06-08T03:02:19.916Z")</f>
        <v>2055-06-08T03:02:19.916Z</v>
      </c>
      <c r="L1018" s="3">
        <f ca="1">IFERROR(__xludf.DUMMYFUNCTION("""COMPUTED_VALUE"""),1)</f>
        <v>1</v>
      </c>
      <c r="M1018" s="3">
        <f ca="1">IFERROR(__xludf.DUMMYFUNCTION("""COMPUTED_VALUE"""),0)</f>
        <v>0</v>
      </c>
      <c r="N1018" s="3" t="str">
        <f ca="1">IFERROR(__xludf.DUMMYFUNCTION("""COMPUTED_VALUE"""),"2055-06-08T02:40:01.395132Z")</f>
        <v>2055-06-08T02:40:01.395132Z</v>
      </c>
      <c r="O1018" s="3" t="str">
        <f ca="1">IFERROR(__xludf.DUMMYFUNCTION("""COMPUTED_VALUE"""),"2055-06-08T02:51:06.322535Z")</f>
        <v>2055-06-08T02:51:06.322535Z</v>
      </c>
      <c r="P1018" s="3" t="str">
        <f ca="1">IFERROR(__xludf.DUMMYFUNCTION("""COMPUTED_VALUE"""),"2055-06-08T02:04:07.310414Z")</f>
        <v>2055-06-08T02:04:07.310414Z</v>
      </c>
      <c r="Q1018" s="3">
        <f ca="1">IFERROR(__xludf.DUMMYFUNCTION("""COMPUTED_VALUE"""),0)</f>
        <v>0</v>
      </c>
      <c r="R1018" s="3" t="str">
        <f ca="1">IFERROR(__xludf.DUMMYFUNCTION("""COMPUTED_VALUE"""),"2055-06-08T02:04:11.965396Z")</f>
        <v>2055-06-08T02:04:11.965396Z</v>
      </c>
      <c r="S1018" s="3" t="str">
        <f ca="1">IFERROR(__xludf.DUMMYFUNCTION("""COMPUTED_VALUE"""),"2055-06-08T02:14:49.447319Z")</f>
        <v>2055-06-08T02:14:49.447319Z</v>
      </c>
      <c r="T1018" s="3"/>
      <c r="U1018" s="4">
        <f ca="1">IFERROR(__xludf.DUMMYFUNCTION("""COMPUTED_VALUE"""),56772)</f>
        <v>56772</v>
      </c>
      <c r="V1018" s="3">
        <f ca="1">IFERROR(__xludf.DUMMYFUNCTION("""COMPUTED_VALUE"""),4.2)</f>
        <v>4.2</v>
      </c>
      <c r="W1018" s="3">
        <f ca="1">IFERROR(__xludf.DUMMYFUNCTION("""COMPUTED_VALUE"""),1500)</f>
        <v>1500</v>
      </c>
      <c r="X1018" s="3">
        <f ca="1">IFERROR(__xludf.DUMMYFUNCTION("""COMPUTED_VALUE"""),2815)</f>
        <v>2815</v>
      </c>
      <c r="Y1018" s="3">
        <f ca="1">IFERROR(__xludf.DUMMYFUNCTION("""COMPUTED_VALUE"""),638)</f>
        <v>638</v>
      </c>
      <c r="Z1018" s="3">
        <f ca="1">IFERROR(__xludf.DUMMYFUNCTION("""COMPUTED_VALUE"""),1512)</f>
        <v>1512</v>
      </c>
      <c r="AA1018" s="3">
        <f ca="1">IFERROR(__xludf.DUMMYFUNCTION("""COMPUTED_VALUE"""),665)</f>
        <v>665</v>
      </c>
      <c r="AB1018" s="3">
        <f ca="1">IFERROR(__xludf.DUMMYFUNCTION("""COMPUTED_VALUE"""),0)</f>
        <v>0</v>
      </c>
      <c r="AC1018" s="3">
        <f ca="1">IFERROR(__xludf.DUMMYFUNCTION("""COMPUTED_VALUE"""),1)</f>
        <v>1</v>
      </c>
      <c r="AD1018" s="3" t="str">
        <f ca="1">IFERROR(__xludf.DUMMYFUNCTION("""COMPUTED_VALUE"""),"early")</f>
        <v>early</v>
      </c>
      <c r="AE1018" s="3" t="str">
        <f ca="1">IFERROR(__xludf.DUMMYFUNCTION("""COMPUTED_VALUE"""),"2055-06-07T22:40:01.395132Z")</f>
        <v>2055-06-07T22:40:01.395132Z</v>
      </c>
      <c r="AF1018" s="3" t="str">
        <f ca="1">IFERROR(__xludf.DUMMYFUNCTION("""COMPUTED_VALUE"""),"2055-06-07T22:51:06.322535Z")</f>
        <v>2055-06-07T22:51:06.322535Z</v>
      </c>
      <c r="AG1018" s="3" t="str">
        <f ca="1">IFERROR(__xludf.DUMMYFUNCTION("""COMPUTED_VALUE"""),"2055-06-07T22:04:07.310414Z")</f>
        <v>2055-06-07T22:04:07.310414Z</v>
      </c>
      <c r="AH1018" s="3" t="str">
        <f ca="1">IFERROR(__xludf.DUMMYFUNCTION("""COMPUTED_VALUE"""),"2055-06-07T22:14:49.447319Z")</f>
        <v>2055-06-07T22:14:49.447319Z</v>
      </c>
      <c r="AI1018" s="3">
        <f ca="1">IFERROR(__xludf.DUMMYFUNCTION("""COMPUTED_VALUE"""),4.62)</f>
        <v>4.62</v>
      </c>
      <c r="AJ1018" s="3">
        <f ca="1">IFERROR(__xludf.DUMMYFUNCTION("""COMPUTED_VALUE"""),259)</f>
        <v>259</v>
      </c>
      <c r="AK1018" s="3">
        <f ca="1">IFERROR(__xludf.DUMMYFUNCTION("""COMPUTED_VALUE"""),604)</f>
        <v>604</v>
      </c>
      <c r="AL1018" s="3">
        <f ca="1">IFERROR(__xludf.DUMMYFUNCTION("""COMPUTED_VALUE"""),21)</f>
        <v>21</v>
      </c>
      <c r="AM1018" s="3">
        <f>IFERROR(Raw_Data!AL1018 / Raw_Data!AK1018, "")</f>
        <v>3.4768211920529798E-2</v>
      </c>
      <c r="AN1018" s="3" t="str">
        <f>IF(ISBLANK(Raw_Data!AL1018), "No", "Yes")</f>
        <v>Yes</v>
      </c>
      <c r="AO1018" s="3">
        <f>IFERROR(Raw_Data!Z1018/60, "")</f>
        <v>25.2</v>
      </c>
    </row>
    <row r="1019" spans="1:41" ht="13">
      <c r="A1019" s="3">
        <f ca="1">IFERROR(__xludf.DUMMYFUNCTION("""COMPUTED_VALUE"""),953)</f>
        <v>953</v>
      </c>
      <c r="B1019" s="3"/>
      <c r="C1019" s="3">
        <f ca="1">IFERROR(__xludf.DUMMYFUNCTION("""COMPUTED_VALUE"""),4001)</f>
        <v>4001</v>
      </c>
      <c r="D1019" s="3" t="str">
        <f ca="1">IFERROR(__xludf.DUMMYFUNCTION("""COMPUTED_VALUE"""),"Dashattan")</f>
        <v>Dashattan</v>
      </c>
      <c r="E1019" s="3" t="str">
        <f ca="1">IFERROR(__xludf.DUMMYFUNCTION("""COMPUTED_VALUE"""),"Galaxy A")</f>
        <v>Galaxy A</v>
      </c>
      <c r="F1019" s="3" t="str">
        <f ca="1">IFERROR(__xludf.DUMMYFUNCTION("""COMPUTED_VALUE"""),"KC")</f>
        <v>KC</v>
      </c>
      <c r="G1019" s="3">
        <f ca="1">IFERROR(__xludf.DUMMYFUNCTION("""COMPUTED_VALUE"""),0)</f>
        <v>0</v>
      </c>
      <c r="H1019" s="3" t="str">
        <f ca="1">IFERROR(__xludf.DUMMYFUNCTION("""COMPUTED_VALUE"""),"car")</f>
        <v>car</v>
      </c>
      <c r="I1019" s="3" t="str">
        <f ca="1">IFERROR(__xludf.DUMMYFUNCTION("""COMPUTED_VALUE"""),"2055-06-08T18:06:40.79223Z")</f>
        <v>2055-06-08T18:06:40.79223Z</v>
      </c>
      <c r="J1019" s="3" t="str">
        <f ca="1">IFERROR(__xludf.DUMMYFUNCTION("""COMPUTED_VALUE"""),"2055-06-08T19:38:52.864Z")</f>
        <v>2055-06-08T19:38:52.864Z</v>
      </c>
      <c r="K1019" s="3" t="str">
        <f ca="1">IFERROR(__xludf.DUMMYFUNCTION("""COMPUTED_VALUE"""),"2055-06-08T19:10:39.864Z")</f>
        <v>2055-06-08T19:10:39.864Z</v>
      </c>
      <c r="L1019" s="3">
        <f ca="1">IFERROR(__xludf.DUMMYFUNCTION("""COMPUTED_VALUE"""),1)</f>
        <v>1</v>
      </c>
      <c r="M1019" s="3">
        <f ca="1">IFERROR(__xludf.DUMMYFUNCTION("""COMPUTED_VALUE"""),0)</f>
        <v>0</v>
      </c>
      <c r="N1019" s="3" t="str">
        <f ca="1">IFERROR(__xludf.DUMMYFUNCTION("""COMPUTED_VALUE"""),"2055-06-08T19:24:04.945851Z")</f>
        <v>2055-06-08T19:24:04.945851Z</v>
      </c>
      <c r="O1019" s="3" t="str">
        <f ca="1">IFERROR(__xludf.DUMMYFUNCTION("""COMPUTED_VALUE"""),"2055-06-08T19:36:38.75066Z")</f>
        <v>2055-06-08T19:36:38.75066Z</v>
      </c>
      <c r="P1019" s="3" t="str">
        <f ca="1">IFERROR(__xludf.DUMMYFUNCTION("""COMPUTED_VALUE"""),"2055-06-08T18:42:14.52166Z")</f>
        <v>2055-06-08T18:42:14.52166Z</v>
      </c>
      <c r="Q1019" s="3">
        <f ca="1">IFERROR(__xludf.DUMMYFUNCTION("""COMPUTED_VALUE"""),0)</f>
        <v>0</v>
      </c>
      <c r="R1019" s="3" t="str">
        <f ca="1">IFERROR(__xludf.DUMMYFUNCTION("""COMPUTED_VALUE"""),"2055-06-08T18:42:21.095815Z")</f>
        <v>2055-06-08T18:42:21.095815Z</v>
      </c>
      <c r="S1019" s="3" t="str">
        <f ca="1">IFERROR(__xludf.DUMMYFUNCTION("""COMPUTED_VALUE"""),"2055-06-08T19:22:49.089236Z")</f>
        <v>2055-06-08T19:22:49.089236Z</v>
      </c>
      <c r="T1019" s="3"/>
      <c r="U1019" s="4">
        <f ca="1">IFERROR(__xludf.DUMMYFUNCTION("""COMPUTED_VALUE"""),56773)</f>
        <v>56773</v>
      </c>
      <c r="V1019" s="3">
        <f ca="1">IFERROR(__xludf.DUMMYFUNCTION("""COMPUTED_VALUE"""),4.6)</f>
        <v>4.5999999999999996</v>
      </c>
      <c r="W1019" s="3">
        <f ca="1">IFERROR(__xludf.DUMMYFUNCTION("""COMPUTED_VALUE"""),1500)</f>
        <v>1500</v>
      </c>
      <c r="X1019" s="3">
        <f ca="1">IFERROR(__xludf.DUMMYFUNCTION("""COMPUTED_VALUE"""),3257)</f>
        <v>3257</v>
      </c>
      <c r="Y1019" s="3">
        <f ca="1">IFERROR(__xludf.DUMMYFUNCTION("""COMPUTED_VALUE"""),2428)</f>
        <v>2428</v>
      </c>
      <c r="Z1019" s="3">
        <f ca="1">IFERROR(__xludf.DUMMYFUNCTION("""COMPUTED_VALUE"""),75)</f>
        <v>75</v>
      </c>
      <c r="AA1019" s="3">
        <f ca="1">IFERROR(__xludf.DUMMYFUNCTION("""COMPUTED_VALUE"""),754)</f>
        <v>754</v>
      </c>
      <c r="AB1019" s="3">
        <f ca="1">IFERROR(__xludf.DUMMYFUNCTION("""COMPUTED_VALUE"""),1)</f>
        <v>1</v>
      </c>
      <c r="AC1019" s="3">
        <f ca="1">IFERROR(__xludf.DUMMYFUNCTION("""COMPUTED_VALUE"""),1)</f>
        <v>1</v>
      </c>
      <c r="AD1019" s="3"/>
      <c r="AE1019" s="3" t="str">
        <f ca="1">IFERROR(__xludf.DUMMYFUNCTION("""COMPUTED_VALUE"""),"2055-06-08T15:24:04.945851Z")</f>
        <v>2055-06-08T15:24:04.945851Z</v>
      </c>
      <c r="AF1019" s="3" t="str">
        <f ca="1">IFERROR(__xludf.DUMMYFUNCTION("""COMPUTED_VALUE"""),"2055-06-08T15:36:38.75066Z")</f>
        <v>2055-06-08T15:36:38.75066Z</v>
      </c>
      <c r="AG1019" s="3" t="str">
        <f ca="1">IFERROR(__xludf.DUMMYFUNCTION("""COMPUTED_VALUE"""),"2055-06-08T14:42:14.52166Z")</f>
        <v>2055-06-08T14:42:14.52166Z</v>
      </c>
      <c r="AH1019" s="3" t="str">
        <f ca="1">IFERROR(__xludf.DUMMYFUNCTION("""COMPUTED_VALUE"""),"2055-06-08T15:22:49.089236Z")</f>
        <v>2055-06-08T15:22:49.089236Z</v>
      </c>
      <c r="AI1019" s="3">
        <f ca="1">IFERROR(__xludf.DUMMYFUNCTION("""COMPUTED_VALUE"""),4.54)</f>
        <v>4.54</v>
      </c>
      <c r="AJ1019" s="3">
        <f ca="1">IFERROR(__xludf.DUMMYFUNCTION("""COMPUTED_VALUE"""),2229)</f>
        <v>2229</v>
      </c>
      <c r="AK1019" s="3">
        <f ca="1">IFERROR(__xludf.DUMMYFUNCTION("""COMPUTED_VALUE"""),6580)</f>
        <v>6580</v>
      </c>
      <c r="AL1019" s="3"/>
      <c r="AM1019" s="3">
        <f>IFERROR(Raw_Data!AL1019 / Raw_Data!AK1019, "")</f>
        <v>0</v>
      </c>
      <c r="AN1019" s="3" t="str">
        <f>IF(ISBLANK(Raw_Data!AL1019), "No", "Yes")</f>
        <v>No</v>
      </c>
      <c r="AO1019" s="3">
        <f>IFERROR(Raw_Data!Z1019/60, "")</f>
        <v>1.25</v>
      </c>
    </row>
    <row r="1020" spans="1:41" ht="13">
      <c r="A1020" s="3">
        <f ca="1">IFERROR(__xludf.DUMMYFUNCTION("""COMPUTED_VALUE"""),1579)</f>
        <v>1579</v>
      </c>
      <c r="B1020" s="3"/>
      <c r="C1020" s="3">
        <f ca="1">IFERROR(__xludf.DUMMYFUNCTION("""COMPUTED_VALUE"""),4001)</f>
        <v>4001</v>
      </c>
      <c r="D1020" s="3" t="str">
        <f ca="1">IFERROR(__xludf.DUMMYFUNCTION("""COMPUTED_VALUE"""),"Dashattan")</f>
        <v>Dashattan</v>
      </c>
      <c r="E1020" s="3" t="str">
        <f ca="1">IFERROR(__xludf.DUMMYFUNCTION("""COMPUTED_VALUE"""),"Galaxy A")</f>
        <v>Galaxy A</v>
      </c>
      <c r="F1020" s="3" t="str">
        <f ca="1">IFERROR(__xludf.DUMMYFUNCTION("""COMPUTED_VALUE"""),"KC")</f>
        <v>KC</v>
      </c>
      <c r="G1020" s="3">
        <f ca="1">IFERROR(__xludf.DUMMYFUNCTION("""COMPUTED_VALUE"""),0)</f>
        <v>0</v>
      </c>
      <c r="H1020" s="3" t="str">
        <f ca="1">IFERROR(__xludf.DUMMYFUNCTION("""COMPUTED_VALUE"""),"car")</f>
        <v>car</v>
      </c>
      <c r="I1020" s="3" t="str">
        <f ca="1">IFERROR(__xludf.DUMMYFUNCTION("""COMPUTED_VALUE"""),"2055-06-13T17:25:59.36253Z")</f>
        <v>2055-06-13T17:25:59.36253Z</v>
      </c>
      <c r="J1020" s="3" t="str">
        <f ca="1">IFERROR(__xludf.DUMMYFUNCTION("""COMPUTED_VALUE"""),"2055-06-13T18:16:02.43Z")</f>
        <v>2055-06-13T18:16:02.43Z</v>
      </c>
      <c r="K1020" s="3" t="str">
        <f ca="1">IFERROR(__xludf.DUMMYFUNCTION("""COMPUTED_VALUE"""),"2055-06-13T17:57:09.43Z")</f>
        <v>2055-06-13T17:57:09.43Z</v>
      </c>
      <c r="L1020" s="3">
        <f ca="1">IFERROR(__xludf.DUMMYFUNCTION("""COMPUTED_VALUE"""),1)</f>
        <v>1</v>
      </c>
      <c r="M1020" s="3">
        <f ca="1">IFERROR(__xludf.DUMMYFUNCTION("""COMPUTED_VALUE"""),0)</f>
        <v>0</v>
      </c>
      <c r="N1020" s="3" t="str">
        <f ca="1">IFERROR(__xludf.DUMMYFUNCTION("""COMPUTED_VALUE"""),"2055-06-13T17:42:04.37972Z")</f>
        <v>2055-06-13T17:42:04.37972Z</v>
      </c>
      <c r="O1020" s="3" t="str">
        <f ca="1">IFERROR(__xludf.DUMMYFUNCTION("""COMPUTED_VALUE"""),"2055-06-13T17:54:46.227907Z")</f>
        <v>2055-06-13T17:54:46.227907Z</v>
      </c>
      <c r="P1020" s="3" t="str">
        <f ca="1">IFERROR(__xludf.DUMMYFUNCTION("""COMPUTED_VALUE"""),"2055-06-13T17:30:14.346826Z")</f>
        <v>2055-06-13T17:30:14.346826Z</v>
      </c>
      <c r="Q1020" s="3">
        <f ca="1">IFERROR(__xludf.DUMMYFUNCTION("""COMPUTED_VALUE"""),0)</f>
        <v>0</v>
      </c>
      <c r="R1020" s="3" t="str">
        <f ca="1">IFERROR(__xludf.DUMMYFUNCTION("""COMPUTED_VALUE"""),"2055-06-13T17:30:26.373773Z")</f>
        <v>2055-06-13T17:30:26.373773Z</v>
      </c>
      <c r="S1020" s="3" t="str">
        <f ca="1">IFERROR(__xludf.DUMMYFUNCTION("""COMPUTED_VALUE"""),"2055-06-13T17:34:02.670145Z")</f>
        <v>2055-06-13T17:34:02.670145Z</v>
      </c>
      <c r="T1020" s="3"/>
      <c r="U1020" s="4">
        <f ca="1">IFERROR(__xludf.DUMMYFUNCTION("""COMPUTED_VALUE"""),56778)</f>
        <v>56778</v>
      </c>
      <c r="V1020" s="3">
        <f ca="1">IFERROR(__xludf.DUMMYFUNCTION("""COMPUTED_VALUE"""),4.6)</f>
        <v>4.5999999999999996</v>
      </c>
      <c r="W1020" s="3">
        <f ca="1">IFERROR(__xludf.DUMMYFUNCTION("""COMPUTED_VALUE"""),1500)</f>
        <v>1500</v>
      </c>
      <c r="X1020" s="3">
        <f ca="1">IFERROR(__xludf.DUMMYFUNCTION("""COMPUTED_VALUE"""),1460)</f>
        <v>1460</v>
      </c>
      <c r="Y1020" s="3">
        <f ca="1">IFERROR(__xludf.DUMMYFUNCTION("""COMPUTED_VALUE"""),216)</f>
        <v>216</v>
      </c>
      <c r="Z1020" s="3">
        <f ca="1">IFERROR(__xludf.DUMMYFUNCTION("""COMPUTED_VALUE"""),482)</f>
        <v>482</v>
      </c>
      <c r="AA1020" s="3">
        <f ca="1">IFERROR(__xludf.DUMMYFUNCTION("""COMPUTED_VALUE"""),762)</f>
        <v>762</v>
      </c>
      <c r="AB1020" s="3">
        <f ca="1">IFERROR(__xludf.DUMMYFUNCTION("""COMPUTED_VALUE"""),0)</f>
        <v>0</v>
      </c>
      <c r="AC1020" s="3">
        <f ca="1">IFERROR(__xludf.DUMMYFUNCTION("""COMPUTED_VALUE"""),1)</f>
        <v>1</v>
      </c>
      <c r="AD1020" s="3" t="str">
        <f ca="1">IFERROR(__xludf.DUMMYFUNCTION("""COMPUTED_VALUE"""),"on time")</f>
        <v>on time</v>
      </c>
      <c r="AE1020" s="3" t="str">
        <f ca="1">IFERROR(__xludf.DUMMYFUNCTION("""COMPUTED_VALUE"""),"2055-06-13T13:42:04.37972Z")</f>
        <v>2055-06-13T13:42:04.37972Z</v>
      </c>
      <c r="AF1020" s="3" t="str">
        <f ca="1">IFERROR(__xludf.DUMMYFUNCTION("""COMPUTED_VALUE"""),"2055-06-13T13:54:46.227907Z")</f>
        <v>2055-06-13T13:54:46.227907Z</v>
      </c>
      <c r="AG1020" s="3" t="str">
        <f ca="1">IFERROR(__xludf.DUMMYFUNCTION("""COMPUTED_VALUE"""),"2055-06-13T13:30:14.346826Z")</f>
        <v>2055-06-13T13:30:14.346826Z</v>
      </c>
      <c r="AH1020" s="3" t="str">
        <f ca="1">IFERROR(__xludf.DUMMYFUNCTION("""COMPUTED_VALUE"""),"2055-06-13T13:34:02.670145Z")</f>
        <v>2055-06-13T13:34:02.670145Z</v>
      </c>
      <c r="AI1020" s="3">
        <f ca="1">IFERROR(__xludf.DUMMYFUNCTION("""COMPUTED_VALUE"""),4.54)</f>
        <v>4.54</v>
      </c>
      <c r="AJ1020" s="3">
        <f ca="1">IFERROR(__xludf.DUMMYFUNCTION("""COMPUTED_VALUE"""),2229)</f>
        <v>2229</v>
      </c>
      <c r="AK1020" s="3">
        <f ca="1">IFERROR(__xludf.DUMMYFUNCTION("""COMPUTED_VALUE"""),6580)</f>
        <v>6580</v>
      </c>
      <c r="AL1020" s="3"/>
      <c r="AM1020" s="3">
        <f>IFERROR(Raw_Data!AL1020 / Raw_Data!AK1020, "")</f>
        <v>0</v>
      </c>
      <c r="AN1020" s="3" t="str">
        <f>IF(ISBLANK(Raw_Data!AL1020), "No", "Yes")</f>
        <v>No</v>
      </c>
      <c r="AO1020" s="3">
        <f>IFERROR(Raw_Data!Z1020/60, "")</f>
        <v>8.0333333333333332</v>
      </c>
    </row>
    <row r="1021" spans="1:41" ht="13">
      <c r="A1021" s="3">
        <f ca="1">IFERROR(__xludf.DUMMYFUNCTION("""COMPUTED_VALUE"""),1158)</f>
        <v>1158</v>
      </c>
      <c r="B1021" s="3"/>
      <c r="C1021" s="3">
        <f ca="1">IFERROR(__xludf.DUMMYFUNCTION("""COMPUTED_VALUE"""),4001)</f>
        <v>4001</v>
      </c>
      <c r="D1021" s="3" t="str">
        <f ca="1">IFERROR(__xludf.DUMMYFUNCTION("""COMPUTED_VALUE"""),"Dashattan")</f>
        <v>Dashattan</v>
      </c>
      <c r="E1021" s="3" t="str">
        <f ca="1">IFERROR(__xludf.DUMMYFUNCTION("""COMPUTED_VALUE"""),"Galaxy A")</f>
        <v>Galaxy A</v>
      </c>
      <c r="F1021" s="3" t="str">
        <f ca="1">IFERROR(__xludf.DUMMYFUNCTION("""COMPUTED_VALUE"""),"KC")</f>
        <v>KC</v>
      </c>
      <c r="G1021" s="3">
        <f ca="1">IFERROR(__xludf.DUMMYFUNCTION("""COMPUTED_VALUE"""),0)</f>
        <v>0</v>
      </c>
      <c r="H1021" s="3" t="str">
        <f ca="1">IFERROR(__xludf.DUMMYFUNCTION("""COMPUTED_VALUE"""),"car")</f>
        <v>car</v>
      </c>
      <c r="I1021" s="3" t="str">
        <f ca="1">IFERROR(__xludf.DUMMYFUNCTION("""COMPUTED_VALUE"""),"2055-06-10T19:26:19.941829Z")</f>
        <v>2055-06-10T19:26:19.941829Z</v>
      </c>
      <c r="J1021" s="3" t="str">
        <f ca="1">IFERROR(__xludf.DUMMYFUNCTION("""COMPUTED_VALUE"""),"2055-06-10T20:19:32.995Z")</f>
        <v>2055-06-10T20:19:32.995Z</v>
      </c>
      <c r="K1021" s="3" t="str">
        <f ca="1">IFERROR(__xludf.DUMMYFUNCTION("""COMPUTED_VALUE"""),"2055-06-10T20:10:39.995Z")</f>
        <v>2055-06-10T20:10:39.995Z</v>
      </c>
      <c r="L1021" s="3">
        <f ca="1">IFERROR(__xludf.DUMMYFUNCTION("""COMPUTED_VALUE"""),1)</f>
        <v>1</v>
      </c>
      <c r="M1021" s="3">
        <f ca="1">IFERROR(__xludf.DUMMYFUNCTION("""COMPUTED_VALUE"""),0)</f>
        <v>0</v>
      </c>
      <c r="N1021" s="3" t="str">
        <f ca="1">IFERROR(__xludf.DUMMYFUNCTION("""COMPUTED_VALUE"""),"2055-06-10T19:50:06.955124Z")</f>
        <v>2055-06-10T19:50:06.955124Z</v>
      </c>
      <c r="O1021" s="3" t="str">
        <f ca="1">IFERROR(__xludf.DUMMYFUNCTION("""COMPUTED_VALUE"""),"2055-06-10T20:03:53.761798Z")</f>
        <v>2055-06-10T20:03:53.761798Z</v>
      </c>
      <c r="P1021" s="3" t="str">
        <f ca="1">IFERROR(__xludf.DUMMYFUNCTION("""COMPUTED_VALUE"""),"2055-06-10T19:26:34.219664Z")</f>
        <v>2055-06-10T19:26:34.219664Z</v>
      </c>
      <c r="Q1021" s="3">
        <f ca="1">IFERROR(__xludf.DUMMYFUNCTION("""COMPUTED_VALUE"""),0)</f>
        <v>0</v>
      </c>
      <c r="R1021" s="3" t="str">
        <f ca="1">IFERROR(__xludf.DUMMYFUNCTION("""COMPUTED_VALUE"""),"2055-06-10T19:26:49.445242Z")</f>
        <v>2055-06-10T19:26:49.445242Z</v>
      </c>
      <c r="S1021" s="3" t="str">
        <f ca="1">IFERROR(__xludf.DUMMYFUNCTION("""COMPUTED_VALUE"""),"2055-06-10T19:41:48.400103Z")</f>
        <v>2055-06-10T19:41:48.400103Z</v>
      </c>
      <c r="T1021" s="3"/>
      <c r="U1021" s="4">
        <f ca="1">IFERROR(__xludf.DUMMYFUNCTION("""COMPUTED_VALUE"""),56775)</f>
        <v>56775</v>
      </c>
      <c r="V1021" s="3">
        <f ca="1">IFERROR(__xludf.DUMMYFUNCTION("""COMPUTED_VALUE"""),3.733331346)</f>
        <v>3.7333313459999999</v>
      </c>
      <c r="W1021" s="3">
        <f ca="1">IFERROR(__xludf.DUMMYFUNCTION("""COMPUTED_VALUE"""),1500)</f>
        <v>1500</v>
      </c>
      <c r="X1021" s="3">
        <f ca="1">IFERROR(__xludf.DUMMYFUNCTION("""COMPUTED_VALUE"""),2224)</f>
        <v>2224</v>
      </c>
      <c r="Y1021" s="3">
        <f ca="1">IFERROR(__xludf.DUMMYFUNCTION("""COMPUTED_VALUE"""),899)</f>
        <v>899</v>
      </c>
      <c r="Z1021" s="3">
        <f ca="1">IFERROR(__xludf.DUMMYFUNCTION("""COMPUTED_VALUE"""),498)</f>
        <v>498</v>
      </c>
      <c r="AA1021" s="3">
        <f ca="1">IFERROR(__xludf.DUMMYFUNCTION("""COMPUTED_VALUE"""),827)</f>
        <v>827</v>
      </c>
      <c r="AB1021" s="3">
        <f ca="1">IFERROR(__xludf.DUMMYFUNCTION("""COMPUTED_VALUE"""),0)</f>
        <v>0</v>
      </c>
      <c r="AC1021" s="3">
        <f ca="1">IFERROR(__xludf.DUMMYFUNCTION("""COMPUTED_VALUE"""),2)</f>
        <v>2</v>
      </c>
      <c r="AD1021" s="3" t="str">
        <f ca="1">IFERROR(__xludf.DUMMYFUNCTION("""COMPUTED_VALUE"""),"early")</f>
        <v>early</v>
      </c>
      <c r="AE1021" s="3" t="str">
        <f ca="1">IFERROR(__xludf.DUMMYFUNCTION("""COMPUTED_VALUE"""),"2055-06-10T15:50:06.955124Z")</f>
        <v>2055-06-10T15:50:06.955124Z</v>
      </c>
      <c r="AF1021" s="3" t="str">
        <f ca="1">IFERROR(__xludf.DUMMYFUNCTION("""COMPUTED_VALUE"""),"2055-06-10T16:03:53.761798Z")</f>
        <v>2055-06-10T16:03:53.761798Z</v>
      </c>
      <c r="AG1021" s="3" t="str">
        <f ca="1">IFERROR(__xludf.DUMMYFUNCTION("""COMPUTED_VALUE"""),"2055-06-10T15:26:34.219664Z")</f>
        <v>2055-06-10T15:26:34.219664Z</v>
      </c>
      <c r="AH1021" s="3" t="str">
        <f ca="1">IFERROR(__xludf.DUMMYFUNCTION("""COMPUTED_VALUE"""),"2055-06-10T15:41:48.400103Z")</f>
        <v>2055-06-10T15:41:48.400103Z</v>
      </c>
      <c r="AI1021" s="3">
        <f ca="1">IFERROR(__xludf.DUMMYFUNCTION("""COMPUTED_VALUE"""),4.54)</f>
        <v>4.54</v>
      </c>
      <c r="AJ1021" s="3">
        <f ca="1">IFERROR(__xludf.DUMMYFUNCTION("""COMPUTED_VALUE"""),2229)</f>
        <v>2229</v>
      </c>
      <c r="AK1021" s="3">
        <f ca="1">IFERROR(__xludf.DUMMYFUNCTION("""COMPUTED_VALUE"""),6580)</f>
        <v>6580</v>
      </c>
      <c r="AL1021" s="3"/>
      <c r="AM1021" s="3">
        <f>IFERROR(Raw_Data!AL1021 / Raw_Data!AK1021, "")</f>
        <v>0</v>
      </c>
      <c r="AN1021" s="3" t="str">
        <f>IF(ISBLANK(Raw_Data!AL1021), "No", "Yes")</f>
        <v>No</v>
      </c>
      <c r="AO1021" s="3">
        <f>IFERROR(Raw_Data!Z1021/60, "")</f>
        <v>8.3000000000000007</v>
      </c>
    </row>
    <row r="1022" spans="1:41" ht="13">
      <c r="A1022" s="3">
        <f ca="1">IFERROR(__xludf.DUMMYFUNCTION("""COMPUTED_VALUE"""),687)</f>
        <v>687</v>
      </c>
      <c r="B1022" s="3"/>
      <c r="C1022" s="3">
        <f ca="1">IFERROR(__xludf.DUMMYFUNCTION("""COMPUTED_VALUE"""),4001)</f>
        <v>4001</v>
      </c>
      <c r="D1022" s="3" t="str">
        <f ca="1">IFERROR(__xludf.DUMMYFUNCTION("""COMPUTED_VALUE"""),"Dashattan")</f>
        <v>Dashattan</v>
      </c>
      <c r="E1022" s="3" t="str">
        <f ca="1">IFERROR(__xludf.DUMMYFUNCTION("""COMPUTED_VALUE"""),"Galaxy A")</f>
        <v>Galaxy A</v>
      </c>
      <c r="F1022" s="3" t="str">
        <f ca="1">IFERROR(__xludf.DUMMYFUNCTION("""COMPUTED_VALUE"""),"Arya")</f>
        <v>Arya</v>
      </c>
      <c r="G1022" s="3">
        <f ca="1">IFERROR(__xludf.DUMMYFUNCTION("""COMPUTED_VALUE"""),0)</f>
        <v>0</v>
      </c>
      <c r="H1022" s="3" t="str">
        <f ca="1">IFERROR(__xludf.DUMMYFUNCTION("""COMPUTED_VALUE"""),"bicycle")</f>
        <v>bicycle</v>
      </c>
      <c r="I1022" s="3" t="str">
        <f ca="1">IFERROR(__xludf.DUMMYFUNCTION("""COMPUTED_VALUE"""),"2055-06-05T23:45:58.533376Z")</f>
        <v>2055-06-05T23:45:58.533376Z</v>
      </c>
      <c r="J1022" s="3" t="str">
        <f ca="1">IFERROR(__xludf.DUMMYFUNCTION("""COMPUTED_VALUE"""),"2055-06-06T00:42:36.586Z")</f>
        <v>2055-06-06T00:42:36.586Z</v>
      </c>
      <c r="K1022" s="3" t="str">
        <f ca="1">IFERROR(__xludf.DUMMYFUNCTION("""COMPUTED_VALUE"""),"2055-06-06T00:19:18.586Z")</f>
        <v>2055-06-06T00:19:18.586Z</v>
      </c>
      <c r="L1022" s="3">
        <f ca="1">IFERROR(__xludf.DUMMYFUNCTION("""COMPUTED_VALUE"""),1)</f>
        <v>1</v>
      </c>
      <c r="M1022" s="3">
        <f ca="1">IFERROR(__xludf.DUMMYFUNCTION("""COMPUTED_VALUE"""),0)</f>
        <v>0</v>
      </c>
      <c r="N1022" s="3" t="str">
        <f ca="1">IFERROR(__xludf.DUMMYFUNCTION("""COMPUTED_VALUE"""),"2055-06-05T23:57:32.383404Z")</f>
        <v>2055-06-05T23:57:32.383404Z</v>
      </c>
      <c r="O1022" s="3" t="str">
        <f ca="1">IFERROR(__xludf.DUMMYFUNCTION("""COMPUTED_VALUE"""),"2055-06-06T00:08:07.37066Z")</f>
        <v>2055-06-06T00:08:07.37066Z</v>
      </c>
      <c r="P1022" s="3" t="str">
        <f ca="1">IFERROR(__xludf.DUMMYFUNCTION("""COMPUTED_VALUE"""),"2055-06-05T23:51:18.303421Z")</f>
        <v>2055-06-05T23:51:18.303421Z</v>
      </c>
      <c r="Q1022" s="3">
        <f ca="1">IFERROR(__xludf.DUMMYFUNCTION("""COMPUTED_VALUE"""),0)</f>
        <v>0</v>
      </c>
      <c r="R1022" s="3" t="str">
        <f ca="1">IFERROR(__xludf.DUMMYFUNCTION("""COMPUTED_VALUE"""),"2055-06-05T23:51:36.843059Z")</f>
        <v>2055-06-05T23:51:36.843059Z</v>
      </c>
      <c r="S1022" s="3" t="str">
        <f ca="1">IFERROR(__xludf.DUMMYFUNCTION("""COMPUTED_VALUE"""),"2055-06-05T23:54:51.015506Z")</f>
        <v>2055-06-05T23:54:51.015506Z</v>
      </c>
      <c r="T1022" s="3"/>
      <c r="U1022" s="4">
        <f ca="1">IFERROR(__xludf.DUMMYFUNCTION("""COMPUTED_VALUE"""),56770)</f>
        <v>56770</v>
      </c>
      <c r="V1022" s="3">
        <f ca="1">IFERROR(__xludf.DUMMYFUNCTION("""COMPUTED_VALUE"""),4.6)</f>
        <v>4.5999999999999996</v>
      </c>
      <c r="W1022" s="3">
        <f ca="1">IFERROR(__xludf.DUMMYFUNCTION("""COMPUTED_VALUE"""),1500)</f>
        <v>1500</v>
      </c>
      <c r="X1022" s="3">
        <f ca="1">IFERROR(__xludf.DUMMYFUNCTION("""COMPUTED_VALUE"""),991)</f>
        <v>991</v>
      </c>
      <c r="Y1022" s="3">
        <f ca="1">IFERROR(__xludf.DUMMYFUNCTION("""COMPUTED_VALUE"""),195)</f>
        <v>195</v>
      </c>
      <c r="Z1022" s="3">
        <f ca="1">IFERROR(__xludf.DUMMYFUNCTION("""COMPUTED_VALUE"""),161)</f>
        <v>161</v>
      </c>
      <c r="AA1022" s="3">
        <f ca="1">IFERROR(__xludf.DUMMYFUNCTION("""COMPUTED_VALUE"""),635)</f>
        <v>635</v>
      </c>
      <c r="AB1022" s="3">
        <f ca="1">IFERROR(__xludf.DUMMYFUNCTION("""COMPUTED_VALUE"""),0)</f>
        <v>0</v>
      </c>
      <c r="AC1022" s="3">
        <f ca="1">IFERROR(__xludf.DUMMYFUNCTION("""COMPUTED_VALUE"""),1)</f>
        <v>1</v>
      </c>
      <c r="AD1022" s="3" t="str">
        <f ca="1">IFERROR(__xludf.DUMMYFUNCTION("""COMPUTED_VALUE"""),"on time")</f>
        <v>on time</v>
      </c>
      <c r="AE1022" s="3" t="str">
        <f ca="1">IFERROR(__xludf.DUMMYFUNCTION("""COMPUTED_VALUE"""),"2055-06-05T19:57:32.383404Z")</f>
        <v>2055-06-05T19:57:32.383404Z</v>
      </c>
      <c r="AF1022" s="3" t="str">
        <f ca="1">IFERROR(__xludf.DUMMYFUNCTION("""COMPUTED_VALUE"""),"2055-06-05T20:08:07.37066Z")</f>
        <v>2055-06-05T20:08:07.37066Z</v>
      </c>
      <c r="AG1022" s="3" t="str">
        <f ca="1">IFERROR(__xludf.DUMMYFUNCTION("""COMPUTED_VALUE"""),"2055-06-05T19:51:18.303421Z")</f>
        <v>2055-06-05T19:51:18.303421Z</v>
      </c>
      <c r="AH1022" s="3" t="str">
        <f ca="1">IFERROR(__xludf.DUMMYFUNCTION("""COMPUTED_VALUE"""),"2055-06-05T19:54:51.015506Z")</f>
        <v>2055-06-05T19:54:51.015506Z</v>
      </c>
      <c r="AI1022" s="3">
        <f ca="1">IFERROR(__xludf.DUMMYFUNCTION("""COMPUTED_VALUE"""),4.17)</f>
        <v>4.17</v>
      </c>
      <c r="AJ1022" s="3">
        <f ca="1">IFERROR(__xludf.DUMMYFUNCTION("""COMPUTED_VALUE"""),457)</f>
        <v>457</v>
      </c>
      <c r="AK1022" s="3">
        <f ca="1">IFERROR(__xludf.DUMMYFUNCTION("""COMPUTED_VALUE"""),1599)</f>
        <v>1599</v>
      </c>
      <c r="AL1022" s="3"/>
      <c r="AM1022" s="3">
        <f>IFERROR(Raw_Data!AL1022 / Raw_Data!AK1022, "")</f>
        <v>0</v>
      </c>
      <c r="AN1022" s="3" t="str">
        <f>IF(ISBLANK(Raw_Data!AL1022), "No", "Yes")</f>
        <v>No</v>
      </c>
      <c r="AO1022" s="3">
        <f>IFERROR(Raw_Data!Z1022/60, "")</f>
        <v>2.6833333333333331</v>
      </c>
    </row>
    <row r="1023" spans="1:41" ht="13">
      <c r="A1023" s="3">
        <f ca="1">IFERROR(__xludf.DUMMYFUNCTION("""COMPUTED_VALUE"""),159)</f>
        <v>159</v>
      </c>
      <c r="B1023" s="3">
        <f ca="1">IFERROR(__xludf.DUMMYFUNCTION("""COMPUTED_VALUE"""),5)</f>
        <v>5</v>
      </c>
      <c r="C1023" s="3">
        <f ca="1">IFERROR(__xludf.DUMMYFUNCTION("""COMPUTED_VALUE"""),4050)</f>
        <v>4050</v>
      </c>
      <c r="D1023" s="3" t="str">
        <f ca="1">IFERROR(__xludf.DUMMYFUNCTION("""COMPUTED_VALUE"""),"Doorlanta")</f>
        <v>Doorlanta</v>
      </c>
      <c r="E1023" s="3" t="str">
        <f ca="1">IFERROR(__xludf.DUMMYFUNCTION("""COMPUTED_VALUE"""),"Galaxy A")</f>
        <v>Galaxy A</v>
      </c>
      <c r="F1023" s="3" t="str">
        <f ca="1">IFERROR(__xludf.DUMMYFUNCTION("""COMPUTED_VALUE"""),"Elon")</f>
        <v>Elon</v>
      </c>
      <c r="G1023" s="3">
        <f ca="1">IFERROR(__xludf.DUMMYFUNCTION("""COMPUTED_VALUE"""),0)</f>
        <v>0</v>
      </c>
      <c r="H1023" s="3" t="str">
        <f ca="1">IFERROR(__xludf.DUMMYFUNCTION("""COMPUTED_VALUE"""),"car")</f>
        <v>car</v>
      </c>
      <c r="I1023" s="3" t="str">
        <f ca="1">IFERROR(__xludf.DUMMYFUNCTION("""COMPUTED_VALUE"""),"2055-06-02T19:51:48.136705Z")</f>
        <v>2055-06-02T19:51:48.136705Z</v>
      </c>
      <c r="J1023" s="3" t="str">
        <f ca="1">IFERROR(__xludf.DUMMYFUNCTION("""COMPUTED_VALUE"""),"2055-06-02T20:50:51.216Z")</f>
        <v>2055-06-02T20:50:51.216Z</v>
      </c>
      <c r="K1023" s="3" t="str">
        <f ca="1">IFERROR(__xludf.DUMMYFUNCTION("""COMPUTED_VALUE"""),"2055-06-02T20:31:12.216Z")</f>
        <v>2055-06-02T20:31:12.216Z</v>
      </c>
      <c r="L1023" s="3">
        <f ca="1">IFERROR(__xludf.DUMMYFUNCTION("""COMPUTED_VALUE"""),1)</f>
        <v>1</v>
      </c>
      <c r="M1023" s="3">
        <f ca="1">IFERROR(__xludf.DUMMYFUNCTION("""COMPUTED_VALUE"""),0)</f>
        <v>0</v>
      </c>
      <c r="N1023" s="3" t="str">
        <f ca="1">IFERROR(__xludf.DUMMYFUNCTION("""COMPUTED_VALUE"""),"2055-06-02T20:24:54.11892Z")</f>
        <v>2055-06-02T20:24:54.11892Z</v>
      </c>
      <c r="O1023" s="3" t="str">
        <f ca="1">IFERROR(__xludf.DUMMYFUNCTION("""COMPUTED_VALUE"""),"2055-06-02T20:48:52.675373Z")</f>
        <v>2055-06-02T20:48:52.675373Z</v>
      </c>
      <c r="P1023" s="3" t="str">
        <f ca="1">IFERROR(__xludf.DUMMYFUNCTION("""COMPUTED_VALUE"""),"2055-06-02T19:52:27.289091Z")</f>
        <v>2055-06-02T19:52:27.289091Z</v>
      </c>
      <c r="Q1023" s="3">
        <f ca="1">IFERROR(__xludf.DUMMYFUNCTION("""COMPUTED_VALUE"""),0)</f>
        <v>0</v>
      </c>
      <c r="R1023" s="3" t="str">
        <f ca="1">IFERROR(__xludf.DUMMYFUNCTION("""COMPUTED_VALUE"""),"2055-06-02T19:52:30.088309Z")</f>
        <v>2055-06-02T19:52:30.088309Z</v>
      </c>
      <c r="S1023" s="3"/>
      <c r="T1023" s="3"/>
      <c r="U1023" s="4">
        <f ca="1">IFERROR(__xludf.DUMMYFUNCTION("""COMPUTED_VALUE"""),56767)</f>
        <v>56767</v>
      </c>
      <c r="V1023" s="3">
        <f ca="1">IFERROR(__xludf.DUMMYFUNCTION("""COMPUTED_VALUE"""),4.6)</f>
        <v>4.5999999999999996</v>
      </c>
      <c r="W1023" s="3">
        <f ca="1">IFERROR(__xludf.DUMMYFUNCTION("""COMPUTED_VALUE"""),1500)</f>
        <v>1500</v>
      </c>
      <c r="X1023" s="3">
        <f ca="1">IFERROR(__xludf.DUMMYFUNCTION("""COMPUTED_VALUE"""),3382)</f>
        <v>3382</v>
      </c>
      <c r="Y1023" s="3"/>
      <c r="Z1023" s="3"/>
      <c r="AA1023" s="3">
        <f ca="1">IFERROR(__xludf.DUMMYFUNCTION("""COMPUTED_VALUE"""),1438)</f>
        <v>1438</v>
      </c>
      <c r="AB1023" s="3">
        <f ca="1">IFERROR(__xludf.DUMMYFUNCTION("""COMPUTED_VALUE"""),0)</f>
        <v>0</v>
      </c>
      <c r="AC1023" s="3">
        <f ca="1">IFERROR(__xludf.DUMMYFUNCTION("""COMPUTED_VALUE"""),3)</f>
        <v>3</v>
      </c>
      <c r="AD1023" s="3"/>
      <c r="AE1023" s="3" t="str">
        <f ca="1">IFERROR(__xludf.DUMMYFUNCTION("""COMPUTED_VALUE"""),"2055-06-02T16:24:54.11892Z")</f>
        <v>2055-06-02T16:24:54.11892Z</v>
      </c>
      <c r="AF1023" s="3" t="str">
        <f ca="1">IFERROR(__xludf.DUMMYFUNCTION("""COMPUTED_VALUE"""),"2055-06-02T16:48:52.675373Z")</f>
        <v>2055-06-02T16:48:52.675373Z</v>
      </c>
      <c r="AG1023" s="3" t="str">
        <f ca="1">IFERROR(__xludf.DUMMYFUNCTION("""COMPUTED_VALUE"""),"2055-06-02T15:52:27.289091Z")</f>
        <v>2055-06-02T15:52:27.289091Z</v>
      </c>
      <c r="AH1023" s="3"/>
      <c r="AI1023" s="3">
        <f ca="1">IFERROR(__xludf.DUMMYFUNCTION("""COMPUTED_VALUE"""),4.62)</f>
        <v>4.62</v>
      </c>
      <c r="AJ1023" s="3">
        <f ca="1">IFERROR(__xludf.DUMMYFUNCTION("""COMPUTED_VALUE"""),259)</f>
        <v>259</v>
      </c>
      <c r="AK1023" s="3">
        <f ca="1">IFERROR(__xludf.DUMMYFUNCTION("""COMPUTED_VALUE"""),604)</f>
        <v>604</v>
      </c>
      <c r="AL1023" s="3">
        <f ca="1">IFERROR(__xludf.DUMMYFUNCTION("""COMPUTED_VALUE"""),21)</f>
        <v>21</v>
      </c>
      <c r="AM1023" s="3">
        <f>IFERROR(Raw_Data!AL1023 / Raw_Data!AK1023, "")</f>
        <v>3.4768211920529798E-2</v>
      </c>
      <c r="AN1023" s="3" t="str">
        <f>IF(ISBLANK(Raw_Data!AL1023), "No", "Yes")</f>
        <v>Yes</v>
      </c>
      <c r="AO1023" s="3">
        <f>IFERROR(Raw_Data!Z1023/60, "")</f>
        <v>0</v>
      </c>
    </row>
    <row r="1024" spans="1:41" ht="13">
      <c r="A1024" s="3">
        <f ca="1">IFERROR(__xludf.DUMMYFUNCTION("""COMPUTED_VALUE"""),408)</f>
        <v>408</v>
      </c>
      <c r="B1024" s="3">
        <f ca="1">IFERROR(__xludf.DUMMYFUNCTION("""COMPUTED_VALUE"""),5)</f>
        <v>5</v>
      </c>
      <c r="C1024" s="3">
        <f ca="1">IFERROR(__xludf.DUMMYFUNCTION("""COMPUTED_VALUE"""),4050)</f>
        <v>4050</v>
      </c>
      <c r="D1024" s="3" t="str">
        <f ca="1">IFERROR(__xludf.DUMMYFUNCTION("""COMPUTED_VALUE"""),"Doorlanta")</f>
        <v>Doorlanta</v>
      </c>
      <c r="E1024" s="3" t="str">
        <f ca="1">IFERROR(__xludf.DUMMYFUNCTION("""COMPUTED_VALUE"""),"Galaxy A")</f>
        <v>Galaxy A</v>
      </c>
      <c r="F1024" s="3" t="str">
        <f ca="1">IFERROR(__xludf.DUMMYFUNCTION("""COMPUTED_VALUE"""),"Elon")</f>
        <v>Elon</v>
      </c>
      <c r="G1024" s="3">
        <f ca="1">IFERROR(__xludf.DUMMYFUNCTION("""COMPUTED_VALUE"""),0)</f>
        <v>0</v>
      </c>
      <c r="H1024" s="3" t="str">
        <f ca="1">IFERROR(__xludf.DUMMYFUNCTION("""COMPUTED_VALUE"""),"car")</f>
        <v>car</v>
      </c>
      <c r="I1024" s="3" t="str">
        <f ca="1">IFERROR(__xludf.DUMMYFUNCTION("""COMPUTED_VALUE"""),"2055-06-04T15:51:15.292073Z")</f>
        <v>2055-06-04T15:51:15.292073Z</v>
      </c>
      <c r="J1024" s="3" t="str">
        <f ca="1">IFERROR(__xludf.DUMMYFUNCTION("""COMPUTED_VALUE"""),"2055-06-04T18:15:00Z")</f>
        <v>2055-06-04T18:15:00Z</v>
      </c>
      <c r="K1024" s="3" t="str">
        <f ca="1">IFERROR(__xludf.DUMMYFUNCTION("""COMPUTED_VALUE"""),"2055-06-04T18:15:00Z")</f>
        <v>2055-06-04T18:15:00Z</v>
      </c>
      <c r="L1024" s="3">
        <f ca="1">IFERROR(__xludf.DUMMYFUNCTION("""COMPUTED_VALUE"""),0)</f>
        <v>0</v>
      </c>
      <c r="M1024" s="3">
        <f ca="1">IFERROR(__xludf.DUMMYFUNCTION("""COMPUTED_VALUE"""),0)</f>
        <v>0</v>
      </c>
      <c r="N1024" s="3" t="str">
        <f ca="1">IFERROR(__xludf.DUMMYFUNCTION("""COMPUTED_VALUE"""),"2055-06-04T17:29:02.134253Z")</f>
        <v>2055-06-04T17:29:02.134253Z</v>
      </c>
      <c r="O1024" s="3" t="str">
        <f ca="1">IFERROR(__xludf.DUMMYFUNCTION("""COMPUTED_VALUE"""),"2055-06-04T17:41:43.385159Z")</f>
        <v>2055-06-04T17:41:43.385159Z</v>
      </c>
      <c r="P1024" s="3" t="str">
        <f ca="1">IFERROR(__xludf.DUMMYFUNCTION("""COMPUTED_VALUE"""),"2055-06-04T17:15:07.247205Z")</f>
        <v>2055-06-04T17:15:07.247205Z</v>
      </c>
      <c r="Q1024" s="3">
        <f ca="1">IFERROR(__xludf.DUMMYFUNCTION("""COMPUTED_VALUE"""),0)</f>
        <v>0</v>
      </c>
      <c r="R1024" s="3" t="str">
        <f ca="1">IFERROR(__xludf.DUMMYFUNCTION("""COMPUTED_VALUE"""),"2055-06-04T17:15:17.065564Z")</f>
        <v>2055-06-04T17:15:17.065564Z</v>
      </c>
      <c r="S1024" s="3"/>
      <c r="T1024" s="3"/>
      <c r="U1024" s="4">
        <f ca="1">IFERROR(__xludf.DUMMYFUNCTION("""COMPUTED_VALUE"""),56769)</f>
        <v>56769</v>
      </c>
      <c r="V1024" s="3">
        <f ca="1">IFERROR(__xludf.DUMMYFUNCTION("""COMPUTED_VALUE"""),4.6)</f>
        <v>4.5999999999999996</v>
      </c>
      <c r="W1024" s="3">
        <f ca="1">IFERROR(__xludf.DUMMYFUNCTION("""COMPUTED_VALUE"""),1500)</f>
        <v>1500</v>
      </c>
      <c r="X1024" s="3">
        <f ca="1">IFERROR(__xludf.DUMMYFUNCTION("""COMPUTED_VALUE"""),1586)</f>
        <v>1586</v>
      </c>
      <c r="Y1024" s="3"/>
      <c r="Z1024" s="3"/>
      <c r="AA1024" s="3">
        <f ca="1">IFERROR(__xludf.DUMMYFUNCTION("""COMPUTED_VALUE"""),761)</f>
        <v>761</v>
      </c>
      <c r="AB1024" s="3">
        <f ca="1">IFERROR(__xludf.DUMMYFUNCTION("""COMPUTED_VALUE"""),0)</f>
        <v>0</v>
      </c>
      <c r="AC1024" s="3">
        <f ca="1">IFERROR(__xludf.DUMMYFUNCTION("""COMPUTED_VALUE"""),3)</f>
        <v>3</v>
      </c>
      <c r="AD1024" s="3"/>
      <c r="AE1024" s="3" t="str">
        <f ca="1">IFERROR(__xludf.DUMMYFUNCTION("""COMPUTED_VALUE"""),"2055-06-04T13:29:02.134253Z")</f>
        <v>2055-06-04T13:29:02.134253Z</v>
      </c>
      <c r="AF1024" s="3" t="str">
        <f ca="1">IFERROR(__xludf.DUMMYFUNCTION("""COMPUTED_VALUE"""),"2055-06-04T13:41:43.385159Z")</f>
        <v>2055-06-04T13:41:43.385159Z</v>
      </c>
      <c r="AG1024" s="3" t="str">
        <f ca="1">IFERROR(__xludf.DUMMYFUNCTION("""COMPUTED_VALUE"""),"2055-06-04T13:15:07.247205Z")</f>
        <v>2055-06-04T13:15:07.247205Z</v>
      </c>
      <c r="AH1024" s="3"/>
      <c r="AI1024" s="3">
        <f ca="1">IFERROR(__xludf.DUMMYFUNCTION("""COMPUTED_VALUE"""),4.62)</f>
        <v>4.62</v>
      </c>
      <c r="AJ1024" s="3">
        <f ca="1">IFERROR(__xludf.DUMMYFUNCTION("""COMPUTED_VALUE"""),259)</f>
        <v>259</v>
      </c>
      <c r="AK1024" s="3">
        <f ca="1">IFERROR(__xludf.DUMMYFUNCTION("""COMPUTED_VALUE"""),604)</f>
        <v>604</v>
      </c>
      <c r="AL1024" s="3">
        <f ca="1">IFERROR(__xludf.DUMMYFUNCTION("""COMPUTED_VALUE"""),21)</f>
        <v>21</v>
      </c>
      <c r="AM1024" s="3">
        <f>IFERROR(Raw_Data!AL1024 / Raw_Data!AK1024, "")</f>
        <v>3.4768211920529798E-2</v>
      </c>
      <c r="AN1024" s="3" t="str">
        <f>IF(ISBLANK(Raw_Data!AL1024), "No", "Yes")</f>
        <v>Yes</v>
      </c>
      <c r="AO1024" s="3">
        <f>IFERROR(Raw_Data!Z1024/60, "")</f>
        <v>0</v>
      </c>
    </row>
    <row r="1025" spans="1:41" ht="13">
      <c r="A1025" s="3">
        <f ca="1">IFERROR(__xludf.DUMMYFUNCTION("""COMPUTED_VALUE"""),749)</f>
        <v>749</v>
      </c>
      <c r="B1025" s="3"/>
      <c r="C1025" s="3">
        <f ca="1">IFERROR(__xludf.DUMMYFUNCTION("""COMPUTED_VALUE"""),4001)</f>
        <v>4001</v>
      </c>
      <c r="D1025" s="3" t="str">
        <f ca="1">IFERROR(__xludf.DUMMYFUNCTION("""COMPUTED_VALUE"""),"Dashattan")</f>
        <v>Dashattan</v>
      </c>
      <c r="E1025" s="3" t="str">
        <f ca="1">IFERROR(__xludf.DUMMYFUNCTION("""COMPUTED_VALUE"""),"Galaxy A")</f>
        <v>Galaxy A</v>
      </c>
      <c r="F1025" s="3" t="str">
        <f ca="1">IFERROR(__xludf.DUMMYFUNCTION("""COMPUTED_VALUE"""),"Sean")</f>
        <v>Sean</v>
      </c>
      <c r="G1025" s="3">
        <f ca="1">IFERROR(__xludf.DUMMYFUNCTION("""COMPUTED_VALUE"""),0)</f>
        <v>0</v>
      </c>
      <c r="H1025" s="3" t="str">
        <f ca="1">IFERROR(__xludf.DUMMYFUNCTION("""COMPUTED_VALUE"""),"bicycle")</f>
        <v>bicycle</v>
      </c>
      <c r="I1025" s="3" t="str">
        <f ca="1">IFERROR(__xludf.DUMMYFUNCTION("""COMPUTED_VALUE"""),"2055-06-06T17:26:49.949217Z")</f>
        <v>2055-06-06T17:26:49.949217Z</v>
      </c>
      <c r="J1025" s="3" t="str">
        <f ca="1">IFERROR(__xludf.DUMMYFUNCTION("""COMPUTED_VALUE"""),"2055-06-06T18:41:21.016Z")</f>
        <v>2055-06-06T18:41:21.016Z</v>
      </c>
      <c r="K1025" s="3" t="str">
        <f ca="1">IFERROR(__xludf.DUMMYFUNCTION("""COMPUTED_VALUE"""),"2055-06-06T18:21:14.016Z")</f>
        <v>2055-06-06T18:21:14.016Z</v>
      </c>
      <c r="L1025" s="3">
        <f ca="1">IFERROR(__xludf.DUMMYFUNCTION("""COMPUTED_VALUE"""),1)</f>
        <v>1</v>
      </c>
      <c r="M1025" s="3">
        <f ca="1">IFERROR(__xludf.DUMMYFUNCTION("""COMPUTED_VALUE"""),0)</f>
        <v>0</v>
      </c>
      <c r="N1025" s="3" t="str">
        <f ca="1">IFERROR(__xludf.DUMMYFUNCTION("""COMPUTED_VALUE"""),"2055-06-06T18:02:18.985313Z")</f>
        <v>2055-06-06T18:02:18.985313Z</v>
      </c>
      <c r="O1025" s="3" t="str">
        <f ca="1">IFERROR(__xludf.DUMMYFUNCTION("""COMPUTED_VALUE"""),"2055-06-06T18:13:32.622454Z")</f>
        <v>2055-06-06T18:13:32.622454Z</v>
      </c>
      <c r="P1025" s="3" t="str">
        <f ca="1">IFERROR(__xludf.DUMMYFUNCTION("""COMPUTED_VALUE"""),"2055-06-06T17:40:54.193927Z")</f>
        <v>2055-06-06T17:40:54.193927Z</v>
      </c>
      <c r="Q1025" s="3">
        <f ca="1">IFERROR(__xludf.DUMMYFUNCTION("""COMPUTED_VALUE"""),0)</f>
        <v>0</v>
      </c>
      <c r="R1025" s="3" t="str">
        <f ca="1">IFERROR(__xludf.DUMMYFUNCTION("""COMPUTED_VALUE"""),"2055-06-06T17:41:39.28597Z")</f>
        <v>2055-06-06T17:41:39.28597Z</v>
      </c>
      <c r="S1025" s="3" t="str">
        <f ca="1">IFERROR(__xludf.DUMMYFUNCTION("""COMPUTED_VALUE"""),"2055-06-06T17:52:57.521993Z")</f>
        <v>2055-06-06T17:52:57.521993Z</v>
      </c>
      <c r="T1025" s="3"/>
      <c r="U1025" s="4">
        <f ca="1">IFERROR(__xludf.DUMMYFUNCTION("""COMPUTED_VALUE"""),56771)</f>
        <v>56771</v>
      </c>
      <c r="V1025" s="3">
        <f ca="1">IFERROR(__xludf.DUMMYFUNCTION("""COMPUTED_VALUE"""),4.4)</f>
        <v>4.4000000000000004</v>
      </c>
      <c r="W1025" s="3">
        <f ca="1">IFERROR(__xludf.DUMMYFUNCTION("""COMPUTED_VALUE"""),1500)</f>
        <v>1500</v>
      </c>
      <c r="X1025" s="3">
        <f ca="1">IFERROR(__xludf.DUMMYFUNCTION("""COMPUTED_VALUE"""),1913)</f>
        <v>1913</v>
      </c>
      <c r="Y1025" s="3">
        <f ca="1">IFERROR(__xludf.DUMMYFUNCTION("""COMPUTED_VALUE"""),678)</f>
        <v>678</v>
      </c>
      <c r="Z1025" s="3">
        <f ca="1">IFERROR(__xludf.DUMMYFUNCTION("""COMPUTED_VALUE"""),561)</f>
        <v>561</v>
      </c>
      <c r="AA1025" s="3">
        <f ca="1">IFERROR(__xludf.DUMMYFUNCTION("""COMPUTED_VALUE"""),674)</f>
        <v>674</v>
      </c>
      <c r="AB1025" s="3">
        <f ca="1">IFERROR(__xludf.DUMMYFUNCTION("""COMPUTED_VALUE"""),0)</f>
        <v>0</v>
      </c>
      <c r="AC1025" s="3">
        <f ca="1">IFERROR(__xludf.DUMMYFUNCTION("""COMPUTED_VALUE"""),1)</f>
        <v>1</v>
      </c>
      <c r="AD1025" s="3" t="str">
        <f ca="1">IFERROR(__xludf.DUMMYFUNCTION("""COMPUTED_VALUE"""),"early")</f>
        <v>early</v>
      </c>
      <c r="AE1025" s="3" t="str">
        <f ca="1">IFERROR(__xludf.DUMMYFUNCTION("""COMPUTED_VALUE"""),"2055-06-06T14:02:18.985313Z")</f>
        <v>2055-06-06T14:02:18.985313Z</v>
      </c>
      <c r="AF1025" s="3" t="str">
        <f ca="1">IFERROR(__xludf.DUMMYFUNCTION("""COMPUTED_VALUE"""),"2055-06-06T14:13:32.622454Z")</f>
        <v>2055-06-06T14:13:32.622454Z</v>
      </c>
      <c r="AG1025" s="3" t="str">
        <f ca="1">IFERROR(__xludf.DUMMYFUNCTION("""COMPUTED_VALUE"""),"2055-06-06T13:40:54.193927Z")</f>
        <v>2055-06-06T13:40:54.193927Z</v>
      </c>
      <c r="AH1025" s="3" t="str">
        <f ca="1">IFERROR(__xludf.DUMMYFUNCTION("""COMPUTED_VALUE"""),"2055-06-06T13:52:57.521993Z")</f>
        <v>2055-06-06T13:52:57.521993Z</v>
      </c>
      <c r="AI1025" s="3">
        <f ca="1">IFERROR(__xludf.DUMMYFUNCTION("""COMPUTED_VALUE"""),4.52)</f>
        <v>4.5199999999999996</v>
      </c>
      <c r="AJ1025" s="3">
        <f ca="1">IFERROR(__xludf.DUMMYFUNCTION("""COMPUTED_VALUE"""),183)</f>
        <v>183</v>
      </c>
      <c r="AK1025" s="3">
        <f ca="1">IFERROR(__xludf.DUMMYFUNCTION("""COMPUTED_VALUE"""),522)</f>
        <v>522</v>
      </c>
      <c r="AL1025" s="3"/>
      <c r="AM1025" s="3">
        <f>IFERROR(Raw_Data!AL1025 / Raw_Data!AK1025, "")</f>
        <v>0</v>
      </c>
      <c r="AN1025" s="3" t="str">
        <f>IF(ISBLANK(Raw_Data!AL1025), "No", "Yes")</f>
        <v>No</v>
      </c>
      <c r="AO1025" s="3">
        <f>IFERROR(Raw_Data!Z1025/60, "")</f>
        <v>9.35</v>
      </c>
    </row>
    <row r="1026" spans="1:41" ht="13">
      <c r="A1026" s="3">
        <f ca="1">IFERROR(__xludf.DUMMYFUNCTION("""COMPUTED_VALUE"""),156)</f>
        <v>156</v>
      </c>
      <c r="B1026" s="3"/>
      <c r="C1026" s="3">
        <f ca="1">IFERROR(__xludf.DUMMYFUNCTION("""COMPUTED_VALUE"""),4050)</f>
        <v>4050</v>
      </c>
      <c r="D1026" s="3" t="str">
        <f ca="1">IFERROR(__xludf.DUMMYFUNCTION("""COMPUTED_VALUE"""),"Doorlanta")</f>
        <v>Doorlanta</v>
      </c>
      <c r="E1026" s="3" t="str">
        <f ca="1">IFERROR(__xludf.DUMMYFUNCTION("""COMPUTED_VALUE"""),"Galaxy A")</f>
        <v>Galaxy A</v>
      </c>
      <c r="F1026" s="3" t="str">
        <f ca="1">IFERROR(__xludf.DUMMYFUNCTION("""COMPUTED_VALUE"""),"Elon")</f>
        <v>Elon</v>
      </c>
      <c r="G1026" s="3">
        <f ca="1">IFERROR(__xludf.DUMMYFUNCTION("""COMPUTED_VALUE"""),0)</f>
        <v>0</v>
      </c>
      <c r="H1026" s="3" t="str">
        <f ca="1">IFERROR(__xludf.DUMMYFUNCTION("""COMPUTED_VALUE"""),"car")</f>
        <v>car</v>
      </c>
      <c r="I1026" s="3" t="str">
        <f ca="1">IFERROR(__xludf.DUMMYFUNCTION("""COMPUTED_VALUE"""),"2055-06-02T19:31:51.787405Z")</f>
        <v>2055-06-02T19:31:51.787405Z</v>
      </c>
      <c r="J1026" s="3" t="str">
        <f ca="1">IFERROR(__xludf.DUMMYFUNCTION("""COMPUTED_VALUE"""),"2055-06-02T20:29:50.87Z")</f>
        <v>2055-06-02T20:29:50.87Z</v>
      </c>
      <c r="K1026" s="3" t="str">
        <f ca="1">IFERROR(__xludf.DUMMYFUNCTION("""COMPUTED_VALUE"""),"2055-06-02T20:10:57.87Z")</f>
        <v>2055-06-02T20:10:57.87Z</v>
      </c>
      <c r="L1026" s="3">
        <f ca="1">IFERROR(__xludf.DUMMYFUNCTION("""COMPUTED_VALUE"""),1)</f>
        <v>1</v>
      </c>
      <c r="M1026" s="3">
        <f ca="1">IFERROR(__xludf.DUMMYFUNCTION("""COMPUTED_VALUE"""),0)</f>
        <v>0</v>
      </c>
      <c r="N1026" s="3" t="str">
        <f ca="1">IFERROR(__xludf.DUMMYFUNCTION("""COMPUTED_VALUE"""),"2055-06-02T19:46:12.949381Z")</f>
        <v>2055-06-02T19:46:12.949381Z</v>
      </c>
      <c r="O1026" s="3" t="str">
        <f ca="1">IFERROR(__xludf.DUMMYFUNCTION("""COMPUTED_VALUE"""),"2055-06-02T19:52:08.763405Z")</f>
        <v>2055-06-02T19:52:08.763405Z</v>
      </c>
      <c r="P1026" s="3" t="str">
        <f ca="1">IFERROR(__xludf.DUMMYFUNCTION("""COMPUTED_VALUE"""),"2055-06-02T19:32:07.294129Z")</f>
        <v>2055-06-02T19:32:07.294129Z</v>
      </c>
      <c r="Q1026" s="3">
        <f ca="1">IFERROR(__xludf.DUMMYFUNCTION("""COMPUTED_VALUE"""),0)</f>
        <v>0</v>
      </c>
      <c r="R1026" s="3" t="str">
        <f ca="1">IFERROR(__xludf.DUMMYFUNCTION("""COMPUTED_VALUE"""),"2055-06-02T19:32:16.44665Z")</f>
        <v>2055-06-02T19:32:16.44665Z</v>
      </c>
      <c r="S1026" s="3" t="str">
        <f ca="1">IFERROR(__xludf.DUMMYFUNCTION("""COMPUTED_VALUE"""),"2055-06-02T19:39:11.999898Z")</f>
        <v>2055-06-02T19:39:11.999898Z</v>
      </c>
      <c r="T1026" s="3"/>
      <c r="U1026" s="4">
        <f ca="1">IFERROR(__xludf.DUMMYFUNCTION("""COMPUTED_VALUE"""),56767)</f>
        <v>56767</v>
      </c>
      <c r="V1026" s="3">
        <f ca="1">IFERROR(__xludf.DUMMYFUNCTION("""COMPUTED_VALUE"""),3.389966937)</f>
        <v>3.3899669370000001</v>
      </c>
      <c r="W1026" s="3">
        <f ca="1">IFERROR(__xludf.DUMMYFUNCTION("""COMPUTED_VALUE"""),1500)</f>
        <v>1500</v>
      </c>
      <c r="X1026" s="3">
        <f ca="1">IFERROR(__xludf.DUMMYFUNCTION("""COMPUTED_VALUE"""),1192)</f>
        <v>1192</v>
      </c>
      <c r="Y1026" s="3">
        <f ca="1">IFERROR(__xludf.DUMMYFUNCTION("""COMPUTED_VALUE"""),415)</f>
        <v>415</v>
      </c>
      <c r="Z1026" s="3">
        <f ca="1">IFERROR(__xludf.DUMMYFUNCTION("""COMPUTED_VALUE"""),421)</f>
        <v>421</v>
      </c>
      <c r="AA1026" s="3">
        <f ca="1">IFERROR(__xludf.DUMMYFUNCTION("""COMPUTED_VALUE"""),356)</f>
        <v>356</v>
      </c>
      <c r="AB1026" s="3">
        <f ca="1">IFERROR(__xludf.DUMMYFUNCTION("""COMPUTED_VALUE"""),0)</f>
        <v>0</v>
      </c>
      <c r="AC1026" s="3">
        <f ca="1">IFERROR(__xludf.DUMMYFUNCTION("""COMPUTED_VALUE"""),3)</f>
        <v>3</v>
      </c>
      <c r="AD1026" s="3" t="str">
        <f ca="1">IFERROR(__xludf.DUMMYFUNCTION("""COMPUTED_VALUE"""),"early")</f>
        <v>early</v>
      </c>
      <c r="AE1026" s="3" t="str">
        <f ca="1">IFERROR(__xludf.DUMMYFUNCTION("""COMPUTED_VALUE"""),"2055-06-02T15:46:12.949381Z")</f>
        <v>2055-06-02T15:46:12.949381Z</v>
      </c>
      <c r="AF1026" s="3" t="str">
        <f ca="1">IFERROR(__xludf.DUMMYFUNCTION("""COMPUTED_VALUE"""),"2055-06-02T15:52:08.763405Z")</f>
        <v>2055-06-02T15:52:08.763405Z</v>
      </c>
      <c r="AG1026" s="3" t="str">
        <f ca="1">IFERROR(__xludf.DUMMYFUNCTION("""COMPUTED_VALUE"""),"2055-06-02T15:32:07.294129Z")</f>
        <v>2055-06-02T15:32:07.294129Z</v>
      </c>
      <c r="AH1026" s="3" t="str">
        <f ca="1">IFERROR(__xludf.DUMMYFUNCTION("""COMPUTED_VALUE"""),"2055-06-02T15:39:11.999898Z")</f>
        <v>2055-06-02T15:39:11.999898Z</v>
      </c>
      <c r="AI1026" s="3">
        <f ca="1">IFERROR(__xludf.DUMMYFUNCTION("""COMPUTED_VALUE"""),4.62)</f>
        <v>4.62</v>
      </c>
      <c r="AJ1026" s="3">
        <f ca="1">IFERROR(__xludf.DUMMYFUNCTION("""COMPUTED_VALUE"""),259)</f>
        <v>259</v>
      </c>
      <c r="AK1026" s="3">
        <f ca="1">IFERROR(__xludf.DUMMYFUNCTION("""COMPUTED_VALUE"""),604)</f>
        <v>604</v>
      </c>
      <c r="AL1026" s="3">
        <f ca="1">IFERROR(__xludf.DUMMYFUNCTION("""COMPUTED_VALUE"""),21)</f>
        <v>21</v>
      </c>
      <c r="AM1026" s="3">
        <f>IFERROR(Raw_Data!AL1026 / Raw_Data!AK1026, "")</f>
        <v>3.4768211920529798E-2</v>
      </c>
      <c r="AN1026" s="3" t="str">
        <f>IF(ISBLANK(Raw_Data!AL1026), "No", "Yes")</f>
        <v>Yes</v>
      </c>
      <c r="AO1026" s="3">
        <f>IFERROR(Raw_Data!Z1026/60, "")</f>
        <v>7.0166666666666666</v>
      </c>
    </row>
    <row r="1027" spans="1:41" ht="13">
      <c r="A1027" s="3">
        <f ca="1">IFERROR(__xludf.DUMMYFUNCTION("""COMPUTED_VALUE"""),299)</f>
        <v>299</v>
      </c>
      <c r="B1027" s="3">
        <f ca="1">IFERROR(__xludf.DUMMYFUNCTION("""COMPUTED_VALUE"""),5)</f>
        <v>5</v>
      </c>
      <c r="C1027" s="3">
        <f ca="1">IFERROR(__xludf.DUMMYFUNCTION("""COMPUTED_VALUE"""),4001)</f>
        <v>4001</v>
      </c>
      <c r="D1027" s="3" t="str">
        <f ca="1">IFERROR(__xludf.DUMMYFUNCTION("""COMPUTED_VALUE"""),"Dashattan")</f>
        <v>Dashattan</v>
      </c>
      <c r="E1027" s="3" t="str">
        <f ca="1">IFERROR(__xludf.DUMMYFUNCTION("""COMPUTED_VALUE"""),"Galaxy A")</f>
        <v>Galaxy A</v>
      </c>
      <c r="F1027" s="3" t="str">
        <f ca="1">IFERROR(__xludf.DUMMYFUNCTION("""COMPUTED_VALUE"""),"KC")</f>
        <v>KC</v>
      </c>
      <c r="G1027" s="3">
        <f ca="1">IFERROR(__xludf.DUMMYFUNCTION("""COMPUTED_VALUE"""),0)</f>
        <v>0</v>
      </c>
      <c r="H1027" s="3" t="str">
        <f ca="1">IFERROR(__xludf.DUMMYFUNCTION("""COMPUTED_VALUE"""),"car")</f>
        <v>car</v>
      </c>
      <c r="I1027" s="3" t="str">
        <f ca="1">IFERROR(__xludf.DUMMYFUNCTION("""COMPUTED_VALUE"""),"2055-06-03T17:31:34.538635Z")</f>
        <v>2055-06-03T17:31:34.538635Z</v>
      </c>
      <c r="J1027" s="3" t="str">
        <f ca="1">IFERROR(__xludf.DUMMYFUNCTION("""COMPUTED_VALUE"""),"2055-06-03T18:34:06.592Z")</f>
        <v>2055-06-03T18:34:06.592Z</v>
      </c>
      <c r="K1027" s="3" t="str">
        <f ca="1">IFERROR(__xludf.DUMMYFUNCTION("""COMPUTED_VALUE"""),"2055-06-03T18:14:27.592Z")</f>
        <v>2055-06-03T18:14:27.592Z</v>
      </c>
      <c r="L1027" s="3">
        <f ca="1">IFERROR(__xludf.DUMMYFUNCTION("""COMPUTED_VALUE"""),1)</f>
        <v>1</v>
      </c>
      <c r="M1027" s="3">
        <f ca="1">IFERROR(__xludf.DUMMYFUNCTION("""COMPUTED_VALUE"""),0)</f>
        <v>0</v>
      </c>
      <c r="N1027" s="3" t="str">
        <f ca="1">IFERROR(__xludf.DUMMYFUNCTION("""COMPUTED_VALUE"""),"2055-06-03T17:55:29.436936Z")</f>
        <v>2055-06-03T17:55:29.436936Z</v>
      </c>
      <c r="O1027" s="3" t="str">
        <f ca="1">IFERROR(__xludf.DUMMYFUNCTION("""COMPUTED_VALUE"""),"2055-06-03T18:09:05.109613Z")</f>
        <v>2055-06-03T18:09:05.109613Z</v>
      </c>
      <c r="P1027" s="3" t="str">
        <f ca="1">IFERROR(__xludf.DUMMYFUNCTION("""COMPUTED_VALUE"""),"2055-06-03T17:36:54.381877Z")</f>
        <v>2055-06-03T17:36:54.381877Z</v>
      </c>
      <c r="Q1027" s="3">
        <f ca="1">IFERROR(__xludf.DUMMYFUNCTION("""COMPUTED_VALUE"""),0)</f>
        <v>0</v>
      </c>
      <c r="R1027" s="3" t="str">
        <f ca="1">IFERROR(__xludf.DUMMYFUNCTION("""COMPUTED_VALUE"""),"2055-06-03T17:37:06.772652Z")</f>
        <v>2055-06-03T17:37:06.772652Z</v>
      </c>
      <c r="S1027" s="3" t="str">
        <f ca="1">IFERROR(__xludf.DUMMYFUNCTION("""COMPUTED_VALUE"""),"2055-06-03T17:53:52.546667Z")</f>
        <v>2055-06-03T17:53:52.546667Z</v>
      </c>
      <c r="T1027" s="3"/>
      <c r="U1027" s="4">
        <f ca="1">IFERROR(__xludf.DUMMYFUNCTION("""COMPUTED_VALUE"""),56768)</f>
        <v>56768</v>
      </c>
      <c r="V1027" s="3">
        <f ca="1">IFERROR(__xludf.DUMMYFUNCTION("""COMPUTED_VALUE"""),3.897026173)</f>
        <v>3.897026173</v>
      </c>
      <c r="W1027" s="3">
        <f ca="1">IFERROR(__xludf.DUMMYFUNCTION("""COMPUTED_VALUE"""),1000)</f>
        <v>1000</v>
      </c>
      <c r="X1027" s="3">
        <f ca="1">IFERROR(__xludf.DUMMYFUNCTION("""COMPUTED_VALUE"""),1919)</f>
        <v>1919</v>
      </c>
      <c r="Y1027" s="3">
        <f ca="1">IFERROR(__xludf.DUMMYFUNCTION("""COMPUTED_VALUE"""),1006)</f>
        <v>1006</v>
      </c>
      <c r="Z1027" s="3">
        <f ca="1">IFERROR(__xludf.DUMMYFUNCTION("""COMPUTED_VALUE"""),97)</f>
        <v>97</v>
      </c>
      <c r="AA1027" s="3">
        <f ca="1">IFERROR(__xludf.DUMMYFUNCTION("""COMPUTED_VALUE"""),816)</f>
        <v>816</v>
      </c>
      <c r="AB1027" s="3">
        <f ca="1">IFERROR(__xludf.DUMMYFUNCTION("""COMPUTED_VALUE"""),0)</f>
        <v>0</v>
      </c>
      <c r="AC1027" s="3">
        <f ca="1">IFERROR(__xludf.DUMMYFUNCTION("""COMPUTED_VALUE"""),1)</f>
        <v>1</v>
      </c>
      <c r="AD1027" s="3" t="str">
        <f ca="1">IFERROR(__xludf.DUMMYFUNCTION("""COMPUTED_VALUE"""),"late")</f>
        <v>late</v>
      </c>
      <c r="AE1027" s="3" t="str">
        <f ca="1">IFERROR(__xludf.DUMMYFUNCTION("""COMPUTED_VALUE"""),"2055-06-03T13:55:29.436936Z")</f>
        <v>2055-06-03T13:55:29.436936Z</v>
      </c>
      <c r="AF1027" s="3" t="str">
        <f ca="1">IFERROR(__xludf.DUMMYFUNCTION("""COMPUTED_VALUE"""),"2055-06-03T14:09:05.109613Z")</f>
        <v>2055-06-03T14:09:05.109613Z</v>
      </c>
      <c r="AG1027" s="3" t="str">
        <f ca="1">IFERROR(__xludf.DUMMYFUNCTION("""COMPUTED_VALUE"""),"2055-06-03T13:36:54.381877Z")</f>
        <v>2055-06-03T13:36:54.381877Z</v>
      </c>
      <c r="AH1027" s="3" t="str">
        <f ca="1">IFERROR(__xludf.DUMMYFUNCTION("""COMPUTED_VALUE"""),"2055-06-03T13:53:52.546667Z")</f>
        <v>2055-06-03T13:53:52.546667Z</v>
      </c>
      <c r="AI1027" s="3">
        <f ca="1">IFERROR(__xludf.DUMMYFUNCTION("""COMPUTED_VALUE"""),4.54)</f>
        <v>4.54</v>
      </c>
      <c r="AJ1027" s="3">
        <f ca="1">IFERROR(__xludf.DUMMYFUNCTION("""COMPUTED_VALUE"""),2229)</f>
        <v>2229</v>
      </c>
      <c r="AK1027" s="3">
        <f ca="1">IFERROR(__xludf.DUMMYFUNCTION("""COMPUTED_VALUE"""),6580)</f>
        <v>6580</v>
      </c>
      <c r="AL1027" s="3"/>
      <c r="AM1027" s="3">
        <f>IFERROR(Raw_Data!AL1027 / Raw_Data!AK1027, "")</f>
        <v>0</v>
      </c>
      <c r="AN1027" s="3" t="str">
        <f>IF(ISBLANK(Raw_Data!AL1027), "No", "Yes")</f>
        <v>No</v>
      </c>
      <c r="AO1027" s="3">
        <f>IFERROR(Raw_Data!Z1027/60, "")</f>
        <v>1.6166666666666667</v>
      </c>
    </row>
    <row r="1028" spans="1:41" ht="13">
      <c r="A1028" s="3">
        <f ca="1">IFERROR(__xludf.DUMMYFUNCTION("""COMPUTED_VALUE"""),358)</f>
        <v>358</v>
      </c>
      <c r="B1028" s="3"/>
      <c r="C1028" s="3">
        <f ca="1">IFERROR(__xludf.DUMMYFUNCTION("""COMPUTED_VALUE"""),4001)</f>
        <v>4001</v>
      </c>
      <c r="D1028" s="3" t="str">
        <f ca="1">IFERROR(__xludf.DUMMYFUNCTION("""COMPUTED_VALUE"""),"Dashattan")</f>
        <v>Dashattan</v>
      </c>
      <c r="E1028" s="3" t="str">
        <f ca="1">IFERROR(__xludf.DUMMYFUNCTION("""COMPUTED_VALUE"""),"Galaxy A")</f>
        <v>Galaxy A</v>
      </c>
      <c r="F1028" s="3" t="str">
        <f ca="1">IFERROR(__xludf.DUMMYFUNCTION("""COMPUTED_VALUE"""),"Arya")</f>
        <v>Arya</v>
      </c>
      <c r="G1028" s="3">
        <f ca="1">IFERROR(__xludf.DUMMYFUNCTION("""COMPUTED_VALUE"""),0)</f>
        <v>0</v>
      </c>
      <c r="H1028" s="3" t="str">
        <f ca="1">IFERROR(__xludf.DUMMYFUNCTION("""COMPUTED_VALUE"""),"bicycle")</f>
        <v>bicycle</v>
      </c>
      <c r="I1028" s="3" t="str">
        <f ca="1">IFERROR(__xludf.DUMMYFUNCTION("""COMPUTED_VALUE"""),"2055-06-03T23:05:15.228289Z")</f>
        <v>2055-06-03T23:05:15.228289Z</v>
      </c>
      <c r="J1028" s="3" t="str">
        <f ca="1">IFERROR(__xludf.DUMMYFUNCTION("""COMPUTED_VALUE"""),"2055-06-03T23:58:15.286Z")</f>
        <v>2055-06-03T23:58:15.286Z</v>
      </c>
      <c r="K1028" s="3" t="str">
        <f ca="1">IFERROR(__xludf.DUMMYFUNCTION("""COMPUTED_VALUE"""),"2055-06-03T23:39:22.286Z")</f>
        <v>2055-06-03T23:39:22.286Z</v>
      </c>
      <c r="L1028" s="3">
        <f ca="1">IFERROR(__xludf.DUMMYFUNCTION("""COMPUTED_VALUE"""),1)</f>
        <v>1</v>
      </c>
      <c r="M1028" s="3">
        <f ca="1">IFERROR(__xludf.DUMMYFUNCTION("""COMPUTED_VALUE"""),0)</f>
        <v>0</v>
      </c>
      <c r="N1028" s="3" t="str">
        <f ca="1">IFERROR(__xludf.DUMMYFUNCTION("""COMPUTED_VALUE"""),"2055-06-03T23:35:01.407257Z")</f>
        <v>2055-06-03T23:35:01.407257Z</v>
      </c>
      <c r="O1028" s="3" t="str">
        <f ca="1">IFERROR(__xludf.DUMMYFUNCTION("""COMPUTED_VALUE"""),"2055-06-03T23:48:30.570759Z")</f>
        <v>2055-06-03T23:48:30.570759Z</v>
      </c>
      <c r="P1028" s="3" t="str">
        <f ca="1">IFERROR(__xludf.DUMMYFUNCTION("""COMPUTED_VALUE"""),"2055-06-03T23:09:15.742109Z")</f>
        <v>2055-06-03T23:09:15.742109Z</v>
      </c>
      <c r="Q1028" s="3">
        <f ca="1">IFERROR(__xludf.DUMMYFUNCTION("""COMPUTED_VALUE"""),0)</f>
        <v>0</v>
      </c>
      <c r="R1028" s="3" t="str">
        <f ca="1">IFERROR(__xludf.DUMMYFUNCTION("""COMPUTED_VALUE"""),"2055-06-03T23:09:30.253058Z")</f>
        <v>2055-06-03T23:09:30.253058Z</v>
      </c>
      <c r="S1028" s="3" t="str">
        <f ca="1">IFERROR(__xludf.DUMMYFUNCTION("""COMPUTED_VALUE"""),"2055-06-03T23:36:33.340675Z")</f>
        <v>2055-06-03T23:36:33.340675Z</v>
      </c>
      <c r="T1028" s="3"/>
      <c r="U1028" s="4">
        <f ca="1">IFERROR(__xludf.DUMMYFUNCTION("""COMPUTED_VALUE"""),56768)</f>
        <v>56768</v>
      </c>
      <c r="V1028" s="3">
        <f ca="1">IFERROR(__xludf.DUMMYFUNCTION("""COMPUTED_VALUE"""),4.3)</f>
        <v>4.3</v>
      </c>
      <c r="W1028" s="3">
        <f ca="1">IFERROR(__xludf.DUMMYFUNCTION("""COMPUTED_VALUE"""),1000)</f>
        <v>1000</v>
      </c>
      <c r="X1028" s="3">
        <f ca="1">IFERROR(__xludf.DUMMYFUNCTION("""COMPUTED_VALUE"""),2340)</f>
        <v>2340</v>
      </c>
      <c r="Y1028" s="3">
        <f ca="1">IFERROR(__xludf.DUMMYFUNCTION("""COMPUTED_VALUE"""),1623)</f>
        <v>1623</v>
      </c>
      <c r="Z1028" s="3"/>
      <c r="AA1028" s="3">
        <f ca="1">IFERROR(__xludf.DUMMYFUNCTION("""COMPUTED_VALUE"""),809)</f>
        <v>809</v>
      </c>
      <c r="AB1028" s="3">
        <f ca="1">IFERROR(__xludf.DUMMYFUNCTION("""COMPUTED_VALUE"""),0)</f>
        <v>0</v>
      </c>
      <c r="AC1028" s="3">
        <f ca="1">IFERROR(__xludf.DUMMYFUNCTION("""COMPUTED_VALUE"""),1)</f>
        <v>1</v>
      </c>
      <c r="AD1028" s="3" t="str">
        <f ca="1">IFERROR(__xludf.DUMMYFUNCTION("""COMPUTED_VALUE"""),"late")</f>
        <v>late</v>
      </c>
      <c r="AE1028" s="3" t="str">
        <f ca="1">IFERROR(__xludf.DUMMYFUNCTION("""COMPUTED_VALUE"""),"2055-06-03T19:35:01.407257Z")</f>
        <v>2055-06-03T19:35:01.407257Z</v>
      </c>
      <c r="AF1028" s="3" t="str">
        <f ca="1">IFERROR(__xludf.DUMMYFUNCTION("""COMPUTED_VALUE"""),"2055-06-03T19:48:30.570759Z")</f>
        <v>2055-06-03T19:48:30.570759Z</v>
      </c>
      <c r="AG1028" s="3" t="str">
        <f ca="1">IFERROR(__xludf.DUMMYFUNCTION("""COMPUTED_VALUE"""),"2055-06-03T19:09:15.742109Z")</f>
        <v>2055-06-03T19:09:15.742109Z</v>
      </c>
      <c r="AH1028" s="3" t="str">
        <f ca="1">IFERROR(__xludf.DUMMYFUNCTION("""COMPUTED_VALUE"""),"2055-06-03T19:36:33.340675Z")</f>
        <v>2055-06-03T19:36:33.340675Z</v>
      </c>
      <c r="AI1028" s="3">
        <f ca="1">IFERROR(__xludf.DUMMYFUNCTION("""COMPUTED_VALUE"""),4.17)</f>
        <v>4.17</v>
      </c>
      <c r="AJ1028" s="3">
        <f ca="1">IFERROR(__xludf.DUMMYFUNCTION("""COMPUTED_VALUE"""),457)</f>
        <v>457</v>
      </c>
      <c r="AK1028" s="3">
        <f ca="1">IFERROR(__xludf.DUMMYFUNCTION("""COMPUTED_VALUE"""),1599)</f>
        <v>1599</v>
      </c>
      <c r="AL1028" s="3"/>
      <c r="AM1028" s="3">
        <f>IFERROR(Raw_Data!AL1028 / Raw_Data!AK1028, "")</f>
        <v>0</v>
      </c>
      <c r="AN1028" s="3" t="str">
        <f>IF(ISBLANK(Raw_Data!AL1028), "No", "Yes")</f>
        <v>No</v>
      </c>
      <c r="AO1028" s="3">
        <f>IFERROR(Raw_Data!Z1028/60, "")</f>
        <v>0</v>
      </c>
    </row>
    <row r="1029" spans="1:41" ht="13">
      <c r="A1029" s="3">
        <f ca="1">IFERROR(__xludf.DUMMYFUNCTION("""COMPUTED_VALUE"""),969)</f>
        <v>969</v>
      </c>
      <c r="B1029" s="3"/>
      <c r="C1029" s="3">
        <f ca="1">IFERROR(__xludf.DUMMYFUNCTION("""COMPUTED_VALUE"""),4001)</f>
        <v>4001</v>
      </c>
      <c r="D1029" s="3" t="str">
        <f ca="1">IFERROR(__xludf.DUMMYFUNCTION("""COMPUTED_VALUE"""),"Dashattan")</f>
        <v>Dashattan</v>
      </c>
      <c r="E1029" s="3" t="str">
        <f ca="1">IFERROR(__xludf.DUMMYFUNCTION("""COMPUTED_VALUE"""),"Galaxy A")</f>
        <v>Galaxy A</v>
      </c>
      <c r="F1029" s="3" t="str">
        <f ca="1">IFERROR(__xludf.DUMMYFUNCTION("""COMPUTED_VALUE"""),"KC")</f>
        <v>KC</v>
      </c>
      <c r="G1029" s="3">
        <f ca="1">IFERROR(__xludf.DUMMYFUNCTION("""COMPUTED_VALUE"""),0)</f>
        <v>0</v>
      </c>
      <c r="H1029" s="3" t="str">
        <f ca="1">IFERROR(__xludf.DUMMYFUNCTION("""COMPUTED_VALUE"""),"car")</f>
        <v>car</v>
      </c>
      <c r="I1029" s="3" t="str">
        <f ca="1">IFERROR(__xludf.DUMMYFUNCTION("""COMPUTED_VALUE"""),"2055-06-08T21:39:39.26004Z")</f>
        <v>2055-06-08T21:39:39.26004Z</v>
      </c>
      <c r="J1029" s="3" t="str">
        <f ca="1">IFERROR(__xludf.DUMMYFUNCTION("""COMPUTED_VALUE"""),"2055-06-08T22:34:58.305Z")</f>
        <v>2055-06-08T22:34:58.305Z</v>
      </c>
      <c r="K1029" s="3" t="str">
        <f ca="1">IFERROR(__xludf.DUMMYFUNCTION("""COMPUTED_VALUE"""),"2055-06-08T22:14:51.305Z")</f>
        <v>2055-06-08T22:14:51.305Z</v>
      </c>
      <c r="L1029" s="3">
        <f ca="1">IFERROR(__xludf.DUMMYFUNCTION("""COMPUTED_VALUE"""),1)</f>
        <v>1</v>
      </c>
      <c r="M1029" s="3">
        <f ca="1">IFERROR(__xludf.DUMMYFUNCTION("""COMPUTED_VALUE"""),0)</f>
        <v>0</v>
      </c>
      <c r="N1029" s="3" t="str">
        <f ca="1">IFERROR(__xludf.DUMMYFUNCTION("""COMPUTED_VALUE"""),"2055-06-08T21:51:08.88324Z")</f>
        <v>2055-06-08T21:51:08.88324Z</v>
      </c>
      <c r="O1029" s="3" t="str">
        <f ca="1">IFERROR(__xludf.DUMMYFUNCTION("""COMPUTED_VALUE"""),"2055-06-08T22:22:11.848662Z")</f>
        <v>2055-06-08T22:22:11.848662Z</v>
      </c>
      <c r="P1029" s="3" t="str">
        <f ca="1">IFERROR(__xludf.DUMMYFUNCTION("""COMPUTED_VALUE"""),"2055-06-08T21:42:14.354301Z")</f>
        <v>2055-06-08T21:42:14.354301Z</v>
      </c>
      <c r="Q1029" s="3">
        <f ca="1">IFERROR(__xludf.DUMMYFUNCTION("""COMPUTED_VALUE"""),0)</f>
        <v>0</v>
      </c>
      <c r="R1029" s="3" t="str">
        <f ca="1">IFERROR(__xludf.DUMMYFUNCTION("""COMPUTED_VALUE"""),"2055-06-08T21:42:46.250365Z")</f>
        <v>2055-06-08T21:42:46.250365Z</v>
      </c>
      <c r="S1029" s="3" t="str">
        <f ca="1">IFERROR(__xludf.DUMMYFUNCTION("""COMPUTED_VALUE"""),"2055-06-08T21:47:42.972373Z")</f>
        <v>2055-06-08T21:47:42.972373Z</v>
      </c>
      <c r="T1029" s="3"/>
      <c r="U1029" s="4">
        <f ca="1">IFERROR(__xludf.DUMMYFUNCTION("""COMPUTED_VALUE"""),56773)</f>
        <v>56773</v>
      </c>
      <c r="V1029" s="3">
        <f ca="1">IFERROR(__xludf.DUMMYFUNCTION("""COMPUTED_VALUE"""),4.4)</f>
        <v>4.4000000000000004</v>
      </c>
      <c r="W1029" s="3">
        <f ca="1">IFERROR(__xludf.DUMMYFUNCTION("""COMPUTED_VALUE"""),1000)</f>
        <v>1000</v>
      </c>
      <c r="X1029" s="3">
        <f ca="1">IFERROR(__xludf.DUMMYFUNCTION("""COMPUTED_VALUE"""),2365)</f>
        <v>2365</v>
      </c>
      <c r="Y1029" s="3">
        <f ca="1">IFERROR(__xludf.DUMMYFUNCTION("""COMPUTED_VALUE"""),296)</f>
        <v>296</v>
      </c>
      <c r="Z1029" s="3">
        <f ca="1">IFERROR(__xludf.DUMMYFUNCTION("""COMPUTED_VALUE"""),206)</f>
        <v>206</v>
      </c>
      <c r="AA1029" s="3">
        <f ca="1">IFERROR(__xludf.DUMMYFUNCTION("""COMPUTED_VALUE"""),1863)</f>
        <v>1863</v>
      </c>
      <c r="AB1029" s="3">
        <f ca="1">IFERROR(__xludf.DUMMYFUNCTION("""COMPUTED_VALUE"""),0)</f>
        <v>0</v>
      </c>
      <c r="AC1029" s="3">
        <f ca="1">IFERROR(__xludf.DUMMYFUNCTION("""COMPUTED_VALUE"""),1)</f>
        <v>1</v>
      </c>
      <c r="AD1029" s="3" t="str">
        <f ca="1">IFERROR(__xludf.DUMMYFUNCTION("""COMPUTED_VALUE"""),"on time")</f>
        <v>on time</v>
      </c>
      <c r="AE1029" s="3" t="str">
        <f ca="1">IFERROR(__xludf.DUMMYFUNCTION("""COMPUTED_VALUE"""),"2055-06-08T17:51:08.88324Z")</f>
        <v>2055-06-08T17:51:08.88324Z</v>
      </c>
      <c r="AF1029" s="3" t="str">
        <f ca="1">IFERROR(__xludf.DUMMYFUNCTION("""COMPUTED_VALUE"""),"2055-06-08T18:22:11.848662Z")</f>
        <v>2055-06-08T18:22:11.848662Z</v>
      </c>
      <c r="AG1029" s="3" t="str">
        <f ca="1">IFERROR(__xludf.DUMMYFUNCTION("""COMPUTED_VALUE"""),"2055-06-08T17:42:14.354301Z")</f>
        <v>2055-06-08T17:42:14.354301Z</v>
      </c>
      <c r="AH1029" s="3" t="str">
        <f ca="1">IFERROR(__xludf.DUMMYFUNCTION("""COMPUTED_VALUE"""),"2055-06-08T17:47:42.972373Z")</f>
        <v>2055-06-08T17:47:42.972373Z</v>
      </c>
      <c r="AI1029" s="3">
        <f ca="1">IFERROR(__xludf.DUMMYFUNCTION("""COMPUTED_VALUE"""),4.54)</f>
        <v>4.54</v>
      </c>
      <c r="AJ1029" s="3">
        <f ca="1">IFERROR(__xludf.DUMMYFUNCTION("""COMPUTED_VALUE"""),2229)</f>
        <v>2229</v>
      </c>
      <c r="AK1029" s="3">
        <f ca="1">IFERROR(__xludf.DUMMYFUNCTION("""COMPUTED_VALUE"""),6580)</f>
        <v>6580</v>
      </c>
      <c r="AL1029" s="3"/>
      <c r="AM1029" s="3">
        <f>IFERROR(Raw_Data!AL1029 / Raw_Data!AK1029, "")</f>
        <v>0</v>
      </c>
      <c r="AN1029" s="3" t="str">
        <f>IF(ISBLANK(Raw_Data!AL1029), "No", "Yes")</f>
        <v>No</v>
      </c>
      <c r="AO1029" s="3">
        <f>IFERROR(Raw_Data!Z1029/60, "")</f>
        <v>3.4333333333333331</v>
      </c>
    </row>
    <row r="1030" spans="1:41" ht="13">
      <c r="A1030" s="3">
        <f ca="1">IFERROR(__xludf.DUMMYFUNCTION("""COMPUTED_VALUE"""),110)</f>
        <v>110</v>
      </c>
      <c r="B1030" s="3">
        <f ca="1">IFERROR(__xludf.DUMMYFUNCTION("""COMPUTED_VALUE"""),5)</f>
        <v>5</v>
      </c>
      <c r="C1030" s="3">
        <f ca="1">IFERROR(__xludf.DUMMYFUNCTION("""COMPUTED_VALUE"""),4001)</f>
        <v>4001</v>
      </c>
      <c r="D1030" s="3" t="str">
        <f ca="1">IFERROR(__xludf.DUMMYFUNCTION("""COMPUTED_VALUE"""),"Dashattan")</f>
        <v>Dashattan</v>
      </c>
      <c r="E1030" s="3" t="str">
        <f ca="1">IFERROR(__xludf.DUMMYFUNCTION("""COMPUTED_VALUE"""),"Galaxy A")</f>
        <v>Galaxy A</v>
      </c>
      <c r="F1030" s="3" t="str">
        <f ca="1">IFERROR(__xludf.DUMMYFUNCTION("""COMPUTED_VALUE"""),"Ron")</f>
        <v>Ron</v>
      </c>
      <c r="G1030" s="3">
        <f ca="1">IFERROR(__xludf.DUMMYFUNCTION("""COMPUTED_VALUE"""),0)</f>
        <v>0</v>
      </c>
      <c r="H1030" s="3" t="str">
        <f ca="1">IFERROR(__xludf.DUMMYFUNCTION("""COMPUTED_VALUE"""),"bicycle")</f>
        <v>bicycle</v>
      </c>
      <c r="I1030" s="3" t="str">
        <f ca="1">IFERROR(__xludf.DUMMYFUNCTION("""COMPUTED_VALUE"""),"2055-06-02T02:14:54.679465Z")</f>
        <v>2055-06-02T02:14:54.679465Z</v>
      </c>
      <c r="J1030" s="3" t="str">
        <f ca="1">IFERROR(__xludf.DUMMYFUNCTION("""COMPUTED_VALUE"""),"2055-06-02T03:17:29.749Z")</f>
        <v>2055-06-02T03:17:29.749Z</v>
      </c>
      <c r="K1030" s="3" t="str">
        <f ca="1">IFERROR(__xludf.DUMMYFUNCTION("""COMPUTED_VALUE"""),"2055-06-02T03:09:11.749Z")</f>
        <v>2055-06-02T03:09:11.749Z</v>
      </c>
      <c r="L1030" s="3">
        <f ca="1">IFERROR(__xludf.DUMMYFUNCTION("""COMPUTED_VALUE"""),1)</f>
        <v>1</v>
      </c>
      <c r="M1030" s="3">
        <f ca="1">IFERROR(__xludf.DUMMYFUNCTION("""COMPUTED_VALUE"""),0)</f>
        <v>0</v>
      </c>
      <c r="N1030" s="3" t="str">
        <f ca="1">IFERROR(__xludf.DUMMYFUNCTION("""COMPUTED_VALUE"""),"2055-06-02T02:38:24.997871Z")</f>
        <v>2055-06-02T02:38:24.997871Z</v>
      </c>
      <c r="O1030" s="3" t="str">
        <f ca="1">IFERROR(__xludf.DUMMYFUNCTION("""COMPUTED_VALUE"""),"2055-06-02T03:16:32.544648Z")</f>
        <v>2055-06-02T03:16:32.544648Z</v>
      </c>
      <c r="P1030" s="3" t="str">
        <f ca="1">IFERROR(__xludf.DUMMYFUNCTION("""COMPUTED_VALUE"""),"2055-06-02T02:16:54.153954Z")</f>
        <v>2055-06-02T02:16:54.153954Z</v>
      </c>
      <c r="Q1030" s="3">
        <f ca="1">IFERROR(__xludf.DUMMYFUNCTION("""COMPUTED_VALUE"""),0)</f>
        <v>0</v>
      </c>
      <c r="R1030" s="3" t="str">
        <f ca="1">IFERROR(__xludf.DUMMYFUNCTION("""COMPUTED_VALUE"""),"2055-06-02T02:17:00.84967Z")</f>
        <v>2055-06-02T02:17:00.84967Z</v>
      </c>
      <c r="S1030" s="3" t="str">
        <f ca="1">IFERROR(__xludf.DUMMYFUNCTION("""COMPUTED_VALUE"""),"2055-06-02T02:38:33.888558Z")</f>
        <v>2055-06-02T02:38:33.888558Z</v>
      </c>
      <c r="T1030" s="3"/>
      <c r="U1030" s="4">
        <f ca="1">IFERROR(__xludf.DUMMYFUNCTION("""COMPUTED_VALUE"""),56766)</f>
        <v>56766</v>
      </c>
      <c r="V1030" s="3">
        <f ca="1">IFERROR(__xludf.DUMMYFUNCTION("""COMPUTED_VALUE"""),4.5)</f>
        <v>4.5</v>
      </c>
      <c r="W1030" s="3">
        <f ca="1">IFERROR(__xludf.DUMMYFUNCTION("""COMPUTED_VALUE"""),1000)</f>
        <v>1000</v>
      </c>
      <c r="X1030" s="3">
        <f ca="1">IFERROR(__xludf.DUMMYFUNCTION("""COMPUTED_VALUE"""),3572)</f>
        <v>3572</v>
      </c>
      <c r="Y1030" s="3">
        <f ca="1">IFERROR(__xludf.DUMMYFUNCTION("""COMPUTED_VALUE"""),1293)</f>
        <v>1293</v>
      </c>
      <c r="Z1030" s="3"/>
      <c r="AA1030" s="3">
        <f ca="1">IFERROR(__xludf.DUMMYFUNCTION("""COMPUTED_VALUE"""),2288)</f>
        <v>2288</v>
      </c>
      <c r="AB1030" s="3">
        <f ca="1">IFERROR(__xludf.DUMMYFUNCTION("""COMPUTED_VALUE"""),0)</f>
        <v>0</v>
      </c>
      <c r="AC1030" s="3">
        <f ca="1">IFERROR(__xludf.DUMMYFUNCTION("""COMPUTED_VALUE"""),2)</f>
        <v>2</v>
      </c>
      <c r="AD1030" s="3"/>
      <c r="AE1030" s="3" t="str">
        <f ca="1">IFERROR(__xludf.DUMMYFUNCTION("""COMPUTED_VALUE"""),"2055-06-01T22:38:24.997871Z")</f>
        <v>2055-06-01T22:38:24.997871Z</v>
      </c>
      <c r="AF1030" s="3" t="str">
        <f ca="1">IFERROR(__xludf.DUMMYFUNCTION("""COMPUTED_VALUE"""),"2055-06-01T23:16:32.544648Z")</f>
        <v>2055-06-01T23:16:32.544648Z</v>
      </c>
      <c r="AG1030" s="3" t="str">
        <f ca="1">IFERROR(__xludf.DUMMYFUNCTION("""COMPUTED_VALUE"""),"2055-06-01T22:16:54.153954Z")</f>
        <v>2055-06-01T22:16:54.153954Z</v>
      </c>
      <c r="AH1030" s="3" t="str">
        <f ca="1">IFERROR(__xludf.DUMMYFUNCTION("""COMPUTED_VALUE"""),"2055-06-01T22:38:33.888558Z")</f>
        <v>2055-06-01T22:38:33.888558Z</v>
      </c>
      <c r="AI1030" s="3">
        <f ca="1">IFERROR(__xludf.DUMMYFUNCTION("""COMPUTED_VALUE"""),4.56)</f>
        <v>4.5599999999999996</v>
      </c>
      <c r="AJ1030" s="3">
        <f ca="1">IFERROR(__xludf.DUMMYFUNCTION("""COMPUTED_VALUE"""),765)</f>
        <v>765</v>
      </c>
      <c r="AK1030" s="3">
        <f ca="1">IFERROR(__xludf.DUMMYFUNCTION("""COMPUTED_VALUE"""),2618)</f>
        <v>2618</v>
      </c>
      <c r="AL1030" s="3"/>
      <c r="AM1030" s="3">
        <f>IFERROR(Raw_Data!AL1030 / Raw_Data!AK1030, "")</f>
        <v>0</v>
      </c>
      <c r="AN1030" s="3" t="str">
        <f>IF(ISBLANK(Raw_Data!AL1030), "No", "Yes")</f>
        <v>No</v>
      </c>
      <c r="AO1030" s="3">
        <f>IFERROR(Raw_Data!Z1030/60, "")</f>
        <v>0</v>
      </c>
    </row>
    <row r="1031" spans="1:41" ht="13">
      <c r="A1031" s="3">
        <f ca="1">IFERROR(__xludf.DUMMYFUNCTION("""COMPUTED_VALUE"""),239)</f>
        <v>239</v>
      </c>
      <c r="B1031" s="3"/>
      <c r="C1031" s="3">
        <f ca="1">IFERROR(__xludf.DUMMYFUNCTION("""COMPUTED_VALUE"""),4050)</f>
        <v>4050</v>
      </c>
      <c r="D1031" s="3" t="str">
        <f ca="1">IFERROR(__xludf.DUMMYFUNCTION("""COMPUTED_VALUE"""),"Doorlanta")</f>
        <v>Doorlanta</v>
      </c>
      <c r="E1031" s="3" t="str">
        <f ca="1">IFERROR(__xludf.DUMMYFUNCTION("""COMPUTED_VALUE"""),"Galaxy A")</f>
        <v>Galaxy A</v>
      </c>
      <c r="F1031" s="3" t="str">
        <f ca="1">IFERROR(__xludf.DUMMYFUNCTION("""COMPUTED_VALUE"""),"Jagar")</f>
        <v>Jagar</v>
      </c>
      <c r="G1031" s="3">
        <f ca="1">IFERROR(__xludf.DUMMYFUNCTION("""COMPUTED_VALUE"""),0)</f>
        <v>0</v>
      </c>
      <c r="H1031" s="3" t="str">
        <f ca="1">IFERROR(__xludf.DUMMYFUNCTION("""COMPUTED_VALUE"""),"car")</f>
        <v>car</v>
      </c>
      <c r="I1031" s="3" t="str">
        <f ca="1">IFERROR(__xludf.DUMMYFUNCTION("""COMPUTED_VALUE"""),"2055-06-03T01:10:00.76142Z")</f>
        <v>2055-06-03T01:10:00.76142Z</v>
      </c>
      <c r="J1031" s="3" t="str">
        <f ca="1">IFERROR(__xludf.DUMMYFUNCTION("""COMPUTED_VALUE"""),"2055-06-03T02:13:43.864Z")</f>
        <v>2055-06-03T02:13:43.864Z</v>
      </c>
      <c r="K1031" s="3" t="str">
        <f ca="1">IFERROR(__xludf.DUMMYFUNCTION("""COMPUTED_VALUE"""),"2055-06-03T01:54:50.864Z")</f>
        <v>2055-06-03T01:54:50.864Z</v>
      </c>
      <c r="L1031" s="3">
        <f ca="1">IFERROR(__xludf.DUMMYFUNCTION("""COMPUTED_VALUE"""),1)</f>
        <v>1</v>
      </c>
      <c r="M1031" s="3">
        <f ca="1">IFERROR(__xludf.DUMMYFUNCTION("""COMPUTED_VALUE"""),0)</f>
        <v>0</v>
      </c>
      <c r="N1031" s="3" t="str">
        <f ca="1">IFERROR(__xludf.DUMMYFUNCTION("""COMPUTED_VALUE"""),"2055-06-03T01:21:56.561685Z")</f>
        <v>2055-06-03T01:21:56.561685Z</v>
      </c>
      <c r="O1031" s="3" t="str">
        <f ca="1">IFERROR(__xludf.DUMMYFUNCTION("""COMPUTED_VALUE"""),"2055-06-03T01:43:55.525937Z")</f>
        <v>2055-06-03T01:43:55.525937Z</v>
      </c>
      <c r="P1031" s="3" t="str">
        <f ca="1">IFERROR(__xludf.DUMMYFUNCTION("""COMPUTED_VALUE"""),"2055-06-03T01:10:07.28596Z")</f>
        <v>2055-06-03T01:10:07.28596Z</v>
      </c>
      <c r="Q1031" s="3">
        <f ca="1">IFERROR(__xludf.DUMMYFUNCTION("""COMPUTED_VALUE"""),0)</f>
        <v>0</v>
      </c>
      <c r="R1031" s="3" t="str">
        <f ca="1">IFERROR(__xludf.DUMMYFUNCTION("""COMPUTED_VALUE"""),"2055-06-03T01:10:15.110935Z")</f>
        <v>2055-06-03T01:10:15.110935Z</v>
      </c>
      <c r="S1031" s="3" t="str">
        <f ca="1">IFERROR(__xludf.DUMMYFUNCTION("""COMPUTED_VALUE"""),"2055-06-03T01:15:48.440763Z")</f>
        <v>2055-06-03T01:15:48.440763Z</v>
      </c>
      <c r="T1031" s="3"/>
      <c r="U1031" s="4">
        <f ca="1">IFERROR(__xludf.DUMMYFUNCTION("""COMPUTED_VALUE"""),56767)</f>
        <v>56767</v>
      </c>
      <c r="V1031" s="3">
        <f ca="1">IFERROR(__xludf.DUMMYFUNCTION("""COMPUTED_VALUE"""),4.6)</f>
        <v>4.5999999999999996</v>
      </c>
      <c r="W1031" s="3">
        <f ca="1">IFERROR(__xludf.DUMMYFUNCTION("""COMPUTED_VALUE"""),1000)</f>
        <v>1000</v>
      </c>
      <c r="X1031" s="3">
        <f ca="1">IFERROR(__xludf.DUMMYFUNCTION("""COMPUTED_VALUE"""),2020)</f>
        <v>2020</v>
      </c>
      <c r="Y1031" s="3">
        <f ca="1">IFERROR(__xludf.DUMMYFUNCTION("""COMPUTED_VALUE"""),333)</f>
        <v>333</v>
      </c>
      <c r="Z1031" s="3">
        <f ca="1">IFERROR(__xludf.DUMMYFUNCTION("""COMPUTED_VALUE"""),368)</f>
        <v>368</v>
      </c>
      <c r="AA1031" s="3">
        <f ca="1">IFERROR(__xludf.DUMMYFUNCTION("""COMPUTED_VALUE"""),1319)</f>
        <v>1319</v>
      </c>
      <c r="AB1031" s="3">
        <f ca="1">IFERROR(__xludf.DUMMYFUNCTION("""COMPUTED_VALUE"""),0)</f>
        <v>0</v>
      </c>
      <c r="AC1031" s="3">
        <f ca="1">IFERROR(__xludf.DUMMYFUNCTION("""COMPUTED_VALUE"""),1)</f>
        <v>1</v>
      </c>
      <c r="AD1031" s="3" t="str">
        <f ca="1">IFERROR(__xludf.DUMMYFUNCTION("""COMPUTED_VALUE"""),"early")</f>
        <v>early</v>
      </c>
      <c r="AE1031" s="3" t="str">
        <f ca="1">IFERROR(__xludf.DUMMYFUNCTION("""COMPUTED_VALUE"""),"2055-06-02T21:21:56.561685Z")</f>
        <v>2055-06-02T21:21:56.561685Z</v>
      </c>
      <c r="AF1031" s="3" t="str">
        <f ca="1">IFERROR(__xludf.DUMMYFUNCTION("""COMPUTED_VALUE"""),"2055-06-02T21:43:55.525937Z")</f>
        <v>2055-06-02T21:43:55.525937Z</v>
      </c>
      <c r="AG1031" s="3" t="str">
        <f ca="1">IFERROR(__xludf.DUMMYFUNCTION("""COMPUTED_VALUE"""),"2055-06-02T21:10:07.28596Z")</f>
        <v>2055-06-02T21:10:07.28596Z</v>
      </c>
      <c r="AH1031" s="3" t="str">
        <f ca="1">IFERROR(__xludf.DUMMYFUNCTION("""COMPUTED_VALUE"""),"2055-06-02T21:15:48.440763Z")</f>
        <v>2055-06-02T21:15:48.440763Z</v>
      </c>
      <c r="AI1031" s="3">
        <f ca="1">IFERROR(__xludf.DUMMYFUNCTION("""COMPUTED_VALUE"""),4.89)</f>
        <v>4.8899999999999997</v>
      </c>
      <c r="AJ1031" s="3">
        <f ca="1">IFERROR(__xludf.DUMMYFUNCTION("""COMPUTED_VALUE"""),1778)</f>
        <v>1778</v>
      </c>
      <c r="AK1031" s="3">
        <f ca="1">IFERROR(__xludf.DUMMYFUNCTION("""COMPUTED_VALUE"""),5138)</f>
        <v>5138</v>
      </c>
      <c r="AL1031" s="3">
        <f ca="1">IFERROR(__xludf.DUMMYFUNCTION("""COMPUTED_VALUE"""),314)</f>
        <v>314</v>
      </c>
      <c r="AM1031" s="3">
        <f>IFERROR(Raw_Data!AL1031 / Raw_Data!AK1031, "")</f>
        <v>6.1113273647333592E-2</v>
      </c>
      <c r="AN1031" s="3" t="str">
        <f>IF(ISBLANK(Raw_Data!AL1031), "No", "Yes")</f>
        <v>Yes</v>
      </c>
      <c r="AO1031" s="3">
        <f>IFERROR(Raw_Data!Z1031/60, "")</f>
        <v>6.1333333333333337</v>
      </c>
    </row>
    <row r="1032" spans="1:41" ht="13">
      <c r="A1032" s="3">
        <f ca="1">IFERROR(__xludf.DUMMYFUNCTION("""COMPUTED_VALUE"""),280)</f>
        <v>280</v>
      </c>
      <c r="B1032" s="3"/>
      <c r="C1032" s="3">
        <f ca="1">IFERROR(__xludf.DUMMYFUNCTION("""COMPUTED_VALUE"""),4050)</f>
        <v>4050</v>
      </c>
      <c r="D1032" s="3" t="str">
        <f ca="1">IFERROR(__xludf.DUMMYFUNCTION("""COMPUTED_VALUE"""),"Doorlanta")</f>
        <v>Doorlanta</v>
      </c>
      <c r="E1032" s="3" t="str">
        <f ca="1">IFERROR(__xludf.DUMMYFUNCTION("""COMPUTED_VALUE"""),"Galaxy A")</f>
        <v>Galaxy A</v>
      </c>
      <c r="F1032" s="3" t="str">
        <f ca="1">IFERROR(__xludf.DUMMYFUNCTION("""COMPUTED_VALUE"""),"Hanna")</f>
        <v>Hanna</v>
      </c>
      <c r="G1032" s="3">
        <f ca="1">IFERROR(__xludf.DUMMYFUNCTION("""COMPUTED_VALUE"""),0)</f>
        <v>0</v>
      </c>
      <c r="H1032" s="3" t="str">
        <f ca="1">IFERROR(__xludf.DUMMYFUNCTION("""COMPUTED_VALUE"""),"car")</f>
        <v>car</v>
      </c>
      <c r="I1032" s="3" t="str">
        <f ca="1">IFERROR(__xludf.DUMMYFUNCTION("""COMPUTED_VALUE"""),"2055-06-03T16:02:26.704887Z")</f>
        <v>2055-06-03T16:02:26.704887Z</v>
      </c>
      <c r="J1032" s="3" t="str">
        <f ca="1">IFERROR(__xludf.DUMMYFUNCTION("""COMPUTED_VALUE"""),"2055-06-03T16:42:26.798Z")</f>
        <v>2055-06-03T16:42:26.798Z</v>
      </c>
      <c r="K1032" s="3" t="str">
        <f ca="1">IFERROR(__xludf.DUMMYFUNCTION("""COMPUTED_VALUE"""),"2055-06-03T16:37:56.798Z")</f>
        <v>2055-06-03T16:37:56.798Z</v>
      </c>
      <c r="L1032" s="3">
        <f ca="1">IFERROR(__xludf.DUMMYFUNCTION("""COMPUTED_VALUE"""),1)</f>
        <v>1</v>
      </c>
      <c r="M1032" s="3">
        <f ca="1">IFERROR(__xludf.DUMMYFUNCTION("""COMPUTED_VALUE"""),0)</f>
        <v>0</v>
      </c>
      <c r="N1032" s="3" t="str">
        <f ca="1">IFERROR(__xludf.DUMMYFUNCTION("""COMPUTED_VALUE"""),"2055-06-03T16:22:11.468808Z")</f>
        <v>2055-06-03T16:22:11.468808Z</v>
      </c>
      <c r="O1032" s="3" t="str">
        <f ca="1">IFERROR(__xludf.DUMMYFUNCTION("""COMPUTED_VALUE"""),"2055-06-03T16:35:30.288899Z")</f>
        <v>2055-06-03T16:35:30.288899Z</v>
      </c>
      <c r="P1032" s="3" t="str">
        <f ca="1">IFERROR(__xludf.DUMMYFUNCTION("""COMPUTED_VALUE"""),"2055-06-03T16:02:47.387652Z")</f>
        <v>2055-06-03T16:02:47.387652Z</v>
      </c>
      <c r="Q1032" s="3">
        <f ca="1">IFERROR(__xludf.DUMMYFUNCTION("""COMPUTED_VALUE"""),0)</f>
        <v>0</v>
      </c>
      <c r="R1032" s="3" t="str">
        <f ca="1">IFERROR(__xludf.DUMMYFUNCTION("""COMPUTED_VALUE"""),"2055-06-03T16:05:03.376758Z")</f>
        <v>2055-06-03T16:05:03.376758Z</v>
      </c>
      <c r="S1032" s="3" t="str">
        <f ca="1">IFERROR(__xludf.DUMMYFUNCTION("""COMPUTED_VALUE"""),"2055-06-03T16:15:40.648583Z")</f>
        <v>2055-06-03T16:15:40.648583Z</v>
      </c>
      <c r="T1032" s="3"/>
      <c r="U1032" s="4">
        <f ca="1">IFERROR(__xludf.DUMMYFUNCTION("""COMPUTED_VALUE"""),56768)</f>
        <v>56768</v>
      </c>
      <c r="V1032" s="3">
        <f ca="1">IFERROR(__xludf.DUMMYFUNCTION("""COMPUTED_VALUE"""),2.560617369)</f>
        <v>2.560617369</v>
      </c>
      <c r="W1032" s="3">
        <f ca="1">IFERROR(__xludf.DUMMYFUNCTION("""COMPUTED_VALUE"""),1000)</f>
        <v>1000</v>
      </c>
      <c r="X1032" s="3">
        <f ca="1">IFERROR(__xludf.DUMMYFUNCTION("""COMPUTED_VALUE"""),1827)</f>
        <v>1827</v>
      </c>
      <c r="Y1032" s="3">
        <f ca="1">IFERROR(__xludf.DUMMYFUNCTION("""COMPUTED_VALUE"""),637)</f>
        <v>637</v>
      </c>
      <c r="Z1032" s="3">
        <f ca="1">IFERROR(__xludf.DUMMYFUNCTION("""COMPUTED_VALUE"""),391)</f>
        <v>391</v>
      </c>
      <c r="AA1032" s="3">
        <f ca="1">IFERROR(__xludf.DUMMYFUNCTION("""COMPUTED_VALUE"""),799)</f>
        <v>799</v>
      </c>
      <c r="AB1032" s="3">
        <f ca="1">IFERROR(__xludf.DUMMYFUNCTION("""COMPUTED_VALUE"""),0)</f>
        <v>0</v>
      </c>
      <c r="AC1032" s="3">
        <f ca="1">IFERROR(__xludf.DUMMYFUNCTION("""COMPUTED_VALUE"""),1)</f>
        <v>1</v>
      </c>
      <c r="AD1032" s="3" t="str">
        <f ca="1">IFERROR(__xludf.DUMMYFUNCTION("""COMPUTED_VALUE"""),"on time")</f>
        <v>on time</v>
      </c>
      <c r="AE1032" s="3" t="str">
        <f ca="1">IFERROR(__xludf.DUMMYFUNCTION("""COMPUTED_VALUE"""),"2055-06-03T12:22:11.468808Z")</f>
        <v>2055-06-03T12:22:11.468808Z</v>
      </c>
      <c r="AF1032" s="3" t="str">
        <f ca="1">IFERROR(__xludf.DUMMYFUNCTION("""COMPUTED_VALUE"""),"2055-06-03T12:35:30.288899Z")</f>
        <v>2055-06-03T12:35:30.288899Z</v>
      </c>
      <c r="AG1032" s="3" t="str">
        <f ca="1">IFERROR(__xludf.DUMMYFUNCTION("""COMPUTED_VALUE"""),"2055-06-03T12:02:47.387652Z")</f>
        <v>2055-06-03T12:02:47.387652Z</v>
      </c>
      <c r="AH1032" s="3" t="str">
        <f ca="1">IFERROR(__xludf.DUMMYFUNCTION("""COMPUTED_VALUE"""),"2055-06-03T12:15:40.648583Z")</f>
        <v>2055-06-03T12:15:40.648583Z</v>
      </c>
      <c r="AI1032" s="3">
        <f ca="1">IFERROR(__xludf.DUMMYFUNCTION("""COMPUTED_VALUE"""),4.79)</f>
        <v>4.79</v>
      </c>
      <c r="AJ1032" s="3">
        <f ca="1">IFERROR(__xludf.DUMMYFUNCTION("""COMPUTED_VALUE"""),1007)</f>
        <v>1007</v>
      </c>
      <c r="AK1032" s="3">
        <f ca="1">IFERROR(__xludf.DUMMYFUNCTION("""COMPUTED_VALUE"""),2899)</f>
        <v>2899</v>
      </c>
      <c r="AL1032" s="3">
        <f ca="1">IFERROR(__xludf.DUMMYFUNCTION("""COMPUTED_VALUE"""),1301)</f>
        <v>1301</v>
      </c>
      <c r="AM1032" s="3">
        <f>IFERROR(Raw_Data!AL1032 / Raw_Data!AK1032, "")</f>
        <v>0.44877543980682993</v>
      </c>
      <c r="AN1032" s="3" t="str">
        <f>IF(ISBLANK(Raw_Data!AL1032), "No", "Yes")</f>
        <v>Yes</v>
      </c>
      <c r="AO1032" s="3">
        <f>IFERROR(Raw_Data!Z1032/60, "")</f>
        <v>6.5166666666666666</v>
      </c>
    </row>
    <row r="1033" spans="1:41" ht="13">
      <c r="A1033" s="3">
        <f ca="1">IFERROR(__xludf.DUMMYFUNCTION("""COMPUTED_VALUE"""),339)</f>
        <v>339</v>
      </c>
      <c r="B1033" s="3">
        <f ca="1">IFERROR(__xludf.DUMMYFUNCTION("""COMPUTED_VALUE"""),5)</f>
        <v>5</v>
      </c>
      <c r="C1033" s="3">
        <f ca="1">IFERROR(__xludf.DUMMYFUNCTION("""COMPUTED_VALUE"""),4050)</f>
        <v>4050</v>
      </c>
      <c r="D1033" s="3" t="str">
        <f ca="1">IFERROR(__xludf.DUMMYFUNCTION("""COMPUTED_VALUE"""),"Doorlanta")</f>
        <v>Doorlanta</v>
      </c>
      <c r="E1033" s="3" t="str">
        <f ca="1">IFERROR(__xludf.DUMMYFUNCTION("""COMPUTED_VALUE"""),"Galaxy A")</f>
        <v>Galaxy A</v>
      </c>
      <c r="F1033" s="3" t="str">
        <f ca="1">IFERROR(__xludf.DUMMYFUNCTION("""COMPUTED_VALUE"""),"Andy")</f>
        <v>Andy</v>
      </c>
      <c r="G1033" s="3">
        <f ca="1">IFERROR(__xludf.DUMMYFUNCTION("""COMPUTED_VALUE"""),0)</f>
        <v>0</v>
      </c>
      <c r="H1033" s="3" t="str">
        <f ca="1">IFERROR(__xludf.DUMMYFUNCTION("""COMPUTED_VALUE"""),"car")</f>
        <v>car</v>
      </c>
      <c r="I1033" s="3" t="str">
        <f ca="1">IFERROR(__xludf.DUMMYFUNCTION("""COMPUTED_VALUE"""),"2055-06-03T21:54:19.990838Z")</f>
        <v>2055-06-03T21:54:19.990838Z</v>
      </c>
      <c r="J1033" s="3" t="str">
        <f ca="1">IFERROR(__xludf.DUMMYFUNCTION("""COMPUTED_VALUE"""),"2055-06-03T22:58:12.077Z")</f>
        <v>2055-06-03T22:58:12.077Z</v>
      </c>
      <c r="K1033" s="3" t="str">
        <f ca="1">IFERROR(__xludf.DUMMYFUNCTION("""COMPUTED_VALUE"""),"2055-06-03T22:43:31.077Z")</f>
        <v>2055-06-03T22:43:31.077Z</v>
      </c>
      <c r="L1033" s="3">
        <f ca="1">IFERROR(__xludf.DUMMYFUNCTION("""COMPUTED_VALUE"""),1)</f>
        <v>1</v>
      </c>
      <c r="M1033" s="3">
        <f ca="1">IFERROR(__xludf.DUMMYFUNCTION("""COMPUTED_VALUE"""),0)</f>
        <v>0</v>
      </c>
      <c r="N1033" s="3" t="str">
        <f ca="1">IFERROR(__xludf.DUMMYFUNCTION("""COMPUTED_VALUE"""),"2055-06-03T22:11:24.507168Z")</f>
        <v>2055-06-03T22:11:24.507168Z</v>
      </c>
      <c r="O1033" s="3" t="str">
        <f ca="1">IFERROR(__xludf.DUMMYFUNCTION("""COMPUTED_VALUE"""),"2055-06-03T22:23:03.108399Z")</f>
        <v>2055-06-03T22:23:03.108399Z</v>
      </c>
      <c r="P1033" s="3" t="str">
        <f ca="1">IFERROR(__xludf.DUMMYFUNCTION("""COMPUTED_VALUE"""),"2055-06-03T21:55:07.482233Z")</f>
        <v>2055-06-03T21:55:07.482233Z</v>
      </c>
      <c r="Q1033" s="3">
        <f ca="1">IFERROR(__xludf.DUMMYFUNCTION("""COMPUTED_VALUE"""),0)</f>
        <v>0</v>
      </c>
      <c r="R1033" s="3" t="str">
        <f ca="1">IFERROR(__xludf.DUMMYFUNCTION("""COMPUTED_VALUE"""),"2055-06-03T21:55:18.421156Z")</f>
        <v>2055-06-03T21:55:18.421156Z</v>
      </c>
      <c r="S1033" s="3" t="str">
        <f ca="1">IFERROR(__xludf.DUMMYFUNCTION("""COMPUTED_VALUE"""),"2055-06-03T22:08:11.531093Z")</f>
        <v>2055-06-03T22:08:11.531093Z</v>
      </c>
      <c r="T1033" s="3"/>
      <c r="U1033" s="4">
        <f ca="1">IFERROR(__xludf.DUMMYFUNCTION("""COMPUTED_VALUE"""),56768)</f>
        <v>56768</v>
      </c>
      <c r="V1033" s="3">
        <f ca="1">IFERROR(__xludf.DUMMYFUNCTION("""COMPUTED_VALUE"""),4.5)</f>
        <v>4.5</v>
      </c>
      <c r="W1033" s="3">
        <f ca="1">IFERROR(__xludf.DUMMYFUNCTION("""COMPUTED_VALUE"""),1000)</f>
        <v>1000</v>
      </c>
      <c r="X1033" s="3">
        <f ca="1">IFERROR(__xludf.DUMMYFUNCTION("""COMPUTED_VALUE"""),1665)</f>
        <v>1665</v>
      </c>
      <c r="Y1033" s="3">
        <f ca="1">IFERROR(__xludf.DUMMYFUNCTION("""COMPUTED_VALUE"""),773)</f>
        <v>773</v>
      </c>
      <c r="Z1033" s="3">
        <f ca="1">IFERROR(__xludf.DUMMYFUNCTION("""COMPUTED_VALUE"""),193)</f>
        <v>193</v>
      </c>
      <c r="AA1033" s="3">
        <f ca="1">IFERROR(__xludf.DUMMYFUNCTION("""COMPUTED_VALUE"""),699)</f>
        <v>699</v>
      </c>
      <c r="AB1033" s="3">
        <f ca="1">IFERROR(__xludf.DUMMYFUNCTION("""COMPUTED_VALUE"""),0)</f>
        <v>0</v>
      </c>
      <c r="AC1033" s="3">
        <f ca="1">IFERROR(__xludf.DUMMYFUNCTION("""COMPUTED_VALUE"""),1)</f>
        <v>1</v>
      </c>
      <c r="AD1033" s="3" t="str">
        <f ca="1">IFERROR(__xludf.DUMMYFUNCTION("""COMPUTED_VALUE"""),"on time")</f>
        <v>on time</v>
      </c>
      <c r="AE1033" s="3" t="str">
        <f ca="1">IFERROR(__xludf.DUMMYFUNCTION("""COMPUTED_VALUE"""),"2055-06-03T18:11:24.507168Z")</f>
        <v>2055-06-03T18:11:24.507168Z</v>
      </c>
      <c r="AF1033" s="3" t="str">
        <f ca="1">IFERROR(__xludf.DUMMYFUNCTION("""COMPUTED_VALUE"""),"2055-06-03T18:23:03.108399Z")</f>
        <v>2055-06-03T18:23:03.108399Z</v>
      </c>
      <c r="AG1033" s="3" t="str">
        <f ca="1">IFERROR(__xludf.DUMMYFUNCTION("""COMPUTED_VALUE"""),"2055-06-03T17:55:07.482233Z")</f>
        <v>2055-06-03T17:55:07.482233Z</v>
      </c>
      <c r="AH1033" s="3" t="str">
        <f ca="1">IFERROR(__xludf.DUMMYFUNCTION("""COMPUTED_VALUE"""),"2055-06-03T18:08:11.531093Z")</f>
        <v>2055-06-03T18:08:11.531093Z</v>
      </c>
      <c r="AI1033" s="3">
        <f ca="1">IFERROR(__xludf.DUMMYFUNCTION("""COMPUTED_VALUE"""),4.5)</f>
        <v>4.5</v>
      </c>
      <c r="AJ1033" s="3">
        <f ca="1">IFERROR(__xludf.DUMMYFUNCTION("""COMPUTED_VALUE"""),55)</f>
        <v>55</v>
      </c>
      <c r="AK1033" s="3">
        <f ca="1">IFERROR(__xludf.DUMMYFUNCTION("""COMPUTED_VALUE"""),211)</f>
        <v>211</v>
      </c>
      <c r="AL1033" s="3">
        <f ca="1">IFERROR(__xludf.DUMMYFUNCTION("""COMPUTED_VALUE"""),6)</f>
        <v>6</v>
      </c>
      <c r="AM1033" s="3">
        <f>IFERROR(Raw_Data!AL1033 / Raw_Data!AK1033, "")</f>
        <v>2.843601895734597E-2</v>
      </c>
      <c r="AN1033" s="3" t="str">
        <f>IF(ISBLANK(Raw_Data!AL1033), "No", "Yes")</f>
        <v>Yes</v>
      </c>
      <c r="AO1033" s="3">
        <f>IFERROR(Raw_Data!Z1033/60, "")</f>
        <v>3.2166666666666668</v>
      </c>
    </row>
    <row r="1034" spans="1:41" ht="13">
      <c r="A1034" s="3">
        <f ca="1">IFERROR(__xludf.DUMMYFUNCTION("""COMPUTED_VALUE"""),754)</f>
        <v>754</v>
      </c>
      <c r="B1034" s="3"/>
      <c r="C1034" s="3">
        <f ca="1">IFERROR(__xludf.DUMMYFUNCTION("""COMPUTED_VALUE"""),4050)</f>
        <v>4050</v>
      </c>
      <c r="D1034" s="3" t="str">
        <f ca="1">IFERROR(__xludf.DUMMYFUNCTION("""COMPUTED_VALUE"""),"Doorlanta")</f>
        <v>Doorlanta</v>
      </c>
      <c r="E1034" s="3" t="str">
        <f ca="1">IFERROR(__xludf.DUMMYFUNCTION("""COMPUTED_VALUE"""),"Galaxy A")</f>
        <v>Galaxy A</v>
      </c>
      <c r="F1034" s="3" t="str">
        <f ca="1">IFERROR(__xludf.DUMMYFUNCTION("""COMPUTED_VALUE"""),"Joe")</f>
        <v>Joe</v>
      </c>
      <c r="G1034" s="3">
        <f ca="1">IFERROR(__xludf.DUMMYFUNCTION("""COMPUTED_VALUE"""),0)</f>
        <v>0</v>
      </c>
      <c r="H1034" s="3" t="str">
        <f ca="1">IFERROR(__xludf.DUMMYFUNCTION("""COMPUTED_VALUE"""),"car")</f>
        <v>car</v>
      </c>
      <c r="I1034" s="3" t="str">
        <f ca="1">IFERROR(__xludf.DUMMYFUNCTION("""COMPUTED_VALUE"""),"2055-06-06T18:11:47.942236Z")</f>
        <v>2055-06-06T18:11:47.942236Z</v>
      </c>
      <c r="J1034" s="3" t="str">
        <f ca="1">IFERROR(__xludf.DUMMYFUNCTION("""COMPUTED_VALUE"""),"2055-06-06T19:39:30.029Z")</f>
        <v>2055-06-06T19:39:30.029Z</v>
      </c>
      <c r="K1034" s="3" t="str">
        <f ca="1">IFERROR(__xludf.DUMMYFUNCTION("""COMPUTED_VALUE"""),"2055-06-06T19:11:17.029Z")</f>
        <v>2055-06-06T19:11:17.029Z</v>
      </c>
      <c r="L1034" s="3">
        <f ca="1">IFERROR(__xludf.DUMMYFUNCTION("""COMPUTED_VALUE"""),1)</f>
        <v>1</v>
      </c>
      <c r="M1034" s="3">
        <f ca="1">IFERROR(__xludf.DUMMYFUNCTION("""COMPUTED_VALUE"""),0)</f>
        <v>0</v>
      </c>
      <c r="N1034" s="3" t="str">
        <f ca="1">IFERROR(__xludf.DUMMYFUNCTION("""COMPUTED_VALUE"""),"2055-06-06T18:51:42.894611Z")</f>
        <v>2055-06-06T18:51:42.894611Z</v>
      </c>
      <c r="O1034" s="3" t="str">
        <f ca="1">IFERROR(__xludf.DUMMYFUNCTION("""COMPUTED_VALUE"""),"2055-06-06T19:03:23.72865Z")</f>
        <v>2055-06-06T19:03:23.72865Z</v>
      </c>
      <c r="P1034" s="3" t="str">
        <f ca="1">IFERROR(__xludf.DUMMYFUNCTION("""COMPUTED_VALUE"""),"2055-06-06T18:13:27.342809Z")</f>
        <v>2055-06-06T18:13:27.342809Z</v>
      </c>
      <c r="Q1034" s="3">
        <f ca="1">IFERROR(__xludf.DUMMYFUNCTION("""COMPUTED_VALUE"""),0)</f>
        <v>0</v>
      </c>
      <c r="R1034" s="3" t="str">
        <f ca="1">IFERROR(__xludf.DUMMYFUNCTION("""COMPUTED_VALUE"""),"2055-06-06T18:13:55.470816Z")</f>
        <v>2055-06-06T18:13:55.470816Z</v>
      </c>
      <c r="S1034" s="3" t="str">
        <f ca="1">IFERROR(__xludf.DUMMYFUNCTION("""COMPUTED_VALUE"""),"2055-06-06T18:46:02.849118Z")</f>
        <v>2055-06-06T18:46:02.849118Z</v>
      </c>
      <c r="T1034" s="3"/>
      <c r="U1034" s="4">
        <f ca="1">IFERROR(__xludf.DUMMYFUNCTION("""COMPUTED_VALUE"""),56771)</f>
        <v>56771</v>
      </c>
      <c r="V1034" s="3">
        <f ca="1">IFERROR(__xludf.DUMMYFUNCTION("""COMPUTED_VALUE"""),4.4)</f>
        <v>4.4000000000000004</v>
      </c>
      <c r="W1034" s="3">
        <f ca="1">IFERROR(__xludf.DUMMYFUNCTION("""COMPUTED_VALUE"""),1000)</f>
        <v>1000</v>
      </c>
      <c r="X1034" s="3">
        <f ca="1">IFERROR(__xludf.DUMMYFUNCTION("""COMPUTED_VALUE"""),2968)</f>
        <v>2968</v>
      </c>
      <c r="Y1034" s="3">
        <f ca="1">IFERROR(__xludf.DUMMYFUNCTION("""COMPUTED_VALUE"""),1927)</f>
        <v>1927</v>
      </c>
      <c r="Z1034" s="3">
        <f ca="1">IFERROR(__xludf.DUMMYFUNCTION("""COMPUTED_VALUE"""),340)</f>
        <v>340</v>
      </c>
      <c r="AA1034" s="3">
        <f ca="1">IFERROR(__xludf.DUMMYFUNCTION("""COMPUTED_VALUE"""),701)</f>
        <v>701</v>
      </c>
      <c r="AB1034" s="3">
        <f ca="1">IFERROR(__xludf.DUMMYFUNCTION("""COMPUTED_VALUE"""),0)</f>
        <v>0</v>
      </c>
      <c r="AC1034" s="3">
        <f ca="1">IFERROR(__xludf.DUMMYFUNCTION("""COMPUTED_VALUE"""),1)</f>
        <v>1</v>
      </c>
      <c r="AD1034" s="3" t="str">
        <f ca="1">IFERROR(__xludf.DUMMYFUNCTION("""COMPUTED_VALUE"""),"late")</f>
        <v>late</v>
      </c>
      <c r="AE1034" s="3" t="str">
        <f ca="1">IFERROR(__xludf.DUMMYFUNCTION("""COMPUTED_VALUE"""),"2055-06-06T14:51:42.894611Z")</f>
        <v>2055-06-06T14:51:42.894611Z</v>
      </c>
      <c r="AF1034" s="3" t="str">
        <f ca="1">IFERROR(__xludf.DUMMYFUNCTION("""COMPUTED_VALUE"""),"2055-06-06T15:03:23.72865Z")</f>
        <v>2055-06-06T15:03:23.72865Z</v>
      </c>
      <c r="AG1034" s="3" t="str">
        <f ca="1">IFERROR(__xludf.DUMMYFUNCTION("""COMPUTED_VALUE"""),"2055-06-06T14:13:27.342809Z")</f>
        <v>2055-06-06T14:13:27.342809Z</v>
      </c>
      <c r="AH1034" s="3" t="str">
        <f ca="1">IFERROR(__xludf.DUMMYFUNCTION("""COMPUTED_VALUE"""),"2055-06-06T14:46:02.849118Z")</f>
        <v>2055-06-06T14:46:02.849118Z</v>
      </c>
      <c r="AI1034" s="3">
        <f ca="1">IFERROR(__xludf.DUMMYFUNCTION("""COMPUTED_VALUE"""),4.38)</f>
        <v>4.38</v>
      </c>
      <c r="AJ1034" s="3">
        <f ca="1">IFERROR(__xludf.DUMMYFUNCTION("""COMPUTED_VALUE"""),196)</f>
        <v>196</v>
      </c>
      <c r="AK1034" s="3">
        <f ca="1">IFERROR(__xludf.DUMMYFUNCTION("""COMPUTED_VALUE"""),626)</f>
        <v>626</v>
      </c>
      <c r="AL1034" s="3"/>
      <c r="AM1034" s="3">
        <f>IFERROR(Raw_Data!AL1034 / Raw_Data!AK1034, "")</f>
        <v>0</v>
      </c>
      <c r="AN1034" s="3" t="str">
        <f>IF(ISBLANK(Raw_Data!AL1034), "No", "Yes")</f>
        <v>No</v>
      </c>
      <c r="AO1034" s="3">
        <f>IFERROR(Raw_Data!Z1034/60, "")</f>
        <v>5.666666666666667</v>
      </c>
    </row>
    <row r="1035" spans="1:41" ht="13">
      <c r="A1035" s="3">
        <f ca="1">IFERROR(__xludf.DUMMYFUNCTION("""COMPUTED_VALUE"""),393)</f>
        <v>393</v>
      </c>
      <c r="B1035" s="3">
        <f ca="1">IFERROR(__xludf.DUMMYFUNCTION("""COMPUTED_VALUE"""),5)</f>
        <v>5</v>
      </c>
      <c r="C1035" s="3">
        <f ca="1">IFERROR(__xludf.DUMMYFUNCTION("""COMPUTED_VALUE"""),4050)</f>
        <v>4050</v>
      </c>
      <c r="D1035" s="3" t="str">
        <f ca="1">IFERROR(__xludf.DUMMYFUNCTION("""COMPUTED_VALUE"""),"Doorlanta")</f>
        <v>Doorlanta</v>
      </c>
      <c r="E1035" s="3" t="str">
        <f ca="1">IFERROR(__xludf.DUMMYFUNCTION("""COMPUTED_VALUE"""),"Galaxy A")</f>
        <v>Galaxy A</v>
      </c>
      <c r="F1035" s="3" t="str">
        <f ca="1">IFERROR(__xludf.DUMMYFUNCTION("""COMPUTED_VALUE"""),"Matt")</f>
        <v>Matt</v>
      </c>
      <c r="G1035" s="3">
        <f ca="1">IFERROR(__xludf.DUMMYFUNCTION("""COMPUTED_VALUE"""),0)</f>
        <v>0</v>
      </c>
      <c r="H1035" s="3" t="str">
        <f ca="1">IFERROR(__xludf.DUMMYFUNCTION("""COMPUTED_VALUE"""),"car")</f>
        <v>car</v>
      </c>
      <c r="I1035" s="3" t="str">
        <f ca="1">IFERROR(__xludf.DUMMYFUNCTION("""COMPUTED_VALUE"""),"2055-06-04T01:43:18.403235Z")</f>
        <v>2055-06-04T01:43:18.403235Z</v>
      </c>
      <c r="J1035" s="3" t="str">
        <f ca="1">IFERROR(__xludf.DUMMYFUNCTION("""COMPUTED_VALUE"""),"2055-06-04T02:27:55.48Z")</f>
        <v>2055-06-04T02:27:55.48Z</v>
      </c>
      <c r="K1035" s="3" t="str">
        <f ca="1">IFERROR(__xludf.DUMMYFUNCTION("""COMPUTED_VALUE"""),"2055-06-04T02:22:48.48Z")</f>
        <v>2055-06-04T02:22:48.48Z</v>
      </c>
      <c r="L1035" s="3">
        <f ca="1">IFERROR(__xludf.DUMMYFUNCTION("""COMPUTED_VALUE"""),1)</f>
        <v>1</v>
      </c>
      <c r="M1035" s="3">
        <f ca="1">IFERROR(__xludf.DUMMYFUNCTION("""COMPUTED_VALUE"""),0)</f>
        <v>0</v>
      </c>
      <c r="N1035" s="3" t="str">
        <f ca="1">IFERROR(__xludf.DUMMYFUNCTION("""COMPUTED_VALUE"""),"2055-06-04T02:18:40.836201Z")</f>
        <v>2055-06-04T02:18:40.836201Z</v>
      </c>
      <c r="O1035" s="3" t="str">
        <f ca="1">IFERROR(__xludf.DUMMYFUNCTION("""COMPUTED_VALUE"""),"2055-06-04T02:35:41.940633Z")</f>
        <v>2055-06-04T02:35:41.940633Z</v>
      </c>
      <c r="P1035" s="3" t="str">
        <f ca="1">IFERROR(__xludf.DUMMYFUNCTION("""COMPUTED_VALUE"""),"2055-06-04T01:52:27.334394Z")</f>
        <v>2055-06-04T01:52:27.334394Z</v>
      </c>
      <c r="Q1035" s="3">
        <f ca="1">IFERROR(__xludf.DUMMYFUNCTION("""COMPUTED_VALUE"""),0)</f>
        <v>0</v>
      </c>
      <c r="R1035" s="3" t="str">
        <f ca="1">IFERROR(__xludf.DUMMYFUNCTION("""COMPUTED_VALUE"""),"2055-06-04T01:52:36.158222Z")</f>
        <v>2055-06-04T01:52:36.158222Z</v>
      </c>
      <c r="S1035" s="3" t="str">
        <f ca="1">IFERROR(__xludf.DUMMYFUNCTION("""COMPUTED_VALUE"""),"2055-06-04T02:15:49.364003Z")</f>
        <v>2055-06-04T02:15:49.364003Z</v>
      </c>
      <c r="T1035" s="3"/>
      <c r="U1035" s="4">
        <f ca="1">IFERROR(__xludf.DUMMYFUNCTION("""COMPUTED_VALUE"""),56768)</f>
        <v>56768</v>
      </c>
      <c r="V1035" s="3">
        <f ca="1">IFERROR(__xludf.DUMMYFUNCTION("""COMPUTED_VALUE"""),4.3)</f>
        <v>4.3</v>
      </c>
      <c r="W1035" s="3">
        <f ca="1">IFERROR(__xludf.DUMMYFUNCTION("""COMPUTED_VALUE"""),1000)</f>
        <v>1000</v>
      </c>
      <c r="X1035" s="3">
        <f ca="1">IFERROR(__xludf.DUMMYFUNCTION("""COMPUTED_VALUE"""),2585)</f>
        <v>2585</v>
      </c>
      <c r="Y1035" s="3">
        <f ca="1">IFERROR(__xludf.DUMMYFUNCTION("""COMPUTED_VALUE"""),1393)</f>
        <v>1393</v>
      </c>
      <c r="Z1035" s="3">
        <f ca="1">IFERROR(__xludf.DUMMYFUNCTION("""COMPUTED_VALUE"""),171)</f>
        <v>171</v>
      </c>
      <c r="AA1035" s="3">
        <f ca="1">IFERROR(__xludf.DUMMYFUNCTION("""COMPUTED_VALUE"""),1021)</f>
        <v>1021</v>
      </c>
      <c r="AB1035" s="3">
        <f ca="1">IFERROR(__xludf.DUMMYFUNCTION("""COMPUTED_VALUE"""),0)</f>
        <v>0</v>
      </c>
      <c r="AC1035" s="3">
        <f ca="1">IFERROR(__xludf.DUMMYFUNCTION("""COMPUTED_VALUE"""),2)</f>
        <v>2</v>
      </c>
      <c r="AD1035" s="3" t="str">
        <f ca="1">IFERROR(__xludf.DUMMYFUNCTION("""COMPUTED_VALUE"""),"late")</f>
        <v>late</v>
      </c>
      <c r="AE1035" s="3" t="str">
        <f ca="1">IFERROR(__xludf.DUMMYFUNCTION("""COMPUTED_VALUE"""),"2055-06-03T22:18:40.836201Z")</f>
        <v>2055-06-03T22:18:40.836201Z</v>
      </c>
      <c r="AF1035" s="3" t="str">
        <f ca="1">IFERROR(__xludf.DUMMYFUNCTION("""COMPUTED_VALUE"""),"2055-06-03T22:35:41.940633Z")</f>
        <v>2055-06-03T22:35:41.940633Z</v>
      </c>
      <c r="AG1035" s="3" t="str">
        <f ca="1">IFERROR(__xludf.DUMMYFUNCTION("""COMPUTED_VALUE"""),"2055-06-03T21:52:27.334394Z")</f>
        <v>2055-06-03T21:52:27.334394Z</v>
      </c>
      <c r="AH1035" s="3" t="str">
        <f ca="1">IFERROR(__xludf.DUMMYFUNCTION("""COMPUTED_VALUE"""),"2055-06-03T22:15:49.364003Z")</f>
        <v>2055-06-03T22:15:49.364003Z</v>
      </c>
      <c r="AI1035" s="3">
        <f ca="1">IFERROR(__xludf.DUMMYFUNCTION("""COMPUTED_VALUE"""),4.22)</f>
        <v>4.22</v>
      </c>
      <c r="AJ1035" s="3">
        <f ca="1">IFERROR(__xludf.DUMMYFUNCTION("""COMPUTED_VALUE"""),1551)</f>
        <v>1551</v>
      </c>
      <c r="AK1035" s="3">
        <f ca="1">IFERROR(__xludf.DUMMYFUNCTION("""COMPUTED_VALUE"""),4625)</f>
        <v>4625</v>
      </c>
      <c r="AL1035" s="3"/>
      <c r="AM1035" s="3">
        <f>IFERROR(Raw_Data!AL1035 / Raw_Data!AK1035, "")</f>
        <v>0</v>
      </c>
      <c r="AN1035" s="3" t="str">
        <f>IF(ISBLANK(Raw_Data!AL1035), "No", "Yes")</f>
        <v>No</v>
      </c>
      <c r="AO1035" s="3">
        <f>IFERROR(Raw_Data!Z1035/60, "")</f>
        <v>2.85</v>
      </c>
    </row>
    <row r="1036" spans="1:41" ht="13">
      <c r="A1036" s="3">
        <f ca="1">IFERROR(__xludf.DUMMYFUNCTION("""COMPUTED_VALUE"""),441)</f>
        <v>441</v>
      </c>
      <c r="B1036" s="3">
        <f ca="1">IFERROR(__xludf.DUMMYFUNCTION("""COMPUTED_VALUE"""),1)</f>
        <v>1</v>
      </c>
      <c r="C1036" s="3">
        <f ca="1">IFERROR(__xludf.DUMMYFUNCTION("""COMPUTED_VALUE"""),4050)</f>
        <v>4050</v>
      </c>
      <c r="D1036" s="3" t="str">
        <f ca="1">IFERROR(__xludf.DUMMYFUNCTION("""COMPUTED_VALUE"""),"Doorlanta")</f>
        <v>Doorlanta</v>
      </c>
      <c r="E1036" s="3" t="str">
        <f ca="1">IFERROR(__xludf.DUMMYFUNCTION("""COMPUTED_VALUE"""),"Galaxy A")</f>
        <v>Galaxy A</v>
      </c>
      <c r="F1036" s="3" t="str">
        <f ca="1">IFERROR(__xludf.DUMMYFUNCTION("""COMPUTED_VALUE"""),"Matthew")</f>
        <v>Matthew</v>
      </c>
      <c r="G1036" s="3">
        <f ca="1">IFERROR(__xludf.DUMMYFUNCTION("""COMPUTED_VALUE"""),0)</f>
        <v>0</v>
      </c>
      <c r="H1036" s="3" t="str">
        <f ca="1">IFERROR(__xludf.DUMMYFUNCTION("""COMPUTED_VALUE"""),"car")</f>
        <v>car</v>
      </c>
      <c r="I1036" s="3" t="str">
        <f ca="1">IFERROR(__xludf.DUMMYFUNCTION("""COMPUTED_VALUE"""),"2055-06-04T20:31:46.809853Z")</f>
        <v>2055-06-04T20:31:46.809853Z</v>
      </c>
      <c r="J1036" s="3" t="str">
        <f ca="1">IFERROR(__xludf.DUMMYFUNCTION("""COMPUTED_VALUE"""),"2055-06-04T21:11:46.892Z")</f>
        <v>2055-06-04T21:11:46.892Z</v>
      </c>
      <c r="K1036" s="3" t="str">
        <f ca="1">IFERROR(__xludf.DUMMYFUNCTION("""COMPUTED_VALUE"""),"2055-06-04T21:05:10.892Z")</f>
        <v>2055-06-04T21:05:10.892Z</v>
      </c>
      <c r="L1036" s="3">
        <f ca="1">IFERROR(__xludf.DUMMYFUNCTION("""COMPUTED_VALUE"""),1)</f>
        <v>1</v>
      </c>
      <c r="M1036" s="3">
        <f ca="1">IFERROR(__xludf.DUMMYFUNCTION("""COMPUTED_VALUE"""),0)</f>
        <v>0</v>
      </c>
      <c r="N1036" s="3" t="str">
        <f ca="1">IFERROR(__xludf.DUMMYFUNCTION("""COMPUTED_VALUE"""),"2055-06-04T20:45:55.214812Z")</f>
        <v>2055-06-04T20:45:55.214812Z</v>
      </c>
      <c r="O1036" s="3" t="str">
        <f ca="1">IFERROR(__xludf.DUMMYFUNCTION("""COMPUTED_VALUE"""),"2055-06-04T21:01:33.123675Z")</f>
        <v>2055-06-04T21:01:33.123675Z</v>
      </c>
      <c r="P1036" s="3" t="str">
        <f ca="1">IFERROR(__xludf.DUMMYFUNCTION("""COMPUTED_VALUE"""),"2055-06-04T20:32:07.295639Z")</f>
        <v>2055-06-04T20:32:07.295639Z</v>
      </c>
      <c r="Q1036" s="3">
        <f ca="1">IFERROR(__xludf.DUMMYFUNCTION("""COMPUTED_VALUE"""),0)</f>
        <v>0</v>
      </c>
      <c r="R1036" s="3" t="str">
        <f ca="1">IFERROR(__xludf.DUMMYFUNCTION("""COMPUTED_VALUE"""),"2055-06-04T20:32:32.252841Z")</f>
        <v>2055-06-04T20:32:32.252841Z</v>
      </c>
      <c r="S1036" s="3" t="str">
        <f ca="1">IFERROR(__xludf.DUMMYFUNCTION("""COMPUTED_VALUE"""),"2055-06-04T20:40:29.898851Z")</f>
        <v>2055-06-04T20:40:29.898851Z</v>
      </c>
      <c r="T1036" s="3"/>
      <c r="U1036" s="4">
        <f ca="1">IFERROR(__xludf.DUMMYFUNCTION("""COMPUTED_VALUE"""),56769)</f>
        <v>56769</v>
      </c>
      <c r="V1036" s="3">
        <f ca="1">IFERROR(__xludf.DUMMYFUNCTION("""COMPUTED_VALUE"""),4.3)</f>
        <v>4.3</v>
      </c>
      <c r="W1036" s="3">
        <f ca="1">IFERROR(__xludf.DUMMYFUNCTION("""COMPUTED_VALUE"""),1000)</f>
        <v>1000</v>
      </c>
      <c r="X1036" s="3">
        <f ca="1">IFERROR(__xludf.DUMMYFUNCTION("""COMPUTED_VALUE"""),1741)</f>
        <v>1741</v>
      </c>
      <c r="Y1036" s="3">
        <f ca="1">IFERROR(__xludf.DUMMYFUNCTION("""COMPUTED_VALUE"""),477)</f>
        <v>477</v>
      </c>
      <c r="Z1036" s="3">
        <f ca="1">IFERROR(__xludf.DUMMYFUNCTION("""COMPUTED_VALUE"""),326)</f>
        <v>326</v>
      </c>
      <c r="AA1036" s="3">
        <f ca="1">IFERROR(__xludf.DUMMYFUNCTION("""COMPUTED_VALUE"""),938)</f>
        <v>938</v>
      </c>
      <c r="AB1036" s="3">
        <f ca="1">IFERROR(__xludf.DUMMYFUNCTION("""COMPUTED_VALUE"""),0)</f>
        <v>0</v>
      </c>
      <c r="AC1036" s="3">
        <f ca="1">IFERROR(__xludf.DUMMYFUNCTION("""COMPUTED_VALUE"""),2)</f>
        <v>2</v>
      </c>
      <c r="AD1036" s="3" t="str">
        <f ca="1">IFERROR(__xludf.DUMMYFUNCTION("""COMPUTED_VALUE"""),"on time")</f>
        <v>on time</v>
      </c>
      <c r="AE1036" s="3" t="str">
        <f ca="1">IFERROR(__xludf.DUMMYFUNCTION("""COMPUTED_VALUE"""),"2055-06-04T16:45:55.214812Z")</f>
        <v>2055-06-04T16:45:55.214812Z</v>
      </c>
      <c r="AF1036" s="3" t="str">
        <f ca="1">IFERROR(__xludf.DUMMYFUNCTION("""COMPUTED_VALUE"""),"2055-06-04T17:01:33.123675Z")</f>
        <v>2055-06-04T17:01:33.123675Z</v>
      </c>
      <c r="AG1036" s="3" t="str">
        <f ca="1">IFERROR(__xludf.DUMMYFUNCTION("""COMPUTED_VALUE"""),"2055-06-04T16:32:07.295639Z")</f>
        <v>2055-06-04T16:32:07.295639Z</v>
      </c>
      <c r="AH1036" s="3" t="str">
        <f ca="1">IFERROR(__xludf.DUMMYFUNCTION("""COMPUTED_VALUE"""),"2055-06-04T16:40:29.898851Z")</f>
        <v>2055-06-04T16:40:29.898851Z</v>
      </c>
      <c r="AI1036" s="3">
        <f ca="1">IFERROR(__xludf.DUMMYFUNCTION("""COMPUTED_VALUE"""),4.411111111)</f>
        <v>4.4111111110000003</v>
      </c>
      <c r="AJ1036" s="3">
        <f ca="1">IFERROR(__xludf.DUMMYFUNCTION("""COMPUTED_VALUE"""),68)</f>
        <v>68</v>
      </c>
      <c r="AK1036" s="3">
        <f ca="1">IFERROR(__xludf.DUMMYFUNCTION("""COMPUTED_VALUE"""),223)</f>
        <v>223</v>
      </c>
      <c r="AL1036" s="3">
        <f ca="1">IFERROR(__xludf.DUMMYFUNCTION("""COMPUTED_VALUE"""),118)</f>
        <v>118</v>
      </c>
      <c r="AM1036" s="3">
        <f>IFERROR(Raw_Data!AL1036 / Raw_Data!AK1036, "")</f>
        <v>0.52914798206278024</v>
      </c>
      <c r="AN1036" s="3" t="str">
        <f>IF(ISBLANK(Raw_Data!AL1036), "No", "Yes")</f>
        <v>Yes</v>
      </c>
      <c r="AO1036" s="3">
        <f>IFERROR(Raw_Data!Z1036/60, "")</f>
        <v>5.4333333333333336</v>
      </c>
    </row>
    <row r="1037" spans="1:41" ht="13">
      <c r="A1037" s="3">
        <f ca="1">IFERROR(__xludf.DUMMYFUNCTION("""COMPUTED_VALUE"""),1546)</f>
        <v>1546</v>
      </c>
      <c r="B1037" s="3">
        <f ca="1">IFERROR(__xludf.DUMMYFUNCTION("""COMPUTED_VALUE"""),5)</f>
        <v>5</v>
      </c>
      <c r="C1037" s="3">
        <f ca="1">IFERROR(__xludf.DUMMYFUNCTION("""COMPUTED_VALUE"""),4001)</f>
        <v>4001</v>
      </c>
      <c r="D1037" s="3" t="str">
        <f ca="1">IFERROR(__xludf.DUMMYFUNCTION("""COMPUTED_VALUE"""),"Dashattan")</f>
        <v>Dashattan</v>
      </c>
      <c r="E1037" s="3" t="str">
        <f ca="1">IFERROR(__xludf.DUMMYFUNCTION("""COMPUTED_VALUE"""),"Galaxy A")</f>
        <v>Galaxy A</v>
      </c>
      <c r="F1037" s="3" t="str">
        <f ca="1">IFERROR(__xludf.DUMMYFUNCTION("""COMPUTED_VALUE"""),"Rojan")</f>
        <v>Rojan</v>
      </c>
      <c r="G1037" s="3">
        <f ca="1">IFERROR(__xludf.DUMMYFUNCTION("""COMPUTED_VALUE"""),0)</f>
        <v>0</v>
      </c>
      <c r="H1037" s="3" t="str">
        <f ca="1">IFERROR(__xludf.DUMMYFUNCTION("""COMPUTED_VALUE"""),"bicycle")</f>
        <v>bicycle</v>
      </c>
      <c r="I1037" s="3" t="str">
        <f ca="1">IFERROR(__xludf.DUMMYFUNCTION("""COMPUTED_VALUE"""),"2055-06-13T02:07:33.957866Z")</f>
        <v>2055-06-13T02:07:33.957866Z</v>
      </c>
      <c r="J1037" s="3" t="str">
        <f ca="1">IFERROR(__xludf.DUMMYFUNCTION("""COMPUTED_VALUE"""),"2055-06-13T03:44:48.013Z")</f>
        <v>2055-06-13T03:44:48.013Z</v>
      </c>
      <c r="K1037" s="3" t="str">
        <f ca="1">IFERROR(__xludf.DUMMYFUNCTION("""COMPUTED_VALUE"""),"2055-06-13T03:16:35.013Z")</f>
        <v>2055-06-13T03:16:35.013Z</v>
      </c>
      <c r="L1037" s="3">
        <f ca="1">IFERROR(__xludf.DUMMYFUNCTION("""COMPUTED_VALUE"""),1)</f>
        <v>1</v>
      </c>
      <c r="M1037" s="3">
        <f ca="1">IFERROR(__xludf.DUMMYFUNCTION("""COMPUTED_VALUE"""),0)</f>
        <v>0</v>
      </c>
      <c r="N1037" s="3" t="str">
        <f ca="1">IFERROR(__xludf.DUMMYFUNCTION("""COMPUTED_VALUE"""),"2055-06-13T03:00:33.315021Z")</f>
        <v>2055-06-13T03:00:33.315021Z</v>
      </c>
      <c r="O1037" s="3" t="str">
        <f ca="1">IFERROR(__xludf.DUMMYFUNCTION("""COMPUTED_VALUE"""),"2055-06-13T03:09:20.788159Z")</f>
        <v>2055-06-13T03:09:20.788159Z</v>
      </c>
      <c r="P1037" s="3" t="str">
        <f ca="1">IFERROR(__xludf.DUMMYFUNCTION("""COMPUTED_VALUE"""),"2055-06-13T02:45:34.089143Z")</f>
        <v>2055-06-13T02:45:34.089143Z</v>
      </c>
      <c r="Q1037" s="3">
        <f ca="1">IFERROR(__xludf.DUMMYFUNCTION("""COMPUTED_VALUE"""),0)</f>
        <v>0</v>
      </c>
      <c r="R1037" s="3" t="str">
        <f ca="1">IFERROR(__xludf.DUMMYFUNCTION("""COMPUTED_VALUE"""),"2055-06-13T02:45:38.378473Z")</f>
        <v>2055-06-13T02:45:38.378473Z</v>
      </c>
      <c r="S1037" s="3" t="str">
        <f ca="1">IFERROR(__xludf.DUMMYFUNCTION("""COMPUTED_VALUE"""),"2055-06-13T02:52:18.514459Z")</f>
        <v>2055-06-13T02:52:18.514459Z</v>
      </c>
      <c r="T1037" s="3"/>
      <c r="U1037" s="4">
        <f ca="1">IFERROR(__xludf.DUMMYFUNCTION("""COMPUTED_VALUE"""),56777)</f>
        <v>56777</v>
      </c>
      <c r="V1037" s="3">
        <f ca="1">IFERROR(__xludf.DUMMYFUNCTION("""COMPUTED_VALUE"""),4.3)</f>
        <v>4.3</v>
      </c>
      <c r="W1037" s="3">
        <f ca="1">IFERROR(__xludf.DUMMYFUNCTION("""COMPUTED_VALUE"""),1000)</f>
        <v>1000</v>
      </c>
      <c r="X1037" s="3">
        <f ca="1">IFERROR(__xludf.DUMMYFUNCTION("""COMPUTED_VALUE"""),1422)</f>
        <v>1422</v>
      </c>
      <c r="Y1037" s="3">
        <f ca="1">IFERROR(__xludf.DUMMYFUNCTION("""COMPUTED_VALUE"""),400)</f>
        <v>400</v>
      </c>
      <c r="Z1037" s="3">
        <f ca="1">IFERROR(__xludf.DUMMYFUNCTION("""COMPUTED_VALUE"""),495)</f>
        <v>495</v>
      </c>
      <c r="AA1037" s="3">
        <f ca="1">IFERROR(__xludf.DUMMYFUNCTION("""COMPUTED_VALUE"""),527)</f>
        <v>527</v>
      </c>
      <c r="AB1037" s="3">
        <f ca="1">IFERROR(__xludf.DUMMYFUNCTION("""COMPUTED_VALUE"""),0)</f>
        <v>0</v>
      </c>
      <c r="AC1037" s="3">
        <f ca="1">IFERROR(__xludf.DUMMYFUNCTION("""COMPUTED_VALUE"""),2)</f>
        <v>2</v>
      </c>
      <c r="AD1037" s="3" t="str">
        <f ca="1">IFERROR(__xludf.DUMMYFUNCTION("""COMPUTED_VALUE"""),"on time")</f>
        <v>on time</v>
      </c>
      <c r="AE1037" s="3" t="str">
        <f ca="1">IFERROR(__xludf.DUMMYFUNCTION("""COMPUTED_VALUE"""),"2055-06-12T23:00:33.315021Z")</f>
        <v>2055-06-12T23:00:33.315021Z</v>
      </c>
      <c r="AF1037" s="3" t="str">
        <f ca="1">IFERROR(__xludf.DUMMYFUNCTION("""COMPUTED_VALUE"""),"2055-06-12T23:09:20.788159Z")</f>
        <v>2055-06-12T23:09:20.788159Z</v>
      </c>
      <c r="AG1037" s="3" t="str">
        <f ca="1">IFERROR(__xludf.DUMMYFUNCTION("""COMPUTED_VALUE"""),"2055-06-12T22:45:34.089143Z")</f>
        <v>2055-06-12T22:45:34.089143Z</v>
      </c>
      <c r="AH1037" s="3" t="str">
        <f ca="1">IFERROR(__xludf.DUMMYFUNCTION("""COMPUTED_VALUE"""),"2055-06-12T22:52:18.514459Z")</f>
        <v>2055-06-12T22:52:18.514459Z</v>
      </c>
      <c r="AI1037" s="3">
        <f ca="1">IFERROR(__xludf.DUMMYFUNCTION("""COMPUTED_VALUE"""),4.58)</f>
        <v>4.58</v>
      </c>
      <c r="AJ1037" s="3">
        <f ca="1">IFERROR(__xludf.DUMMYFUNCTION("""COMPUTED_VALUE"""),254)</f>
        <v>254</v>
      </c>
      <c r="AK1037" s="3">
        <f ca="1">IFERROR(__xludf.DUMMYFUNCTION("""COMPUTED_VALUE"""),788)</f>
        <v>788</v>
      </c>
      <c r="AL1037" s="3">
        <f ca="1">IFERROR(__xludf.DUMMYFUNCTION("""COMPUTED_VALUE"""),9)</f>
        <v>9</v>
      </c>
      <c r="AM1037" s="3">
        <f>IFERROR(Raw_Data!AL1037 / Raw_Data!AK1037, "")</f>
        <v>1.1421319796954314E-2</v>
      </c>
      <c r="AN1037" s="3" t="str">
        <f>IF(ISBLANK(Raw_Data!AL1037), "No", "Yes")</f>
        <v>Yes</v>
      </c>
      <c r="AO1037" s="3">
        <f>IFERROR(Raw_Data!Z1037/60, "")</f>
        <v>8.25</v>
      </c>
    </row>
    <row r="1038" spans="1:41" ht="13">
      <c r="A1038" s="3">
        <f ca="1">IFERROR(__xludf.DUMMYFUNCTION("""COMPUTED_VALUE"""),11)</f>
        <v>11</v>
      </c>
      <c r="B1038" s="3"/>
      <c r="C1038" s="3">
        <f ca="1">IFERROR(__xludf.DUMMYFUNCTION("""COMPUTED_VALUE"""),4050)</f>
        <v>4050</v>
      </c>
      <c r="D1038" s="3" t="str">
        <f ca="1">IFERROR(__xludf.DUMMYFUNCTION("""COMPUTED_VALUE"""),"Doorlanta")</f>
        <v>Doorlanta</v>
      </c>
      <c r="E1038" s="3" t="str">
        <f ca="1">IFERROR(__xludf.DUMMYFUNCTION("""COMPUTED_VALUE"""),"Galaxy A")</f>
        <v>Galaxy A</v>
      </c>
      <c r="F1038" s="3" t="str">
        <f ca="1">IFERROR(__xludf.DUMMYFUNCTION("""COMPUTED_VALUE"""),"Ash")</f>
        <v>Ash</v>
      </c>
      <c r="G1038" s="3">
        <f ca="1">IFERROR(__xludf.DUMMYFUNCTION("""COMPUTED_VALUE"""),0)</f>
        <v>0</v>
      </c>
      <c r="H1038" s="3" t="str">
        <f ca="1">IFERROR(__xludf.DUMMYFUNCTION("""COMPUTED_VALUE"""),"car")</f>
        <v>car</v>
      </c>
      <c r="I1038" s="3" t="str">
        <f ca="1">IFERROR(__xludf.DUMMYFUNCTION("""COMPUTED_VALUE"""),"2055-06-01T15:54:03.019421Z")</f>
        <v>2055-06-01T15:54:03.019421Z</v>
      </c>
      <c r="J1038" s="3" t="str">
        <f ca="1">IFERROR(__xludf.DUMMYFUNCTION("""COMPUTED_VALUE"""),"2055-06-01T16:49:03.103Z")</f>
        <v>2055-06-01T16:49:03.103Z</v>
      </c>
      <c r="K1038" s="3" t="str">
        <f ca="1">IFERROR(__xludf.DUMMYFUNCTION("""COMPUTED_VALUE"""),"2055-06-01T16:22:03.103Z")</f>
        <v>2055-06-01T16:22:03.103Z</v>
      </c>
      <c r="L1038" s="3">
        <f ca="1">IFERROR(__xludf.DUMMYFUNCTION("""COMPUTED_VALUE"""),1)</f>
        <v>1</v>
      </c>
      <c r="M1038" s="3">
        <f ca="1">IFERROR(__xludf.DUMMYFUNCTION("""COMPUTED_VALUE"""),0)</f>
        <v>0</v>
      </c>
      <c r="N1038" s="3" t="str">
        <f ca="1">IFERROR(__xludf.DUMMYFUNCTION("""COMPUTED_VALUE"""),"2055-06-01T16:11:11.307723Z")</f>
        <v>2055-06-01T16:11:11.307723Z</v>
      </c>
      <c r="O1038" s="3" t="str">
        <f ca="1">IFERROR(__xludf.DUMMYFUNCTION("""COMPUTED_VALUE"""),"2055-06-01T16:22:27.458926Z")</f>
        <v>2055-06-01T16:22:27.458926Z</v>
      </c>
      <c r="P1038" s="3" t="str">
        <f ca="1">IFERROR(__xludf.DUMMYFUNCTION("""COMPUTED_VALUE"""),"2055-06-01T15:54:07.32004Z")</f>
        <v>2055-06-01T15:54:07.32004Z</v>
      </c>
      <c r="Q1038" s="3">
        <f ca="1">IFERROR(__xludf.DUMMYFUNCTION("""COMPUTED_VALUE"""),0)</f>
        <v>0</v>
      </c>
      <c r="R1038" s="3" t="str">
        <f ca="1">IFERROR(__xludf.DUMMYFUNCTION("""COMPUTED_VALUE"""),"2055-06-01T15:54:10.306207Z")</f>
        <v>2055-06-01T15:54:10.306207Z</v>
      </c>
      <c r="S1038" s="3" t="str">
        <f ca="1">IFERROR(__xludf.DUMMYFUNCTION("""COMPUTED_VALUE"""),"2055-06-01T15:57:36.811192Z")</f>
        <v>2055-06-01T15:57:36.811192Z</v>
      </c>
      <c r="T1038" s="3"/>
      <c r="U1038" s="4">
        <f ca="1">IFERROR(__xludf.DUMMYFUNCTION("""COMPUTED_VALUE"""),56766)</f>
        <v>56766</v>
      </c>
      <c r="V1038" s="3">
        <f ca="1">IFERROR(__xludf.DUMMYFUNCTION("""COMPUTED_VALUE"""),4.3)</f>
        <v>4.3</v>
      </c>
      <c r="W1038" s="3">
        <f ca="1">IFERROR(__xludf.DUMMYFUNCTION("""COMPUTED_VALUE"""),1000)</f>
        <v>1000</v>
      </c>
      <c r="X1038" s="3">
        <f ca="1">IFERROR(__xludf.DUMMYFUNCTION("""COMPUTED_VALUE"""),1697)</f>
        <v>1697</v>
      </c>
      <c r="Y1038" s="3">
        <f ca="1">IFERROR(__xludf.DUMMYFUNCTION("""COMPUTED_VALUE"""),206)</f>
        <v>206</v>
      </c>
      <c r="Z1038" s="3">
        <f ca="1">IFERROR(__xludf.DUMMYFUNCTION("""COMPUTED_VALUE"""),815)</f>
        <v>815</v>
      </c>
      <c r="AA1038" s="3">
        <f ca="1">IFERROR(__xludf.DUMMYFUNCTION("""COMPUTED_VALUE"""),676)</f>
        <v>676</v>
      </c>
      <c r="AB1038" s="3">
        <f ca="1">IFERROR(__xludf.DUMMYFUNCTION("""COMPUTED_VALUE"""),0)</f>
        <v>0</v>
      </c>
      <c r="AC1038" s="3">
        <f ca="1">IFERROR(__xludf.DUMMYFUNCTION("""COMPUTED_VALUE"""),1)</f>
        <v>1</v>
      </c>
      <c r="AD1038" s="3" t="str">
        <f ca="1">IFERROR(__xludf.DUMMYFUNCTION("""COMPUTED_VALUE"""),"early")</f>
        <v>early</v>
      </c>
      <c r="AE1038" s="3" t="str">
        <f ca="1">IFERROR(__xludf.DUMMYFUNCTION("""COMPUTED_VALUE"""),"2055-06-01T12:11:11.307723Z")</f>
        <v>2055-06-01T12:11:11.307723Z</v>
      </c>
      <c r="AF1038" s="3" t="str">
        <f ca="1">IFERROR(__xludf.DUMMYFUNCTION("""COMPUTED_VALUE"""),"2055-06-01T12:22:27.458926Z")</f>
        <v>2055-06-01T12:22:27.458926Z</v>
      </c>
      <c r="AG1038" s="3" t="str">
        <f ca="1">IFERROR(__xludf.DUMMYFUNCTION("""COMPUTED_VALUE"""),"2055-06-01T11:54:07.32004Z")</f>
        <v>2055-06-01T11:54:07.32004Z</v>
      </c>
      <c r="AH1038" s="3" t="str">
        <f ca="1">IFERROR(__xludf.DUMMYFUNCTION("""COMPUTED_VALUE"""),"2055-06-01T11:57:36.811192Z")</f>
        <v>2055-06-01T11:57:36.811192Z</v>
      </c>
      <c r="AI1038" s="3">
        <f ca="1">IFERROR(__xludf.DUMMYFUNCTION("""COMPUTED_VALUE"""),4.66)</f>
        <v>4.66</v>
      </c>
      <c r="AJ1038" s="3">
        <f ca="1">IFERROR(__xludf.DUMMYFUNCTION("""COMPUTED_VALUE"""),161)</f>
        <v>161</v>
      </c>
      <c r="AK1038" s="3">
        <f ca="1">IFERROR(__xludf.DUMMYFUNCTION("""COMPUTED_VALUE"""),398)</f>
        <v>398</v>
      </c>
      <c r="AL1038" s="3"/>
      <c r="AM1038" s="3">
        <f>IFERROR(Raw_Data!AL1038 / Raw_Data!AK1038, "")</f>
        <v>0</v>
      </c>
      <c r="AN1038" s="3" t="str">
        <f>IF(ISBLANK(Raw_Data!AL1038), "No", "Yes")</f>
        <v>No</v>
      </c>
      <c r="AO1038" s="3">
        <f>IFERROR(Raw_Data!Z1038/60, "")</f>
        <v>13.583333333333334</v>
      </c>
    </row>
    <row r="1039" spans="1:41" ht="13">
      <c r="A1039" s="3">
        <f ca="1">IFERROR(__xludf.DUMMYFUNCTION("""COMPUTED_VALUE"""),107)</f>
        <v>107</v>
      </c>
      <c r="B1039" s="3">
        <f ca="1">IFERROR(__xludf.DUMMYFUNCTION("""COMPUTED_VALUE"""),4)</f>
        <v>4</v>
      </c>
      <c r="C1039" s="3">
        <f ca="1">IFERROR(__xludf.DUMMYFUNCTION("""COMPUTED_VALUE"""),4001)</f>
        <v>4001</v>
      </c>
      <c r="D1039" s="3" t="str">
        <f ca="1">IFERROR(__xludf.DUMMYFUNCTION("""COMPUTED_VALUE"""),"Dashattan")</f>
        <v>Dashattan</v>
      </c>
      <c r="E1039" s="3" t="str">
        <f ca="1">IFERROR(__xludf.DUMMYFUNCTION("""COMPUTED_VALUE"""),"Galaxy A")</f>
        <v>Galaxy A</v>
      </c>
      <c r="F1039" s="3" t="str">
        <f ca="1">IFERROR(__xludf.DUMMYFUNCTION("""COMPUTED_VALUE"""),"KC")</f>
        <v>KC</v>
      </c>
      <c r="G1039" s="3">
        <f ca="1">IFERROR(__xludf.DUMMYFUNCTION("""COMPUTED_VALUE"""),0)</f>
        <v>0</v>
      </c>
      <c r="H1039" s="3" t="str">
        <f ca="1">IFERROR(__xludf.DUMMYFUNCTION("""COMPUTED_VALUE"""),"car")</f>
        <v>car</v>
      </c>
      <c r="I1039" s="3" t="str">
        <f ca="1">IFERROR(__xludf.DUMMYFUNCTION("""COMPUTED_VALUE"""),"2055-06-02T01:35:44.899988Z")</f>
        <v>2055-06-02T01:35:44.899988Z</v>
      </c>
      <c r="J1039" s="3" t="str">
        <f ca="1">IFERROR(__xludf.DUMMYFUNCTION("""COMPUTED_VALUE"""),"2055-06-02T02:29:22.96Z")</f>
        <v>2055-06-02T02:29:22.96Z</v>
      </c>
      <c r="K1039" s="3" t="str">
        <f ca="1">IFERROR(__xludf.DUMMYFUNCTION("""COMPUTED_VALUE"""),"2055-06-02T02:09:43.96Z")</f>
        <v>2055-06-02T02:09:43.96Z</v>
      </c>
      <c r="L1039" s="3">
        <f ca="1">IFERROR(__xludf.DUMMYFUNCTION("""COMPUTED_VALUE"""),1)</f>
        <v>1</v>
      </c>
      <c r="M1039" s="3">
        <f ca="1">IFERROR(__xludf.DUMMYFUNCTION("""COMPUTED_VALUE"""),0)</f>
        <v>0</v>
      </c>
      <c r="N1039" s="3" t="str">
        <f ca="1">IFERROR(__xludf.DUMMYFUNCTION("""COMPUTED_VALUE"""),"2055-06-02T01:44:45.065788Z")</f>
        <v>2055-06-02T01:44:45.065788Z</v>
      </c>
      <c r="O1039" s="3" t="str">
        <f ca="1">IFERROR(__xludf.DUMMYFUNCTION("""COMPUTED_VALUE"""),"2055-06-02T02:01:55.527823Z")</f>
        <v>2055-06-02T02:01:55.527823Z</v>
      </c>
      <c r="P1039" s="3" t="str">
        <f ca="1">IFERROR(__xludf.DUMMYFUNCTION("""COMPUTED_VALUE"""),"2055-06-02T01:39:14.256089Z")</f>
        <v>2055-06-02T01:39:14.256089Z</v>
      </c>
      <c r="Q1039" s="3">
        <f ca="1">IFERROR(__xludf.DUMMYFUNCTION("""COMPUTED_VALUE"""),0)</f>
        <v>0</v>
      </c>
      <c r="R1039" s="3" t="str">
        <f ca="1">IFERROR(__xludf.DUMMYFUNCTION("""COMPUTED_VALUE"""),"2055-06-02T01:39:32.76022Z")</f>
        <v>2055-06-02T01:39:32.76022Z</v>
      </c>
      <c r="S1039" s="3" t="str">
        <f ca="1">IFERROR(__xludf.DUMMYFUNCTION("""COMPUTED_VALUE"""),"2055-06-02T01:44:42.740832Z")</f>
        <v>2055-06-02T01:44:42.740832Z</v>
      </c>
      <c r="T1039" s="3"/>
      <c r="U1039" s="4">
        <f ca="1">IFERROR(__xludf.DUMMYFUNCTION("""COMPUTED_VALUE"""),56766)</f>
        <v>56766</v>
      </c>
      <c r="V1039" s="3">
        <f ca="1">IFERROR(__xludf.DUMMYFUNCTION("""COMPUTED_VALUE"""),3.662776197)</f>
        <v>3.6627761969999999</v>
      </c>
      <c r="W1039" s="3">
        <f ca="1">IFERROR(__xludf.DUMMYFUNCTION("""COMPUTED_VALUE"""),1000)</f>
        <v>1000</v>
      </c>
      <c r="X1039" s="3">
        <f ca="1">IFERROR(__xludf.DUMMYFUNCTION("""COMPUTED_VALUE"""),1343)</f>
        <v>1343</v>
      </c>
      <c r="Y1039" s="3">
        <f ca="1">IFERROR(__xludf.DUMMYFUNCTION("""COMPUTED_VALUE"""),310)</f>
        <v>310</v>
      </c>
      <c r="Z1039" s="3">
        <f ca="1">IFERROR(__xludf.DUMMYFUNCTION("""COMPUTED_VALUE"""),3)</f>
        <v>3</v>
      </c>
      <c r="AA1039" s="3">
        <f ca="1">IFERROR(__xludf.DUMMYFUNCTION("""COMPUTED_VALUE"""),1030)</f>
        <v>1030</v>
      </c>
      <c r="AB1039" s="3">
        <f ca="1">IFERROR(__xludf.DUMMYFUNCTION("""COMPUTED_VALUE"""),0)</f>
        <v>0</v>
      </c>
      <c r="AC1039" s="3">
        <f ca="1">IFERROR(__xludf.DUMMYFUNCTION("""COMPUTED_VALUE"""),1)</f>
        <v>1</v>
      </c>
      <c r="AD1039" s="3" t="str">
        <f ca="1">IFERROR(__xludf.DUMMYFUNCTION("""COMPUTED_VALUE"""),"on time")</f>
        <v>on time</v>
      </c>
      <c r="AE1039" s="3" t="str">
        <f ca="1">IFERROR(__xludf.DUMMYFUNCTION("""COMPUTED_VALUE"""),"2055-06-01T21:44:45.065788Z")</f>
        <v>2055-06-01T21:44:45.065788Z</v>
      </c>
      <c r="AF1039" s="3" t="str">
        <f ca="1">IFERROR(__xludf.DUMMYFUNCTION("""COMPUTED_VALUE"""),"2055-06-01T22:01:55.527823Z")</f>
        <v>2055-06-01T22:01:55.527823Z</v>
      </c>
      <c r="AG1039" s="3" t="str">
        <f ca="1">IFERROR(__xludf.DUMMYFUNCTION("""COMPUTED_VALUE"""),"2055-06-01T21:39:14.256089Z")</f>
        <v>2055-06-01T21:39:14.256089Z</v>
      </c>
      <c r="AH1039" s="3" t="str">
        <f ca="1">IFERROR(__xludf.DUMMYFUNCTION("""COMPUTED_VALUE"""),"2055-06-01T21:44:42.740832Z")</f>
        <v>2055-06-01T21:44:42.740832Z</v>
      </c>
      <c r="AI1039" s="3">
        <f ca="1">IFERROR(__xludf.DUMMYFUNCTION("""COMPUTED_VALUE"""),4.54)</f>
        <v>4.54</v>
      </c>
      <c r="AJ1039" s="3">
        <f ca="1">IFERROR(__xludf.DUMMYFUNCTION("""COMPUTED_VALUE"""),2229)</f>
        <v>2229</v>
      </c>
      <c r="AK1039" s="3">
        <f ca="1">IFERROR(__xludf.DUMMYFUNCTION("""COMPUTED_VALUE"""),6580)</f>
        <v>6580</v>
      </c>
      <c r="AL1039" s="3"/>
      <c r="AM1039" s="3">
        <f>IFERROR(Raw_Data!AL1039 / Raw_Data!AK1039, "")</f>
        <v>0</v>
      </c>
      <c r="AN1039" s="3" t="str">
        <f>IF(ISBLANK(Raw_Data!AL1039), "No", "Yes")</f>
        <v>No</v>
      </c>
      <c r="AO1039" s="3">
        <f>IFERROR(Raw_Data!Z1039/60, "")</f>
        <v>0.05</v>
      </c>
    </row>
    <row r="1040" spans="1:41" ht="13">
      <c r="A1040" s="3">
        <f ca="1">IFERROR(__xludf.DUMMYFUNCTION("""COMPUTED_VALUE"""),1501)</f>
        <v>1501</v>
      </c>
      <c r="B1040" s="3">
        <f ca="1">IFERROR(__xludf.DUMMYFUNCTION("""COMPUTED_VALUE"""),4)</f>
        <v>4</v>
      </c>
      <c r="C1040" s="3">
        <f ca="1">IFERROR(__xludf.DUMMYFUNCTION("""COMPUTED_VALUE"""),4001)</f>
        <v>4001</v>
      </c>
      <c r="D1040" s="3" t="str">
        <f ca="1">IFERROR(__xludf.DUMMYFUNCTION("""COMPUTED_VALUE"""),"Dashattan")</f>
        <v>Dashattan</v>
      </c>
      <c r="E1040" s="3" t="str">
        <f ca="1">IFERROR(__xludf.DUMMYFUNCTION("""COMPUTED_VALUE"""),"Galaxy A")</f>
        <v>Galaxy A</v>
      </c>
      <c r="F1040" s="3" t="str">
        <f ca="1">IFERROR(__xludf.DUMMYFUNCTION("""COMPUTED_VALUE"""),"J")</f>
        <v>J</v>
      </c>
      <c r="G1040" s="3">
        <f ca="1">IFERROR(__xludf.DUMMYFUNCTION("""COMPUTED_VALUE"""),0)</f>
        <v>0</v>
      </c>
      <c r="H1040" s="3" t="str">
        <f ca="1">IFERROR(__xludf.DUMMYFUNCTION("""COMPUTED_VALUE"""),"bicycle")</f>
        <v>bicycle</v>
      </c>
      <c r="I1040" s="3" t="str">
        <f ca="1">IFERROR(__xludf.DUMMYFUNCTION("""COMPUTED_VALUE"""),"2055-06-12T23:31:54.277331Z")</f>
        <v>2055-06-12T23:31:54.277331Z</v>
      </c>
      <c r="J1040" s="3" t="str">
        <f ca="1">IFERROR(__xludf.DUMMYFUNCTION("""COMPUTED_VALUE"""),"2055-06-13T00:58:47.331Z")</f>
        <v>2055-06-13T00:58:47.331Z</v>
      </c>
      <c r="K1040" s="3" t="str">
        <f ca="1">IFERROR(__xludf.DUMMYFUNCTION("""COMPUTED_VALUE"""),"2055-06-13T00:35:29.331Z")</f>
        <v>2055-06-13T00:35:29.331Z</v>
      </c>
      <c r="L1040" s="3">
        <f ca="1">IFERROR(__xludf.DUMMYFUNCTION("""COMPUTED_VALUE"""),1)</f>
        <v>1</v>
      </c>
      <c r="M1040" s="3">
        <f ca="1">IFERROR(__xludf.DUMMYFUNCTION("""COMPUTED_VALUE"""),0)</f>
        <v>0</v>
      </c>
      <c r="N1040" s="3" t="str">
        <f ca="1">IFERROR(__xludf.DUMMYFUNCTION("""COMPUTED_VALUE"""),"2055-06-13T01:04:07.877599Z")</f>
        <v>2055-06-13T01:04:07.877599Z</v>
      </c>
      <c r="O1040" s="3" t="str">
        <f ca="1">IFERROR(__xludf.DUMMYFUNCTION("""COMPUTED_VALUE"""),"2055-06-13T01:04:33.536612Z")</f>
        <v>2055-06-13T01:04:33.536612Z</v>
      </c>
      <c r="P1040" s="3" t="str">
        <f ca="1">IFERROR(__xludf.DUMMYFUNCTION("""COMPUTED_VALUE"""),"2055-06-12T23:38:16.199962Z")</f>
        <v>2055-06-12T23:38:16.199962Z</v>
      </c>
      <c r="Q1040" s="3">
        <f ca="1">IFERROR(__xludf.DUMMYFUNCTION("""COMPUTED_VALUE"""),0)</f>
        <v>0</v>
      </c>
      <c r="R1040" s="3" t="str">
        <f ca="1">IFERROR(__xludf.DUMMYFUNCTION("""COMPUTED_VALUE"""),"2055-06-12T23:38:29.881243Z")</f>
        <v>2055-06-12T23:38:29.881243Z</v>
      </c>
      <c r="S1040" s="3" t="str">
        <f ca="1">IFERROR(__xludf.DUMMYFUNCTION("""COMPUTED_VALUE"""),"2055-06-12T23:49:27.517097Z")</f>
        <v>2055-06-12T23:49:27.517097Z</v>
      </c>
      <c r="T1040" s="3"/>
      <c r="U1040" s="4">
        <f ca="1">IFERROR(__xludf.DUMMYFUNCTION("""COMPUTED_VALUE"""),56777)</f>
        <v>56777</v>
      </c>
      <c r="V1040" s="3">
        <f ca="1">IFERROR(__xludf.DUMMYFUNCTION("""COMPUTED_VALUE"""),4.3)</f>
        <v>4.3</v>
      </c>
      <c r="W1040" s="3">
        <f ca="1">IFERROR(__xludf.DUMMYFUNCTION("""COMPUTED_VALUE"""),1000)</f>
        <v>1000</v>
      </c>
      <c r="X1040" s="3">
        <f ca="1">IFERROR(__xludf.DUMMYFUNCTION("""COMPUTED_VALUE"""),5164)</f>
        <v>5164</v>
      </c>
      <c r="Y1040" s="3">
        <f ca="1">IFERROR(__xludf.DUMMYFUNCTION("""COMPUTED_VALUE"""),658)</f>
        <v>658</v>
      </c>
      <c r="Z1040" s="3">
        <f ca="1">IFERROR(__xludf.DUMMYFUNCTION("""COMPUTED_VALUE"""),4480)</f>
        <v>4480</v>
      </c>
      <c r="AA1040" s="3">
        <f ca="1">IFERROR(__xludf.DUMMYFUNCTION("""COMPUTED_VALUE"""),26)</f>
        <v>26</v>
      </c>
      <c r="AB1040" s="3">
        <f ca="1">IFERROR(__xludf.DUMMYFUNCTION("""COMPUTED_VALUE"""),1)</f>
        <v>1</v>
      </c>
      <c r="AC1040" s="3">
        <f ca="1">IFERROR(__xludf.DUMMYFUNCTION("""COMPUTED_VALUE"""),1)</f>
        <v>1</v>
      </c>
      <c r="AD1040" s="3"/>
      <c r="AE1040" s="3" t="str">
        <f ca="1">IFERROR(__xludf.DUMMYFUNCTION("""COMPUTED_VALUE"""),"2055-06-12T21:04:07.877599Z")</f>
        <v>2055-06-12T21:04:07.877599Z</v>
      </c>
      <c r="AF1040" s="3" t="str">
        <f ca="1">IFERROR(__xludf.DUMMYFUNCTION("""COMPUTED_VALUE"""),"2055-06-12T21:04:33.536612Z")</f>
        <v>2055-06-12T21:04:33.536612Z</v>
      </c>
      <c r="AG1040" s="3" t="str">
        <f ca="1">IFERROR(__xludf.DUMMYFUNCTION("""COMPUTED_VALUE"""),"2055-06-12T19:38:16.199962Z")</f>
        <v>2055-06-12T19:38:16.199962Z</v>
      </c>
      <c r="AH1040" s="3" t="str">
        <f ca="1">IFERROR(__xludf.DUMMYFUNCTION("""COMPUTED_VALUE"""),"2055-06-12T19:49:27.517097Z")</f>
        <v>2055-06-12T19:49:27.517097Z</v>
      </c>
      <c r="AI1040" s="3">
        <f ca="1">IFERROR(__xludf.DUMMYFUNCTION("""COMPUTED_VALUE"""),4.6)</f>
        <v>4.5999999999999996</v>
      </c>
      <c r="AJ1040" s="3">
        <f ca="1">IFERROR(__xludf.DUMMYFUNCTION("""COMPUTED_VALUE"""),292)</f>
        <v>292</v>
      </c>
      <c r="AK1040" s="3">
        <f ca="1">IFERROR(__xludf.DUMMYFUNCTION("""COMPUTED_VALUE"""),1027)</f>
        <v>1027</v>
      </c>
      <c r="AL1040" s="3">
        <f ca="1">IFERROR(__xludf.DUMMYFUNCTION("""COMPUTED_VALUE"""),26)</f>
        <v>26</v>
      </c>
      <c r="AM1040" s="3">
        <f>IFERROR(Raw_Data!AL1040 / Raw_Data!AK1040, "")</f>
        <v>2.5316455696202531E-2</v>
      </c>
      <c r="AN1040" s="3" t="str">
        <f>IF(ISBLANK(Raw_Data!AL1040), "No", "Yes")</f>
        <v>Yes</v>
      </c>
      <c r="AO1040" s="3">
        <f>IFERROR(Raw_Data!Z1040/60, "")</f>
        <v>74.666666666666671</v>
      </c>
    </row>
    <row r="1041" spans="1:41" ht="13">
      <c r="A1041" s="3">
        <f ca="1">IFERROR(__xludf.DUMMYFUNCTION("""COMPUTED_VALUE"""),525)</f>
        <v>525</v>
      </c>
      <c r="B1041" s="3"/>
      <c r="C1041" s="3">
        <f ca="1">IFERROR(__xludf.DUMMYFUNCTION("""COMPUTED_VALUE"""),4001)</f>
        <v>4001</v>
      </c>
      <c r="D1041" s="3" t="str">
        <f ca="1">IFERROR(__xludf.DUMMYFUNCTION("""COMPUTED_VALUE"""),"Dashattan")</f>
        <v>Dashattan</v>
      </c>
      <c r="E1041" s="3" t="str">
        <f ca="1">IFERROR(__xludf.DUMMYFUNCTION("""COMPUTED_VALUE"""),"Galaxy A")</f>
        <v>Galaxy A</v>
      </c>
      <c r="F1041" s="3" t="str">
        <f ca="1">IFERROR(__xludf.DUMMYFUNCTION("""COMPUTED_VALUE"""),"Ron")</f>
        <v>Ron</v>
      </c>
      <c r="G1041" s="3">
        <f ca="1">IFERROR(__xludf.DUMMYFUNCTION("""COMPUTED_VALUE"""),0)</f>
        <v>0</v>
      </c>
      <c r="H1041" s="3" t="str">
        <f ca="1">IFERROR(__xludf.DUMMYFUNCTION("""COMPUTED_VALUE"""),"bicycle")</f>
        <v>bicycle</v>
      </c>
      <c r="I1041" s="3" t="str">
        <f ca="1">IFERROR(__xludf.DUMMYFUNCTION("""COMPUTED_VALUE"""),"2055-06-05T01:24:23.030073Z")</f>
        <v>2055-06-05T01:24:23.030073Z</v>
      </c>
      <c r="J1041" s="3" t="str">
        <f ca="1">IFERROR(__xludf.DUMMYFUNCTION("""COMPUTED_VALUE"""),"2055-06-05T02:03:06.086Z")</f>
        <v>2055-06-05T02:03:06.086Z</v>
      </c>
      <c r="K1041" s="3" t="str">
        <f ca="1">IFERROR(__xludf.DUMMYFUNCTION("""COMPUTED_VALUE"""),"2055-06-05T01:58:27.086Z")</f>
        <v>2055-06-05T01:58:27.086Z</v>
      </c>
      <c r="L1041" s="3">
        <f ca="1">IFERROR(__xludf.DUMMYFUNCTION("""COMPUTED_VALUE"""),1)</f>
        <v>1</v>
      </c>
      <c r="M1041" s="3">
        <f ca="1">IFERROR(__xludf.DUMMYFUNCTION("""COMPUTED_VALUE"""),0)</f>
        <v>0</v>
      </c>
      <c r="N1041" s="3" t="str">
        <f ca="1">IFERROR(__xludf.DUMMYFUNCTION("""COMPUTED_VALUE"""),"2055-06-05T01:39:58.830561Z")</f>
        <v>2055-06-05T01:39:58.830561Z</v>
      </c>
      <c r="O1041" s="3" t="str">
        <f ca="1">IFERROR(__xludf.DUMMYFUNCTION("""COMPUTED_VALUE"""),"2055-06-05T01:52:48.978049Z")</f>
        <v>2055-06-05T01:52:48.978049Z</v>
      </c>
      <c r="P1041" s="3" t="str">
        <f ca="1">IFERROR(__xludf.DUMMYFUNCTION("""COMPUTED_VALUE"""),"2055-06-05T01:24:35.061903Z")</f>
        <v>2055-06-05T01:24:35.061903Z</v>
      </c>
      <c r="Q1041" s="3">
        <f ca="1">IFERROR(__xludf.DUMMYFUNCTION("""COMPUTED_VALUE"""),0)</f>
        <v>0</v>
      </c>
      <c r="R1041" s="3" t="str">
        <f ca="1">IFERROR(__xludf.DUMMYFUNCTION("""COMPUTED_VALUE"""),"2055-06-05T01:24:55.079788Z")</f>
        <v>2055-06-05T01:24:55.079788Z</v>
      </c>
      <c r="S1041" s="3" t="str">
        <f ca="1">IFERROR(__xludf.DUMMYFUNCTION("""COMPUTED_VALUE"""),"2055-06-05T01:40:06.84536Z")</f>
        <v>2055-06-05T01:40:06.84536Z</v>
      </c>
      <c r="T1041" s="3"/>
      <c r="U1041" s="4">
        <f ca="1">IFERROR(__xludf.DUMMYFUNCTION("""COMPUTED_VALUE"""),56769)</f>
        <v>56769</v>
      </c>
      <c r="V1041" s="3">
        <f ca="1">IFERROR(__xludf.DUMMYFUNCTION("""COMPUTED_VALUE"""),4.5)</f>
        <v>4.5</v>
      </c>
      <c r="W1041" s="3">
        <f ca="1">IFERROR(__xludf.DUMMYFUNCTION("""COMPUTED_VALUE"""),1000)</f>
        <v>1000</v>
      </c>
      <c r="X1041" s="3">
        <f ca="1">IFERROR(__xludf.DUMMYFUNCTION("""COMPUTED_VALUE"""),1673)</f>
        <v>1673</v>
      </c>
      <c r="Y1041" s="3">
        <f ca="1">IFERROR(__xludf.DUMMYFUNCTION("""COMPUTED_VALUE"""),911)</f>
        <v>911</v>
      </c>
      <c r="Z1041" s="3"/>
      <c r="AA1041" s="3">
        <f ca="1">IFERROR(__xludf.DUMMYFUNCTION("""COMPUTED_VALUE"""),770)</f>
        <v>770</v>
      </c>
      <c r="AB1041" s="3">
        <f ca="1">IFERROR(__xludf.DUMMYFUNCTION("""COMPUTED_VALUE"""),0)</f>
        <v>0</v>
      </c>
      <c r="AC1041" s="3">
        <f ca="1">IFERROR(__xludf.DUMMYFUNCTION("""COMPUTED_VALUE"""),3)</f>
        <v>3</v>
      </c>
      <c r="AD1041" s="3"/>
      <c r="AE1041" s="3" t="str">
        <f ca="1">IFERROR(__xludf.DUMMYFUNCTION("""COMPUTED_VALUE"""),"2055-06-04T21:39:58.830561Z")</f>
        <v>2055-06-04T21:39:58.830561Z</v>
      </c>
      <c r="AF1041" s="3" t="str">
        <f ca="1">IFERROR(__xludf.DUMMYFUNCTION("""COMPUTED_VALUE"""),"2055-06-04T21:52:48.978049Z")</f>
        <v>2055-06-04T21:52:48.978049Z</v>
      </c>
      <c r="AG1041" s="3" t="str">
        <f ca="1">IFERROR(__xludf.DUMMYFUNCTION("""COMPUTED_VALUE"""),"2055-06-04T21:24:35.061903Z")</f>
        <v>2055-06-04T21:24:35.061903Z</v>
      </c>
      <c r="AH1041" s="3" t="str">
        <f ca="1">IFERROR(__xludf.DUMMYFUNCTION("""COMPUTED_VALUE"""),"2055-06-04T21:40:06.84536Z")</f>
        <v>2055-06-04T21:40:06.84536Z</v>
      </c>
      <c r="AI1041" s="3">
        <f ca="1">IFERROR(__xludf.DUMMYFUNCTION("""COMPUTED_VALUE"""),4.56)</f>
        <v>4.5599999999999996</v>
      </c>
      <c r="AJ1041" s="3">
        <f ca="1">IFERROR(__xludf.DUMMYFUNCTION("""COMPUTED_VALUE"""),765)</f>
        <v>765</v>
      </c>
      <c r="AK1041" s="3">
        <f ca="1">IFERROR(__xludf.DUMMYFUNCTION("""COMPUTED_VALUE"""),2618)</f>
        <v>2618</v>
      </c>
      <c r="AL1041" s="3"/>
      <c r="AM1041" s="3">
        <f>IFERROR(Raw_Data!AL1041 / Raw_Data!AK1041, "")</f>
        <v>0</v>
      </c>
      <c r="AN1041" s="3" t="str">
        <f>IF(ISBLANK(Raw_Data!AL1041), "No", "Yes")</f>
        <v>No</v>
      </c>
      <c r="AO1041" s="3">
        <f>IFERROR(Raw_Data!Z1041/60, "")</f>
        <v>0</v>
      </c>
    </row>
    <row r="1042" spans="1:41" ht="13">
      <c r="A1042" s="3">
        <f ca="1">IFERROR(__xludf.DUMMYFUNCTION("""COMPUTED_VALUE"""),1577)</f>
        <v>1577</v>
      </c>
      <c r="B1042" s="3"/>
      <c r="C1042" s="3">
        <f ca="1">IFERROR(__xludf.DUMMYFUNCTION("""COMPUTED_VALUE"""),4001)</f>
        <v>4001</v>
      </c>
      <c r="D1042" s="3" t="str">
        <f ca="1">IFERROR(__xludf.DUMMYFUNCTION("""COMPUTED_VALUE"""),"Dashattan")</f>
        <v>Dashattan</v>
      </c>
      <c r="E1042" s="3" t="str">
        <f ca="1">IFERROR(__xludf.DUMMYFUNCTION("""COMPUTED_VALUE"""),"Galaxy A")</f>
        <v>Galaxy A</v>
      </c>
      <c r="F1042" s="3" t="str">
        <f ca="1">IFERROR(__xludf.DUMMYFUNCTION("""COMPUTED_VALUE"""),"Mike")</f>
        <v>Mike</v>
      </c>
      <c r="G1042" s="3">
        <f ca="1">IFERROR(__xludf.DUMMYFUNCTION("""COMPUTED_VALUE"""),0)</f>
        <v>0</v>
      </c>
      <c r="H1042" s="3" t="str">
        <f ca="1">IFERROR(__xludf.DUMMYFUNCTION("""COMPUTED_VALUE"""),"bicycle")</f>
        <v>bicycle</v>
      </c>
      <c r="I1042" s="3" t="str">
        <f ca="1">IFERROR(__xludf.DUMMYFUNCTION("""COMPUTED_VALUE"""),"2055-06-13T17:10:13.513059Z")</f>
        <v>2055-06-13T17:10:13.513059Z</v>
      </c>
      <c r="J1042" s="3" t="str">
        <f ca="1">IFERROR(__xludf.DUMMYFUNCTION("""COMPUTED_VALUE"""),"2055-06-13T17:50:15.572Z")</f>
        <v>2055-06-13T17:50:15.572Z</v>
      </c>
      <c r="K1042" s="3" t="str">
        <f ca="1">IFERROR(__xludf.DUMMYFUNCTION("""COMPUTED_VALUE"""),"2055-06-13T17:40:36.572Z")</f>
        <v>2055-06-13T17:40:36.572Z</v>
      </c>
      <c r="L1042" s="3">
        <f ca="1">IFERROR(__xludf.DUMMYFUNCTION("""COMPUTED_VALUE"""),1)</f>
        <v>1</v>
      </c>
      <c r="M1042" s="3">
        <f ca="1">IFERROR(__xludf.DUMMYFUNCTION("""COMPUTED_VALUE"""),0)</f>
        <v>0</v>
      </c>
      <c r="N1042" s="3" t="str">
        <f ca="1">IFERROR(__xludf.DUMMYFUNCTION("""COMPUTED_VALUE"""),"2055-06-13T17:20:10.672707Z")</f>
        <v>2055-06-13T17:20:10.672707Z</v>
      </c>
      <c r="O1042" s="3" t="str">
        <f ca="1">IFERROR(__xludf.DUMMYFUNCTION("""COMPUTED_VALUE"""),"2055-06-13T17:38:22.854872Z")</f>
        <v>2055-06-13T17:38:22.854872Z</v>
      </c>
      <c r="P1042" s="3" t="str">
        <f ca="1">IFERROR(__xludf.DUMMYFUNCTION("""COMPUTED_VALUE"""),"2055-06-13T17:13:54.460919Z")</f>
        <v>2055-06-13T17:13:54.460919Z</v>
      </c>
      <c r="Q1042" s="3">
        <f ca="1">IFERROR(__xludf.DUMMYFUNCTION("""COMPUTED_VALUE"""),0)</f>
        <v>0</v>
      </c>
      <c r="R1042" s="3" t="str">
        <f ca="1">IFERROR(__xludf.DUMMYFUNCTION("""COMPUTED_VALUE"""),"2055-06-13T17:14:01.318766Z")</f>
        <v>2055-06-13T17:14:01.318766Z</v>
      </c>
      <c r="S1042" s="3" t="str">
        <f ca="1">IFERROR(__xludf.DUMMYFUNCTION("""COMPUTED_VALUE"""),"2055-06-13T17:14:10.423874Z")</f>
        <v>2055-06-13T17:14:10.423874Z</v>
      </c>
      <c r="T1042" s="3"/>
      <c r="U1042" s="4">
        <f ca="1">IFERROR(__xludf.DUMMYFUNCTION("""COMPUTED_VALUE"""),56778)</f>
        <v>56778</v>
      </c>
      <c r="V1042" s="3">
        <f ca="1">IFERROR(__xludf.DUMMYFUNCTION("""COMPUTED_VALUE"""),4.6)</f>
        <v>4.5999999999999996</v>
      </c>
      <c r="W1042" s="3">
        <f ca="1">IFERROR(__xludf.DUMMYFUNCTION("""COMPUTED_VALUE"""),1000)</f>
        <v>1000</v>
      </c>
      <c r="X1042" s="3">
        <f ca="1">IFERROR(__xludf.DUMMYFUNCTION("""COMPUTED_VALUE"""),1461)</f>
        <v>1461</v>
      </c>
      <c r="Y1042" s="3">
        <f ca="1">IFERROR(__xludf.DUMMYFUNCTION("""COMPUTED_VALUE"""),9)</f>
        <v>9</v>
      </c>
      <c r="Z1042" s="3">
        <f ca="1">IFERROR(__xludf.DUMMYFUNCTION("""COMPUTED_VALUE"""),360)</f>
        <v>360</v>
      </c>
      <c r="AA1042" s="3">
        <f ca="1">IFERROR(__xludf.DUMMYFUNCTION("""COMPUTED_VALUE"""),1092)</f>
        <v>1092</v>
      </c>
      <c r="AB1042" s="3">
        <f ca="1">IFERROR(__xludf.DUMMYFUNCTION("""COMPUTED_VALUE"""),0)</f>
        <v>0</v>
      </c>
      <c r="AC1042" s="3">
        <f ca="1">IFERROR(__xludf.DUMMYFUNCTION("""COMPUTED_VALUE"""),1)</f>
        <v>1</v>
      </c>
      <c r="AD1042" s="3" t="str">
        <f ca="1">IFERROR(__xludf.DUMMYFUNCTION("""COMPUTED_VALUE"""),"early")</f>
        <v>early</v>
      </c>
      <c r="AE1042" s="3" t="str">
        <f ca="1">IFERROR(__xludf.DUMMYFUNCTION("""COMPUTED_VALUE"""),"2055-06-13T13:20:10.672707Z")</f>
        <v>2055-06-13T13:20:10.672707Z</v>
      </c>
      <c r="AF1042" s="3" t="str">
        <f ca="1">IFERROR(__xludf.DUMMYFUNCTION("""COMPUTED_VALUE"""),"2055-06-13T13:38:22.854872Z")</f>
        <v>2055-06-13T13:38:22.854872Z</v>
      </c>
      <c r="AG1042" s="3" t="str">
        <f ca="1">IFERROR(__xludf.DUMMYFUNCTION("""COMPUTED_VALUE"""),"2055-06-13T13:13:54.460919Z")</f>
        <v>2055-06-13T13:13:54.460919Z</v>
      </c>
      <c r="AH1042" s="3" t="str">
        <f ca="1">IFERROR(__xludf.DUMMYFUNCTION("""COMPUTED_VALUE"""),"2055-06-13T13:14:10.423874Z")</f>
        <v>2055-06-13T13:14:10.423874Z</v>
      </c>
      <c r="AI1042" s="3">
        <f ca="1">IFERROR(__xludf.DUMMYFUNCTION("""COMPUTED_VALUE"""),4.63)</f>
        <v>4.63</v>
      </c>
      <c r="AJ1042" s="3">
        <f ca="1">IFERROR(__xludf.DUMMYFUNCTION("""COMPUTED_VALUE"""),242)</f>
        <v>242</v>
      </c>
      <c r="AK1042" s="3">
        <f ca="1">IFERROR(__xludf.DUMMYFUNCTION("""COMPUTED_VALUE"""),736)</f>
        <v>736</v>
      </c>
      <c r="AL1042" s="3"/>
      <c r="AM1042" s="3">
        <f>IFERROR(Raw_Data!AL1042 / Raw_Data!AK1042, "")</f>
        <v>0</v>
      </c>
      <c r="AN1042" s="3" t="str">
        <f>IF(ISBLANK(Raw_Data!AL1042), "No", "Yes")</f>
        <v>No</v>
      </c>
      <c r="AO1042" s="3">
        <f>IFERROR(Raw_Data!Z1042/60, "")</f>
        <v>6</v>
      </c>
    </row>
    <row r="1043" spans="1:41" ht="13">
      <c r="A1043" s="3">
        <f ca="1">IFERROR(__xludf.DUMMYFUNCTION("""COMPUTED_VALUE"""),368)</f>
        <v>368</v>
      </c>
      <c r="B1043" s="3"/>
      <c r="C1043" s="3">
        <f ca="1">IFERROR(__xludf.DUMMYFUNCTION("""COMPUTED_VALUE"""),4050)</f>
        <v>4050</v>
      </c>
      <c r="D1043" s="3" t="str">
        <f ca="1">IFERROR(__xludf.DUMMYFUNCTION("""COMPUTED_VALUE"""),"Doorlanta")</f>
        <v>Doorlanta</v>
      </c>
      <c r="E1043" s="3" t="str">
        <f ca="1">IFERROR(__xludf.DUMMYFUNCTION("""COMPUTED_VALUE"""),"Galaxy A")</f>
        <v>Galaxy A</v>
      </c>
      <c r="F1043" s="3" t="str">
        <f ca="1">IFERROR(__xludf.DUMMYFUNCTION("""COMPUTED_VALUE"""),"Elon")</f>
        <v>Elon</v>
      </c>
      <c r="G1043" s="3">
        <f ca="1">IFERROR(__xludf.DUMMYFUNCTION("""COMPUTED_VALUE"""),0)</f>
        <v>0</v>
      </c>
      <c r="H1043" s="3" t="str">
        <f ca="1">IFERROR(__xludf.DUMMYFUNCTION("""COMPUTED_VALUE"""),"car")</f>
        <v>car</v>
      </c>
      <c r="I1043" s="3" t="str">
        <f ca="1">IFERROR(__xludf.DUMMYFUNCTION("""COMPUTED_VALUE"""),"2055-06-03T23:36:49.938147Z")</f>
        <v>2055-06-03T23:36:49.938147Z</v>
      </c>
      <c r="J1043" s="3" t="str">
        <f ca="1">IFERROR(__xludf.DUMMYFUNCTION("""COMPUTED_VALUE"""),"2055-06-04T00:33:00.996Z")</f>
        <v>2055-06-04T00:33:00.996Z</v>
      </c>
      <c r="K1043" s="3" t="str">
        <f ca="1">IFERROR(__xludf.DUMMYFUNCTION("""COMPUTED_VALUE"""),"2055-06-04T00:12:53.996Z")</f>
        <v>2055-06-04T00:12:53.996Z</v>
      </c>
      <c r="L1043" s="3">
        <f ca="1">IFERROR(__xludf.DUMMYFUNCTION("""COMPUTED_VALUE"""),1)</f>
        <v>1</v>
      </c>
      <c r="M1043" s="3">
        <f ca="1">IFERROR(__xludf.DUMMYFUNCTION("""COMPUTED_VALUE"""),0)</f>
        <v>0</v>
      </c>
      <c r="N1043" s="3" t="str">
        <f ca="1">IFERROR(__xludf.DUMMYFUNCTION("""COMPUTED_VALUE"""),"2055-06-03T23:57:18.415323Z")</f>
        <v>2055-06-03T23:57:18.415323Z</v>
      </c>
      <c r="O1043" s="3" t="str">
        <f ca="1">IFERROR(__xludf.DUMMYFUNCTION("""COMPUTED_VALUE"""),"2055-06-04T00:11:05.491413Z")</f>
        <v>2055-06-04T00:11:05.491413Z</v>
      </c>
      <c r="P1043" s="3" t="str">
        <f ca="1">IFERROR(__xludf.DUMMYFUNCTION("""COMPUTED_VALUE"""),"2055-06-03T23:46:47.515383Z")</f>
        <v>2055-06-03T23:46:47.515383Z</v>
      </c>
      <c r="Q1043" s="3">
        <f ca="1">IFERROR(__xludf.DUMMYFUNCTION("""COMPUTED_VALUE"""),0)</f>
        <v>0</v>
      </c>
      <c r="R1043" s="3" t="str">
        <f ca="1">IFERROR(__xludf.DUMMYFUNCTION("""COMPUTED_VALUE"""),"2055-06-03T23:47:14.982029Z")</f>
        <v>2055-06-03T23:47:14.982029Z</v>
      </c>
      <c r="S1043" s="3"/>
      <c r="T1043" s="3"/>
      <c r="U1043" s="4">
        <f ca="1">IFERROR(__xludf.DUMMYFUNCTION("""COMPUTED_VALUE"""),56768)</f>
        <v>56768</v>
      </c>
      <c r="V1043" s="3">
        <f ca="1">IFERROR(__xludf.DUMMYFUNCTION("""COMPUTED_VALUE"""),4.6)</f>
        <v>4.5999999999999996</v>
      </c>
      <c r="W1043" s="3">
        <f ca="1">IFERROR(__xludf.DUMMYFUNCTION("""COMPUTED_VALUE"""),1000)</f>
        <v>1000</v>
      </c>
      <c r="X1043" s="3">
        <f ca="1">IFERROR(__xludf.DUMMYFUNCTION("""COMPUTED_VALUE"""),1431)</f>
        <v>1431</v>
      </c>
      <c r="Y1043" s="3"/>
      <c r="Z1043" s="3"/>
      <c r="AA1043" s="3">
        <f ca="1">IFERROR(__xludf.DUMMYFUNCTION("""COMPUTED_VALUE"""),827)</f>
        <v>827</v>
      </c>
      <c r="AB1043" s="3">
        <f ca="1">IFERROR(__xludf.DUMMYFUNCTION("""COMPUTED_VALUE"""),0)</f>
        <v>0</v>
      </c>
      <c r="AC1043" s="3">
        <f ca="1">IFERROR(__xludf.DUMMYFUNCTION("""COMPUTED_VALUE"""),4)</f>
        <v>4</v>
      </c>
      <c r="AD1043" s="3"/>
      <c r="AE1043" s="3" t="str">
        <f ca="1">IFERROR(__xludf.DUMMYFUNCTION("""COMPUTED_VALUE"""),"2055-06-03T19:57:18.415323Z")</f>
        <v>2055-06-03T19:57:18.415323Z</v>
      </c>
      <c r="AF1043" s="3" t="str">
        <f ca="1">IFERROR(__xludf.DUMMYFUNCTION("""COMPUTED_VALUE"""),"2055-06-03T20:11:05.491413Z")</f>
        <v>2055-06-03T20:11:05.491413Z</v>
      </c>
      <c r="AG1043" s="3" t="str">
        <f ca="1">IFERROR(__xludf.DUMMYFUNCTION("""COMPUTED_VALUE"""),"2055-06-03T19:46:47.515383Z")</f>
        <v>2055-06-03T19:46:47.515383Z</v>
      </c>
      <c r="AH1043" s="3"/>
      <c r="AI1043" s="3">
        <f ca="1">IFERROR(__xludf.DUMMYFUNCTION("""COMPUTED_VALUE"""),4.62)</f>
        <v>4.62</v>
      </c>
      <c r="AJ1043" s="3">
        <f ca="1">IFERROR(__xludf.DUMMYFUNCTION("""COMPUTED_VALUE"""),259)</f>
        <v>259</v>
      </c>
      <c r="AK1043" s="3">
        <f ca="1">IFERROR(__xludf.DUMMYFUNCTION("""COMPUTED_VALUE"""),604)</f>
        <v>604</v>
      </c>
      <c r="AL1043" s="3">
        <f ca="1">IFERROR(__xludf.DUMMYFUNCTION("""COMPUTED_VALUE"""),21)</f>
        <v>21</v>
      </c>
      <c r="AM1043" s="3">
        <f>IFERROR(Raw_Data!AL1043 / Raw_Data!AK1043, "")</f>
        <v>3.4768211920529798E-2</v>
      </c>
      <c r="AN1043" s="3" t="str">
        <f>IF(ISBLANK(Raw_Data!AL1043), "No", "Yes")</f>
        <v>Yes</v>
      </c>
      <c r="AO1043" s="3">
        <f>IFERROR(Raw_Data!Z1043/60, "")</f>
        <v>0</v>
      </c>
    </row>
    <row r="1044" spans="1:41" ht="13">
      <c r="A1044" s="3">
        <f ca="1">IFERROR(__xludf.DUMMYFUNCTION("""COMPUTED_VALUE"""),581)</f>
        <v>581</v>
      </c>
      <c r="B1044" s="3">
        <f ca="1">IFERROR(__xludf.DUMMYFUNCTION("""COMPUTED_VALUE"""),4)</f>
        <v>4</v>
      </c>
      <c r="C1044" s="3">
        <f ca="1">IFERROR(__xludf.DUMMYFUNCTION("""COMPUTED_VALUE"""),4050)</f>
        <v>4050</v>
      </c>
      <c r="D1044" s="3" t="str">
        <f ca="1">IFERROR(__xludf.DUMMYFUNCTION("""COMPUTED_VALUE"""),"Doorlanta")</f>
        <v>Doorlanta</v>
      </c>
      <c r="E1044" s="3" t="str">
        <f ca="1">IFERROR(__xludf.DUMMYFUNCTION("""COMPUTED_VALUE"""),"Galaxy A")</f>
        <v>Galaxy A</v>
      </c>
      <c r="F1044" s="3" t="str">
        <f ca="1">IFERROR(__xludf.DUMMYFUNCTION("""COMPUTED_VALUE"""),"Elon")</f>
        <v>Elon</v>
      </c>
      <c r="G1044" s="3">
        <f ca="1">IFERROR(__xludf.DUMMYFUNCTION("""COMPUTED_VALUE"""),0)</f>
        <v>0</v>
      </c>
      <c r="H1044" s="3" t="str">
        <f ca="1">IFERROR(__xludf.DUMMYFUNCTION("""COMPUTED_VALUE"""),"car")</f>
        <v>car</v>
      </c>
      <c r="I1044" s="3" t="str">
        <f ca="1">IFERROR(__xludf.DUMMYFUNCTION("""COMPUTED_VALUE"""),"2055-06-05T17:45:22.044274Z")</f>
        <v>2055-06-05T17:45:22.044274Z</v>
      </c>
      <c r="J1044" s="3" t="str">
        <f ca="1">IFERROR(__xludf.DUMMYFUNCTION("""COMPUTED_VALUE"""),"2055-06-05T18:34:07.167Z")</f>
        <v>2055-06-05T18:34:07.167Z</v>
      </c>
      <c r="K1044" s="3" t="str">
        <f ca="1">IFERROR(__xludf.DUMMYFUNCTION("""COMPUTED_VALUE"""),"2055-06-05T18:25:14.167Z")</f>
        <v>2055-06-05T18:25:14.167Z</v>
      </c>
      <c r="L1044" s="3">
        <f ca="1">IFERROR(__xludf.DUMMYFUNCTION("""COMPUTED_VALUE"""),1)</f>
        <v>1</v>
      </c>
      <c r="M1044" s="3">
        <f ca="1">IFERROR(__xludf.DUMMYFUNCTION("""COMPUTED_VALUE"""),0)</f>
        <v>0</v>
      </c>
      <c r="N1044" s="3" t="str">
        <f ca="1">IFERROR(__xludf.DUMMYFUNCTION("""COMPUTED_VALUE"""),"2055-06-05T18:05:51.191178Z")</f>
        <v>2055-06-05T18:05:51.191178Z</v>
      </c>
      <c r="O1044" s="3" t="str">
        <f ca="1">IFERROR(__xludf.DUMMYFUNCTION("""COMPUTED_VALUE"""),"2055-06-05T18:30:25.82852Z")</f>
        <v>2055-06-05T18:30:25.82852Z</v>
      </c>
      <c r="P1044" s="3" t="str">
        <f ca="1">IFERROR(__xludf.DUMMYFUNCTION("""COMPUTED_VALUE"""),"2055-06-05T17:45:27.428099Z")</f>
        <v>2055-06-05T17:45:27.428099Z</v>
      </c>
      <c r="Q1044" s="3">
        <f ca="1">IFERROR(__xludf.DUMMYFUNCTION("""COMPUTED_VALUE"""),0)</f>
        <v>0</v>
      </c>
      <c r="R1044" s="3" t="str">
        <f ca="1">IFERROR(__xludf.DUMMYFUNCTION("""COMPUTED_VALUE"""),"2055-06-05T17:45:33.6143Z")</f>
        <v>2055-06-05T17:45:33.6143Z</v>
      </c>
      <c r="S1044" s="3" t="str">
        <f ca="1">IFERROR(__xludf.DUMMYFUNCTION("""COMPUTED_VALUE"""),"2055-06-05T18:01:55.99686Z")</f>
        <v>2055-06-05T18:01:55.99686Z</v>
      </c>
      <c r="T1044" s="3"/>
      <c r="U1044" s="4">
        <f ca="1">IFERROR(__xludf.DUMMYFUNCTION("""COMPUTED_VALUE"""),56770)</f>
        <v>56770</v>
      </c>
      <c r="V1044" s="3">
        <f ca="1">IFERROR(__xludf.DUMMYFUNCTION("""COMPUTED_VALUE"""),3.140122815)</f>
        <v>3.1401228149999998</v>
      </c>
      <c r="W1044" s="3">
        <f ca="1">IFERROR(__xludf.DUMMYFUNCTION("""COMPUTED_VALUE"""),1000)</f>
        <v>1000</v>
      </c>
      <c r="X1044" s="3">
        <f ca="1">IFERROR(__xludf.DUMMYFUNCTION("""COMPUTED_VALUE"""),2692)</f>
        <v>2692</v>
      </c>
      <c r="Y1044" s="3">
        <f ca="1">IFERROR(__xludf.DUMMYFUNCTION("""COMPUTED_VALUE"""),982)</f>
        <v>982</v>
      </c>
      <c r="Z1044" s="3">
        <f ca="1">IFERROR(__xludf.DUMMYFUNCTION("""COMPUTED_VALUE"""),236)</f>
        <v>236</v>
      </c>
      <c r="AA1044" s="3">
        <f ca="1">IFERROR(__xludf.DUMMYFUNCTION("""COMPUTED_VALUE"""),1474)</f>
        <v>1474</v>
      </c>
      <c r="AB1044" s="3">
        <f ca="1">IFERROR(__xludf.DUMMYFUNCTION("""COMPUTED_VALUE"""),1)</f>
        <v>1</v>
      </c>
      <c r="AC1044" s="3">
        <f ca="1">IFERROR(__xludf.DUMMYFUNCTION("""COMPUTED_VALUE"""),4)</f>
        <v>4</v>
      </c>
      <c r="AD1044" s="3"/>
      <c r="AE1044" s="3" t="str">
        <f ca="1">IFERROR(__xludf.DUMMYFUNCTION("""COMPUTED_VALUE"""),"2055-06-05T14:05:51.191178Z")</f>
        <v>2055-06-05T14:05:51.191178Z</v>
      </c>
      <c r="AF1044" s="3" t="str">
        <f ca="1">IFERROR(__xludf.DUMMYFUNCTION("""COMPUTED_VALUE"""),"2055-06-05T14:30:25.82852Z")</f>
        <v>2055-06-05T14:30:25.82852Z</v>
      </c>
      <c r="AG1044" s="3" t="str">
        <f ca="1">IFERROR(__xludf.DUMMYFUNCTION("""COMPUTED_VALUE"""),"2055-06-05T13:45:27.428099Z")</f>
        <v>2055-06-05T13:45:27.428099Z</v>
      </c>
      <c r="AH1044" s="3" t="str">
        <f ca="1">IFERROR(__xludf.DUMMYFUNCTION("""COMPUTED_VALUE"""),"2055-06-05T14:01:55.99686Z")</f>
        <v>2055-06-05T14:01:55.99686Z</v>
      </c>
      <c r="AI1044" s="3">
        <f ca="1">IFERROR(__xludf.DUMMYFUNCTION("""COMPUTED_VALUE"""),4.62)</f>
        <v>4.62</v>
      </c>
      <c r="AJ1044" s="3">
        <f ca="1">IFERROR(__xludf.DUMMYFUNCTION("""COMPUTED_VALUE"""),259)</f>
        <v>259</v>
      </c>
      <c r="AK1044" s="3">
        <f ca="1">IFERROR(__xludf.DUMMYFUNCTION("""COMPUTED_VALUE"""),604)</f>
        <v>604</v>
      </c>
      <c r="AL1044" s="3">
        <f ca="1">IFERROR(__xludf.DUMMYFUNCTION("""COMPUTED_VALUE"""),21)</f>
        <v>21</v>
      </c>
      <c r="AM1044" s="3">
        <f>IFERROR(Raw_Data!AL1044 / Raw_Data!AK1044, "")</f>
        <v>3.4768211920529798E-2</v>
      </c>
      <c r="AN1044" s="3" t="str">
        <f>IF(ISBLANK(Raw_Data!AL1044), "No", "Yes")</f>
        <v>Yes</v>
      </c>
      <c r="AO1044" s="3">
        <f>IFERROR(Raw_Data!Z1044/60, "")</f>
        <v>3.9333333333333331</v>
      </c>
    </row>
    <row r="1045" spans="1:41" ht="13">
      <c r="A1045" s="3">
        <f ca="1">IFERROR(__xludf.DUMMYFUNCTION("""COMPUTED_VALUE"""),243)</f>
        <v>243</v>
      </c>
      <c r="B1045" s="3">
        <f ca="1">IFERROR(__xludf.DUMMYFUNCTION("""COMPUTED_VALUE"""),4)</f>
        <v>4</v>
      </c>
      <c r="C1045" s="3">
        <f ca="1">IFERROR(__xludf.DUMMYFUNCTION("""COMPUTED_VALUE"""),4050)</f>
        <v>4050</v>
      </c>
      <c r="D1045" s="3" t="str">
        <f ca="1">IFERROR(__xludf.DUMMYFUNCTION("""COMPUTED_VALUE"""),"Doorlanta")</f>
        <v>Doorlanta</v>
      </c>
      <c r="E1045" s="3" t="str">
        <f ca="1">IFERROR(__xludf.DUMMYFUNCTION("""COMPUTED_VALUE"""),"Galaxy A")</f>
        <v>Galaxy A</v>
      </c>
      <c r="F1045" s="3" t="str">
        <f ca="1">IFERROR(__xludf.DUMMYFUNCTION("""COMPUTED_VALUE"""),"Elon")</f>
        <v>Elon</v>
      </c>
      <c r="G1045" s="3">
        <f ca="1">IFERROR(__xludf.DUMMYFUNCTION("""COMPUTED_VALUE"""),0)</f>
        <v>0</v>
      </c>
      <c r="H1045" s="3" t="str">
        <f ca="1">IFERROR(__xludf.DUMMYFUNCTION("""COMPUTED_VALUE"""),"car")</f>
        <v>car</v>
      </c>
      <c r="I1045" s="3" t="str">
        <f ca="1">IFERROR(__xludf.DUMMYFUNCTION("""COMPUTED_VALUE"""),"2055-06-03T01:21:29.903702Z")</f>
        <v>2055-06-03T01:21:29.903702Z</v>
      </c>
      <c r="J1045" s="3" t="str">
        <f ca="1">IFERROR(__xludf.DUMMYFUNCTION("""COMPUTED_VALUE"""),"2055-06-03T02:06:29.982Z")</f>
        <v>2055-06-03T02:06:29.982Z</v>
      </c>
      <c r="K1045" s="3" t="str">
        <f ca="1">IFERROR(__xludf.DUMMYFUNCTION("""COMPUTED_VALUE"""),"2055-06-03T01:50:15.982Z")</f>
        <v>2055-06-03T01:50:15.982Z</v>
      </c>
      <c r="L1045" s="3">
        <f ca="1">IFERROR(__xludf.DUMMYFUNCTION("""COMPUTED_VALUE"""),1)</f>
        <v>1</v>
      </c>
      <c r="M1045" s="3">
        <f ca="1">IFERROR(__xludf.DUMMYFUNCTION("""COMPUTED_VALUE"""),0)</f>
        <v>0</v>
      </c>
      <c r="N1045" s="3" t="str">
        <f ca="1">IFERROR(__xludf.DUMMYFUNCTION("""COMPUTED_VALUE"""),"2055-06-03T01:31:51.88798Z")</f>
        <v>2055-06-03T01:31:51.88798Z</v>
      </c>
      <c r="O1045" s="3" t="str">
        <f ca="1">IFERROR(__xludf.DUMMYFUNCTION("""COMPUTED_VALUE"""),"2055-06-03T01:40:18.637862Z")</f>
        <v>2055-06-03T01:40:18.637862Z</v>
      </c>
      <c r="P1045" s="3" t="str">
        <f ca="1">IFERROR(__xludf.DUMMYFUNCTION("""COMPUTED_VALUE"""),"2055-06-03T01:21:47.381249Z")</f>
        <v>2055-06-03T01:21:47.381249Z</v>
      </c>
      <c r="Q1045" s="3">
        <f ca="1">IFERROR(__xludf.DUMMYFUNCTION("""COMPUTED_VALUE"""),0)</f>
        <v>0</v>
      </c>
      <c r="R1045" s="3" t="str">
        <f ca="1">IFERROR(__xludf.DUMMYFUNCTION("""COMPUTED_VALUE"""),"2055-06-03T01:21:53.428959Z")</f>
        <v>2055-06-03T01:21:53.428959Z</v>
      </c>
      <c r="S1045" s="3" t="str">
        <f ca="1">IFERROR(__xludf.DUMMYFUNCTION("""COMPUTED_VALUE"""),"2055-06-03T01:31:39.440055Z")</f>
        <v>2055-06-03T01:31:39.440055Z</v>
      </c>
      <c r="T1045" s="3"/>
      <c r="U1045" s="4">
        <f ca="1">IFERROR(__xludf.DUMMYFUNCTION("""COMPUTED_VALUE"""),56767)</f>
        <v>56767</v>
      </c>
      <c r="V1045" s="3">
        <f ca="1">IFERROR(__xludf.DUMMYFUNCTION("""COMPUTED_VALUE"""),4.6)</f>
        <v>4.5999999999999996</v>
      </c>
      <c r="W1045" s="3">
        <f ca="1">IFERROR(__xludf.DUMMYFUNCTION("""COMPUTED_VALUE"""),1000)</f>
        <v>1000</v>
      </c>
      <c r="X1045" s="3">
        <f ca="1">IFERROR(__xludf.DUMMYFUNCTION("""COMPUTED_VALUE"""),1105)</f>
        <v>1105</v>
      </c>
      <c r="Y1045" s="3">
        <f ca="1">IFERROR(__xludf.DUMMYFUNCTION("""COMPUTED_VALUE"""),586)</f>
        <v>586</v>
      </c>
      <c r="Z1045" s="3">
        <f ca="1">IFERROR(__xludf.DUMMYFUNCTION("""COMPUTED_VALUE"""),12)</f>
        <v>12</v>
      </c>
      <c r="AA1045" s="3">
        <f ca="1">IFERROR(__xludf.DUMMYFUNCTION("""COMPUTED_VALUE"""),507)</f>
        <v>507</v>
      </c>
      <c r="AB1045" s="3">
        <f ca="1">IFERROR(__xludf.DUMMYFUNCTION("""COMPUTED_VALUE"""),0)</f>
        <v>0</v>
      </c>
      <c r="AC1045" s="3">
        <f ca="1">IFERROR(__xludf.DUMMYFUNCTION("""COMPUTED_VALUE"""),1)</f>
        <v>1</v>
      </c>
      <c r="AD1045" s="3" t="str">
        <f ca="1">IFERROR(__xludf.DUMMYFUNCTION("""COMPUTED_VALUE"""),"on time")</f>
        <v>on time</v>
      </c>
      <c r="AE1045" s="3" t="str">
        <f ca="1">IFERROR(__xludf.DUMMYFUNCTION("""COMPUTED_VALUE"""),"2055-06-02T21:31:51.88798Z")</f>
        <v>2055-06-02T21:31:51.88798Z</v>
      </c>
      <c r="AF1045" s="3" t="str">
        <f ca="1">IFERROR(__xludf.DUMMYFUNCTION("""COMPUTED_VALUE"""),"2055-06-02T21:40:18.637862Z")</f>
        <v>2055-06-02T21:40:18.637862Z</v>
      </c>
      <c r="AG1045" s="3" t="str">
        <f ca="1">IFERROR(__xludf.DUMMYFUNCTION("""COMPUTED_VALUE"""),"2055-06-02T21:21:47.381249Z")</f>
        <v>2055-06-02T21:21:47.381249Z</v>
      </c>
      <c r="AH1045" s="3" t="str">
        <f ca="1">IFERROR(__xludf.DUMMYFUNCTION("""COMPUTED_VALUE"""),"2055-06-02T21:31:39.440055Z")</f>
        <v>2055-06-02T21:31:39.440055Z</v>
      </c>
      <c r="AI1045" s="3">
        <f ca="1">IFERROR(__xludf.DUMMYFUNCTION("""COMPUTED_VALUE"""),4.62)</f>
        <v>4.62</v>
      </c>
      <c r="AJ1045" s="3">
        <f ca="1">IFERROR(__xludf.DUMMYFUNCTION("""COMPUTED_VALUE"""),259)</f>
        <v>259</v>
      </c>
      <c r="AK1045" s="3">
        <f ca="1">IFERROR(__xludf.DUMMYFUNCTION("""COMPUTED_VALUE"""),604)</f>
        <v>604</v>
      </c>
      <c r="AL1045" s="3">
        <f ca="1">IFERROR(__xludf.DUMMYFUNCTION("""COMPUTED_VALUE"""),21)</f>
        <v>21</v>
      </c>
      <c r="AM1045" s="3">
        <f>IFERROR(Raw_Data!AL1045 / Raw_Data!AK1045, "")</f>
        <v>3.4768211920529798E-2</v>
      </c>
      <c r="AN1045" s="3" t="str">
        <f>IF(ISBLANK(Raw_Data!AL1045), "No", "Yes")</f>
        <v>Yes</v>
      </c>
      <c r="AO1045" s="3">
        <f>IFERROR(Raw_Data!Z1045/60, "")</f>
        <v>0.2</v>
      </c>
    </row>
    <row r="1046" spans="1:41" ht="13">
      <c r="A1046" s="3">
        <f ca="1">IFERROR(__xludf.DUMMYFUNCTION("""COMPUTED_VALUE"""),594)</f>
        <v>594</v>
      </c>
      <c r="B1046" s="3"/>
      <c r="C1046" s="3">
        <f ca="1">IFERROR(__xludf.DUMMYFUNCTION("""COMPUTED_VALUE"""),4050)</f>
        <v>4050</v>
      </c>
      <c r="D1046" s="3" t="str">
        <f ca="1">IFERROR(__xludf.DUMMYFUNCTION("""COMPUTED_VALUE"""),"Doorlanta")</f>
        <v>Doorlanta</v>
      </c>
      <c r="E1046" s="3" t="str">
        <f ca="1">IFERROR(__xludf.DUMMYFUNCTION("""COMPUTED_VALUE"""),"Galaxy A")</f>
        <v>Galaxy A</v>
      </c>
      <c r="F1046" s="3" t="str">
        <f ca="1">IFERROR(__xludf.DUMMYFUNCTION("""COMPUTED_VALUE"""),"Hanna")</f>
        <v>Hanna</v>
      </c>
      <c r="G1046" s="3">
        <f ca="1">IFERROR(__xludf.DUMMYFUNCTION("""COMPUTED_VALUE"""),0)</f>
        <v>0</v>
      </c>
      <c r="H1046" s="3" t="str">
        <f ca="1">IFERROR(__xludf.DUMMYFUNCTION("""COMPUTED_VALUE"""),"car")</f>
        <v>car</v>
      </c>
      <c r="I1046" s="3" t="str">
        <f ca="1">IFERROR(__xludf.DUMMYFUNCTION("""COMPUTED_VALUE"""),"2055-06-05T19:02:34.572457Z")</f>
        <v>2055-06-05T19:02:34.572457Z</v>
      </c>
      <c r="J1046" s="3" t="str">
        <f ca="1">IFERROR(__xludf.DUMMYFUNCTION("""COMPUTED_VALUE"""),"2055-06-05T20:45:00Z")</f>
        <v>2055-06-05T20:45:00Z</v>
      </c>
      <c r="K1046" s="3" t="str">
        <f ca="1">IFERROR(__xludf.DUMMYFUNCTION("""COMPUTED_VALUE"""),"2055-06-05T20:45:00Z")</f>
        <v>2055-06-05T20:45:00Z</v>
      </c>
      <c r="L1046" s="3">
        <f ca="1">IFERROR(__xludf.DUMMYFUNCTION("""COMPUTED_VALUE"""),0)</f>
        <v>0</v>
      </c>
      <c r="M1046" s="3">
        <f ca="1">IFERROR(__xludf.DUMMYFUNCTION("""COMPUTED_VALUE"""),0)</f>
        <v>0</v>
      </c>
      <c r="N1046" s="3" t="str">
        <f ca="1">IFERROR(__xludf.DUMMYFUNCTION("""COMPUTED_VALUE"""),"2055-06-05T20:08:42.004781Z")</f>
        <v>2055-06-05T20:08:42.004781Z</v>
      </c>
      <c r="O1046" s="3" t="str">
        <f ca="1">IFERROR(__xludf.DUMMYFUNCTION("""COMPUTED_VALUE"""),"2055-06-05T20:37:06.633666Z")</f>
        <v>2055-06-05T20:37:06.633666Z</v>
      </c>
      <c r="P1046" s="3" t="str">
        <f ca="1">IFERROR(__xludf.DUMMYFUNCTION("""COMPUTED_VALUE"""),"2055-06-05T19:45:07.312852Z")</f>
        <v>2055-06-05T19:45:07.312852Z</v>
      </c>
      <c r="Q1046" s="3">
        <f ca="1">IFERROR(__xludf.DUMMYFUNCTION("""COMPUTED_VALUE"""),0)</f>
        <v>0</v>
      </c>
      <c r="R1046" s="3" t="str">
        <f ca="1">IFERROR(__xludf.DUMMYFUNCTION("""COMPUTED_VALUE"""),"2055-06-05T19:45:18.24393Z")</f>
        <v>2055-06-05T19:45:18.24393Z</v>
      </c>
      <c r="S1046" s="3" t="str">
        <f ca="1">IFERROR(__xludf.DUMMYFUNCTION("""COMPUTED_VALUE"""),"2055-06-05T20:08:08.292858Z")</f>
        <v>2055-06-05T20:08:08.292858Z</v>
      </c>
      <c r="T1046" s="3"/>
      <c r="U1046" s="4">
        <f ca="1">IFERROR(__xludf.DUMMYFUNCTION("""COMPUTED_VALUE"""),56770)</f>
        <v>56770</v>
      </c>
      <c r="V1046" s="3">
        <f ca="1">IFERROR(__xludf.DUMMYFUNCTION("""COMPUTED_VALUE"""),4.7)</f>
        <v>4.7</v>
      </c>
      <c r="W1046" s="3">
        <f ca="1">IFERROR(__xludf.DUMMYFUNCTION("""COMPUTED_VALUE"""),1000)</f>
        <v>1000</v>
      </c>
      <c r="X1046" s="3">
        <f ca="1">IFERROR(__xludf.DUMMYFUNCTION("""COMPUTED_VALUE"""),3108)</f>
        <v>3108</v>
      </c>
      <c r="Y1046" s="3">
        <f ca="1">IFERROR(__xludf.DUMMYFUNCTION("""COMPUTED_VALUE"""),1370)</f>
        <v>1370</v>
      </c>
      <c r="Z1046" s="3">
        <f ca="1">IFERROR(__xludf.DUMMYFUNCTION("""COMPUTED_VALUE"""),34)</f>
        <v>34</v>
      </c>
      <c r="AA1046" s="3">
        <f ca="1">IFERROR(__xludf.DUMMYFUNCTION("""COMPUTED_VALUE"""),1704)</f>
        <v>1704</v>
      </c>
      <c r="AB1046" s="3">
        <f ca="1">IFERROR(__xludf.DUMMYFUNCTION("""COMPUTED_VALUE"""),0)</f>
        <v>0</v>
      </c>
      <c r="AC1046" s="3">
        <f ca="1">IFERROR(__xludf.DUMMYFUNCTION("""COMPUTED_VALUE"""),2)</f>
        <v>2</v>
      </c>
      <c r="AD1046" s="3" t="str">
        <f ca="1">IFERROR(__xludf.DUMMYFUNCTION("""COMPUTED_VALUE"""),"late")</f>
        <v>late</v>
      </c>
      <c r="AE1046" s="3" t="str">
        <f ca="1">IFERROR(__xludf.DUMMYFUNCTION("""COMPUTED_VALUE"""),"2055-06-05T16:08:42.004781Z")</f>
        <v>2055-06-05T16:08:42.004781Z</v>
      </c>
      <c r="AF1046" s="3" t="str">
        <f ca="1">IFERROR(__xludf.DUMMYFUNCTION("""COMPUTED_VALUE"""),"2055-06-05T16:37:06.633666Z")</f>
        <v>2055-06-05T16:37:06.633666Z</v>
      </c>
      <c r="AG1046" s="3" t="str">
        <f ca="1">IFERROR(__xludf.DUMMYFUNCTION("""COMPUTED_VALUE"""),"2055-06-05T15:45:07.312852Z")</f>
        <v>2055-06-05T15:45:07.312852Z</v>
      </c>
      <c r="AH1046" s="3" t="str">
        <f ca="1">IFERROR(__xludf.DUMMYFUNCTION("""COMPUTED_VALUE"""),"2055-06-05T16:08:08.292858Z")</f>
        <v>2055-06-05T16:08:08.292858Z</v>
      </c>
      <c r="AI1046" s="3">
        <f ca="1">IFERROR(__xludf.DUMMYFUNCTION("""COMPUTED_VALUE"""),4.79)</f>
        <v>4.79</v>
      </c>
      <c r="AJ1046" s="3">
        <f ca="1">IFERROR(__xludf.DUMMYFUNCTION("""COMPUTED_VALUE"""),1007)</f>
        <v>1007</v>
      </c>
      <c r="AK1046" s="3">
        <f ca="1">IFERROR(__xludf.DUMMYFUNCTION("""COMPUTED_VALUE"""),2899)</f>
        <v>2899</v>
      </c>
      <c r="AL1046" s="3">
        <f ca="1">IFERROR(__xludf.DUMMYFUNCTION("""COMPUTED_VALUE"""),1301)</f>
        <v>1301</v>
      </c>
      <c r="AM1046" s="3">
        <f>IFERROR(Raw_Data!AL1046 / Raw_Data!AK1046, "")</f>
        <v>0.44877543980682993</v>
      </c>
      <c r="AN1046" s="3" t="str">
        <f>IF(ISBLANK(Raw_Data!AL1046), "No", "Yes")</f>
        <v>Yes</v>
      </c>
      <c r="AO1046" s="3">
        <f>IFERROR(Raw_Data!Z1046/60, "")</f>
        <v>0.56666666666666665</v>
      </c>
    </row>
    <row r="1047" spans="1:41" ht="13">
      <c r="A1047" s="3">
        <f ca="1">IFERROR(__xludf.DUMMYFUNCTION("""COMPUTED_VALUE"""),1592)</f>
        <v>1592</v>
      </c>
      <c r="B1047" s="3"/>
      <c r="C1047" s="3">
        <f ca="1">IFERROR(__xludf.DUMMYFUNCTION("""COMPUTED_VALUE"""),4001)</f>
        <v>4001</v>
      </c>
      <c r="D1047" s="3" t="str">
        <f ca="1">IFERROR(__xludf.DUMMYFUNCTION("""COMPUTED_VALUE"""),"Dashattan")</f>
        <v>Dashattan</v>
      </c>
      <c r="E1047" s="3" t="str">
        <f ca="1">IFERROR(__xludf.DUMMYFUNCTION("""COMPUTED_VALUE"""),"Galaxy A")</f>
        <v>Galaxy A</v>
      </c>
      <c r="F1047" s="3" t="str">
        <f ca="1">IFERROR(__xludf.DUMMYFUNCTION("""COMPUTED_VALUE"""),"KC")</f>
        <v>KC</v>
      </c>
      <c r="G1047" s="3">
        <f ca="1">IFERROR(__xludf.DUMMYFUNCTION("""COMPUTED_VALUE"""),0)</f>
        <v>0</v>
      </c>
      <c r="H1047" s="3" t="str">
        <f ca="1">IFERROR(__xludf.DUMMYFUNCTION("""COMPUTED_VALUE"""),"car")</f>
        <v>car</v>
      </c>
      <c r="I1047" s="3" t="str">
        <f ca="1">IFERROR(__xludf.DUMMYFUNCTION("""COMPUTED_VALUE"""),"2055-06-13T20:02:49.485335Z")</f>
        <v>2055-06-13T20:02:49.485335Z</v>
      </c>
      <c r="J1047" s="3" t="str">
        <f ca="1">IFERROR(__xludf.DUMMYFUNCTION("""COMPUTED_VALUE"""),"2055-06-13T20:53:13.55Z")</f>
        <v>2055-06-13T20:53:13.55Z</v>
      </c>
      <c r="K1047" s="3" t="str">
        <f ca="1">IFERROR(__xludf.DUMMYFUNCTION("""COMPUTED_VALUE"""),"2055-06-13T20:48:06.55Z")</f>
        <v>2055-06-13T20:48:06.55Z</v>
      </c>
      <c r="L1047" s="3">
        <f ca="1">IFERROR(__xludf.DUMMYFUNCTION("""COMPUTED_VALUE"""),1)</f>
        <v>1</v>
      </c>
      <c r="M1047" s="3">
        <f ca="1">IFERROR(__xludf.DUMMYFUNCTION("""COMPUTED_VALUE"""),0)</f>
        <v>0</v>
      </c>
      <c r="N1047" s="3" t="str">
        <f ca="1">IFERROR(__xludf.DUMMYFUNCTION("""COMPUTED_VALUE"""),"2055-06-13T20:20:05.538645Z")</f>
        <v>2055-06-13T20:20:05.538645Z</v>
      </c>
      <c r="O1047" s="3" t="str">
        <f ca="1">IFERROR(__xludf.DUMMYFUNCTION("""COMPUTED_VALUE"""),"2055-06-13T20:33:45.097497Z")</f>
        <v>2055-06-13T20:33:45.097497Z</v>
      </c>
      <c r="P1047" s="3" t="str">
        <f ca="1">IFERROR(__xludf.DUMMYFUNCTION("""COMPUTED_VALUE"""),"2055-06-13T20:02:54.223949Z")</f>
        <v>2055-06-13T20:02:54.223949Z</v>
      </c>
      <c r="Q1047" s="3">
        <f ca="1">IFERROR(__xludf.DUMMYFUNCTION("""COMPUTED_VALUE"""),0)</f>
        <v>0</v>
      </c>
      <c r="R1047" s="3" t="str">
        <f ca="1">IFERROR(__xludf.DUMMYFUNCTION("""COMPUTED_VALUE"""),"2055-06-13T20:03:18.794655Z")</f>
        <v>2055-06-13T20:03:18.794655Z</v>
      </c>
      <c r="S1047" s="3" t="str">
        <f ca="1">IFERROR(__xludf.DUMMYFUNCTION("""COMPUTED_VALUE"""),"2055-06-13T20:13:01.402405Z")</f>
        <v>2055-06-13T20:13:01.402405Z</v>
      </c>
      <c r="T1047" s="3"/>
      <c r="U1047" s="4">
        <f ca="1">IFERROR(__xludf.DUMMYFUNCTION("""COMPUTED_VALUE"""),56778)</f>
        <v>56778</v>
      </c>
      <c r="V1047" s="3">
        <f ca="1">IFERROR(__xludf.DUMMYFUNCTION("""COMPUTED_VALUE"""),4.4)</f>
        <v>4.4000000000000004</v>
      </c>
      <c r="W1047" s="3">
        <f ca="1">IFERROR(__xludf.DUMMYFUNCTION("""COMPUTED_VALUE"""),1000)</f>
        <v>1000</v>
      </c>
      <c r="X1047" s="3">
        <f ca="1">IFERROR(__xludf.DUMMYFUNCTION("""COMPUTED_VALUE"""),1827)</f>
        <v>1827</v>
      </c>
      <c r="Y1047" s="3">
        <f ca="1">IFERROR(__xludf.DUMMYFUNCTION("""COMPUTED_VALUE"""),583)</f>
        <v>583</v>
      </c>
      <c r="Z1047" s="3">
        <f ca="1">IFERROR(__xludf.DUMMYFUNCTION("""COMPUTED_VALUE"""),424)</f>
        <v>424</v>
      </c>
      <c r="AA1047" s="3">
        <f ca="1">IFERROR(__xludf.DUMMYFUNCTION("""COMPUTED_VALUE"""),820)</f>
        <v>820</v>
      </c>
      <c r="AB1047" s="3">
        <f ca="1">IFERROR(__xludf.DUMMYFUNCTION("""COMPUTED_VALUE"""),0)</f>
        <v>0</v>
      </c>
      <c r="AC1047" s="3">
        <f ca="1">IFERROR(__xludf.DUMMYFUNCTION("""COMPUTED_VALUE"""),20)</f>
        <v>20</v>
      </c>
      <c r="AD1047" s="3" t="str">
        <f ca="1">IFERROR(__xludf.DUMMYFUNCTION("""COMPUTED_VALUE"""),"early")</f>
        <v>early</v>
      </c>
      <c r="AE1047" s="3" t="str">
        <f ca="1">IFERROR(__xludf.DUMMYFUNCTION("""COMPUTED_VALUE"""),"2055-06-13T16:20:05.538645Z")</f>
        <v>2055-06-13T16:20:05.538645Z</v>
      </c>
      <c r="AF1047" s="3" t="str">
        <f ca="1">IFERROR(__xludf.DUMMYFUNCTION("""COMPUTED_VALUE"""),"2055-06-13T16:33:45.097497Z")</f>
        <v>2055-06-13T16:33:45.097497Z</v>
      </c>
      <c r="AG1047" s="3" t="str">
        <f ca="1">IFERROR(__xludf.DUMMYFUNCTION("""COMPUTED_VALUE"""),"2055-06-13T16:02:54.223949Z")</f>
        <v>2055-06-13T16:02:54.223949Z</v>
      </c>
      <c r="AH1047" s="3" t="str">
        <f ca="1">IFERROR(__xludf.DUMMYFUNCTION("""COMPUTED_VALUE"""),"2055-06-13T16:13:01.402405Z")</f>
        <v>2055-06-13T16:13:01.402405Z</v>
      </c>
      <c r="AI1047" s="3">
        <f ca="1">IFERROR(__xludf.DUMMYFUNCTION("""COMPUTED_VALUE"""),4.54)</f>
        <v>4.54</v>
      </c>
      <c r="AJ1047" s="3">
        <f ca="1">IFERROR(__xludf.DUMMYFUNCTION("""COMPUTED_VALUE"""),2229)</f>
        <v>2229</v>
      </c>
      <c r="AK1047" s="3">
        <f ca="1">IFERROR(__xludf.DUMMYFUNCTION("""COMPUTED_VALUE"""),6580)</f>
        <v>6580</v>
      </c>
      <c r="AL1047" s="3"/>
      <c r="AM1047" s="3">
        <f>IFERROR(Raw_Data!AL1047 / Raw_Data!AK1047, "")</f>
        <v>0</v>
      </c>
      <c r="AN1047" s="3" t="str">
        <f>IF(ISBLANK(Raw_Data!AL1047), "No", "Yes")</f>
        <v>No</v>
      </c>
      <c r="AO1047" s="3">
        <f>IFERROR(Raw_Data!Z1047/60, "")</f>
        <v>7.0666666666666664</v>
      </c>
    </row>
    <row r="1048" spans="1:41" ht="13">
      <c r="A1048" s="3">
        <f ca="1">IFERROR(__xludf.DUMMYFUNCTION("""COMPUTED_VALUE"""),1407)</f>
        <v>1407</v>
      </c>
      <c r="B1048" s="3"/>
      <c r="C1048" s="3">
        <f ca="1">IFERROR(__xludf.DUMMYFUNCTION("""COMPUTED_VALUE"""),4001)</f>
        <v>4001</v>
      </c>
      <c r="D1048" s="3" t="str">
        <f ca="1">IFERROR(__xludf.DUMMYFUNCTION("""COMPUTED_VALUE"""),"Dashattan")</f>
        <v>Dashattan</v>
      </c>
      <c r="E1048" s="3" t="str">
        <f ca="1">IFERROR(__xludf.DUMMYFUNCTION("""COMPUTED_VALUE"""),"Galaxy A")</f>
        <v>Galaxy A</v>
      </c>
      <c r="F1048" s="3" t="str">
        <f ca="1">IFERROR(__xludf.DUMMYFUNCTION("""COMPUTED_VALUE"""),"KC")</f>
        <v>KC</v>
      </c>
      <c r="G1048" s="3">
        <f ca="1">IFERROR(__xludf.DUMMYFUNCTION("""COMPUTED_VALUE"""),0)</f>
        <v>0</v>
      </c>
      <c r="H1048" s="3" t="str">
        <f ca="1">IFERROR(__xludf.DUMMYFUNCTION("""COMPUTED_VALUE"""),"car")</f>
        <v>car</v>
      </c>
      <c r="I1048" s="3" t="str">
        <f ca="1">IFERROR(__xludf.DUMMYFUNCTION("""COMPUTED_VALUE"""),"2055-06-12T17:00:34.047137Z")</f>
        <v>2055-06-12T17:00:34.047137Z</v>
      </c>
      <c r="J1048" s="3" t="str">
        <f ca="1">IFERROR(__xludf.DUMMYFUNCTION("""COMPUTED_VALUE"""),"2055-06-12T17:54:16.196Z")</f>
        <v>2055-06-12T17:54:16.196Z</v>
      </c>
      <c r="K1048" s="3" t="str">
        <f ca="1">IFERROR(__xludf.DUMMYFUNCTION("""COMPUTED_VALUE"""),"2055-06-12T17:34:37.196Z")</f>
        <v>2055-06-12T17:34:37.196Z</v>
      </c>
      <c r="L1048" s="3">
        <f ca="1">IFERROR(__xludf.DUMMYFUNCTION("""COMPUTED_VALUE"""),1)</f>
        <v>1</v>
      </c>
      <c r="M1048" s="3">
        <f ca="1">IFERROR(__xludf.DUMMYFUNCTION("""COMPUTED_VALUE"""),0)</f>
        <v>0</v>
      </c>
      <c r="N1048" s="3" t="str">
        <f ca="1">IFERROR(__xludf.DUMMYFUNCTION("""COMPUTED_VALUE"""),"2055-06-12T17:16:06.300632Z")</f>
        <v>2055-06-12T17:16:06.300632Z</v>
      </c>
      <c r="O1048" s="3" t="str">
        <f ca="1">IFERROR(__xludf.DUMMYFUNCTION("""COMPUTED_VALUE"""),"2055-06-12T17:22:40.114934Z")</f>
        <v>2055-06-12T17:22:40.114934Z</v>
      </c>
      <c r="P1048" s="3" t="str">
        <f ca="1">IFERROR(__xludf.DUMMYFUNCTION("""COMPUTED_VALUE"""),"2055-06-12T17:00:54.320483Z")</f>
        <v>2055-06-12T17:00:54.320483Z</v>
      </c>
      <c r="Q1048" s="3">
        <f ca="1">IFERROR(__xludf.DUMMYFUNCTION("""COMPUTED_VALUE"""),0)</f>
        <v>0</v>
      </c>
      <c r="R1048" s="3" t="str">
        <f ca="1">IFERROR(__xludf.DUMMYFUNCTION("""COMPUTED_VALUE"""),"2055-06-12T17:01:14.855418Z")</f>
        <v>2055-06-12T17:01:14.855418Z</v>
      </c>
      <c r="S1048" s="3" t="str">
        <f ca="1">IFERROR(__xludf.DUMMYFUNCTION("""COMPUTED_VALUE"""),"2055-06-12T17:10:25.562279Z")</f>
        <v>2055-06-12T17:10:25.562279Z</v>
      </c>
      <c r="T1048" s="3"/>
      <c r="U1048" s="4">
        <f ca="1">IFERROR(__xludf.DUMMYFUNCTION("""COMPUTED_VALUE"""),56777)</f>
        <v>56777</v>
      </c>
      <c r="V1048" s="3">
        <f ca="1">IFERROR(__xludf.DUMMYFUNCTION("""COMPUTED_VALUE"""),4.4)</f>
        <v>4.4000000000000004</v>
      </c>
      <c r="W1048" s="3">
        <f ca="1">IFERROR(__xludf.DUMMYFUNCTION("""COMPUTED_VALUE"""),1000)</f>
        <v>1000</v>
      </c>
      <c r="X1048" s="3">
        <f ca="1">IFERROR(__xludf.DUMMYFUNCTION("""COMPUTED_VALUE"""),1286)</f>
        <v>1286</v>
      </c>
      <c r="Y1048" s="3">
        <f ca="1">IFERROR(__xludf.DUMMYFUNCTION("""COMPUTED_VALUE"""),551)</f>
        <v>551</v>
      </c>
      <c r="Z1048" s="3">
        <f ca="1">IFERROR(__xludf.DUMMYFUNCTION("""COMPUTED_VALUE"""),341)</f>
        <v>341</v>
      </c>
      <c r="AA1048" s="3">
        <f ca="1">IFERROR(__xludf.DUMMYFUNCTION("""COMPUTED_VALUE"""),394)</f>
        <v>394</v>
      </c>
      <c r="AB1048" s="3">
        <f ca="1">IFERROR(__xludf.DUMMYFUNCTION("""COMPUTED_VALUE"""),0)</f>
        <v>0</v>
      </c>
      <c r="AC1048" s="3">
        <f ca="1">IFERROR(__xludf.DUMMYFUNCTION("""COMPUTED_VALUE"""),14)</f>
        <v>14</v>
      </c>
      <c r="AD1048" s="3" t="str">
        <f ca="1">IFERROR(__xludf.DUMMYFUNCTION("""COMPUTED_VALUE"""),"on time")</f>
        <v>on time</v>
      </c>
      <c r="AE1048" s="3" t="str">
        <f ca="1">IFERROR(__xludf.DUMMYFUNCTION("""COMPUTED_VALUE"""),"2055-06-12T13:16:06.300632Z")</f>
        <v>2055-06-12T13:16:06.300632Z</v>
      </c>
      <c r="AF1048" s="3" t="str">
        <f ca="1">IFERROR(__xludf.DUMMYFUNCTION("""COMPUTED_VALUE"""),"2055-06-12T13:22:40.114934Z")</f>
        <v>2055-06-12T13:22:40.114934Z</v>
      </c>
      <c r="AG1048" s="3" t="str">
        <f ca="1">IFERROR(__xludf.DUMMYFUNCTION("""COMPUTED_VALUE"""),"2055-06-12T13:00:54.320483Z")</f>
        <v>2055-06-12T13:00:54.320483Z</v>
      </c>
      <c r="AH1048" s="3" t="str">
        <f ca="1">IFERROR(__xludf.DUMMYFUNCTION("""COMPUTED_VALUE"""),"2055-06-12T13:10:25.562279Z")</f>
        <v>2055-06-12T13:10:25.562279Z</v>
      </c>
      <c r="AI1048" s="3">
        <f ca="1">IFERROR(__xludf.DUMMYFUNCTION("""COMPUTED_VALUE"""),4.54)</f>
        <v>4.54</v>
      </c>
      <c r="AJ1048" s="3">
        <f ca="1">IFERROR(__xludf.DUMMYFUNCTION("""COMPUTED_VALUE"""),2229)</f>
        <v>2229</v>
      </c>
      <c r="AK1048" s="3">
        <f ca="1">IFERROR(__xludf.DUMMYFUNCTION("""COMPUTED_VALUE"""),6580)</f>
        <v>6580</v>
      </c>
      <c r="AL1048" s="3"/>
      <c r="AM1048" s="3">
        <f>IFERROR(Raw_Data!AL1048 / Raw_Data!AK1048, "")</f>
        <v>0</v>
      </c>
      <c r="AN1048" s="3" t="str">
        <f>IF(ISBLANK(Raw_Data!AL1048), "No", "Yes")</f>
        <v>No</v>
      </c>
      <c r="AO1048" s="3">
        <f>IFERROR(Raw_Data!Z1048/60, "")</f>
        <v>5.6833333333333336</v>
      </c>
    </row>
    <row r="1049" spans="1:41" ht="13">
      <c r="A1049" s="3">
        <f ca="1">IFERROR(__xludf.DUMMYFUNCTION("""COMPUTED_VALUE"""),12)</f>
        <v>12</v>
      </c>
      <c r="B1049" s="3">
        <f ca="1">IFERROR(__xludf.DUMMYFUNCTION("""COMPUTED_VALUE"""),5)</f>
        <v>5</v>
      </c>
      <c r="C1049" s="3">
        <f ca="1">IFERROR(__xludf.DUMMYFUNCTION("""COMPUTED_VALUE"""),4050)</f>
        <v>4050</v>
      </c>
      <c r="D1049" s="3" t="str">
        <f ca="1">IFERROR(__xludf.DUMMYFUNCTION("""COMPUTED_VALUE"""),"Doorlanta")</f>
        <v>Doorlanta</v>
      </c>
      <c r="E1049" s="3" t="str">
        <f ca="1">IFERROR(__xludf.DUMMYFUNCTION("""COMPUTED_VALUE"""),"Galaxy A")</f>
        <v>Galaxy A</v>
      </c>
      <c r="F1049" s="3" t="str">
        <f ca="1">IFERROR(__xludf.DUMMYFUNCTION("""COMPUTED_VALUE"""),"Faud")</f>
        <v>Faud</v>
      </c>
      <c r="G1049" s="3">
        <f ca="1">IFERROR(__xludf.DUMMYFUNCTION("""COMPUTED_VALUE"""),0)</f>
        <v>0</v>
      </c>
      <c r="H1049" s="3" t="str">
        <f ca="1">IFERROR(__xludf.DUMMYFUNCTION("""COMPUTED_VALUE"""),"car")</f>
        <v>car</v>
      </c>
      <c r="I1049" s="3" t="str">
        <f ca="1">IFERROR(__xludf.DUMMYFUNCTION("""COMPUTED_VALUE"""),"2055-06-01T15:59:42.542474Z")</f>
        <v>2055-06-01T15:59:42.542474Z</v>
      </c>
      <c r="J1049" s="3" t="str">
        <f ca="1">IFERROR(__xludf.DUMMYFUNCTION("""COMPUTED_VALUE"""),"2055-06-01T16:59:04.628Z")</f>
        <v>2055-06-01T16:59:04.628Z</v>
      </c>
      <c r="K1049" s="3" t="str">
        <f ca="1">IFERROR(__xludf.DUMMYFUNCTION("""COMPUTED_VALUE"""),"2055-06-01T16:38:57.628Z")</f>
        <v>2055-06-01T16:38:57.628Z</v>
      </c>
      <c r="L1049" s="3">
        <f ca="1">IFERROR(__xludf.DUMMYFUNCTION("""COMPUTED_VALUE"""),1)</f>
        <v>1</v>
      </c>
      <c r="M1049" s="3">
        <f ca="1">IFERROR(__xludf.DUMMYFUNCTION("""COMPUTED_VALUE"""),0)</f>
        <v>0</v>
      </c>
      <c r="N1049" s="3" t="str">
        <f ca="1">IFERROR(__xludf.DUMMYFUNCTION("""COMPUTED_VALUE"""),"2055-06-01T16:19:27.282696Z")</f>
        <v>2055-06-01T16:19:27.282696Z</v>
      </c>
      <c r="O1049" s="3" t="str">
        <f ca="1">IFERROR(__xludf.DUMMYFUNCTION("""COMPUTED_VALUE"""),"2055-06-01T16:32:33.823934Z")</f>
        <v>2055-06-01T16:32:33.823934Z</v>
      </c>
      <c r="P1049" s="3" t="str">
        <f ca="1">IFERROR(__xludf.DUMMYFUNCTION("""COMPUTED_VALUE"""),"2055-06-01T15:59:47.31647Z")</f>
        <v>2055-06-01T15:59:47.31647Z</v>
      </c>
      <c r="Q1049" s="3">
        <f ca="1">IFERROR(__xludf.DUMMYFUNCTION("""COMPUTED_VALUE"""),0)</f>
        <v>0</v>
      </c>
      <c r="R1049" s="3" t="str">
        <f ca="1">IFERROR(__xludf.DUMMYFUNCTION("""COMPUTED_VALUE"""),"2055-06-01T16:00:02.376878Z")</f>
        <v>2055-06-01T16:00:02.376878Z</v>
      </c>
      <c r="S1049" s="3" t="str">
        <f ca="1">IFERROR(__xludf.DUMMYFUNCTION("""COMPUTED_VALUE"""),"2055-06-01T16:11:47.316853Z")</f>
        <v>2055-06-01T16:11:47.316853Z</v>
      </c>
      <c r="T1049" s="3"/>
      <c r="U1049" s="4">
        <f ca="1">IFERROR(__xludf.DUMMYFUNCTION("""COMPUTED_VALUE"""),56766)</f>
        <v>56766</v>
      </c>
      <c r="V1049" s="3">
        <f ca="1">IFERROR(__xludf.DUMMYFUNCTION("""COMPUTED_VALUE"""),4.4)</f>
        <v>4.4000000000000004</v>
      </c>
      <c r="W1049" s="3">
        <f ca="1">IFERROR(__xludf.DUMMYFUNCTION("""COMPUTED_VALUE"""),1000)</f>
        <v>1000</v>
      </c>
      <c r="X1049" s="3">
        <f ca="1">IFERROR(__xludf.DUMMYFUNCTION("""COMPUTED_VALUE"""),1951)</f>
        <v>1951</v>
      </c>
      <c r="Y1049" s="3">
        <f ca="1">IFERROR(__xludf.DUMMYFUNCTION("""COMPUTED_VALUE"""),705)</f>
        <v>705</v>
      </c>
      <c r="Z1049" s="3">
        <f ca="1">IFERROR(__xludf.DUMMYFUNCTION("""COMPUTED_VALUE"""),460)</f>
        <v>460</v>
      </c>
      <c r="AA1049" s="3">
        <f ca="1">IFERROR(__xludf.DUMMYFUNCTION("""COMPUTED_VALUE"""),786)</f>
        <v>786</v>
      </c>
      <c r="AB1049" s="3">
        <f ca="1">IFERROR(__xludf.DUMMYFUNCTION("""COMPUTED_VALUE"""),0)</f>
        <v>0</v>
      </c>
      <c r="AC1049" s="3">
        <f ca="1">IFERROR(__xludf.DUMMYFUNCTION("""COMPUTED_VALUE"""),1)</f>
        <v>1</v>
      </c>
      <c r="AD1049" s="3" t="str">
        <f ca="1">IFERROR(__xludf.DUMMYFUNCTION("""COMPUTED_VALUE"""),"on time")</f>
        <v>on time</v>
      </c>
      <c r="AE1049" s="3" t="str">
        <f ca="1">IFERROR(__xludf.DUMMYFUNCTION("""COMPUTED_VALUE"""),"2055-06-01T12:19:27.282696Z")</f>
        <v>2055-06-01T12:19:27.282696Z</v>
      </c>
      <c r="AF1049" s="3" t="str">
        <f ca="1">IFERROR(__xludf.DUMMYFUNCTION("""COMPUTED_VALUE"""),"2055-06-01T12:32:33.823934Z")</f>
        <v>2055-06-01T12:32:33.823934Z</v>
      </c>
      <c r="AG1049" s="3" t="str">
        <f ca="1">IFERROR(__xludf.DUMMYFUNCTION("""COMPUTED_VALUE"""),"2055-06-01T11:59:47.31647Z")</f>
        <v>2055-06-01T11:59:47.31647Z</v>
      </c>
      <c r="AH1049" s="3" t="str">
        <f ca="1">IFERROR(__xludf.DUMMYFUNCTION("""COMPUTED_VALUE"""),"2055-06-01T12:11:47.316853Z")</f>
        <v>2055-06-01T12:11:47.316853Z</v>
      </c>
      <c r="AI1049" s="3">
        <f ca="1">IFERROR(__xludf.DUMMYFUNCTION("""COMPUTED_VALUE"""),4.69)</f>
        <v>4.6900000000000004</v>
      </c>
      <c r="AJ1049" s="3">
        <f ca="1">IFERROR(__xludf.DUMMYFUNCTION("""COMPUTED_VALUE"""),89)</f>
        <v>89</v>
      </c>
      <c r="AK1049" s="3">
        <f ca="1">IFERROR(__xludf.DUMMYFUNCTION("""COMPUTED_VALUE"""),258)</f>
        <v>258</v>
      </c>
      <c r="AL1049" s="3">
        <f ca="1">IFERROR(__xludf.DUMMYFUNCTION("""COMPUTED_VALUE"""),154)</f>
        <v>154</v>
      </c>
      <c r="AM1049" s="3">
        <f>IFERROR(Raw_Data!AL1049 / Raw_Data!AK1049, "")</f>
        <v>0.5968992248062015</v>
      </c>
      <c r="AN1049" s="3" t="str">
        <f>IF(ISBLANK(Raw_Data!AL1049), "No", "Yes")</f>
        <v>Yes</v>
      </c>
      <c r="AO1049" s="3">
        <f>IFERROR(Raw_Data!Z1049/60, "")</f>
        <v>7.666666666666667</v>
      </c>
    </row>
    <row r="1050" spans="1:41" ht="13">
      <c r="A1050" s="3">
        <f ca="1">IFERROR(__xludf.DUMMYFUNCTION("""COMPUTED_VALUE"""),1545)</f>
        <v>1545</v>
      </c>
      <c r="B1050" s="3"/>
      <c r="C1050" s="3">
        <f ca="1">IFERROR(__xludf.DUMMYFUNCTION("""COMPUTED_VALUE"""),4001)</f>
        <v>4001</v>
      </c>
      <c r="D1050" s="3" t="str">
        <f ca="1">IFERROR(__xludf.DUMMYFUNCTION("""COMPUTED_VALUE"""),"Dashattan")</f>
        <v>Dashattan</v>
      </c>
      <c r="E1050" s="3" t="str">
        <f ca="1">IFERROR(__xludf.DUMMYFUNCTION("""COMPUTED_VALUE"""),"Galaxy A")</f>
        <v>Galaxy A</v>
      </c>
      <c r="F1050" s="3" t="str">
        <f ca="1">IFERROR(__xludf.DUMMYFUNCTION("""COMPUTED_VALUE"""),"J")</f>
        <v>J</v>
      </c>
      <c r="G1050" s="3">
        <f ca="1">IFERROR(__xludf.DUMMYFUNCTION("""COMPUTED_VALUE"""),0)</f>
        <v>0</v>
      </c>
      <c r="H1050" s="3" t="str">
        <f ca="1">IFERROR(__xludf.DUMMYFUNCTION("""COMPUTED_VALUE"""),"bicycle")</f>
        <v>bicycle</v>
      </c>
      <c r="I1050" s="3" t="str">
        <f ca="1">IFERROR(__xludf.DUMMYFUNCTION("""COMPUTED_VALUE"""),"2055-06-13T01:52:57.204973Z")</f>
        <v>2055-06-13T01:52:57.204973Z</v>
      </c>
      <c r="J1050" s="3" t="str">
        <f ca="1">IFERROR(__xludf.DUMMYFUNCTION("""COMPUTED_VALUE"""),"2055-06-13T02:49:00.275Z")</f>
        <v>2055-06-13T02:49:00.275Z</v>
      </c>
      <c r="K1050" s="3" t="str">
        <f ca="1">IFERROR(__xludf.DUMMYFUNCTION("""COMPUTED_VALUE"""),"2055-06-13T02:25:42.275Z")</f>
        <v>2055-06-13T02:25:42.275Z</v>
      </c>
      <c r="L1050" s="3">
        <f ca="1">IFERROR(__xludf.DUMMYFUNCTION("""COMPUTED_VALUE"""),1)</f>
        <v>1</v>
      </c>
      <c r="M1050" s="3">
        <f ca="1">IFERROR(__xludf.DUMMYFUNCTION("""COMPUTED_VALUE"""),0)</f>
        <v>0</v>
      </c>
      <c r="N1050" s="3" t="str">
        <f ca="1">IFERROR(__xludf.DUMMYFUNCTION("""COMPUTED_VALUE"""),"2055-06-13T02:08:01.99731Z")</f>
        <v>2055-06-13T02:08:01.99731Z</v>
      </c>
      <c r="O1050" s="3" t="str">
        <f ca="1">IFERROR(__xludf.DUMMYFUNCTION("""COMPUTED_VALUE"""),"2055-06-13T02:52:29.290438Z")</f>
        <v>2055-06-13T02:52:29.290438Z</v>
      </c>
      <c r="P1050" s="3" t="str">
        <f ca="1">IFERROR(__xludf.DUMMYFUNCTION("""COMPUTED_VALUE"""),"2055-06-13T01:53:34.106072Z")</f>
        <v>2055-06-13T01:53:34.106072Z</v>
      </c>
      <c r="Q1050" s="3">
        <f ca="1">IFERROR(__xludf.DUMMYFUNCTION("""COMPUTED_VALUE"""),0)</f>
        <v>0</v>
      </c>
      <c r="R1050" s="3" t="str">
        <f ca="1">IFERROR(__xludf.DUMMYFUNCTION("""COMPUTED_VALUE"""),"2055-06-13T01:53:43.993072Z")</f>
        <v>2055-06-13T01:53:43.993072Z</v>
      </c>
      <c r="S1050" s="3" t="str">
        <f ca="1">IFERROR(__xludf.DUMMYFUNCTION("""COMPUTED_VALUE"""),"2055-06-13T02:09:24.842171Z")</f>
        <v>2055-06-13T02:09:24.842171Z</v>
      </c>
      <c r="T1050" s="3"/>
      <c r="U1050" s="4">
        <f ca="1">IFERROR(__xludf.DUMMYFUNCTION("""COMPUTED_VALUE"""),56777)</f>
        <v>56777</v>
      </c>
      <c r="V1050" s="3">
        <f ca="1">IFERROR(__xludf.DUMMYFUNCTION("""COMPUTED_VALUE"""),4.649691893)</f>
        <v>4.649691893</v>
      </c>
      <c r="W1050" s="3">
        <f ca="1">IFERROR(__xludf.DUMMYFUNCTION("""COMPUTED_VALUE"""),1000)</f>
        <v>1000</v>
      </c>
      <c r="X1050" s="3">
        <f ca="1">IFERROR(__xludf.DUMMYFUNCTION("""COMPUTED_VALUE"""),3526)</f>
        <v>3526</v>
      </c>
      <c r="Y1050" s="3">
        <f ca="1">IFERROR(__xludf.DUMMYFUNCTION("""COMPUTED_VALUE"""),941)</f>
        <v>941</v>
      </c>
      <c r="Z1050" s="3"/>
      <c r="AA1050" s="3">
        <f ca="1">IFERROR(__xludf.DUMMYFUNCTION("""COMPUTED_VALUE"""),2668)</f>
        <v>2668</v>
      </c>
      <c r="AB1050" s="3">
        <f ca="1">IFERROR(__xludf.DUMMYFUNCTION("""COMPUTED_VALUE"""),1)</f>
        <v>1</v>
      </c>
      <c r="AC1050" s="3">
        <f ca="1">IFERROR(__xludf.DUMMYFUNCTION("""COMPUTED_VALUE"""),3)</f>
        <v>3</v>
      </c>
      <c r="AD1050" s="3"/>
      <c r="AE1050" s="3" t="str">
        <f ca="1">IFERROR(__xludf.DUMMYFUNCTION("""COMPUTED_VALUE"""),"2055-06-12T22:08:01.99731Z")</f>
        <v>2055-06-12T22:08:01.99731Z</v>
      </c>
      <c r="AF1050" s="3" t="str">
        <f ca="1">IFERROR(__xludf.DUMMYFUNCTION("""COMPUTED_VALUE"""),"2055-06-12T22:52:29.290438Z")</f>
        <v>2055-06-12T22:52:29.290438Z</v>
      </c>
      <c r="AG1050" s="3" t="str">
        <f ca="1">IFERROR(__xludf.DUMMYFUNCTION("""COMPUTED_VALUE"""),"2055-06-12T21:53:34.106072Z")</f>
        <v>2055-06-12T21:53:34.106072Z</v>
      </c>
      <c r="AH1050" s="3" t="str">
        <f ca="1">IFERROR(__xludf.DUMMYFUNCTION("""COMPUTED_VALUE"""),"2055-06-12T22:09:24.842171Z")</f>
        <v>2055-06-12T22:09:24.842171Z</v>
      </c>
      <c r="AI1050" s="3">
        <f ca="1">IFERROR(__xludf.DUMMYFUNCTION("""COMPUTED_VALUE"""),4.6)</f>
        <v>4.5999999999999996</v>
      </c>
      <c r="AJ1050" s="3">
        <f ca="1">IFERROR(__xludf.DUMMYFUNCTION("""COMPUTED_VALUE"""),292)</f>
        <v>292</v>
      </c>
      <c r="AK1050" s="3">
        <f ca="1">IFERROR(__xludf.DUMMYFUNCTION("""COMPUTED_VALUE"""),1027)</f>
        <v>1027</v>
      </c>
      <c r="AL1050" s="3">
        <f ca="1">IFERROR(__xludf.DUMMYFUNCTION("""COMPUTED_VALUE"""),26)</f>
        <v>26</v>
      </c>
      <c r="AM1050" s="3">
        <f>IFERROR(Raw_Data!AL1050 / Raw_Data!AK1050, "")</f>
        <v>2.5316455696202531E-2</v>
      </c>
      <c r="AN1050" s="3" t="str">
        <f>IF(ISBLANK(Raw_Data!AL1050), "No", "Yes")</f>
        <v>Yes</v>
      </c>
      <c r="AO1050" s="3">
        <f>IFERROR(Raw_Data!Z1050/60, "")</f>
        <v>0</v>
      </c>
    </row>
    <row r="1051" spans="1:41" ht="13">
      <c r="A1051" s="3">
        <f ca="1">IFERROR(__xludf.DUMMYFUNCTION("""COMPUTED_VALUE"""),232)</f>
        <v>232</v>
      </c>
      <c r="B1051" s="3">
        <f ca="1">IFERROR(__xludf.DUMMYFUNCTION("""COMPUTED_VALUE"""),5)</f>
        <v>5</v>
      </c>
      <c r="C1051" s="3">
        <f ca="1">IFERROR(__xludf.DUMMYFUNCTION("""COMPUTED_VALUE"""),4050)</f>
        <v>4050</v>
      </c>
      <c r="D1051" s="3" t="str">
        <f ca="1">IFERROR(__xludf.DUMMYFUNCTION("""COMPUTED_VALUE"""),"Doorlanta")</f>
        <v>Doorlanta</v>
      </c>
      <c r="E1051" s="3" t="str">
        <f ca="1">IFERROR(__xludf.DUMMYFUNCTION("""COMPUTED_VALUE"""),"Galaxy A")</f>
        <v>Galaxy A</v>
      </c>
      <c r="F1051" s="3" t="str">
        <f ca="1">IFERROR(__xludf.DUMMYFUNCTION("""COMPUTED_VALUE"""),"Benn")</f>
        <v>Benn</v>
      </c>
      <c r="G1051" s="3">
        <f ca="1">IFERROR(__xludf.DUMMYFUNCTION("""COMPUTED_VALUE"""),0)</f>
        <v>0</v>
      </c>
      <c r="H1051" s="3" t="str">
        <f ca="1">IFERROR(__xludf.DUMMYFUNCTION("""COMPUTED_VALUE"""),"car")</f>
        <v>car</v>
      </c>
      <c r="I1051" s="3" t="str">
        <f ca="1">IFERROR(__xludf.DUMMYFUNCTION("""COMPUTED_VALUE"""),"2055-06-03T00:49:53.452615Z")</f>
        <v>2055-06-03T00:49:53.452615Z</v>
      </c>
      <c r="J1051" s="3" t="str">
        <f ca="1">IFERROR(__xludf.DUMMYFUNCTION("""COMPUTED_VALUE"""),"2055-06-03T01:44:53.527Z")</f>
        <v>2055-06-03T01:44:53.527Z</v>
      </c>
      <c r="K1051" s="3" t="str">
        <f ca="1">IFERROR(__xludf.DUMMYFUNCTION("""COMPUTED_VALUE"""),"2055-06-03T01:15:39.527Z")</f>
        <v>2055-06-03T01:15:39.527Z</v>
      </c>
      <c r="L1051" s="3">
        <f ca="1">IFERROR(__xludf.DUMMYFUNCTION("""COMPUTED_VALUE"""),1)</f>
        <v>1</v>
      </c>
      <c r="M1051" s="3">
        <f ca="1">IFERROR(__xludf.DUMMYFUNCTION("""COMPUTED_VALUE"""),0)</f>
        <v>0</v>
      </c>
      <c r="N1051" s="3" t="str">
        <f ca="1">IFERROR(__xludf.DUMMYFUNCTION("""COMPUTED_VALUE"""),"2055-06-03T01:09:38.903914Z")</f>
        <v>2055-06-03T01:09:38.903914Z</v>
      </c>
      <c r="O1051" s="3" t="str">
        <f ca="1">IFERROR(__xludf.DUMMYFUNCTION("""COMPUTED_VALUE"""),"2055-06-03T01:24:39.83083Z")</f>
        <v>2055-06-03T01:24:39.83083Z</v>
      </c>
      <c r="P1051" s="3" t="str">
        <f ca="1">IFERROR(__xludf.DUMMYFUNCTION("""COMPUTED_VALUE"""),"2055-06-03T00:50:07.333335Z")</f>
        <v>2055-06-03T00:50:07.333335Z</v>
      </c>
      <c r="Q1051" s="3">
        <f ca="1">IFERROR(__xludf.DUMMYFUNCTION("""COMPUTED_VALUE"""),0)</f>
        <v>0</v>
      </c>
      <c r="R1051" s="3" t="str">
        <f ca="1">IFERROR(__xludf.DUMMYFUNCTION("""COMPUTED_VALUE"""),"2055-06-03T00:50:16.309953Z")</f>
        <v>2055-06-03T00:50:16.309953Z</v>
      </c>
      <c r="S1051" s="3" t="str">
        <f ca="1">IFERROR(__xludf.DUMMYFUNCTION("""COMPUTED_VALUE"""),"2055-06-03T00:58:37.889254Z")</f>
        <v>2055-06-03T00:58:37.889254Z</v>
      </c>
      <c r="T1051" s="3"/>
      <c r="U1051" s="4">
        <f ca="1">IFERROR(__xludf.DUMMYFUNCTION("""COMPUTED_VALUE"""),56767)</f>
        <v>56767</v>
      </c>
      <c r="V1051" s="3">
        <f ca="1">IFERROR(__xludf.DUMMYFUNCTION("""COMPUTED_VALUE"""),4.5)</f>
        <v>4.5</v>
      </c>
      <c r="W1051" s="3">
        <f ca="1">IFERROR(__xludf.DUMMYFUNCTION("""COMPUTED_VALUE"""),1000)</f>
        <v>1000</v>
      </c>
      <c r="X1051" s="3">
        <f ca="1">IFERROR(__xludf.DUMMYFUNCTION("""COMPUTED_VALUE"""),2063)</f>
        <v>2063</v>
      </c>
      <c r="Y1051" s="3">
        <f ca="1">IFERROR(__xludf.DUMMYFUNCTION("""COMPUTED_VALUE"""),501)</f>
        <v>501</v>
      </c>
      <c r="Z1051" s="3">
        <f ca="1">IFERROR(__xludf.DUMMYFUNCTION("""COMPUTED_VALUE"""),661)</f>
        <v>661</v>
      </c>
      <c r="AA1051" s="3">
        <f ca="1">IFERROR(__xludf.DUMMYFUNCTION("""COMPUTED_VALUE"""),901)</f>
        <v>901</v>
      </c>
      <c r="AB1051" s="3">
        <f ca="1">IFERROR(__xludf.DUMMYFUNCTION("""COMPUTED_VALUE"""),0)</f>
        <v>0</v>
      </c>
      <c r="AC1051" s="3">
        <f ca="1">IFERROR(__xludf.DUMMYFUNCTION("""COMPUTED_VALUE"""),1)</f>
        <v>1</v>
      </c>
      <c r="AD1051" s="3" t="str">
        <f ca="1">IFERROR(__xludf.DUMMYFUNCTION("""COMPUTED_VALUE"""),"on time")</f>
        <v>on time</v>
      </c>
      <c r="AE1051" s="3" t="str">
        <f ca="1">IFERROR(__xludf.DUMMYFUNCTION("""COMPUTED_VALUE"""),"2055-06-02T21:09:38.903914Z")</f>
        <v>2055-06-02T21:09:38.903914Z</v>
      </c>
      <c r="AF1051" s="3" t="str">
        <f ca="1">IFERROR(__xludf.DUMMYFUNCTION("""COMPUTED_VALUE"""),"2055-06-02T21:24:39.83083Z")</f>
        <v>2055-06-02T21:24:39.83083Z</v>
      </c>
      <c r="AG1051" s="3" t="str">
        <f ca="1">IFERROR(__xludf.DUMMYFUNCTION("""COMPUTED_VALUE"""),"2055-06-02T20:50:07.333335Z")</f>
        <v>2055-06-02T20:50:07.333335Z</v>
      </c>
      <c r="AH1051" s="3" t="str">
        <f ca="1">IFERROR(__xludf.DUMMYFUNCTION("""COMPUTED_VALUE"""),"2055-06-02T20:58:37.889254Z")</f>
        <v>2055-06-02T20:58:37.889254Z</v>
      </c>
      <c r="AI1051" s="3">
        <f ca="1">IFERROR(__xludf.DUMMYFUNCTION("""COMPUTED_VALUE"""),4.63)</f>
        <v>4.63</v>
      </c>
      <c r="AJ1051" s="3">
        <f ca="1">IFERROR(__xludf.DUMMYFUNCTION("""COMPUTED_VALUE"""),241)</f>
        <v>241</v>
      </c>
      <c r="AK1051" s="3">
        <f ca="1">IFERROR(__xludf.DUMMYFUNCTION("""COMPUTED_VALUE"""),995)</f>
        <v>995</v>
      </c>
      <c r="AL1051" s="3">
        <f ca="1">IFERROR(__xludf.DUMMYFUNCTION("""COMPUTED_VALUE"""),626)</f>
        <v>626</v>
      </c>
      <c r="AM1051" s="3">
        <f>IFERROR(Raw_Data!AL1051 / Raw_Data!AK1051, "")</f>
        <v>0.62914572864321605</v>
      </c>
      <c r="AN1051" s="3" t="str">
        <f>IF(ISBLANK(Raw_Data!AL1051), "No", "Yes")</f>
        <v>Yes</v>
      </c>
      <c r="AO1051" s="3">
        <f>IFERROR(Raw_Data!Z1051/60, "")</f>
        <v>11.016666666666667</v>
      </c>
    </row>
    <row r="1052" spans="1:41" ht="13">
      <c r="A1052" s="3">
        <f ca="1">IFERROR(__xludf.DUMMYFUNCTION("""COMPUTED_VALUE"""),268)</f>
        <v>268</v>
      </c>
      <c r="B1052" s="3"/>
      <c r="C1052" s="3">
        <f ca="1">IFERROR(__xludf.DUMMYFUNCTION("""COMPUTED_VALUE"""),4050)</f>
        <v>4050</v>
      </c>
      <c r="D1052" s="3" t="str">
        <f ca="1">IFERROR(__xludf.DUMMYFUNCTION("""COMPUTED_VALUE"""),"Doorlanta")</f>
        <v>Doorlanta</v>
      </c>
      <c r="E1052" s="3" t="str">
        <f ca="1">IFERROR(__xludf.DUMMYFUNCTION("""COMPUTED_VALUE"""),"Galaxy A")</f>
        <v>Galaxy A</v>
      </c>
      <c r="F1052" s="3" t="str">
        <f ca="1">IFERROR(__xludf.DUMMYFUNCTION("""COMPUTED_VALUE"""),"Cate")</f>
        <v>Cate</v>
      </c>
      <c r="G1052" s="3">
        <f ca="1">IFERROR(__xludf.DUMMYFUNCTION("""COMPUTED_VALUE"""),0)</f>
        <v>0</v>
      </c>
      <c r="H1052" s="3" t="str">
        <f ca="1">IFERROR(__xludf.DUMMYFUNCTION("""COMPUTED_VALUE"""),"car")</f>
        <v>car</v>
      </c>
      <c r="I1052" s="3" t="str">
        <f ca="1">IFERROR(__xludf.DUMMYFUNCTION("""COMPUTED_VALUE"""),"2055-06-03T15:36:13.332639Z")</f>
        <v>2055-06-03T15:36:13.332639Z</v>
      </c>
      <c r="J1052" s="3" t="str">
        <f ca="1">IFERROR(__xludf.DUMMYFUNCTION("""COMPUTED_VALUE"""),"2055-06-03T16:24:17.412Z")</f>
        <v>2055-06-03T16:24:17.412Z</v>
      </c>
      <c r="K1052" s="3" t="str">
        <f ca="1">IFERROR(__xludf.DUMMYFUNCTION("""COMPUTED_VALUE"""),"2055-06-03T16:15:59.412Z")</f>
        <v>2055-06-03T16:15:59.412Z</v>
      </c>
      <c r="L1052" s="3">
        <f ca="1">IFERROR(__xludf.DUMMYFUNCTION("""COMPUTED_VALUE"""),1)</f>
        <v>1</v>
      </c>
      <c r="M1052" s="3">
        <f ca="1">IFERROR(__xludf.DUMMYFUNCTION("""COMPUTED_VALUE"""),0)</f>
        <v>0</v>
      </c>
      <c r="N1052" s="3" t="str">
        <f ca="1">IFERROR(__xludf.DUMMYFUNCTION("""COMPUTED_VALUE"""),"2055-06-03T16:09:41.39848Z")</f>
        <v>2055-06-03T16:09:41.39848Z</v>
      </c>
      <c r="O1052" s="3" t="str">
        <f ca="1">IFERROR(__xludf.DUMMYFUNCTION("""COMPUTED_VALUE"""),"2055-06-03T16:19:55.431297Z")</f>
        <v>2055-06-03T16:19:55.431297Z</v>
      </c>
      <c r="P1052" s="3" t="str">
        <f ca="1">IFERROR(__xludf.DUMMYFUNCTION("""COMPUTED_VALUE"""),"2055-06-03T15:49:27.505062Z")</f>
        <v>2055-06-03T15:49:27.505062Z</v>
      </c>
      <c r="Q1052" s="3">
        <f ca="1">IFERROR(__xludf.DUMMYFUNCTION("""COMPUTED_VALUE"""),0)</f>
        <v>0</v>
      </c>
      <c r="R1052" s="3" t="str">
        <f ca="1">IFERROR(__xludf.DUMMYFUNCTION("""COMPUTED_VALUE"""),"2055-06-03T15:49:33.188745Z")</f>
        <v>2055-06-03T15:49:33.188745Z</v>
      </c>
      <c r="S1052" s="3"/>
      <c r="T1052" s="3"/>
      <c r="U1052" s="4">
        <f ca="1">IFERROR(__xludf.DUMMYFUNCTION("""COMPUTED_VALUE"""),56768)</f>
        <v>56768</v>
      </c>
      <c r="V1052" s="3">
        <f ca="1">IFERROR(__xludf.DUMMYFUNCTION("""COMPUTED_VALUE"""),4.3)</f>
        <v>4.3</v>
      </c>
      <c r="W1052" s="3">
        <f ca="1">IFERROR(__xludf.DUMMYFUNCTION("""COMPUTED_VALUE"""),1000)</f>
        <v>1000</v>
      </c>
      <c r="X1052" s="3">
        <f ca="1">IFERROR(__xludf.DUMMYFUNCTION("""COMPUTED_VALUE"""),1822)</f>
        <v>1822</v>
      </c>
      <c r="Y1052" s="3"/>
      <c r="Z1052" s="3"/>
      <c r="AA1052" s="3">
        <f ca="1">IFERROR(__xludf.DUMMYFUNCTION("""COMPUTED_VALUE"""),614)</f>
        <v>614</v>
      </c>
      <c r="AB1052" s="3">
        <f ca="1">IFERROR(__xludf.DUMMYFUNCTION("""COMPUTED_VALUE"""),0)</f>
        <v>0</v>
      </c>
      <c r="AC1052" s="3">
        <f ca="1">IFERROR(__xludf.DUMMYFUNCTION("""COMPUTED_VALUE"""),1)</f>
        <v>1</v>
      </c>
      <c r="AD1052" s="3"/>
      <c r="AE1052" s="3" t="str">
        <f ca="1">IFERROR(__xludf.DUMMYFUNCTION("""COMPUTED_VALUE"""),"2055-06-03T12:09:41.39848Z")</f>
        <v>2055-06-03T12:09:41.39848Z</v>
      </c>
      <c r="AF1052" s="3" t="str">
        <f ca="1">IFERROR(__xludf.DUMMYFUNCTION("""COMPUTED_VALUE"""),"2055-06-03T12:19:55.431297Z")</f>
        <v>2055-06-03T12:19:55.431297Z</v>
      </c>
      <c r="AG1052" s="3" t="str">
        <f ca="1">IFERROR(__xludf.DUMMYFUNCTION("""COMPUTED_VALUE"""),"2055-06-03T11:49:27.505062Z")</f>
        <v>2055-06-03T11:49:27.505062Z</v>
      </c>
      <c r="AH1052" s="3"/>
      <c r="AI1052" s="3">
        <f ca="1">IFERROR(__xludf.DUMMYFUNCTION("""COMPUTED_VALUE"""),4.49)</f>
        <v>4.49</v>
      </c>
      <c r="AJ1052" s="3">
        <f ca="1">IFERROR(__xludf.DUMMYFUNCTION("""COMPUTED_VALUE"""),2315)</f>
        <v>2315</v>
      </c>
      <c r="AK1052" s="3">
        <f ca="1">IFERROR(__xludf.DUMMYFUNCTION("""COMPUTED_VALUE"""),7039)</f>
        <v>7039</v>
      </c>
      <c r="AL1052" s="3">
        <f ca="1">IFERROR(__xludf.DUMMYFUNCTION("""COMPUTED_VALUE"""),763)</f>
        <v>763</v>
      </c>
      <c r="AM1052" s="3">
        <f>IFERROR(Raw_Data!AL1052 / Raw_Data!AK1052, "")</f>
        <v>0.10839607898849268</v>
      </c>
      <c r="AN1052" s="3" t="str">
        <f>IF(ISBLANK(Raw_Data!AL1052), "No", "Yes")</f>
        <v>Yes</v>
      </c>
      <c r="AO1052" s="3">
        <f>IFERROR(Raw_Data!Z1052/60, "")</f>
        <v>0</v>
      </c>
    </row>
    <row r="1053" spans="1:41" ht="13">
      <c r="A1053" s="3">
        <f ca="1">IFERROR(__xludf.DUMMYFUNCTION("""COMPUTED_VALUE"""),1315)</f>
        <v>1315</v>
      </c>
      <c r="B1053" s="3"/>
      <c r="C1053" s="3">
        <f ca="1">IFERROR(__xludf.DUMMYFUNCTION("""COMPUTED_VALUE"""),4001)</f>
        <v>4001</v>
      </c>
      <c r="D1053" s="3" t="str">
        <f ca="1">IFERROR(__xludf.DUMMYFUNCTION("""COMPUTED_VALUE"""),"Dashattan")</f>
        <v>Dashattan</v>
      </c>
      <c r="E1053" s="3" t="str">
        <f ca="1">IFERROR(__xludf.DUMMYFUNCTION("""COMPUTED_VALUE"""),"Galaxy A")</f>
        <v>Galaxy A</v>
      </c>
      <c r="F1053" s="3" t="str">
        <f ca="1">IFERROR(__xludf.DUMMYFUNCTION("""COMPUTED_VALUE"""),"Arya")</f>
        <v>Arya</v>
      </c>
      <c r="G1053" s="3">
        <f ca="1">IFERROR(__xludf.DUMMYFUNCTION("""COMPUTED_VALUE"""),0)</f>
        <v>0</v>
      </c>
      <c r="H1053" s="3" t="str">
        <f ca="1">IFERROR(__xludf.DUMMYFUNCTION("""COMPUTED_VALUE"""),"bicycle")</f>
        <v>bicycle</v>
      </c>
      <c r="I1053" s="3" t="str">
        <f ca="1">IFERROR(__xludf.DUMMYFUNCTION("""COMPUTED_VALUE"""),"2055-06-11T22:01:47.000211Z")</f>
        <v>2055-06-11T22:01:47.000211Z</v>
      </c>
      <c r="J1053" s="3" t="str">
        <f ca="1">IFERROR(__xludf.DUMMYFUNCTION("""COMPUTED_VALUE"""),"2055-06-11T22:50:57.079Z")</f>
        <v>2055-06-11T22:50:57.079Z</v>
      </c>
      <c r="K1053" s="3" t="str">
        <f ca="1">IFERROR(__xludf.DUMMYFUNCTION("""COMPUTED_VALUE"""),"2055-06-11T22:31:18.079Z")</f>
        <v>2055-06-11T22:31:18.079Z</v>
      </c>
      <c r="L1053" s="3">
        <f ca="1">IFERROR(__xludf.DUMMYFUNCTION("""COMPUTED_VALUE"""),1)</f>
        <v>1</v>
      </c>
      <c r="M1053" s="3">
        <f ca="1">IFERROR(__xludf.DUMMYFUNCTION("""COMPUTED_VALUE"""),0)</f>
        <v>0</v>
      </c>
      <c r="N1053" s="3" t="str">
        <f ca="1">IFERROR(__xludf.DUMMYFUNCTION("""COMPUTED_VALUE"""),"2055-06-11T22:24:30.493621Z")</f>
        <v>2055-06-11T22:24:30.493621Z</v>
      </c>
      <c r="O1053" s="3" t="str">
        <f ca="1">IFERROR(__xludf.DUMMYFUNCTION("""COMPUTED_VALUE"""),"2055-06-11T22:36:13.247262Z")</f>
        <v>2055-06-11T22:36:13.247262Z</v>
      </c>
      <c r="P1053" s="3" t="str">
        <f ca="1">IFERROR(__xludf.DUMMYFUNCTION("""COMPUTED_VALUE"""),"2055-06-11T22:07:54.417438Z")</f>
        <v>2055-06-11T22:07:54.417438Z</v>
      </c>
      <c r="Q1053" s="3">
        <f ca="1">IFERROR(__xludf.DUMMYFUNCTION("""COMPUTED_VALUE"""),0)</f>
        <v>0</v>
      </c>
      <c r="R1053" s="3" t="str">
        <f ca="1">IFERROR(__xludf.DUMMYFUNCTION("""COMPUTED_VALUE"""),"2055-06-11T22:08:05.554339Z")</f>
        <v>2055-06-11T22:08:05.554339Z</v>
      </c>
      <c r="S1053" s="3"/>
      <c r="T1053" s="3"/>
      <c r="U1053" s="4">
        <f ca="1">IFERROR(__xludf.DUMMYFUNCTION("""COMPUTED_VALUE"""),56776)</f>
        <v>56776</v>
      </c>
      <c r="V1053" s="3">
        <f ca="1">IFERROR(__xludf.DUMMYFUNCTION("""COMPUTED_VALUE"""),3.137255065)</f>
        <v>3.1372550650000002</v>
      </c>
      <c r="W1053" s="3">
        <f ca="1">IFERROR(__xludf.DUMMYFUNCTION("""COMPUTED_VALUE"""),1000)</f>
        <v>1000</v>
      </c>
      <c r="X1053" s="3">
        <f ca="1">IFERROR(__xludf.DUMMYFUNCTION("""COMPUTED_VALUE"""),1688)</f>
        <v>1688</v>
      </c>
      <c r="Y1053" s="3"/>
      <c r="Z1053" s="3"/>
      <c r="AA1053" s="3">
        <f ca="1">IFERROR(__xludf.DUMMYFUNCTION("""COMPUTED_VALUE"""),703)</f>
        <v>703</v>
      </c>
      <c r="AB1053" s="3">
        <f ca="1">IFERROR(__xludf.DUMMYFUNCTION("""COMPUTED_VALUE"""),0)</f>
        <v>0</v>
      </c>
      <c r="AC1053" s="3">
        <f ca="1">IFERROR(__xludf.DUMMYFUNCTION("""COMPUTED_VALUE"""),2)</f>
        <v>2</v>
      </c>
      <c r="AD1053" s="3"/>
      <c r="AE1053" s="3" t="str">
        <f ca="1">IFERROR(__xludf.DUMMYFUNCTION("""COMPUTED_VALUE"""),"2055-06-11T18:24:30.493621Z")</f>
        <v>2055-06-11T18:24:30.493621Z</v>
      </c>
      <c r="AF1053" s="3" t="str">
        <f ca="1">IFERROR(__xludf.DUMMYFUNCTION("""COMPUTED_VALUE"""),"2055-06-11T18:36:13.247262Z")</f>
        <v>2055-06-11T18:36:13.247262Z</v>
      </c>
      <c r="AG1053" s="3" t="str">
        <f ca="1">IFERROR(__xludf.DUMMYFUNCTION("""COMPUTED_VALUE"""),"2055-06-11T18:07:54.417438Z")</f>
        <v>2055-06-11T18:07:54.417438Z</v>
      </c>
      <c r="AH1053" s="3"/>
      <c r="AI1053" s="3">
        <f ca="1">IFERROR(__xludf.DUMMYFUNCTION("""COMPUTED_VALUE"""),4.17)</f>
        <v>4.17</v>
      </c>
      <c r="AJ1053" s="3">
        <f ca="1">IFERROR(__xludf.DUMMYFUNCTION("""COMPUTED_VALUE"""),457)</f>
        <v>457</v>
      </c>
      <c r="AK1053" s="3">
        <f ca="1">IFERROR(__xludf.DUMMYFUNCTION("""COMPUTED_VALUE"""),1599)</f>
        <v>1599</v>
      </c>
      <c r="AL1053" s="3"/>
      <c r="AM1053" s="3">
        <f>IFERROR(Raw_Data!AL1053 / Raw_Data!AK1053, "")</f>
        <v>0</v>
      </c>
      <c r="AN1053" s="3" t="str">
        <f>IF(ISBLANK(Raw_Data!AL1053), "No", "Yes")</f>
        <v>No</v>
      </c>
      <c r="AO1053" s="3">
        <f>IFERROR(Raw_Data!Z1053/60, "")</f>
        <v>0</v>
      </c>
    </row>
    <row r="1054" spans="1:41" ht="13">
      <c r="A1054" s="3">
        <f ca="1">IFERROR(__xludf.DUMMYFUNCTION("""COMPUTED_VALUE"""),1019)</f>
        <v>1019</v>
      </c>
      <c r="B1054" s="3">
        <f ca="1">IFERROR(__xludf.DUMMYFUNCTION("""COMPUTED_VALUE"""),5)</f>
        <v>5</v>
      </c>
      <c r="C1054" s="3">
        <f ca="1">IFERROR(__xludf.DUMMYFUNCTION("""COMPUTED_VALUE"""),4001)</f>
        <v>4001</v>
      </c>
      <c r="D1054" s="3" t="str">
        <f ca="1">IFERROR(__xludf.DUMMYFUNCTION("""COMPUTED_VALUE"""),"Dashattan")</f>
        <v>Dashattan</v>
      </c>
      <c r="E1054" s="3" t="str">
        <f ca="1">IFERROR(__xludf.DUMMYFUNCTION("""COMPUTED_VALUE"""),"Galaxy A")</f>
        <v>Galaxy A</v>
      </c>
      <c r="F1054" s="3" t="str">
        <f ca="1">IFERROR(__xludf.DUMMYFUNCTION("""COMPUTED_VALUE"""),"Sean")</f>
        <v>Sean</v>
      </c>
      <c r="G1054" s="3">
        <f ca="1">IFERROR(__xludf.DUMMYFUNCTION("""COMPUTED_VALUE"""),0)</f>
        <v>0</v>
      </c>
      <c r="H1054" s="3" t="str">
        <f ca="1">IFERROR(__xludf.DUMMYFUNCTION("""COMPUTED_VALUE"""),"bicycle")</f>
        <v>bicycle</v>
      </c>
      <c r="I1054" s="3" t="str">
        <f ca="1">IFERROR(__xludf.DUMMYFUNCTION("""COMPUTED_VALUE"""),"2055-06-09T15:16:18.342417Z")</f>
        <v>2055-06-09T15:16:18.342417Z</v>
      </c>
      <c r="J1054" s="3" t="str">
        <f ca="1">IFERROR(__xludf.DUMMYFUNCTION("""COMPUTED_VALUE"""),"2055-06-09T16:09:07.404Z")</f>
        <v>2055-06-09T16:09:07.404Z</v>
      </c>
      <c r="K1054" s="3" t="str">
        <f ca="1">IFERROR(__xludf.DUMMYFUNCTION("""COMPUTED_VALUE"""),"2055-06-09T15:49:28.404Z")</f>
        <v>2055-06-09T15:49:28.404Z</v>
      </c>
      <c r="L1054" s="3">
        <f ca="1">IFERROR(__xludf.DUMMYFUNCTION("""COMPUTED_VALUE"""),1)</f>
        <v>1</v>
      </c>
      <c r="M1054" s="3">
        <f ca="1">IFERROR(__xludf.DUMMYFUNCTION("""COMPUTED_VALUE"""),0)</f>
        <v>0</v>
      </c>
      <c r="N1054" s="3" t="str">
        <f ca="1">IFERROR(__xludf.DUMMYFUNCTION("""COMPUTED_VALUE"""),"2055-06-09T15:28:36.357952Z")</f>
        <v>2055-06-09T15:28:36.357952Z</v>
      </c>
      <c r="O1054" s="3" t="str">
        <f ca="1">IFERROR(__xludf.DUMMYFUNCTION("""COMPUTED_VALUE"""),"2055-06-09T15:37:34.580982Z")</f>
        <v>2055-06-09T15:37:34.580982Z</v>
      </c>
      <c r="P1054" s="3" t="str">
        <f ca="1">IFERROR(__xludf.DUMMYFUNCTION("""COMPUTED_VALUE"""),"2055-06-09T15:19:34.570477Z")</f>
        <v>2055-06-09T15:19:34.570477Z</v>
      </c>
      <c r="Q1054" s="3">
        <f ca="1">IFERROR(__xludf.DUMMYFUNCTION("""COMPUTED_VALUE"""),0)</f>
        <v>0</v>
      </c>
      <c r="R1054" s="3" t="str">
        <f ca="1">IFERROR(__xludf.DUMMYFUNCTION("""COMPUTED_VALUE"""),"2055-06-09T15:19:50.36309Z")</f>
        <v>2055-06-09T15:19:50.36309Z</v>
      </c>
      <c r="S1054" s="3" t="str">
        <f ca="1">IFERROR(__xludf.DUMMYFUNCTION("""COMPUTED_VALUE"""),"2055-06-09T15:24:45.545148Z")</f>
        <v>2055-06-09T15:24:45.545148Z</v>
      </c>
      <c r="T1054" s="3"/>
      <c r="U1054" s="4">
        <f ca="1">IFERROR(__xludf.DUMMYFUNCTION("""COMPUTED_VALUE"""),56774)</f>
        <v>56774</v>
      </c>
      <c r="V1054" s="3">
        <f ca="1">IFERROR(__xludf.DUMMYFUNCTION("""COMPUTED_VALUE"""),4.6)</f>
        <v>4.5999999999999996</v>
      </c>
      <c r="W1054" s="3">
        <f ca="1">IFERROR(__xludf.DUMMYFUNCTION("""COMPUTED_VALUE"""),1000)</f>
        <v>1000</v>
      </c>
      <c r="X1054" s="3">
        <f ca="1">IFERROR(__xludf.DUMMYFUNCTION("""COMPUTED_VALUE"""),1064)</f>
        <v>1064</v>
      </c>
      <c r="Y1054" s="3">
        <f ca="1">IFERROR(__xludf.DUMMYFUNCTION("""COMPUTED_VALUE"""),295)</f>
        <v>295</v>
      </c>
      <c r="Z1054" s="3">
        <f ca="1">IFERROR(__xludf.DUMMYFUNCTION("""COMPUTED_VALUE"""),231)</f>
        <v>231</v>
      </c>
      <c r="AA1054" s="3">
        <f ca="1">IFERROR(__xludf.DUMMYFUNCTION("""COMPUTED_VALUE"""),538)</f>
        <v>538</v>
      </c>
      <c r="AB1054" s="3">
        <f ca="1">IFERROR(__xludf.DUMMYFUNCTION("""COMPUTED_VALUE"""),0)</f>
        <v>0</v>
      </c>
      <c r="AC1054" s="3">
        <f ca="1">IFERROR(__xludf.DUMMYFUNCTION("""COMPUTED_VALUE"""),2)</f>
        <v>2</v>
      </c>
      <c r="AD1054" s="3" t="str">
        <f ca="1">IFERROR(__xludf.DUMMYFUNCTION("""COMPUTED_VALUE"""),"on time")</f>
        <v>on time</v>
      </c>
      <c r="AE1054" s="3" t="str">
        <f ca="1">IFERROR(__xludf.DUMMYFUNCTION("""COMPUTED_VALUE"""),"2055-06-09T11:28:36.357952Z")</f>
        <v>2055-06-09T11:28:36.357952Z</v>
      </c>
      <c r="AF1054" s="3" t="str">
        <f ca="1">IFERROR(__xludf.DUMMYFUNCTION("""COMPUTED_VALUE"""),"2055-06-09T11:37:34.580982Z")</f>
        <v>2055-06-09T11:37:34.580982Z</v>
      </c>
      <c r="AG1054" s="3" t="str">
        <f ca="1">IFERROR(__xludf.DUMMYFUNCTION("""COMPUTED_VALUE"""),"2055-06-09T11:19:34.570477Z")</f>
        <v>2055-06-09T11:19:34.570477Z</v>
      </c>
      <c r="AH1054" s="3" t="str">
        <f ca="1">IFERROR(__xludf.DUMMYFUNCTION("""COMPUTED_VALUE"""),"2055-06-09T11:24:45.545148Z")</f>
        <v>2055-06-09T11:24:45.545148Z</v>
      </c>
      <c r="AI1054" s="3">
        <f ca="1">IFERROR(__xludf.DUMMYFUNCTION("""COMPUTED_VALUE"""),4.52)</f>
        <v>4.5199999999999996</v>
      </c>
      <c r="AJ1054" s="3">
        <f ca="1">IFERROR(__xludf.DUMMYFUNCTION("""COMPUTED_VALUE"""),183)</f>
        <v>183</v>
      </c>
      <c r="AK1054" s="3">
        <f ca="1">IFERROR(__xludf.DUMMYFUNCTION("""COMPUTED_VALUE"""),522)</f>
        <v>522</v>
      </c>
      <c r="AL1054" s="3"/>
      <c r="AM1054" s="3">
        <f>IFERROR(Raw_Data!AL1054 / Raw_Data!AK1054, "")</f>
        <v>0</v>
      </c>
      <c r="AN1054" s="3" t="str">
        <f>IF(ISBLANK(Raw_Data!AL1054), "No", "Yes")</f>
        <v>No</v>
      </c>
      <c r="AO1054" s="3">
        <f>IFERROR(Raw_Data!Z1054/60, "")</f>
        <v>3.85</v>
      </c>
    </row>
    <row r="1055" spans="1:41" ht="13">
      <c r="A1055" s="3">
        <f ca="1">IFERROR(__xludf.DUMMYFUNCTION("""COMPUTED_VALUE"""),962)</f>
        <v>962</v>
      </c>
      <c r="B1055" s="3">
        <f ca="1">IFERROR(__xludf.DUMMYFUNCTION("""COMPUTED_VALUE"""),5)</f>
        <v>5</v>
      </c>
      <c r="C1055" s="3">
        <f ca="1">IFERROR(__xludf.DUMMYFUNCTION("""COMPUTED_VALUE"""),4001)</f>
        <v>4001</v>
      </c>
      <c r="D1055" s="3" t="str">
        <f ca="1">IFERROR(__xludf.DUMMYFUNCTION("""COMPUTED_VALUE"""),"Dashattan")</f>
        <v>Dashattan</v>
      </c>
      <c r="E1055" s="3" t="str">
        <f ca="1">IFERROR(__xludf.DUMMYFUNCTION("""COMPUTED_VALUE"""),"Galaxy A")</f>
        <v>Galaxy A</v>
      </c>
      <c r="F1055" s="3" t="str">
        <f ca="1">IFERROR(__xludf.DUMMYFUNCTION("""COMPUTED_VALUE"""),"Rojan")</f>
        <v>Rojan</v>
      </c>
      <c r="G1055" s="3">
        <f ca="1">IFERROR(__xludf.DUMMYFUNCTION("""COMPUTED_VALUE"""),0)</f>
        <v>0</v>
      </c>
      <c r="H1055" s="3" t="str">
        <f ca="1">IFERROR(__xludf.DUMMYFUNCTION("""COMPUTED_VALUE"""),"bicycle")</f>
        <v>bicycle</v>
      </c>
      <c r="I1055" s="3" t="str">
        <f ca="1">IFERROR(__xludf.DUMMYFUNCTION("""COMPUTED_VALUE"""),"2055-06-08T20:42:58.807209Z")</f>
        <v>2055-06-08T20:42:58.807209Z</v>
      </c>
      <c r="J1055" s="3" t="str">
        <f ca="1">IFERROR(__xludf.DUMMYFUNCTION("""COMPUTED_VALUE"""),"2055-06-08T21:53:20.862Z")</f>
        <v>2055-06-08T21:53:20.862Z</v>
      </c>
      <c r="K1055" s="3" t="str">
        <f ca="1">IFERROR(__xludf.DUMMYFUNCTION("""COMPUTED_VALUE"""),"2055-06-08T21:31:26.862Z")</f>
        <v>2055-06-08T21:31:26.862Z</v>
      </c>
      <c r="L1055" s="3">
        <f ca="1">IFERROR(__xludf.DUMMYFUNCTION("""COMPUTED_VALUE"""),1)</f>
        <v>1</v>
      </c>
      <c r="M1055" s="3">
        <f ca="1">IFERROR(__xludf.DUMMYFUNCTION("""COMPUTED_VALUE"""),0)</f>
        <v>0</v>
      </c>
      <c r="N1055" s="3" t="str">
        <f ca="1">IFERROR(__xludf.DUMMYFUNCTION("""COMPUTED_VALUE"""),"2055-06-08T21:16:05.160561Z")</f>
        <v>2055-06-08T21:16:05.160561Z</v>
      </c>
      <c r="O1055" s="3" t="str">
        <f ca="1">IFERROR(__xludf.DUMMYFUNCTION("""COMPUTED_VALUE"""),"2055-06-08T21:27:03.069227Z")</f>
        <v>2055-06-08T21:27:03.069227Z</v>
      </c>
      <c r="P1055" s="3" t="str">
        <f ca="1">IFERROR(__xludf.DUMMYFUNCTION("""COMPUTED_VALUE"""),"2055-06-08T20:46:34.217353Z")</f>
        <v>2055-06-08T20:46:34.217353Z</v>
      </c>
      <c r="Q1055" s="3">
        <f ca="1">IFERROR(__xludf.DUMMYFUNCTION("""COMPUTED_VALUE"""),0)</f>
        <v>0</v>
      </c>
      <c r="R1055" s="3" t="str">
        <f ca="1">IFERROR(__xludf.DUMMYFUNCTION("""COMPUTED_VALUE"""),"2055-06-08T20:46:55.432757Z")</f>
        <v>2055-06-08T20:46:55.432757Z</v>
      </c>
      <c r="S1055" s="3" t="str">
        <f ca="1">IFERROR(__xludf.DUMMYFUNCTION("""COMPUTED_VALUE"""),"2055-06-08T21:13:00.622979Z")</f>
        <v>2055-06-08T21:13:00.622979Z</v>
      </c>
      <c r="T1055" s="3"/>
      <c r="U1055" s="4">
        <f ca="1">IFERROR(__xludf.DUMMYFUNCTION("""COMPUTED_VALUE"""),56773)</f>
        <v>56773</v>
      </c>
      <c r="V1055" s="3">
        <f ca="1">IFERROR(__xludf.DUMMYFUNCTION("""COMPUTED_VALUE"""),3.896959729)</f>
        <v>3.8969597290000002</v>
      </c>
      <c r="W1055" s="3">
        <f ca="1">IFERROR(__xludf.DUMMYFUNCTION("""COMPUTED_VALUE"""),1000)</f>
        <v>1000</v>
      </c>
      <c r="X1055" s="3">
        <f ca="1">IFERROR(__xludf.DUMMYFUNCTION("""COMPUTED_VALUE"""),2408)</f>
        <v>2408</v>
      </c>
      <c r="Y1055" s="3">
        <f ca="1">IFERROR(__xludf.DUMMYFUNCTION("""COMPUTED_VALUE"""),1565)</f>
        <v>1565</v>
      </c>
      <c r="Z1055" s="3">
        <f ca="1">IFERROR(__xludf.DUMMYFUNCTION("""COMPUTED_VALUE"""),185)</f>
        <v>185</v>
      </c>
      <c r="AA1055" s="3">
        <f ca="1">IFERROR(__xludf.DUMMYFUNCTION("""COMPUTED_VALUE"""),658)</f>
        <v>658</v>
      </c>
      <c r="AB1055" s="3">
        <f ca="1">IFERROR(__xludf.DUMMYFUNCTION("""COMPUTED_VALUE"""),0)</f>
        <v>0</v>
      </c>
      <c r="AC1055" s="3">
        <f ca="1">IFERROR(__xludf.DUMMYFUNCTION("""COMPUTED_VALUE"""),3)</f>
        <v>3</v>
      </c>
      <c r="AD1055" s="3" t="str">
        <f ca="1">IFERROR(__xludf.DUMMYFUNCTION("""COMPUTED_VALUE"""),"on time")</f>
        <v>on time</v>
      </c>
      <c r="AE1055" s="3" t="str">
        <f ca="1">IFERROR(__xludf.DUMMYFUNCTION("""COMPUTED_VALUE"""),"2055-06-08T17:16:05.160561Z")</f>
        <v>2055-06-08T17:16:05.160561Z</v>
      </c>
      <c r="AF1055" s="3" t="str">
        <f ca="1">IFERROR(__xludf.DUMMYFUNCTION("""COMPUTED_VALUE"""),"2055-06-08T17:27:03.069227Z")</f>
        <v>2055-06-08T17:27:03.069227Z</v>
      </c>
      <c r="AG1055" s="3" t="str">
        <f ca="1">IFERROR(__xludf.DUMMYFUNCTION("""COMPUTED_VALUE"""),"2055-06-08T16:46:34.217353Z")</f>
        <v>2055-06-08T16:46:34.217353Z</v>
      </c>
      <c r="AH1055" s="3" t="str">
        <f ca="1">IFERROR(__xludf.DUMMYFUNCTION("""COMPUTED_VALUE"""),"2055-06-08T17:13:00.622979Z")</f>
        <v>2055-06-08T17:13:00.622979Z</v>
      </c>
      <c r="AI1055" s="3">
        <f ca="1">IFERROR(__xludf.DUMMYFUNCTION("""COMPUTED_VALUE"""),4.58)</f>
        <v>4.58</v>
      </c>
      <c r="AJ1055" s="3">
        <f ca="1">IFERROR(__xludf.DUMMYFUNCTION("""COMPUTED_VALUE"""),254)</f>
        <v>254</v>
      </c>
      <c r="AK1055" s="3">
        <f ca="1">IFERROR(__xludf.DUMMYFUNCTION("""COMPUTED_VALUE"""),788)</f>
        <v>788</v>
      </c>
      <c r="AL1055" s="3">
        <f ca="1">IFERROR(__xludf.DUMMYFUNCTION("""COMPUTED_VALUE"""),9)</f>
        <v>9</v>
      </c>
      <c r="AM1055" s="3">
        <f>IFERROR(Raw_Data!AL1055 / Raw_Data!AK1055, "")</f>
        <v>1.1421319796954314E-2</v>
      </c>
      <c r="AN1055" s="3" t="str">
        <f>IF(ISBLANK(Raw_Data!AL1055), "No", "Yes")</f>
        <v>Yes</v>
      </c>
      <c r="AO1055" s="3">
        <f>IFERROR(Raw_Data!Z1055/60, "")</f>
        <v>3.0833333333333335</v>
      </c>
    </row>
    <row r="1056" spans="1:41" ht="13">
      <c r="A1056" s="3">
        <f ca="1">IFERROR(__xludf.DUMMYFUNCTION("""COMPUTED_VALUE"""),291)</f>
        <v>291</v>
      </c>
      <c r="B1056" s="3"/>
      <c r="C1056" s="3">
        <f ca="1">IFERROR(__xludf.DUMMYFUNCTION("""COMPUTED_VALUE"""),4001)</f>
        <v>4001</v>
      </c>
      <c r="D1056" s="3" t="str">
        <f ca="1">IFERROR(__xludf.DUMMYFUNCTION("""COMPUTED_VALUE"""),"Dashattan")</f>
        <v>Dashattan</v>
      </c>
      <c r="E1056" s="3" t="str">
        <f ca="1">IFERROR(__xludf.DUMMYFUNCTION("""COMPUTED_VALUE"""),"Galaxy A")</f>
        <v>Galaxy A</v>
      </c>
      <c r="F1056" s="3" t="str">
        <f ca="1">IFERROR(__xludf.DUMMYFUNCTION("""COMPUTED_VALUE"""),"Bunje")</f>
        <v>Bunje</v>
      </c>
      <c r="G1056" s="3">
        <f ca="1">IFERROR(__xludf.DUMMYFUNCTION("""COMPUTED_VALUE"""),0)</f>
        <v>0</v>
      </c>
      <c r="H1056" s="3" t="str">
        <f ca="1">IFERROR(__xludf.DUMMYFUNCTION("""COMPUTED_VALUE"""),"bicycle")</f>
        <v>bicycle</v>
      </c>
      <c r="I1056" s="3" t="str">
        <f ca="1">IFERROR(__xludf.DUMMYFUNCTION("""COMPUTED_VALUE"""),"2055-06-03T17:02:25.391393Z")</f>
        <v>2055-06-03T17:02:25.391393Z</v>
      </c>
      <c r="J1056" s="3" t="str">
        <f ca="1">IFERROR(__xludf.DUMMYFUNCTION("""COMPUTED_VALUE"""),"2055-06-03T18:13:55.461Z")</f>
        <v>2055-06-03T18:13:55.461Z</v>
      </c>
      <c r="K1056" s="3" t="str">
        <f ca="1">IFERROR(__xludf.DUMMYFUNCTION("""COMPUTED_VALUE"""),"2055-06-03T17:53:48.461Z")</f>
        <v>2055-06-03T17:53:48.461Z</v>
      </c>
      <c r="L1056" s="3">
        <f ca="1">IFERROR(__xludf.DUMMYFUNCTION("""COMPUTED_VALUE"""),1)</f>
        <v>1</v>
      </c>
      <c r="M1056" s="3">
        <f ca="1">IFERROR(__xludf.DUMMYFUNCTION("""COMPUTED_VALUE"""),0)</f>
        <v>0</v>
      </c>
      <c r="N1056" s="3" t="str">
        <f ca="1">IFERROR(__xludf.DUMMYFUNCTION("""COMPUTED_VALUE"""),"2055-06-03T17:18:49.049261Z")</f>
        <v>2055-06-03T17:18:49.049261Z</v>
      </c>
      <c r="O1056" s="3" t="str">
        <f ca="1">IFERROR(__xludf.DUMMYFUNCTION("""COMPUTED_VALUE"""),"2055-06-03T17:41:54.780884Z")</f>
        <v>2055-06-03T17:41:54.780884Z</v>
      </c>
      <c r="P1056" s="3" t="str">
        <f ca="1">IFERROR(__xludf.DUMMYFUNCTION("""COMPUTED_VALUE"""),"2055-06-03T17:02:34.894665Z")</f>
        <v>2055-06-03T17:02:34.894665Z</v>
      </c>
      <c r="Q1056" s="3">
        <f ca="1">IFERROR(__xludf.DUMMYFUNCTION("""COMPUTED_VALUE"""),0)</f>
        <v>0</v>
      </c>
      <c r="R1056" s="3" t="str">
        <f ca="1">IFERROR(__xludf.DUMMYFUNCTION("""COMPUTED_VALUE"""),"2055-06-03T17:02:47.128659Z")</f>
        <v>2055-06-03T17:02:47.128659Z</v>
      </c>
      <c r="S1056" s="3" t="str">
        <f ca="1">IFERROR(__xludf.DUMMYFUNCTION("""COMPUTED_VALUE"""),"2055-06-03T17:15:42.484295Z")</f>
        <v>2055-06-03T17:15:42.484295Z</v>
      </c>
      <c r="T1056" s="3"/>
      <c r="U1056" s="4">
        <f ca="1">IFERROR(__xludf.DUMMYFUNCTION("""COMPUTED_VALUE"""),56768)</f>
        <v>56768</v>
      </c>
      <c r="V1056" s="3">
        <f ca="1">IFERROR(__xludf.DUMMYFUNCTION("""COMPUTED_VALUE"""),4.3)</f>
        <v>4.3</v>
      </c>
      <c r="W1056" s="3">
        <f ca="1">IFERROR(__xludf.DUMMYFUNCTION("""COMPUTED_VALUE"""),1000)</f>
        <v>1000</v>
      </c>
      <c r="X1056" s="3">
        <f ca="1">IFERROR(__xludf.DUMMYFUNCTION("""COMPUTED_VALUE"""),2347)</f>
        <v>2347</v>
      </c>
      <c r="Y1056" s="3">
        <f ca="1">IFERROR(__xludf.DUMMYFUNCTION("""COMPUTED_VALUE"""),775)</f>
        <v>775</v>
      </c>
      <c r="Z1056" s="3">
        <f ca="1">IFERROR(__xludf.DUMMYFUNCTION("""COMPUTED_VALUE"""),187)</f>
        <v>187</v>
      </c>
      <c r="AA1056" s="3">
        <f ca="1">IFERROR(__xludf.DUMMYFUNCTION("""COMPUTED_VALUE"""),1385)</f>
        <v>1385</v>
      </c>
      <c r="AB1056" s="3">
        <f ca="1">IFERROR(__xludf.DUMMYFUNCTION("""COMPUTED_VALUE"""),0)</f>
        <v>0</v>
      </c>
      <c r="AC1056" s="3">
        <f ca="1">IFERROR(__xludf.DUMMYFUNCTION("""COMPUTED_VALUE"""),1)</f>
        <v>1</v>
      </c>
      <c r="AD1056" s="3" t="str">
        <f ca="1">IFERROR(__xludf.DUMMYFUNCTION("""COMPUTED_VALUE"""),"on time")</f>
        <v>on time</v>
      </c>
      <c r="AE1056" s="3" t="str">
        <f ca="1">IFERROR(__xludf.DUMMYFUNCTION("""COMPUTED_VALUE"""),"2055-06-03T13:18:49.049261Z")</f>
        <v>2055-06-03T13:18:49.049261Z</v>
      </c>
      <c r="AF1056" s="3" t="str">
        <f ca="1">IFERROR(__xludf.DUMMYFUNCTION("""COMPUTED_VALUE"""),"2055-06-03T13:41:54.780884Z")</f>
        <v>2055-06-03T13:41:54.780884Z</v>
      </c>
      <c r="AG1056" s="3" t="str">
        <f ca="1">IFERROR(__xludf.DUMMYFUNCTION("""COMPUTED_VALUE"""),"2055-06-03T13:02:34.894665Z")</f>
        <v>2055-06-03T13:02:34.894665Z</v>
      </c>
      <c r="AH1056" s="3" t="str">
        <f ca="1">IFERROR(__xludf.DUMMYFUNCTION("""COMPUTED_VALUE"""),"2055-06-03T13:15:42.484295Z")</f>
        <v>2055-06-03T13:15:42.484295Z</v>
      </c>
      <c r="AI1056" s="3">
        <f ca="1">IFERROR(__xludf.DUMMYFUNCTION("""COMPUTED_VALUE"""),4.7)</f>
        <v>4.7</v>
      </c>
      <c r="AJ1056" s="3">
        <f ca="1">IFERROR(__xludf.DUMMYFUNCTION("""COMPUTED_VALUE"""),443)</f>
        <v>443</v>
      </c>
      <c r="AK1056" s="3">
        <f ca="1">IFERROR(__xludf.DUMMYFUNCTION("""COMPUTED_VALUE"""),1579)</f>
        <v>1579</v>
      </c>
      <c r="AL1056" s="3"/>
      <c r="AM1056" s="3">
        <f>IFERROR(Raw_Data!AL1056 / Raw_Data!AK1056, "")</f>
        <v>0</v>
      </c>
      <c r="AN1056" s="3" t="str">
        <f>IF(ISBLANK(Raw_Data!AL1056), "No", "Yes")</f>
        <v>No</v>
      </c>
      <c r="AO1056" s="3">
        <f>IFERROR(Raw_Data!Z1056/60, "")</f>
        <v>3.1166666666666667</v>
      </c>
    </row>
    <row r="1057" spans="1:41" ht="13">
      <c r="A1057" s="3">
        <f ca="1">IFERROR(__xludf.DUMMYFUNCTION("""COMPUTED_VALUE"""),716)</f>
        <v>716</v>
      </c>
      <c r="B1057" s="3">
        <f ca="1">IFERROR(__xludf.DUMMYFUNCTION("""COMPUTED_VALUE"""),5)</f>
        <v>5</v>
      </c>
      <c r="C1057" s="3">
        <f ca="1">IFERROR(__xludf.DUMMYFUNCTION("""COMPUTED_VALUE"""),4001)</f>
        <v>4001</v>
      </c>
      <c r="D1057" s="3" t="str">
        <f ca="1">IFERROR(__xludf.DUMMYFUNCTION("""COMPUTED_VALUE"""),"Dashattan")</f>
        <v>Dashattan</v>
      </c>
      <c r="E1057" s="3" t="str">
        <f ca="1">IFERROR(__xludf.DUMMYFUNCTION("""COMPUTED_VALUE"""),"Galaxy A")</f>
        <v>Galaxy A</v>
      </c>
      <c r="F1057" s="3" t="str">
        <f ca="1">IFERROR(__xludf.DUMMYFUNCTION("""COMPUTED_VALUE"""),"Arya")</f>
        <v>Arya</v>
      </c>
      <c r="G1057" s="3">
        <f ca="1">IFERROR(__xludf.DUMMYFUNCTION("""COMPUTED_VALUE"""),0)</f>
        <v>0</v>
      </c>
      <c r="H1057" s="3" t="str">
        <f ca="1">IFERROR(__xludf.DUMMYFUNCTION("""COMPUTED_VALUE"""),"bicycle")</f>
        <v>bicycle</v>
      </c>
      <c r="I1057" s="3" t="str">
        <f ca="1">IFERROR(__xludf.DUMMYFUNCTION("""COMPUTED_VALUE"""),"2055-06-06T01:22:20.560788Z")</f>
        <v>2055-06-06T01:22:20.560788Z</v>
      </c>
      <c r="J1057" s="3" t="str">
        <f ca="1">IFERROR(__xludf.DUMMYFUNCTION("""COMPUTED_VALUE"""),"2055-06-06T02:36:28.622Z")</f>
        <v>2055-06-06T02:36:28.622Z</v>
      </c>
      <c r="K1057" s="3" t="str">
        <f ca="1">IFERROR(__xludf.DUMMYFUNCTION("""COMPUTED_VALUE"""),"2055-06-06T02:13:10.622Z")</f>
        <v>2055-06-06T02:13:10.622Z</v>
      </c>
      <c r="L1057" s="3">
        <f ca="1">IFERROR(__xludf.DUMMYFUNCTION("""COMPUTED_VALUE"""),1)</f>
        <v>1</v>
      </c>
      <c r="M1057" s="3">
        <f ca="1">IFERROR(__xludf.DUMMYFUNCTION("""COMPUTED_VALUE"""),0)</f>
        <v>0</v>
      </c>
      <c r="N1057" s="3" t="str">
        <f ca="1">IFERROR(__xludf.DUMMYFUNCTION("""COMPUTED_VALUE"""),"2055-06-06T01:50:08.684146Z")</f>
        <v>2055-06-06T01:50:08.684146Z</v>
      </c>
      <c r="O1057" s="3" t="str">
        <f ca="1">IFERROR(__xludf.DUMMYFUNCTION("""COMPUTED_VALUE"""),"2055-06-06T01:55:38.160232Z")</f>
        <v>2055-06-06T01:55:38.160232Z</v>
      </c>
      <c r="P1057" s="3" t="str">
        <f ca="1">IFERROR(__xludf.DUMMYFUNCTION("""COMPUTED_VALUE"""),"2055-06-06T01:22:34.797321Z")</f>
        <v>2055-06-06T01:22:34.797321Z</v>
      </c>
      <c r="Q1057" s="3">
        <f ca="1">IFERROR(__xludf.DUMMYFUNCTION("""COMPUTED_VALUE"""),0)</f>
        <v>0</v>
      </c>
      <c r="R1057" s="3" t="str">
        <f ca="1">IFERROR(__xludf.DUMMYFUNCTION("""COMPUTED_VALUE"""),"2055-06-06T01:23:30.675628Z")</f>
        <v>2055-06-06T01:23:30.675628Z</v>
      </c>
      <c r="S1057" s="3" t="str">
        <f ca="1">IFERROR(__xludf.DUMMYFUNCTION("""COMPUTED_VALUE"""),"2055-06-06T01:36:15.550665Z")</f>
        <v>2055-06-06T01:36:15.550665Z</v>
      </c>
      <c r="T1057" s="3"/>
      <c r="U1057" s="4">
        <f ca="1">IFERROR(__xludf.DUMMYFUNCTION("""COMPUTED_VALUE"""),56770)</f>
        <v>56770</v>
      </c>
      <c r="V1057" s="3">
        <f ca="1">IFERROR(__xludf.DUMMYFUNCTION("""COMPUTED_VALUE"""),4.3)</f>
        <v>4.3</v>
      </c>
      <c r="W1057" s="3">
        <f ca="1">IFERROR(__xludf.DUMMYFUNCTION("""COMPUTED_VALUE"""),1000)</f>
        <v>1000</v>
      </c>
      <c r="X1057" s="3">
        <f ca="1">IFERROR(__xludf.DUMMYFUNCTION("""COMPUTED_VALUE"""),1928)</f>
        <v>1928</v>
      </c>
      <c r="Y1057" s="3">
        <f ca="1">IFERROR(__xludf.DUMMYFUNCTION("""COMPUTED_VALUE"""),765)</f>
        <v>765</v>
      </c>
      <c r="Z1057" s="3">
        <f ca="1">IFERROR(__xludf.DUMMYFUNCTION("""COMPUTED_VALUE"""),833)</f>
        <v>833</v>
      </c>
      <c r="AA1057" s="3">
        <f ca="1">IFERROR(__xludf.DUMMYFUNCTION("""COMPUTED_VALUE"""),330)</f>
        <v>330</v>
      </c>
      <c r="AB1057" s="3">
        <f ca="1">IFERROR(__xludf.DUMMYFUNCTION("""COMPUTED_VALUE"""),0)</f>
        <v>0</v>
      </c>
      <c r="AC1057" s="3">
        <f ca="1">IFERROR(__xludf.DUMMYFUNCTION("""COMPUTED_VALUE"""),1)</f>
        <v>1</v>
      </c>
      <c r="AD1057" s="3" t="str">
        <f ca="1">IFERROR(__xludf.DUMMYFUNCTION("""COMPUTED_VALUE"""),"early")</f>
        <v>early</v>
      </c>
      <c r="AE1057" s="3" t="str">
        <f ca="1">IFERROR(__xludf.DUMMYFUNCTION("""COMPUTED_VALUE"""),"2055-06-05T21:50:08.684146Z")</f>
        <v>2055-06-05T21:50:08.684146Z</v>
      </c>
      <c r="AF1057" s="3" t="str">
        <f ca="1">IFERROR(__xludf.DUMMYFUNCTION("""COMPUTED_VALUE"""),"2055-06-05T21:55:38.160232Z")</f>
        <v>2055-06-05T21:55:38.160232Z</v>
      </c>
      <c r="AG1057" s="3" t="str">
        <f ca="1">IFERROR(__xludf.DUMMYFUNCTION("""COMPUTED_VALUE"""),"2055-06-05T21:22:34.797321Z")</f>
        <v>2055-06-05T21:22:34.797321Z</v>
      </c>
      <c r="AH1057" s="3" t="str">
        <f ca="1">IFERROR(__xludf.DUMMYFUNCTION("""COMPUTED_VALUE"""),"2055-06-05T21:36:15.550665Z")</f>
        <v>2055-06-05T21:36:15.550665Z</v>
      </c>
      <c r="AI1057" s="3">
        <f ca="1">IFERROR(__xludf.DUMMYFUNCTION("""COMPUTED_VALUE"""),4.17)</f>
        <v>4.17</v>
      </c>
      <c r="AJ1057" s="3">
        <f ca="1">IFERROR(__xludf.DUMMYFUNCTION("""COMPUTED_VALUE"""),457)</f>
        <v>457</v>
      </c>
      <c r="AK1057" s="3">
        <f ca="1">IFERROR(__xludf.DUMMYFUNCTION("""COMPUTED_VALUE"""),1599)</f>
        <v>1599</v>
      </c>
      <c r="AL1057" s="3"/>
      <c r="AM1057" s="3">
        <f>IFERROR(Raw_Data!AL1057 / Raw_Data!AK1057, "")</f>
        <v>0</v>
      </c>
      <c r="AN1057" s="3" t="str">
        <f>IF(ISBLANK(Raw_Data!AL1057), "No", "Yes")</f>
        <v>No</v>
      </c>
      <c r="AO1057" s="3">
        <f>IFERROR(Raw_Data!Z1057/60, "")</f>
        <v>13.883333333333333</v>
      </c>
    </row>
    <row r="1058" spans="1:41" ht="13">
      <c r="A1058" s="3">
        <f ca="1">IFERROR(__xludf.DUMMYFUNCTION("""COMPUTED_VALUE"""),1437)</f>
        <v>1437</v>
      </c>
      <c r="B1058" s="3">
        <f ca="1">IFERROR(__xludf.DUMMYFUNCTION("""COMPUTED_VALUE"""),5)</f>
        <v>5</v>
      </c>
      <c r="C1058" s="3">
        <f ca="1">IFERROR(__xludf.DUMMYFUNCTION("""COMPUTED_VALUE"""),4001)</f>
        <v>4001</v>
      </c>
      <c r="D1058" s="3" t="str">
        <f ca="1">IFERROR(__xludf.DUMMYFUNCTION("""COMPUTED_VALUE"""),"Dashattan")</f>
        <v>Dashattan</v>
      </c>
      <c r="E1058" s="3" t="str">
        <f ca="1">IFERROR(__xludf.DUMMYFUNCTION("""COMPUTED_VALUE"""),"Galaxy A")</f>
        <v>Galaxy A</v>
      </c>
      <c r="F1058" s="3" t="str">
        <f ca="1">IFERROR(__xludf.DUMMYFUNCTION("""COMPUTED_VALUE"""),"Mike")</f>
        <v>Mike</v>
      </c>
      <c r="G1058" s="3">
        <f ca="1">IFERROR(__xludf.DUMMYFUNCTION("""COMPUTED_VALUE"""),0)</f>
        <v>0</v>
      </c>
      <c r="H1058" s="3" t="str">
        <f ca="1">IFERROR(__xludf.DUMMYFUNCTION("""COMPUTED_VALUE"""),"bicycle")</f>
        <v>bicycle</v>
      </c>
      <c r="I1058" s="3" t="str">
        <f ca="1">IFERROR(__xludf.DUMMYFUNCTION("""COMPUTED_VALUE"""),"2055-06-12T19:13:11.415855Z")</f>
        <v>2055-06-12T19:13:11.415855Z</v>
      </c>
      <c r="J1058" s="3" t="str">
        <f ca="1">IFERROR(__xludf.DUMMYFUNCTION("""COMPUTED_VALUE"""),"2055-06-12T20:03:56.47Z")</f>
        <v>2055-06-12T20:03:56.47Z</v>
      </c>
      <c r="K1058" s="3" t="str">
        <f ca="1">IFERROR(__xludf.DUMMYFUNCTION("""COMPUTED_VALUE"""),"2055-06-12T19:54:17.47Z")</f>
        <v>2055-06-12T19:54:17.47Z</v>
      </c>
      <c r="L1058" s="3">
        <f ca="1">IFERROR(__xludf.DUMMYFUNCTION("""COMPUTED_VALUE"""),1)</f>
        <v>1</v>
      </c>
      <c r="M1058" s="3">
        <f ca="1">IFERROR(__xludf.DUMMYFUNCTION("""COMPUTED_VALUE"""),0)</f>
        <v>0</v>
      </c>
      <c r="N1058" s="3" t="str">
        <f ca="1">IFERROR(__xludf.DUMMYFUNCTION("""COMPUTED_VALUE"""),"2055-06-12T20:01:47.314484Z")</f>
        <v>2055-06-12T20:01:47.314484Z</v>
      </c>
      <c r="O1058" s="3" t="str">
        <f ca="1">IFERROR(__xludf.DUMMYFUNCTION("""COMPUTED_VALUE"""),"2055-06-12T20:25:52.414419Z")</f>
        <v>2055-06-12T20:25:52.414419Z</v>
      </c>
      <c r="P1058" s="3" t="str">
        <f ca="1">IFERROR(__xludf.DUMMYFUNCTION("""COMPUTED_VALUE"""),"2055-06-12T19:13:34.317314Z")</f>
        <v>2055-06-12T19:13:34.317314Z</v>
      </c>
      <c r="Q1058" s="3">
        <f ca="1">IFERROR(__xludf.DUMMYFUNCTION("""COMPUTED_VALUE"""),0)</f>
        <v>0</v>
      </c>
      <c r="R1058" s="3" t="str">
        <f ca="1">IFERROR(__xludf.DUMMYFUNCTION("""COMPUTED_VALUE"""),"2055-06-12T19:13:38.851127Z")</f>
        <v>2055-06-12T19:13:38.851127Z</v>
      </c>
      <c r="S1058" s="3" t="str">
        <f ca="1">IFERROR(__xludf.DUMMYFUNCTION("""COMPUTED_VALUE"""),"2055-06-12T19:56:33.765706Z")</f>
        <v>2055-06-12T19:56:33.765706Z</v>
      </c>
      <c r="T1058" s="3"/>
      <c r="U1058" s="4">
        <f ca="1">IFERROR(__xludf.DUMMYFUNCTION("""COMPUTED_VALUE"""),56777)</f>
        <v>56777</v>
      </c>
      <c r="V1058" s="3">
        <f ca="1">IFERROR(__xludf.DUMMYFUNCTION("""COMPUTED_VALUE"""),3.04009713)</f>
        <v>3.0400971299999999</v>
      </c>
      <c r="W1058" s="3">
        <f ca="1">IFERROR(__xludf.DUMMYFUNCTION("""COMPUTED_VALUE"""),1000)</f>
        <v>1000</v>
      </c>
      <c r="X1058" s="3">
        <f ca="1">IFERROR(__xludf.DUMMYFUNCTION("""COMPUTED_VALUE"""),4334)</f>
        <v>4334</v>
      </c>
      <c r="Y1058" s="3">
        <f ca="1">IFERROR(__xludf.DUMMYFUNCTION("""COMPUTED_VALUE"""),2575)</f>
        <v>2575</v>
      </c>
      <c r="Z1058" s="3">
        <f ca="1">IFERROR(__xludf.DUMMYFUNCTION("""COMPUTED_VALUE"""),314)</f>
        <v>314</v>
      </c>
      <c r="AA1058" s="3">
        <f ca="1">IFERROR(__xludf.DUMMYFUNCTION("""COMPUTED_VALUE"""),1445)</f>
        <v>1445</v>
      </c>
      <c r="AB1058" s="3">
        <f ca="1">IFERROR(__xludf.DUMMYFUNCTION("""COMPUTED_VALUE"""),0)</f>
        <v>0</v>
      </c>
      <c r="AC1058" s="3">
        <f ca="1">IFERROR(__xludf.DUMMYFUNCTION("""COMPUTED_VALUE"""),1)</f>
        <v>1</v>
      </c>
      <c r="AD1058" s="3"/>
      <c r="AE1058" s="3" t="str">
        <f ca="1">IFERROR(__xludf.DUMMYFUNCTION("""COMPUTED_VALUE"""),"2055-06-12T16:01:47.314484Z")</f>
        <v>2055-06-12T16:01:47.314484Z</v>
      </c>
      <c r="AF1058" s="3" t="str">
        <f ca="1">IFERROR(__xludf.DUMMYFUNCTION("""COMPUTED_VALUE"""),"2055-06-12T16:25:52.414419Z")</f>
        <v>2055-06-12T16:25:52.414419Z</v>
      </c>
      <c r="AG1058" s="3" t="str">
        <f ca="1">IFERROR(__xludf.DUMMYFUNCTION("""COMPUTED_VALUE"""),"2055-06-12T15:13:34.317314Z")</f>
        <v>2055-06-12T15:13:34.317314Z</v>
      </c>
      <c r="AH1058" s="3" t="str">
        <f ca="1">IFERROR(__xludf.DUMMYFUNCTION("""COMPUTED_VALUE"""),"2055-06-12T15:56:33.765706Z")</f>
        <v>2055-06-12T15:56:33.765706Z</v>
      </c>
      <c r="AI1058" s="3">
        <f ca="1">IFERROR(__xludf.DUMMYFUNCTION("""COMPUTED_VALUE"""),4.63)</f>
        <v>4.63</v>
      </c>
      <c r="AJ1058" s="3">
        <f ca="1">IFERROR(__xludf.DUMMYFUNCTION("""COMPUTED_VALUE"""),242)</f>
        <v>242</v>
      </c>
      <c r="AK1058" s="3">
        <f ca="1">IFERROR(__xludf.DUMMYFUNCTION("""COMPUTED_VALUE"""),736)</f>
        <v>736</v>
      </c>
      <c r="AL1058" s="3"/>
      <c r="AM1058" s="3">
        <f>IFERROR(Raw_Data!AL1058 / Raw_Data!AK1058, "")</f>
        <v>0</v>
      </c>
      <c r="AN1058" s="3" t="str">
        <f>IF(ISBLANK(Raw_Data!AL1058), "No", "Yes")</f>
        <v>No</v>
      </c>
      <c r="AO1058" s="3">
        <f>IFERROR(Raw_Data!Z1058/60, "")</f>
        <v>5.2333333333333334</v>
      </c>
    </row>
    <row r="1059" spans="1:41" ht="13">
      <c r="A1059" s="3">
        <f ca="1">IFERROR(__xludf.DUMMYFUNCTION("""COMPUTED_VALUE"""),47)</f>
        <v>47</v>
      </c>
      <c r="B1059" s="3">
        <f ca="1">IFERROR(__xludf.DUMMYFUNCTION("""COMPUTED_VALUE"""),5)</f>
        <v>5</v>
      </c>
      <c r="C1059" s="3">
        <f ca="1">IFERROR(__xludf.DUMMYFUNCTION("""COMPUTED_VALUE"""),4050)</f>
        <v>4050</v>
      </c>
      <c r="D1059" s="3" t="str">
        <f ca="1">IFERROR(__xludf.DUMMYFUNCTION("""COMPUTED_VALUE"""),"Doorlanta")</f>
        <v>Doorlanta</v>
      </c>
      <c r="E1059" s="3" t="str">
        <f ca="1">IFERROR(__xludf.DUMMYFUNCTION("""COMPUTED_VALUE"""),"Galaxy A")</f>
        <v>Galaxy A</v>
      </c>
      <c r="F1059" s="3" t="str">
        <f ca="1">IFERROR(__xludf.DUMMYFUNCTION("""COMPUTED_VALUE"""),"Merissa")</f>
        <v>Merissa</v>
      </c>
      <c r="G1059" s="3">
        <f ca="1">IFERROR(__xludf.DUMMYFUNCTION("""COMPUTED_VALUE"""),0)</f>
        <v>0</v>
      </c>
      <c r="H1059" s="3" t="str">
        <f ca="1">IFERROR(__xludf.DUMMYFUNCTION("""COMPUTED_VALUE"""),"car")</f>
        <v>car</v>
      </c>
      <c r="I1059" s="3" t="str">
        <f ca="1">IFERROR(__xludf.DUMMYFUNCTION("""COMPUTED_VALUE"""),"2055-06-01T21:45:21.801266Z")</f>
        <v>2055-06-01T21:45:21.801266Z</v>
      </c>
      <c r="J1059" s="3" t="str">
        <f ca="1">IFERROR(__xludf.DUMMYFUNCTION("""COMPUTED_VALUE"""),"2055-06-01T22:40:21.874Z")</f>
        <v>2055-06-01T22:40:21.874Z</v>
      </c>
      <c r="K1059" s="3" t="str">
        <f ca="1">IFERROR(__xludf.DUMMYFUNCTION("""COMPUTED_VALUE"""),"2055-06-01T22:18:38.874Z")</f>
        <v>2055-06-01T22:18:38.874Z</v>
      </c>
      <c r="L1059" s="3">
        <f ca="1">IFERROR(__xludf.DUMMYFUNCTION("""COMPUTED_VALUE"""),1)</f>
        <v>1</v>
      </c>
      <c r="M1059" s="3">
        <f ca="1">IFERROR(__xludf.DUMMYFUNCTION("""COMPUTED_VALUE"""),0)</f>
        <v>0</v>
      </c>
      <c r="N1059" s="3" t="str">
        <f ca="1">IFERROR(__xludf.DUMMYFUNCTION("""COMPUTED_VALUE"""),"2055-06-01T22:25:36.873102Z")</f>
        <v>2055-06-01T22:25:36.873102Z</v>
      </c>
      <c r="O1059" s="3" t="str">
        <f ca="1">IFERROR(__xludf.DUMMYFUNCTION("""COMPUTED_VALUE"""),"2055-06-01T22:33:33.443711Z")</f>
        <v>2055-06-01T22:33:33.443711Z</v>
      </c>
      <c r="P1059" s="3" t="str">
        <f ca="1">IFERROR(__xludf.DUMMYFUNCTION("""COMPUTED_VALUE"""),"2055-06-01T21:58:47.295016Z")</f>
        <v>2055-06-01T21:58:47.295016Z</v>
      </c>
      <c r="Q1059" s="3">
        <f ca="1">IFERROR(__xludf.DUMMYFUNCTION("""COMPUTED_VALUE"""),0)</f>
        <v>0</v>
      </c>
      <c r="R1059" s="3" t="str">
        <f ca="1">IFERROR(__xludf.DUMMYFUNCTION("""COMPUTED_VALUE"""),"2055-06-01T21:59:01.725744Z")</f>
        <v>2055-06-01T21:59:01.725744Z</v>
      </c>
      <c r="S1059" s="3"/>
      <c r="T1059" s="3"/>
      <c r="U1059" s="4">
        <f ca="1">IFERROR(__xludf.DUMMYFUNCTION("""COMPUTED_VALUE"""),56766)</f>
        <v>56766</v>
      </c>
      <c r="V1059" s="3">
        <f ca="1">IFERROR(__xludf.DUMMYFUNCTION("""COMPUTED_VALUE"""),4.6)</f>
        <v>4.5999999999999996</v>
      </c>
      <c r="W1059" s="3">
        <f ca="1">IFERROR(__xludf.DUMMYFUNCTION("""COMPUTED_VALUE"""),1000)</f>
        <v>1000</v>
      </c>
      <c r="X1059" s="3">
        <f ca="1">IFERROR(__xludf.DUMMYFUNCTION("""COMPUTED_VALUE"""),2072)</f>
        <v>2072</v>
      </c>
      <c r="Y1059" s="3"/>
      <c r="Z1059" s="3"/>
      <c r="AA1059" s="3">
        <f ca="1">IFERROR(__xludf.DUMMYFUNCTION("""COMPUTED_VALUE"""),477)</f>
        <v>477</v>
      </c>
      <c r="AB1059" s="3">
        <f ca="1">IFERROR(__xludf.DUMMYFUNCTION("""COMPUTED_VALUE"""),0)</f>
        <v>0</v>
      </c>
      <c r="AC1059" s="3">
        <f ca="1">IFERROR(__xludf.DUMMYFUNCTION("""COMPUTED_VALUE"""),6)</f>
        <v>6</v>
      </c>
      <c r="AD1059" s="3"/>
      <c r="AE1059" s="3" t="str">
        <f ca="1">IFERROR(__xludf.DUMMYFUNCTION("""COMPUTED_VALUE"""),"2055-06-01T18:25:36.873102Z")</f>
        <v>2055-06-01T18:25:36.873102Z</v>
      </c>
      <c r="AF1059" s="3" t="str">
        <f ca="1">IFERROR(__xludf.DUMMYFUNCTION("""COMPUTED_VALUE"""),"2055-06-01T18:33:33.443711Z")</f>
        <v>2055-06-01T18:33:33.443711Z</v>
      </c>
      <c r="AG1059" s="3" t="str">
        <f ca="1">IFERROR(__xludf.DUMMYFUNCTION("""COMPUTED_VALUE"""),"2055-06-01T17:58:47.295016Z")</f>
        <v>2055-06-01T17:58:47.295016Z</v>
      </c>
      <c r="AH1059" s="3"/>
      <c r="AI1059" s="3">
        <f ca="1">IFERROR(__xludf.DUMMYFUNCTION("""COMPUTED_VALUE"""),4.58)</f>
        <v>4.58</v>
      </c>
      <c r="AJ1059" s="3">
        <f ca="1">IFERROR(__xludf.DUMMYFUNCTION("""COMPUTED_VALUE"""),679)</f>
        <v>679</v>
      </c>
      <c r="AK1059" s="3">
        <f ca="1">IFERROR(__xludf.DUMMYFUNCTION("""COMPUTED_VALUE"""),2371)</f>
        <v>2371</v>
      </c>
      <c r="AL1059" s="3">
        <f ca="1">IFERROR(__xludf.DUMMYFUNCTION("""COMPUTED_VALUE"""),1830)</f>
        <v>1830</v>
      </c>
      <c r="AM1059" s="3">
        <f>IFERROR(Raw_Data!AL1059 / Raw_Data!AK1059, "")</f>
        <v>0.7718262336566849</v>
      </c>
      <c r="AN1059" s="3" t="str">
        <f>IF(ISBLANK(Raw_Data!AL1059), "No", "Yes")</f>
        <v>Yes</v>
      </c>
      <c r="AO1059" s="3">
        <f>IFERROR(Raw_Data!Z1059/60, "")</f>
        <v>0</v>
      </c>
    </row>
    <row r="1060" spans="1:41" ht="13">
      <c r="A1060" s="3">
        <f ca="1">IFERROR(__xludf.DUMMYFUNCTION("""COMPUTED_VALUE"""),224)</f>
        <v>224</v>
      </c>
      <c r="B1060" s="3"/>
      <c r="C1060" s="3">
        <f ca="1">IFERROR(__xludf.DUMMYFUNCTION("""COMPUTED_VALUE"""),4050)</f>
        <v>4050</v>
      </c>
      <c r="D1060" s="3" t="str">
        <f ca="1">IFERROR(__xludf.DUMMYFUNCTION("""COMPUTED_VALUE"""),"Doorlanta")</f>
        <v>Doorlanta</v>
      </c>
      <c r="E1060" s="3" t="str">
        <f ca="1">IFERROR(__xludf.DUMMYFUNCTION("""COMPUTED_VALUE"""),"Galaxy A")</f>
        <v>Galaxy A</v>
      </c>
      <c r="F1060" s="3" t="str">
        <f ca="1">IFERROR(__xludf.DUMMYFUNCTION("""COMPUTED_VALUE"""),"Sal")</f>
        <v>Sal</v>
      </c>
      <c r="G1060" s="3">
        <f ca="1">IFERROR(__xludf.DUMMYFUNCTION("""COMPUTED_VALUE"""),0)</f>
        <v>0</v>
      </c>
      <c r="H1060" s="3" t="str">
        <f ca="1">IFERROR(__xludf.DUMMYFUNCTION("""COMPUTED_VALUE"""),"car")</f>
        <v>car</v>
      </c>
      <c r="I1060" s="3" t="str">
        <f ca="1">IFERROR(__xludf.DUMMYFUNCTION("""COMPUTED_VALUE"""),"2055-06-03T00:26:07.418776Z")</f>
        <v>2055-06-03T00:26:07.418776Z</v>
      </c>
      <c r="J1060" s="3" t="str">
        <f ca="1">IFERROR(__xludf.DUMMYFUNCTION("""COMPUTED_VALUE"""),"2055-06-03T01:16:07.492Z")</f>
        <v>2055-06-03T01:16:07.492Z</v>
      </c>
      <c r="K1060" s="3" t="str">
        <f ca="1">IFERROR(__xludf.DUMMYFUNCTION("""COMPUTED_VALUE"""),"2055-06-03T00:59:00.492Z")</f>
        <v>2055-06-03T00:59:00.492Z</v>
      </c>
      <c r="L1060" s="3">
        <f ca="1">IFERROR(__xludf.DUMMYFUNCTION("""COMPUTED_VALUE"""),1)</f>
        <v>1</v>
      </c>
      <c r="M1060" s="3">
        <f ca="1">IFERROR(__xludf.DUMMYFUNCTION("""COMPUTED_VALUE"""),0)</f>
        <v>0</v>
      </c>
      <c r="N1060" s="3" t="str">
        <f ca="1">IFERROR(__xludf.DUMMYFUNCTION("""COMPUTED_VALUE"""),"2055-06-03T00:54:30.82158Z")</f>
        <v>2055-06-03T00:54:30.82158Z</v>
      </c>
      <c r="O1060" s="3" t="str">
        <f ca="1">IFERROR(__xludf.DUMMYFUNCTION("""COMPUTED_VALUE"""),"2055-06-03T01:08:03.54736Z")</f>
        <v>2055-06-03T01:08:03.54736Z</v>
      </c>
      <c r="P1060" s="3" t="str">
        <f ca="1">IFERROR(__xludf.DUMMYFUNCTION("""COMPUTED_VALUE"""),"2055-06-03T00:33:07.288581Z")</f>
        <v>2055-06-03T00:33:07.288581Z</v>
      </c>
      <c r="Q1060" s="3">
        <f ca="1">IFERROR(__xludf.DUMMYFUNCTION("""COMPUTED_VALUE"""),0)</f>
        <v>0</v>
      </c>
      <c r="R1060" s="3" t="str">
        <f ca="1">IFERROR(__xludf.DUMMYFUNCTION("""COMPUTED_VALUE"""),"2055-06-03T00:33:08.754491Z")</f>
        <v>2055-06-03T00:33:08.754491Z</v>
      </c>
      <c r="S1060" s="3" t="str">
        <f ca="1">IFERROR(__xludf.DUMMYFUNCTION("""COMPUTED_VALUE"""),"2055-06-03T00:53:31.65359Z")</f>
        <v>2055-06-03T00:53:31.65359Z</v>
      </c>
      <c r="T1060" s="3"/>
      <c r="U1060" s="4">
        <f ca="1">IFERROR(__xludf.DUMMYFUNCTION("""COMPUTED_VALUE"""),56767)</f>
        <v>56767</v>
      </c>
      <c r="V1060" s="3">
        <f ca="1">IFERROR(__xludf.DUMMYFUNCTION("""COMPUTED_VALUE"""),4.6)</f>
        <v>4.5999999999999996</v>
      </c>
      <c r="W1060" s="3">
        <f ca="1">IFERROR(__xludf.DUMMYFUNCTION("""COMPUTED_VALUE"""),1000)</f>
        <v>1000</v>
      </c>
      <c r="X1060" s="3">
        <f ca="1">IFERROR(__xludf.DUMMYFUNCTION("""COMPUTED_VALUE"""),2095)</f>
        <v>2095</v>
      </c>
      <c r="Y1060" s="3">
        <f ca="1">IFERROR(__xludf.DUMMYFUNCTION("""COMPUTED_VALUE"""),1223)</f>
        <v>1223</v>
      </c>
      <c r="Z1060" s="3">
        <f ca="1">IFERROR(__xludf.DUMMYFUNCTION("""COMPUTED_VALUE"""),59)</f>
        <v>59</v>
      </c>
      <c r="AA1060" s="3">
        <f ca="1">IFERROR(__xludf.DUMMYFUNCTION("""COMPUTED_VALUE"""),813)</f>
        <v>813</v>
      </c>
      <c r="AB1060" s="3">
        <f ca="1">IFERROR(__xludf.DUMMYFUNCTION("""COMPUTED_VALUE"""),0)</f>
        <v>0</v>
      </c>
      <c r="AC1060" s="3">
        <f ca="1">IFERROR(__xludf.DUMMYFUNCTION("""COMPUTED_VALUE"""),1)</f>
        <v>1</v>
      </c>
      <c r="AD1060" s="3" t="str">
        <f ca="1">IFERROR(__xludf.DUMMYFUNCTION("""COMPUTED_VALUE"""),"late")</f>
        <v>late</v>
      </c>
      <c r="AE1060" s="3" t="str">
        <f ca="1">IFERROR(__xludf.DUMMYFUNCTION("""COMPUTED_VALUE"""),"2055-06-02T20:54:30.82158Z")</f>
        <v>2055-06-02T20:54:30.82158Z</v>
      </c>
      <c r="AF1060" s="3" t="str">
        <f ca="1">IFERROR(__xludf.DUMMYFUNCTION("""COMPUTED_VALUE"""),"2055-06-02T21:08:03.54736Z")</f>
        <v>2055-06-02T21:08:03.54736Z</v>
      </c>
      <c r="AG1060" s="3" t="str">
        <f ca="1">IFERROR(__xludf.DUMMYFUNCTION("""COMPUTED_VALUE"""),"2055-06-02T20:33:07.288581Z")</f>
        <v>2055-06-02T20:33:07.288581Z</v>
      </c>
      <c r="AH1060" s="3" t="str">
        <f ca="1">IFERROR(__xludf.DUMMYFUNCTION("""COMPUTED_VALUE"""),"2055-06-02T20:53:31.65359Z")</f>
        <v>2055-06-02T20:53:31.65359Z</v>
      </c>
      <c r="AI1060" s="3">
        <f ca="1">IFERROR(__xludf.DUMMYFUNCTION("""COMPUTED_VALUE"""),4.46)</f>
        <v>4.46</v>
      </c>
      <c r="AJ1060" s="3">
        <f ca="1">IFERROR(__xludf.DUMMYFUNCTION("""COMPUTED_VALUE"""),349)</f>
        <v>349</v>
      </c>
      <c r="AK1060" s="3">
        <f ca="1">IFERROR(__xludf.DUMMYFUNCTION("""COMPUTED_VALUE"""),779)</f>
        <v>779</v>
      </c>
      <c r="AL1060" s="3"/>
      <c r="AM1060" s="3">
        <f>IFERROR(Raw_Data!AL1060 / Raw_Data!AK1060, "")</f>
        <v>0</v>
      </c>
      <c r="AN1060" s="3" t="str">
        <f>IF(ISBLANK(Raw_Data!AL1060), "No", "Yes")</f>
        <v>No</v>
      </c>
      <c r="AO1060" s="3">
        <f>IFERROR(Raw_Data!Z1060/60, "")</f>
        <v>0.98333333333333328</v>
      </c>
    </row>
    <row r="1061" spans="1:41" ht="13">
      <c r="A1061" s="3">
        <f ca="1">IFERROR(__xludf.DUMMYFUNCTION("""COMPUTED_VALUE"""),292)</f>
        <v>292</v>
      </c>
      <c r="B1061" s="3"/>
      <c r="C1061" s="3">
        <f ca="1">IFERROR(__xludf.DUMMYFUNCTION("""COMPUTED_VALUE"""),4050)</f>
        <v>4050</v>
      </c>
      <c r="D1061" s="3" t="str">
        <f ca="1">IFERROR(__xludf.DUMMYFUNCTION("""COMPUTED_VALUE"""),"Doorlanta")</f>
        <v>Doorlanta</v>
      </c>
      <c r="E1061" s="3" t="str">
        <f ca="1">IFERROR(__xludf.DUMMYFUNCTION("""COMPUTED_VALUE"""),"Galaxy A")</f>
        <v>Galaxy A</v>
      </c>
      <c r="F1061" s="3" t="str">
        <f ca="1">IFERROR(__xludf.DUMMYFUNCTION("""COMPUTED_VALUE"""),"Elon")</f>
        <v>Elon</v>
      </c>
      <c r="G1061" s="3">
        <f ca="1">IFERROR(__xludf.DUMMYFUNCTION("""COMPUTED_VALUE"""),0)</f>
        <v>0</v>
      </c>
      <c r="H1061" s="3" t="str">
        <f ca="1">IFERROR(__xludf.DUMMYFUNCTION("""COMPUTED_VALUE"""),"car")</f>
        <v>car</v>
      </c>
      <c r="I1061" s="3" t="str">
        <f ca="1">IFERROR(__xludf.DUMMYFUNCTION("""COMPUTED_VALUE"""),"2055-06-03T17:04:16.139627Z")</f>
        <v>2055-06-03T17:04:16.139627Z</v>
      </c>
      <c r="J1061" s="3" t="str">
        <f ca="1">IFERROR(__xludf.DUMMYFUNCTION("""COMPUTED_VALUE"""),"2055-06-03T18:03:12.259Z")</f>
        <v>2055-06-03T18:03:12.259Z</v>
      </c>
      <c r="K1061" s="3" t="str">
        <f ca="1">IFERROR(__xludf.DUMMYFUNCTION("""COMPUTED_VALUE"""),"2055-06-03T17:43:05.259Z")</f>
        <v>2055-06-03T17:43:05.259Z</v>
      </c>
      <c r="L1061" s="3">
        <f ca="1">IFERROR(__xludf.DUMMYFUNCTION("""COMPUTED_VALUE"""),1)</f>
        <v>1</v>
      </c>
      <c r="M1061" s="3">
        <f ca="1">IFERROR(__xludf.DUMMYFUNCTION("""COMPUTED_VALUE"""),0)</f>
        <v>0</v>
      </c>
      <c r="N1061" s="3" t="str">
        <f ca="1">IFERROR(__xludf.DUMMYFUNCTION("""COMPUTED_VALUE"""),"2055-06-03T17:18:14.456636Z")</f>
        <v>2055-06-03T17:18:14.456636Z</v>
      </c>
      <c r="O1061" s="3" t="str">
        <f ca="1">IFERROR(__xludf.DUMMYFUNCTION("""COMPUTED_VALUE"""),"2055-06-03T17:34:02.601527Z")</f>
        <v>2055-06-03T17:34:02.601527Z</v>
      </c>
      <c r="P1061" s="3" t="str">
        <f ca="1">IFERROR(__xludf.DUMMYFUNCTION("""COMPUTED_VALUE"""),"2055-06-03T17:04:27.290024Z")</f>
        <v>2055-06-03T17:04:27.290024Z</v>
      </c>
      <c r="Q1061" s="3">
        <f ca="1">IFERROR(__xludf.DUMMYFUNCTION("""COMPUTED_VALUE"""),0)</f>
        <v>0</v>
      </c>
      <c r="R1061" s="3" t="str">
        <f ca="1">IFERROR(__xludf.DUMMYFUNCTION("""COMPUTED_VALUE"""),"2055-06-03T17:04:36.694322Z")</f>
        <v>2055-06-03T17:04:36.694322Z</v>
      </c>
      <c r="S1061" s="3" t="str">
        <f ca="1">IFERROR(__xludf.DUMMYFUNCTION("""COMPUTED_VALUE"""),"2055-06-03T17:16:36.970761Z")</f>
        <v>2055-06-03T17:16:36.970761Z</v>
      </c>
      <c r="T1061" s="3"/>
      <c r="U1061" s="4">
        <f ca="1">IFERROR(__xludf.DUMMYFUNCTION("""COMPUTED_VALUE"""),56768)</f>
        <v>56768</v>
      </c>
      <c r="V1061" s="3">
        <f ca="1">IFERROR(__xludf.DUMMYFUNCTION("""COMPUTED_VALUE"""),4.7)</f>
        <v>4.7</v>
      </c>
      <c r="W1061" s="3">
        <f ca="1">IFERROR(__xludf.DUMMYFUNCTION("""COMPUTED_VALUE"""),1000)</f>
        <v>1000</v>
      </c>
      <c r="X1061" s="3">
        <f ca="1">IFERROR(__xludf.DUMMYFUNCTION("""COMPUTED_VALUE"""),1766)</f>
        <v>1766</v>
      </c>
      <c r="Y1061" s="3">
        <f ca="1">IFERROR(__xludf.DUMMYFUNCTION("""COMPUTED_VALUE"""),720)</f>
        <v>720</v>
      </c>
      <c r="Z1061" s="3">
        <f ca="1">IFERROR(__xludf.DUMMYFUNCTION("""COMPUTED_VALUE"""),98)</f>
        <v>98</v>
      </c>
      <c r="AA1061" s="3">
        <f ca="1">IFERROR(__xludf.DUMMYFUNCTION("""COMPUTED_VALUE"""),948)</f>
        <v>948</v>
      </c>
      <c r="AB1061" s="3">
        <f ca="1">IFERROR(__xludf.DUMMYFUNCTION("""COMPUTED_VALUE"""),0)</f>
        <v>0</v>
      </c>
      <c r="AC1061" s="3">
        <f ca="1">IFERROR(__xludf.DUMMYFUNCTION("""COMPUTED_VALUE"""),2)</f>
        <v>2</v>
      </c>
      <c r="AD1061" s="3" t="str">
        <f ca="1">IFERROR(__xludf.DUMMYFUNCTION("""COMPUTED_VALUE"""),"on time")</f>
        <v>on time</v>
      </c>
      <c r="AE1061" s="3" t="str">
        <f ca="1">IFERROR(__xludf.DUMMYFUNCTION("""COMPUTED_VALUE"""),"2055-06-03T13:18:14.456636Z")</f>
        <v>2055-06-03T13:18:14.456636Z</v>
      </c>
      <c r="AF1061" s="3" t="str">
        <f ca="1">IFERROR(__xludf.DUMMYFUNCTION("""COMPUTED_VALUE"""),"2055-06-03T13:34:02.601527Z")</f>
        <v>2055-06-03T13:34:02.601527Z</v>
      </c>
      <c r="AG1061" s="3" t="str">
        <f ca="1">IFERROR(__xludf.DUMMYFUNCTION("""COMPUTED_VALUE"""),"2055-06-03T13:04:27.290024Z")</f>
        <v>2055-06-03T13:04:27.290024Z</v>
      </c>
      <c r="AH1061" s="3" t="str">
        <f ca="1">IFERROR(__xludf.DUMMYFUNCTION("""COMPUTED_VALUE"""),"2055-06-03T13:16:36.970761Z")</f>
        <v>2055-06-03T13:16:36.970761Z</v>
      </c>
      <c r="AI1061" s="3">
        <f ca="1">IFERROR(__xludf.DUMMYFUNCTION("""COMPUTED_VALUE"""),4.62)</f>
        <v>4.62</v>
      </c>
      <c r="AJ1061" s="3">
        <f ca="1">IFERROR(__xludf.DUMMYFUNCTION("""COMPUTED_VALUE"""),259)</f>
        <v>259</v>
      </c>
      <c r="AK1061" s="3">
        <f ca="1">IFERROR(__xludf.DUMMYFUNCTION("""COMPUTED_VALUE"""),604)</f>
        <v>604</v>
      </c>
      <c r="AL1061" s="3">
        <f ca="1">IFERROR(__xludf.DUMMYFUNCTION("""COMPUTED_VALUE"""),21)</f>
        <v>21</v>
      </c>
      <c r="AM1061" s="3">
        <f>IFERROR(Raw_Data!AL1061 / Raw_Data!AK1061, "")</f>
        <v>3.4768211920529798E-2</v>
      </c>
      <c r="AN1061" s="3" t="str">
        <f>IF(ISBLANK(Raw_Data!AL1061), "No", "Yes")</f>
        <v>Yes</v>
      </c>
      <c r="AO1061" s="3">
        <f>IFERROR(Raw_Data!Z1061/60, "")</f>
        <v>1.6333333333333333</v>
      </c>
    </row>
    <row r="1062" spans="1:41" ht="13">
      <c r="A1062" s="3">
        <f ca="1">IFERROR(__xludf.DUMMYFUNCTION("""COMPUTED_VALUE"""),599)</f>
        <v>599</v>
      </c>
      <c r="B1062" s="3">
        <f ca="1">IFERROR(__xludf.DUMMYFUNCTION("""COMPUTED_VALUE"""),5)</f>
        <v>5</v>
      </c>
      <c r="C1062" s="3">
        <f ca="1">IFERROR(__xludf.DUMMYFUNCTION("""COMPUTED_VALUE"""),4050)</f>
        <v>4050</v>
      </c>
      <c r="D1062" s="3" t="str">
        <f ca="1">IFERROR(__xludf.DUMMYFUNCTION("""COMPUTED_VALUE"""),"Doorlanta")</f>
        <v>Doorlanta</v>
      </c>
      <c r="E1062" s="3" t="str">
        <f ca="1">IFERROR(__xludf.DUMMYFUNCTION("""COMPUTED_VALUE"""),"Galaxy A")</f>
        <v>Galaxy A</v>
      </c>
      <c r="F1062" s="3" t="str">
        <f ca="1">IFERROR(__xludf.DUMMYFUNCTION("""COMPUTED_VALUE"""),"Katelynn")</f>
        <v>Katelynn</v>
      </c>
      <c r="G1062" s="3">
        <f ca="1">IFERROR(__xludf.DUMMYFUNCTION("""COMPUTED_VALUE"""),0)</f>
        <v>0</v>
      </c>
      <c r="H1062" s="3" t="str">
        <f ca="1">IFERROR(__xludf.DUMMYFUNCTION("""COMPUTED_VALUE"""),"car")</f>
        <v>car</v>
      </c>
      <c r="I1062" s="3" t="str">
        <f ca="1">IFERROR(__xludf.DUMMYFUNCTION("""COMPUTED_VALUE"""),"2055-06-05T19:40:06.485458Z")</f>
        <v>2055-06-05T19:40:06.485458Z</v>
      </c>
      <c r="J1062" s="3" t="str">
        <f ca="1">IFERROR(__xludf.DUMMYFUNCTION("""COMPUTED_VALUE"""),"2055-06-05T20:26:44.557Z")</f>
        <v>2055-06-05T20:26:44.557Z</v>
      </c>
      <c r="K1062" s="3" t="str">
        <f ca="1">IFERROR(__xludf.DUMMYFUNCTION("""COMPUTED_VALUE"""),"2055-06-05T20:22:51.557Z")</f>
        <v>2055-06-05T20:22:51.557Z</v>
      </c>
      <c r="L1062" s="3">
        <f ca="1">IFERROR(__xludf.DUMMYFUNCTION("""COMPUTED_VALUE"""),1)</f>
        <v>1</v>
      </c>
      <c r="M1062" s="3">
        <f ca="1">IFERROR(__xludf.DUMMYFUNCTION("""COMPUTED_VALUE"""),0)</f>
        <v>0</v>
      </c>
      <c r="N1062" s="3" t="str">
        <f ca="1">IFERROR(__xludf.DUMMYFUNCTION("""COMPUTED_VALUE"""),"2055-06-05T19:55:15.511066Z")</f>
        <v>2055-06-05T19:55:15.511066Z</v>
      </c>
      <c r="O1062" s="3" t="str">
        <f ca="1">IFERROR(__xludf.DUMMYFUNCTION("""COMPUTED_VALUE"""),"2055-06-05T20:14:53.392683Z")</f>
        <v>2055-06-05T20:14:53.392683Z</v>
      </c>
      <c r="P1062" s="3" t="str">
        <f ca="1">IFERROR(__xludf.DUMMYFUNCTION("""COMPUTED_VALUE"""),"2055-06-05T19:40:27.2637Z")</f>
        <v>2055-06-05T19:40:27.2637Z</v>
      </c>
      <c r="Q1062" s="3">
        <f ca="1">IFERROR(__xludf.DUMMYFUNCTION("""COMPUTED_VALUE"""),0)</f>
        <v>0</v>
      </c>
      <c r="R1062" s="3" t="str">
        <f ca="1">IFERROR(__xludf.DUMMYFUNCTION("""COMPUTED_VALUE"""),"2055-06-05T19:40:53.255826Z")</f>
        <v>2055-06-05T19:40:53.255826Z</v>
      </c>
      <c r="S1062" s="3" t="str">
        <f ca="1">IFERROR(__xludf.DUMMYFUNCTION("""COMPUTED_VALUE"""),"2055-06-05T19:48:34.179685Z")</f>
        <v>2055-06-05T19:48:34.179685Z</v>
      </c>
      <c r="T1062" s="3"/>
      <c r="U1062" s="4">
        <f ca="1">IFERROR(__xludf.DUMMYFUNCTION("""COMPUTED_VALUE"""),56770)</f>
        <v>56770</v>
      </c>
      <c r="V1062" s="3">
        <f ca="1">IFERROR(__xludf.DUMMYFUNCTION("""COMPUTED_VALUE"""),3.319101067)</f>
        <v>3.3191010670000001</v>
      </c>
      <c r="W1062" s="3">
        <f ca="1">IFERROR(__xludf.DUMMYFUNCTION("""COMPUTED_VALUE"""),1000)</f>
        <v>1000</v>
      </c>
      <c r="X1062" s="3">
        <f ca="1">IFERROR(__xludf.DUMMYFUNCTION("""COMPUTED_VALUE"""),2040)</f>
        <v>2040</v>
      </c>
      <c r="Y1062" s="3">
        <f ca="1">IFERROR(__xludf.DUMMYFUNCTION("""COMPUTED_VALUE"""),461)</f>
        <v>461</v>
      </c>
      <c r="Z1062" s="3">
        <f ca="1">IFERROR(__xludf.DUMMYFUNCTION("""COMPUTED_VALUE"""),401)</f>
        <v>401</v>
      </c>
      <c r="AA1062" s="3">
        <f ca="1">IFERROR(__xludf.DUMMYFUNCTION("""COMPUTED_VALUE"""),1178)</f>
        <v>1178</v>
      </c>
      <c r="AB1062" s="3">
        <f ca="1">IFERROR(__xludf.DUMMYFUNCTION("""COMPUTED_VALUE"""),0)</f>
        <v>0</v>
      </c>
      <c r="AC1062" s="3">
        <f ca="1">IFERROR(__xludf.DUMMYFUNCTION("""COMPUTED_VALUE"""),2)</f>
        <v>2</v>
      </c>
      <c r="AD1062" s="3" t="str">
        <f ca="1">IFERROR(__xludf.DUMMYFUNCTION("""COMPUTED_VALUE"""),"on time")</f>
        <v>on time</v>
      </c>
      <c r="AE1062" s="3" t="str">
        <f ca="1">IFERROR(__xludf.DUMMYFUNCTION("""COMPUTED_VALUE"""),"2055-06-05T15:55:15.511066Z")</f>
        <v>2055-06-05T15:55:15.511066Z</v>
      </c>
      <c r="AF1062" s="3" t="str">
        <f ca="1">IFERROR(__xludf.DUMMYFUNCTION("""COMPUTED_VALUE"""),"2055-06-05T16:14:53.392683Z")</f>
        <v>2055-06-05T16:14:53.392683Z</v>
      </c>
      <c r="AG1062" s="3" t="str">
        <f ca="1">IFERROR(__xludf.DUMMYFUNCTION("""COMPUTED_VALUE"""),"2055-06-05T15:40:27.2637Z")</f>
        <v>2055-06-05T15:40:27.2637Z</v>
      </c>
      <c r="AH1062" s="3" t="str">
        <f ca="1">IFERROR(__xludf.DUMMYFUNCTION("""COMPUTED_VALUE"""),"2055-06-05T15:48:34.179685Z")</f>
        <v>2055-06-05T15:48:34.179685Z</v>
      </c>
      <c r="AI1062" s="3">
        <f ca="1">IFERROR(__xludf.DUMMYFUNCTION("""COMPUTED_VALUE"""),4.7)</f>
        <v>4.7</v>
      </c>
      <c r="AJ1062" s="3">
        <f ca="1">IFERROR(__xludf.DUMMYFUNCTION("""COMPUTED_VALUE"""),1261)</f>
        <v>1261</v>
      </c>
      <c r="AK1062" s="3">
        <f ca="1">IFERROR(__xludf.DUMMYFUNCTION("""COMPUTED_VALUE"""),3264)</f>
        <v>3264</v>
      </c>
      <c r="AL1062" s="3">
        <f ca="1">IFERROR(__xludf.DUMMYFUNCTION("""COMPUTED_VALUE"""),232)</f>
        <v>232</v>
      </c>
      <c r="AM1062" s="3">
        <f>IFERROR(Raw_Data!AL1062 / Raw_Data!AK1062, "")</f>
        <v>7.1078431372549017E-2</v>
      </c>
      <c r="AN1062" s="3" t="str">
        <f>IF(ISBLANK(Raw_Data!AL1062), "No", "Yes")</f>
        <v>Yes</v>
      </c>
      <c r="AO1062" s="3">
        <f>IFERROR(Raw_Data!Z1062/60, "")</f>
        <v>6.6833333333333336</v>
      </c>
    </row>
    <row r="1063" spans="1:41" ht="13">
      <c r="A1063" s="3">
        <f ca="1">IFERROR(__xludf.DUMMYFUNCTION("""COMPUTED_VALUE"""),1560)</f>
        <v>1560</v>
      </c>
      <c r="B1063" s="3"/>
      <c r="C1063" s="3">
        <f ca="1">IFERROR(__xludf.DUMMYFUNCTION("""COMPUTED_VALUE"""),4001)</f>
        <v>4001</v>
      </c>
      <c r="D1063" s="3" t="str">
        <f ca="1">IFERROR(__xludf.DUMMYFUNCTION("""COMPUTED_VALUE"""),"Dashattan")</f>
        <v>Dashattan</v>
      </c>
      <c r="E1063" s="3" t="str">
        <f ca="1">IFERROR(__xludf.DUMMYFUNCTION("""COMPUTED_VALUE"""),"Galaxy A")</f>
        <v>Galaxy A</v>
      </c>
      <c r="F1063" s="3" t="str">
        <f ca="1">IFERROR(__xludf.DUMMYFUNCTION("""COMPUTED_VALUE"""),"KC")</f>
        <v>KC</v>
      </c>
      <c r="G1063" s="3">
        <f ca="1">IFERROR(__xludf.DUMMYFUNCTION("""COMPUTED_VALUE"""),0)</f>
        <v>0</v>
      </c>
      <c r="H1063" s="3" t="str">
        <f ca="1">IFERROR(__xludf.DUMMYFUNCTION("""COMPUTED_VALUE"""),"car")</f>
        <v>car</v>
      </c>
      <c r="I1063" s="3" t="str">
        <f ca="1">IFERROR(__xludf.DUMMYFUNCTION("""COMPUTED_VALUE"""),"2055-06-13T15:29:09.522826Z")</f>
        <v>2055-06-13T15:29:09.522826Z</v>
      </c>
      <c r="J1063" s="3" t="str">
        <f ca="1">IFERROR(__xludf.DUMMYFUNCTION("""COMPUTED_VALUE"""),"2055-06-13T17:00:00Z")</f>
        <v>2055-06-13T17:00:00Z</v>
      </c>
      <c r="K1063" s="3" t="str">
        <f ca="1">IFERROR(__xludf.DUMMYFUNCTION("""COMPUTED_VALUE"""),"2055-06-13T17:00:00Z")</f>
        <v>2055-06-13T17:00:00Z</v>
      </c>
      <c r="L1063" s="3">
        <f ca="1">IFERROR(__xludf.DUMMYFUNCTION("""COMPUTED_VALUE"""),0)</f>
        <v>0</v>
      </c>
      <c r="M1063" s="3">
        <f ca="1">IFERROR(__xludf.DUMMYFUNCTION("""COMPUTED_VALUE"""),0)</f>
        <v>0</v>
      </c>
      <c r="N1063" s="3" t="str">
        <f ca="1">IFERROR(__xludf.DUMMYFUNCTION("""COMPUTED_VALUE"""),"2055-06-13T16:09:25.919553Z")</f>
        <v>2055-06-13T16:09:25.919553Z</v>
      </c>
      <c r="O1063" s="3" t="str">
        <f ca="1">IFERROR(__xludf.DUMMYFUNCTION("""COMPUTED_VALUE"""),"2055-06-13T16:13:55.5071Z")</f>
        <v>2055-06-13T16:13:55.5071Z</v>
      </c>
      <c r="P1063" s="3" t="str">
        <f ca="1">IFERROR(__xludf.DUMMYFUNCTION("""COMPUTED_VALUE"""),"2055-06-13T16:00:34.627843Z")</f>
        <v>2055-06-13T16:00:34.627843Z</v>
      </c>
      <c r="Q1063" s="3">
        <f ca="1">IFERROR(__xludf.DUMMYFUNCTION("""COMPUTED_VALUE"""),0)</f>
        <v>0</v>
      </c>
      <c r="R1063" s="3" t="str">
        <f ca="1">IFERROR(__xludf.DUMMYFUNCTION("""COMPUTED_VALUE"""),"2055-06-13T16:00:54.286508Z")</f>
        <v>2055-06-13T16:00:54.286508Z</v>
      </c>
      <c r="S1063" s="3" t="str">
        <f ca="1">IFERROR(__xludf.DUMMYFUNCTION("""COMPUTED_VALUE"""),"2055-06-13T16:05:26.47403Z")</f>
        <v>2055-06-13T16:05:26.47403Z</v>
      </c>
      <c r="T1063" s="3"/>
      <c r="U1063" s="4">
        <f ca="1">IFERROR(__xludf.DUMMYFUNCTION("""COMPUTED_VALUE"""),56778)</f>
        <v>56778</v>
      </c>
      <c r="V1063" s="3">
        <f ca="1">IFERROR(__xludf.DUMMYFUNCTION("""COMPUTED_VALUE"""),4.5)</f>
        <v>4.5</v>
      </c>
      <c r="W1063" s="3">
        <f ca="1">IFERROR(__xludf.DUMMYFUNCTION("""COMPUTED_VALUE"""),1000)</f>
        <v>1000</v>
      </c>
      <c r="X1063" s="3">
        <f ca="1">IFERROR(__xludf.DUMMYFUNCTION("""COMPUTED_VALUE"""),781)</f>
        <v>781</v>
      </c>
      <c r="Y1063" s="3">
        <f ca="1">IFERROR(__xludf.DUMMYFUNCTION("""COMPUTED_VALUE"""),272)</f>
        <v>272</v>
      </c>
      <c r="Z1063" s="3">
        <f ca="1">IFERROR(__xludf.DUMMYFUNCTION("""COMPUTED_VALUE"""),239)</f>
        <v>239</v>
      </c>
      <c r="AA1063" s="3">
        <f ca="1">IFERROR(__xludf.DUMMYFUNCTION("""COMPUTED_VALUE"""),270)</f>
        <v>270</v>
      </c>
      <c r="AB1063" s="3">
        <f ca="1">IFERROR(__xludf.DUMMYFUNCTION("""COMPUTED_VALUE"""),0)</f>
        <v>0</v>
      </c>
      <c r="AC1063" s="3">
        <f ca="1">IFERROR(__xludf.DUMMYFUNCTION("""COMPUTED_VALUE"""),2)</f>
        <v>2</v>
      </c>
      <c r="AD1063" s="3" t="str">
        <f ca="1">IFERROR(__xludf.DUMMYFUNCTION("""COMPUTED_VALUE"""),"on time")</f>
        <v>on time</v>
      </c>
      <c r="AE1063" s="3" t="str">
        <f ca="1">IFERROR(__xludf.DUMMYFUNCTION("""COMPUTED_VALUE"""),"2055-06-13T12:09:25.919553Z")</f>
        <v>2055-06-13T12:09:25.919553Z</v>
      </c>
      <c r="AF1063" s="3" t="str">
        <f ca="1">IFERROR(__xludf.DUMMYFUNCTION("""COMPUTED_VALUE"""),"2055-06-13T12:13:55.5071Z")</f>
        <v>2055-06-13T12:13:55.5071Z</v>
      </c>
      <c r="AG1063" s="3" t="str">
        <f ca="1">IFERROR(__xludf.DUMMYFUNCTION("""COMPUTED_VALUE"""),"2055-06-13T12:00:34.627843Z")</f>
        <v>2055-06-13T12:00:34.627843Z</v>
      </c>
      <c r="AH1063" s="3" t="str">
        <f ca="1">IFERROR(__xludf.DUMMYFUNCTION("""COMPUTED_VALUE"""),"2055-06-13T12:05:26.47403Z")</f>
        <v>2055-06-13T12:05:26.47403Z</v>
      </c>
      <c r="AI1063" s="3">
        <f ca="1">IFERROR(__xludf.DUMMYFUNCTION("""COMPUTED_VALUE"""),4.54)</f>
        <v>4.54</v>
      </c>
      <c r="AJ1063" s="3">
        <f ca="1">IFERROR(__xludf.DUMMYFUNCTION("""COMPUTED_VALUE"""),2229)</f>
        <v>2229</v>
      </c>
      <c r="AK1063" s="3">
        <f ca="1">IFERROR(__xludf.DUMMYFUNCTION("""COMPUTED_VALUE"""),6580)</f>
        <v>6580</v>
      </c>
      <c r="AL1063" s="3"/>
      <c r="AM1063" s="3">
        <f>IFERROR(Raw_Data!AL1063 / Raw_Data!AK1063, "")</f>
        <v>0</v>
      </c>
      <c r="AN1063" s="3" t="str">
        <f>IF(ISBLANK(Raw_Data!AL1063), "No", "Yes")</f>
        <v>No</v>
      </c>
      <c r="AO1063" s="3">
        <f>IFERROR(Raw_Data!Z1063/60, "")</f>
        <v>3.9833333333333334</v>
      </c>
    </row>
    <row r="1064" spans="1:41" ht="13">
      <c r="A1064" s="3">
        <f ca="1">IFERROR(__xludf.DUMMYFUNCTION("""COMPUTED_VALUE"""),688)</f>
        <v>688</v>
      </c>
      <c r="B1064" s="3">
        <f ca="1">IFERROR(__xludf.DUMMYFUNCTION("""COMPUTED_VALUE"""),5)</f>
        <v>5</v>
      </c>
      <c r="C1064" s="3">
        <f ca="1">IFERROR(__xludf.DUMMYFUNCTION("""COMPUTED_VALUE"""),4050)</f>
        <v>4050</v>
      </c>
      <c r="D1064" s="3" t="str">
        <f ca="1">IFERROR(__xludf.DUMMYFUNCTION("""COMPUTED_VALUE"""),"Doorlanta")</f>
        <v>Doorlanta</v>
      </c>
      <c r="E1064" s="3" t="str">
        <f ca="1">IFERROR(__xludf.DUMMYFUNCTION("""COMPUTED_VALUE"""),"Galaxy A")</f>
        <v>Galaxy A</v>
      </c>
      <c r="F1064" s="3" t="str">
        <f ca="1">IFERROR(__xludf.DUMMYFUNCTION("""COMPUTED_VALUE"""),"Abhai")</f>
        <v>Abhai</v>
      </c>
      <c r="G1064" s="3">
        <f ca="1">IFERROR(__xludf.DUMMYFUNCTION("""COMPUTED_VALUE"""),0)</f>
        <v>0</v>
      </c>
      <c r="H1064" s="3" t="str">
        <f ca="1">IFERROR(__xludf.DUMMYFUNCTION("""COMPUTED_VALUE"""),"car")</f>
        <v>car</v>
      </c>
      <c r="I1064" s="3" t="str">
        <f ca="1">IFERROR(__xludf.DUMMYFUNCTION("""COMPUTED_VALUE"""),"2055-06-05T23:56:30.035583Z")</f>
        <v>2055-06-05T23:56:30.035583Z</v>
      </c>
      <c r="J1064" s="3" t="str">
        <f ca="1">IFERROR(__xludf.DUMMYFUNCTION("""COMPUTED_VALUE"""),"2055-06-06T00:41:30.113Z")</f>
        <v>2055-06-06T00:41:30.113Z</v>
      </c>
      <c r="K1064" s="3" t="str">
        <f ca="1">IFERROR(__xludf.DUMMYFUNCTION("""COMPUTED_VALUE"""),"2055-06-06T00:30:04.113Z")</f>
        <v>2055-06-06T00:30:04.113Z</v>
      </c>
      <c r="L1064" s="3">
        <f ca="1">IFERROR(__xludf.DUMMYFUNCTION("""COMPUTED_VALUE"""),1)</f>
        <v>1</v>
      </c>
      <c r="M1064" s="3">
        <f ca="1">IFERROR(__xludf.DUMMYFUNCTION("""COMPUTED_VALUE"""),0)</f>
        <v>0</v>
      </c>
      <c r="N1064" s="3" t="str">
        <f ca="1">IFERROR(__xludf.DUMMYFUNCTION("""COMPUTED_VALUE"""),"2055-06-06T00:30:56.870942Z")</f>
        <v>2055-06-06T00:30:56.870942Z</v>
      </c>
      <c r="O1064" s="3" t="str">
        <f ca="1">IFERROR(__xludf.DUMMYFUNCTION("""COMPUTED_VALUE"""),"2055-06-06T00:43:59.991288Z")</f>
        <v>2055-06-06T00:43:59.991288Z</v>
      </c>
      <c r="P1064" s="3" t="str">
        <f ca="1">IFERROR(__xludf.DUMMYFUNCTION("""COMPUTED_VALUE"""),"2055-06-06T00:12:27.411619Z")</f>
        <v>2055-06-06T00:12:27.411619Z</v>
      </c>
      <c r="Q1064" s="3">
        <f ca="1">IFERROR(__xludf.DUMMYFUNCTION("""COMPUTED_VALUE"""),0)</f>
        <v>0</v>
      </c>
      <c r="R1064" s="3" t="str">
        <f ca="1">IFERROR(__xludf.DUMMYFUNCTION("""COMPUTED_VALUE"""),"2055-06-06T00:12:32.506157Z")</f>
        <v>2055-06-06T00:12:32.506157Z</v>
      </c>
      <c r="S1064" s="3" t="str">
        <f ca="1">IFERROR(__xludf.DUMMYFUNCTION("""COMPUTED_VALUE"""),"2055-06-06T00:27:35.7792Z")</f>
        <v>2055-06-06T00:27:35.7792Z</v>
      </c>
      <c r="T1064" s="3"/>
      <c r="U1064" s="4">
        <f ca="1">IFERROR(__xludf.DUMMYFUNCTION("""COMPUTED_VALUE"""),56770)</f>
        <v>56770</v>
      </c>
      <c r="V1064" s="3">
        <f ca="1">IFERROR(__xludf.DUMMYFUNCTION("""COMPUTED_VALUE"""),4.6)</f>
        <v>4.5999999999999996</v>
      </c>
      <c r="W1064" s="3">
        <f ca="1">IFERROR(__xludf.DUMMYFUNCTION("""COMPUTED_VALUE"""),1000)</f>
        <v>1000</v>
      </c>
      <c r="X1064" s="3">
        <f ca="1">IFERROR(__xludf.DUMMYFUNCTION("""COMPUTED_VALUE"""),1887)</f>
        <v>1887</v>
      </c>
      <c r="Y1064" s="3">
        <f ca="1">IFERROR(__xludf.DUMMYFUNCTION("""COMPUTED_VALUE"""),903)</f>
        <v>903</v>
      </c>
      <c r="Z1064" s="3">
        <f ca="1">IFERROR(__xludf.DUMMYFUNCTION("""COMPUTED_VALUE"""),201)</f>
        <v>201</v>
      </c>
      <c r="AA1064" s="3">
        <f ca="1">IFERROR(__xludf.DUMMYFUNCTION("""COMPUTED_VALUE"""),783)</f>
        <v>783</v>
      </c>
      <c r="AB1064" s="3">
        <f ca="1">IFERROR(__xludf.DUMMYFUNCTION("""COMPUTED_VALUE"""),0)</f>
        <v>0</v>
      </c>
      <c r="AC1064" s="3">
        <f ca="1">IFERROR(__xludf.DUMMYFUNCTION("""COMPUTED_VALUE"""),1)</f>
        <v>1</v>
      </c>
      <c r="AD1064" s="3" t="str">
        <f ca="1">IFERROR(__xludf.DUMMYFUNCTION("""COMPUTED_VALUE"""),"late")</f>
        <v>late</v>
      </c>
      <c r="AE1064" s="3" t="str">
        <f ca="1">IFERROR(__xludf.DUMMYFUNCTION("""COMPUTED_VALUE"""),"2055-06-05T20:30:56.870942Z")</f>
        <v>2055-06-05T20:30:56.870942Z</v>
      </c>
      <c r="AF1064" s="3" t="str">
        <f ca="1">IFERROR(__xludf.DUMMYFUNCTION("""COMPUTED_VALUE"""),"2055-06-05T20:43:59.991288Z")</f>
        <v>2055-06-05T20:43:59.991288Z</v>
      </c>
      <c r="AG1064" s="3" t="str">
        <f ca="1">IFERROR(__xludf.DUMMYFUNCTION("""COMPUTED_VALUE"""),"2055-06-05T20:12:27.411619Z")</f>
        <v>2055-06-05T20:12:27.411619Z</v>
      </c>
      <c r="AH1064" s="3" t="str">
        <f ca="1">IFERROR(__xludf.DUMMYFUNCTION("""COMPUTED_VALUE"""),"2055-06-05T20:27:35.7792Z")</f>
        <v>2055-06-05T20:27:35.7792Z</v>
      </c>
      <c r="AI1064" s="3">
        <f ca="1">IFERROR(__xludf.DUMMYFUNCTION("""COMPUTED_VALUE"""),4.56)</f>
        <v>4.5599999999999996</v>
      </c>
      <c r="AJ1064" s="3">
        <f ca="1">IFERROR(__xludf.DUMMYFUNCTION("""COMPUTED_VALUE"""),344)</f>
        <v>344</v>
      </c>
      <c r="AK1064" s="3">
        <f ca="1">IFERROR(__xludf.DUMMYFUNCTION("""COMPUTED_VALUE"""),947)</f>
        <v>947</v>
      </c>
      <c r="AL1064" s="3">
        <f ca="1">IFERROR(__xludf.DUMMYFUNCTION("""COMPUTED_VALUE"""),22)</f>
        <v>22</v>
      </c>
      <c r="AM1064" s="3">
        <f>IFERROR(Raw_Data!AL1064 / Raw_Data!AK1064, "")</f>
        <v>2.3231256599788808E-2</v>
      </c>
      <c r="AN1064" s="3" t="str">
        <f>IF(ISBLANK(Raw_Data!AL1064), "No", "Yes")</f>
        <v>Yes</v>
      </c>
      <c r="AO1064" s="3">
        <f>IFERROR(Raw_Data!Z1064/60, "")</f>
        <v>3.35</v>
      </c>
    </row>
    <row r="1065" spans="1:41" ht="13">
      <c r="A1065" s="3">
        <f ca="1">IFERROR(__xludf.DUMMYFUNCTION("""COMPUTED_VALUE"""),840)</f>
        <v>840</v>
      </c>
      <c r="B1065" s="3"/>
      <c r="C1065" s="3">
        <f ca="1">IFERROR(__xludf.DUMMYFUNCTION("""COMPUTED_VALUE"""),4050)</f>
        <v>4050</v>
      </c>
      <c r="D1065" s="3" t="str">
        <f ca="1">IFERROR(__xludf.DUMMYFUNCTION("""COMPUTED_VALUE"""),"Doorlanta")</f>
        <v>Doorlanta</v>
      </c>
      <c r="E1065" s="3" t="str">
        <f ca="1">IFERROR(__xludf.DUMMYFUNCTION("""COMPUTED_VALUE"""),"Galaxy A")</f>
        <v>Galaxy A</v>
      </c>
      <c r="F1065" s="3" t="str">
        <f ca="1">IFERROR(__xludf.DUMMYFUNCTION("""COMPUTED_VALUE"""),"Jhordan")</f>
        <v>Jhordan</v>
      </c>
      <c r="G1065" s="3">
        <f ca="1">IFERROR(__xludf.DUMMYFUNCTION("""COMPUTED_VALUE"""),0)</f>
        <v>0</v>
      </c>
      <c r="H1065" s="3" t="str">
        <f ca="1">IFERROR(__xludf.DUMMYFUNCTION("""COMPUTED_VALUE"""),"car")</f>
        <v>car</v>
      </c>
      <c r="I1065" s="3" t="str">
        <f ca="1">IFERROR(__xludf.DUMMYFUNCTION("""COMPUTED_VALUE"""),"2055-06-07T16:07:19.678073Z")</f>
        <v>2055-06-07T16:07:19.678073Z</v>
      </c>
      <c r="J1065" s="3" t="str">
        <f ca="1">IFERROR(__xludf.DUMMYFUNCTION("""COMPUTED_VALUE"""),"2055-06-07T17:11:38.839Z")</f>
        <v>2055-06-07T17:11:38.839Z</v>
      </c>
      <c r="K1065" s="3" t="str">
        <f ca="1">IFERROR(__xludf.DUMMYFUNCTION("""COMPUTED_VALUE"""),"2055-06-07T16:49:44.839Z")</f>
        <v>2055-06-07T16:49:44.839Z</v>
      </c>
      <c r="L1065" s="3">
        <f ca="1">IFERROR(__xludf.DUMMYFUNCTION("""COMPUTED_VALUE"""),1)</f>
        <v>1</v>
      </c>
      <c r="M1065" s="3">
        <f ca="1">IFERROR(__xludf.DUMMYFUNCTION("""COMPUTED_VALUE"""),0)</f>
        <v>0</v>
      </c>
      <c r="N1065" s="3" t="str">
        <f ca="1">IFERROR(__xludf.DUMMYFUNCTION("""COMPUTED_VALUE"""),"2055-06-07T16:41:09.47526Z")</f>
        <v>2055-06-07T16:41:09.47526Z</v>
      </c>
      <c r="O1065" s="3" t="str">
        <f ca="1">IFERROR(__xludf.DUMMYFUNCTION("""COMPUTED_VALUE"""),"2055-06-07T17:04:31.143557Z")</f>
        <v>2055-06-07T17:04:31.143557Z</v>
      </c>
      <c r="P1065" s="3" t="str">
        <f ca="1">IFERROR(__xludf.DUMMYFUNCTION("""COMPUTED_VALUE"""),"2055-06-07T16:23:27.253317Z")</f>
        <v>2055-06-07T16:23:27.253317Z</v>
      </c>
      <c r="Q1065" s="3">
        <f ca="1">IFERROR(__xludf.DUMMYFUNCTION("""COMPUTED_VALUE"""),0)</f>
        <v>0</v>
      </c>
      <c r="R1065" s="3" t="str">
        <f ca="1">IFERROR(__xludf.DUMMYFUNCTION("""COMPUTED_VALUE"""),"2055-06-07T16:23:34.996847Z")</f>
        <v>2055-06-07T16:23:34.996847Z</v>
      </c>
      <c r="S1065" s="3" t="str">
        <f ca="1">IFERROR(__xludf.DUMMYFUNCTION("""COMPUTED_VALUE"""),"2055-06-07T16:33:19.522574Z")</f>
        <v>2055-06-07T16:33:19.522574Z</v>
      </c>
      <c r="T1065" s="3"/>
      <c r="U1065" s="4">
        <f ca="1">IFERROR(__xludf.DUMMYFUNCTION("""COMPUTED_VALUE"""),56772)</f>
        <v>56772</v>
      </c>
      <c r="V1065" s="3">
        <f ca="1">IFERROR(__xludf.DUMMYFUNCTION("""COMPUTED_VALUE"""),4.6)</f>
        <v>4.5999999999999996</v>
      </c>
      <c r="W1065" s="3">
        <f ca="1">IFERROR(__xludf.DUMMYFUNCTION("""COMPUTED_VALUE"""),1000)</f>
        <v>1000</v>
      </c>
      <c r="X1065" s="3">
        <f ca="1">IFERROR(__xludf.DUMMYFUNCTION("""COMPUTED_VALUE"""),2457)</f>
        <v>2457</v>
      </c>
      <c r="Y1065" s="3">
        <f ca="1">IFERROR(__xludf.DUMMYFUNCTION("""COMPUTED_VALUE"""),585)</f>
        <v>585</v>
      </c>
      <c r="Z1065" s="3">
        <f ca="1">IFERROR(__xludf.DUMMYFUNCTION("""COMPUTED_VALUE"""),470)</f>
        <v>470</v>
      </c>
      <c r="AA1065" s="3">
        <f ca="1">IFERROR(__xludf.DUMMYFUNCTION("""COMPUTED_VALUE"""),1402)</f>
        <v>1402</v>
      </c>
      <c r="AB1065" s="3">
        <f ca="1">IFERROR(__xludf.DUMMYFUNCTION("""COMPUTED_VALUE"""),0)</f>
        <v>0</v>
      </c>
      <c r="AC1065" s="3">
        <f ca="1">IFERROR(__xludf.DUMMYFUNCTION("""COMPUTED_VALUE"""),1)</f>
        <v>1</v>
      </c>
      <c r="AD1065" s="3" t="str">
        <f ca="1">IFERROR(__xludf.DUMMYFUNCTION("""COMPUTED_VALUE"""),"late")</f>
        <v>late</v>
      </c>
      <c r="AE1065" s="3" t="str">
        <f ca="1">IFERROR(__xludf.DUMMYFUNCTION("""COMPUTED_VALUE"""),"2055-06-07T12:41:09.47526Z")</f>
        <v>2055-06-07T12:41:09.47526Z</v>
      </c>
      <c r="AF1065" s="3" t="str">
        <f ca="1">IFERROR(__xludf.DUMMYFUNCTION("""COMPUTED_VALUE"""),"2055-06-07T13:04:31.143557Z")</f>
        <v>2055-06-07T13:04:31.143557Z</v>
      </c>
      <c r="AG1065" s="3" t="str">
        <f ca="1">IFERROR(__xludf.DUMMYFUNCTION("""COMPUTED_VALUE"""),"2055-06-07T12:23:27.253317Z")</f>
        <v>2055-06-07T12:23:27.253317Z</v>
      </c>
      <c r="AH1065" s="3" t="str">
        <f ca="1">IFERROR(__xludf.DUMMYFUNCTION("""COMPUTED_VALUE"""),"2055-06-07T12:33:19.522574Z")</f>
        <v>2055-06-07T12:33:19.522574Z</v>
      </c>
      <c r="AI1065" s="3">
        <f ca="1">IFERROR(__xludf.DUMMYFUNCTION("""COMPUTED_VALUE"""),5)</f>
        <v>5</v>
      </c>
      <c r="AJ1065" s="3">
        <f ca="1">IFERROR(__xludf.DUMMYFUNCTION("""COMPUTED_VALUE"""),6)</f>
        <v>6</v>
      </c>
      <c r="AK1065" s="3">
        <f ca="1">IFERROR(__xludf.DUMMYFUNCTION("""COMPUTED_VALUE"""),20)</f>
        <v>20</v>
      </c>
      <c r="AL1065" s="3">
        <f ca="1">IFERROR(__xludf.DUMMYFUNCTION("""COMPUTED_VALUE"""),5)</f>
        <v>5</v>
      </c>
      <c r="AM1065" s="3">
        <f>IFERROR(Raw_Data!AL1065 / Raw_Data!AK1065, "")</f>
        <v>0.25</v>
      </c>
      <c r="AN1065" s="3" t="str">
        <f>IF(ISBLANK(Raw_Data!AL1065), "No", "Yes")</f>
        <v>Yes</v>
      </c>
      <c r="AO1065" s="3">
        <f>IFERROR(Raw_Data!Z1065/60, "")</f>
        <v>7.833333333333333</v>
      </c>
    </row>
    <row r="1066" spans="1:41" ht="13">
      <c r="A1066" s="3">
        <f ca="1">IFERROR(__xludf.DUMMYFUNCTION("""COMPUTED_VALUE"""),730)</f>
        <v>730</v>
      </c>
      <c r="B1066" s="3">
        <f ca="1">IFERROR(__xludf.DUMMYFUNCTION("""COMPUTED_VALUE"""),5)</f>
        <v>5</v>
      </c>
      <c r="C1066" s="3">
        <f ca="1">IFERROR(__xludf.DUMMYFUNCTION("""COMPUTED_VALUE"""),4050)</f>
        <v>4050</v>
      </c>
      <c r="D1066" s="3" t="str">
        <f ca="1">IFERROR(__xludf.DUMMYFUNCTION("""COMPUTED_VALUE"""),"Doorlanta")</f>
        <v>Doorlanta</v>
      </c>
      <c r="E1066" s="3" t="str">
        <f ca="1">IFERROR(__xludf.DUMMYFUNCTION("""COMPUTED_VALUE"""),"Galaxy A")</f>
        <v>Galaxy A</v>
      </c>
      <c r="F1066" s="3" t="str">
        <f ca="1">IFERROR(__xludf.DUMMYFUNCTION("""COMPUTED_VALUE"""),"Katelynn")</f>
        <v>Katelynn</v>
      </c>
      <c r="G1066" s="3">
        <f ca="1">IFERROR(__xludf.DUMMYFUNCTION("""COMPUTED_VALUE"""),0)</f>
        <v>0</v>
      </c>
      <c r="H1066" s="3" t="str">
        <f ca="1">IFERROR(__xludf.DUMMYFUNCTION("""COMPUTED_VALUE"""),"car")</f>
        <v>car</v>
      </c>
      <c r="I1066" s="3" t="str">
        <f ca="1">IFERROR(__xludf.DUMMYFUNCTION("""COMPUTED_VALUE"""),"2055-06-06T15:37:28.280869Z")</f>
        <v>2055-06-06T15:37:28.280869Z</v>
      </c>
      <c r="J1066" s="3" t="str">
        <f ca="1">IFERROR(__xludf.DUMMYFUNCTION("""COMPUTED_VALUE"""),"2055-06-06T16:32:28.341Z")</f>
        <v>2055-06-06T16:32:28.341Z</v>
      </c>
      <c r="K1066" s="3" t="str">
        <f ca="1">IFERROR(__xludf.DUMMYFUNCTION("""COMPUTED_VALUE"""),"2055-06-06T16:09:06.341Z")</f>
        <v>2055-06-06T16:09:06.341Z</v>
      </c>
      <c r="L1066" s="3">
        <f ca="1">IFERROR(__xludf.DUMMYFUNCTION("""COMPUTED_VALUE"""),1)</f>
        <v>1</v>
      </c>
      <c r="M1066" s="3">
        <f ca="1">IFERROR(__xludf.DUMMYFUNCTION("""COMPUTED_VALUE"""),0)</f>
        <v>0</v>
      </c>
      <c r="N1066" s="3" t="str">
        <f ca="1">IFERROR(__xludf.DUMMYFUNCTION("""COMPUTED_VALUE"""),"2055-06-06T15:50:17.575973Z")</f>
        <v>2055-06-06T15:50:17.575973Z</v>
      </c>
      <c r="O1066" s="3" t="str">
        <f ca="1">IFERROR(__xludf.DUMMYFUNCTION("""COMPUTED_VALUE"""),"2055-06-06T15:58:41.538326Z")</f>
        <v>2055-06-06T15:58:41.538326Z</v>
      </c>
      <c r="P1066" s="3" t="str">
        <f ca="1">IFERROR(__xludf.DUMMYFUNCTION("""COMPUTED_VALUE"""),"2055-06-06T15:39:47.331204Z")</f>
        <v>2055-06-06T15:39:47.331204Z</v>
      </c>
      <c r="Q1066" s="3">
        <f ca="1">IFERROR(__xludf.DUMMYFUNCTION("""COMPUTED_VALUE"""),0)</f>
        <v>0</v>
      </c>
      <c r="R1066" s="3" t="str">
        <f ca="1">IFERROR(__xludf.DUMMYFUNCTION("""COMPUTED_VALUE"""),"2055-06-06T15:39:55.430941Z")</f>
        <v>2055-06-06T15:39:55.430941Z</v>
      </c>
      <c r="S1066" s="3"/>
      <c r="T1066" s="3"/>
      <c r="U1066" s="4">
        <f ca="1">IFERROR(__xludf.DUMMYFUNCTION("""COMPUTED_VALUE"""),56771)</f>
        <v>56771</v>
      </c>
      <c r="V1066" s="3">
        <f ca="1">IFERROR(__xludf.DUMMYFUNCTION("""COMPUTED_VALUE"""),4.6)</f>
        <v>4.5999999999999996</v>
      </c>
      <c r="W1066" s="3">
        <f ca="1">IFERROR(__xludf.DUMMYFUNCTION("""COMPUTED_VALUE"""),1000)</f>
        <v>1000</v>
      </c>
      <c r="X1066" s="3">
        <f ca="1">IFERROR(__xludf.DUMMYFUNCTION("""COMPUTED_VALUE"""),1126)</f>
        <v>1126</v>
      </c>
      <c r="Y1066" s="3"/>
      <c r="Z1066" s="3"/>
      <c r="AA1066" s="3">
        <f ca="1">IFERROR(__xludf.DUMMYFUNCTION("""COMPUTED_VALUE"""),504)</f>
        <v>504</v>
      </c>
      <c r="AB1066" s="3">
        <f ca="1">IFERROR(__xludf.DUMMYFUNCTION("""COMPUTED_VALUE"""),0)</f>
        <v>0</v>
      </c>
      <c r="AC1066" s="3">
        <f ca="1">IFERROR(__xludf.DUMMYFUNCTION("""COMPUTED_VALUE"""),1)</f>
        <v>1</v>
      </c>
      <c r="AD1066" s="3"/>
      <c r="AE1066" s="3" t="str">
        <f ca="1">IFERROR(__xludf.DUMMYFUNCTION("""COMPUTED_VALUE"""),"2055-06-06T11:50:17.575973Z")</f>
        <v>2055-06-06T11:50:17.575973Z</v>
      </c>
      <c r="AF1066" s="3" t="str">
        <f ca="1">IFERROR(__xludf.DUMMYFUNCTION("""COMPUTED_VALUE"""),"2055-06-06T11:58:41.538326Z")</f>
        <v>2055-06-06T11:58:41.538326Z</v>
      </c>
      <c r="AG1066" s="3" t="str">
        <f ca="1">IFERROR(__xludf.DUMMYFUNCTION("""COMPUTED_VALUE"""),"2055-06-06T11:39:47.331204Z")</f>
        <v>2055-06-06T11:39:47.331204Z</v>
      </c>
      <c r="AH1066" s="3"/>
      <c r="AI1066" s="3">
        <f ca="1">IFERROR(__xludf.DUMMYFUNCTION("""COMPUTED_VALUE"""),4.7)</f>
        <v>4.7</v>
      </c>
      <c r="AJ1066" s="3">
        <f ca="1">IFERROR(__xludf.DUMMYFUNCTION("""COMPUTED_VALUE"""),1261)</f>
        <v>1261</v>
      </c>
      <c r="AK1066" s="3">
        <f ca="1">IFERROR(__xludf.DUMMYFUNCTION("""COMPUTED_VALUE"""),3264)</f>
        <v>3264</v>
      </c>
      <c r="AL1066" s="3">
        <f ca="1">IFERROR(__xludf.DUMMYFUNCTION("""COMPUTED_VALUE"""),232)</f>
        <v>232</v>
      </c>
      <c r="AM1066" s="3">
        <f>IFERROR(Raw_Data!AL1066 / Raw_Data!AK1066, "")</f>
        <v>7.1078431372549017E-2</v>
      </c>
      <c r="AN1066" s="3" t="str">
        <f>IF(ISBLANK(Raw_Data!AL1066), "No", "Yes")</f>
        <v>Yes</v>
      </c>
      <c r="AO1066" s="3">
        <f>IFERROR(Raw_Data!Z1066/60, "")</f>
        <v>0</v>
      </c>
    </row>
    <row r="1067" spans="1:41" ht="13">
      <c r="A1067" s="3">
        <f ca="1">IFERROR(__xludf.DUMMYFUNCTION("""COMPUTED_VALUE"""),272)</f>
        <v>272</v>
      </c>
      <c r="B1067" s="3">
        <f ca="1">IFERROR(__xludf.DUMMYFUNCTION("""COMPUTED_VALUE"""),1)</f>
        <v>1</v>
      </c>
      <c r="C1067" s="3">
        <f ca="1">IFERROR(__xludf.DUMMYFUNCTION("""COMPUTED_VALUE"""),4001)</f>
        <v>4001</v>
      </c>
      <c r="D1067" s="3" t="str">
        <f ca="1">IFERROR(__xludf.DUMMYFUNCTION("""COMPUTED_VALUE"""),"Dashattan")</f>
        <v>Dashattan</v>
      </c>
      <c r="E1067" s="3" t="str">
        <f ca="1">IFERROR(__xludf.DUMMYFUNCTION("""COMPUTED_VALUE"""),"Galaxy A")</f>
        <v>Galaxy A</v>
      </c>
      <c r="F1067" s="3" t="str">
        <f ca="1">IFERROR(__xludf.DUMMYFUNCTION("""COMPUTED_VALUE"""),"Sean")</f>
        <v>Sean</v>
      </c>
      <c r="G1067" s="3">
        <f ca="1">IFERROR(__xludf.DUMMYFUNCTION("""COMPUTED_VALUE"""),0)</f>
        <v>0</v>
      </c>
      <c r="H1067" s="3" t="str">
        <f ca="1">IFERROR(__xludf.DUMMYFUNCTION("""COMPUTED_VALUE"""),"bicycle")</f>
        <v>bicycle</v>
      </c>
      <c r="I1067" s="3" t="str">
        <f ca="1">IFERROR(__xludf.DUMMYFUNCTION("""COMPUTED_VALUE"""),"2055-06-03T15:44:51.154672Z")</f>
        <v>2055-06-03T15:44:51.154672Z</v>
      </c>
      <c r="J1067" s="3" t="str">
        <f ca="1">IFERROR(__xludf.DUMMYFUNCTION("""COMPUTED_VALUE"""),"2055-06-03T16:32:17.201Z")</f>
        <v>2055-06-03T16:32:17.201Z</v>
      </c>
      <c r="K1067" s="3" t="str">
        <f ca="1">IFERROR(__xludf.DUMMYFUNCTION("""COMPUTED_VALUE"""),"2055-06-03T16:13:24.201Z")</f>
        <v>2055-06-03T16:13:24.201Z</v>
      </c>
      <c r="L1067" s="3">
        <f ca="1">IFERROR(__xludf.DUMMYFUNCTION("""COMPUTED_VALUE"""),1)</f>
        <v>1</v>
      </c>
      <c r="M1067" s="3">
        <f ca="1">IFERROR(__xludf.DUMMYFUNCTION("""COMPUTED_VALUE"""),0)</f>
        <v>0</v>
      </c>
      <c r="N1067" s="3" t="str">
        <f ca="1">IFERROR(__xludf.DUMMYFUNCTION("""COMPUTED_VALUE"""),"2055-06-03T17:27:28.984341Z")</f>
        <v>2055-06-03T17:27:28.984341Z</v>
      </c>
      <c r="O1067" s="3" t="str">
        <f ca="1">IFERROR(__xludf.DUMMYFUNCTION("""COMPUTED_VALUE"""),"2055-06-03T17:49:12.756277Z")</f>
        <v>2055-06-03T17:49:12.756277Z</v>
      </c>
      <c r="P1067" s="3" t="str">
        <f ca="1">IFERROR(__xludf.DUMMYFUNCTION("""COMPUTED_VALUE"""),"2055-06-03T17:20:42.731226Z")</f>
        <v>2055-06-03T17:20:42.731226Z</v>
      </c>
      <c r="Q1067" s="3">
        <f ca="1">IFERROR(__xludf.DUMMYFUNCTION("""COMPUTED_VALUE"""),1)</f>
        <v>1</v>
      </c>
      <c r="R1067" s="3" t="str">
        <f ca="1">IFERROR(__xludf.DUMMYFUNCTION("""COMPUTED_VALUE"""),"2055-06-03T17:20:48.255503Z")</f>
        <v>2055-06-03T17:20:48.255503Z</v>
      </c>
      <c r="S1067" s="3" t="str">
        <f ca="1">IFERROR(__xludf.DUMMYFUNCTION("""COMPUTED_VALUE"""),"2055-06-03T17:20:52.743697Z")</f>
        <v>2055-06-03T17:20:52.743697Z</v>
      </c>
      <c r="T1067" s="3"/>
      <c r="U1067" s="4">
        <f ca="1">IFERROR(__xludf.DUMMYFUNCTION("""COMPUTED_VALUE"""),56768)</f>
        <v>56768</v>
      </c>
      <c r="V1067" s="3">
        <f ca="1">IFERROR(__xludf.DUMMYFUNCTION("""COMPUTED_VALUE"""),3.49339893)</f>
        <v>3.4933989300000001</v>
      </c>
      <c r="W1067" s="3">
        <f ca="1">IFERROR(__xludf.DUMMYFUNCTION("""COMPUTED_VALUE"""),1000)</f>
        <v>1000</v>
      </c>
      <c r="X1067" s="3">
        <f ca="1">IFERROR(__xludf.DUMMYFUNCTION("""COMPUTED_VALUE"""),1704)</f>
        <v>1704</v>
      </c>
      <c r="Y1067" s="3">
        <f ca="1">IFERROR(__xludf.DUMMYFUNCTION("""COMPUTED_VALUE"""),4)</f>
        <v>4</v>
      </c>
      <c r="Z1067" s="3">
        <f ca="1">IFERROR(__xludf.DUMMYFUNCTION("""COMPUTED_VALUE"""),396)</f>
        <v>396</v>
      </c>
      <c r="AA1067" s="3">
        <f ca="1">IFERROR(__xludf.DUMMYFUNCTION("""COMPUTED_VALUE"""),1304)</f>
        <v>1304</v>
      </c>
      <c r="AB1067" s="3">
        <f ca="1">IFERROR(__xludf.DUMMYFUNCTION("""COMPUTED_VALUE"""),1)</f>
        <v>1</v>
      </c>
      <c r="AC1067" s="3">
        <f ca="1">IFERROR(__xludf.DUMMYFUNCTION("""COMPUTED_VALUE"""),1)</f>
        <v>1</v>
      </c>
      <c r="AD1067" s="3"/>
      <c r="AE1067" s="3" t="str">
        <f ca="1">IFERROR(__xludf.DUMMYFUNCTION("""COMPUTED_VALUE"""),"2055-06-03T13:27:28.984341Z")</f>
        <v>2055-06-03T13:27:28.984341Z</v>
      </c>
      <c r="AF1067" s="3" t="str">
        <f ca="1">IFERROR(__xludf.DUMMYFUNCTION("""COMPUTED_VALUE"""),"2055-06-03T13:49:12.756277Z")</f>
        <v>2055-06-03T13:49:12.756277Z</v>
      </c>
      <c r="AG1067" s="3" t="str">
        <f ca="1">IFERROR(__xludf.DUMMYFUNCTION("""COMPUTED_VALUE"""),"2055-06-03T13:20:42.731226Z")</f>
        <v>2055-06-03T13:20:42.731226Z</v>
      </c>
      <c r="AH1067" s="3" t="str">
        <f ca="1">IFERROR(__xludf.DUMMYFUNCTION("""COMPUTED_VALUE"""),"2055-06-03T13:20:52.743697Z")</f>
        <v>2055-06-03T13:20:52.743697Z</v>
      </c>
      <c r="AI1067" s="3">
        <f ca="1">IFERROR(__xludf.DUMMYFUNCTION("""COMPUTED_VALUE"""),4.52)</f>
        <v>4.5199999999999996</v>
      </c>
      <c r="AJ1067" s="3">
        <f ca="1">IFERROR(__xludf.DUMMYFUNCTION("""COMPUTED_VALUE"""),183)</f>
        <v>183</v>
      </c>
      <c r="AK1067" s="3">
        <f ca="1">IFERROR(__xludf.DUMMYFUNCTION("""COMPUTED_VALUE"""),522)</f>
        <v>522</v>
      </c>
      <c r="AL1067" s="3"/>
      <c r="AM1067" s="3">
        <f>IFERROR(Raw_Data!AL1067 / Raw_Data!AK1067, "")</f>
        <v>0</v>
      </c>
      <c r="AN1067" s="3" t="str">
        <f>IF(ISBLANK(Raw_Data!AL1067), "No", "Yes")</f>
        <v>No</v>
      </c>
      <c r="AO1067" s="3">
        <f>IFERROR(Raw_Data!Z1067/60, "")</f>
        <v>6.6</v>
      </c>
    </row>
    <row r="1068" spans="1:41" ht="13">
      <c r="A1068" s="3">
        <f ca="1">IFERROR(__xludf.DUMMYFUNCTION("""COMPUTED_VALUE"""),295)</f>
        <v>295</v>
      </c>
      <c r="B1068" s="3"/>
      <c r="C1068" s="3">
        <f ca="1">IFERROR(__xludf.DUMMYFUNCTION("""COMPUTED_VALUE"""),4050)</f>
        <v>4050</v>
      </c>
      <c r="D1068" s="3" t="str">
        <f ca="1">IFERROR(__xludf.DUMMYFUNCTION("""COMPUTED_VALUE"""),"Doorlanta")</f>
        <v>Doorlanta</v>
      </c>
      <c r="E1068" s="3" t="str">
        <f ca="1">IFERROR(__xludf.DUMMYFUNCTION("""COMPUTED_VALUE"""),"Galaxy A")</f>
        <v>Galaxy A</v>
      </c>
      <c r="F1068" s="3" t="str">
        <f ca="1">IFERROR(__xludf.DUMMYFUNCTION("""COMPUTED_VALUE"""),"Jagar")</f>
        <v>Jagar</v>
      </c>
      <c r="G1068" s="3">
        <f ca="1">IFERROR(__xludf.DUMMYFUNCTION("""COMPUTED_VALUE"""),0)</f>
        <v>0</v>
      </c>
      <c r="H1068" s="3" t="str">
        <f ca="1">IFERROR(__xludf.DUMMYFUNCTION("""COMPUTED_VALUE"""),"car")</f>
        <v>car</v>
      </c>
      <c r="I1068" s="3" t="str">
        <f ca="1">IFERROR(__xludf.DUMMYFUNCTION("""COMPUTED_VALUE"""),"2055-06-03T17:21:07.006445Z")</f>
        <v>2055-06-03T17:21:07.006445Z</v>
      </c>
      <c r="J1068" s="3" t="str">
        <f ca="1">IFERROR(__xludf.DUMMYFUNCTION("""COMPUTED_VALUE"""),"2055-06-03T18:08:03.115Z")</f>
        <v>2055-06-03T18:08:03.115Z</v>
      </c>
      <c r="K1068" s="3" t="str">
        <f ca="1">IFERROR(__xludf.DUMMYFUNCTION("""COMPUTED_VALUE"""),"2055-06-03T17:59:10.115Z")</f>
        <v>2055-06-03T17:59:10.115Z</v>
      </c>
      <c r="L1068" s="3">
        <f ca="1">IFERROR(__xludf.DUMMYFUNCTION("""COMPUTED_VALUE"""),1)</f>
        <v>1</v>
      </c>
      <c r="M1068" s="3">
        <f ca="1">IFERROR(__xludf.DUMMYFUNCTION("""COMPUTED_VALUE"""),0)</f>
        <v>0</v>
      </c>
      <c r="N1068" s="3" t="str">
        <f ca="1">IFERROR(__xludf.DUMMYFUNCTION("""COMPUTED_VALUE"""),"2055-06-03T17:44:58.121773Z")</f>
        <v>2055-06-03T17:44:58.121773Z</v>
      </c>
      <c r="O1068" s="3" t="str">
        <f ca="1">IFERROR(__xludf.DUMMYFUNCTION("""COMPUTED_VALUE"""),"2055-06-03T17:57:13.373631Z")</f>
        <v>2055-06-03T17:57:13.373631Z</v>
      </c>
      <c r="P1068" s="3" t="str">
        <f ca="1">IFERROR(__xludf.DUMMYFUNCTION("""COMPUTED_VALUE"""),"2055-06-03T17:21:27.307516Z")</f>
        <v>2055-06-03T17:21:27.307516Z</v>
      </c>
      <c r="Q1068" s="3">
        <f ca="1">IFERROR(__xludf.DUMMYFUNCTION("""COMPUTED_VALUE"""),0)</f>
        <v>0</v>
      </c>
      <c r="R1068" s="3" t="str">
        <f ca="1">IFERROR(__xludf.DUMMYFUNCTION("""COMPUTED_VALUE"""),"2055-06-03T17:21:33.674879Z")</f>
        <v>2055-06-03T17:21:33.674879Z</v>
      </c>
      <c r="S1068" s="3" t="str">
        <f ca="1">IFERROR(__xludf.DUMMYFUNCTION("""COMPUTED_VALUE"""),"2055-06-03T17:42:43.894729Z")</f>
        <v>2055-06-03T17:42:43.894729Z</v>
      </c>
      <c r="T1068" s="3"/>
      <c r="U1068" s="4">
        <f ca="1">IFERROR(__xludf.DUMMYFUNCTION("""COMPUTED_VALUE"""),56768)</f>
        <v>56768</v>
      </c>
      <c r="V1068" s="3">
        <f ca="1">IFERROR(__xludf.DUMMYFUNCTION("""COMPUTED_VALUE"""),4.6)</f>
        <v>4.5999999999999996</v>
      </c>
      <c r="W1068" s="3">
        <f ca="1">IFERROR(__xludf.DUMMYFUNCTION("""COMPUTED_VALUE"""),1000)</f>
        <v>1000</v>
      </c>
      <c r="X1068" s="3">
        <f ca="1">IFERROR(__xludf.DUMMYFUNCTION("""COMPUTED_VALUE"""),2140)</f>
        <v>2140</v>
      </c>
      <c r="Y1068" s="3">
        <f ca="1">IFERROR(__xludf.DUMMYFUNCTION("""COMPUTED_VALUE"""),1270)</f>
        <v>1270</v>
      </c>
      <c r="Z1068" s="3">
        <f ca="1">IFERROR(__xludf.DUMMYFUNCTION("""COMPUTED_VALUE"""),135)</f>
        <v>135</v>
      </c>
      <c r="AA1068" s="3">
        <f ca="1">IFERROR(__xludf.DUMMYFUNCTION("""COMPUTED_VALUE"""),735)</f>
        <v>735</v>
      </c>
      <c r="AB1068" s="3">
        <f ca="1">IFERROR(__xludf.DUMMYFUNCTION("""COMPUTED_VALUE"""),0)</f>
        <v>0</v>
      </c>
      <c r="AC1068" s="3">
        <f ca="1">IFERROR(__xludf.DUMMYFUNCTION("""COMPUTED_VALUE"""),2)</f>
        <v>2</v>
      </c>
      <c r="AD1068" s="3" t="str">
        <f ca="1">IFERROR(__xludf.DUMMYFUNCTION("""COMPUTED_VALUE"""),"late")</f>
        <v>late</v>
      </c>
      <c r="AE1068" s="3" t="str">
        <f ca="1">IFERROR(__xludf.DUMMYFUNCTION("""COMPUTED_VALUE"""),"2055-06-03T13:44:58.121773Z")</f>
        <v>2055-06-03T13:44:58.121773Z</v>
      </c>
      <c r="AF1068" s="3" t="str">
        <f ca="1">IFERROR(__xludf.DUMMYFUNCTION("""COMPUTED_VALUE"""),"2055-06-03T13:57:13.373631Z")</f>
        <v>2055-06-03T13:57:13.373631Z</v>
      </c>
      <c r="AG1068" s="3" t="str">
        <f ca="1">IFERROR(__xludf.DUMMYFUNCTION("""COMPUTED_VALUE"""),"2055-06-03T13:21:27.307516Z")</f>
        <v>2055-06-03T13:21:27.307516Z</v>
      </c>
      <c r="AH1068" s="3" t="str">
        <f ca="1">IFERROR(__xludf.DUMMYFUNCTION("""COMPUTED_VALUE"""),"2055-06-03T13:42:43.894729Z")</f>
        <v>2055-06-03T13:42:43.894729Z</v>
      </c>
      <c r="AI1068" s="3">
        <f ca="1">IFERROR(__xludf.DUMMYFUNCTION("""COMPUTED_VALUE"""),4.89)</f>
        <v>4.8899999999999997</v>
      </c>
      <c r="AJ1068" s="3">
        <f ca="1">IFERROR(__xludf.DUMMYFUNCTION("""COMPUTED_VALUE"""),1778)</f>
        <v>1778</v>
      </c>
      <c r="AK1068" s="3">
        <f ca="1">IFERROR(__xludf.DUMMYFUNCTION("""COMPUTED_VALUE"""),5138)</f>
        <v>5138</v>
      </c>
      <c r="AL1068" s="3">
        <f ca="1">IFERROR(__xludf.DUMMYFUNCTION("""COMPUTED_VALUE"""),314)</f>
        <v>314</v>
      </c>
      <c r="AM1068" s="3">
        <f>IFERROR(Raw_Data!AL1068 / Raw_Data!AK1068, "")</f>
        <v>6.1113273647333592E-2</v>
      </c>
      <c r="AN1068" s="3" t="str">
        <f>IF(ISBLANK(Raw_Data!AL1068), "No", "Yes")</f>
        <v>Yes</v>
      </c>
      <c r="AO1068" s="3">
        <f>IFERROR(Raw_Data!Z1068/60, "")</f>
        <v>2.25</v>
      </c>
    </row>
    <row r="1069" spans="1:41" ht="13">
      <c r="A1069" s="3">
        <f ca="1">IFERROR(__xludf.DUMMYFUNCTION("""COMPUTED_VALUE"""),428)</f>
        <v>428</v>
      </c>
      <c r="B1069" s="3">
        <f ca="1">IFERROR(__xludf.DUMMYFUNCTION("""COMPUTED_VALUE"""),3)</f>
        <v>3</v>
      </c>
      <c r="C1069" s="3">
        <f ca="1">IFERROR(__xludf.DUMMYFUNCTION("""COMPUTED_VALUE"""),4050)</f>
        <v>4050</v>
      </c>
      <c r="D1069" s="3" t="str">
        <f ca="1">IFERROR(__xludf.DUMMYFUNCTION("""COMPUTED_VALUE"""),"Doorlanta")</f>
        <v>Doorlanta</v>
      </c>
      <c r="E1069" s="3" t="str">
        <f ca="1">IFERROR(__xludf.DUMMYFUNCTION("""COMPUTED_VALUE"""),"Galaxy A")</f>
        <v>Galaxy A</v>
      </c>
      <c r="F1069" s="3" t="str">
        <f ca="1">IFERROR(__xludf.DUMMYFUNCTION("""COMPUTED_VALUE"""),"Elon")</f>
        <v>Elon</v>
      </c>
      <c r="G1069" s="3">
        <f ca="1">IFERROR(__xludf.DUMMYFUNCTION("""COMPUTED_VALUE"""),0)</f>
        <v>0</v>
      </c>
      <c r="H1069" s="3" t="str">
        <f ca="1">IFERROR(__xludf.DUMMYFUNCTION("""COMPUTED_VALUE"""),"car")</f>
        <v>car</v>
      </c>
      <c r="I1069" s="3" t="str">
        <f ca="1">IFERROR(__xludf.DUMMYFUNCTION("""COMPUTED_VALUE"""),"2055-06-04T18:31:51.093715Z")</f>
        <v>2055-06-04T18:31:51.093715Z</v>
      </c>
      <c r="J1069" s="3" t="str">
        <f ca="1">IFERROR(__xludf.DUMMYFUNCTION("""COMPUTED_VALUE"""),"2055-06-04T19:11:51.213Z")</f>
        <v>2055-06-04T19:11:51.213Z</v>
      </c>
      <c r="K1069" s="3" t="str">
        <f ca="1">IFERROR(__xludf.DUMMYFUNCTION("""COMPUTED_VALUE"""),"2055-06-04T19:00:26.213Z")</f>
        <v>2055-06-04T19:00:26.213Z</v>
      </c>
      <c r="L1069" s="3">
        <f ca="1">IFERROR(__xludf.DUMMYFUNCTION("""COMPUTED_VALUE"""),1)</f>
        <v>1</v>
      </c>
      <c r="M1069" s="3">
        <f ca="1">IFERROR(__xludf.DUMMYFUNCTION("""COMPUTED_VALUE"""),0)</f>
        <v>0</v>
      </c>
      <c r="N1069" s="3" t="str">
        <f ca="1">IFERROR(__xludf.DUMMYFUNCTION("""COMPUTED_VALUE"""),"2055-06-04T19:01:25.987891Z")</f>
        <v>2055-06-04T19:01:25.987891Z</v>
      </c>
      <c r="O1069" s="3" t="str">
        <f ca="1">IFERROR(__xludf.DUMMYFUNCTION("""COMPUTED_VALUE"""),"2055-06-04T19:24:03.657586Z")</f>
        <v>2055-06-04T19:24:03.657586Z</v>
      </c>
      <c r="P1069" s="3" t="str">
        <f ca="1">IFERROR(__xludf.DUMMYFUNCTION("""COMPUTED_VALUE"""),"2055-06-04T18:46:27.285609Z")</f>
        <v>2055-06-04T18:46:27.285609Z</v>
      </c>
      <c r="Q1069" s="3">
        <f ca="1">IFERROR(__xludf.DUMMYFUNCTION("""COMPUTED_VALUE"""),0)</f>
        <v>0</v>
      </c>
      <c r="R1069" s="3" t="str">
        <f ca="1">IFERROR(__xludf.DUMMYFUNCTION("""COMPUTED_VALUE"""),"2055-06-04T18:46:33.649594Z")</f>
        <v>2055-06-04T18:46:33.649594Z</v>
      </c>
      <c r="S1069" s="3"/>
      <c r="T1069" s="3"/>
      <c r="U1069" s="4">
        <f ca="1">IFERROR(__xludf.DUMMYFUNCTION("""COMPUTED_VALUE"""),56769)</f>
        <v>56769</v>
      </c>
      <c r="V1069" s="3">
        <f ca="1">IFERROR(__xludf.DUMMYFUNCTION("""COMPUTED_VALUE"""),4.6)</f>
        <v>4.5999999999999996</v>
      </c>
      <c r="W1069" s="3">
        <f ca="1">IFERROR(__xludf.DUMMYFUNCTION("""COMPUTED_VALUE"""),1000)</f>
        <v>1000</v>
      </c>
      <c r="X1069" s="3">
        <f ca="1">IFERROR(__xludf.DUMMYFUNCTION("""COMPUTED_VALUE"""),2250)</f>
        <v>2250</v>
      </c>
      <c r="Y1069" s="3"/>
      <c r="Z1069" s="3"/>
      <c r="AA1069" s="3">
        <f ca="1">IFERROR(__xludf.DUMMYFUNCTION("""COMPUTED_VALUE"""),1358)</f>
        <v>1358</v>
      </c>
      <c r="AB1069" s="3">
        <f ca="1">IFERROR(__xludf.DUMMYFUNCTION("""COMPUTED_VALUE"""),1)</f>
        <v>1</v>
      </c>
      <c r="AC1069" s="3">
        <f ca="1">IFERROR(__xludf.DUMMYFUNCTION("""COMPUTED_VALUE"""),6)</f>
        <v>6</v>
      </c>
      <c r="AD1069" s="3"/>
      <c r="AE1069" s="3" t="str">
        <f ca="1">IFERROR(__xludf.DUMMYFUNCTION("""COMPUTED_VALUE"""),"2055-06-04T15:01:25.987891Z")</f>
        <v>2055-06-04T15:01:25.987891Z</v>
      </c>
      <c r="AF1069" s="3" t="str">
        <f ca="1">IFERROR(__xludf.DUMMYFUNCTION("""COMPUTED_VALUE"""),"2055-06-04T15:24:03.657586Z")</f>
        <v>2055-06-04T15:24:03.657586Z</v>
      </c>
      <c r="AG1069" s="3" t="str">
        <f ca="1">IFERROR(__xludf.DUMMYFUNCTION("""COMPUTED_VALUE"""),"2055-06-04T14:46:27.285609Z")</f>
        <v>2055-06-04T14:46:27.285609Z</v>
      </c>
      <c r="AH1069" s="3"/>
      <c r="AI1069" s="3">
        <f ca="1">IFERROR(__xludf.DUMMYFUNCTION("""COMPUTED_VALUE"""),4.62)</f>
        <v>4.62</v>
      </c>
      <c r="AJ1069" s="3">
        <f ca="1">IFERROR(__xludf.DUMMYFUNCTION("""COMPUTED_VALUE"""),259)</f>
        <v>259</v>
      </c>
      <c r="AK1069" s="3">
        <f ca="1">IFERROR(__xludf.DUMMYFUNCTION("""COMPUTED_VALUE"""),604)</f>
        <v>604</v>
      </c>
      <c r="AL1069" s="3">
        <f ca="1">IFERROR(__xludf.DUMMYFUNCTION("""COMPUTED_VALUE"""),21)</f>
        <v>21</v>
      </c>
      <c r="AM1069" s="3">
        <f>IFERROR(Raw_Data!AL1069 / Raw_Data!AK1069, "")</f>
        <v>3.4768211920529798E-2</v>
      </c>
      <c r="AN1069" s="3" t="str">
        <f>IF(ISBLANK(Raw_Data!AL1069), "No", "Yes")</f>
        <v>Yes</v>
      </c>
      <c r="AO1069" s="3">
        <f>IFERROR(Raw_Data!Z1069/60, "")</f>
        <v>0</v>
      </c>
    </row>
    <row r="1070" spans="1:41" ht="13">
      <c r="A1070" s="3">
        <f ca="1">IFERROR(__xludf.DUMMYFUNCTION("""COMPUTED_VALUE"""),582)</f>
        <v>582</v>
      </c>
      <c r="B1070" s="3">
        <f ca="1">IFERROR(__xludf.DUMMYFUNCTION("""COMPUTED_VALUE"""),5)</f>
        <v>5</v>
      </c>
      <c r="C1070" s="3">
        <f ca="1">IFERROR(__xludf.DUMMYFUNCTION("""COMPUTED_VALUE"""),4050)</f>
        <v>4050</v>
      </c>
      <c r="D1070" s="3" t="str">
        <f ca="1">IFERROR(__xludf.DUMMYFUNCTION("""COMPUTED_VALUE"""),"Doorlanta")</f>
        <v>Doorlanta</v>
      </c>
      <c r="E1070" s="3" t="str">
        <f ca="1">IFERROR(__xludf.DUMMYFUNCTION("""COMPUTED_VALUE"""),"Galaxy A")</f>
        <v>Galaxy A</v>
      </c>
      <c r="F1070" s="3" t="str">
        <f ca="1">IFERROR(__xludf.DUMMYFUNCTION("""COMPUTED_VALUE"""),"Elon")</f>
        <v>Elon</v>
      </c>
      <c r="G1070" s="3">
        <f ca="1">IFERROR(__xludf.DUMMYFUNCTION("""COMPUTED_VALUE"""),0)</f>
        <v>0</v>
      </c>
      <c r="H1070" s="3" t="str">
        <f ca="1">IFERROR(__xludf.DUMMYFUNCTION("""COMPUTED_VALUE"""),"car")</f>
        <v>car</v>
      </c>
      <c r="I1070" s="3" t="str">
        <f ca="1">IFERROR(__xludf.DUMMYFUNCTION("""COMPUTED_VALUE"""),"2055-06-05T17:51:04.874549Z")</f>
        <v>2055-06-05T17:51:04.874549Z</v>
      </c>
      <c r="J1070" s="3" t="str">
        <f ca="1">IFERROR(__xludf.DUMMYFUNCTION("""COMPUTED_VALUE"""),"2055-06-05T18:41:04.991Z")</f>
        <v>2055-06-05T18:41:04.991Z</v>
      </c>
      <c r="K1070" s="3" t="str">
        <f ca="1">IFERROR(__xludf.DUMMYFUNCTION("""COMPUTED_VALUE"""),"2055-06-05T18:23:54.991Z")</f>
        <v>2055-06-05T18:23:54.991Z</v>
      </c>
      <c r="L1070" s="3">
        <f ca="1">IFERROR(__xludf.DUMMYFUNCTION("""COMPUTED_VALUE"""),1)</f>
        <v>1</v>
      </c>
      <c r="M1070" s="3">
        <f ca="1">IFERROR(__xludf.DUMMYFUNCTION("""COMPUTED_VALUE"""),0)</f>
        <v>0</v>
      </c>
      <c r="N1070" s="3" t="str">
        <f ca="1">IFERROR(__xludf.DUMMYFUNCTION("""COMPUTED_VALUE"""),"2055-06-05T18:10:11.287014Z")</f>
        <v>2055-06-05T18:10:11.287014Z</v>
      </c>
      <c r="O1070" s="3" t="str">
        <f ca="1">IFERROR(__xludf.DUMMYFUNCTION("""COMPUTED_VALUE"""),"2055-06-05T18:14:50.258176Z")</f>
        <v>2055-06-05T18:14:50.258176Z</v>
      </c>
      <c r="P1070" s="3" t="str">
        <f ca="1">IFERROR(__xludf.DUMMYFUNCTION("""COMPUTED_VALUE"""),"2055-06-05T17:55:27.425314Z")</f>
        <v>2055-06-05T17:55:27.425314Z</v>
      </c>
      <c r="Q1070" s="3">
        <f ca="1">IFERROR(__xludf.DUMMYFUNCTION("""COMPUTED_VALUE"""),0)</f>
        <v>0</v>
      </c>
      <c r="R1070" s="3" t="str">
        <f ca="1">IFERROR(__xludf.DUMMYFUNCTION("""COMPUTED_VALUE"""),"2055-06-05T17:56:16.139794Z")</f>
        <v>2055-06-05T17:56:16.139794Z</v>
      </c>
      <c r="S1070" s="3" t="str">
        <f ca="1">IFERROR(__xludf.DUMMYFUNCTION("""COMPUTED_VALUE"""),"2055-06-05T18:08:37.387179Z")</f>
        <v>2055-06-05T18:08:37.387179Z</v>
      </c>
      <c r="T1070" s="3"/>
      <c r="U1070" s="4">
        <f ca="1">IFERROR(__xludf.DUMMYFUNCTION("""COMPUTED_VALUE"""),56770)</f>
        <v>56770</v>
      </c>
      <c r="V1070" s="3">
        <f ca="1">IFERROR(__xludf.DUMMYFUNCTION("""COMPUTED_VALUE"""),4.5)</f>
        <v>4.5</v>
      </c>
      <c r="W1070" s="3">
        <f ca="1">IFERROR(__xludf.DUMMYFUNCTION("""COMPUTED_VALUE"""),1000)</f>
        <v>1000</v>
      </c>
      <c r="X1070" s="3">
        <f ca="1">IFERROR(__xludf.DUMMYFUNCTION("""COMPUTED_VALUE"""),1114)</f>
        <v>1114</v>
      </c>
      <c r="Y1070" s="3">
        <f ca="1">IFERROR(__xludf.DUMMYFUNCTION("""COMPUTED_VALUE"""),741)</f>
        <v>741</v>
      </c>
      <c r="Z1070" s="3">
        <f ca="1">IFERROR(__xludf.DUMMYFUNCTION("""COMPUTED_VALUE"""),94)</f>
        <v>94</v>
      </c>
      <c r="AA1070" s="3">
        <f ca="1">IFERROR(__xludf.DUMMYFUNCTION("""COMPUTED_VALUE"""),279)</f>
        <v>279</v>
      </c>
      <c r="AB1070" s="3">
        <f ca="1">IFERROR(__xludf.DUMMYFUNCTION("""COMPUTED_VALUE"""),1)</f>
        <v>1</v>
      </c>
      <c r="AC1070" s="3">
        <f ca="1">IFERROR(__xludf.DUMMYFUNCTION("""COMPUTED_VALUE"""),1)</f>
        <v>1</v>
      </c>
      <c r="AD1070" s="3"/>
      <c r="AE1070" s="3" t="str">
        <f ca="1">IFERROR(__xludf.DUMMYFUNCTION("""COMPUTED_VALUE"""),"2055-06-05T14:10:11.287014Z")</f>
        <v>2055-06-05T14:10:11.287014Z</v>
      </c>
      <c r="AF1070" s="3" t="str">
        <f ca="1">IFERROR(__xludf.DUMMYFUNCTION("""COMPUTED_VALUE"""),"2055-06-05T14:14:50.258176Z")</f>
        <v>2055-06-05T14:14:50.258176Z</v>
      </c>
      <c r="AG1070" s="3" t="str">
        <f ca="1">IFERROR(__xludf.DUMMYFUNCTION("""COMPUTED_VALUE"""),"2055-06-05T13:55:27.425314Z")</f>
        <v>2055-06-05T13:55:27.425314Z</v>
      </c>
      <c r="AH1070" s="3" t="str">
        <f ca="1">IFERROR(__xludf.DUMMYFUNCTION("""COMPUTED_VALUE"""),"2055-06-05T14:08:37.387179Z")</f>
        <v>2055-06-05T14:08:37.387179Z</v>
      </c>
      <c r="AI1070" s="3">
        <f ca="1">IFERROR(__xludf.DUMMYFUNCTION("""COMPUTED_VALUE"""),4.62)</f>
        <v>4.62</v>
      </c>
      <c r="AJ1070" s="3">
        <f ca="1">IFERROR(__xludf.DUMMYFUNCTION("""COMPUTED_VALUE"""),259)</f>
        <v>259</v>
      </c>
      <c r="AK1070" s="3">
        <f ca="1">IFERROR(__xludf.DUMMYFUNCTION("""COMPUTED_VALUE"""),604)</f>
        <v>604</v>
      </c>
      <c r="AL1070" s="3">
        <f ca="1">IFERROR(__xludf.DUMMYFUNCTION("""COMPUTED_VALUE"""),21)</f>
        <v>21</v>
      </c>
      <c r="AM1070" s="3">
        <f>IFERROR(Raw_Data!AL1070 / Raw_Data!AK1070, "")</f>
        <v>3.4768211920529798E-2</v>
      </c>
      <c r="AN1070" s="3" t="str">
        <f>IF(ISBLANK(Raw_Data!AL1070), "No", "Yes")</f>
        <v>Yes</v>
      </c>
      <c r="AO1070" s="3">
        <f>IFERROR(Raw_Data!Z1070/60, "")</f>
        <v>1.5666666666666667</v>
      </c>
    </row>
    <row r="1071" spans="1:41" ht="13">
      <c r="A1071" s="3">
        <f ca="1">IFERROR(__xludf.DUMMYFUNCTION("""COMPUTED_VALUE"""),1250)</f>
        <v>1250</v>
      </c>
      <c r="B1071" s="3"/>
      <c r="C1071" s="3">
        <f ca="1">IFERROR(__xludf.DUMMYFUNCTION("""COMPUTED_VALUE"""),4001)</f>
        <v>4001</v>
      </c>
      <c r="D1071" s="3" t="str">
        <f ca="1">IFERROR(__xludf.DUMMYFUNCTION("""COMPUTED_VALUE"""),"Dashattan")</f>
        <v>Dashattan</v>
      </c>
      <c r="E1071" s="3" t="str">
        <f ca="1">IFERROR(__xludf.DUMMYFUNCTION("""COMPUTED_VALUE"""),"Galaxy A")</f>
        <v>Galaxy A</v>
      </c>
      <c r="F1071" s="3" t="str">
        <f ca="1">IFERROR(__xludf.DUMMYFUNCTION("""COMPUTED_VALUE"""),"KC")</f>
        <v>KC</v>
      </c>
      <c r="G1071" s="3">
        <f ca="1">IFERROR(__xludf.DUMMYFUNCTION("""COMPUTED_VALUE"""),0)</f>
        <v>0</v>
      </c>
      <c r="H1071" s="3" t="str">
        <f ca="1">IFERROR(__xludf.DUMMYFUNCTION("""COMPUTED_VALUE"""),"car")</f>
        <v>car</v>
      </c>
      <c r="I1071" s="3" t="str">
        <f ca="1">IFERROR(__xludf.DUMMYFUNCTION("""COMPUTED_VALUE"""),"2055-06-11T15:57:35.405568Z")</f>
        <v>2055-06-11T15:57:35.405568Z</v>
      </c>
      <c r="J1071" s="3" t="str">
        <f ca="1">IFERROR(__xludf.DUMMYFUNCTION("""COMPUTED_VALUE"""),"2055-06-11T17:00:07.468Z")</f>
        <v>2055-06-11T17:00:07.468Z</v>
      </c>
      <c r="K1071" s="3" t="str">
        <f ca="1">IFERROR(__xludf.DUMMYFUNCTION("""COMPUTED_VALUE"""),"2055-06-11T16:40:28.468Z")</f>
        <v>2055-06-11T16:40:28.468Z</v>
      </c>
      <c r="L1071" s="3">
        <f ca="1">IFERROR(__xludf.DUMMYFUNCTION("""COMPUTED_VALUE"""),1)</f>
        <v>1</v>
      </c>
      <c r="M1071" s="3">
        <f ca="1">IFERROR(__xludf.DUMMYFUNCTION("""COMPUTED_VALUE"""),0)</f>
        <v>0</v>
      </c>
      <c r="N1071" s="3" t="str">
        <f ca="1">IFERROR(__xludf.DUMMYFUNCTION("""COMPUTED_VALUE"""),"2055-06-11T16:11:07.304683Z")</f>
        <v>2055-06-11T16:11:07.304683Z</v>
      </c>
      <c r="O1071" s="3" t="str">
        <f ca="1">IFERROR(__xludf.DUMMYFUNCTION("""COMPUTED_VALUE"""),"2055-06-11T16:28:43.064246Z")</f>
        <v>2055-06-11T16:28:43.064246Z</v>
      </c>
      <c r="P1071" s="3" t="str">
        <f ca="1">IFERROR(__xludf.DUMMYFUNCTION("""COMPUTED_VALUE"""),"2055-06-11T15:59:14.37995Z")</f>
        <v>2055-06-11T15:59:14.37995Z</v>
      </c>
      <c r="Q1071" s="3">
        <f ca="1">IFERROR(__xludf.DUMMYFUNCTION("""COMPUTED_VALUE"""),0)</f>
        <v>0</v>
      </c>
      <c r="R1071" s="3" t="str">
        <f ca="1">IFERROR(__xludf.DUMMYFUNCTION("""COMPUTED_VALUE"""),"2055-06-11T15:59:29.172158Z")</f>
        <v>2055-06-11T15:59:29.172158Z</v>
      </c>
      <c r="S1071" s="3"/>
      <c r="T1071" s="3"/>
      <c r="U1071" s="4">
        <f ca="1">IFERROR(__xludf.DUMMYFUNCTION("""COMPUTED_VALUE"""),56776)</f>
        <v>56776</v>
      </c>
      <c r="V1071" s="3">
        <f ca="1">IFERROR(__xludf.DUMMYFUNCTION("""COMPUTED_VALUE"""),4.3)</f>
        <v>4.3</v>
      </c>
      <c r="W1071" s="3">
        <f ca="1">IFERROR(__xludf.DUMMYFUNCTION("""COMPUTED_VALUE"""),1000)</f>
        <v>1000</v>
      </c>
      <c r="X1071" s="3">
        <f ca="1">IFERROR(__xludf.DUMMYFUNCTION("""COMPUTED_VALUE"""),1754)</f>
        <v>1754</v>
      </c>
      <c r="Y1071" s="3"/>
      <c r="Z1071" s="3"/>
      <c r="AA1071" s="3">
        <f ca="1">IFERROR(__xludf.DUMMYFUNCTION("""COMPUTED_VALUE"""),1056)</f>
        <v>1056</v>
      </c>
      <c r="AB1071" s="3">
        <f ca="1">IFERROR(__xludf.DUMMYFUNCTION("""COMPUTED_VALUE"""),0)</f>
        <v>0</v>
      </c>
      <c r="AC1071" s="3">
        <f ca="1">IFERROR(__xludf.DUMMYFUNCTION("""COMPUTED_VALUE"""),2)</f>
        <v>2</v>
      </c>
      <c r="AD1071" s="3" t="str">
        <f ca="1">IFERROR(__xludf.DUMMYFUNCTION("""COMPUTED_VALUE"""),"early")</f>
        <v>early</v>
      </c>
      <c r="AE1071" s="3" t="str">
        <f ca="1">IFERROR(__xludf.DUMMYFUNCTION("""COMPUTED_VALUE"""),"2055-06-11T12:11:07.304683Z")</f>
        <v>2055-06-11T12:11:07.304683Z</v>
      </c>
      <c r="AF1071" s="3" t="str">
        <f ca="1">IFERROR(__xludf.DUMMYFUNCTION("""COMPUTED_VALUE"""),"2055-06-11T12:28:43.064246Z")</f>
        <v>2055-06-11T12:28:43.064246Z</v>
      </c>
      <c r="AG1071" s="3" t="str">
        <f ca="1">IFERROR(__xludf.DUMMYFUNCTION("""COMPUTED_VALUE"""),"2055-06-11T11:59:14.37995Z")</f>
        <v>2055-06-11T11:59:14.37995Z</v>
      </c>
      <c r="AH1071" s="3"/>
      <c r="AI1071" s="3">
        <f ca="1">IFERROR(__xludf.DUMMYFUNCTION("""COMPUTED_VALUE"""),4.54)</f>
        <v>4.54</v>
      </c>
      <c r="AJ1071" s="3">
        <f ca="1">IFERROR(__xludf.DUMMYFUNCTION("""COMPUTED_VALUE"""),2229)</f>
        <v>2229</v>
      </c>
      <c r="AK1071" s="3">
        <f ca="1">IFERROR(__xludf.DUMMYFUNCTION("""COMPUTED_VALUE"""),6580)</f>
        <v>6580</v>
      </c>
      <c r="AL1071" s="3"/>
      <c r="AM1071" s="3">
        <f>IFERROR(Raw_Data!AL1071 / Raw_Data!AK1071, "")</f>
        <v>0</v>
      </c>
      <c r="AN1071" s="3" t="str">
        <f>IF(ISBLANK(Raw_Data!AL1071), "No", "Yes")</f>
        <v>No</v>
      </c>
      <c r="AO1071" s="3">
        <f>IFERROR(Raw_Data!Z1071/60, "")</f>
        <v>0</v>
      </c>
    </row>
    <row r="1072" spans="1:41" ht="13">
      <c r="A1072" s="3">
        <f ca="1">IFERROR(__xludf.DUMMYFUNCTION("""COMPUTED_VALUE"""),1434)</f>
        <v>1434</v>
      </c>
      <c r="B1072" s="3">
        <f ca="1">IFERROR(__xludf.DUMMYFUNCTION("""COMPUTED_VALUE"""),5)</f>
        <v>5</v>
      </c>
      <c r="C1072" s="3">
        <f ca="1">IFERROR(__xludf.DUMMYFUNCTION("""COMPUTED_VALUE"""),4001)</f>
        <v>4001</v>
      </c>
      <c r="D1072" s="3" t="str">
        <f ca="1">IFERROR(__xludf.DUMMYFUNCTION("""COMPUTED_VALUE"""),"Dashattan")</f>
        <v>Dashattan</v>
      </c>
      <c r="E1072" s="3" t="str">
        <f ca="1">IFERROR(__xludf.DUMMYFUNCTION("""COMPUTED_VALUE"""),"Galaxy A")</f>
        <v>Galaxy A</v>
      </c>
      <c r="F1072" s="3" t="str">
        <f ca="1">IFERROR(__xludf.DUMMYFUNCTION("""COMPUTED_VALUE"""),"KC")</f>
        <v>KC</v>
      </c>
      <c r="G1072" s="3">
        <f ca="1">IFERROR(__xludf.DUMMYFUNCTION("""COMPUTED_VALUE"""),0)</f>
        <v>0</v>
      </c>
      <c r="H1072" s="3" t="str">
        <f ca="1">IFERROR(__xludf.DUMMYFUNCTION("""COMPUTED_VALUE"""),"car")</f>
        <v>car</v>
      </c>
      <c r="I1072" s="3" t="str">
        <f ca="1">IFERROR(__xludf.DUMMYFUNCTION("""COMPUTED_VALUE"""),"2055-06-12T19:07:15.697679Z")</f>
        <v>2055-06-12T19:07:15.697679Z</v>
      </c>
      <c r="J1072" s="3" t="str">
        <f ca="1">IFERROR(__xludf.DUMMYFUNCTION("""COMPUTED_VALUE"""),"2055-06-12T19:54:15.762Z")</f>
        <v>2055-06-12T19:54:15.762Z</v>
      </c>
      <c r="K1072" s="3" t="str">
        <f ca="1">IFERROR(__xludf.DUMMYFUNCTION("""COMPUTED_VALUE"""),"2055-06-12T19:34:36.762Z")</f>
        <v>2055-06-12T19:34:36.762Z</v>
      </c>
      <c r="L1072" s="3">
        <f ca="1">IFERROR(__xludf.DUMMYFUNCTION("""COMPUTED_VALUE"""),1)</f>
        <v>1</v>
      </c>
      <c r="M1072" s="3">
        <f ca="1">IFERROR(__xludf.DUMMYFUNCTION("""COMPUTED_VALUE"""),0)</f>
        <v>0</v>
      </c>
      <c r="N1072" s="3" t="str">
        <f ca="1">IFERROR(__xludf.DUMMYFUNCTION("""COMPUTED_VALUE"""),"2055-06-12T19:43:03.929367Z")</f>
        <v>2055-06-12T19:43:03.929367Z</v>
      </c>
      <c r="O1072" s="3" t="str">
        <f ca="1">IFERROR(__xludf.DUMMYFUNCTION("""COMPUTED_VALUE"""),"2055-06-12T20:05:15.963855Z")</f>
        <v>2055-06-12T20:05:15.963855Z</v>
      </c>
      <c r="P1072" s="3" t="str">
        <f ca="1">IFERROR(__xludf.DUMMYFUNCTION("""COMPUTED_VALUE"""),"2055-06-12T19:17:54.363938Z")</f>
        <v>2055-06-12T19:17:54.363938Z</v>
      </c>
      <c r="Q1072" s="3">
        <f ca="1">IFERROR(__xludf.DUMMYFUNCTION("""COMPUTED_VALUE"""),0)</f>
        <v>0</v>
      </c>
      <c r="R1072" s="3" t="str">
        <f ca="1">IFERROR(__xludf.DUMMYFUNCTION("""COMPUTED_VALUE"""),"2055-06-12T19:18:09.021964Z")</f>
        <v>2055-06-12T19:18:09.021964Z</v>
      </c>
      <c r="S1072" s="3" t="str">
        <f ca="1">IFERROR(__xludf.DUMMYFUNCTION("""COMPUTED_VALUE"""),"2055-06-12T19:38:07.001979Z")</f>
        <v>2055-06-12T19:38:07.001979Z</v>
      </c>
      <c r="T1072" s="3"/>
      <c r="U1072" s="4">
        <f ca="1">IFERROR(__xludf.DUMMYFUNCTION("""COMPUTED_VALUE"""),56777)</f>
        <v>56777</v>
      </c>
      <c r="V1072" s="3">
        <f ca="1">IFERROR(__xludf.DUMMYFUNCTION("""COMPUTED_VALUE"""),4.2)</f>
        <v>4.2</v>
      </c>
      <c r="W1072" s="3">
        <f ca="1">IFERROR(__xludf.DUMMYFUNCTION("""COMPUTED_VALUE"""),1000)</f>
        <v>1000</v>
      </c>
      <c r="X1072" s="3">
        <f ca="1">IFERROR(__xludf.DUMMYFUNCTION("""COMPUTED_VALUE"""),2826)</f>
        <v>2826</v>
      </c>
      <c r="Y1072" s="3">
        <f ca="1">IFERROR(__xludf.DUMMYFUNCTION("""COMPUTED_VALUE"""),1198)</f>
        <v>1198</v>
      </c>
      <c r="Z1072" s="3">
        <f ca="1">IFERROR(__xludf.DUMMYFUNCTION("""COMPUTED_VALUE"""),296)</f>
        <v>296</v>
      </c>
      <c r="AA1072" s="3">
        <f ca="1">IFERROR(__xludf.DUMMYFUNCTION("""COMPUTED_VALUE"""),1332)</f>
        <v>1332</v>
      </c>
      <c r="AB1072" s="3">
        <f ca="1">IFERROR(__xludf.DUMMYFUNCTION("""COMPUTED_VALUE"""),1)</f>
        <v>1</v>
      </c>
      <c r="AC1072" s="3">
        <f ca="1">IFERROR(__xludf.DUMMYFUNCTION("""COMPUTED_VALUE"""),2)</f>
        <v>2</v>
      </c>
      <c r="AD1072" s="3"/>
      <c r="AE1072" s="3" t="str">
        <f ca="1">IFERROR(__xludf.DUMMYFUNCTION("""COMPUTED_VALUE"""),"2055-06-12T15:43:03.929367Z")</f>
        <v>2055-06-12T15:43:03.929367Z</v>
      </c>
      <c r="AF1072" s="3" t="str">
        <f ca="1">IFERROR(__xludf.DUMMYFUNCTION("""COMPUTED_VALUE"""),"2055-06-12T16:05:15.963855Z")</f>
        <v>2055-06-12T16:05:15.963855Z</v>
      </c>
      <c r="AG1072" s="3" t="str">
        <f ca="1">IFERROR(__xludf.DUMMYFUNCTION("""COMPUTED_VALUE"""),"2055-06-12T15:17:54.363938Z")</f>
        <v>2055-06-12T15:17:54.363938Z</v>
      </c>
      <c r="AH1072" s="3" t="str">
        <f ca="1">IFERROR(__xludf.DUMMYFUNCTION("""COMPUTED_VALUE"""),"2055-06-12T15:38:07.001979Z")</f>
        <v>2055-06-12T15:38:07.001979Z</v>
      </c>
      <c r="AI1072" s="3">
        <f ca="1">IFERROR(__xludf.DUMMYFUNCTION("""COMPUTED_VALUE"""),4.54)</f>
        <v>4.54</v>
      </c>
      <c r="AJ1072" s="3">
        <f ca="1">IFERROR(__xludf.DUMMYFUNCTION("""COMPUTED_VALUE"""),2229)</f>
        <v>2229</v>
      </c>
      <c r="AK1072" s="3">
        <f ca="1">IFERROR(__xludf.DUMMYFUNCTION("""COMPUTED_VALUE"""),6580)</f>
        <v>6580</v>
      </c>
      <c r="AL1072" s="3"/>
      <c r="AM1072" s="3">
        <f>IFERROR(Raw_Data!AL1072 / Raw_Data!AK1072, "")</f>
        <v>0</v>
      </c>
      <c r="AN1072" s="3" t="str">
        <f>IF(ISBLANK(Raw_Data!AL1072), "No", "Yes")</f>
        <v>No</v>
      </c>
      <c r="AO1072" s="3">
        <f>IFERROR(Raw_Data!Z1072/60, "")</f>
        <v>4.9333333333333336</v>
      </c>
    </row>
    <row r="1073" spans="1:41" ht="13">
      <c r="A1073" s="3">
        <f ca="1">IFERROR(__xludf.DUMMYFUNCTION("""COMPUTED_VALUE"""),65)</f>
        <v>65</v>
      </c>
      <c r="B1073" s="3">
        <f ca="1">IFERROR(__xludf.DUMMYFUNCTION("""COMPUTED_VALUE"""),5)</f>
        <v>5</v>
      </c>
      <c r="C1073" s="3">
        <f ca="1">IFERROR(__xludf.DUMMYFUNCTION("""COMPUTED_VALUE"""),4050)</f>
        <v>4050</v>
      </c>
      <c r="D1073" s="3" t="str">
        <f ca="1">IFERROR(__xludf.DUMMYFUNCTION("""COMPUTED_VALUE"""),"Doorlanta")</f>
        <v>Doorlanta</v>
      </c>
      <c r="E1073" s="3" t="str">
        <f ca="1">IFERROR(__xludf.DUMMYFUNCTION("""COMPUTED_VALUE"""),"Galaxy A")</f>
        <v>Galaxy A</v>
      </c>
      <c r="F1073" s="3" t="str">
        <f ca="1">IFERROR(__xludf.DUMMYFUNCTION("""COMPUTED_VALUE"""),"Cate")</f>
        <v>Cate</v>
      </c>
      <c r="G1073" s="3">
        <f ca="1">IFERROR(__xludf.DUMMYFUNCTION("""COMPUTED_VALUE"""),0)</f>
        <v>0</v>
      </c>
      <c r="H1073" s="3" t="str">
        <f ca="1">IFERROR(__xludf.DUMMYFUNCTION("""COMPUTED_VALUE"""),"car")</f>
        <v>car</v>
      </c>
      <c r="I1073" s="3" t="str">
        <f ca="1">IFERROR(__xludf.DUMMYFUNCTION("""COMPUTED_VALUE"""),"2055-06-01T22:39:13.69841Z")</f>
        <v>2055-06-01T22:39:13.69841Z</v>
      </c>
      <c r="J1073" s="3" t="str">
        <f ca="1">IFERROR(__xludf.DUMMYFUNCTION("""COMPUTED_VALUE"""),"2055-06-01T23:34:13.774Z")</f>
        <v>2055-06-01T23:34:13.774Z</v>
      </c>
      <c r="K1073" s="3" t="str">
        <f ca="1">IFERROR(__xludf.DUMMYFUNCTION("""COMPUTED_VALUE"""),"2055-06-01T23:12:39.774Z")</f>
        <v>2055-06-01T23:12:39.774Z</v>
      </c>
      <c r="L1073" s="3">
        <f ca="1">IFERROR(__xludf.DUMMYFUNCTION("""COMPUTED_VALUE"""),1)</f>
        <v>1</v>
      </c>
      <c r="M1073" s="3">
        <f ca="1">IFERROR(__xludf.DUMMYFUNCTION("""COMPUTED_VALUE"""),0)</f>
        <v>0</v>
      </c>
      <c r="N1073" s="3" t="str">
        <f ca="1">IFERROR(__xludf.DUMMYFUNCTION("""COMPUTED_VALUE"""),"2055-06-01T22:49:20.516848Z")</f>
        <v>2055-06-01T22:49:20.516848Z</v>
      </c>
      <c r="O1073" s="3" t="str">
        <f ca="1">IFERROR(__xludf.DUMMYFUNCTION("""COMPUTED_VALUE"""),"2055-06-01T23:01:33.09066Z")</f>
        <v>2055-06-01T23:01:33.09066Z</v>
      </c>
      <c r="P1073" s="3" t="str">
        <f ca="1">IFERROR(__xludf.DUMMYFUNCTION("""COMPUTED_VALUE"""),"2055-06-01T22:39:27.473697Z")</f>
        <v>2055-06-01T22:39:27.473697Z</v>
      </c>
      <c r="Q1073" s="3">
        <f ca="1">IFERROR(__xludf.DUMMYFUNCTION("""COMPUTED_VALUE"""),0)</f>
        <v>0</v>
      </c>
      <c r="R1073" s="3" t="str">
        <f ca="1">IFERROR(__xludf.DUMMYFUNCTION("""COMPUTED_VALUE"""),"2055-06-01T22:40:16.83381Z")</f>
        <v>2055-06-01T22:40:16.83381Z</v>
      </c>
      <c r="S1073" s="3"/>
      <c r="T1073" s="3"/>
      <c r="U1073" s="4">
        <f ca="1">IFERROR(__xludf.DUMMYFUNCTION("""COMPUTED_VALUE"""),56766)</f>
        <v>56766</v>
      </c>
      <c r="V1073" s="3">
        <f ca="1">IFERROR(__xludf.DUMMYFUNCTION("""COMPUTED_VALUE"""),4.8)</f>
        <v>4.8</v>
      </c>
      <c r="W1073" s="3">
        <f ca="1">IFERROR(__xludf.DUMMYFUNCTION("""COMPUTED_VALUE"""),1000)</f>
        <v>1000</v>
      </c>
      <c r="X1073" s="3">
        <f ca="1">IFERROR(__xludf.DUMMYFUNCTION("""COMPUTED_VALUE"""),1277)</f>
        <v>1277</v>
      </c>
      <c r="Y1073" s="3"/>
      <c r="Z1073" s="3"/>
      <c r="AA1073" s="3">
        <f ca="1">IFERROR(__xludf.DUMMYFUNCTION("""COMPUTED_VALUE"""),733)</f>
        <v>733</v>
      </c>
      <c r="AB1073" s="3">
        <f ca="1">IFERROR(__xludf.DUMMYFUNCTION("""COMPUTED_VALUE"""),0)</f>
        <v>0</v>
      </c>
      <c r="AC1073" s="3">
        <f ca="1">IFERROR(__xludf.DUMMYFUNCTION("""COMPUTED_VALUE"""),3)</f>
        <v>3</v>
      </c>
      <c r="AD1073" s="3"/>
      <c r="AE1073" s="3" t="str">
        <f ca="1">IFERROR(__xludf.DUMMYFUNCTION("""COMPUTED_VALUE"""),"2055-06-01T18:49:20.516848Z")</f>
        <v>2055-06-01T18:49:20.516848Z</v>
      </c>
      <c r="AF1073" s="3" t="str">
        <f ca="1">IFERROR(__xludf.DUMMYFUNCTION("""COMPUTED_VALUE"""),"2055-06-01T19:01:33.09066Z")</f>
        <v>2055-06-01T19:01:33.09066Z</v>
      </c>
      <c r="AG1073" s="3" t="str">
        <f ca="1">IFERROR(__xludf.DUMMYFUNCTION("""COMPUTED_VALUE"""),"2055-06-01T18:39:27.473697Z")</f>
        <v>2055-06-01T18:39:27.473697Z</v>
      </c>
      <c r="AH1073" s="3"/>
      <c r="AI1073" s="3">
        <f ca="1">IFERROR(__xludf.DUMMYFUNCTION("""COMPUTED_VALUE"""),4.49)</f>
        <v>4.49</v>
      </c>
      <c r="AJ1073" s="3">
        <f ca="1">IFERROR(__xludf.DUMMYFUNCTION("""COMPUTED_VALUE"""),2315)</f>
        <v>2315</v>
      </c>
      <c r="AK1073" s="3">
        <f ca="1">IFERROR(__xludf.DUMMYFUNCTION("""COMPUTED_VALUE"""),7039)</f>
        <v>7039</v>
      </c>
      <c r="AL1073" s="3">
        <f ca="1">IFERROR(__xludf.DUMMYFUNCTION("""COMPUTED_VALUE"""),763)</f>
        <v>763</v>
      </c>
      <c r="AM1073" s="3">
        <f>IFERROR(Raw_Data!AL1073 / Raw_Data!AK1073, "")</f>
        <v>0.10839607898849268</v>
      </c>
      <c r="AN1073" s="3" t="str">
        <f>IF(ISBLANK(Raw_Data!AL1073), "No", "Yes")</f>
        <v>Yes</v>
      </c>
      <c r="AO1073" s="3">
        <f>IFERROR(Raw_Data!Z1073/60, "")</f>
        <v>0</v>
      </c>
    </row>
    <row r="1074" spans="1:41" ht="13">
      <c r="A1074" s="3">
        <f ca="1">IFERROR(__xludf.DUMMYFUNCTION("""COMPUTED_VALUE"""),394)</f>
        <v>394</v>
      </c>
      <c r="B1074" s="3">
        <f ca="1">IFERROR(__xludf.DUMMYFUNCTION("""COMPUTED_VALUE"""),4)</f>
        <v>4</v>
      </c>
      <c r="C1074" s="3">
        <f ca="1">IFERROR(__xludf.DUMMYFUNCTION("""COMPUTED_VALUE"""),4050)</f>
        <v>4050</v>
      </c>
      <c r="D1074" s="3" t="str">
        <f ca="1">IFERROR(__xludf.DUMMYFUNCTION("""COMPUTED_VALUE"""),"Doorlanta")</f>
        <v>Doorlanta</v>
      </c>
      <c r="E1074" s="3" t="str">
        <f ca="1">IFERROR(__xludf.DUMMYFUNCTION("""COMPUTED_VALUE"""),"Galaxy A")</f>
        <v>Galaxy A</v>
      </c>
      <c r="F1074" s="3" t="str">
        <f ca="1">IFERROR(__xludf.DUMMYFUNCTION("""COMPUTED_VALUE"""),"Elon")</f>
        <v>Elon</v>
      </c>
      <c r="G1074" s="3">
        <f ca="1">IFERROR(__xludf.DUMMYFUNCTION("""COMPUTED_VALUE"""),0)</f>
        <v>0</v>
      </c>
      <c r="H1074" s="3" t="str">
        <f ca="1">IFERROR(__xludf.DUMMYFUNCTION("""COMPUTED_VALUE"""),"car")</f>
        <v>car</v>
      </c>
      <c r="I1074" s="3" t="str">
        <f ca="1">IFERROR(__xludf.DUMMYFUNCTION("""COMPUTED_VALUE"""),"2055-06-04T02:04:16.879237Z")</f>
        <v>2055-06-04T02:04:16.879237Z</v>
      </c>
      <c r="J1074" s="3" t="str">
        <f ca="1">IFERROR(__xludf.DUMMYFUNCTION("""COMPUTED_VALUE"""),"2055-06-04T03:01:12.969Z")</f>
        <v>2055-06-04T03:01:12.969Z</v>
      </c>
      <c r="K1074" s="3" t="str">
        <f ca="1">IFERROR(__xludf.DUMMYFUNCTION("""COMPUTED_VALUE"""),"2055-06-04T02:39:18.969Z")</f>
        <v>2055-06-04T02:39:18.969Z</v>
      </c>
      <c r="L1074" s="3">
        <f ca="1">IFERROR(__xludf.DUMMYFUNCTION("""COMPUTED_VALUE"""),1)</f>
        <v>1</v>
      </c>
      <c r="M1074" s="3">
        <f ca="1">IFERROR(__xludf.DUMMYFUNCTION("""COMPUTED_VALUE"""),0)</f>
        <v>0</v>
      </c>
      <c r="N1074" s="3" t="str">
        <f ca="1">IFERROR(__xludf.DUMMYFUNCTION("""COMPUTED_VALUE"""),"2055-06-04T02:38:41.192338Z")</f>
        <v>2055-06-04T02:38:41.192338Z</v>
      </c>
      <c r="O1074" s="3" t="str">
        <f ca="1">IFERROR(__xludf.DUMMYFUNCTION("""COMPUTED_VALUE"""),"2055-06-04T02:51:13.279691Z")</f>
        <v>2055-06-04T02:51:13.279691Z</v>
      </c>
      <c r="P1074" s="3" t="str">
        <f ca="1">IFERROR(__xludf.DUMMYFUNCTION("""COMPUTED_VALUE"""),"2055-06-04T02:10:27.294607Z")</f>
        <v>2055-06-04T02:10:27.294607Z</v>
      </c>
      <c r="Q1074" s="3">
        <f ca="1">IFERROR(__xludf.DUMMYFUNCTION("""COMPUTED_VALUE"""),0)</f>
        <v>0</v>
      </c>
      <c r="R1074" s="3" t="str">
        <f ca="1">IFERROR(__xludf.DUMMYFUNCTION("""COMPUTED_VALUE"""),"2055-06-04T02:10:34.691435Z")</f>
        <v>2055-06-04T02:10:34.691435Z</v>
      </c>
      <c r="S1074" s="3" t="str">
        <f ca="1">IFERROR(__xludf.DUMMYFUNCTION("""COMPUTED_VALUE"""),"2055-06-04T02:29:40.478557Z")</f>
        <v>2055-06-04T02:29:40.478557Z</v>
      </c>
      <c r="T1074" s="3"/>
      <c r="U1074" s="4">
        <f ca="1">IFERROR(__xludf.DUMMYFUNCTION("""COMPUTED_VALUE"""),56768)</f>
        <v>56768</v>
      </c>
      <c r="V1074" s="3">
        <f ca="1">IFERROR(__xludf.DUMMYFUNCTION("""COMPUTED_VALUE"""),4.1)</f>
        <v>4.0999999999999996</v>
      </c>
      <c r="W1074" s="3">
        <f ca="1">IFERROR(__xludf.DUMMYFUNCTION("""COMPUTED_VALUE"""),1000)</f>
        <v>1000</v>
      </c>
      <c r="X1074" s="3">
        <f ca="1">IFERROR(__xludf.DUMMYFUNCTION("""COMPUTED_VALUE"""),2439)</f>
        <v>2439</v>
      </c>
      <c r="Y1074" s="3">
        <f ca="1">IFERROR(__xludf.DUMMYFUNCTION("""COMPUTED_VALUE"""),1146)</f>
        <v>1146</v>
      </c>
      <c r="Z1074" s="3">
        <f ca="1">IFERROR(__xludf.DUMMYFUNCTION("""COMPUTED_VALUE"""),541)</f>
        <v>541</v>
      </c>
      <c r="AA1074" s="3">
        <f ca="1">IFERROR(__xludf.DUMMYFUNCTION("""COMPUTED_VALUE"""),752)</f>
        <v>752</v>
      </c>
      <c r="AB1074" s="3">
        <f ca="1">IFERROR(__xludf.DUMMYFUNCTION("""COMPUTED_VALUE"""),0)</f>
        <v>0</v>
      </c>
      <c r="AC1074" s="3">
        <f ca="1">IFERROR(__xludf.DUMMYFUNCTION("""COMPUTED_VALUE"""),1)</f>
        <v>1</v>
      </c>
      <c r="AD1074" s="3" t="str">
        <f ca="1">IFERROR(__xludf.DUMMYFUNCTION("""COMPUTED_VALUE"""),"late")</f>
        <v>late</v>
      </c>
      <c r="AE1074" s="3" t="str">
        <f ca="1">IFERROR(__xludf.DUMMYFUNCTION("""COMPUTED_VALUE"""),"2055-06-03T22:38:41.192338Z")</f>
        <v>2055-06-03T22:38:41.192338Z</v>
      </c>
      <c r="AF1074" s="3" t="str">
        <f ca="1">IFERROR(__xludf.DUMMYFUNCTION("""COMPUTED_VALUE"""),"2055-06-03T22:51:13.279691Z")</f>
        <v>2055-06-03T22:51:13.279691Z</v>
      </c>
      <c r="AG1074" s="3" t="str">
        <f ca="1">IFERROR(__xludf.DUMMYFUNCTION("""COMPUTED_VALUE"""),"2055-06-03T22:10:27.294607Z")</f>
        <v>2055-06-03T22:10:27.294607Z</v>
      </c>
      <c r="AH1074" s="3" t="str">
        <f ca="1">IFERROR(__xludf.DUMMYFUNCTION("""COMPUTED_VALUE"""),"2055-06-03T22:29:40.478557Z")</f>
        <v>2055-06-03T22:29:40.478557Z</v>
      </c>
      <c r="AI1074" s="3">
        <f ca="1">IFERROR(__xludf.DUMMYFUNCTION("""COMPUTED_VALUE"""),4.62)</f>
        <v>4.62</v>
      </c>
      <c r="AJ1074" s="3">
        <f ca="1">IFERROR(__xludf.DUMMYFUNCTION("""COMPUTED_VALUE"""),259)</f>
        <v>259</v>
      </c>
      <c r="AK1074" s="3">
        <f ca="1">IFERROR(__xludf.DUMMYFUNCTION("""COMPUTED_VALUE"""),604)</f>
        <v>604</v>
      </c>
      <c r="AL1074" s="3">
        <f ca="1">IFERROR(__xludf.DUMMYFUNCTION("""COMPUTED_VALUE"""),21)</f>
        <v>21</v>
      </c>
      <c r="AM1074" s="3">
        <f>IFERROR(Raw_Data!AL1074 / Raw_Data!AK1074, "")</f>
        <v>3.4768211920529798E-2</v>
      </c>
      <c r="AN1074" s="3" t="str">
        <f>IF(ISBLANK(Raw_Data!AL1074), "No", "Yes")</f>
        <v>Yes</v>
      </c>
      <c r="AO1074" s="3">
        <f>IFERROR(Raw_Data!Z1074/60, "")</f>
        <v>9.0166666666666675</v>
      </c>
    </row>
    <row r="1075" spans="1:41" ht="13">
      <c r="A1075" s="3">
        <f ca="1">IFERROR(__xludf.DUMMYFUNCTION("""COMPUTED_VALUE"""),519)</f>
        <v>519</v>
      </c>
      <c r="B1075" s="3"/>
      <c r="C1075" s="3">
        <f ca="1">IFERROR(__xludf.DUMMYFUNCTION("""COMPUTED_VALUE"""),4050)</f>
        <v>4050</v>
      </c>
      <c r="D1075" s="3" t="str">
        <f ca="1">IFERROR(__xludf.DUMMYFUNCTION("""COMPUTED_VALUE"""),"Doorlanta")</f>
        <v>Doorlanta</v>
      </c>
      <c r="E1075" s="3" t="str">
        <f ca="1">IFERROR(__xludf.DUMMYFUNCTION("""COMPUTED_VALUE"""),"Galaxy A")</f>
        <v>Galaxy A</v>
      </c>
      <c r="F1075" s="3" t="str">
        <f ca="1">IFERROR(__xludf.DUMMYFUNCTION("""COMPUTED_VALUE"""),"Elon")</f>
        <v>Elon</v>
      </c>
      <c r="G1075" s="3">
        <f ca="1">IFERROR(__xludf.DUMMYFUNCTION("""COMPUTED_VALUE"""),0)</f>
        <v>0</v>
      </c>
      <c r="H1075" s="3" t="str">
        <f ca="1">IFERROR(__xludf.DUMMYFUNCTION("""COMPUTED_VALUE"""),"car")</f>
        <v>car</v>
      </c>
      <c r="I1075" s="3" t="str">
        <f ca="1">IFERROR(__xludf.DUMMYFUNCTION("""COMPUTED_VALUE"""),"2055-06-05T00:59:26.537464Z")</f>
        <v>2055-06-05T00:59:26.537464Z</v>
      </c>
      <c r="J1075" s="3" t="str">
        <f ca="1">IFERROR(__xludf.DUMMYFUNCTION("""COMPUTED_VALUE"""),"2055-06-05T02:15:47.599Z")</f>
        <v>2055-06-05T02:15:47.599Z</v>
      </c>
      <c r="K1075" s="3" t="str">
        <f ca="1">IFERROR(__xludf.DUMMYFUNCTION("""COMPUTED_VALUE"""),"2055-06-05T01:49:58.599Z")</f>
        <v>2055-06-05T01:49:58.599Z</v>
      </c>
      <c r="L1075" s="3">
        <f ca="1">IFERROR(__xludf.DUMMYFUNCTION("""COMPUTED_VALUE"""),1)</f>
        <v>1</v>
      </c>
      <c r="M1075" s="3">
        <f ca="1">IFERROR(__xludf.DUMMYFUNCTION("""COMPUTED_VALUE"""),0)</f>
        <v>0</v>
      </c>
      <c r="N1075" s="3" t="str">
        <f ca="1">IFERROR(__xludf.DUMMYFUNCTION("""COMPUTED_VALUE"""),"2055-06-05T01:30:07.611068Z")</f>
        <v>2055-06-05T01:30:07.611068Z</v>
      </c>
      <c r="O1075" s="3" t="str">
        <f ca="1">IFERROR(__xludf.DUMMYFUNCTION("""COMPUTED_VALUE"""),"2055-06-05T01:41:08.536207Z")</f>
        <v>2055-06-05T01:41:08.536207Z</v>
      </c>
      <c r="P1075" s="3" t="str">
        <f ca="1">IFERROR(__xludf.DUMMYFUNCTION("""COMPUTED_VALUE"""),"2055-06-05T01:14:07.698571Z")</f>
        <v>2055-06-05T01:14:07.698571Z</v>
      </c>
      <c r="Q1075" s="3">
        <f ca="1">IFERROR(__xludf.DUMMYFUNCTION("""COMPUTED_VALUE"""),0)</f>
        <v>0</v>
      </c>
      <c r="R1075" s="3" t="str">
        <f ca="1">IFERROR(__xludf.DUMMYFUNCTION("""COMPUTED_VALUE"""),"2055-06-05T01:14:40.778649Z")</f>
        <v>2055-06-05T01:14:40.778649Z</v>
      </c>
      <c r="S1075" s="3" t="str">
        <f ca="1">IFERROR(__xludf.DUMMYFUNCTION("""COMPUTED_VALUE"""),"2055-06-05T01:25:13.278106Z")</f>
        <v>2055-06-05T01:25:13.278106Z</v>
      </c>
      <c r="T1075" s="3"/>
      <c r="U1075" s="4">
        <f ca="1">IFERROR(__xludf.DUMMYFUNCTION("""COMPUTED_VALUE"""),56769)</f>
        <v>56769</v>
      </c>
      <c r="V1075" s="3">
        <f ca="1">IFERROR(__xludf.DUMMYFUNCTION("""COMPUTED_VALUE"""),4.3)</f>
        <v>4.3</v>
      </c>
      <c r="W1075" s="3">
        <f ca="1">IFERROR(__xludf.DUMMYFUNCTION("""COMPUTED_VALUE"""),1000)</f>
        <v>1000</v>
      </c>
      <c r="X1075" s="3">
        <f ca="1">IFERROR(__xludf.DUMMYFUNCTION("""COMPUTED_VALUE"""),1588)</f>
        <v>1588</v>
      </c>
      <c r="Y1075" s="3">
        <f ca="1">IFERROR(__xludf.DUMMYFUNCTION("""COMPUTED_VALUE"""),633)</f>
        <v>633</v>
      </c>
      <c r="Z1075" s="3">
        <f ca="1">IFERROR(__xludf.DUMMYFUNCTION("""COMPUTED_VALUE"""),294)</f>
        <v>294</v>
      </c>
      <c r="AA1075" s="3">
        <f ca="1">IFERROR(__xludf.DUMMYFUNCTION("""COMPUTED_VALUE"""),661)</f>
        <v>661</v>
      </c>
      <c r="AB1075" s="3">
        <f ca="1">IFERROR(__xludf.DUMMYFUNCTION("""COMPUTED_VALUE"""),1)</f>
        <v>1</v>
      </c>
      <c r="AC1075" s="3">
        <f ca="1">IFERROR(__xludf.DUMMYFUNCTION("""COMPUTED_VALUE"""),1)</f>
        <v>1</v>
      </c>
      <c r="AD1075" s="3"/>
      <c r="AE1075" s="3" t="str">
        <f ca="1">IFERROR(__xludf.DUMMYFUNCTION("""COMPUTED_VALUE"""),"2055-06-04T21:30:07.611068Z")</f>
        <v>2055-06-04T21:30:07.611068Z</v>
      </c>
      <c r="AF1075" s="3" t="str">
        <f ca="1">IFERROR(__xludf.DUMMYFUNCTION("""COMPUTED_VALUE"""),"2055-06-04T21:41:08.536207Z")</f>
        <v>2055-06-04T21:41:08.536207Z</v>
      </c>
      <c r="AG1075" s="3" t="str">
        <f ca="1">IFERROR(__xludf.DUMMYFUNCTION("""COMPUTED_VALUE"""),"2055-06-04T21:14:07.698571Z")</f>
        <v>2055-06-04T21:14:07.698571Z</v>
      </c>
      <c r="AH1075" s="3" t="str">
        <f ca="1">IFERROR(__xludf.DUMMYFUNCTION("""COMPUTED_VALUE"""),"2055-06-04T21:25:13.278106Z")</f>
        <v>2055-06-04T21:25:13.278106Z</v>
      </c>
      <c r="AI1075" s="3">
        <f ca="1">IFERROR(__xludf.DUMMYFUNCTION("""COMPUTED_VALUE"""),4.62)</f>
        <v>4.62</v>
      </c>
      <c r="AJ1075" s="3">
        <f ca="1">IFERROR(__xludf.DUMMYFUNCTION("""COMPUTED_VALUE"""),259)</f>
        <v>259</v>
      </c>
      <c r="AK1075" s="3">
        <f ca="1">IFERROR(__xludf.DUMMYFUNCTION("""COMPUTED_VALUE"""),604)</f>
        <v>604</v>
      </c>
      <c r="AL1075" s="3">
        <f ca="1">IFERROR(__xludf.DUMMYFUNCTION("""COMPUTED_VALUE"""),21)</f>
        <v>21</v>
      </c>
      <c r="AM1075" s="3">
        <f>IFERROR(Raw_Data!AL1075 / Raw_Data!AK1075, "")</f>
        <v>3.4768211920529798E-2</v>
      </c>
      <c r="AN1075" s="3" t="str">
        <f>IF(ISBLANK(Raw_Data!AL1075), "No", "Yes")</f>
        <v>Yes</v>
      </c>
      <c r="AO1075" s="3">
        <f>IFERROR(Raw_Data!Z1075/60, "")</f>
        <v>4.9000000000000004</v>
      </c>
    </row>
    <row r="1076" spans="1:41" ht="13">
      <c r="A1076" s="3">
        <f ca="1">IFERROR(__xludf.DUMMYFUNCTION("""COMPUTED_VALUE"""),473)</f>
        <v>473</v>
      </c>
      <c r="B1076" s="3"/>
      <c r="C1076" s="3">
        <f ca="1">IFERROR(__xludf.DUMMYFUNCTION("""COMPUTED_VALUE"""),4050)</f>
        <v>4050</v>
      </c>
      <c r="D1076" s="3" t="str">
        <f ca="1">IFERROR(__xludf.DUMMYFUNCTION("""COMPUTED_VALUE"""),"Doorlanta")</f>
        <v>Doorlanta</v>
      </c>
      <c r="E1076" s="3" t="str">
        <f ca="1">IFERROR(__xludf.DUMMYFUNCTION("""COMPUTED_VALUE"""),"Galaxy A")</f>
        <v>Galaxy A</v>
      </c>
      <c r="F1076" s="3" t="str">
        <f ca="1">IFERROR(__xludf.DUMMYFUNCTION("""COMPUTED_VALUE"""),"Merissa")</f>
        <v>Merissa</v>
      </c>
      <c r="G1076" s="3">
        <f ca="1">IFERROR(__xludf.DUMMYFUNCTION("""COMPUTED_VALUE"""),0)</f>
        <v>0</v>
      </c>
      <c r="H1076" s="3" t="str">
        <f ca="1">IFERROR(__xludf.DUMMYFUNCTION("""COMPUTED_VALUE"""),"car")</f>
        <v>car</v>
      </c>
      <c r="I1076" s="3" t="str">
        <f ca="1">IFERROR(__xludf.DUMMYFUNCTION("""COMPUTED_VALUE"""),"2055-06-04T22:42:41.318121Z")</f>
        <v>2055-06-04T22:42:41.318121Z</v>
      </c>
      <c r="J1076" s="3" t="str">
        <f ca="1">IFERROR(__xludf.DUMMYFUNCTION("""COMPUTED_VALUE"""),"2055-06-04T23:45:21.417Z")</f>
        <v>2055-06-04T23:45:21.417Z</v>
      </c>
      <c r="K1076" s="3" t="str">
        <f ca="1">IFERROR(__xludf.DUMMYFUNCTION("""COMPUTED_VALUE"""),"2055-06-04T23:23:27.417Z")</f>
        <v>2055-06-04T23:23:27.417Z</v>
      </c>
      <c r="L1076" s="3">
        <f ca="1">IFERROR(__xludf.DUMMYFUNCTION("""COMPUTED_VALUE"""),1)</f>
        <v>1</v>
      </c>
      <c r="M1076" s="3">
        <f ca="1">IFERROR(__xludf.DUMMYFUNCTION("""COMPUTED_VALUE"""),0)</f>
        <v>0</v>
      </c>
      <c r="N1076" s="3" t="str">
        <f ca="1">IFERROR(__xludf.DUMMYFUNCTION("""COMPUTED_VALUE"""),"2055-06-04T23:13:28.072271Z")</f>
        <v>2055-06-04T23:13:28.072271Z</v>
      </c>
      <c r="O1076" s="3" t="str">
        <f ca="1">IFERROR(__xludf.DUMMYFUNCTION("""COMPUTED_VALUE"""),"2055-06-04T23:28:15.676836Z")</f>
        <v>2055-06-04T23:28:15.676836Z</v>
      </c>
      <c r="P1076" s="3" t="str">
        <f ca="1">IFERROR(__xludf.DUMMYFUNCTION("""COMPUTED_VALUE"""),"2055-06-04T23:01:47.481907Z")</f>
        <v>2055-06-04T23:01:47.481907Z</v>
      </c>
      <c r="Q1076" s="3">
        <f ca="1">IFERROR(__xludf.DUMMYFUNCTION("""COMPUTED_VALUE"""),0)</f>
        <v>0</v>
      </c>
      <c r="R1076" s="3" t="str">
        <f ca="1">IFERROR(__xludf.DUMMYFUNCTION("""COMPUTED_VALUE"""),"2055-06-04T23:02:22.662407Z")</f>
        <v>2055-06-04T23:02:22.662407Z</v>
      </c>
      <c r="S1076" s="3" t="str">
        <f ca="1">IFERROR(__xludf.DUMMYFUNCTION("""COMPUTED_VALUE"""),"2055-06-04T23:12:11.450448Z")</f>
        <v>2055-06-04T23:12:11.450448Z</v>
      </c>
      <c r="T1076" s="3"/>
      <c r="U1076" s="4">
        <f ca="1">IFERROR(__xludf.DUMMYFUNCTION("""COMPUTED_VALUE"""),56769)</f>
        <v>56769</v>
      </c>
      <c r="V1076" s="3">
        <f ca="1">IFERROR(__xludf.DUMMYFUNCTION("""COMPUTED_VALUE"""),3.753117198)</f>
        <v>3.753117198</v>
      </c>
      <c r="W1076" s="3">
        <f ca="1">IFERROR(__xludf.DUMMYFUNCTION("""COMPUTED_VALUE"""),1000)</f>
        <v>1000</v>
      </c>
      <c r="X1076" s="3">
        <f ca="1">IFERROR(__xludf.DUMMYFUNCTION("""COMPUTED_VALUE"""),1553)</f>
        <v>1553</v>
      </c>
      <c r="Y1076" s="3">
        <f ca="1">IFERROR(__xludf.DUMMYFUNCTION("""COMPUTED_VALUE"""),589)</f>
        <v>589</v>
      </c>
      <c r="Z1076" s="3">
        <f ca="1">IFERROR(__xludf.DUMMYFUNCTION("""COMPUTED_VALUE"""),77)</f>
        <v>77</v>
      </c>
      <c r="AA1076" s="3">
        <f ca="1">IFERROR(__xludf.DUMMYFUNCTION("""COMPUTED_VALUE"""),887)</f>
        <v>887</v>
      </c>
      <c r="AB1076" s="3">
        <f ca="1">IFERROR(__xludf.DUMMYFUNCTION("""COMPUTED_VALUE"""),0)</f>
        <v>0</v>
      </c>
      <c r="AC1076" s="3">
        <f ca="1">IFERROR(__xludf.DUMMYFUNCTION("""COMPUTED_VALUE"""),1)</f>
        <v>1</v>
      </c>
      <c r="AD1076" s="3" t="str">
        <f ca="1">IFERROR(__xludf.DUMMYFUNCTION("""COMPUTED_VALUE"""),"late")</f>
        <v>late</v>
      </c>
      <c r="AE1076" s="3" t="str">
        <f ca="1">IFERROR(__xludf.DUMMYFUNCTION("""COMPUTED_VALUE"""),"2055-06-04T19:13:28.072271Z")</f>
        <v>2055-06-04T19:13:28.072271Z</v>
      </c>
      <c r="AF1076" s="3" t="str">
        <f ca="1">IFERROR(__xludf.DUMMYFUNCTION("""COMPUTED_VALUE"""),"2055-06-04T19:28:15.676836Z")</f>
        <v>2055-06-04T19:28:15.676836Z</v>
      </c>
      <c r="AG1076" s="3" t="str">
        <f ca="1">IFERROR(__xludf.DUMMYFUNCTION("""COMPUTED_VALUE"""),"2055-06-04T19:01:47.481907Z")</f>
        <v>2055-06-04T19:01:47.481907Z</v>
      </c>
      <c r="AH1076" s="3" t="str">
        <f ca="1">IFERROR(__xludf.DUMMYFUNCTION("""COMPUTED_VALUE"""),"2055-06-04T19:12:11.450448Z")</f>
        <v>2055-06-04T19:12:11.450448Z</v>
      </c>
      <c r="AI1076" s="3">
        <f ca="1">IFERROR(__xludf.DUMMYFUNCTION("""COMPUTED_VALUE"""),4.58)</f>
        <v>4.58</v>
      </c>
      <c r="AJ1076" s="3">
        <f ca="1">IFERROR(__xludf.DUMMYFUNCTION("""COMPUTED_VALUE"""),679)</f>
        <v>679</v>
      </c>
      <c r="AK1076" s="3">
        <f ca="1">IFERROR(__xludf.DUMMYFUNCTION("""COMPUTED_VALUE"""),2371)</f>
        <v>2371</v>
      </c>
      <c r="AL1076" s="3">
        <f ca="1">IFERROR(__xludf.DUMMYFUNCTION("""COMPUTED_VALUE"""),1830)</f>
        <v>1830</v>
      </c>
      <c r="AM1076" s="3">
        <f>IFERROR(Raw_Data!AL1076 / Raw_Data!AK1076, "")</f>
        <v>0.7718262336566849</v>
      </c>
      <c r="AN1076" s="3" t="str">
        <f>IF(ISBLANK(Raw_Data!AL1076), "No", "Yes")</f>
        <v>Yes</v>
      </c>
      <c r="AO1076" s="3">
        <f>IFERROR(Raw_Data!Z1076/60, "")</f>
        <v>1.2833333333333334</v>
      </c>
    </row>
    <row r="1077" spans="1:41" ht="13">
      <c r="A1077" s="3">
        <f ca="1">IFERROR(__xludf.DUMMYFUNCTION("""COMPUTED_VALUE"""),741)</f>
        <v>741</v>
      </c>
      <c r="B1077" s="3">
        <f ca="1">IFERROR(__xludf.DUMMYFUNCTION("""COMPUTED_VALUE"""),5)</f>
        <v>5</v>
      </c>
      <c r="C1077" s="3">
        <f ca="1">IFERROR(__xludf.DUMMYFUNCTION("""COMPUTED_VALUE"""),4001)</f>
        <v>4001</v>
      </c>
      <c r="D1077" s="3" t="str">
        <f ca="1">IFERROR(__xludf.DUMMYFUNCTION("""COMPUTED_VALUE"""),"Dashattan")</f>
        <v>Dashattan</v>
      </c>
      <c r="E1077" s="3" t="str">
        <f ca="1">IFERROR(__xludf.DUMMYFUNCTION("""COMPUTED_VALUE"""),"Galaxy A")</f>
        <v>Galaxy A</v>
      </c>
      <c r="F1077" s="3" t="str">
        <f ca="1">IFERROR(__xludf.DUMMYFUNCTION("""COMPUTED_VALUE"""),"Sean")</f>
        <v>Sean</v>
      </c>
      <c r="G1077" s="3">
        <f ca="1">IFERROR(__xludf.DUMMYFUNCTION("""COMPUTED_VALUE"""),0)</f>
        <v>0</v>
      </c>
      <c r="H1077" s="3" t="str">
        <f ca="1">IFERROR(__xludf.DUMMYFUNCTION("""COMPUTED_VALUE"""),"bicycle")</f>
        <v>bicycle</v>
      </c>
      <c r="I1077" s="3" t="str">
        <f ca="1">IFERROR(__xludf.DUMMYFUNCTION("""COMPUTED_VALUE"""),"2055-06-06T16:38:53.725236Z")</f>
        <v>2055-06-06T16:38:53.725236Z</v>
      </c>
      <c r="J1077" s="3" t="str">
        <f ca="1">IFERROR(__xludf.DUMMYFUNCTION("""COMPUTED_VALUE"""),"2055-06-06T17:30:54.787Z")</f>
        <v>2055-06-06T17:30:54.787Z</v>
      </c>
      <c r="K1077" s="3" t="str">
        <f ca="1">IFERROR(__xludf.DUMMYFUNCTION("""COMPUTED_VALUE"""),"2055-06-06T17:19:00.787Z")</f>
        <v>2055-06-06T17:19:00.787Z</v>
      </c>
      <c r="L1077" s="3">
        <f ca="1">IFERROR(__xludf.DUMMYFUNCTION("""COMPUTED_VALUE"""),1)</f>
        <v>1</v>
      </c>
      <c r="M1077" s="3">
        <f ca="1">IFERROR(__xludf.DUMMYFUNCTION("""COMPUTED_VALUE"""),0)</f>
        <v>0</v>
      </c>
      <c r="N1077" s="3" t="str">
        <f ca="1">IFERROR(__xludf.DUMMYFUNCTION("""COMPUTED_VALUE"""),"2055-06-06T17:04:32.275544Z")</f>
        <v>2055-06-06T17:04:32.275544Z</v>
      </c>
      <c r="O1077" s="3" t="str">
        <f ca="1">IFERROR(__xludf.DUMMYFUNCTION("""COMPUTED_VALUE"""),"2055-06-06T17:14:42.479898Z")</f>
        <v>2055-06-06T17:14:42.479898Z</v>
      </c>
      <c r="P1077" s="3" t="str">
        <f ca="1">IFERROR(__xludf.DUMMYFUNCTION("""COMPUTED_VALUE"""),"2055-06-06T16:41:14.508243Z")</f>
        <v>2055-06-06T16:41:14.508243Z</v>
      </c>
      <c r="Q1077" s="3">
        <f ca="1">IFERROR(__xludf.DUMMYFUNCTION("""COMPUTED_VALUE"""),0)</f>
        <v>0</v>
      </c>
      <c r="R1077" s="3" t="str">
        <f ca="1">IFERROR(__xludf.DUMMYFUNCTION("""COMPUTED_VALUE"""),"2055-06-06T16:41:31.192496Z")</f>
        <v>2055-06-06T16:41:31.192496Z</v>
      </c>
      <c r="S1077" s="3" t="str">
        <f ca="1">IFERROR(__xludf.DUMMYFUNCTION("""COMPUTED_VALUE"""),"2055-06-06T16:50:32.471634Z")</f>
        <v>2055-06-06T16:50:32.471634Z</v>
      </c>
      <c r="T1077" s="3"/>
      <c r="U1077" s="4">
        <f ca="1">IFERROR(__xludf.DUMMYFUNCTION("""COMPUTED_VALUE"""),56771)</f>
        <v>56771</v>
      </c>
      <c r="V1077" s="3">
        <f ca="1">IFERROR(__xludf.DUMMYFUNCTION("""COMPUTED_VALUE"""),4.3)</f>
        <v>4.3</v>
      </c>
      <c r="W1077" s="3">
        <f ca="1">IFERROR(__xludf.DUMMYFUNCTION("""COMPUTED_VALUE"""),1000)</f>
        <v>1000</v>
      </c>
      <c r="X1077" s="3">
        <f ca="1">IFERROR(__xludf.DUMMYFUNCTION("""COMPUTED_VALUE"""),1991)</f>
        <v>1991</v>
      </c>
      <c r="Y1077" s="3">
        <f ca="1">IFERROR(__xludf.DUMMYFUNCTION("""COMPUTED_VALUE"""),541)</f>
        <v>541</v>
      </c>
      <c r="Z1077" s="3">
        <f ca="1">IFERROR(__xludf.DUMMYFUNCTION("""COMPUTED_VALUE"""),840)</f>
        <v>840</v>
      </c>
      <c r="AA1077" s="3">
        <f ca="1">IFERROR(__xludf.DUMMYFUNCTION("""COMPUTED_VALUE"""),610)</f>
        <v>610</v>
      </c>
      <c r="AB1077" s="3">
        <f ca="1">IFERROR(__xludf.DUMMYFUNCTION("""COMPUTED_VALUE"""),0)</f>
        <v>0</v>
      </c>
      <c r="AC1077" s="3">
        <f ca="1">IFERROR(__xludf.DUMMYFUNCTION("""COMPUTED_VALUE"""),1)</f>
        <v>1</v>
      </c>
      <c r="AD1077" s="3" t="str">
        <f ca="1">IFERROR(__xludf.DUMMYFUNCTION("""COMPUTED_VALUE"""),"on time")</f>
        <v>on time</v>
      </c>
      <c r="AE1077" s="3" t="str">
        <f ca="1">IFERROR(__xludf.DUMMYFUNCTION("""COMPUTED_VALUE"""),"2055-06-06T13:04:32.275544Z")</f>
        <v>2055-06-06T13:04:32.275544Z</v>
      </c>
      <c r="AF1077" s="3" t="str">
        <f ca="1">IFERROR(__xludf.DUMMYFUNCTION("""COMPUTED_VALUE"""),"2055-06-06T13:14:42.479898Z")</f>
        <v>2055-06-06T13:14:42.479898Z</v>
      </c>
      <c r="AG1077" s="3" t="str">
        <f ca="1">IFERROR(__xludf.DUMMYFUNCTION("""COMPUTED_VALUE"""),"2055-06-06T12:41:14.508243Z")</f>
        <v>2055-06-06T12:41:14.508243Z</v>
      </c>
      <c r="AH1077" s="3" t="str">
        <f ca="1">IFERROR(__xludf.DUMMYFUNCTION("""COMPUTED_VALUE"""),"2055-06-06T12:50:32.471634Z")</f>
        <v>2055-06-06T12:50:32.471634Z</v>
      </c>
      <c r="AI1077" s="3">
        <f ca="1">IFERROR(__xludf.DUMMYFUNCTION("""COMPUTED_VALUE"""),4.52)</f>
        <v>4.5199999999999996</v>
      </c>
      <c r="AJ1077" s="3">
        <f ca="1">IFERROR(__xludf.DUMMYFUNCTION("""COMPUTED_VALUE"""),183)</f>
        <v>183</v>
      </c>
      <c r="AK1077" s="3">
        <f ca="1">IFERROR(__xludf.DUMMYFUNCTION("""COMPUTED_VALUE"""),522)</f>
        <v>522</v>
      </c>
      <c r="AL1077" s="3"/>
      <c r="AM1077" s="3">
        <f>IFERROR(Raw_Data!AL1077 / Raw_Data!AK1077, "")</f>
        <v>0</v>
      </c>
      <c r="AN1077" s="3" t="str">
        <f>IF(ISBLANK(Raw_Data!AL1077), "No", "Yes")</f>
        <v>No</v>
      </c>
      <c r="AO1077" s="3">
        <f>IFERROR(Raw_Data!Z1077/60, "")</f>
        <v>14</v>
      </c>
    </row>
    <row r="1078" spans="1:41" ht="13">
      <c r="A1078" s="3">
        <f ca="1">IFERROR(__xludf.DUMMYFUNCTION("""COMPUTED_VALUE"""),1507)</f>
        <v>1507</v>
      </c>
      <c r="B1078" s="3"/>
      <c r="C1078" s="3">
        <f ca="1">IFERROR(__xludf.DUMMYFUNCTION("""COMPUTED_VALUE"""),4001)</f>
        <v>4001</v>
      </c>
      <c r="D1078" s="3" t="str">
        <f ca="1">IFERROR(__xludf.DUMMYFUNCTION("""COMPUTED_VALUE"""),"Dashattan")</f>
        <v>Dashattan</v>
      </c>
      <c r="E1078" s="3" t="str">
        <f ca="1">IFERROR(__xludf.DUMMYFUNCTION("""COMPUTED_VALUE"""),"Galaxy A")</f>
        <v>Galaxy A</v>
      </c>
      <c r="F1078" s="3" t="str">
        <f ca="1">IFERROR(__xludf.DUMMYFUNCTION("""COMPUTED_VALUE"""),"Ron")</f>
        <v>Ron</v>
      </c>
      <c r="G1078" s="3">
        <f ca="1">IFERROR(__xludf.DUMMYFUNCTION("""COMPUTED_VALUE"""),0)</f>
        <v>0</v>
      </c>
      <c r="H1078" s="3" t="str">
        <f ca="1">IFERROR(__xludf.DUMMYFUNCTION("""COMPUTED_VALUE"""),"bicycle")</f>
        <v>bicycle</v>
      </c>
      <c r="I1078" s="3" t="str">
        <f ca="1">IFERROR(__xludf.DUMMYFUNCTION("""COMPUTED_VALUE"""),"2055-06-12T23:49:05.12538Z")</f>
        <v>2055-06-12T23:49:05.12538Z</v>
      </c>
      <c r="J1078" s="3" t="str">
        <f ca="1">IFERROR(__xludf.DUMMYFUNCTION("""COMPUTED_VALUE"""),"2055-06-13T00:45:21.172Z")</f>
        <v>2055-06-13T00:45:21.172Z</v>
      </c>
      <c r="K1078" s="3" t="str">
        <f ca="1">IFERROR(__xludf.DUMMYFUNCTION("""COMPUTED_VALUE"""),"2055-06-13T00:27:03.172Z")</f>
        <v>2055-06-13T00:27:03.172Z</v>
      </c>
      <c r="L1078" s="3">
        <f ca="1">IFERROR(__xludf.DUMMYFUNCTION("""COMPUTED_VALUE"""),1)</f>
        <v>1</v>
      </c>
      <c r="M1078" s="3">
        <f ca="1">IFERROR(__xludf.DUMMYFUNCTION("""COMPUTED_VALUE"""),0)</f>
        <v>0</v>
      </c>
      <c r="N1078" s="3" t="str">
        <f ca="1">IFERROR(__xludf.DUMMYFUNCTION("""COMPUTED_VALUE"""),"2055-06-13T00:08:42.641195Z")</f>
        <v>2055-06-13T00:08:42.641195Z</v>
      </c>
      <c r="O1078" s="3" t="str">
        <f ca="1">IFERROR(__xludf.DUMMYFUNCTION("""COMPUTED_VALUE"""),"2055-06-13T00:16:18.272292Z")</f>
        <v>2055-06-13T00:16:18.272292Z</v>
      </c>
      <c r="P1078" s="3" t="str">
        <f ca="1">IFERROR(__xludf.DUMMYFUNCTION("""COMPUTED_VALUE"""),"2055-06-12T23:53:15.774578Z")</f>
        <v>2055-06-12T23:53:15.774578Z</v>
      </c>
      <c r="Q1078" s="3">
        <f ca="1">IFERROR(__xludf.DUMMYFUNCTION("""COMPUTED_VALUE"""),0)</f>
        <v>0</v>
      </c>
      <c r="R1078" s="3" t="str">
        <f ca="1">IFERROR(__xludf.DUMMYFUNCTION("""COMPUTED_VALUE"""),"2055-06-12T23:54:03.323354Z")</f>
        <v>2055-06-12T23:54:03.323354Z</v>
      </c>
      <c r="S1078" s="3" t="str">
        <f ca="1">IFERROR(__xludf.DUMMYFUNCTION("""COMPUTED_VALUE"""),"2055-06-13T00:12:32.782487Z")</f>
        <v>2055-06-13T00:12:32.782487Z</v>
      </c>
      <c r="T1078" s="3"/>
      <c r="U1078" s="4">
        <f ca="1">IFERROR(__xludf.DUMMYFUNCTION("""COMPUTED_VALUE"""),56777)</f>
        <v>56777</v>
      </c>
      <c r="V1078" s="3">
        <f ca="1">IFERROR(__xludf.DUMMYFUNCTION("""COMPUTED_VALUE"""),4.8)</f>
        <v>4.8</v>
      </c>
      <c r="W1078" s="3">
        <f ca="1">IFERROR(__xludf.DUMMYFUNCTION("""COMPUTED_VALUE"""),1000)</f>
        <v>1000</v>
      </c>
      <c r="X1078" s="3">
        <f ca="1">IFERROR(__xludf.DUMMYFUNCTION("""COMPUTED_VALUE"""),1335)</f>
        <v>1335</v>
      </c>
      <c r="Y1078" s="3">
        <f ca="1">IFERROR(__xludf.DUMMYFUNCTION("""COMPUTED_VALUE"""),1109)</f>
        <v>1109</v>
      </c>
      <c r="Z1078" s="3"/>
      <c r="AA1078" s="3">
        <f ca="1">IFERROR(__xludf.DUMMYFUNCTION("""COMPUTED_VALUE"""),456)</f>
        <v>456</v>
      </c>
      <c r="AB1078" s="3">
        <f ca="1">IFERROR(__xludf.DUMMYFUNCTION("""COMPUTED_VALUE"""),0)</f>
        <v>0</v>
      </c>
      <c r="AC1078" s="3">
        <f ca="1">IFERROR(__xludf.DUMMYFUNCTION("""COMPUTED_VALUE"""),2)</f>
        <v>2</v>
      </c>
      <c r="AD1078" s="3" t="str">
        <f ca="1">IFERROR(__xludf.DUMMYFUNCTION("""COMPUTED_VALUE"""),"late")</f>
        <v>late</v>
      </c>
      <c r="AE1078" s="3" t="str">
        <f ca="1">IFERROR(__xludf.DUMMYFUNCTION("""COMPUTED_VALUE"""),"2055-06-12T20:08:42.641195Z")</f>
        <v>2055-06-12T20:08:42.641195Z</v>
      </c>
      <c r="AF1078" s="3" t="str">
        <f ca="1">IFERROR(__xludf.DUMMYFUNCTION("""COMPUTED_VALUE"""),"2055-06-12T20:16:18.272292Z")</f>
        <v>2055-06-12T20:16:18.272292Z</v>
      </c>
      <c r="AG1078" s="3" t="str">
        <f ca="1">IFERROR(__xludf.DUMMYFUNCTION("""COMPUTED_VALUE"""),"2055-06-12T19:53:15.774578Z")</f>
        <v>2055-06-12T19:53:15.774578Z</v>
      </c>
      <c r="AH1078" s="3" t="str">
        <f ca="1">IFERROR(__xludf.DUMMYFUNCTION("""COMPUTED_VALUE"""),"2055-06-12T20:12:32.782487Z")</f>
        <v>2055-06-12T20:12:32.782487Z</v>
      </c>
      <c r="AI1078" s="3">
        <f ca="1">IFERROR(__xludf.DUMMYFUNCTION("""COMPUTED_VALUE"""),4.56)</f>
        <v>4.5599999999999996</v>
      </c>
      <c r="AJ1078" s="3">
        <f ca="1">IFERROR(__xludf.DUMMYFUNCTION("""COMPUTED_VALUE"""),765)</f>
        <v>765</v>
      </c>
      <c r="AK1078" s="3">
        <f ca="1">IFERROR(__xludf.DUMMYFUNCTION("""COMPUTED_VALUE"""),2618)</f>
        <v>2618</v>
      </c>
      <c r="AL1078" s="3"/>
      <c r="AM1078" s="3">
        <f>IFERROR(Raw_Data!AL1078 / Raw_Data!AK1078, "")</f>
        <v>0</v>
      </c>
      <c r="AN1078" s="3" t="str">
        <f>IF(ISBLANK(Raw_Data!AL1078), "No", "Yes")</f>
        <v>No</v>
      </c>
      <c r="AO1078" s="3">
        <f>IFERROR(Raw_Data!Z1078/60, "")</f>
        <v>0</v>
      </c>
    </row>
    <row r="1079" spans="1:41" ht="13">
      <c r="A1079" s="3">
        <f ca="1">IFERROR(__xludf.DUMMYFUNCTION("""COMPUTED_VALUE"""),251)</f>
        <v>251</v>
      </c>
      <c r="B1079" s="3">
        <f ca="1">IFERROR(__xludf.DUMMYFUNCTION("""COMPUTED_VALUE"""),5)</f>
        <v>5</v>
      </c>
      <c r="C1079" s="3">
        <f ca="1">IFERROR(__xludf.DUMMYFUNCTION("""COMPUTED_VALUE"""),4050)</f>
        <v>4050</v>
      </c>
      <c r="D1079" s="3" t="str">
        <f ca="1">IFERROR(__xludf.DUMMYFUNCTION("""COMPUTED_VALUE"""),"Doorlanta")</f>
        <v>Doorlanta</v>
      </c>
      <c r="E1079" s="3" t="str">
        <f ca="1">IFERROR(__xludf.DUMMYFUNCTION("""COMPUTED_VALUE"""),"Galaxy A")</f>
        <v>Galaxy A</v>
      </c>
      <c r="F1079" s="3" t="str">
        <f ca="1">IFERROR(__xludf.DUMMYFUNCTION("""COMPUTED_VALUE"""),"Ash")</f>
        <v>Ash</v>
      </c>
      <c r="G1079" s="3">
        <f ca="1">IFERROR(__xludf.DUMMYFUNCTION("""COMPUTED_VALUE"""),0)</f>
        <v>0</v>
      </c>
      <c r="H1079" s="3" t="str">
        <f ca="1">IFERROR(__xludf.DUMMYFUNCTION("""COMPUTED_VALUE"""),"car")</f>
        <v>car</v>
      </c>
      <c r="I1079" s="3" t="str">
        <f ca="1">IFERROR(__xludf.DUMMYFUNCTION("""COMPUTED_VALUE"""),"2055-06-03T12:06:24.048934Z")</f>
        <v>2055-06-03T12:06:24.048934Z</v>
      </c>
      <c r="J1079" s="3" t="str">
        <f ca="1">IFERROR(__xludf.DUMMYFUNCTION("""COMPUTED_VALUE"""),"2055-06-03T14:15:00Z")</f>
        <v>2055-06-03T14:15:00Z</v>
      </c>
      <c r="K1079" s="3" t="str">
        <f ca="1">IFERROR(__xludf.DUMMYFUNCTION("""COMPUTED_VALUE"""),"2055-06-03T14:15:00Z")</f>
        <v>2055-06-03T14:15:00Z</v>
      </c>
      <c r="L1079" s="3">
        <f ca="1">IFERROR(__xludf.DUMMYFUNCTION("""COMPUTED_VALUE"""),0)</f>
        <v>0</v>
      </c>
      <c r="M1079" s="3">
        <f ca="1">IFERROR(__xludf.DUMMYFUNCTION("""COMPUTED_VALUE"""),0)</f>
        <v>0</v>
      </c>
      <c r="N1079" s="3" t="str">
        <f ca="1">IFERROR(__xludf.DUMMYFUNCTION("""COMPUTED_VALUE"""),"2055-06-03T14:14:46.726624Z")</f>
        <v>2055-06-03T14:14:46.726624Z</v>
      </c>
      <c r="O1079" s="3" t="str">
        <f ca="1">IFERROR(__xludf.DUMMYFUNCTION("""COMPUTED_VALUE"""),"2055-06-03T14:24:38.567114Z")</f>
        <v>2055-06-03T14:24:38.567114Z</v>
      </c>
      <c r="P1079" s="3" t="str">
        <f ca="1">IFERROR(__xludf.DUMMYFUNCTION("""COMPUTED_VALUE"""),"2055-06-03T13:52:27.269285Z")</f>
        <v>2055-06-03T13:52:27.269285Z</v>
      </c>
      <c r="Q1079" s="3">
        <f ca="1">IFERROR(__xludf.DUMMYFUNCTION("""COMPUTED_VALUE"""),0)</f>
        <v>0</v>
      </c>
      <c r="R1079" s="3" t="str">
        <f ca="1">IFERROR(__xludf.DUMMYFUNCTION("""COMPUTED_VALUE"""),"2055-06-03T13:52:41.622987Z")</f>
        <v>2055-06-03T13:52:41.622987Z</v>
      </c>
      <c r="S1079" s="3" t="str">
        <f ca="1">IFERROR(__xludf.DUMMYFUNCTION("""COMPUTED_VALUE"""),"2055-06-03T14:10:52.725739Z")</f>
        <v>2055-06-03T14:10:52.725739Z</v>
      </c>
      <c r="T1079" s="3"/>
      <c r="U1079" s="4">
        <f ca="1">IFERROR(__xludf.DUMMYFUNCTION("""COMPUTED_VALUE"""),56768)</f>
        <v>56768</v>
      </c>
      <c r="V1079" s="3">
        <f ca="1">IFERROR(__xludf.DUMMYFUNCTION("""COMPUTED_VALUE"""),4.6)</f>
        <v>4.5999999999999996</v>
      </c>
      <c r="W1079" s="3">
        <f ca="1">IFERROR(__xludf.DUMMYFUNCTION("""COMPUTED_VALUE"""),1000)</f>
        <v>1000</v>
      </c>
      <c r="X1079" s="3">
        <f ca="1">IFERROR(__xludf.DUMMYFUNCTION("""COMPUTED_VALUE"""),1917)</f>
        <v>1917</v>
      </c>
      <c r="Y1079" s="3">
        <f ca="1">IFERROR(__xludf.DUMMYFUNCTION("""COMPUTED_VALUE"""),1091)</f>
        <v>1091</v>
      </c>
      <c r="Z1079" s="3">
        <f ca="1">IFERROR(__xludf.DUMMYFUNCTION("""COMPUTED_VALUE"""),234)</f>
        <v>234</v>
      </c>
      <c r="AA1079" s="3">
        <f ca="1">IFERROR(__xludf.DUMMYFUNCTION("""COMPUTED_VALUE"""),592)</f>
        <v>592</v>
      </c>
      <c r="AB1079" s="3">
        <f ca="1">IFERROR(__xludf.DUMMYFUNCTION("""COMPUTED_VALUE"""),0)</f>
        <v>0</v>
      </c>
      <c r="AC1079" s="3">
        <f ca="1">IFERROR(__xludf.DUMMYFUNCTION("""COMPUTED_VALUE"""),1)</f>
        <v>1</v>
      </c>
      <c r="AD1079" s="3" t="str">
        <f ca="1">IFERROR(__xludf.DUMMYFUNCTION("""COMPUTED_VALUE"""),"late")</f>
        <v>late</v>
      </c>
      <c r="AE1079" s="3" t="str">
        <f ca="1">IFERROR(__xludf.DUMMYFUNCTION("""COMPUTED_VALUE"""),"2055-06-03T10:14:46.726624Z")</f>
        <v>2055-06-03T10:14:46.726624Z</v>
      </c>
      <c r="AF1079" s="3" t="str">
        <f ca="1">IFERROR(__xludf.DUMMYFUNCTION("""COMPUTED_VALUE"""),"2055-06-03T10:24:38.567114Z")</f>
        <v>2055-06-03T10:24:38.567114Z</v>
      </c>
      <c r="AG1079" s="3" t="str">
        <f ca="1">IFERROR(__xludf.DUMMYFUNCTION("""COMPUTED_VALUE"""),"2055-06-03T09:52:27.269285Z")</f>
        <v>2055-06-03T09:52:27.269285Z</v>
      </c>
      <c r="AH1079" s="3" t="str">
        <f ca="1">IFERROR(__xludf.DUMMYFUNCTION("""COMPUTED_VALUE"""),"2055-06-03T10:10:52.725739Z")</f>
        <v>2055-06-03T10:10:52.725739Z</v>
      </c>
      <c r="AI1079" s="3">
        <f ca="1">IFERROR(__xludf.DUMMYFUNCTION("""COMPUTED_VALUE"""),4.66)</f>
        <v>4.66</v>
      </c>
      <c r="AJ1079" s="3">
        <f ca="1">IFERROR(__xludf.DUMMYFUNCTION("""COMPUTED_VALUE"""),161)</f>
        <v>161</v>
      </c>
      <c r="AK1079" s="3">
        <f ca="1">IFERROR(__xludf.DUMMYFUNCTION("""COMPUTED_VALUE"""),398)</f>
        <v>398</v>
      </c>
      <c r="AL1079" s="3"/>
      <c r="AM1079" s="3">
        <f>IFERROR(Raw_Data!AL1079 / Raw_Data!AK1079, "")</f>
        <v>0</v>
      </c>
      <c r="AN1079" s="3" t="str">
        <f>IF(ISBLANK(Raw_Data!AL1079), "No", "Yes")</f>
        <v>No</v>
      </c>
      <c r="AO1079" s="3">
        <f>IFERROR(Raw_Data!Z1079/60, "")</f>
        <v>3.9</v>
      </c>
    </row>
    <row r="1080" spans="1:41" ht="13">
      <c r="A1080" s="3">
        <f ca="1">IFERROR(__xludf.DUMMYFUNCTION("""COMPUTED_VALUE"""),520)</f>
        <v>520</v>
      </c>
      <c r="B1080" s="3">
        <f ca="1">IFERROR(__xludf.DUMMYFUNCTION("""COMPUTED_VALUE"""),5)</f>
        <v>5</v>
      </c>
      <c r="C1080" s="3">
        <f ca="1">IFERROR(__xludf.DUMMYFUNCTION("""COMPUTED_VALUE"""),4050)</f>
        <v>4050</v>
      </c>
      <c r="D1080" s="3" t="str">
        <f ca="1">IFERROR(__xludf.DUMMYFUNCTION("""COMPUTED_VALUE"""),"Doorlanta")</f>
        <v>Doorlanta</v>
      </c>
      <c r="E1080" s="3" t="str">
        <f ca="1">IFERROR(__xludf.DUMMYFUNCTION("""COMPUTED_VALUE"""),"Galaxy A")</f>
        <v>Galaxy A</v>
      </c>
      <c r="F1080" s="3" t="str">
        <f ca="1">IFERROR(__xludf.DUMMYFUNCTION("""COMPUTED_VALUE"""),"Abhai")</f>
        <v>Abhai</v>
      </c>
      <c r="G1080" s="3">
        <f ca="1">IFERROR(__xludf.DUMMYFUNCTION("""COMPUTED_VALUE"""),0)</f>
        <v>0</v>
      </c>
      <c r="H1080" s="3" t="str">
        <f ca="1">IFERROR(__xludf.DUMMYFUNCTION("""COMPUTED_VALUE"""),"car")</f>
        <v>car</v>
      </c>
      <c r="I1080" s="3" t="str">
        <f ca="1">IFERROR(__xludf.DUMMYFUNCTION("""COMPUTED_VALUE"""),"2055-06-05T01:05:29.35796Z")</f>
        <v>2055-06-05T01:05:29.35796Z</v>
      </c>
      <c r="J1080" s="3" t="str">
        <f ca="1">IFERROR(__xludf.DUMMYFUNCTION("""COMPUTED_VALUE"""),"2055-06-05T02:29:18.433Z")</f>
        <v>2055-06-05T02:29:18.433Z</v>
      </c>
      <c r="K1080" s="3" t="str">
        <f ca="1">IFERROR(__xludf.DUMMYFUNCTION("""COMPUTED_VALUE"""),"2055-06-05T02:06:05.433Z")</f>
        <v>2055-06-05T02:06:05.433Z</v>
      </c>
      <c r="L1080" s="3">
        <f ca="1">IFERROR(__xludf.DUMMYFUNCTION("""COMPUTED_VALUE"""),1)</f>
        <v>1</v>
      </c>
      <c r="M1080" s="3">
        <f ca="1">IFERROR(__xludf.DUMMYFUNCTION("""COMPUTED_VALUE"""),0)</f>
        <v>0</v>
      </c>
      <c r="N1080" s="3" t="str">
        <f ca="1">IFERROR(__xludf.DUMMYFUNCTION("""COMPUTED_VALUE"""),"2055-06-05T01:23:12.514985Z")</f>
        <v>2055-06-05T01:23:12.514985Z</v>
      </c>
      <c r="O1080" s="3" t="str">
        <f ca="1">IFERROR(__xludf.DUMMYFUNCTION("""COMPUTED_VALUE"""),"2055-06-05T01:40:03.184807Z")</f>
        <v>2055-06-05T01:40:03.184807Z</v>
      </c>
      <c r="P1080" s="3" t="str">
        <f ca="1">IFERROR(__xludf.DUMMYFUNCTION("""COMPUTED_VALUE"""),"2055-06-05T01:15:27.596813Z")</f>
        <v>2055-06-05T01:15:27.596813Z</v>
      </c>
      <c r="Q1080" s="3">
        <f ca="1">IFERROR(__xludf.DUMMYFUNCTION("""COMPUTED_VALUE"""),0)</f>
        <v>0</v>
      </c>
      <c r="R1080" s="3" t="str">
        <f ca="1">IFERROR(__xludf.DUMMYFUNCTION("""COMPUTED_VALUE"""),"2055-06-05T01:15:30.618366Z")</f>
        <v>2055-06-05T01:15:30.618366Z</v>
      </c>
      <c r="S1080" s="3" t="str">
        <f ca="1">IFERROR(__xludf.DUMMYFUNCTION("""COMPUTED_VALUE"""),"2055-06-05T01:21:04.764732Z")</f>
        <v>2055-06-05T01:21:04.764732Z</v>
      </c>
      <c r="T1080" s="3"/>
      <c r="U1080" s="4">
        <f ca="1">IFERROR(__xludf.DUMMYFUNCTION("""COMPUTED_VALUE"""),56769)</f>
        <v>56769</v>
      </c>
      <c r="V1080" s="3">
        <f ca="1">IFERROR(__xludf.DUMMYFUNCTION("""COMPUTED_VALUE"""),3.212348895)</f>
        <v>3.2123488949999999</v>
      </c>
      <c r="W1080" s="3">
        <f ca="1">IFERROR(__xludf.DUMMYFUNCTION("""COMPUTED_VALUE"""),1000)</f>
        <v>1000</v>
      </c>
      <c r="X1080" s="3">
        <f ca="1">IFERROR(__xludf.DUMMYFUNCTION("""COMPUTED_VALUE"""),1473)</f>
        <v>1473</v>
      </c>
      <c r="Y1080" s="3">
        <f ca="1">IFERROR(__xludf.DUMMYFUNCTION("""COMPUTED_VALUE"""),334)</f>
        <v>334</v>
      </c>
      <c r="Z1080" s="3">
        <f ca="1">IFERROR(__xludf.DUMMYFUNCTION("""COMPUTED_VALUE"""),128)</f>
        <v>128</v>
      </c>
      <c r="AA1080" s="3">
        <f ca="1">IFERROR(__xludf.DUMMYFUNCTION("""COMPUTED_VALUE"""),1011)</f>
        <v>1011</v>
      </c>
      <c r="AB1080" s="3">
        <f ca="1">IFERROR(__xludf.DUMMYFUNCTION("""COMPUTED_VALUE"""),0)</f>
        <v>0</v>
      </c>
      <c r="AC1080" s="3">
        <f ca="1">IFERROR(__xludf.DUMMYFUNCTION("""COMPUTED_VALUE"""),2)</f>
        <v>2</v>
      </c>
      <c r="AD1080" s="3" t="str">
        <f ca="1">IFERROR(__xludf.DUMMYFUNCTION("""COMPUTED_VALUE"""),"on time")</f>
        <v>on time</v>
      </c>
      <c r="AE1080" s="3" t="str">
        <f ca="1">IFERROR(__xludf.DUMMYFUNCTION("""COMPUTED_VALUE"""),"2055-06-04T21:23:12.514985Z")</f>
        <v>2055-06-04T21:23:12.514985Z</v>
      </c>
      <c r="AF1080" s="3" t="str">
        <f ca="1">IFERROR(__xludf.DUMMYFUNCTION("""COMPUTED_VALUE"""),"2055-06-04T21:40:03.184807Z")</f>
        <v>2055-06-04T21:40:03.184807Z</v>
      </c>
      <c r="AG1080" s="3" t="str">
        <f ca="1">IFERROR(__xludf.DUMMYFUNCTION("""COMPUTED_VALUE"""),"2055-06-04T21:15:27.596813Z")</f>
        <v>2055-06-04T21:15:27.596813Z</v>
      </c>
      <c r="AH1080" s="3" t="str">
        <f ca="1">IFERROR(__xludf.DUMMYFUNCTION("""COMPUTED_VALUE"""),"2055-06-04T21:21:04.764732Z")</f>
        <v>2055-06-04T21:21:04.764732Z</v>
      </c>
      <c r="AI1080" s="3">
        <f ca="1">IFERROR(__xludf.DUMMYFUNCTION("""COMPUTED_VALUE"""),4.56)</f>
        <v>4.5599999999999996</v>
      </c>
      <c r="AJ1080" s="3">
        <f ca="1">IFERROR(__xludf.DUMMYFUNCTION("""COMPUTED_VALUE"""),344)</f>
        <v>344</v>
      </c>
      <c r="AK1080" s="3">
        <f ca="1">IFERROR(__xludf.DUMMYFUNCTION("""COMPUTED_VALUE"""),947)</f>
        <v>947</v>
      </c>
      <c r="AL1080" s="3">
        <f ca="1">IFERROR(__xludf.DUMMYFUNCTION("""COMPUTED_VALUE"""),22)</f>
        <v>22</v>
      </c>
      <c r="AM1080" s="3">
        <f>IFERROR(Raw_Data!AL1080 / Raw_Data!AK1080, "")</f>
        <v>2.3231256599788808E-2</v>
      </c>
      <c r="AN1080" s="3" t="str">
        <f>IF(ISBLANK(Raw_Data!AL1080), "No", "Yes")</f>
        <v>Yes</v>
      </c>
      <c r="AO1080" s="3">
        <f>IFERROR(Raw_Data!Z1080/60, "")</f>
        <v>2.1333333333333333</v>
      </c>
    </row>
    <row r="1081" spans="1:41" ht="13">
      <c r="A1081" s="3">
        <f ca="1">IFERROR(__xludf.DUMMYFUNCTION("""COMPUTED_VALUE"""),1284)</f>
        <v>1284</v>
      </c>
      <c r="B1081" s="3">
        <f ca="1">IFERROR(__xludf.DUMMYFUNCTION("""COMPUTED_VALUE"""),5)</f>
        <v>5</v>
      </c>
      <c r="C1081" s="3">
        <f ca="1">IFERROR(__xludf.DUMMYFUNCTION("""COMPUTED_VALUE"""),4001)</f>
        <v>4001</v>
      </c>
      <c r="D1081" s="3" t="str">
        <f ca="1">IFERROR(__xludf.DUMMYFUNCTION("""COMPUTED_VALUE"""),"Dashattan")</f>
        <v>Dashattan</v>
      </c>
      <c r="E1081" s="3" t="str">
        <f ca="1">IFERROR(__xludf.DUMMYFUNCTION("""COMPUTED_VALUE"""),"Galaxy A")</f>
        <v>Galaxy A</v>
      </c>
      <c r="F1081" s="3" t="str">
        <f ca="1">IFERROR(__xludf.DUMMYFUNCTION("""COMPUTED_VALUE"""),"Arya")</f>
        <v>Arya</v>
      </c>
      <c r="G1081" s="3">
        <f ca="1">IFERROR(__xludf.DUMMYFUNCTION("""COMPUTED_VALUE"""),0)</f>
        <v>0</v>
      </c>
      <c r="H1081" s="3" t="str">
        <f ca="1">IFERROR(__xludf.DUMMYFUNCTION("""COMPUTED_VALUE"""),"bicycle")</f>
        <v>bicycle</v>
      </c>
      <c r="I1081" s="3" t="str">
        <f ca="1">IFERROR(__xludf.DUMMYFUNCTION("""COMPUTED_VALUE"""),"2055-06-11T19:16:56.827182Z")</f>
        <v>2055-06-11T19:16:56.827182Z</v>
      </c>
      <c r="J1081" s="3" t="str">
        <f ca="1">IFERROR(__xludf.DUMMYFUNCTION("""COMPUTED_VALUE"""),"2055-06-11T20:24:23.881Z")</f>
        <v>2055-06-11T20:24:23.881Z</v>
      </c>
      <c r="K1081" s="3" t="str">
        <f ca="1">IFERROR(__xludf.DUMMYFUNCTION("""COMPUTED_VALUE"""),"2055-06-11T20:01:05.881Z")</f>
        <v>2055-06-11T20:01:05.881Z</v>
      </c>
      <c r="L1081" s="3">
        <f ca="1">IFERROR(__xludf.DUMMYFUNCTION("""COMPUTED_VALUE"""),1)</f>
        <v>1</v>
      </c>
      <c r="M1081" s="3">
        <f ca="1">IFERROR(__xludf.DUMMYFUNCTION("""COMPUTED_VALUE"""),0)</f>
        <v>0</v>
      </c>
      <c r="N1081" s="3" t="str">
        <f ca="1">IFERROR(__xludf.DUMMYFUNCTION("""COMPUTED_VALUE"""),"2055-06-11T19:56:29.220237Z")</f>
        <v>2055-06-11T19:56:29.220237Z</v>
      </c>
      <c r="O1081" s="3" t="str">
        <f ca="1">IFERROR(__xludf.DUMMYFUNCTION("""COMPUTED_VALUE"""),"2055-06-11T20:07:16.749847Z")</f>
        <v>2055-06-11T20:07:16.749847Z</v>
      </c>
      <c r="P1081" s="3" t="str">
        <f ca="1">IFERROR(__xludf.DUMMYFUNCTION("""COMPUTED_VALUE"""),"2055-06-11T19:31:54.182686Z")</f>
        <v>2055-06-11T19:31:54.182686Z</v>
      </c>
      <c r="Q1081" s="3">
        <f ca="1">IFERROR(__xludf.DUMMYFUNCTION("""COMPUTED_VALUE"""),0)</f>
        <v>0</v>
      </c>
      <c r="R1081" s="3" t="str">
        <f ca="1">IFERROR(__xludf.DUMMYFUNCTION("""COMPUTED_VALUE"""),"2055-06-11T19:32:21.970262Z")</f>
        <v>2055-06-11T19:32:21.970262Z</v>
      </c>
      <c r="S1081" s="3" t="str">
        <f ca="1">IFERROR(__xludf.DUMMYFUNCTION("""COMPUTED_VALUE"""),"2055-06-11T19:54:36.70767Z")</f>
        <v>2055-06-11T19:54:36.70767Z</v>
      </c>
      <c r="T1081" s="3"/>
      <c r="U1081" s="4">
        <f ca="1">IFERROR(__xludf.DUMMYFUNCTION("""COMPUTED_VALUE"""),56776)</f>
        <v>56776</v>
      </c>
      <c r="V1081" s="3">
        <f ca="1">IFERROR(__xludf.DUMMYFUNCTION("""COMPUTED_VALUE"""),3.371501608)</f>
        <v>3.371501608</v>
      </c>
      <c r="W1081" s="3">
        <f ca="1">IFERROR(__xludf.DUMMYFUNCTION("""COMPUTED_VALUE"""),1000)</f>
        <v>1000</v>
      </c>
      <c r="X1081" s="3">
        <f ca="1">IFERROR(__xludf.DUMMYFUNCTION("""COMPUTED_VALUE"""),2095)</f>
        <v>2095</v>
      </c>
      <c r="Y1081" s="3">
        <f ca="1">IFERROR(__xludf.DUMMYFUNCTION("""COMPUTED_VALUE"""),1335)</f>
        <v>1335</v>
      </c>
      <c r="Z1081" s="3">
        <f ca="1">IFERROR(__xludf.DUMMYFUNCTION("""COMPUTED_VALUE"""),113)</f>
        <v>113</v>
      </c>
      <c r="AA1081" s="3">
        <f ca="1">IFERROR(__xludf.DUMMYFUNCTION("""COMPUTED_VALUE"""),647)</f>
        <v>647</v>
      </c>
      <c r="AB1081" s="3">
        <f ca="1">IFERROR(__xludf.DUMMYFUNCTION("""COMPUTED_VALUE"""),0)</f>
        <v>0</v>
      </c>
      <c r="AC1081" s="3">
        <f ca="1">IFERROR(__xludf.DUMMYFUNCTION("""COMPUTED_VALUE"""),8)</f>
        <v>8</v>
      </c>
      <c r="AD1081" s="3"/>
      <c r="AE1081" s="3" t="str">
        <f ca="1">IFERROR(__xludf.DUMMYFUNCTION("""COMPUTED_VALUE"""),"2055-06-11T15:56:29.220237Z")</f>
        <v>2055-06-11T15:56:29.220237Z</v>
      </c>
      <c r="AF1081" s="3" t="str">
        <f ca="1">IFERROR(__xludf.DUMMYFUNCTION("""COMPUTED_VALUE"""),"2055-06-11T16:07:16.749847Z")</f>
        <v>2055-06-11T16:07:16.749847Z</v>
      </c>
      <c r="AG1081" s="3" t="str">
        <f ca="1">IFERROR(__xludf.DUMMYFUNCTION("""COMPUTED_VALUE"""),"2055-06-11T15:31:54.182686Z")</f>
        <v>2055-06-11T15:31:54.182686Z</v>
      </c>
      <c r="AH1081" s="3" t="str">
        <f ca="1">IFERROR(__xludf.DUMMYFUNCTION("""COMPUTED_VALUE"""),"2055-06-11T15:54:36.70767Z")</f>
        <v>2055-06-11T15:54:36.70767Z</v>
      </c>
      <c r="AI1081" s="3">
        <f ca="1">IFERROR(__xludf.DUMMYFUNCTION("""COMPUTED_VALUE"""),4.17)</f>
        <v>4.17</v>
      </c>
      <c r="AJ1081" s="3">
        <f ca="1">IFERROR(__xludf.DUMMYFUNCTION("""COMPUTED_VALUE"""),457)</f>
        <v>457</v>
      </c>
      <c r="AK1081" s="3">
        <f ca="1">IFERROR(__xludf.DUMMYFUNCTION("""COMPUTED_VALUE"""),1599)</f>
        <v>1599</v>
      </c>
      <c r="AL1081" s="3"/>
      <c r="AM1081" s="3">
        <f>IFERROR(Raw_Data!AL1081 / Raw_Data!AK1081, "")</f>
        <v>0</v>
      </c>
      <c r="AN1081" s="3" t="str">
        <f>IF(ISBLANK(Raw_Data!AL1081), "No", "Yes")</f>
        <v>No</v>
      </c>
      <c r="AO1081" s="3">
        <f>IFERROR(Raw_Data!Z1081/60, "")</f>
        <v>1.8833333333333333</v>
      </c>
    </row>
    <row r="1082" spans="1:41" ht="13">
      <c r="A1082" s="3">
        <f ca="1">IFERROR(__xludf.DUMMYFUNCTION("""COMPUTED_VALUE"""),671)</f>
        <v>671</v>
      </c>
      <c r="B1082" s="3">
        <f ca="1">IFERROR(__xludf.DUMMYFUNCTION("""COMPUTED_VALUE"""),5)</f>
        <v>5</v>
      </c>
      <c r="C1082" s="3">
        <f ca="1">IFERROR(__xludf.DUMMYFUNCTION("""COMPUTED_VALUE"""),4050)</f>
        <v>4050</v>
      </c>
      <c r="D1082" s="3" t="str">
        <f ca="1">IFERROR(__xludf.DUMMYFUNCTION("""COMPUTED_VALUE"""),"Doorlanta")</f>
        <v>Doorlanta</v>
      </c>
      <c r="E1082" s="3" t="str">
        <f ca="1">IFERROR(__xludf.DUMMYFUNCTION("""COMPUTED_VALUE"""),"Galaxy A")</f>
        <v>Galaxy A</v>
      </c>
      <c r="F1082" s="3" t="str">
        <f ca="1">IFERROR(__xludf.DUMMYFUNCTION("""COMPUTED_VALUE"""),"Ajay")</f>
        <v>Ajay</v>
      </c>
      <c r="G1082" s="3">
        <f ca="1">IFERROR(__xludf.DUMMYFUNCTION("""COMPUTED_VALUE"""),0)</f>
        <v>0</v>
      </c>
      <c r="H1082" s="3" t="str">
        <f ca="1">IFERROR(__xludf.DUMMYFUNCTION("""COMPUTED_VALUE"""),"car")</f>
        <v>car</v>
      </c>
      <c r="I1082" s="3" t="str">
        <f ca="1">IFERROR(__xludf.DUMMYFUNCTION("""COMPUTED_VALUE"""),"2055-06-05T23:13:23.55781Z")</f>
        <v>2055-06-05T23:13:23.55781Z</v>
      </c>
      <c r="J1082" s="3" t="str">
        <f ca="1">IFERROR(__xludf.DUMMYFUNCTION("""COMPUTED_VALUE"""),"2055-06-06T00:12:58.621Z")</f>
        <v>2055-06-06T00:12:58.621Z</v>
      </c>
      <c r="K1082" s="3" t="str">
        <f ca="1">IFERROR(__xludf.DUMMYFUNCTION("""COMPUTED_VALUE"""),"2055-06-05T23:49:40.621Z")</f>
        <v>2055-06-05T23:49:40.621Z</v>
      </c>
      <c r="L1082" s="3">
        <f ca="1">IFERROR(__xludf.DUMMYFUNCTION("""COMPUTED_VALUE"""),1)</f>
        <v>1</v>
      </c>
      <c r="M1082" s="3">
        <f ca="1">IFERROR(__xludf.DUMMYFUNCTION("""COMPUTED_VALUE"""),0)</f>
        <v>0</v>
      </c>
      <c r="N1082" s="3" t="str">
        <f ca="1">IFERROR(__xludf.DUMMYFUNCTION("""COMPUTED_VALUE"""),"2055-06-05T23:36:01.65656Z")</f>
        <v>2055-06-05T23:36:01.65656Z</v>
      </c>
      <c r="O1082" s="3" t="str">
        <f ca="1">IFERROR(__xludf.DUMMYFUNCTION("""COMPUTED_VALUE"""),"2055-06-05T23:41:28.366222Z")</f>
        <v>2055-06-05T23:41:28.366222Z</v>
      </c>
      <c r="P1082" s="3" t="str">
        <f ca="1">IFERROR(__xludf.DUMMYFUNCTION("""COMPUTED_VALUE"""),"2055-06-05T23:25:47.418504Z")</f>
        <v>2055-06-05T23:25:47.418504Z</v>
      </c>
      <c r="Q1082" s="3">
        <f ca="1">IFERROR(__xludf.DUMMYFUNCTION("""COMPUTED_VALUE"""),0)</f>
        <v>0</v>
      </c>
      <c r="R1082" s="3" t="str">
        <f ca="1">IFERROR(__xludf.DUMMYFUNCTION("""COMPUTED_VALUE"""),"2055-06-05T23:26:26.281539Z")</f>
        <v>2055-06-05T23:26:26.281539Z</v>
      </c>
      <c r="S1082" s="3" t="str">
        <f ca="1">IFERROR(__xludf.DUMMYFUNCTION("""COMPUTED_VALUE"""),"2055-06-05T23:34:10.423551Z")</f>
        <v>2055-06-05T23:34:10.423551Z</v>
      </c>
      <c r="T1082" s="3"/>
      <c r="U1082" s="4">
        <f ca="1">IFERROR(__xludf.DUMMYFUNCTION("""COMPUTED_VALUE"""),56770)</f>
        <v>56770</v>
      </c>
      <c r="V1082" s="3">
        <f ca="1">IFERROR(__xludf.DUMMYFUNCTION("""COMPUTED_VALUE"""),4.8)</f>
        <v>4.8</v>
      </c>
      <c r="W1082" s="3">
        <f ca="1">IFERROR(__xludf.DUMMYFUNCTION("""COMPUTED_VALUE"""),1000)</f>
        <v>1000</v>
      </c>
      <c r="X1082" s="3">
        <f ca="1">IFERROR(__xludf.DUMMYFUNCTION("""COMPUTED_VALUE"""),902)</f>
        <v>902</v>
      </c>
      <c r="Y1082" s="3">
        <f ca="1">IFERROR(__xludf.DUMMYFUNCTION("""COMPUTED_VALUE"""),464)</f>
        <v>464</v>
      </c>
      <c r="Z1082" s="3">
        <f ca="1">IFERROR(__xludf.DUMMYFUNCTION("""COMPUTED_VALUE"""),111)</f>
        <v>111</v>
      </c>
      <c r="AA1082" s="3">
        <f ca="1">IFERROR(__xludf.DUMMYFUNCTION("""COMPUTED_VALUE"""),327)</f>
        <v>327</v>
      </c>
      <c r="AB1082" s="3">
        <f ca="1">IFERROR(__xludf.DUMMYFUNCTION("""COMPUTED_VALUE"""),0)</f>
        <v>0</v>
      </c>
      <c r="AC1082" s="3">
        <f ca="1">IFERROR(__xludf.DUMMYFUNCTION("""COMPUTED_VALUE"""),1)</f>
        <v>1</v>
      </c>
      <c r="AD1082" s="3" t="str">
        <f ca="1">IFERROR(__xludf.DUMMYFUNCTION("""COMPUTED_VALUE"""),"late")</f>
        <v>late</v>
      </c>
      <c r="AE1082" s="3" t="str">
        <f ca="1">IFERROR(__xludf.DUMMYFUNCTION("""COMPUTED_VALUE"""),"2055-06-05T19:36:01.65656Z")</f>
        <v>2055-06-05T19:36:01.65656Z</v>
      </c>
      <c r="AF1082" s="3" t="str">
        <f ca="1">IFERROR(__xludf.DUMMYFUNCTION("""COMPUTED_VALUE"""),"2055-06-05T19:41:28.366222Z")</f>
        <v>2055-06-05T19:41:28.366222Z</v>
      </c>
      <c r="AG1082" s="3" t="str">
        <f ca="1">IFERROR(__xludf.DUMMYFUNCTION("""COMPUTED_VALUE"""),"2055-06-05T19:25:47.418504Z")</f>
        <v>2055-06-05T19:25:47.418504Z</v>
      </c>
      <c r="AH1082" s="3" t="str">
        <f ca="1">IFERROR(__xludf.DUMMYFUNCTION("""COMPUTED_VALUE"""),"2055-06-05T19:34:10.423551Z")</f>
        <v>2055-06-05T19:34:10.423551Z</v>
      </c>
      <c r="AI1082" s="3">
        <f ca="1">IFERROR(__xludf.DUMMYFUNCTION("""COMPUTED_VALUE"""),4.57)</f>
        <v>4.57</v>
      </c>
      <c r="AJ1082" s="3">
        <f ca="1">IFERROR(__xludf.DUMMYFUNCTION("""COMPUTED_VALUE"""),234)</f>
        <v>234</v>
      </c>
      <c r="AK1082" s="3">
        <f ca="1">IFERROR(__xludf.DUMMYFUNCTION("""COMPUTED_VALUE"""),726)</f>
        <v>726</v>
      </c>
      <c r="AL1082" s="3">
        <f ca="1">IFERROR(__xludf.DUMMYFUNCTION("""COMPUTED_VALUE"""),99)</f>
        <v>99</v>
      </c>
      <c r="AM1082" s="3">
        <f>IFERROR(Raw_Data!AL1082 / Raw_Data!AK1082, "")</f>
        <v>0.13636363636363635</v>
      </c>
      <c r="AN1082" s="3" t="str">
        <f>IF(ISBLANK(Raw_Data!AL1082), "No", "Yes")</f>
        <v>Yes</v>
      </c>
      <c r="AO1082" s="3">
        <f>IFERROR(Raw_Data!Z1082/60, "")</f>
        <v>1.85</v>
      </c>
    </row>
    <row r="1083" spans="1:41" ht="13">
      <c r="A1083" s="3">
        <f ca="1">IFERROR(__xludf.DUMMYFUNCTION("""COMPUTED_VALUE"""),422)</f>
        <v>422</v>
      </c>
      <c r="B1083" s="3"/>
      <c r="C1083" s="3">
        <f ca="1">IFERROR(__xludf.DUMMYFUNCTION("""COMPUTED_VALUE"""),4050)</f>
        <v>4050</v>
      </c>
      <c r="D1083" s="3" t="str">
        <f ca="1">IFERROR(__xludf.DUMMYFUNCTION("""COMPUTED_VALUE"""),"Doorlanta")</f>
        <v>Doorlanta</v>
      </c>
      <c r="E1083" s="3" t="str">
        <f ca="1">IFERROR(__xludf.DUMMYFUNCTION("""COMPUTED_VALUE"""),"Galaxy A")</f>
        <v>Galaxy A</v>
      </c>
      <c r="F1083" s="3" t="str">
        <f ca="1">IFERROR(__xludf.DUMMYFUNCTION("""COMPUTED_VALUE"""),"Cate")</f>
        <v>Cate</v>
      </c>
      <c r="G1083" s="3">
        <f ca="1">IFERROR(__xludf.DUMMYFUNCTION("""COMPUTED_VALUE"""),0)</f>
        <v>0</v>
      </c>
      <c r="H1083" s="3" t="str">
        <f ca="1">IFERROR(__xludf.DUMMYFUNCTION("""COMPUTED_VALUE"""),"car")</f>
        <v>car</v>
      </c>
      <c r="I1083" s="3" t="str">
        <f ca="1">IFERROR(__xludf.DUMMYFUNCTION("""COMPUTED_VALUE"""),"2055-06-04T17:26:04.643226Z")</f>
        <v>2055-06-04T17:26:04.643226Z</v>
      </c>
      <c r="J1083" s="3" t="str">
        <f ca="1">IFERROR(__xludf.DUMMYFUNCTION("""COMPUTED_VALUE"""),"2055-06-04T18:16:04.716Z")</f>
        <v>2055-06-04T18:16:04.716Z</v>
      </c>
      <c r="K1083" s="3" t="str">
        <f ca="1">IFERROR(__xludf.DUMMYFUNCTION("""COMPUTED_VALUE"""),"2055-06-04T17:55:22.716Z")</f>
        <v>2055-06-04T17:55:22.716Z</v>
      </c>
      <c r="L1083" s="3">
        <f ca="1">IFERROR(__xludf.DUMMYFUNCTION("""COMPUTED_VALUE"""),1)</f>
        <v>1</v>
      </c>
      <c r="M1083" s="3">
        <f ca="1">IFERROR(__xludf.DUMMYFUNCTION("""COMPUTED_VALUE"""),0)</f>
        <v>0</v>
      </c>
      <c r="N1083" s="3" t="str">
        <f ca="1">IFERROR(__xludf.DUMMYFUNCTION("""COMPUTED_VALUE"""),"2055-06-04T17:40:06.721195Z")</f>
        <v>2055-06-04T17:40:06.721195Z</v>
      </c>
      <c r="O1083" s="3" t="str">
        <f ca="1">IFERROR(__xludf.DUMMYFUNCTION("""COMPUTED_VALUE"""),"2055-06-04T17:54:22.158244Z")</f>
        <v>2055-06-04T17:54:22.158244Z</v>
      </c>
      <c r="P1083" s="3" t="str">
        <f ca="1">IFERROR(__xludf.DUMMYFUNCTION("""COMPUTED_VALUE"""),"2055-06-04T17:26:07.317958Z")</f>
        <v>2055-06-04T17:26:07.317958Z</v>
      </c>
      <c r="Q1083" s="3">
        <f ca="1">IFERROR(__xludf.DUMMYFUNCTION("""COMPUTED_VALUE"""),0)</f>
        <v>0</v>
      </c>
      <c r="R1083" s="3" t="str">
        <f ca="1">IFERROR(__xludf.DUMMYFUNCTION("""COMPUTED_VALUE"""),"2055-06-04T17:26:12.261735Z")</f>
        <v>2055-06-04T17:26:12.261735Z</v>
      </c>
      <c r="S1083" s="3" t="str">
        <f ca="1">IFERROR(__xludf.DUMMYFUNCTION("""COMPUTED_VALUE"""),"2055-06-04T17:37:13.098937Z")</f>
        <v>2055-06-04T17:37:13.098937Z</v>
      </c>
      <c r="T1083" s="3"/>
      <c r="U1083" s="4">
        <f ca="1">IFERROR(__xludf.DUMMYFUNCTION("""COMPUTED_VALUE"""),56769)</f>
        <v>56769</v>
      </c>
      <c r="V1083" s="3">
        <f ca="1">IFERROR(__xludf.DUMMYFUNCTION("""COMPUTED_VALUE"""),4.6)</f>
        <v>4.5999999999999996</v>
      </c>
      <c r="W1083" s="3">
        <f ca="1">IFERROR(__xludf.DUMMYFUNCTION("""COMPUTED_VALUE"""),1000)</f>
        <v>1000</v>
      </c>
      <c r="X1083" s="3">
        <f ca="1">IFERROR(__xludf.DUMMYFUNCTION("""COMPUTED_VALUE"""),1690)</f>
        <v>1690</v>
      </c>
      <c r="Y1083" s="3">
        <f ca="1">IFERROR(__xludf.DUMMYFUNCTION("""COMPUTED_VALUE"""),661)</f>
        <v>661</v>
      </c>
      <c r="Z1083" s="3">
        <f ca="1">IFERROR(__xludf.DUMMYFUNCTION("""COMPUTED_VALUE"""),173)</f>
        <v>173</v>
      </c>
      <c r="AA1083" s="3">
        <f ca="1">IFERROR(__xludf.DUMMYFUNCTION("""COMPUTED_VALUE"""),856)</f>
        <v>856</v>
      </c>
      <c r="AB1083" s="3">
        <f ca="1">IFERROR(__xludf.DUMMYFUNCTION("""COMPUTED_VALUE"""),0)</f>
        <v>0</v>
      </c>
      <c r="AC1083" s="3">
        <f ca="1">IFERROR(__xludf.DUMMYFUNCTION("""COMPUTED_VALUE"""),1)</f>
        <v>1</v>
      </c>
      <c r="AD1083" s="3" t="str">
        <f ca="1">IFERROR(__xludf.DUMMYFUNCTION("""COMPUTED_VALUE"""),"on time")</f>
        <v>on time</v>
      </c>
      <c r="AE1083" s="3" t="str">
        <f ca="1">IFERROR(__xludf.DUMMYFUNCTION("""COMPUTED_VALUE"""),"2055-06-04T13:40:06.721195Z")</f>
        <v>2055-06-04T13:40:06.721195Z</v>
      </c>
      <c r="AF1083" s="3" t="str">
        <f ca="1">IFERROR(__xludf.DUMMYFUNCTION("""COMPUTED_VALUE"""),"2055-06-04T13:54:22.158244Z")</f>
        <v>2055-06-04T13:54:22.158244Z</v>
      </c>
      <c r="AG1083" s="3" t="str">
        <f ca="1">IFERROR(__xludf.DUMMYFUNCTION("""COMPUTED_VALUE"""),"2055-06-04T13:26:07.317958Z")</f>
        <v>2055-06-04T13:26:07.317958Z</v>
      </c>
      <c r="AH1083" s="3" t="str">
        <f ca="1">IFERROR(__xludf.DUMMYFUNCTION("""COMPUTED_VALUE"""),"2055-06-04T13:37:13.098937Z")</f>
        <v>2055-06-04T13:37:13.098937Z</v>
      </c>
      <c r="AI1083" s="3">
        <f ca="1">IFERROR(__xludf.DUMMYFUNCTION("""COMPUTED_VALUE"""),4.49)</f>
        <v>4.49</v>
      </c>
      <c r="AJ1083" s="3">
        <f ca="1">IFERROR(__xludf.DUMMYFUNCTION("""COMPUTED_VALUE"""),2315)</f>
        <v>2315</v>
      </c>
      <c r="AK1083" s="3">
        <f ca="1">IFERROR(__xludf.DUMMYFUNCTION("""COMPUTED_VALUE"""),7039)</f>
        <v>7039</v>
      </c>
      <c r="AL1083" s="3">
        <f ca="1">IFERROR(__xludf.DUMMYFUNCTION("""COMPUTED_VALUE"""),763)</f>
        <v>763</v>
      </c>
      <c r="AM1083" s="3">
        <f>IFERROR(Raw_Data!AL1083 / Raw_Data!AK1083, "")</f>
        <v>0.10839607898849268</v>
      </c>
      <c r="AN1083" s="3" t="str">
        <f>IF(ISBLANK(Raw_Data!AL1083), "No", "Yes")</f>
        <v>Yes</v>
      </c>
      <c r="AO1083" s="3">
        <f>IFERROR(Raw_Data!Z1083/60, "")</f>
        <v>2.8833333333333333</v>
      </c>
    </row>
    <row r="1084" spans="1:41" ht="13">
      <c r="A1084" s="3">
        <f ca="1">IFERROR(__xludf.DUMMYFUNCTION("""COMPUTED_VALUE"""),691)</f>
        <v>691</v>
      </c>
      <c r="B1084" s="3"/>
      <c r="C1084" s="3">
        <f ca="1">IFERROR(__xludf.DUMMYFUNCTION("""COMPUTED_VALUE"""),4001)</f>
        <v>4001</v>
      </c>
      <c r="D1084" s="3" t="str">
        <f ca="1">IFERROR(__xludf.DUMMYFUNCTION("""COMPUTED_VALUE"""),"Dashattan")</f>
        <v>Dashattan</v>
      </c>
      <c r="E1084" s="3" t="str">
        <f ca="1">IFERROR(__xludf.DUMMYFUNCTION("""COMPUTED_VALUE"""),"Galaxy A")</f>
        <v>Galaxy A</v>
      </c>
      <c r="F1084" s="3" t="str">
        <f ca="1">IFERROR(__xludf.DUMMYFUNCTION("""COMPUTED_VALUE"""),"KC")</f>
        <v>KC</v>
      </c>
      <c r="G1084" s="3">
        <f ca="1">IFERROR(__xludf.DUMMYFUNCTION("""COMPUTED_VALUE"""),0)</f>
        <v>0</v>
      </c>
      <c r="H1084" s="3" t="str">
        <f ca="1">IFERROR(__xludf.DUMMYFUNCTION("""COMPUTED_VALUE"""),"car")</f>
        <v>car</v>
      </c>
      <c r="I1084" s="3" t="str">
        <f ca="1">IFERROR(__xludf.DUMMYFUNCTION("""COMPUTED_VALUE"""),"2055-06-06T00:02:09.459214Z")</f>
        <v>2055-06-06T00:02:09.459214Z</v>
      </c>
      <c r="J1084" s="3" t="str">
        <f ca="1">IFERROR(__xludf.DUMMYFUNCTION("""COMPUTED_VALUE"""),"2055-06-06T01:21:12.516Z")</f>
        <v>2055-06-06T01:21:12.516Z</v>
      </c>
      <c r="K1084" s="3" t="str">
        <f ca="1">IFERROR(__xludf.DUMMYFUNCTION("""COMPUTED_VALUE"""),"2055-06-06T00:57:54.516Z")</f>
        <v>2055-06-06T00:57:54.516Z</v>
      </c>
      <c r="L1084" s="3">
        <f ca="1">IFERROR(__xludf.DUMMYFUNCTION("""COMPUTED_VALUE"""),1)</f>
        <v>1</v>
      </c>
      <c r="M1084" s="3">
        <f ca="1">IFERROR(__xludf.DUMMYFUNCTION("""COMPUTED_VALUE"""),0)</f>
        <v>0</v>
      </c>
      <c r="N1084" s="3" t="str">
        <f ca="1">IFERROR(__xludf.DUMMYFUNCTION("""COMPUTED_VALUE"""),"2055-06-06T00:32:42.655484Z")</f>
        <v>2055-06-06T00:32:42.655484Z</v>
      </c>
      <c r="O1084" s="3" t="str">
        <f ca="1">IFERROR(__xludf.DUMMYFUNCTION("""COMPUTED_VALUE"""),"2055-06-06T00:49:54.91289Z")</f>
        <v>2055-06-06T00:49:54.91289Z</v>
      </c>
      <c r="P1084" s="3" t="str">
        <f ca="1">IFERROR(__xludf.DUMMYFUNCTION("""COMPUTED_VALUE"""),"2055-06-06T00:12:57.555199Z")</f>
        <v>2055-06-06T00:12:57.555199Z</v>
      </c>
      <c r="Q1084" s="3">
        <f ca="1">IFERROR(__xludf.DUMMYFUNCTION("""COMPUTED_VALUE"""),0)</f>
        <v>0</v>
      </c>
      <c r="R1084" s="3" t="str">
        <f ca="1">IFERROR(__xludf.DUMMYFUNCTION("""COMPUTED_VALUE"""),"2055-06-06T00:13:10.520906Z")</f>
        <v>2055-06-06T00:13:10.520906Z</v>
      </c>
      <c r="S1084" s="3" t="str">
        <f ca="1">IFERROR(__xludf.DUMMYFUNCTION("""COMPUTED_VALUE"""),"2055-06-06T00:20:22.795573Z")</f>
        <v>2055-06-06T00:20:22.795573Z</v>
      </c>
      <c r="T1084" s="3"/>
      <c r="U1084" s="4">
        <f ca="1">IFERROR(__xludf.DUMMYFUNCTION("""COMPUTED_VALUE"""),56770)</f>
        <v>56770</v>
      </c>
      <c r="V1084" s="3">
        <f ca="1">IFERROR(__xludf.DUMMYFUNCTION("""COMPUTED_VALUE"""),2.969143873)</f>
        <v>2.9691438730000002</v>
      </c>
      <c r="W1084" s="3">
        <f ca="1">IFERROR(__xludf.DUMMYFUNCTION("""COMPUTED_VALUE"""),1000)</f>
        <v>1000</v>
      </c>
      <c r="X1084" s="3">
        <f ca="1">IFERROR(__xludf.DUMMYFUNCTION("""COMPUTED_VALUE"""),2204)</f>
        <v>2204</v>
      </c>
      <c r="Y1084" s="3">
        <f ca="1">IFERROR(__xludf.DUMMYFUNCTION("""COMPUTED_VALUE"""),432)</f>
        <v>432</v>
      </c>
      <c r="Z1084" s="3">
        <f ca="1">IFERROR(__xludf.DUMMYFUNCTION("""COMPUTED_VALUE"""),740)</f>
        <v>740</v>
      </c>
      <c r="AA1084" s="3">
        <f ca="1">IFERROR(__xludf.DUMMYFUNCTION("""COMPUTED_VALUE"""),1032)</f>
        <v>1032</v>
      </c>
      <c r="AB1084" s="3">
        <f ca="1">IFERROR(__xludf.DUMMYFUNCTION("""COMPUTED_VALUE"""),0)</f>
        <v>0</v>
      </c>
      <c r="AC1084" s="3">
        <f ca="1">IFERROR(__xludf.DUMMYFUNCTION("""COMPUTED_VALUE"""),4)</f>
        <v>4</v>
      </c>
      <c r="AD1084" s="3" t="str">
        <f ca="1">IFERROR(__xludf.DUMMYFUNCTION("""COMPUTED_VALUE"""),"on time")</f>
        <v>on time</v>
      </c>
      <c r="AE1084" s="3" t="str">
        <f ca="1">IFERROR(__xludf.DUMMYFUNCTION("""COMPUTED_VALUE"""),"2055-06-05T20:32:42.655484Z")</f>
        <v>2055-06-05T20:32:42.655484Z</v>
      </c>
      <c r="AF1084" s="3" t="str">
        <f ca="1">IFERROR(__xludf.DUMMYFUNCTION("""COMPUTED_VALUE"""),"2055-06-05T20:49:54.91289Z")</f>
        <v>2055-06-05T20:49:54.91289Z</v>
      </c>
      <c r="AG1084" s="3" t="str">
        <f ca="1">IFERROR(__xludf.DUMMYFUNCTION("""COMPUTED_VALUE"""),"2055-06-05T20:12:57.555199Z")</f>
        <v>2055-06-05T20:12:57.555199Z</v>
      </c>
      <c r="AH1084" s="3" t="str">
        <f ca="1">IFERROR(__xludf.DUMMYFUNCTION("""COMPUTED_VALUE"""),"2055-06-05T20:20:22.795573Z")</f>
        <v>2055-06-05T20:20:22.795573Z</v>
      </c>
      <c r="AI1084" s="3">
        <f ca="1">IFERROR(__xludf.DUMMYFUNCTION("""COMPUTED_VALUE"""),4.54)</f>
        <v>4.54</v>
      </c>
      <c r="AJ1084" s="3">
        <f ca="1">IFERROR(__xludf.DUMMYFUNCTION("""COMPUTED_VALUE"""),2229)</f>
        <v>2229</v>
      </c>
      <c r="AK1084" s="3">
        <f ca="1">IFERROR(__xludf.DUMMYFUNCTION("""COMPUTED_VALUE"""),6580)</f>
        <v>6580</v>
      </c>
      <c r="AL1084" s="3"/>
      <c r="AM1084" s="3">
        <f>IFERROR(Raw_Data!AL1084 / Raw_Data!AK1084, "")</f>
        <v>0</v>
      </c>
      <c r="AN1084" s="3" t="str">
        <f>IF(ISBLANK(Raw_Data!AL1084), "No", "Yes")</f>
        <v>No</v>
      </c>
      <c r="AO1084" s="3">
        <f>IFERROR(Raw_Data!Z1084/60, "")</f>
        <v>12.333333333333334</v>
      </c>
    </row>
    <row r="1085" spans="1:41" ht="13">
      <c r="A1085" s="3">
        <f ca="1">IFERROR(__xludf.DUMMYFUNCTION("""COMPUTED_VALUE"""),1060)</f>
        <v>1060</v>
      </c>
      <c r="B1085" s="3"/>
      <c r="C1085" s="3">
        <f ca="1">IFERROR(__xludf.DUMMYFUNCTION("""COMPUTED_VALUE"""),4001)</f>
        <v>4001</v>
      </c>
      <c r="D1085" s="3" t="str">
        <f ca="1">IFERROR(__xludf.DUMMYFUNCTION("""COMPUTED_VALUE"""),"Dashattan")</f>
        <v>Dashattan</v>
      </c>
      <c r="E1085" s="3" t="str">
        <f ca="1">IFERROR(__xludf.DUMMYFUNCTION("""COMPUTED_VALUE"""),"Galaxy A")</f>
        <v>Galaxy A</v>
      </c>
      <c r="F1085" s="3" t="str">
        <f ca="1">IFERROR(__xludf.DUMMYFUNCTION("""COMPUTED_VALUE"""),"Samm")</f>
        <v>Samm</v>
      </c>
      <c r="G1085" s="3">
        <f ca="1">IFERROR(__xludf.DUMMYFUNCTION("""COMPUTED_VALUE"""),0)</f>
        <v>0</v>
      </c>
      <c r="H1085" s="3" t="str">
        <f ca="1">IFERROR(__xludf.DUMMYFUNCTION("""COMPUTED_VALUE"""),"car")</f>
        <v>car</v>
      </c>
      <c r="I1085" s="3" t="str">
        <f ca="1">IFERROR(__xludf.DUMMYFUNCTION("""COMPUTED_VALUE"""),"2055-06-09T21:32:54.124638Z")</f>
        <v>2055-06-09T21:32:54.124638Z</v>
      </c>
      <c r="J1085" s="3" t="str">
        <f ca="1">IFERROR(__xludf.DUMMYFUNCTION("""COMPUTED_VALUE"""),"2055-06-09T22:26:47.189Z")</f>
        <v>2055-06-09T22:26:47.189Z</v>
      </c>
      <c r="K1085" s="3" t="str">
        <f ca="1">IFERROR(__xludf.DUMMYFUNCTION("""COMPUTED_VALUE"""),"2055-06-09T22:11:40.189Z")</f>
        <v>2055-06-09T22:11:40.189Z</v>
      </c>
      <c r="L1085" s="3">
        <f ca="1">IFERROR(__xludf.DUMMYFUNCTION("""COMPUTED_VALUE"""),1)</f>
        <v>1</v>
      </c>
      <c r="M1085" s="3">
        <f ca="1">IFERROR(__xludf.DUMMYFUNCTION("""COMPUTED_VALUE"""),0)</f>
        <v>0</v>
      </c>
      <c r="N1085" s="3" t="str">
        <f ca="1">IFERROR(__xludf.DUMMYFUNCTION("""COMPUTED_VALUE"""),"2055-06-09T21:52:04.447079Z")</f>
        <v>2055-06-09T21:52:04.447079Z</v>
      </c>
      <c r="O1085" s="3" t="str">
        <f ca="1">IFERROR(__xludf.DUMMYFUNCTION("""COMPUTED_VALUE"""),"2055-06-09T22:26:01.477374Z")</f>
        <v>2055-06-09T22:26:01.477374Z</v>
      </c>
      <c r="P1085" s="3" t="str">
        <f ca="1">IFERROR(__xludf.DUMMYFUNCTION("""COMPUTED_VALUE"""),"2055-06-09T21:33:14.146888Z")</f>
        <v>2055-06-09T21:33:14.146888Z</v>
      </c>
      <c r="Q1085" s="3">
        <f ca="1">IFERROR(__xludf.DUMMYFUNCTION("""COMPUTED_VALUE"""),0)</f>
        <v>0</v>
      </c>
      <c r="R1085" s="3" t="str">
        <f ca="1">IFERROR(__xludf.DUMMYFUNCTION("""COMPUTED_VALUE"""),"2055-06-09T21:33:21.797632Z")</f>
        <v>2055-06-09T21:33:21.797632Z</v>
      </c>
      <c r="S1085" s="3" t="str">
        <f ca="1">IFERROR(__xludf.DUMMYFUNCTION("""COMPUTED_VALUE"""),"2055-06-09T21:42:04.392041Z")</f>
        <v>2055-06-09T21:42:04.392041Z</v>
      </c>
      <c r="T1085" s="3"/>
      <c r="U1085" s="4">
        <f ca="1">IFERROR(__xludf.DUMMYFUNCTION("""COMPUTED_VALUE"""),56774)</f>
        <v>56774</v>
      </c>
      <c r="V1085" s="3">
        <f ca="1">IFERROR(__xludf.DUMMYFUNCTION("""COMPUTED_VALUE"""),3.275945828)</f>
        <v>3.2759458279999998</v>
      </c>
      <c r="W1085" s="3">
        <f ca="1">IFERROR(__xludf.DUMMYFUNCTION("""COMPUTED_VALUE"""),1000)</f>
        <v>1000</v>
      </c>
      <c r="X1085" s="3">
        <f ca="1">IFERROR(__xludf.DUMMYFUNCTION("""COMPUTED_VALUE"""),3160)</f>
        <v>3160</v>
      </c>
      <c r="Y1085" s="3">
        <f ca="1">IFERROR(__xludf.DUMMYFUNCTION("""COMPUTED_VALUE"""),523)</f>
        <v>523</v>
      </c>
      <c r="Z1085" s="3">
        <f ca="1">IFERROR(__xludf.DUMMYFUNCTION("""COMPUTED_VALUE"""),600)</f>
        <v>600</v>
      </c>
      <c r="AA1085" s="3">
        <f ca="1">IFERROR(__xludf.DUMMYFUNCTION("""COMPUTED_VALUE"""),2037)</f>
        <v>2037</v>
      </c>
      <c r="AB1085" s="3">
        <f ca="1">IFERROR(__xludf.DUMMYFUNCTION("""COMPUTED_VALUE"""),0)</f>
        <v>0</v>
      </c>
      <c r="AC1085" s="3">
        <f ca="1">IFERROR(__xludf.DUMMYFUNCTION("""COMPUTED_VALUE"""),4)</f>
        <v>4</v>
      </c>
      <c r="AD1085" s="3" t="str">
        <f ca="1">IFERROR(__xludf.DUMMYFUNCTION("""COMPUTED_VALUE"""),"early")</f>
        <v>early</v>
      </c>
      <c r="AE1085" s="3" t="str">
        <f ca="1">IFERROR(__xludf.DUMMYFUNCTION("""COMPUTED_VALUE"""),"2055-06-09T17:52:04.447079Z")</f>
        <v>2055-06-09T17:52:04.447079Z</v>
      </c>
      <c r="AF1085" s="3" t="str">
        <f ca="1">IFERROR(__xludf.DUMMYFUNCTION("""COMPUTED_VALUE"""),"2055-06-09T18:26:01.477374Z")</f>
        <v>2055-06-09T18:26:01.477374Z</v>
      </c>
      <c r="AG1085" s="3" t="str">
        <f ca="1">IFERROR(__xludf.DUMMYFUNCTION("""COMPUTED_VALUE"""),"2055-06-09T17:33:14.146888Z")</f>
        <v>2055-06-09T17:33:14.146888Z</v>
      </c>
      <c r="AH1085" s="3" t="str">
        <f ca="1">IFERROR(__xludf.DUMMYFUNCTION("""COMPUTED_VALUE"""),"2055-06-09T17:42:04.392041Z")</f>
        <v>2055-06-09T17:42:04.392041Z</v>
      </c>
      <c r="AI1085" s="3">
        <f ca="1">IFERROR(__xludf.DUMMYFUNCTION("""COMPUTED_VALUE"""),4.03)</f>
        <v>4.03</v>
      </c>
      <c r="AJ1085" s="3">
        <f ca="1">IFERROR(__xludf.DUMMYFUNCTION("""COMPUTED_VALUE"""),505)</f>
        <v>505</v>
      </c>
      <c r="AK1085" s="3">
        <f ca="1">IFERROR(__xludf.DUMMYFUNCTION("""COMPUTED_VALUE"""),1721)</f>
        <v>1721</v>
      </c>
      <c r="AL1085" s="3">
        <f ca="1">IFERROR(__xludf.DUMMYFUNCTION("""COMPUTED_VALUE"""),457)</f>
        <v>457</v>
      </c>
      <c r="AM1085" s="3">
        <f>IFERROR(Raw_Data!AL1085 / Raw_Data!AK1085, "")</f>
        <v>0.26554328878558975</v>
      </c>
      <c r="AN1085" s="3" t="str">
        <f>IF(ISBLANK(Raw_Data!AL1085), "No", "Yes")</f>
        <v>Yes</v>
      </c>
      <c r="AO1085" s="3">
        <f>IFERROR(Raw_Data!Z1085/60, "")</f>
        <v>10</v>
      </c>
    </row>
    <row r="1086" spans="1:41" ht="13">
      <c r="A1086" s="3">
        <f ca="1">IFERROR(__xludf.DUMMYFUNCTION("""COMPUTED_VALUE"""),186)</f>
        <v>186</v>
      </c>
      <c r="B1086" s="3">
        <f ca="1">IFERROR(__xludf.DUMMYFUNCTION("""COMPUTED_VALUE"""),5)</f>
        <v>5</v>
      </c>
      <c r="C1086" s="3">
        <f ca="1">IFERROR(__xludf.DUMMYFUNCTION("""COMPUTED_VALUE"""),4050)</f>
        <v>4050</v>
      </c>
      <c r="D1086" s="3" t="str">
        <f ca="1">IFERROR(__xludf.DUMMYFUNCTION("""COMPUTED_VALUE"""),"Doorlanta")</f>
        <v>Doorlanta</v>
      </c>
      <c r="E1086" s="3" t="str">
        <f ca="1">IFERROR(__xludf.DUMMYFUNCTION("""COMPUTED_VALUE"""),"Galaxy A")</f>
        <v>Galaxy A</v>
      </c>
      <c r="F1086" s="3" t="str">
        <f ca="1">IFERROR(__xludf.DUMMYFUNCTION("""COMPUTED_VALUE"""),"Hanna")</f>
        <v>Hanna</v>
      </c>
      <c r="G1086" s="3">
        <f ca="1">IFERROR(__xludf.DUMMYFUNCTION("""COMPUTED_VALUE"""),0)</f>
        <v>0</v>
      </c>
      <c r="H1086" s="3" t="str">
        <f ca="1">IFERROR(__xludf.DUMMYFUNCTION("""COMPUTED_VALUE"""),"car")</f>
        <v>car</v>
      </c>
      <c r="I1086" s="3" t="str">
        <f ca="1">IFERROR(__xludf.DUMMYFUNCTION("""COMPUTED_VALUE"""),"2055-06-02T22:22:48.123043Z")</f>
        <v>2055-06-02T22:22:48.123043Z</v>
      </c>
      <c r="J1086" s="3" t="str">
        <f ca="1">IFERROR(__xludf.DUMMYFUNCTION("""COMPUTED_VALUE"""),"2055-06-02T23:22:22.223Z")</f>
        <v>2055-06-02T23:22:22.223Z</v>
      </c>
      <c r="K1086" s="3" t="str">
        <f ca="1">IFERROR(__xludf.DUMMYFUNCTION("""COMPUTED_VALUE"""),"2055-06-02T23:02:15.223Z")</f>
        <v>2055-06-02T23:02:15.223Z</v>
      </c>
      <c r="L1086" s="3">
        <f ca="1">IFERROR(__xludf.DUMMYFUNCTION("""COMPUTED_VALUE"""),1)</f>
        <v>1</v>
      </c>
      <c r="M1086" s="3">
        <f ca="1">IFERROR(__xludf.DUMMYFUNCTION("""COMPUTED_VALUE"""),0)</f>
        <v>0</v>
      </c>
      <c r="N1086" s="3" t="str">
        <f ca="1">IFERROR(__xludf.DUMMYFUNCTION("""COMPUTED_VALUE"""),"2055-06-02T22:45:15.232167Z")</f>
        <v>2055-06-02T22:45:15.232167Z</v>
      </c>
      <c r="O1086" s="3" t="str">
        <f ca="1">IFERROR(__xludf.DUMMYFUNCTION("""COMPUTED_VALUE"""),"2055-06-02T22:58:34.357189Z")</f>
        <v>2055-06-02T22:58:34.357189Z</v>
      </c>
      <c r="P1086" s="3" t="str">
        <f ca="1">IFERROR(__xludf.DUMMYFUNCTION("""COMPUTED_VALUE"""),"2055-06-02T22:25:47.336598Z")</f>
        <v>2055-06-02T22:25:47.336598Z</v>
      </c>
      <c r="Q1086" s="3">
        <f ca="1">IFERROR(__xludf.DUMMYFUNCTION("""COMPUTED_VALUE"""),0)</f>
        <v>0</v>
      </c>
      <c r="R1086" s="3" t="str">
        <f ca="1">IFERROR(__xludf.DUMMYFUNCTION("""COMPUTED_VALUE"""),"2055-06-02T22:25:54.29838Z")</f>
        <v>2055-06-02T22:25:54.29838Z</v>
      </c>
      <c r="S1086" s="3" t="str">
        <f ca="1">IFERROR(__xludf.DUMMYFUNCTION("""COMPUTED_VALUE"""),"2055-06-02T22:39:59.484045Z")</f>
        <v>2055-06-02T22:39:59.484045Z</v>
      </c>
      <c r="T1086" s="3"/>
      <c r="U1086" s="4">
        <f ca="1">IFERROR(__xludf.DUMMYFUNCTION("""COMPUTED_VALUE"""),56767)</f>
        <v>56767</v>
      </c>
      <c r="V1086" s="3">
        <f ca="1">IFERROR(__xludf.DUMMYFUNCTION("""COMPUTED_VALUE"""),3.283741211)</f>
        <v>3.2837412110000002</v>
      </c>
      <c r="W1086" s="3">
        <f ca="1">IFERROR(__xludf.DUMMYFUNCTION("""COMPUTED_VALUE"""),1000)</f>
        <v>1000</v>
      </c>
      <c r="X1086" s="3">
        <f ca="1">IFERROR(__xludf.DUMMYFUNCTION("""COMPUTED_VALUE"""),1960)</f>
        <v>1960</v>
      </c>
      <c r="Y1086" s="3">
        <f ca="1">IFERROR(__xludf.DUMMYFUNCTION("""COMPUTED_VALUE"""),845)</f>
        <v>845</v>
      </c>
      <c r="Z1086" s="3">
        <f ca="1">IFERROR(__xludf.DUMMYFUNCTION("""COMPUTED_VALUE"""),316)</f>
        <v>316</v>
      </c>
      <c r="AA1086" s="3">
        <f ca="1">IFERROR(__xludf.DUMMYFUNCTION("""COMPUTED_VALUE"""),799)</f>
        <v>799</v>
      </c>
      <c r="AB1086" s="3">
        <f ca="1">IFERROR(__xludf.DUMMYFUNCTION("""COMPUTED_VALUE"""),0)</f>
        <v>0</v>
      </c>
      <c r="AC1086" s="3">
        <f ca="1">IFERROR(__xludf.DUMMYFUNCTION("""COMPUTED_VALUE"""),1)</f>
        <v>1</v>
      </c>
      <c r="AD1086" s="3" t="str">
        <f ca="1">IFERROR(__xludf.DUMMYFUNCTION("""COMPUTED_VALUE"""),"late")</f>
        <v>late</v>
      </c>
      <c r="AE1086" s="3" t="str">
        <f ca="1">IFERROR(__xludf.DUMMYFUNCTION("""COMPUTED_VALUE"""),"2055-06-02T18:45:15.232167Z")</f>
        <v>2055-06-02T18:45:15.232167Z</v>
      </c>
      <c r="AF1086" s="3" t="str">
        <f ca="1">IFERROR(__xludf.DUMMYFUNCTION("""COMPUTED_VALUE"""),"2055-06-02T18:58:34.357189Z")</f>
        <v>2055-06-02T18:58:34.357189Z</v>
      </c>
      <c r="AG1086" s="3" t="str">
        <f ca="1">IFERROR(__xludf.DUMMYFUNCTION("""COMPUTED_VALUE"""),"2055-06-02T18:25:47.336598Z")</f>
        <v>2055-06-02T18:25:47.336598Z</v>
      </c>
      <c r="AH1086" s="3" t="str">
        <f ca="1">IFERROR(__xludf.DUMMYFUNCTION("""COMPUTED_VALUE"""),"2055-06-02T18:39:59.484045Z")</f>
        <v>2055-06-02T18:39:59.484045Z</v>
      </c>
      <c r="AI1086" s="3">
        <f ca="1">IFERROR(__xludf.DUMMYFUNCTION("""COMPUTED_VALUE"""),4.79)</f>
        <v>4.79</v>
      </c>
      <c r="AJ1086" s="3">
        <f ca="1">IFERROR(__xludf.DUMMYFUNCTION("""COMPUTED_VALUE"""),1007)</f>
        <v>1007</v>
      </c>
      <c r="AK1086" s="3">
        <f ca="1">IFERROR(__xludf.DUMMYFUNCTION("""COMPUTED_VALUE"""),2899)</f>
        <v>2899</v>
      </c>
      <c r="AL1086" s="3">
        <f ca="1">IFERROR(__xludf.DUMMYFUNCTION("""COMPUTED_VALUE"""),1301)</f>
        <v>1301</v>
      </c>
      <c r="AM1086" s="3">
        <f>IFERROR(Raw_Data!AL1086 / Raw_Data!AK1086, "")</f>
        <v>0.44877543980682993</v>
      </c>
      <c r="AN1086" s="3" t="str">
        <f>IF(ISBLANK(Raw_Data!AL1086), "No", "Yes")</f>
        <v>Yes</v>
      </c>
      <c r="AO1086" s="3">
        <f>IFERROR(Raw_Data!Z1086/60, "")</f>
        <v>5.2666666666666666</v>
      </c>
    </row>
    <row r="1087" spans="1:41" ht="13">
      <c r="A1087" s="3">
        <f ca="1">IFERROR(__xludf.DUMMYFUNCTION("""COMPUTED_VALUE"""),241)</f>
        <v>241</v>
      </c>
      <c r="B1087" s="3"/>
      <c r="C1087" s="3">
        <f ca="1">IFERROR(__xludf.DUMMYFUNCTION("""COMPUTED_VALUE"""),4050)</f>
        <v>4050</v>
      </c>
      <c r="D1087" s="3" t="str">
        <f ca="1">IFERROR(__xludf.DUMMYFUNCTION("""COMPUTED_VALUE"""),"Doorlanta")</f>
        <v>Doorlanta</v>
      </c>
      <c r="E1087" s="3" t="str">
        <f ca="1">IFERROR(__xludf.DUMMYFUNCTION("""COMPUTED_VALUE"""),"Galaxy A")</f>
        <v>Galaxy A</v>
      </c>
      <c r="F1087" s="3" t="str">
        <f ca="1">IFERROR(__xludf.DUMMYFUNCTION("""COMPUTED_VALUE"""),"Katelynn")</f>
        <v>Katelynn</v>
      </c>
      <c r="G1087" s="3">
        <f ca="1">IFERROR(__xludf.DUMMYFUNCTION("""COMPUTED_VALUE"""),0)</f>
        <v>0</v>
      </c>
      <c r="H1087" s="3" t="str">
        <f ca="1">IFERROR(__xludf.DUMMYFUNCTION("""COMPUTED_VALUE"""),"car")</f>
        <v>car</v>
      </c>
      <c r="I1087" s="3" t="str">
        <f ca="1">IFERROR(__xludf.DUMMYFUNCTION("""COMPUTED_VALUE"""),"2055-06-03T01:11:57.47502Z")</f>
        <v>2055-06-03T01:11:57.47502Z</v>
      </c>
      <c r="J1087" s="3" t="str">
        <f ca="1">IFERROR(__xludf.DUMMYFUNCTION("""COMPUTED_VALUE"""),"2055-06-03T02:06:57.624Z")</f>
        <v>2055-06-03T02:06:57.624Z</v>
      </c>
      <c r="K1087" s="3" t="str">
        <f ca="1">IFERROR(__xludf.DUMMYFUNCTION("""COMPUTED_VALUE"""),"2055-06-03T01:47:08.624Z")</f>
        <v>2055-06-03T01:47:08.624Z</v>
      </c>
      <c r="L1087" s="3">
        <f ca="1">IFERROR(__xludf.DUMMYFUNCTION("""COMPUTED_VALUE"""),1)</f>
        <v>1</v>
      </c>
      <c r="M1087" s="3">
        <f ca="1">IFERROR(__xludf.DUMMYFUNCTION("""COMPUTED_VALUE"""),0)</f>
        <v>0</v>
      </c>
      <c r="N1087" s="3" t="str">
        <f ca="1">IFERROR(__xludf.DUMMYFUNCTION("""COMPUTED_VALUE"""),"2055-06-03T01:28:28.46145Z")</f>
        <v>2055-06-03T01:28:28.46145Z</v>
      </c>
      <c r="O1087" s="3" t="str">
        <f ca="1">IFERROR(__xludf.DUMMYFUNCTION("""COMPUTED_VALUE"""),"2055-06-03T01:44:19.71539Z")</f>
        <v>2055-06-03T01:44:19.71539Z</v>
      </c>
      <c r="P1087" s="3" t="str">
        <f ca="1">IFERROR(__xludf.DUMMYFUNCTION("""COMPUTED_VALUE"""),"2055-06-03T01:12:07.684201Z")</f>
        <v>2055-06-03T01:12:07.684201Z</v>
      </c>
      <c r="Q1087" s="3">
        <f ca="1">IFERROR(__xludf.DUMMYFUNCTION("""COMPUTED_VALUE"""),0)</f>
        <v>0</v>
      </c>
      <c r="R1087" s="3" t="str">
        <f ca="1">IFERROR(__xludf.DUMMYFUNCTION("""COMPUTED_VALUE"""),"2055-06-03T01:12:38.979937Z")</f>
        <v>2055-06-03T01:12:38.979937Z</v>
      </c>
      <c r="S1087" s="3" t="str">
        <f ca="1">IFERROR(__xludf.DUMMYFUNCTION("""COMPUTED_VALUE"""),"2055-06-03T01:25:15.043515Z")</f>
        <v>2055-06-03T01:25:15.043515Z</v>
      </c>
      <c r="T1087" s="3"/>
      <c r="U1087" s="4">
        <f ca="1">IFERROR(__xludf.DUMMYFUNCTION("""COMPUTED_VALUE"""),56767)</f>
        <v>56767</v>
      </c>
      <c r="V1087" s="3">
        <f ca="1">IFERROR(__xludf.DUMMYFUNCTION("""COMPUTED_VALUE"""),4.102997375)</f>
        <v>4.1029973750000002</v>
      </c>
      <c r="W1087" s="3">
        <f ca="1">IFERROR(__xludf.DUMMYFUNCTION("""COMPUTED_VALUE"""),1000)</f>
        <v>1000</v>
      </c>
      <c r="X1087" s="3">
        <f ca="1">IFERROR(__xludf.DUMMYFUNCTION("""COMPUTED_VALUE"""),1901)</f>
        <v>1901</v>
      </c>
      <c r="Y1087" s="3">
        <f ca="1">IFERROR(__xludf.DUMMYFUNCTION("""COMPUTED_VALUE"""),757)</f>
        <v>757</v>
      </c>
      <c r="Z1087" s="3">
        <f ca="1">IFERROR(__xludf.DUMMYFUNCTION("""COMPUTED_VALUE"""),193)</f>
        <v>193</v>
      </c>
      <c r="AA1087" s="3">
        <f ca="1">IFERROR(__xludf.DUMMYFUNCTION("""COMPUTED_VALUE"""),951)</f>
        <v>951</v>
      </c>
      <c r="AB1087" s="3">
        <f ca="1">IFERROR(__xludf.DUMMYFUNCTION("""COMPUTED_VALUE"""),0)</f>
        <v>0</v>
      </c>
      <c r="AC1087" s="3">
        <f ca="1">IFERROR(__xludf.DUMMYFUNCTION("""COMPUTED_VALUE"""),2)</f>
        <v>2</v>
      </c>
      <c r="AD1087" s="3" t="str">
        <f ca="1">IFERROR(__xludf.DUMMYFUNCTION("""COMPUTED_VALUE"""),"on time")</f>
        <v>on time</v>
      </c>
      <c r="AE1087" s="3" t="str">
        <f ca="1">IFERROR(__xludf.DUMMYFUNCTION("""COMPUTED_VALUE"""),"2055-06-02T21:28:28.46145Z")</f>
        <v>2055-06-02T21:28:28.46145Z</v>
      </c>
      <c r="AF1087" s="3" t="str">
        <f ca="1">IFERROR(__xludf.DUMMYFUNCTION("""COMPUTED_VALUE"""),"2055-06-02T21:44:19.71539Z")</f>
        <v>2055-06-02T21:44:19.71539Z</v>
      </c>
      <c r="AG1087" s="3" t="str">
        <f ca="1">IFERROR(__xludf.DUMMYFUNCTION("""COMPUTED_VALUE"""),"2055-06-02T21:12:07.684201Z")</f>
        <v>2055-06-02T21:12:07.684201Z</v>
      </c>
      <c r="AH1087" s="3" t="str">
        <f ca="1">IFERROR(__xludf.DUMMYFUNCTION("""COMPUTED_VALUE"""),"2055-06-02T21:25:15.043515Z")</f>
        <v>2055-06-02T21:25:15.043515Z</v>
      </c>
      <c r="AI1087" s="3">
        <f ca="1">IFERROR(__xludf.DUMMYFUNCTION("""COMPUTED_VALUE"""),4.7)</f>
        <v>4.7</v>
      </c>
      <c r="AJ1087" s="3">
        <f ca="1">IFERROR(__xludf.DUMMYFUNCTION("""COMPUTED_VALUE"""),1261)</f>
        <v>1261</v>
      </c>
      <c r="AK1087" s="3">
        <f ca="1">IFERROR(__xludf.DUMMYFUNCTION("""COMPUTED_VALUE"""),3264)</f>
        <v>3264</v>
      </c>
      <c r="AL1087" s="3">
        <f ca="1">IFERROR(__xludf.DUMMYFUNCTION("""COMPUTED_VALUE"""),232)</f>
        <v>232</v>
      </c>
      <c r="AM1087" s="3">
        <f>IFERROR(Raw_Data!AL1087 / Raw_Data!AK1087, "")</f>
        <v>7.1078431372549017E-2</v>
      </c>
      <c r="AN1087" s="3" t="str">
        <f>IF(ISBLANK(Raw_Data!AL1087), "No", "Yes")</f>
        <v>Yes</v>
      </c>
      <c r="AO1087" s="3">
        <f>IFERROR(Raw_Data!Z1087/60, "")</f>
        <v>3.2166666666666668</v>
      </c>
    </row>
    <row r="1088" spans="1:41" ht="13">
      <c r="A1088" s="3">
        <f ca="1">IFERROR(__xludf.DUMMYFUNCTION("""COMPUTED_VALUE"""),247)</f>
        <v>247</v>
      </c>
      <c r="B1088" s="3"/>
      <c r="C1088" s="3">
        <f ca="1">IFERROR(__xludf.DUMMYFUNCTION("""COMPUTED_VALUE"""),4001)</f>
        <v>4001</v>
      </c>
      <c r="D1088" s="3" t="str">
        <f ca="1">IFERROR(__xludf.DUMMYFUNCTION("""COMPUTED_VALUE"""),"Dashattan")</f>
        <v>Dashattan</v>
      </c>
      <c r="E1088" s="3" t="str">
        <f ca="1">IFERROR(__xludf.DUMMYFUNCTION("""COMPUTED_VALUE"""),"Galaxy A")</f>
        <v>Galaxy A</v>
      </c>
      <c r="F1088" s="3" t="str">
        <f ca="1">IFERROR(__xludf.DUMMYFUNCTION("""COMPUTED_VALUE"""),"KC")</f>
        <v>KC</v>
      </c>
      <c r="G1088" s="3">
        <f ca="1">IFERROR(__xludf.DUMMYFUNCTION("""COMPUTED_VALUE"""),0)</f>
        <v>0</v>
      </c>
      <c r="H1088" s="3" t="str">
        <f ca="1">IFERROR(__xludf.DUMMYFUNCTION("""COMPUTED_VALUE"""),"car")</f>
        <v>car</v>
      </c>
      <c r="I1088" s="3" t="str">
        <f ca="1">IFERROR(__xludf.DUMMYFUNCTION("""COMPUTED_VALUE"""),"2055-06-03T01:53:30.661368Z")</f>
        <v>2055-06-03T01:53:30.661368Z</v>
      </c>
      <c r="J1088" s="3" t="str">
        <f ca="1">IFERROR(__xludf.DUMMYFUNCTION("""COMPUTED_VALUE"""),"2055-06-03T02:34:57.798Z")</f>
        <v>2055-06-03T02:34:57.798Z</v>
      </c>
      <c r="K1088" s="3" t="str">
        <f ca="1">IFERROR(__xludf.DUMMYFUNCTION("""COMPUTED_VALUE"""),"2055-06-03T02:19:50.798Z")</f>
        <v>2055-06-03T02:19:50.798Z</v>
      </c>
      <c r="L1088" s="3">
        <f ca="1">IFERROR(__xludf.DUMMYFUNCTION("""COMPUTED_VALUE"""),1)</f>
        <v>1</v>
      </c>
      <c r="M1088" s="3">
        <f ca="1">IFERROR(__xludf.DUMMYFUNCTION("""COMPUTED_VALUE"""),0)</f>
        <v>0</v>
      </c>
      <c r="N1088" s="3" t="str">
        <f ca="1">IFERROR(__xludf.DUMMYFUNCTION("""COMPUTED_VALUE"""),"2055-06-03T02:04:06.646226Z")</f>
        <v>2055-06-03T02:04:06.646226Z</v>
      </c>
      <c r="O1088" s="3" t="str">
        <f ca="1">IFERROR(__xludf.DUMMYFUNCTION("""COMPUTED_VALUE"""),"2055-06-03T02:07:12.160492Z")</f>
        <v>2055-06-03T02:07:12.160492Z</v>
      </c>
      <c r="P1088" s="3" t="str">
        <f ca="1">IFERROR(__xludf.DUMMYFUNCTION("""COMPUTED_VALUE"""),"2055-06-03T01:58:54.411959Z")</f>
        <v>2055-06-03T01:58:54.411959Z</v>
      </c>
      <c r="Q1088" s="3">
        <f ca="1">IFERROR(__xludf.DUMMYFUNCTION("""COMPUTED_VALUE"""),0)</f>
        <v>0</v>
      </c>
      <c r="R1088" s="3" t="str">
        <f ca="1">IFERROR(__xludf.DUMMYFUNCTION("""COMPUTED_VALUE"""),"2055-06-03T01:59:01.948331Z")</f>
        <v>2055-06-03T01:59:01.948331Z</v>
      </c>
      <c r="S1088" s="3" t="str">
        <f ca="1">IFERROR(__xludf.DUMMYFUNCTION("""COMPUTED_VALUE"""),"2055-06-03T02:00:43.873865Z")</f>
        <v>2055-06-03T02:00:43.873865Z</v>
      </c>
      <c r="T1088" s="3"/>
      <c r="U1088" s="4">
        <f ca="1">IFERROR(__xludf.DUMMYFUNCTION("""COMPUTED_VALUE"""),56767)</f>
        <v>56767</v>
      </c>
      <c r="V1088" s="3">
        <f ca="1">IFERROR(__xludf.DUMMYFUNCTION("""COMPUTED_VALUE"""),4.8)</f>
        <v>4.8</v>
      </c>
      <c r="W1088" s="3">
        <f ca="1">IFERROR(__xludf.DUMMYFUNCTION("""COMPUTED_VALUE"""),1000)</f>
        <v>1000</v>
      </c>
      <c r="X1088" s="3">
        <f ca="1">IFERROR(__xludf.DUMMYFUNCTION("""COMPUTED_VALUE"""),491)</f>
        <v>491</v>
      </c>
      <c r="Y1088" s="3">
        <f ca="1">IFERROR(__xludf.DUMMYFUNCTION("""COMPUTED_VALUE"""),102)</f>
        <v>102</v>
      </c>
      <c r="Z1088" s="3">
        <f ca="1">IFERROR(__xludf.DUMMYFUNCTION("""COMPUTED_VALUE"""),203)</f>
        <v>203</v>
      </c>
      <c r="AA1088" s="3">
        <f ca="1">IFERROR(__xludf.DUMMYFUNCTION("""COMPUTED_VALUE"""),186)</f>
        <v>186</v>
      </c>
      <c r="AB1088" s="3">
        <f ca="1">IFERROR(__xludf.DUMMYFUNCTION("""COMPUTED_VALUE"""),0)</f>
        <v>0</v>
      </c>
      <c r="AC1088" s="3">
        <f ca="1">IFERROR(__xludf.DUMMYFUNCTION("""COMPUTED_VALUE"""),1)</f>
        <v>1</v>
      </c>
      <c r="AD1088" s="3" t="str">
        <f ca="1">IFERROR(__xludf.DUMMYFUNCTION("""COMPUTED_VALUE"""),"early")</f>
        <v>early</v>
      </c>
      <c r="AE1088" s="3" t="str">
        <f ca="1">IFERROR(__xludf.DUMMYFUNCTION("""COMPUTED_VALUE"""),"2055-06-02T22:04:06.646226Z")</f>
        <v>2055-06-02T22:04:06.646226Z</v>
      </c>
      <c r="AF1088" s="3" t="str">
        <f ca="1">IFERROR(__xludf.DUMMYFUNCTION("""COMPUTED_VALUE"""),"2055-06-02T22:07:12.160492Z")</f>
        <v>2055-06-02T22:07:12.160492Z</v>
      </c>
      <c r="AG1088" s="3" t="str">
        <f ca="1">IFERROR(__xludf.DUMMYFUNCTION("""COMPUTED_VALUE"""),"2055-06-02T21:58:54.411959Z")</f>
        <v>2055-06-02T21:58:54.411959Z</v>
      </c>
      <c r="AH1088" s="3" t="str">
        <f ca="1">IFERROR(__xludf.DUMMYFUNCTION("""COMPUTED_VALUE"""),"2055-06-02T22:00:43.873865Z")</f>
        <v>2055-06-02T22:00:43.873865Z</v>
      </c>
      <c r="AI1088" s="3">
        <f ca="1">IFERROR(__xludf.DUMMYFUNCTION("""COMPUTED_VALUE"""),4.54)</f>
        <v>4.54</v>
      </c>
      <c r="AJ1088" s="3">
        <f ca="1">IFERROR(__xludf.DUMMYFUNCTION("""COMPUTED_VALUE"""),2229)</f>
        <v>2229</v>
      </c>
      <c r="AK1088" s="3">
        <f ca="1">IFERROR(__xludf.DUMMYFUNCTION("""COMPUTED_VALUE"""),6580)</f>
        <v>6580</v>
      </c>
      <c r="AL1088" s="3"/>
      <c r="AM1088" s="3">
        <f>IFERROR(Raw_Data!AL1088 / Raw_Data!AK1088, "")</f>
        <v>0</v>
      </c>
      <c r="AN1088" s="3" t="str">
        <f>IF(ISBLANK(Raw_Data!AL1088), "No", "Yes")</f>
        <v>No</v>
      </c>
      <c r="AO1088" s="3">
        <f>IFERROR(Raw_Data!Z1088/60, "")</f>
        <v>3.3833333333333333</v>
      </c>
    </row>
    <row r="1089" spans="1:41" ht="13">
      <c r="A1089" s="3">
        <f ca="1">IFERROR(__xludf.DUMMYFUNCTION("""COMPUTED_VALUE"""),297)</f>
        <v>297</v>
      </c>
      <c r="B1089" s="3">
        <f ca="1">IFERROR(__xludf.DUMMYFUNCTION("""COMPUTED_VALUE"""),4)</f>
        <v>4</v>
      </c>
      <c r="C1089" s="3">
        <f ca="1">IFERROR(__xludf.DUMMYFUNCTION("""COMPUTED_VALUE"""),4001)</f>
        <v>4001</v>
      </c>
      <c r="D1089" s="3" t="str">
        <f ca="1">IFERROR(__xludf.DUMMYFUNCTION("""COMPUTED_VALUE"""),"Dashattan")</f>
        <v>Dashattan</v>
      </c>
      <c r="E1089" s="3" t="str">
        <f ca="1">IFERROR(__xludf.DUMMYFUNCTION("""COMPUTED_VALUE"""),"Galaxy A")</f>
        <v>Galaxy A</v>
      </c>
      <c r="F1089" s="3" t="str">
        <f ca="1">IFERROR(__xludf.DUMMYFUNCTION("""COMPUTED_VALUE"""),"Arya")</f>
        <v>Arya</v>
      </c>
      <c r="G1089" s="3">
        <f ca="1">IFERROR(__xludf.DUMMYFUNCTION("""COMPUTED_VALUE"""),0)</f>
        <v>0</v>
      </c>
      <c r="H1089" s="3" t="str">
        <f ca="1">IFERROR(__xludf.DUMMYFUNCTION("""COMPUTED_VALUE"""),"bicycle")</f>
        <v>bicycle</v>
      </c>
      <c r="I1089" s="3" t="str">
        <f ca="1">IFERROR(__xludf.DUMMYFUNCTION("""COMPUTED_VALUE"""),"2055-06-03T17:30:40.51194Z")</f>
        <v>2055-06-03T17:30:40.51194Z</v>
      </c>
      <c r="J1089" s="3" t="str">
        <f ca="1">IFERROR(__xludf.DUMMYFUNCTION("""COMPUTED_VALUE"""),"2055-06-03T18:19:21.573Z")</f>
        <v>2055-06-03T18:19:21.573Z</v>
      </c>
      <c r="K1089" s="3" t="str">
        <f ca="1">IFERROR(__xludf.DUMMYFUNCTION("""COMPUTED_VALUE"""),"2055-06-03T17:59:42.573Z")</f>
        <v>2055-06-03T17:59:42.573Z</v>
      </c>
      <c r="L1089" s="3">
        <f ca="1">IFERROR(__xludf.DUMMYFUNCTION("""COMPUTED_VALUE"""),1)</f>
        <v>1</v>
      </c>
      <c r="M1089" s="3">
        <f ca="1">IFERROR(__xludf.DUMMYFUNCTION("""COMPUTED_VALUE"""),0)</f>
        <v>0</v>
      </c>
      <c r="N1089" s="3" t="str">
        <f ca="1">IFERROR(__xludf.DUMMYFUNCTION("""COMPUTED_VALUE"""),"2055-06-03T18:04:24.347165Z")</f>
        <v>2055-06-03T18:04:24.347165Z</v>
      </c>
      <c r="O1089" s="3" t="str">
        <f ca="1">IFERROR(__xludf.DUMMYFUNCTION("""COMPUTED_VALUE"""),"2055-06-03T18:16:02.66549Z")</f>
        <v>2055-06-03T18:16:02.66549Z</v>
      </c>
      <c r="P1089" s="3" t="str">
        <f ca="1">IFERROR(__xludf.DUMMYFUNCTION("""COMPUTED_VALUE"""),"2055-06-03T17:31:34.485898Z")</f>
        <v>2055-06-03T17:31:34.485898Z</v>
      </c>
      <c r="Q1089" s="3">
        <f ca="1">IFERROR(__xludf.DUMMYFUNCTION("""COMPUTED_VALUE"""),0)</f>
        <v>0</v>
      </c>
      <c r="R1089" s="3" t="str">
        <f ca="1">IFERROR(__xludf.DUMMYFUNCTION("""COMPUTED_VALUE"""),"2055-06-03T17:32:07.970532Z")</f>
        <v>2055-06-03T17:32:07.970532Z</v>
      </c>
      <c r="S1089" s="3" t="str">
        <f ca="1">IFERROR(__xludf.DUMMYFUNCTION("""COMPUTED_VALUE"""),"2055-06-03T18:05:12.174673Z")</f>
        <v>2055-06-03T18:05:12.174673Z</v>
      </c>
      <c r="T1089" s="3"/>
      <c r="U1089" s="4">
        <f ca="1">IFERROR(__xludf.DUMMYFUNCTION("""COMPUTED_VALUE"""),56768)</f>
        <v>56768</v>
      </c>
      <c r="V1089" s="3">
        <f ca="1">IFERROR(__xludf.DUMMYFUNCTION("""COMPUTED_VALUE"""),3.492049515)</f>
        <v>3.4920495150000002</v>
      </c>
      <c r="W1089" s="3">
        <f ca="1">IFERROR(__xludf.DUMMYFUNCTION("""COMPUTED_VALUE"""),1000)</f>
        <v>1000</v>
      </c>
      <c r="X1089" s="3">
        <f ca="1">IFERROR(__xludf.DUMMYFUNCTION("""COMPUTED_VALUE"""),2635)</f>
        <v>2635</v>
      </c>
      <c r="Y1089" s="3">
        <f ca="1">IFERROR(__xludf.DUMMYFUNCTION("""COMPUTED_VALUE"""),1985)</f>
        <v>1985</v>
      </c>
      <c r="Z1089" s="3"/>
      <c r="AA1089" s="3">
        <f ca="1">IFERROR(__xludf.DUMMYFUNCTION("""COMPUTED_VALUE"""),698)</f>
        <v>698</v>
      </c>
      <c r="AB1089" s="3">
        <f ca="1">IFERROR(__xludf.DUMMYFUNCTION("""COMPUTED_VALUE"""),0)</f>
        <v>0</v>
      </c>
      <c r="AC1089" s="3">
        <f ca="1">IFERROR(__xludf.DUMMYFUNCTION("""COMPUTED_VALUE"""),1)</f>
        <v>1</v>
      </c>
      <c r="AD1089" s="3" t="str">
        <f ca="1">IFERROR(__xludf.DUMMYFUNCTION("""COMPUTED_VALUE"""),"late")</f>
        <v>late</v>
      </c>
      <c r="AE1089" s="3" t="str">
        <f ca="1">IFERROR(__xludf.DUMMYFUNCTION("""COMPUTED_VALUE"""),"2055-06-03T14:04:24.347165Z")</f>
        <v>2055-06-03T14:04:24.347165Z</v>
      </c>
      <c r="AF1089" s="3" t="str">
        <f ca="1">IFERROR(__xludf.DUMMYFUNCTION("""COMPUTED_VALUE"""),"2055-06-03T14:16:02.66549Z")</f>
        <v>2055-06-03T14:16:02.66549Z</v>
      </c>
      <c r="AG1089" s="3" t="str">
        <f ca="1">IFERROR(__xludf.DUMMYFUNCTION("""COMPUTED_VALUE"""),"2055-06-03T13:31:34.485898Z")</f>
        <v>2055-06-03T13:31:34.485898Z</v>
      </c>
      <c r="AH1089" s="3" t="str">
        <f ca="1">IFERROR(__xludf.DUMMYFUNCTION("""COMPUTED_VALUE"""),"2055-06-03T14:05:12.174673Z")</f>
        <v>2055-06-03T14:05:12.174673Z</v>
      </c>
      <c r="AI1089" s="3">
        <f ca="1">IFERROR(__xludf.DUMMYFUNCTION("""COMPUTED_VALUE"""),4.17)</f>
        <v>4.17</v>
      </c>
      <c r="AJ1089" s="3">
        <f ca="1">IFERROR(__xludf.DUMMYFUNCTION("""COMPUTED_VALUE"""),457)</f>
        <v>457</v>
      </c>
      <c r="AK1089" s="3">
        <f ca="1">IFERROR(__xludf.DUMMYFUNCTION("""COMPUTED_VALUE"""),1599)</f>
        <v>1599</v>
      </c>
      <c r="AL1089" s="3"/>
      <c r="AM1089" s="3">
        <f>IFERROR(Raw_Data!AL1089 / Raw_Data!AK1089, "")</f>
        <v>0</v>
      </c>
      <c r="AN1089" s="3" t="str">
        <f>IF(ISBLANK(Raw_Data!AL1089), "No", "Yes")</f>
        <v>No</v>
      </c>
      <c r="AO1089" s="3">
        <f>IFERROR(Raw_Data!Z1089/60, "")</f>
        <v>0</v>
      </c>
    </row>
    <row r="1090" spans="1:41" ht="13">
      <c r="A1090" s="3">
        <f ca="1">IFERROR(__xludf.DUMMYFUNCTION("""COMPUTED_VALUE"""),507)</f>
        <v>507</v>
      </c>
      <c r="B1090" s="3">
        <f ca="1">IFERROR(__xludf.DUMMYFUNCTION("""COMPUTED_VALUE"""),5)</f>
        <v>5</v>
      </c>
      <c r="C1090" s="3">
        <f ca="1">IFERROR(__xludf.DUMMYFUNCTION("""COMPUTED_VALUE"""),4050)</f>
        <v>4050</v>
      </c>
      <c r="D1090" s="3" t="str">
        <f ca="1">IFERROR(__xludf.DUMMYFUNCTION("""COMPUTED_VALUE"""),"Doorlanta")</f>
        <v>Doorlanta</v>
      </c>
      <c r="E1090" s="3" t="str">
        <f ca="1">IFERROR(__xludf.DUMMYFUNCTION("""COMPUTED_VALUE"""),"Galaxy A")</f>
        <v>Galaxy A</v>
      </c>
      <c r="F1090" s="3" t="str">
        <f ca="1">IFERROR(__xludf.DUMMYFUNCTION("""COMPUTED_VALUE"""),"Merissa")</f>
        <v>Merissa</v>
      </c>
      <c r="G1090" s="3">
        <f ca="1">IFERROR(__xludf.DUMMYFUNCTION("""COMPUTED_VALUE"""),0)</f>
        <v>0</v>
      </c>
      <c r="H1090" s="3" t="str">
        <f ca="1">IFERROR(__xludf.DUMMYFUNCTION("""COMPUTED_VALUE"""),"car")</f>
        <v>car</v>
      </c>
      <c r="I1090" s="3" t="str">
        <f ca="1">IFERROR(__xludf.DUMMYFUNCTION("""COMPUTED_VALUE"""),"2055-06-05T00:14:06.730854Z")</f>
        <v>2055-06-05T00:14:06.730854Z</v>
      </c>
      <c r="J1090" s="3" t="str">
        <f ca="1">IFERROR(__xludf.DUMMYFUNCTION("""COMPUTED_VALUE"""),"2055-06-05T01:19:27.796Z")</f>
        <v>2055-06-05T01:19:27.796Z</v>
      </c>
      <c r="K1090" s="3" t="str">
        <f ca="1">IFERROR(__xludf.DUMMYFUNCTION("""COMPUTED_VALUE"""),"2055-06-05T00:56:09.796Z")</f>
        <v>2055-06-05T00:56:09.796Z</v>
      </c>
      <c r="L1090" s="3">
        <f ca="1">IFERROR(__xludf.DUMMYFUNCTION("""COMPUTED_VALUE"""),1)</f>
        <v>1</v>
      </c>
      <c r="M1090" s="3">
        <f ca="1">IFERROR(__xludf.DUMMYFUNCTION("""COMPUTED_VALUE"""),0)</f>
        <v>0</v>
      </c>
      <c r="N1090" s="3" t="str">
        <f ca="1">IFERROR(__xludf.DUMMYFUNCTION("""COMPUTED_VALUE"""),"2055-06-05T00:42:15.641071Z")</f>
        <v>2055-06-05T00:42:15.641071Z</v>
      </c>
      <c r="O1090" s="3" t="str">
        <f ca="1">IFERROR(__xludf.DUMMYFUNCTION("""COMPUTED_VALUE"""),"2055-06-05T01:01:55.544448Z")</f>
        <v>2055-06-05T01:01:55.544448Z</v>
      </c>
      <c r="P1090" s="3" t="str">
        <f ca="1">IFERROR(__xludf.DUMMYFUNCTION("""COMPUTED_VALUE"""),"2055-06-05T00:27:27.459824Z")</f>
        <v>2055-06-05T00:27:27.459824Z</v>
      </c>
      <c r="Q1090" s="3">
        <f ca="1">IFERROR(__xludf.DUMMYFUNCTION("""COMPUTED_VALUE"""),0)</f>
        <v>0</v>
      </c>
      <c r="R1090" s="3" t="str">
        <f ca="1">IFERROR(__xludf.DUMMYFUNCTION("""COMPUTED_VALUE"""),"2055-06-05T00:27:32.298313Z")</f>
        <v>2055-06-05T00:27:32.298313Z</v>
      </c>
      <c r="S1090" s="3" t="str">
        <f ca="1">IFERROR(__xludf.DUMMYFUNCTION("""COMPUTED_VALUE"""),"2055-06-05T00:41:57.515112Z")</f>
        <v>2055-06-05T00:41:57.515112Z</v>
      </c>
      <c r="T1090" s="3"/>
      <c r="U1090" s="4">
        <f ca="1">IFERROR(__xludf.DUMMYFUNCTION("""COMPUTED_VALUE"""),56769)</f>
        <v>56769</v>
      </c>
      <c r="V1090" s="3">
        <f ca="1">IFERROR(__xludf.DUMMYFUNCTION("""COMPUTED_VALUE"""),4.6)</f>
        <v>4.5999999999999996</v>
      </c>
      <c r="W1090" s="3">
        <f ca="1">IFERROR(__xludf.DUMMYFUNCTION("""COMPUTED_VALUE"""),1000)</f>
        <v>1000</v>
      </c>
      <c r="X1090" s="3">
        <f ca="1">IFERROR(__xludf.DUMMYFUNCTION("""COMPUTED_VALUE"""),2063)</f>
        <v>2063</v>
      </c>
      <c r="Y1090" s="3">
        <f ca="1">IFERROR(__xludf.DUMMYFUNCTION("""COMPUTED_VALUE"""),865)</f>
        <v>865</v>
      </c>
      <c r="Z1090" s="3">
        <f ca="1">IFERROR(__xludf.DUMMYFUNCTION("""COMPUTED_VALUE"""),18)</f>
        <v>18</v>
      </c>
      <c r="AA1090" s="3">
        <f ca="1">IFERROR(__xludf.DUMMYFUNCTION("""COMPUTED_VALUE"""),1180)</f>
        <v>1180</v>
      </c>
      <c r="AB1090" s="3">
        <f ca="1">IFERROR(__xludf.DUMMYFUNCTION("""COMPUTED_VALUE"""),0)</f>
        <v>0</v>
      </c>
      <c r="AC1090" s="3">
        <f ca="1">IFERROR(__xludf.DUMMYFUNCTION("""COMPUTED_VALUE"""),2)</f>
        <v>2</v>
      </c>
      <c r="AD1090" s="3" t="str">
        <f ca="1">IFERROR(__xludf.DUMMYFUNCTION("""COMPUTED_VALUE"""),"late")</f>
        <v>late</v>
      </c>
      <c r="AE1090" s="3" t="str">
        <f ca="1">IFERROR(__xludf.DUMMYFUNCTION("""COMPUTED_VALUE"""),"2055-06-04T20:42:15.641071Z")</f>
        <v>2055-06-04T20:42:15.641071Z</v>
      </c>
      <c r="AF1090" s="3" t="str">
        <f ca="1">IFERROR(__xludf.DUMMYFUNCTION("""COMPUTED_VALUE"""),"2055-06-04T21:01:55.544448Z")</f>
        <v>2055-06-04T21:01:55.544448Z</v>
      </c>
      <c r="AG1090" s="3" t="str">
        <f ca="1">IFERROR(__xludf.DUMMYFUNCTION("""COMPUTED_VALUE"""),"2055-06-04T20:27:27.459824Z")</f>
        <v>2055-06-04T20:27:27.459824Z</v>
      </c>
      <c r="AH1090" s="3" t="str">
        <f ca="1">IFERROR(__xludf.DUMMYFUNCTION("""COMPUTED_VALUE"""),"2055-06-04T20:41:57.515112Z")</f>
        <v>2055-06-04T20:41:57.515112Z</v>
      </c>
      <c r="AI1090" s="3">
        <f ca="1">IFERROR(__xludf.DUMMYFUNCTION("""COMPUTED_VALUE"""),4.58)</f>
        <v>4.58</v>
      </c>
      <c r="AJ1090" s="3">
        <f ca="1">IFERROR(__xludf.DUMMYFUNCTION("""COMPUTED_VALUE"""),679)</f>
        <v>679</v>
      </c>
      <c r="AK1090" s="3">
        <f ca="1">IFERROR(__xludf.DUMMYFUNCTION("""COMPUTED_VALUE"""),2371)</f>
        <v>2371</v>
      </c>
      <c r="AL1090" s="3">
        <f ca="1">IFERROR(__xludf.DUMMYFUNCTION("""COMPUTED_VALUE"""),1830)</f>
        <v>1830</v>
      </c>
      <c r="AM1090" s="3">
        <f>IFERROR(Raw_Data!AL1090 / Raw_Data!AK1090, "")</f>
        <v>0.7718262336566849</v>
      </c>
      <c r="AN1090" s="3" t="str">
        <f>IF(ISBLANK(Raw_Data!AL1090), "No", "Yes")</f>
        <v>Yes</v>
      </c>
      <c r="AO1090" s="3">
        <f>IFERROR(Raw_Data!Z1090/60, "")</f>
        <v>0.3</v>
      </c>
    </row>
    <row r="1091" spans="1:41" ht="13">
      <c r="A1091" s="3">
        <f ca="1">IFERROR(__xludf.DUMMYFUNCTION("""COMPUTED_VALUE"""),529)</f>
        <v>529</v>
      </c>
      <c r="B1091" s="3"/>
      <c r="C1091" s="3">
        <f ca="1">IFERROR(__xludf.DUMMYFUNCTION("""COMPUTED_VALUE"""),4001)</f>
        <v>4001</v>
      </c>
      <c r="D1091" s="3" t="str">
        <f ca="1">IFERROR(__xludf.DUMMYFUNCTION("""COMPUTED_VALUE"""),"Dashattan")</f>
        <v>Dashattan</v>
      </c>
      <c r="E1091" s="3" t="str">
        <f ca="1">IFERROR(__xludf.DUMMYFUNCTION("""COMPUTED_VALUE"""),"Galaxy A")</f>
        <v>Galaxy A</v>
      </c>
      <c r="F1091" s="3" t="str">
        <f ca="1">IFERROR(__xludf.DUMMYFUNCTION("""COMPUTED_VALUE"""),"Arya")</f>
        <v>Arya</v>
      </c>
      <c r="G1091" s="3">
        <f ca="1">IFERROR(__xludf.DUMMYFUNCTION("""COMPUTED_VALUE"""),0)</f>
        <v>0</v>
      </c>
      <c r="H1091" s="3" t="str">
        <f ca="1">IFERROR(__xludf.DUMMYFUNCTION("""COMPUTED_VALUE"""),"bicycle")</f>
        <v>bicycle</v>
      </c>
      <c r="I1091" s="3" t="str">
        <f ca="1">IFERROR(__xludf.DUMMYFUNCTION("""COMPUTED_VALUE"""),"2055-06-05T01:35:22.429978Z")</f>
        <v>2055-06-05T01:35:22.429978Z</v>
      </c>
      <c r="J1091" s="3" t="str">
        <f ca="1">IFERROR(__xludf.DUMMYFUNCTION("""COMPUTED_VALUE"""),"2055-06-05T02:31:06.497Z")</f>
        <v>2055-06-05T02:31:06.497Z</v>
      </c>
      <c r="K1091" s="3" t="str">
        <f ca="1">IFERROR(__xludf.DUMMYFUNCTION("""COMPUTED_VALUE"""),"2055-06-05T02:07:48.497Z")</f>
        <v>2055-06-05T02:07:48.497Z</v>
      </c>
      <c r="L1091" s="3">
        <f ca="1">IFERROR(__xludf.DUMMYFUNCTION("""COMPUTED_VALUE"""),1)</f>
        <v>1</v>
      </c>
      <c r="M1091" s="3">
        <f ca="1">IFERROR(__xludf.DUMMYFUNCTION("""COMPUTED_VALUE"""),0)</f>
        <v>0</v>
      </c>
      <c r="N1091" s="3" t="str">
        <f ca="1">IFERROR(__xludf.DUMMYFUNCTION("""COMPUTED_VALUE"""),"2055-06-05T01:50:59.316271Z")</f>
        <v>2055-06-05T01:50:59.316271Z</v>
      </c>
      <c r="O1091" s="3" t="str">
        <f ca="1">IFERROR(__xludf.DUMMYFUNCTION("""COMPUTED_VALUE"""),"2055-06-05T02:01:27.766229Z")</f>
        <v>2055-06-05T02:01:27.766229Z</v>
      </c>
      <c r="P1091" s="3" t="str">
        <f ca="1">IFERROR(__xludf.DUMMYFUNCTION("""COMPUTED_VALUE"""),"2055-06-05T01:35:34.184005Z")</f>
        <v>2055-06-05T01:35:34.184005Z</v>
      </c>
      <c r="Q1091" s="3">
        <f ca="1">IFERROR(__xludf.DUMMYFUNCTION("""COMPUTED_VALUE"""),0)</f>
        <v>0</v>
      </c>
      <c r="R1091" s="3" t="str">
        <f ca="1">IFERROR(__xludf.DUMMYFUNCTION("""COMPUTED_VALUE"""),"2055-06-05T01:35:48.957473Z")</f>
        <v>2055-06-05T01:35:48.957473Z</v>
      </c>
      <c r="S1091" s="3" t="str">
        <f ca="1">IFERROR(__xludf.DUMMYFUNCTION("""COMPUTED_VALUE"""),"2055-06-05T01:44:56.68283Z")</f>
        <v>2055-06-05T01:44:56.68283Z</v>
      </c>
      <c r="T1091" s="3"/>
      <c r="U1091" s="4">
        <f ca="1">IFERROR(__xludf.DUMMYFUNCTION("""COMPUTED_VALUE"""),56769)</f>
        <v>56769</v>
      </c>
      <c r="V1091" s="3">
        <f ca="1">IFERROR(__xludf.DUMMYFUNCTION("""COMPUTED_VALUE"""),4.5)</f>
        <v>4.5</v>
      </c>
      <c r="W1091" s="3">
        <f ca="1">IFERROR(__xludf.DUMMYFUNCTION("""COMPUTED_VALUE"""),1000)</f>
        <v>1000</v>
      </c>
      <c r="X1091" s="3">
        <f ca="1">IFERROR(__xludf.DUMMYFUNCTION("""COMPUTED_VALUE"""),1539)</f>
        <v>1539</v>
      </c>
      <c r="Y1091" s="3">
        <f ca="1">IFERROR(__xludf.DUMMYFUNCTION("""COMPUTED_VALUE"""),548)</f>
        <v>548</v>
      </c>
      <c r="Z1091" s="3">
        <f ca="1">IFERROR(__xludf.DUMMYFUNCTION("""COMPUTED_VALUE"""),363)</f>
        <v>363</v>
      </c>
      <c r="AA1091" s="3">
        <f ca="1">IFERROR(__xludf.DUMMYFUNCTION("""COMPUTED_VALUE"""),628)</f>
        <v>628</v>
      </c>
      <c r="AB1091" s="3">
        <f ca="1">IFERROR(__xludf.DUMMYFUNCTION("""COMPUTED_VALUE"""),1)</f>
        <v>1</v>
      </c>
      <c r="AC1091" s="3">
        <f ca="1">IFERROR(__xludf.DUMMYFUNCTION("""COMPUTED_VALUE"""),1)</f>
        <v>1</v>
      </c>
      <c r="AD1091" s="3"/>
      <c r="AE1091" s="3" t="str">
        <f ca="1">IFERROR(__xludf.DUMMYFUNCTION("""COMPUTED_VALUE"""),"2055-06-04T21:50:59.316271Z")</f>
        <v>2055-06-04T21:50:59.316271Z</v>
      </c>
      <c r="AF1091" s="3" t="str">
        <f ca="1">IFERROR(__xludf.DUMMYFUNCTION("""COMPUTED_VALUE"""),"2055-06-04T22:01:27.766229Z")</f>
        <v>2055-06-04T22:01:27.766229Z</v>
      </c>
      <c r="AG1091" s="3" t="str">
        <f ca="1">IFERROR(__xludf.DUMMYFUNCTION("""COMPUTED_VALUE"""),"2055-06-04T21:35:34.184005Z")</f>
        <v>2055-06-04T21:35:34.184005Z</v>
      </c>
      <c r="AH1091" s="3" t="str">
        <f ca="1">IFERROR(__xludf.DUMMYFUNCTION("""COMPUTED_VALUE"""),"2055-06-04T21:44:56.68283Z")</f>
        <v>2055-06-04T21:44:56.68283Z</v>
      </c>
      <c r="AI1091" s="3">
        <f ca="1">IFERROR(__xludf.DUMMYFUNCTION("""COMPUTED_VALUE"""),4.17)</f>
        <v>4.17</v>
      </c>
      <c r="AJ1091" s="3">
        <f ca="1">IFERROR(__xludf.DUMMYFUNCTION("""COMPUTED_VALUE"""),457)</f>
        <v>457</v>
      </c>
      <c r="AK1091" s="3">
        <f ca="1">IFERROR(__xludf.DUMMYFUNCTION("""COMPUTED_VALUE"""),1599)</f>
        <v>1599</v>
      </c>
      <c r="AL1091" s="3"/>
      <c r="AM1091" s="3">
        <f>IFERROR(Raw_Data!AL1091 / Raw_Data!AK1091, "")</f>
        <v>0</v>
      </c>
      <c r="AN1091" s="3" t="str">
        <f>IF(ISBLANK(Raw_Data!AL1091), "No", "Yes")</f>
        <v>No</v>
      </c>
      <c r="AO1091" s="3">
        <f>IFERROR(Raw_Data!Z1091/60, "")</f>
        <v>6.05</v>
      </c>
    </row>
    <row r="1092" spans="1:41" ht="13">
      <c r="A1092" s="3">
        <f ca="1">IFERROR(__xludf.DUMMYFUNCTION("""COMPUTED_VALUE"""),606)</f>
        <v>606</v>
      </c>
      <c r="B1092" s="3">
        <f ca="1">IFERROR(__xludf.DUMMYFUNCTION("""COMPUTED_VALUE"""),5)</f>
        <v>5</v>
      </c>
      <c r="C1092" s="3">
        <f ca="1">IFERROR(__xludf.DUMMYFUNCTION("""COMPUTED_VALUE"""),4050)</f>
        <v>4050</v>
      </c>
      <c r="D1092" s="3" t="str">
        <f ca="1">IFERROR(__xludf.DUMMYFUNCTION("""COMPUTED_VALUE"""),"Doorlanta")</f>
        <v>Doorlanta</v>
      </c>
      <c r="E1092" s="3" t="str">
        <f ca="1">IFERROR(__xludf.DUMMYFUNCTION("""COMPUTED_VALUE"""),"Galaxy A")</f>
        <v>Galaxy A</v>
      </c>
      <c r="F1092" s="3" t="str">
        <f ca="1">IFERROR(__xludf.DUMMYFUNCTION("""COMPUTED_VALUE"""),"Elon")</f>
        <v>Elon</v>
      </c>
      <c r="G1092" s="3">
        <f ca="1">IFERROR(__xludf.DUMMYFUNCTION("""COMPUTED_VALUE"""),0)</f>
        <v>0</v>
      </c>
      <c r="H1092" s="3" t="str">
        <f ca="1">IFERROR(__xludf.DUMMYFUNCTION("""COMPUTED_VALUE"""),"car")</f>
        <v>car</v>
      </c>
      <c r="I1092" s="3" t="str">
        <f ca="1">IFERROR(__xludf.DUMMYFUNCTION("""COMPUTED_VALUE"""),"2055-06-05T20:19:09.821482Z")</f>
        <v>2055-06-05T20:19:09.821482Z</v>
      </c>
      <c r="J1092" s="3" t="str">
        <f ca="1">IFERROR(__xludf.DUMMYFUNCTION("""COMPUTED_VALUE"""),"2055-06-05T21:10:29.897Z")</f>
        <v>2055-06-05T21:10:29.897Z</v>
      </c>
      <c r="K1092" s="3" t="str">
        <f ca="1">IFERROR(__xludf.DUMMYFUNCTION("""COMPUTED_VALUE"""),"2055-06-05T20:57:11.897Z")</f>
        <v>2055-06-05T20:57:11.897Z</v>
      </c>
      <c r="L1092" s="3">
        <f ca="1">IFERROR(__xludf.DUMMYFUNCTION("""COMPUTED_VALUE"""),1)</f>
        <v>1</v>
      </c>
      <c r="M1092" s="3">
        <f ca="1">IFERROR(__xludf.DUMMYFUNCTION("""COMPUTED_VALUE"""),0)</f>
        <v>0</v>
      </c>
      <c r="N1092" s="3" t="str">
        <f ca="1">IFERROR(__xludf.DUMMYFUNCTION("""COMPUTED_VALUE"""),"2055-06-05T20:34:45.57189Z")</f>
        <v>2055-06-05T20:34:45.57189Z</v>
      </c>
      <c r="O1092" s="3" t="str">
        <f ca="1">IFERROR(__xludf.DUMMYFUNCTION("""COMPUTED_VALUE"""),"2055-06-05T20:35:42.877759Z")</f>
        <v>2055-06-05T20:35:42.877759Z</v>
      </c>
      <c r="P1092" s="3" t="str">
        <f ca="1">IFERROR(__xludf.DUMMYFUNCTION("""COMPUTED_VALUE"""),"2055-06-05T20:27:07.373435Z")</f>
        <v>2055-06-05T20:27:07.373435Z</v>
      </c>
      <c r="Q1092" s="3">
        <f ca="1">IFERROR(__xludf.DUMMYFUNCTION("""COMPUTED_VALUE"""),0)</f>
        <v>0</v>
      </c>
      <c r="R1092" s="3" t="str">
        <f ca="1">IFERROR(__xludf.DUMMYFUNCTION("""COMPUTED_VALUE"""),"2055-06-05T20:27:45.98646Z")</f>
        <v>2055-06-05T20:27:45.98646Z</v>
      </c>
      <c r="S1092" s="3" t="str">
        <f ca="1">IFERROR(__xludf.DUMMYFUNCTION("""COMPUTED_VALUE"""),"2055-06-05T20:32:16.761154Z")</f>
        <v>2055-06-05T20:32:16.761154Z</v>
      </c>
      <c r="T1092" s="3"/>
      <c r="U1092" s="4">
        <f ca="1">IFERROR(__xludf.DUMMYFUNCTION("""COMPUTED_VALUE"""),56770)</f>
        <v>56770</v>
      </c>
      <c r="V1092" s="3">
        <f ca="1">IFERROR(__xludf.DUMMYFUNCTION("""COMPUTED_VALUE"""),4.5)</f>
        <v>4.5</v>
      </c>
      <c r="W1092" s="3">
        <f ca="1">IFERROR(__xludf.DUMMYFUNCTION("""COMPUTED_VALUE"""),1000)</f>
        <v>1000</v>
      </c>
      <c r="X1092" s="3">
        <f ca="1">IFERROR(__xludf.DUMMYFUNCTION("""COMPUTED_VALUE"""),477)</f>
        <v>477</v>
      </c>
      <c r="Y1092" s="3">
        <f ca="1">IFERROR(__xludf.DUMMYFUNCTION("""COMPUTED_VALUE"""),271)</f>
        <v>271</v>
      </c>
      <c r="Z1092" s="3">
        <f ca="1">IFERROR(__xludf.DUMMYFUNCTION("""COMPUTED_VALUE"""),149)</f>
        <v>149</v>
      </c>
      <c r="AA1092" s="3">
        <f ca="1">IFERROR(__xludf.DUMMYFUNCTION("""COMPUTED_VALUE"""),57)</f>
        <v>57</v>
      </c>
      <c r="AB1092" s="3">
        <f ca="1">IFERROR(__xludf.DUMMYFUNCTION("""COMPUTED_VALUE"""),0)</f>
        <v>0</v>
      </c>
      <c r="AC1092" s="3">
        <f ca="1">IFERROR(__xludf.DUMMYFUNCTION("""COMPUTED_VALUE"""),4)</f>
        <v>4</v>
      </c>
      <c r="AD1092" s="3" t="str">
        <f ca="1">IFERROR(__xludf.DUMMYFUNCTION("""COMPUTED_VALUE"""),"on time")</f>
        <v>on time</v>
      </c>
      <c r="AE1092" s="3" t="str">
        <f ca="1">IFERROR(__xludf.DUMMYFUNCTION("""COMPUTED_VALUE"""),"2055-06-05T16:34:45.57189Z")</f>
        <v>2055-06-05T16:34:45.57189Z</v>
      </c>
      <c r="AF1092" s="3" t="str">
        <f ca="1">IFERROR(__xludf.DUMMYFUNCTION("""COMPUTED_VALUE"""),"2055-06-05T16:35:42.877759Z")</f>
        <v>2055-06-05T16:35:42.877759Z</v>
      </c>
      <c r="AG1092" s="3" t="str">
        <f ca="1">IFERROR(__xludf.DUMMYFUNCTION("""COMPUTED_VALUE"""),"2055-06-05T16:27:07.373435Z")</f>
        <v>2055-06-05T16:27:07.373435Z</v>
      </c>
      <c r="AH1092" s="3" t="str">
        <f ca="1">IFERROR(__xludf.DUMMYFUNCTION("""COMPUTED_VALUE"""),"2055-06-05T16:32:16.761154Z")</f>
        <v>2055-06-05T16:32:16.761154Z</v>
      </c>
      <c r="AI1092" s="3">
        <f ca="1">IFERROR(__xludf.DUMMYFUNCTION("""COMPUTED_VALUE"""),4.62)</f>
        <v>4.62</v>
      </c>
      <c r="AJ1092" s="3">
        <f ca="1">IFERROR(__xludf.DUMMYFUNCTION("""COMPUTED_VALUE"""),259)</f>
        <v>259</v>
      </c>
      <c r="AK1092" s="3">
        <f ca="1">IFERROR(__xludf.DUMMYFUNCTION("""COMPUTED_VALUE"""),604)</f>
        <v>604</v>
      </c>
      <c r="AL1092" s="3">
        <f ca="1">IFERROR(__xludf.DUMMYFUNCTION("""COMPUTED_VALUE"""),21)</f>
        <v>21</v>
      </c>
      <c r="AM1092" s="3">
        <f>IFERROR(Raw_Data!AL1092 / Raw_Data!AK1092, "")</f>
        <v>3.4768211920529798E-2</v>
      </c>
      <c r="AN1092" s="3" t="str">
        <f>IF(ISBLANK(Raw_Data!AL1092), "No", "Yes")</f>
        <v>Yes</v>
      </c>
      <c r="AO1092" s="3">
        <f>IFERROR(Raw_Data!Z1092/60, "")</f>
        <v>2.4833333333333334</v>
      </c>
    </row>
    <row r="1093" spans="1:41" ht="13">
      <c r="A1093" s="3">
        <f ca="1">IFERROR(__xludf.DUMMYFUNCTION("""COMPUTED_VALUE"""),922)</f>
        <v>922</v>
      </c>
      <c r="B1093" s="3"/>
      <c r="C1093" s="3">
        <f ca="1">IFERROR(__xludf.DUMMYFUNCTION("""COMPUTED_VALUE"""),4001)</f>
        <v>4001</v>
      </c>
      <c r="D1093" s="3" t="str">
        <f ca="1">IFERROR(__xludf.DUMMYFUNCTION("""COMPUTED_VALUE"""),"Dashattan")</f>
        <v>Dashattan</v>
      </c>
      <c r="E1093" s="3" t="str">
        <f ca="1">IFERROR(__xludf.DUMMYFUNCTION("""COMPUTED_VALUE"""),"Galaxy A")</f>
        <v>Galaxy A</v>
      </c>
      <c r="F1093" s="3" t="str">
        <f ca="1">IFERROR(__xludf.DUMMYFUNCTION("""COMPUTED_VALUE"""),"Rojan")</f>
        <v>Rojan</v>
      </c>
      <c r="G1093" s="3">
        <f ca="1">IFERROR(__xludf.DUMMYFUNCTION("""COMPUTED_VALUE"""),0)</f>
        <v>0</v>
      </c>
      <c r="H1093" s="3" t="str">
        <f ca="1">IFERROR(__xludf.DUMMYFUNCTION("""COMPUTED_VALUE"""),"bicycle")</f>
        <v>bicycle</v>
      </c>
      <c r="I1093" s="3" t="str">
        <f ca="1">IFERROR(__xludf.DUMMYFUNCTION("""COMPUTED_VALUE"""),"2055-06-08T12:43:54.034171Z")</f>
        <v>2055-06-08T12:43:54.034171Z</v>
      </c>
      <c r="J1093" s="3" t="str">
        <f ca="1">IFERROR(__xludf.DUMMYFUNCTION("""COMPUTED_VALUE"""),"2055-06-08T13:37:15.194Z")</f>
        <v>2055-06-08T13:37:15.194Z</v>
      </c>
      <c r="K1093" s="3" t="str">
        <f ca="1">IFERROR(__xludf.DUMMYFUNCTION("""COMPUTED_VALUE"""),"2055-06-08T13:22:34.194Z")</f>
        <v>2055-06-08T13:22:34.194Z</v>
      </c>
      <c r="L1093" s="3">
        <f ca="1">IFERROR(__xludf.DUMMYFUNCTION("""COMPUTED_VALUE"""),1)</f>
        <v>1</v>
      </c>
      <c r="M1093" s="3">
        <f ca="1">IFERROR(__xludf.DUMMYFUNCTION("""COMPUTED_VALUE"""),0)</f>
        <v>0</v>
      </c>
      <c r="N1093" s="3" t="str">
        <f ca="1">IFERROR(__xludf.DUMMYFUNCTION("""COMPUTED_VALUE"""),"2055-06-08T13:36:49.743921Z")</f>
        <v>2055-06-08T13:36:49.743921Z</v>
      </c>
      <c r="O1093" s="3" t="str">
        <f ca="1">IFERROR(__xludf.DUMMYFUNCTION("""COMPUTED_VALUE"""),"2055-06-08T13:49:52.401818Z")</f>
        <v>2055-06-08T13:49:52.401818Z</v>
      </c>
      <c r="P1093" s="3" t="str">
        <f ca="1">IFERROR(__xludf.DUMMYFUNCTION("""COMPUTED_VALUE"""),"2055-06-08T13:21:01.830589Z")</f>
        <v>2055-06-08T13:21:01.830589Z</v>
      </c>
      <c r="Q1093" s="3">
        <f ca="1">IFERROR(__xludf.DUMMYFUNCTION("""COMPUTED_VALUE"""),1)</f>
        <v>1</v>
      </c>
      <c r="R1093" s="3" t="str">
        <f ca="1">IFERROR(__xludf.DUMMYFUNCTION("""COMPUTED_VALUE"""),"2055-06-08T13:21:26.600337Z")</f>
        <v>2055-06-08T13:21:26.600337Z</v>
      </c>
      <c r="S1093" s="3"/>
      <c r="T1093" s="3"/>
      <c r="U1093" s="4">
        <f ca="1">IFERROR(__xludf.DUMMYFUNCTION("""COMPUTED_VALUE"""),56773)</f>
        <v>56773</v>
      </c>
      <c r="V1093" s="3">
        <f ca="1">IFERROR(__xludf.DUMMYFUNCTION("""COMPUTED_VALUE"""),3.885187863)</f>
        <v>3.8851878630000001</v>
      </c>
      <c r="W1093" s="3">
        <f ca="1">IFERROR(__xludf.DUMMYFUNCTION("""COMPUTED_VALUE"""),1000)</f>
        <v>1000</v>
      </c>
      <c r="X1093" s="3">
        <f ca="1">IFERROR(__xludf.DUMMYFUNCTION("""COMPUTED_VALUE"""),1706)</f>
        <v>1706</v>
      </c>
      <c r="Y1093" s="3"/>
      <c r="Z1093" s="3"/>
      <c r="AA1093" s="3">
        <f ca="1">IFERROR(__xludf.DUMMYFUNCTION("""COMPUTED_VALUE"""),783)</f>
        <v>783</v>
      </c>
      <c r="AB1093" s="3">
        <f ca="1">IFERROR(__xludf.DUMMYFUNCTION("""COMPUTED_VALUE"""),1)</f>
        <v>1</v>
      </c>
      <c r="AC1093" s="3">
        <f ca="1">IFERROR(__xludf.DUMMYFUNCTION("""COMPUTED_VALUE"""),2)</f>
        <v>2</v>
      </c>
      <c r="AD1093" s="3"/>
      <c r="AE1093" s="3" t="str">
        <f ca="1">IFERROR(__xludf.DUMMYFUNCTION("""COMPUTED_VALUE"""),"2055-06-08T09:36:49.743921Z")</f>
        <v>2055-06-08T09:36:49.743921Z</v>
      </c>
      <c r="AF1093" s="3" t="str">
        <f ca="1">IFERROR(__xludf.DUMMYFUNCTION("""COMPUTED_VALUE"""),"2055-06-08T09:49:52.401818Z")</f>
        <v>2055-06-08T09:49:52.401818Z</v>
      </c>
      <c r="AG1093" s="3" t="str">
        <f ca="1">IFERROR(__xludf.DUMMYFUNCTION("""COMPUTED_VALUE"""),"2055-06-08T09:21:01.830589Z")</f>
        <v>2055-06-08T09:21:01.830589Z</v>
      </c>
      <c r="AH1093" s="3"/>
      <c r="AI1093" s="3">
        <f ca="1">IFERROR(__xludf.DUMMYFUNCTION("""COMPUTED_VALUE"""),4.58)</f>
        <v>4.58</v>
      </c>
      <c r="AJ1093" s="3">
        <f ca="1">IFERROR(__xludf.DUMMYFUNCTION("""COMPUTED_VALUE"""),254)</f>
        <v>254</v>
      </c>
      <c r="AK1093" s="3">
        <f ca="1">IFERROR(__xludf.DUMMYFUNCTION("""COMPUTED_VALUE"""),788)</f>
        <v>788</v>
      </c>
      <c r="AL1093" s="3">
        <f ca="1">IFERROR(__xludf.DUMMYFUNCTION("""COMPUTED_VALUE"""),9)</f>
        <v>9</v>
      </c>
      <c r="AM1093" s="3">
        <f>IFERROR(Raw_Data!AL1093 / Raw_Data!AK1093, "")</f>
        <v>1.1421319796954314E-2</v>
      </c>
      <c r="AN1093" s="3" t="str">
        <f>IF(ISBLANK(Raw_Data!AL1093), "No", "Yes")</f>
        <v>Yes</v>
      </c>
      <c r="AO1093" s="3">
        <f>IFERROR(Raw_Data!Z1093/60, "")</f>
        <v>0</v>
      </c>
    </row>
    <row r="1094" spans="1:41" ht="13">
      <c r="A1094" s="3">
        <f ca="1">IFERROR(__xludf.DUMMYFUNCTION("""COMPUTED_VALUE"""),950)</f>
        <v>950</v>
      </c>
      <c r="B1094" s="3"/>
      <c r="C1094" s="3">
        <f ca="1">IFERROR(__xludf.DUMMYFUNCTION("""COMPUTED_VALUE"""),4001)</f>
        <v>4001</v>
      </c>
      <c r="D1094" s="3" t="str">
        <f ca="1">IFERROR(__xludf.DUMMYFUNCTION("""COMPUTED_VALUE"""),"Dashattan")</f>
        <v>Dashattan</v>
      </c>
      <c r="E1094" s="3" t="str">
        <f ca="1">IFERROR(__xludf.DUMMYFUNCTION("""COMPUTED_VALUE"""),"Galaxy A")</f>
        <v>Galaxy A</v>
      </c>
      <c r="F1094" s="3" t="str">
        <f ca="1">IFERROR(__xludf.DUMMYFUNCTION("""COMPUTED_VALUE"""),"Sean")</f>
        <v>Sean</v>
      </c>
      <c r="G1094" s="3">
        <f ca="1">IFERROR(__xludf.DUMMYFUNCTION("""COMPUTED_VALUE"""),0)</f>
        <v>0</v>
      </c>
      <c r="H1094" s="3" t="str">
        <f ca="1">IFERROR(__xludf.DUMMYFUNCTION("""COMPUTED_VALUE"""),"bicycle")</f>
        <v>bicycle</v>
      </c>
      <c r="I1094" s="3" t="str">
        <f ca="1">IFERROR(__xludf.DUMMYFUNCTION("""COMPUTED_VALUE"""),"2055-06-08T17:04:14.650154Z")</f>
        <v>2055-06-08T17:04:14.650154Z</v>
      </c>
      <c r="J1094" s="3" t="str">
        <f ca="1">IFERROR(__xludf.DUMMYFUNCTION("""COMPUTED_VALUE"""),"2055-06-08T18:19:13.707Z")</f>
        <v>2055-06-08T18:19:13.707Z</v>
      </c>
      <c r="K1094" s="3" t="str">
        <f ca="1">IFERROR(__xludf.DUMMYFUNCTION("""COMPUTED_VALUE"""),"2055-06-08T17:53:24.707Z")</f>
        <v>2055-06-08T17:53:24.707Z</v>
      </c>
      <c r="L1094" s="3">
        <f ca="1">IFERROR(__xludf.DUMMYFUNCTION("""COMPUTED_VALUE"""),1)</f>
        <v>1</v>
      </c>
      <c r="M1094" s="3">
        <f ca="1">IFERROR(__xludf.DUMMYFUNCTION("""COMPUTED_VALUE"""),0)</f>
        <v>0</v>
      </c>
      <c r="N1094" s="3" t="str">
        <f ca="1">IFERROR(__xludf.DUMMYFUNCTION("""COMPUTED_VALUE"""),"2055-06-08T18:14:10.802357Z")</f>
        <v>2055-06-08T18:14:10.802357Z</v>
      </c>
      <c r="O1094" s="3" t="str">
        <f ca="1">IFERROR(__xludf.DUMMYFUNCTION("""COMPUTED_VALUE"""),"2055-06-08T18:31:16.652316Z")</f>
        <v>2055-06-08T18:31:16.652316Z</v>
      </c>
      <c r="P1094" s="3" t="str">
        <f ca="1">IFERROR(__xludf.DUMMYFUNCTION("""COMPUTED_VALUE"""),"2055-06-08T17:46:34.34099Z")</f>
        <v>2055-06-08T17:46:34.34099Z</v>
      </c>
      <c r="Q1094" s="3">
        <f ca="1">IFERROR(__xludf.DUMMYFUNCTION("""COMPUTED_VALUE"""),0)</f>
        <v>0</v>
      </c>
      <c r="R1094" s="3" t="str">
        <f ca="1">IFERROR(__xludf.DUMMYFUNCTION("""COMPUTED_VALUE"""),"2055-06-08T17:47:18.654387Z")</f>
        <v>2055-06-08T17:47:18.654387Z</v>
      </c>
      <c r="S1094" s="3" t="str">
        <f ca="1">IFERROR(__xludf.DUMMYFUNCTION("""COMPUTED_VALUE"""),"2055-06-08T18:09:52.480203Z")</f>
        <v>2055-06-08T18:09:52.480203Z</v>
      </c>
      <c r="T1094" s="3"/>
      <c r="U1094" s="4">
        <f ca="1">IFERROR(__xludf.DUMMYFUNCTION("""COMPUTED_VALUE"""),56773)</f>
        <v>56773</v>
      </c>
      <c r="V1094" s="3">
        <f ca="1">IFERROR(__xludf.DUMMYFUNCTION("""COMPUTED_VALUE"""),3.149602091)</f>
        <v>3.1496020910000002</v>
      </c>
      <c r="W1094" s="3">
        <f ca="1">IFERROR(__xludf.DUMMYFUNCTION("""COMPUTED_VALUE"""),1000)</f>
        <v>1000</v>
      </c>
      <c r="X1094" s="3">
        <f ca="1">IFERROR(__xludf.DUMMYFUNCTION("""COMPUTED_VALUE"""),2638)</f>
        <v>2638</v>
      </c>
      <c r="Y1094" s="3">
        <f ca="1">IFERROR(__xludf.DUMMYFUNCTION("""COMPUTED_VALUE"""),1354)</f>
        <v>1354</v>
      </c>
      <c r="Z1094" s="3">
        <f ca="1">IFERROR(__xludf.DUMMYFUNCTION("""COMPUTED_VALUE"""),258)</f>
        <v>258</v>
      </c>
      <c r="AA1094" s="3">
        <f ca="1">IFERROR(__xludf.DUMMYFUNCTION("""COMPUTED_VALUE"""),1026)</f>
        <v>1026</v>
      </c>
      <c r="AB1094" s="3">
        <f ca="1">IFERROR(__xludf.DUMMYFUNCTION("""COMPUTED_VALUE"""),0)</f>
        <v>0</v>
      </c>
      <c r="AC1094" s="3">
        <f ca="1">IFERROR(__xludf.DUMMYFUNCTION("""COMPUTED_VALUE"""),4)</f>
        <v>4</v>
      </c>
      <c r="AD1094" s="3" t="str">
        <f ca="1">IFERROR(__xludf.DUMMYFUNCTION("""COMPUTED_VALUE"""),"late")</f>
        <v>late</v>
      </c>
      <c r="AE1094" s="3" t="str">
        <f ca="1">IFERROR(__xludf.DUMMYFUNCTION("""COMPUTED_VALUE"""),"2055-06-08T14:14:10.802357Z")</f>
        <v>2055-06-08T14:14:10.802357Z</v>
      </c>
      <c r="AF1094" s="3" t="str">
        <f ca="1">IFERROR(__xludf.DUMMYFUNCTION("""COMPUTED_VALUE"""),"2055-06-08T14:31:16.652316Z")</f>
        <v>2055-06-08T14:31:16.652316Z</v>
      </c>
      <c r="AG1094" s="3" t="str">
        <f ca="1">IFERROR(__xludf.DUMMYFUNCTION("""COMPUTED_VALUE"""),"2055-06-08T13:46:34.34099Z")</f>
        <v>2055-06-08T13:46:34.34099Z</v>
      </c>
      <c r="AH1094" s="3" t="str">
        <f ca="1">IFERROR(__xludf.DUMMYFUNCTION("""COMPUTED_VALUE"""),"2055-06-08T14:09:52.480203Z")</f>
        <v>2055-06-08T14:09:52.480203Z</v>
      </c>
      <c r="AI1094" s="3">
        <f ca="1">IFERROR(__xludf.DUMMYFUNCTION("""COMPUTED_VALUE"""),4.52)</f>
        <v>4.5199999999999996</v>
      </c>
      <c r="AJ1094" s="3">
        <f ca="1">IFERROR(__xludf.DUMMYFUNCTION("""COMPUTED_VALUE"""),183)</f>
        <v>183</v>
      </c>
      <c r="AK1094" s="3">
        <f ca="1">IFERROR(__xludf.DUMMYFUNCTION("""COMPUTED_VALUE"""),522)</f>
        <v>522</v>
      </c>
      <c r="AL1094" s="3"/>
      <c r="AM1094" s="3">
        <f>IFERROR(Raw_Data!AL1094 / Raw_Data!AK1094, "")</f>
        <v>0</v>
      </c>
      <c r="AN1094" s="3" t="str">
        <f>IF(ISBLANK(Raw_Data!AL1094), "No", "Yes")</f>
        <v>No</v>
      </c>
      <c r="AO1094" s="3">
        <f>IFERROR(Raw_Data!Z1094/60, "")</f>
        <v>4.3</v>
      </c>
    </row>
    <row r="1095" spans="1:41" ht="13">
      <c r="A1095" s="3">
        <f ca="1">IFERROR(__xludf.DUMMYFUNCTION("""COMPUTED_VALUE"""),237)</f>
        <v>237</v>
      </c>
      <c r="B1095" s="3"/>
      <c r="C1095" s="3">
        <f ca="1">IFERROR(__xludf.DUMMYFUNCTION("""COMPUTED_VALUE"""),4001)</f>
        <v>4001</v>
      </c>
      <c r="D1095" s="3" t="str">
        <f ca="1">IFERROR(__xludf.DUMMYFUNCTION("""COMPUTED_VALUE"""),"Dashattan")</f>
        <v>Dashattan</v>
      </c>
      <c r="E1095" s="3" t="str">
        <f ca="1">IFERROR(__xludf.DUMMYFUNCTION("""COMPUTED_VALUE"""),"Galaxy A")</f>
        <v>Galaxy A</v>
      </c>
      <c r="F1095" s="3" t="str">
        <f ca="1">IFERROR(__xludf.DUMMYFUNCTION("""COMPUTED_VALUE"""),"KC")</f>
        <v>KC</v>
      </c>
      <c r="G1095" s="3">
        <f ca="1">IFERROR(__xludf.DUMMYFUNCTION("""COMPUTED_VALUE"""),0)</f>
        <v>0</v>
      </c>
      <c r="H1095" s="3" t="str">
        <f ca="1">IFERROR(__xludf.DUMMYFUNCTION("""COMPUTED_VALUE"""),"car")</f>
        <v>car</v>
      </c>
      <c r="I1095" s="3" t="str">
        <f ca="1">IFERROR(__xludf.DUMMYFUNCTION("""COMPUTED_VALUE"""),"2055-06-03T01:03:31.980817Z")</f>
        <v>2055-06-03T01:03:31.980817Z</v>
      </c>
      <c r="J1095" s="3" t="str">
        <f ca="1">IFERROR(__xludf.DUMMYFUNCTION("""COMPUTED_VALUE"""),"2055-06-03T02:14:17.066Z")</f>
        <v>2055-06-03T02:14:17.066Z</v>
      </c>
      <c r="K1095" s="3" t="str">
        <f ca="1">IFERROR(__xludf.DUMMYFUNCTION("""COMPUTED_VALUE"""),"2055-06-03T01:52:23.066Z")</f>
        <v>2055-06-03T01:52:23.066Z</v>
      </c>
      <c r="L1095" s="3">
        <f ca="1">IFERROR(__xludf.DUMMYFUNCTION("""COMPUTED_VALUE"""),1)</f>
        <v>1</v>
      </c>
      <c r="M1095" s="3">
        <f ca="1">IFERROR(__xludf.DUMMYFUNCTION("""COMPUTED_VALUE"""),0)</f>
        <v>0</v>
      </c>
      <c r="N1095" s="3" t="str">
        <f ca="1">IFERROR(__xludf.DUMMYFUNCTION("""COMPUTED_VALUE"""),"2055-06-03T01:23:34.760343Z")</f>
        <v>2055-06-03T01:23:34.760343Z</v>
      </c>
      <c r="O1095" s="3" t="str">
        <f ca="1">IFERROR(__xludf.DUMMYFUNCTION("""COMPUTED_VALUE"""),"2055-06-03T01:37:41.967346Z")</f>
        <v>2055-06-03T01:37:41.967346Z</v>
      </c>
      <c r="P1095" s="3" t="str">
        <f ca="1">IFERROR(__xludf.DUMMYFUNCTION("""COMPUTED_VALUE"""),"2055-06-03T01:12:25.809057Z")</f>
        <v>2055-06-03T01:12:25.809057Z</v>
      </c>
      <c r="Q1095" s="3">
        <f ca="1">IFERROR(__xludf.DUMMYFUNCTION("""COMPUTED_VALUE"""),1)</f>
        <v>1</v>
      </c>
      <c r="R1095" s="3" t="str">
        <f ca="1">IFERROR(__xludf.DUMMYFUNCTION("""COMPUTED_VALUE"""),"2055-06-03T01:12:33.669768Z")</f>
        <v>2055-06-03T01:12:33.669768Z</v>
      </c>
      <c r="S1095" s="3" t="str">
        <f ca="1">IFERROR(__xludf.DUMMYFUNCTION("""COMPUTED_VALUE"""),"2055-06-03T01:16:40.870677Z")</f>
        <v>2055-06-03T01:16:40.870677Z</v>
      </c>
      <c r="T1095" s="3"/>
      <c r="U1095" s="4">
        <f ca="1">IFERROR(__xludf.DUMMYFUNCTION("""COMPUTED_VALUE"""),56767)</f>
        <v>56767</v>
      </c>
      <c r="V1095" s="3">
        <f ca="1">IFERROR(__xludf.DUMMYFUNCTION("""COMPUTED_VALUE"""),2.687293788)</f>
        <v>2.6872937879999999</v>
      </c>
      <c r="W1095" s="3">
        <f ca="1">IFERROR(__xludf.DUMMYFUNCTION("""COMPUTED_VALUE"""),1000)</f>
        <v>1000</v>
      </c>
      <c r="X1095" s="3">
        <f ca="1">IFERROR(__xludf.DUMMYFUNCTION("""COMPUTED_VALUE"""),1508)</f>
        <v>1508</v>
      </c>
      <c r="Y1095" s="3">
        <f ca="1">IFERROR(__xludf.DUMMYFUNCTION("""COMPUTED_VALUE"""),247)</f>
        <v>247</v>
      </c>
      <c r="Z1095" s="3">
        <f ca="1">IFERROR(__xludf.DUMMYFUNCTION("""COMPUTED_VALUE"""),414)</f>
        <v>414</v>
      </c>
      <c r="AA1095" s="3">
        <f ca="1">IFERROR(__xludf.DUMMYFUNCTION("""COMPUTED_VALUE"""),847)</f>
        <v>847</v>
      </c>
      <c r="AB1095" s="3">
        <f ca="1">IFERROR(__xludf.DUMMYFUNCTION("""COMPUTED_VALUE"""),1)</f>
        <v>1</v>
      </c>
      <c r="AC1095" s="3">
        <f ca="1">IFERROR(__xludf.DUMMYFUNCTION("""COMPUTED_VALUE"""),1)</f>
        <v>1</v>
      </c>
      <c r="AD1095" s="3"/>
      <c r="AE1095" s="3" t="str">
        <f ca="1">IFERROR(__xludf.DUMMYFUNCTION("""COMPUTED_VALUE"""),"2055-06-02T21:23:34.760343Z")</f>
        <v>2055-06-02T21:23:34.760343Z</v>
      </c>
      <c r="AF1095" s="3" t="str">
        <f ca="1">IFERROR(__xludf.DUMMYFUNCTION("""COMPUTED_VALUE"""),"2055-06-02T21:37:41.967346Z")</f>
        <v>2055-06-02T21:37:41.967346Z</v>
      </c>
      <c r="AG1095" s="3" t="str">
        <f ca="1">IFERROR(__xludf.DUMMYFUNCTION("""COMPUTED_VALUE"""),"2055-06-02T21:12:25.809057Z")</f>
        <v>2055-06-02T21:12:25.809057Z</v>
      </c>
      <c r="AH1095" s="3" t="str">
        <f ca="1">IFERROR(__xludf.DUMMYFUNCTION("""COMPUTED_VALUE"""),"2055-06-02T21:16:40.870677Z")</f>
        <v>2055-06-02T21:16:40.870677Z</v>
      </c>
      <c r="AI1095" s="3">
        <f ca="1">IFERROR(__xludf.DUMMYFUNCTION("""COMPUTED_VALUE"""),4.54)</f>
        <v>4.54</v>
      </c>
      <c r="AJ1095" s="3">
        <f ca="1">IFERROR(__xludf.DUMMYFUNCTION("""COMPUTED_VALUE"""),2229)</f>
        <v>2229</v>
      </c>
      <c r="AK1095" s="3">
        <f ca="1">IFERROR(__xludf.DUMMYFUNCTION("""COMPUTED_VALUE"""),6580)</f>
        <v>6580</v>
      </c>
      <c r="AL1095" s="3"/>
      <c r="AM1095" s="3">
        <f>IFERROR(Raw_Data!AL1095 / Raw_Data!AK1095, "")</f>
        <v>0</v>
      </c>
      <c r="AN1095" s="3" t="str">
        <f>IF(ISBLANK(Raw_Data!AL1095), "No", "Yes")</f>
        <v>No</v>
      </c>
      <c r="AO1095" s="3">
        <f>IFERROR(Raw_Data!Z1095/60, "")</f>
        <v>6.9</v>
      </c>
    </row>
    <row r="1096" spans="1:41" ht="13">
      <c r="A1096" s="3">
        <f ca="1">IFERROR(__xludf.DUMMYFUNCTION("""COMPUTED_VALUE"""),357)</f>
        <v>357</v>
      </c>
      <c r="B1096" s="3"/>
      <c r="C1096" s="3">
        <f ca="1">IFERROR(__xludf.DUMMYFUNCTION("""COMPUTED_VALUE"""),4050)</f>
        <v>4050</v>
      </c>
      <c r="D1096" s="3" t="str">
        <f ca="1">IFERROR(__xludf.DUMMYFUNCTION("""COMPUTED_VALUE"""),"Doorlanta")</f>
        <v>Doorlanta</v>
      </c>
      <c r="E1096" s="3" t="str">
        <f ca="1">IFERROR(__xludf.DUMMYFUNCTION("""COMPUTED_VALUE"""),"Galaxy A")</f>
        <v>Galaxy A</v>
      </c>
      <c r="F1096" s="3" t="str">
        <f ca="1">IFERROR(__xludf.DUMMYFUNCTION("""COMPUTED_VALUE"""),"Hersh")</f>
        <v>Hersh</v>
      </c>
      <c r="G1096" s="3">
        <f ca="1">IFERROR(__xludf.DUMMYFUNCTION("""COMPUTED_VALUE"""),0)</f>
        <v>0</v>
      </c>
      <c r="H1096" s="3" t="str">
        <f ca="1">IFERROR(__xludf.DUMMYFUNCTION("""COMPUTED_VALUE"""),"car")</f>
        <v>car</v>
      </c>
      <c r="I1096" s="3" t="str">
        <f ca="1">IFERROR(__xludf.DUMMYFUNCTION("""COMPUTED_VALUE"""),"2055-06-03T23:05:05.850899Z")</f>
        <v>2055-06-03T23:05:05.850899Z</v>
      </c>
      <c r="J1096" s="3" t="str">
        <f ca="1">IFERROR(__xludf.DUMMYFUNCTION("""COMPUTED_VALUE"""),"2055-06-03T23:45:05.948Z")</f>
        <v>2055-06-03T23:45:05.948Z</v>
      </c>
      <c r="K1096" s="3" t="str">
        <f ca="1">IFERROR(__xludf.DUMMYFUNCTION("""COMPUTED_VALUE"""),"2055-06-03T23:38:54.948Z")</f>
        <v>2055-06-03T23:38:54.948Z</v>
      </c>
      <c r="L1096" s="3">
        <f ca="1">IFERROR(__xludf.DUMMYFUNCTION("""COMPUTED_VALUE"""),1)</f>
        <v>1</v>
      </c>
      <c r="M1096" s="3">
        <f ca="1">IFERROR(__xludf.DUMMYFUNCTION("""COMPUTED_VALUE"""),0)</f>
        <v>0</v>
      </c>
      <c r="N1096" s="3" t="str">
        <f ca="1">IFERROR(__xludf.DUMMYFUNCTION("""COMPUTED_VALUE"""),"2055-06-03T23:25:19.288663Z")</f>
        <v>2055-06-03T23:25:19.288663Z</v>
      </c>
      <c r="O1096" s="3" t="str">
        <f ca="1">IFERROR(__xludf.DUMMYFUNCTION("""COMPUTED_VALUE"""),"2055-06-03T23:36:05.948025Z")</f>
        <v>2055-06-03T23:36:05.948025Z</v>
      </c>
      <c r="P1096" s="3" t="str">
        <f ca="1">IFERROR(__xludf.DUMMYFUNCTION("""COMPUTED_VALUE"""),"2055-06-03T23:10:27.245542Z")</f>
        <v>2055-06-03T23:10:27.245542Z</v>
      </c>
      <c r="Q1096" s="3">
        <f ca="1">IFERROR(__xludf.DUMMYFUNCTION("""COMPUTED_VALUE"""),0)</f>
        <v>0</v>
      </c>
      <c r="R1096" s="3" t="str">
        <f ca="1">IFERROR(__xludf.DUMMYFUNCTION("""COMPUTED_VALUE"""),"2055-06-03T23:10:31.537855Z")</f>
        <v>2055-06-03T23:10:31.537855Z</v>
      </c>
      <c r="S1096" s="3" t="str">
        <f ca="1">IFERROR(__xludf.DUMMYFUNCTION("""COMPUTED_VALUE"""),"2055-06-03T23:22:10.380878Z")</f>
        <v>2055-06-03T23:22:10.380878Z</v>
      </c>
      <c r="T1096" s="3"/>
      <c r="U1096" s="4">
        <f ca="1">IFERROR(__xludf.DUMMYFUNCTION("""COMPUTED_VALUE"""),56768)</f>
        <v>56768</v>
      </c>
      <c r="V1096" s="3">
        <f ca="1">IFERROR(__xludf.DUMMYFUNCTION("""COMPUTED_VALUE"""),4.3)</f>
        <v>4.3</v>
      </c>
      <c r="W1096" s="3">
        <f ca="1">IFERROR(__xludf.DUMMYFUNCTION("""COMPUTED_VALUE"""),1000)</f>
        <v>1000</v>
      </c>
      <c r="X1096" s="3">
        <f ca="1">IFERROR(__xludf.DUMMYFUNCTION("""COMPUTED_VALUE"""),1534)</f>
        <v>1534</v>
      </c>
      <c r="Y1096" s="3">
        <f ca="1">IFERROR(__xludf.DUMMYFUNCTION("""COMPUTED_VALUE"""),699)</f>
        <v>699</v>
      </c>
      <c r="Z1096" s="3">
        <f ca="1">IFERROR(__xludf.DUMMYFUNCTION("""COMPUTED_VALUE"""),189)</f>
        <v>189</v>
      </c>
      <c r="AA1096" s="3">
        <f ca="1">IFERROR(__xludf.DUMMYFUNCTION("""COMPUTED_VALUE"""),646)</f>
        <v>646</v>
      </c>
      <c r="AB1096" s="3">
        <f ca="1">IFERROR(__xludf.DUMMYFUNCTION("""COMPUTED_VALUE"""),0)</f>
        <v>0</v>
      </c>
      <c r="AC1096" s="3">
        <f ca="1">IFERROR(__xludf.DUMMYFUNCTION("""COMPUTED_VALUE"""),1)</f>
        <v>1</v>
      </c>
      <c r="AD1096" s="3" t="str">
        <f ca="1">IFERROR(__xludf.DUMMYFUNCTION("""COMPUTED_VALUE"""),"late")</f>
        <v>late</v>
      </c>
      <c r="AE1096" s="3" t="str">
        <f ca="1">IFERROR(__xludf.DUMMYFUNCTION("""COMPUTED_VALUE"""),"2055-06-03T19:25:19.288663Z")</f>
        <v>2055-06-03T19:25:19.288663Z</v>
      </c>
      <c r="AF1096" s="3" t="str">
        <f ca="1">IFERROR(__xludf.DUMMYFUNCTION("""COMPUTED_VALUE"""),"2055-06-03T19:36:05.948025Z")</f>
        <v>2055-06-03T19:36:05.948025Z</v>
      </c>
      <c r="AG1096" s="3" t="str">
        <f ca="1">IFERROR(__xludf.DUMMYFUNCTION("""COMPUTED_VALUE"""),"2055-06-03T19:10:27.245542Z")</f>
        <v>2055-06-03T19:10:27.245542Z</v>
      </c>
      <c r="AH1096" s="3" t="str">
        <f ca="1">IFERROR(__xludf.DUMMYFUNCTION("""COMPUTED_VALUE"""),"2055-06-03T19:22:10.380878Z")</f>
        <v>2055-06-03T19:22:10.380878Z</v>
      </c>
      <c r="AI1096" s="3">
        <f ca="1">IFERROR(__xludf.DUMMYFUNCTION("""COMPUTED_VALUE"""),4.7)</f>
        <v>4.7</v>
      </c>
      <c r="AJ1096" s="3">
        <f ca="1">IFERROR(__xludf.DUMMYFUNCTION("""COMPUTED_VALUE"""),212)</f>
        <v>212</v>
      </c>
      <c r="AK1096" s="3">
        <f ca="1">IFERROR(__xludf.DUMMYFUNCTION("""COMPUTED_VALUE"""),624)</f>
        <v>624</v>
      </c>
      <c r="AL1096" s="3">
        <f ca="1">IFERROR(__xludf.DUMMYFUNCTION("""COMPUTED_VALUE"""),347)</f>
        <v>347</v>
      </c>
      <c r="AM1096" s="3">
        <f>IFERROR(Raw_Data!AL1096 / Raw_Data!AK1096, "")</f>
        <v>0.55608974358974361</v>
      </c>
      <c r="AN1096" s="3" t="str">
        <f>IF(ISBLANK(Raw_Data!AL1096), "No", "Yes")</f>
        <v>Yes</v>
      </c>
      <c r="AO1096" s="3">
        <f>IFERROR(Raw_Data!Z1096/60, "")</f>
        <v>3.15</v>
      </c>
    </row>
    <row r="1097" spans="1:41" ht="13">
      <c r="A1097" s="3">
        <f ca="1">IFERROR(__xludf.DUMMYFUNCTION("""COMPUTED_VALUE"""),815)</f>
        <v>815</v>
      </c>
      <c r="B1097" s="3">
        <f ca="1">IFERROR(__xludf.DUMMYFUNCTION("""COMPUTED_VALUE"""),5)</f>
        <v>5</v>
      </c>
      <c r="C1097" s="3">
        <f ca="1">IFERROR(__xludf.DUMMYFUNCTION("""COMPUTED_VALUE"""),4001)</f>
        <v>4001</v>
      </c>
      <c r="D1097" s="3" t="str">
        <f ca="1">IFERROR(__xludf.DUMMYFUNCTION("""COMPUTED_VALUE"""),"Dashattan")</f>
        <v>Dashattan</v>
      </c>
      <c r="E1097" s="3" t="str">
        <f ca="1">IFERROR(__xludf.DUMMYFUNCTION("""COMPUTED_VALUE"""),"Galaxy A")</f>
        <v>Galaxy A</v>
      </c>
      <c r="F1097" s="3" t="str">
        <f ca="1">IFERROR(__xludf.DUMMYFUNCTION("""COMPUTED_VALUE"""),"J")</f>
        <v>J</v>
      </c>
      <c r="G1097" s="3">
        <f ca="1">IFERROR(__xludf.DUMMYFUNCTION("""COMPUTED_VALUE"""),0)</f>
        <v>0</v>
      </c>
      <c r="H1097" s="3" t="str">
        <f ca="1">IFERROR(__xludf.DUMMYFUNCTION("""COMPUTED_VALUE"""),"bicycle")</f>
        <v>bicycle</v>
      </c>
      <c r="I1097" s="3" t="str">
        <f ca="1">IFERROR(__xludf.DUMMYFUNCTION("""COMPUTED_VALUE"""),"2055-06-07T01:17:07.559133Z")</f>
        <v>2055-06-07T01:17:07.559133Z</v>
      </c>
      <c r="J1097" s="3" t="str">
        <f ca="1">IFERROR(__xludf.DUMMYFUNCTION("""COMPUTED_VALUE"""),"2055-06-07T02:04:12.613Z")</f>
        <v>2055-06-07T02:04:12.613Z</v>
      </c>
      <c r="K1097" s="3" t="str">
        <f ca="1">IFERROR(__xludf.DUMMYFUNCTION("""COMPUTED_VALUE"""),"2055-06-07T01:44:33.613Z")</f>
        <v>2055-06-07T01:44:33.613Z</v>
      </c>
      <c r="L1097" s="3">
        <f ca="1">IFERROR(__xludf.DUMMYFUNCTION("""COMPUTED_VALUE"""),1)</f>
        <v>1</v>
      </c>
      <c r="M1097" s="3">
        <f ca="1">IFERROR(__xludf.DUMMYFUNCTION("""COMPUTED_VALUE"""),0)</f>
        <v>0</v>
      </c>
      <c r="N1097" s="3" t="str">
        <f ca="1">IFERROR(__xludf.DUMMYFUNCTION("""COMPUTED_VALUE"""),"2055-06-07T01:32:09.238783Z")</f>
        <v>2055-06-07T01:32:09.238783Z</v>
      </c>
      <c r="O1097" s="3" t="str">
        <f ca="1">IFERROR(__xludf.DUMMYFUNCTION("""COMPUTED_VALUE"""),"2055-06-07T01:40:41.598612Z")</f>
        <v>2055-06-07T01:40:41.598612Z</v>
      </c>
      <c r="P1097" s="3" t="str">
        <f ca="1">IFERROR(__xludf.DUMMYFUNCTION("""COMPUTED_VALUE"""),"2055-06-07T01:19:34.379224Z")</f>
        <v>2055-06-07T01:19:34.379224Z</v>
      </c>
      <c r="Q1097" s="3">
        <f ca="1">IFERROR(__xludf.DUMMYFUNCTION("""COMPUTED_VALUE"""),0)</f>
        <v>0</v>
      </c>
      <c r="R1097" s="3" t="str">
        <f ca="1">IFERROR(__xludf.DUMMYFUNCTION("""COMPUTED_VALUE"""),"2055-06-07T01:20:13.824994Z")</f>
        <v>2055-06-07T01:20:13.824994Z</v>
      </c>
      <c r="S1097" s="3" t="str">
        <f ca="1">IFERROR(__xludf.DUMMYFUNCTION("""COMPUTED_VALUE"""),"2055-06-07T01:32:37.132173Z")</f>
        <v>2055-06-07T01:32:37.132173Z</v>
      </c>
      <c r="T1097" s="3"/>
      <c r="U1097" s="4">
        <f ca="1">IFERROR(__xludf.DUMMYFUNCTION("""COMPUTED_VALUE"""),56771)</f>
        <v>56771</v>
      </c>
      <c r="V1097" s="3">
        <f ca="1">IFERROR(__xludf.DUMMYFUNCTION("""COMPUTED_VALUE"""),4.6)</f>
        <v>4.5999999999999996</v>
      </c>
      <c r="W1097" s="3">
        <f ca="1">IFERROR(__xludf.DUMMYFUNCTION("""COMPUTED_VALUE"""),1000)</f>
        <v>1000</v>
      </c>
      <c r="X1097" s="3">
        <f ca="1">IFERROR(__xludf.DUMMYFUNCTION("""COMPUTED_VALUE"""),1228)</f>
        <v>1228</v>
      </c>
      <c r="Y1097" s="3">
        <f ca="1">IFERROR(__xludf.DUMMYFUNCTION("""COMPUTED_VALUE"""),744)</f>
        <v>744</v>
      </c>
      <c r="Z1097" s="3"/>
      <c r="AA1097" s="3">
        <f ca="1">IFERROR(__xludf.DUMMYFUNCTION("""COMPUTED_VALUE"""),512)</f>
        <v>512</v>
      </c>
      <c r="AB1097" s="3">
        <f ca="1">IFERROR(__xludf.DUMMYFUNCTION("""COMPUTED_VALUE"""),0)</f>
        <v>0</v>
      </c>
      <c r="AC1097" s="3">
        <f ca="1">IFERROR(__xludf.DUMMYFUNCTION("""COMPUTED_VALUE"""),1)</f>
        <v>1</v>
      </c>
      <c r="AD1097" s="3" t="str">
        <f ca="1">IFERROR(__xludf.DUMMYFUNCTION("""COMPUTED_VALUE"""),"late")</f>
        <v>late</v>
      </c>
      <c r="AE1097" s="3" t="str">
        <f ca="1">IFERROR(__xludf.DUMMYFUNCTION("""COMPUTED_VALUE"""),"2055-06-06T21:32:09.238783Z")</f>
        <v>2055-06-06T21:32:09.238783Z</v>
      </c>
      <c r="AF1097" s="3" t="str">
        <f ca="1">IFERROR(__xludf.DUMMYFUNCTION("""COMPUTED_VALUE"""),"2055-06-06T21:40:41.598612Z")</f>
        <v>2055-06-06T21:40:41.598612Z</v>
      </c>
      <c r="AG1097" s="3" t="str">
        <f ca="1">IFERROR(__xludf.DUMMYFUNCTION("""COMPUTED_VALUE"""),"2055-06-06T21:19:34.379224Z")</f>
        <v>2055-06-06T21:19:34.379224Z</v>
      </c>
      <c r="AH1097" s="3" t="str">
        <f ca="1">IFERROR(__xludf.DUMMYFUNCTION("""COMPUTED_VALUE"""),"2055-06-06T21:32:37.132173Z")</f>
        <v>2055-06-06T21:32:37.132173Z</v>
      </c>
      <c r="AI1097" s="3">
        <f ca="1">IFERROR(__xludf.DUMMYFUNCTION("""COMPUTED_VALUE"""),4.6)</f>
        <v>4.5999999999999996</v>
      </c>
      <c r="AJ1097" s="3">
        <f ca="1">IFERROR(__xludf.DUMMYFUNCTION("""COMPUTED_VALUE"""),292)</f>
        <v>292</v>
      </c>
      <c r="AK1097" s="3">
        <f ca="1">IFERROR(__xludf.DUMMYFUNCTION("""COMPUTED_VALUE"""),1027)</f>
        <v>1027</v>
      </c>
      <c r="AL1097" s="3">
        <f ca="1">IFERROR(__xludf.DUMMYFUNCTION("""COMPUTED_VALUE"""),26)</f>
        <v>26</v>
      </c>
      <c r="AM1097" s="3">
        <f>IFERROR(Raw_Data!AL1097 / Raw_Data!AK1097, "")</f>
        <v>2.5316455696202531E-2</v>
      </c>
      <c r="AN1097" s="3" t="str">
        <f>IF(ISBLANK(Raw_Data!AL1097), "No", "Yes")</f>
        <v>Yes</v>
      </c>
      <c r="AO1097" s="3">
        <f>IFERROR(Raw_Data!Z1097/60, "")</f>
        <v>0</v>
      </c>
    </row>
    <row r="1098" spans="1:41" ht="13">
      <c r="A1098" s="3">
        <f ca="1">IFERROR(__xludf.DUMMYFUNCTION("""COMPUTED_VALUE"""),898)</f>
        <v>898</v>
      </c>
      <c r="B1098" s="3"/>
      <c r="C1098" s="3">
        <f ca="1">IFERROR(__xludf.DUMMYFUNCTION("""COMPUTED_VALUE"""),4001)</f>
        <v>4001</v>
      </c>
      <c r="D1098" s="3" t="str">
        <f ca="1">IFERROR(__xludf.DUMMYFUNCTION("""COMPUTED_VALUE"""),"Dashattan")</f>
        <v>Dashattan</v>
      </c>
      <c r="E1098" s="3" t="str">
        <f ca="1">IFERROR(__xludf.DUMMYFUNCTION("""COMPUTED_VALUE"""),"Galaxy A")</f>
        <v>Galaxy A</v>
      </c>
      <c r="F1098" s="3" t="str">
        <f ca="1">IFERROR(__xludf.DUMMYFUNCTION("""COMPUTED_VALUE"""),"Rojan")</f>
        <v>Rojan</v>
      </c>
      <c r="G1098" s="3">
        <f ca="1">IFERROR(__xludf.DUMMYFUNCTION("""COMPUTED_VALUE"""),0)</f>
        <v>0</v>
      </c>
      <c r="H1098" s="3" t="str">
        <f ca="1">IFERROR(__xludf.DUMMYFUNCTION("""COMPUTED_VALUE"""),"bicycle")</f>
        <v>bicycle</v>
      </c>
      <c r="I1098" s="3" t="str">
        <f ca="1">IFERROR(__xludf.DUMMYFUNCTION("""COMPUTED_VALUE"""),"2055-06-07T23:57:23.96876Z")</f>
        <v>2055-06-07T23:57:23.96876Z</v>
      </c>
      <c r="J1098" s="3" t="str">
        <f ca="1">IFERROR(__xludf.DUMMYFUNCTION("""COMPUTED_VALUE"""),"2055-06-08T00:59:44.036Z")</f>
        <v>2055-06-08T00:59:44.036Z</v>
      </c>
      <c r="K1098" s="3" t="str">
        <f ca="1">IFERROR(__xludf.DUMMYFUNCTION("""COMPUTED_VALUE"""),"2055-06-08T00:45:05.036Z")</f>
        <v>2055-06-08T00:45:05.036Z</v>
      </c>
      <c r="L1098" s="3">
        <f ca="1">IFERROR(__xludf.DUMMYFUNCTION("""COMPUTED_VALUE"""),1)</f>
        <v>1</v>
      </c>
      <c r="M1098" s="3">
        <f ca="1">IFERROR(__xludf.DUMMYFUNCTION("""COMPUTED_VALUE"""),0)</f>
        <v>0</v>
      </c>
      <c r="N1098" s="3" t="str">
        <f ca="1">IFERROR(__xludf.DUMMYFUNCTION("""COMPUTED_VALUE"""),"2055-06-08T00:18:38.002927Z")</f>
        <v>2055-06-08T00:18:38.002927Z</v>
      </c>
      <c r="O1098" s="3" t="str">
        <f ca="1">IFERROR(__xludf.DUMMYFUNCTION("""COMPUTED_VALUE"""),"2055-06-08T00:28:46.40868Z")</f>
        <v>2055-06-08T00:28:46.40868Z</v>
      </c>
      <c r="P1098" s="3" t="str">
        <f ca="1">IFERROR(__xludf.DUMMYFUNCTION("""COMPUTED_VALUE"""),"2055-06-07T23:57:34.926539Z")</f>
        <v>2055-06-07T23:57:34.926539Z</v>
      </c>
      <c r="Q1098" s="3">
        <f ca="1">IFERROR(__xludf.DUMMYFUNCTION("""COMPUTED_VALUE"""),0)</f>
        <v>0</v>
      </c>
      <c r="R1098" s="3" t="str">
        <f ca="1">IFERROR(__xludf.DUMMYFUNCTION("""COMPUTED_VALUE"""),"2055-06-07T23:58:00.49Z")</f>
        <v>2055-06-07T23:58:00.49Z</v>
      </c>
      <c r="S1098" s="3" t="str">
        <f ca="1">IFERROR(__xludf.DUMMYFUNCTION("""COMPUTED_VALUE"""),"2055-06-08T00:15:27.772594Z")</f>
        <v>2055-06-08T00:15:27.772594Z</v>
      </c>
      <c r="T1098" s="3"/>
      <c r="U1098" s="4">
        <f ca="1">IFERROR(__xludf.DUMMYFUNCTION("""COMPUTED_VALUE"""),56772)</f>
        <v>56772</v>
      </c>
      <c r="V1098" s="3">
        <f ca="1">IFERROR(__xludf.DUMMYFUNCTION("""COMPUTED_VALUE"""),4.4)</f>
        <v>4.4000000000000004</v>
      </c>
      <c r="W1098" s="3">
        <f ca="1">IFERROR(__xludf.DUMMYFUNCTION("""COMPUTED_VALUE"""),1000)</f>
        <v>1000</v>
      </c>
      <c r="X1098" s="3">
        <f ca="1">IFERROR(__xludf.DUMMYFUNCTION("""COMPUTED_VALUE"""),1846)</f>
        <v>1846</v>
      </c>
      <c r="Y1098" s="3">
        <f ca="1">IFERROR(__xludf.DUMMYFUNCTION("""COMPUTED_VALUE"""),1047)</f>
        <v>1047</v>
      </c>
      <c r="Z1098" s="3">
        <f ca="1">IFERROR(__xludf.DUMMYFUNCTION("""COMPUTED_VALUE"""),191)</f>
        <v>191</v>
      </c>
      <c r="AA1098" s="3">
        <f ca="1">IFERROR(__xludf.DUMMYFUNCTION("""COMPUTED_VALUE"""),608)</f>
        <v>608</v>
      </c>
      <c r="AB1098" s="3">
        <f ca="1">IFERROR(__xludf.DUMMYFUNCTION("""COMPUTED_VALUE"""),0)</f>
        <v>0</v>
      </c>
      <c r="AC1098" s="3">
        <f ca="1">IFERROR(__xludf.DUMMYFUNCTION("""COMPUTED_VALUE"""),3)</f>
        <v>3</v>
      </c>
      <c r="AD1098" s="3" t="str">
        <f ca="1">IFERROR(__xludf.DUMMYFUNCTION("""COMPUTED_VALUE"""),"early")</f>
        <v>early</v>
      </c>
      <c r="AE1098" s="3" t="str">
        <f ca="1">IFERROR(__xludf.DUMMYFUNCTION("""COMPUTED_VALUE"""),"2055-06-07T20:18:38.002927Z")</f>
        <v>2055-06-07T20:18:38.002927Z</v>
      </c>
      <c r="AF1098" s="3" t="str">
        <f ca="1">IFERROR(__xludf.DUMMYFUNCTION("""COMPUTED_VALUE"""),"2055-06-07T20:28:46.40868Z")</f>
        <v>2055-06-07T20:28:46.40868Z</v>
      </c>
      <c r="AG1098" s="3" t="str">
        <f ca="1">IFERROR(__xludf.DUMMYFUNCTION("""COMPUTED_VALUE"""),"2055-06-07T19:57:34.926539Z")</f>
        <v>2055-06-07T19:57:34.926539Z</v>
      </c>
      <c r="AH1098" s="3" t="str">
        <f ca="1">IFERROR(__xludf.DUMMYFUNCTION("""COMPUTED_VALUE"""),"2055-06-07T20:15:27.772594Z")</f>
        <v>2055-06-07T20:15:27.772594Z</v>
      </c>
      <c r="AI1098" s="3">
        <f ca="1">IFERROR(__xludf.DUMMYFUNCTION("""COMPUTED_VALUE"""),4.58)</f>
        <v>4.58</v>
      </c>
      <c r="AJ1098" s="3">
        <f ca="1">IFERROR(__xludf.DUMMYFUNCTION("""COMPUTED_VALUE"""),254)</f>
        <v>254</v>
      </c>
      <c r="AK1098" s="3">
        <f ca="1">IFERROR(__xludf.DUMMYFUNCTION("""COMPUTED_VALUE"""),788)</f>
        <v>788</v>
      </c>
      <c r="AL1098" s="3">
        <f ca="1">IFERROR(__xludf.DUMMYFUNCTION("""COMPUTED_VALUE"""),9)</f>
        <v>9</v>
      </c>
      <c r="AM1098" s="3">
        <f>IFERROR(Raw_Data!AL1098 / Raw_Data!AK1098, "")</f>
        <v>1.1421319796954314E-2</v>
      </c>
      <c r="AN1098" s="3" t="str">
        <f>IF(ISBLANK(Raw_Data!AL1098), "No", "Yes")</f>
        <v>Yes</v>
      </c>
      <c r="AO1098" s="3">
        <f>IFERROR(Raw_Data!Z1098/60, "")</f>
        <v>3.1833333333333331</v>
      </c>
    </row>
    <row r="1099" spans="1:41" ht="13">
      <c r="A1099" s="3">
        <f ca="1">IFERROR(__xludf.DUMMYFUNCTION("""COMPUTED_VALUE"""),425)</f>
        <v>425</v>
      </c>
      <c r="B1099" s="3">
        <f ca="1">IFERROR(__xludf.DUMMYFUNCTION("""COMPUTED_VALUE"""),5)</f>
        <v>5</v>
      </c>
      <c r="C1099" s="3">
        <f ca="1">IFERROR(__xludf.DUMMYFUNCTION("""COMPUTED_VALUE"""),4050)</f>
        <v>4050</v>
      </c>
      <c r="D1099" s="3" t="str">
        <f ca="1">IFERROR(__xludf.DUMMYFUNCTION("""COMPUTED_VALUE"""),"Doorlanta")</f>
        <v>Doorlanta</v>
      </c>
      <c r="E1099" s="3" t="str">
        <f ca="1">IFERROR(__xludf.DUMMYFUNCTION("""COMPUTED_VALUE"""),"Galaxy A")</f>
        <v>Galaxy A</v>
      </c>
      <c r="F1099" s="3" t="str">
        <f ca="1">IFERROR(__xludf.DUMMYFUNCTION("""COMPUTED_VALUE"""),"Elon")</f>
        <v>Elon</v>
      </c>
      <c r="G1099" s="3">
        <f ca="1">IFERROR(__xludf.DUMMYFUNCTION("""COMPUTED_VALUE"""),0)</f>
        <v>0</v>
      </c>
      <c r="H1099" s="3" t="str">
        <f ca="1">IFERROR(__xludf.DUMMYFUNCTION("""COMPUTED_VALUE"""),"car")</f>
        <v>car</v>
      </c>
      <c r="I1099" s="3" t="str">
        <f ca="1">IFERROR(__xludf.DUMMYFUNCTION("""COMPUTED_VALUE"""),"2055-06-04T18:02:39.575288Z")</f>
        <v>2055-06-04T18:02:39.575288Z</v>
      </c>
      <c r="J1099" s="3" t="str">
        <f ca="1">IFERROR(__xludf.DUMMYFUNCTION("""COMPUTED_VALUE"""),"2055-06-04T18:57:39.649Z")</f>
        <v>2055-06-04T18:57:39.649Z</v>
      </c>
      <c r="K1099" s="3" t="str">
        <f ca="1">IFERROR(__xludf.DUMMYFUNCTION("""COMPUTED_VALUE"""),"2055-06-04T18:41:27.649Z")</f>
        <v>2055-06-04T18:41:27.649Z</v>
      </c>
      <c r="L1099" s="3">
        <f ca="1">IFERROR(__xludf.DUMMYFUNCTION("""COMPUTED_VALUE"""),1)</f>
        <v>1</v>
      </c>
      <c r="M1099" s="3">
        <f ca="1">IFERROR(__xludf.DUMMYFUNCTION("""COMPUTED_VALUE"""),0)</f>
        <v>0</v>
      </c>
      <c r="N1099" s="3" t="str">
        <f ca="1">IFERROR(__xludf.DUMMYFUNCTION("""COMPUTED_VALUE"""),"2055-06-04T18:22:06.860199Z")</f>
        <v>2055-06-04T18:22:06.860199Z</v>
      </c>
      <c r="O1099" s="3" t="str">
        <f ca="1">IFERROR(__xludf.DUMMYFUNCTION("""COMPUTED_VALUE"""),"2055-06-04T18:46:12.540905Z")</f>
        <v>2055-06-04T18:46:12.540905Z</v>
      </c>
      <c r="P1099" s="3" t="str">
        <f ca="1">IFERROR(__xludf.DUMMYFUNCTION("""COMPUTED_VALUE"""),"2055-06-04T18:02:47.247186Z")</f>
        <v>2055-06-04T18:02:47.247186Z</v>
      </c>
      <c r="Q1099" s="3">
        <f ca="1">IFERROR(__xludf.DUMMYFUNCTION("""COMPUTED_VALUE"""),0)</f>
        <v>0</v>
      </c>
      <c r="R1099" s="3" t="str">
        <f ca="1">IFERROR(__xludf.DUMMYFUNCTION("""COMPUTED_VALUE"""),"2055-06-04T18:02:57.288245Z")</f>
        <v>2055-06-04T18:02:57.288245Z</v>
      </c>
      <c r="S1099" s="3" t="str">
        <f ca="1">IFERROR(__xludf.DUMMYFUNCTION("""COMPUTED_VALUE"""),"2055-06-04T18:16:51.515937Z")</f>
        <v>2055-06-04T18:16:51.515937Z</v>
      </c>
      <c r="T1099" s="3"/>
      <c r="U1099" s="4">
        <f ca="1">IFERROR(__xludf.DUMMYFUNCTION("""COMPUTED_VALUE"""),56769)</f>
        <v>56769</v>
      </c>
      <c r="V1099" s="3">
        <f ca="1">IFERROR(__xludf.DUMMYFUNCTION("""COMPUTED_VALUE"""),4.5)</f>
        <v>4.5</v>
      </c>
      <c r="W1099" s="3">
        <f ca="1">IFERROR(__xludf.DUMMYFUNCTION("""COMPUTED_VALUE"""),1000)</f>
        <v>1000</v>
      </c>
      <c r="X1099" s="3">
        <f ca="1">IFERROR(__xludf.DUMMYFUNCTION("""COMPUTED_VALUE"""),2595)</f>
        <v>2595</v>
      </c>
      <c r="Y1099" s="3">
        <f ca="1">IFERROR(__xludf.DUMMYFUNCTION("""COMPUTED_VALUE"""),834)</f>
        <v>834</v>
      </c>
      <c r="Z1099" s="3">
        <f ca="1">IFERROR(__xludf.DUMMYFUNCTION("""COMPUTED_VALUE"""),315)</f>
        <v>315</v>
      </c>
      <c r="AA1099" s="3">
        <f ca="1">IFERROR(__xludf.DUMMYFUNCTION("""COMPUTED_VALUE"""),1446)</f>
        <v>1446</v>
      </c>
      <c r="AB1099" s="3">
        <f ca="1">IFERROR(__xludf.DUMMYFUNCTION("""COMPUTED_VALUE"""),0)</f>
        <v>0</v>
      </c>
      <c r="AC1099" s="3">
        <f ca="1">IFERROR(__xludf.DUMMYFUNCTION("""COMPUTED_VALUE"""),2)</f>
        <v>2</v>
      </c>
      <c r="AD1099" s="3" t="str">
        <f ca="1">IFERROR(__xludf.DUMMYFUNCTION("""COMPUTED_VALUE"""),"late")</f>
        <v>late</v>
      </c>
      <c r="AE1099" s="3" t="str">
        <f ca="1">IFERROR(__xludf.DUMMYFUNCTION("""COMPUTED_VALUE"""),"2055-06-04T14:22:06.860199Z")</f>
        <v>2055-06-04T14:22:06.860199Z</v>
      </c>
      <c r="AF1099" s="3" t="str">
        <f ca="1">IFERROR(__xludf.DUMMYFUNCTION("""COMPUTED_VALUE"""),"2055-06-04T14:46:12.540905Z")</f>
        <v>2055-06-04T14:46:12.540905Z</v>
      </c>
      <c r="AG1099" s="3" t="str">
        <f ca="1">IFERROR(__xludf.DUMMYFUNCTION("""COMPUTED_VALUE"""),"2055-06-04T14:02:47.247186Z")</f>
        <v>2055-06-04T14:02:47.247186Z</v>
      </c>
      <c r="AH1099" s="3" t="str">
        <f ca="1">IFERROR(__xludf.DUMMYFUNCTION("""COMPUTED_VALUE"""),"2055-06-04T14:16:51.515937Z")</f>
        <v>2055-06-04T14:16:51.515937Z</v>
      </c>
      <c r="AI1099" s="3">
        <f ca="1">IFERROR(__xludf.DUMMYFUNCTION("""COMPUTED_VALUE"""),4.62)</f>
        <v>4.62</v>
      </c>
      <c r="AJ1099" s="3">
        <f ca="1">IFERROR(__xludf.DUMMYFUNCTION("""COMPUTED_VALUE"""),259)</f>
        <v>259</v>
      </c>
      <c r="AK1099" s="3">
        <f ca="1">IFERROR(__xludf.DUMMYFUNCTION("""COMPUTED_VALUE"""),604)</f>
        <v>604</v>
      </c>
      <c r="AL1099" s="3">
        <f ca="1">IFERROR(__xludf.DUMMYFUNCTION("""COMPUTED_VALUE"""),21)</f>
        <v>21</v>
      </c>
      <c r="AM1099" s="3">
        <f>IFERROR(Raw_Data!AL1099 / Raw_Data!AK1099, "")</f>
        <v>3.4768211920529798E-2</v>
      </c>
      <c r="AN1099" s="3" t="str">
        <f>IF(ISBLANK(Raw_Data!AL1099), "No", "Yes")</f>
        <v>Yes</v>
      </c>
      <c r="AO1099" s="3">
        <f>IFERROR(Raw_Data!Z1099/60, "")</f>
        <v>5.25</v>
      </c>
    </row>
    <row r="1100" spans="1:41" ht="13">
      <c r="A1100" s="3">
        <f ca="1">IFERROR(__xludf.DUMMYFUNCTION("""COMPUTED_VALUE"""),566)</f>
        <v>566</v>
      </c>
      <c r="B1100" s="3">
        <f ca="1">IFERROR(__xludf.DUMMYFUNCTION("""COMPUTED_VALUE"""),5)</f>
        <v>5</v>
      </c>
      <c r="C1100" s="3">
        <f ca="1">IFERROR(__xludf.DUMMYFUNCTION("""COMPUTED_VALUE"""),4001)</f>
        <v>4001</v>
      </c>
      <c r="D1100" s="3" t="str">
        <f ca="1">IFERROR(__xludf.DUMMYFUNCTION("""COMPUTED_VALUE"""),"Dashattan")</f>
        <v>Dashattan</v>
      </c>
      <c r="E1100" s="3" t="str">
        <f ca="1">IFERROR(__xludf.DUMMYFUNCTION("""COMPUTED_VALUE"""),"Galaxy A")</f>
        <v>Galaxy A</v>
      </c>
      <c r="F1100" s="3" t="str">
        <f ca="1">IFERROR(__xludf.DUMMYFUNCTION("""COMPUTED_VALUE"""),"Samm")</f>
        <v>Samm</v>
      </c>
      <c r="G1100" s="3">
        <f ca="1">IFERROR(__xludf.DUMMYFUNCTION("""COMPUTED_VALUE"""),0)</f>
        <v>0</v>
      </c>
      <c r="H1100" s="3" t="str">
        <f ca="1">IFERROR(__xludf.DUMMYFUNCTION("""COMPUTED_VALUE"""),"car")</f>
        <v>car</v>
      </c>
      <c r="I1100" s="3" t="str">
        <f ca="1">IFERROR(__xludf.DUMMYFUNCTION("""COMPUTED_VALUE"""),"2055-06-05T16:40:46.377617Z")</f>
        <v>2055-06-05T16:40:46.377617Z</v>
      </c>
      <c r="J1100" s="3" t="str">
        <f ca="1">IFERROR(__xludf.DUMMYFUNCTION("""COMPUTED_VALUE"""),"2055-06-05T17:37:35.448Z")</f>
        <v>2055-06-05T17:37:35.448Z</v>
      </c>
      <c r="K1100" s="3" t="str">
        <f ca="1">IFERROR(__xludf.DUMMYFUNCTION("""COMPUTED_VALUE"""),"2055-06-05T17:15:41.448Z")</f>
        <v>2055-06-05T17:15:41.448Z</v>
      </c>
      <c r="L1100" s="3">
        <f ca="1">IFERROR(__xludf.DUMMYFUNCTION("""COMPUTED_VALUE"""),1)</f>
        <v>1</v>
      </c>
      <c r="M1100" s="3">
        <f ca="1">IFERROR(__xludf.DUMMYFUNCTION("""COMPUTED_VALUE"""),0)</f>
        <v>0</v>
      </c>
      <c r="N1100" s="3" t="str">
        <f ca="1">IFERROR(__xludf.DUMMYFUNCTION("""COMPUTED_VALUE"""),"2055-06-05T17:09:43.254249Z")</f>
        <v>2055-06-05T17:09:43.254249Z</v>
      </c>
      <c r="O1100" s="3" t="str">
        <f ca="1">IFERROR(__xludf.DUMMYFUNCTION("""COMPUTED_VALUE"""),"2055-06-05T17:16:59.013402Z")</f>
        <v>2055-06-05T17:16:59.013402Z</v>
      </c>
      <c r="P1100" s="3" t="str">
        <f ca="1">IFERROR(__xludf.DUMMYFUNCTION("""COMPUTED_VALUE"""),"2055-06-05T16:48:54.797784Z")</f>
        <v>2055-06-05T16:48:54.797784Z</v>
      </c>
      <c r="Q1100" s="3">
        <f ca="1">IFERROR(__xludf.DUMMYFUNCTION("""COMPUTED_VALUE"""),0)</f>
        <v>0</v>
      </c>
      <c r="R1100" s="3" t="str">
        <f ca="1">IFERROR(__xludf.DUMMYFUNCTION("""COMPUTED_VALUE"""),"2055-06-05T16:49:00.586876Z")</f>
        <v>2055-06-05T16:49:00.586876Z</v>
      </c>
      <c r="S1100" s="3" t="str">
        <f ca="1">IFERROR(__xludf.DUMMYFUNCTION("""COMPUTED_VALUE"""),"2055-06-05T17:06:06.228835Z")</f>
        <v>2055-06-05T17:06:06.228835Z</v>
      </c>
      <c r="T1100" s="3"/>
      <c r="U1100" s="4">
        <f ca="1">IFERROR(__xludf.DUMMYFUNCTION("""COMPUTED_VALUE"""),56770)</f>
        <v>56770</v>
      </c>
      <c r="V1100" s="3">
        <f ca="1">IFERROR(__xludf.DUMMYFUNCTION("""COMPUTED_VALUE"""),4.5)</f>
        <v>4.5</v>
      </c>
      <c r="W1100" s="3">
        <f ca="1">IFERROR(__xludf.DUMMYFUNCTION("""COMPUTED_VALUE"""),1000)</f>
        <v>1000</v>
      </c>
      <c r="X1100" s="3">
        <f ca="1">IFERROR(__xludf.DUMMYFUNCTION("""COMPUTED_VALUE"""),1679)</f>
        <v>1679</v>
      </c>
      <c r="Y1100" s="3">
        <f ca="1">IFERROR(__xludf.DUMMYFUNCTION("""COMPUTED_VALUE"""),1026)</f>
        <v>1026</v>
      </c>
      <c r="Z1100" s="3">
        <f ca="1">IFERROR(__xludf.DUMMYFUNCTION("""COMPUTED_VALUE"""),217)</f>
        <v>217</v>
      </c>
      <c r="AA1100" s="3">
        <f ca="1">IFERROR(__xludf.DUMMYFUNCTION("""COMPUTED_VALUE"""),436)</f>
        <v>436</v>
      </c>
      <c r="AB1100" s="3">
        <f ca="1">IFERROR(__xludf.DUMMYFUNCTION("""COMPUTED_VALUE"""),0)</f>
        <v>0</v>
      </c>
      <c r="AC1100" s="3">
        <f ca="1">IFERROR(__xludf.DUMMYFUNCTION("""COMPUTED_VALUE"""),1)</f>
        <v>1</v>
      </c>
      <c r="AD1100" s="3" t="str">
        <f ca="1">IFERROR(__xludf.DUMMYFUNCTION("""COMPUTED_VALUE"""),"on time")</f>
        <v>on time</v>
      </c>
      <c r="AE1100" s="3" t="str">
        <f ca="1">IFERROR(__xludf.DUMMYFUNCTION("""COMPUTED_VALUE"""),"2055-06-05T13:09:43.254249Z")</f>
        <v>2055-06-05T13:09:43.254249Z</v>
      </c>
      <c r="AF1100" s="3" t="str">
        <f ca="1">IFERROR(__xludf.DUMMYFUNCTION("""COMPUTED_VALUE"""),"2055-06-05T13:16:59.013402Z")</f>
        <v>2055-06-05T13:16:59.013402Z</v>
      </c>
      <c r="AG1100" s="3" t="str">
        <f ca="1">IFERROR(__xludf.DUMMYFUNCTION("""COMPUTED_VALUE"""),"2055-06-05T12:48:54.797784Z")</f>
        <v>2055-06-05T12:48:54.797784Z</v>
      </c>
      <c r="AH1100" s="3" t="str">
        <f ca="1">IFERROR(__xludf.DUMMYFUNCTION("""COMPUTED_VALUE"""),"2055-06-05T13:06:06.228835Z")</f>
        <v>2055-06-05T13:06:06.228835Z</v>
      </c>
      <c r="AI1100" s="3">
        <f ca="1">IFERROR(__xludf.DUMMYFUNCTION("""COMPUTED_VALUE"""),4.03)</f>
        <v>4.03</v>
      </c>
      <c r="AJ1100" s="3">
        <f ca="1">IFERROR(__xludf.DUMMYFUNCTION("""COMPUTED_VALUE"""),505)</f>
        <v>505</v>
      </c>
      <c r="AK1100" s="3">
        <f ca="1">IFERROR(__xludf.DUMMYFUNCTION("""COMPUTED_VALUE"""),1721)</f>
        <v>1721</v>
      </c>
      <c r="AL1100" s="3">
        <f ca="1">IFERROR(__xludf.DUMMYFUNCTION("""COMPUTED_VALUE"""),457)</f>
        <v>457</v>
      </c>
      <c r="AM1100" s="3">
        <f>IFERROR(Raw_Data!AL1100 / Raw_Data!AK1100, "")</f>
        <v>0.26554328878558975</v>
      </c>
      <c r="AN1100" s="3" t="str">
        <f>IF(ISBLANK(Raw_Data!AL1100), "No", "Yes")</f>
        <v>Yes</v>
      </c>
      <c r="AO1100" s="3">
        <f>IFERROR(Raw_Data!Z1100/60, "")</f>
        <v>3.6166666666666667</v>
      </c>
    </row>
    <row r="1101" spans="1:41" ht="13">
      <c r="A1101" s="3">
        <f ca="1">IFERROR(__xludf.DUMMYFUNCTION("""COMPUTED_VALUE"""),808)</f>
        <v>808</v>
      </c>
      <c r="B1101" s="3"/>
      <c r="C1101" s="3">
        <f ca="1">IFERROR(__xludf.DUMMYFUNCTION("""COMPUTED_VALUE"""),4001)</f>
        <v>4001</v>
      </c>
      <c r="D1101" s="3" t="str">
        <f ca="1">IFERROR(__xludf.DUMMYFUNCTION("""COMPUTED_VALUE"""),"Dashattan")</f>
        <v>Dashattan</v>
      </c>
      <c r="E1101" s="3" t="str">
        <f ca="1">IFERROR(__xludf.DUMMYFUNCTION("""COMPUTED_VALUE"""),"Galaxy A")</f>
        <v>Galaxy A</v>
      </c>
      <c r="F1101" s="3" t="str">
        <f ca="1">IFERROR(__xludf.DUMMYFUNCTION("""COMPUTED_VALUE"""),"J")</f>
        <v>J</v>
      </c>
      <c r="G1101" s="3">
        <f ca="1">IFERROR(__xludf.DUMMYFUNCTION("""COMPUTED_VALUE"""),0)</f>
        <v>0</v>
      </c>
      <c r="H1101" s="3" t="str">
        <f ca="1">IFERROR(__xludf.DUMMYFUNCTION("""COMPUTED_VALUE"""),"bicycle")</f>
        <v>bicycle</v>
      </c>
      <c r="I1101" s="3" t="str">
        <f ca="1">IFERROR(__xludf.DUMMYFUNCTION("""COMPUTED_VALUE"""),"2055-06-07T00:33:30.403584Z")</f>
        <v>2055-06-07T00:33:30.403584Z</v>
      </c>
      <c r="J1101" s="3" t="str">
        <f ca="1">IFERROR(__xludf.DUMMYFUNCTION("""COMPUTED_VALUE"""),"2055-06-07T01:19:25.46Z")</f>
        <v>2055-06-07T01:19:25.46Z</v>
      </c>
      <c r="K1101" s="3" t="str">
        <f ca="1">IFERROR(__xludf.DUMMYFUNCTION("""COMPUTED_VALUE"""),"2055-06-07T00:59:18.46Z")</f>
        <v>2055-06-07T00:59:18.46Z</v>
      </c>
      <c r="L1101" s="3">
        <f ca="1">IFERROR(__xludf.DUMMYFUNCTION("""COMPUTED_VALUE"""),1)</f>
        <v>1</v>
      </c>
      <c r="M1101" s="3">
        <f ca="1">IFERROR(__xludf.DUMMYFUNCTION("""COMPUTED_VALUE"""),0)</f>
        <v>0</v>
      </c>
      <c r="N1101" s="3" t="str">
        <f ca="1">IFERROR(__xludf.DUMMYFUNCTION("""COMPUTED_VALUE"""),"2055-06-07T00:47:45.107369Z")</f>
        <v>2055-06-07T00:47:45.107369Z</v>
      </c>
      <c r="O1101" s="3" t="str">
        <f ca="1">IFERROR(__xludf.DUMMYFUNCTION("""COMPUTED_VALUE"""),"2055-06-07T00:59:19.918638Z")</f>
        <v>2055-06-07T00:59:19.918638Z</v>
      </c>
      <c r="P1101" s="3" t="str">
        <f ca="1">IFERROR(__xludf.DUMMYFUNCTION("""COMPUTED_VALUE"""),"2055-06-07T00:41:34.78122Z")</f>
        <v>2055-06-07T00:41:34.78122Z</v>
      </c>
      <c r="Q1101" s="3">
        <f ca="1">IFERROR(__xludf.DUMMYFUNCTION("""COMPUTED_VALUE"""),0)</f>
        <v>0</v>
      </c>
      <c r="R1101" s="3" t="str">
        <f ca="1">IFERROR(__xludf.DUMMYFUNCTION("""COMPUTED_VALUE"""),"2055-06-07T00:41:39.933599Z")</f>
        <v>2055-06-07T00:41:39.933599Z</v>
      </c>
      <c r="S1101" s="3" t="str">
        <f ca="1">IFERROR(__xludf.DUMMYFUNCTION("""COMPUTED_VALUE"""),"2055-06-07T00:47:35.96716Z")</f>
        <v>2055-06-07T00:47:35.96716Z</v>
      </c>
      <c r="T1101" s="3"/>
      <c r="U1101" s="4">
        <f ca="1">IFERROR(__xludf.DUMMYFUNCTION("""COMPUTED_VALUE"""),56771)</f>
        <v>56771</v>
      </c>
      <c r="V1101" s="3">
        <f ca="1">IFERROR(__xludf.DUMMYFUNCTION("""COMPUTED_VALUE"""),4.4)</f>
        <v>4.4000000000000004</v>
      </c>
      <c r="W1101" s="3">
        <f ca="1">IFERROR(__xludf.DUMMYFUNCTION("""COMPUTED_VALUE"""),1000)</f>
        <v>1000</v>
      </c>
      <c r="X1101" s="3">
        <f ca="1">IFERROR(__xludf.DUMMYFUNCTION("""COMPUTED_VALUE"""),1060)</f>
        <v>1060</v>
      </c>
      <c r="Y1101" s="3">
        <f ca="1">IFERROR(__xludf.DUMMYFUNCTION("""COMPUTED_VALUE"""),356)</f>
        <v>356</v>
      </c>
      <c r="Z1101" s="3">
        <f ca="1">IFERROR(__xludf.DUMMYFUNCTION("""COMPUTED_VALUE"""),10)</f>
        <v>10</v>
      </c>
      <c r="AA1101" s="3">
        <f ca="1">IFERROR(__xludf.DUMMYFUNCTION("""COMPUTED_VALUE"""),694)</f>
        <v>694</v>
      </c>
      <c r="AB1101" s="3">
        <f ca="1">IFERROR(__xludf.DUMMYFUNCTION("""COMPUTED_VALUE"""),0)</f>
        <v>0</v>
      </c>
      <c r="AC1101" s="3">
        <f ca="1">IFERROR(__xludf.DUMMYFUNCTION("""COMPUTED_VALUE"""),1)</f>
        <v>1</v>
      </c>
      <c r="AD1101" s="3" t="str">
        <f ca="1">IFERROR(__xludf.DUMMYFUNCTION("""COMPUTED_VALUE"""),"on time")</f>
        <v>on time</v>
      </c>
      <c r="AE1101" s="3" t="str">
        <f ca="1">IFERROR(__xludf.DUMMYFUNCTION("""COMPUTED_VALUE"""),"2055-06-06T20:47:45.107369Z")</f>
        <v>2055-06-06T20:47:45.107369Z</v>
      </c>
      <c r="AF1101" s="3" t="str">
        <f ca="1">IFERROR(__xludf.DUMMYFUNCTION("""COMPUTED_VALUE"""),"2055-06-06T20:59:19.918638Z")</f>
        <v>2055-06-06T20:59:19.918638Z</v>
      </c>
      <c r="AG1101" s="3" t="str">
        <f ca="1">IFERROR(__xludf.DUMMYFUNCTION("""COMPUTED_VALUE"""),"2055-06-06T20:41:34.78122Z")</f>
        <v>2055-06-06T20:41:34.78122Z</v>
      </c>
      <c r="AH1101" s="3" t="str">
        <f ca="1">IFERROR(__xludf.DUMMYFUNCTION("""COMPUTED_VALUE"""),"2055-06-06T20:47:35.96716Z")</f>
        <v>2055-06-06T20:47:35.96716Z</v>
      </c>
      <c r="AI1101" s="3">
        <f ca="1">IFERROR(__xludf.DUMMYFUNCTION("""COMPUTED_VALUE"""),4.6)</f>
        <v>4.5999999999999996</v>
      </c>
      <c r="AJ1101" s="3">
        <f ca="1">IFERROR(__xludf.DUMMYFUNCTION("""COMPUTED_VALUE"""),292)</f>
        <v>292</v>
      </c>
      <c r="AK1101" s="3">
        <f ca="1">IFERROR(__xludf.DUMMYFUNCTION("""COMPUTED_VALUE"""),1027)</f>
        <v>1027</v>
      </c>
      <c r="AL1101" s="3">
        <f ca="1">IFERROR(__xludf.DUMMYFUNCTION("""COMPUTED_VALUE"""),26)</f>
        <v>26</v>
      </c>
      <c r="AM1101" s="3">
        <f>IFERROR(Raw_Data!AL1101 / Raw_Data!AK1101, "")</f>
        <v>2.5316455696202531E-2</v>
      </c>
      <c r="AN1101" s="3" t="str">
        <f>IF(ISBLANK(Raw_Data!AL1101), "No", "Yes")</f>
        <v>Yes</v>
      </c>
      <c r="AO1101" s="3">
        <f>IFERROR(Raw_Data!Z1101/60, "")</f>
        <v>0.16666666666666666</v>
      </c>
    </row>
    <row r="1102" spans="1:41" ht="13">
      <c r="A1102" s="3">
        <f ca="1">IFERROR(__xludf.DUMMYFUNCTION("""COMPUTED_VALUE"""),1508)</f>
        <v>1508</v>
      </c>
      <c r="B1102" s="3">
        <f ca="1">IFERROR(__xludf.DUMMYFUNCTION("""COMPUTED_VALUE"""),5)</f>
        <v>5</v>
      </c>
      <c r="C1102" s="3">
        <f ca="1">IFERROR(__xludf.DUMMYFUNCTION("""COMPUTED_VALUE"""),4001)</f>
        <v>4001</v>
      </c>
      <c r="D1102" s="3" t="str">
        <f ca="1">IFERROR(__xludf.DUMMYFUNCTION("""COMPUTED_VALUE"""),"Dashattan")</f>
        <v>Dashattan</v>
      </c>
      <c r="E1102" s="3" t="str">
        <f ca="1">IFERROR(__xludf.DUMMYFUNCTION("""COMPUTED_VALUE"""),"Galaxy A")</f>
        <v>Galaxy A</v>
      </c>
      <c r="F1102" s="3" t="str">
        <f ca="1">IFERROR(__xludf.DUMMYFUNCTION("""COMPUTED_VALUE"""),"Rojan")</f>
        <v>Rojan</v>
      </c>
      <c r="G1102" s="3">
        <f ca="1">IFERROR(__xludf.DUMMYFUNCTION("""COMPUTED_VALUE"""),0)</f>
        <v>0</v>
      </c>
      <c r="H1102" s="3" t="str">
        <f ca="1">IFERROR(__xludf.DUMMYFUNCTION("""COMPUTED_VALUE"""),"bicycle")</f>
        <v>bicycle</v>
      </c>
      <c r="I1102" s="3" t="str">
        <f ca="1">IFERROR(__xludf.DUMMYFUNCTION("""COMPUTED_VALUE"""),"2055-06-12T23:52:56.926812Z")</f>
        <v>2055-06-12T23:52:56.926812Z</v>
      </c>
      <c r="J1102" s="3" t="str">
        <f ca="1">IFERROR(__xludf.DUMMYFUNCTION("""COMPUTED_VALUE"""),"2055-06-13T00:36:51.974Z")</f>
        <v>2055-06-13T00:36:51.974Z</v>
      </c>
      <c r="K1102" s="3" t="str">
        <f ca="1">IFERROR(__xludf.DUMMYFUNCTION("""COMPUTED_VALUE"""),"2055-06-13T00:28:33.974Z")</f>
        <v>2055-06-13T00:28:33.974Z</v>
      </c>
      <c r="L1102" s="3">
        <f ca="1">IFERROR(__xludf.DUMMYFUNCTION("""COMPUTED_VALUE"""),1)</f>
        <v>1</v>
      </c>
      <c r="M1102" s="3">
        <f ca="1">IFERROR(__xludf.DUMMYFUNCTION("""COMPUTED_VALUE"""),0)</f>
        <v>0</v>
      </c>
      <c r="N1102" s="3" t="str">
        <f ca="1">IFERROR(__xludf.DUMMYFUNCTION("""COMPUTED_VALUE"""),"2055-06-13T00:09:56.996068Z")</f>
        <v>2055-06-13T00:09:56.996068Z</v>
      </c>
      <c r="O1102" s="3" t="str">
        <f ca="1">IFERROR(__xludf.DUMMYFUNCTION("""COMPUTED_VALUE"""),"2055-06-13T00:14:30.476276Z")</f>
        <v>2055-06-13T00:14:30.476276Z</v>
      </c>
      <c r="P1102" s="3" t="str">
        <f ca="1">IFERROR(__xludf.DUMMYFUNCTION("""COMPUTED_VALUE"""),"2055-06-12T23:59:15.141085Z")</f>
        <v>2055-06-12T23:59:15.141085Z</v>
      </c>
      <c r="Q1102" s="3">
        <f ca="1">IFERROR(__xludf.DUMMYFUNCTION("""COMPUTED_VALUE"""),0)</f>
        <v>0</v>
      </c>
      <c r="R1102" s="3" t="str">
        <f ca="1">IFERROR(__xludf.DUMMYFUNCTION("""COMPUTED_VALUE"""),"2055-06-12T23:59:34.954919Z")</f>
        <v>2055-06-12T23:59:34.954919Z</v>
      </c>
      <c r="S1102" s="3" t="str">
        <f ca="1">IFERROR(__xludf.DUMMYFUNCTION("""COMPUTED_VALUE"""),"2055-06-12T23:59:33.543023Z")</f>
        <v>2055-06-12T23:59:33.543023Z</v>
      </c>
      <c r="T1102" s="3"/>
      <c r="U1102" s="4">
        <f ca="1">IFERROR(__xludf.DUMMYFUNCTION("""COMPUTED_VALUE"""),56777)</f>
        <v>56777</v>
      </c>
      <c r="V1102" s="3">
        <f ca="1">IFERROR(__xludf.DUMMYFUNCTION("""COMPUTED_VALUE"""),4.4)</f>
        <v>4.4000000000000004</v>
      </c>
      <c r="W1102" s="3">
        <f ca="1">IFERROR(__xludf.DUMMYFUNCTION("""COMPUTED_VALUE"""),1000)</f>
        <v>1000</v>
      </c>
      <c r="X1102" s="3">
        <f ca="1">IFERROR(__xludf.DUMMYFUNCTION("""COMPUTED_VALUE"""),896)</f>
        <v>896</v>
      </c>
      <c r="Y1102" s="3"/>
      <c r="Z1102" s="3">
        <f ca="1">IFERROR(__xludf.DUMMYFUNCTION("""COMPUTED_VALUE"""),623)</f>
        <v>623</v>
      </c>
      <c r="AA1102" s="3">
        <f ca="1">IFERROR(__xludf.DUMMYFUNCTION("""COMPUTED_VALUE"""),274)</f>
        <v>274</v>
      </c>
      <c r="AB1102" s="3">
        <f ca="1">IFERROR(__xludf.DUMMYFUNCTION("""COMPUTED_VALUE"""),0)</f>
        <v>0</v>
      </c>
      <c r="AC1102" s="3">
        <f ca="1">IFERROR(__xludf.DUMMYFUNCTION("""COMPUTED_VALUE"""),1)</f>
        <v>1</v>
      </c>
      <c r="AD1102" s="3" t="str">
        <f ca="1">IFERROR(__xludf.DUMMYFUNCTION("""COMPUTED_VALUE"""),"early")</f>
        <v>early</v>
      </c>
      <c r="AE1102" s="3" t="str">
        <f ca="1">IFERROR(__xludf.DUMMYFUNCTION("""COMPUTED_VALUE"""),"2055-06-12T20:09:56.996068Z")</f>
        <v>2055-06-12T20:09:56.996068Z</v>
      </c>
      <c r="AF1102" s="3" t="str">
        <f ca="1">IFERROR(__xludf.DUMMYFUNCTION("""COMPUTED_VALUE"""),"2055-06-12T20:14:30.476276Z")</f>
        <v>2055-06-12T20:14:30.476276Z</v>
      </c>
      <c r="AG1102" s="3" t="str">
        <f ca="1">IFERROR(__xludf.DUMMYFUNCTION("""COMPUTED_VALUE"""),"2055-06-12T19:59:15.141085Z")</f>
        <v>2055-06-12T19:59:15.141085Z</v>
      </c>
      <c r="AH1102" s="3" t="str">
        <f ca="1">IFERROR(__xludf.DUMMYFUNCTION("""COMPUTED_VALUE"""),"2055-06-12T19:59:33.543023Z")</f>
        <v>2055-06-12T19:59:33.543023Z</v>
      </c>
      <c r="AI1102" s="3">
        <f ca="1">IFERROR(__xludf.DUMMYFUNCTION("""COMPUTED_VALUE"""),4.58)</f>
        <v>4.58</v>
      </c>
      <c r="AJ1102" s="3">
        <f ca="1">IFERROR(__xludf.DUMMYFUNCTION("""COMPUTED_VALUE"""),254)</f>
        <v>254</v>
      </c>
      <c r="AK1102" s="3">
        <f ca="1">IFERROR(__xludf.DUMMYFUNCTION("""COMPUTED_VALUE"""),788)</f>
        <v>788</v>
      </c>
      <c r="AL1102" s="3">
        <f ca="1">IFERROR(__xludf.DUMMYFUNCTION("""COMPUTED_VALUE"""),9)</f>
        <v>9</v>
      </c>
      <c r="AM1102" s="3">
        <f>IFERROR(Raw_Data!AL1102 / Raw_Data!AK1102, "")</f>
        <v>1.1421319796954314E-2</v>
      </c>
      <c r="AN1102" s="3" t="str">
        <f>IF(ISBLANK(Raw_Data!AL1102), "No", "Yes")</f>
        <v>Yes</v>
      </c>
      <c r="AO1102" s="3">
        <f>IFERROR(Raw_Data!Z1102/60, "")</f>
        <v>10.383333333333333</v>
      </c>
    </row>
    <row r="1103" spans="1:41" ht="13">
      <c r="A1103" s="3">
        <f ca="1">IFERROR(__xludf.DUMMYFUNCTION("""COMPUTED_VALUE"""),1564)</f>
        <v>1564</v>
      </c>
      <c r="B1103" s="3">
        <f ca="1">IFERROR(__xludf.DUMMYFUNCTION("""COMPUTED_VALUE"""),3)</f>
        <v>3</v>
      </c>
      <c r="C1103" s="3">
        <f ca="1">IFERROR(__xludf.DUMMYFUNCTION("""COMPUTED_VALUE"""),4001)</f>
        <v>4001</v>
      </c>
      <c r="D1103" s="3" t="str">
        <f ca="1">IFERROR(__xludf.DUMMYFUNCTION("""COMPUTED_VALUE"""),"Dashattan")</f>
        <v>Dashattan</v>
      </c>
      <c r="E1103" s="3" t="str">
        <f ca="1">IFERROR(__xludf.DUMMYFUNCTION("""COMPUTED_VALUE"""),"Galaxy A")</f>
        <v>Galaxy A</v>
      </c>
      <c r="F1103" s="3" t="str">
        <f ca="1">IFERROR(__xludf.DUMMYFUNCTION("""COMPUTED_VALUE"""),"Sean")</f>
        <v>Sean</v>
      </c>
      <c r="G1103" s="3">
        <f ca="1">IFERROR(__xludf.DUMMYFUNCTION("""COMPUTED_VALUE"""),0)</f>
        <v>0</v>
      </c>
      <c r="H1103" s="3" t="str">
        <f ca="1">IFERROR(__xludf.DUMMYFUNCTION("""COMPUTED_VALUE"""),"bicycle")</f>
        <v>bicycle</v>
      </c>
      <c r="I1103" s="3" t="str">
        <f ca="1">IFERROR(__xludf.DUMMYFUNCTION("""COMPUTED_VALUE"""),"2055-06-13T15:51:12.267881Z")</f>
        <v>2055-06-13T15:51:12.267881Z</v>
      </c>
      <c r="J1103" s="3" t="str">
        <f ca="1">IFERROR(__xludf.DUMMYFUNCTION("""COMPUTED_VALUE"""),"2055-06-13T16:44:51.314Z")</f>
        <v>2055-06-13T16:44:51.314Z</v>
      </c>
      <c r="K1103" s="3" t="str">
        <f ca="1">IFERROR(__xludf.DUMMYFUNCTION("""COMPUTED_VALUE"""),"2055-06-13T16:24:44.314Z")</f>
        <v>2055-06-13T16:24:44.314Z</v>
      </c>
      <c r="L1103" s="3">
        <f ca="1">IFERROR(__xludf.DUMMYFUNCTION("""COMPUTED_VALUE"""),1)</f>
        <v>1</v>
      </c>
      <c r="M1103" s="3">
        <f ca="1">IFERROR(__xludf.DUMMYFUNCTION("""COMPUTED_VALUE"""),0)</f>
        <v>0</v>
      </c>
      <c r="N1103" s="3" t="str">
        <f ca="1">IFERROR(__xludf.DUMMYFUNCTION("""COMPUTED_VALUE"""),"2055-06-13T16:04:11.900413Z")</f>
        <v>2055-06-13T16:04:11.900413Z</v>
      </c>
      <c r="O1103" s="3" t="str">
        <f ca="1">IFERROR(__xludf.DUMMYFUNCTION("""COMPUTED_VALUE"""),"2055-06-13T16:14:34.267725Z")</f>
        <v>2055-06-13T16:14:34.267725Z</v>
      </c>
      <c r="P1103" s="3" t="str">
        <f ca="1">IFERROR(__xludf.DUMMYFUNCTION("""COMPUTED_VALUE"""),"2055-06-13T15:53:34.475026Z")</f>
        <v>2055-06-13T15:53:34.475026Z</v>
      </c>
      <c r="Q1103" s="3">
        <f ca="1">IFERROR(__xludf.DUMMYFUNCTION("""COMPUTED_VALUE"""),0)</f>
        <v>0</v>
      </c>
      <c r="R1103" s="3" t="str">
        <f ca="1">IFERROR(__xludf.DUMMYFUNCTION("""COMPUTED_VALUE"""),"2055-06-13T15:54:22.625308Z")</f>
        <v>2055-06-13T15:54:22.625308Z</v>
      </c>
      <c r="S1103" s="3" t="str">
        <f ca="1">IFERROR(__xludf.DUMMYFUNCTION("""COMPUTED_VALUE"""),"2055-06-13T16:00:11.911482Z")</f>
        <v>2055-06-13T16:00:11.911482Z</v>
      </c>
      <c r="T1103" s="3"/>
      <c r="U1103" s="4">
        <f ca="1">IFERROR(__xludf.DUMMYFUNCTION("""COMPUTED_VALUE"""),56778)</f>
        <v>56778</v>
      </c>
      <c r="V1103" s="3">
        <f ca="1">IFERROR(__xludf.DUMMYFUNCTION("""COMPUTED_VALUE"""),4.589002392)</f>
        <v>4.5890023920000003</v>
      </c>
      <c r="W1103" s="3">
        <f ca="1">IFERROR(__xludf.DUMMYFUNCTION("""COMPUTED_VALUE"""),1000)</f>
        <v>1000</v>
      </c>
      <c r="X1103" s="3">
        <f ca="1">IFERROR(__xludf.DUMMYFUNCTION("""COMPUTED_VALUE"""),1212)</f>
        <v>1212</v>
      </c>
      <c r="Y1103" s="3">
        <f ca="1">IFERROR(__xludf.DUMMYFUNCTION("""COMPUTED_VALUE"""),349)</f>
        <v>349</v>
      </c>
      <c r="Z1103" s="3">
        <f ca="1">IFERROR(__xludf.DUMMYFUNCTION("""COMPUTED_VALUE"""),240)</f>
        <v>240</v>
      </c>
      <c r="AA1103" s="3">
        <f ca="1">IFERROR(__xludf.DUMMYFUNCTION("""COMPUTED_VALUE"""),623)</f>
        <v>623</v>
      </c>
      <c r="AB1103" s="3">
        <f ca="1">IFERROR(__xludf.DUMMYFUNCTION("""COMPUTED_VALUE"""),0)</f>
        <v>0</v>
      </c>
      <c r="AC1103" s="3">
        <f ca="1">IFERROR(__xludf.DUMMYFUNCTION("""COMPUTED_VALUE"""),1)</f>
        <v>1</v>
      </c>
      <c r="AD1103" s="3" t="str">
        <f ca="1">IFERROR(__xludf.DUMMYFUNCTION("""COMPUTED_VALUE"""),"on time")</f>
        <v>on time</v>
      </c>
      <c r="AE1103" s="3" t="str">
        <f ca="1">IFERROR(__xludf.DUMMYFUNCTION("""COMPUTED_VALUE"""),"2055-06-13T12:04:11.900413Z")</f>
        <v>2055-06-13T12:04:11.900413Z</v>
      </c>
      <c r="AF1103" s="3" t="str">
        <f ca="1">IFERROR(__xludf.DUMMYFUNCTION("""COMPUTED_VALUE"""),"2055-06-13T12:14:34.267725Z")</f>
        <v>2055-06-13T12:14:34.267725Z</v>
      </c>
      <c r="AG1103" s="3" t="str">
        <f ca="1">IFERROR(__xludf.DUMMYFUNCTION("""COMPUTED_VALUE"""),"2055-06-13T11:53:34.475026Z")</f>
        <v>2055-06-13T11:53:34.475026Z</v>
      </c>
      <c r="AH1103" s="3" t="str">
        <f ca="1">IFERROR(__xludf.DUMMYFUNCTION("""COMPUTED_VALUE"""),"2055-06-13T12:00:11.911482Z")</f>
        <v>2055-06-13T12:00:11.911482Z</v>
      </c>
      <c r="AI1103" s="3">
        <f ca="1">IFERROR(__xludf.DUMMYFUNCTION("""COMPUTED_VALUE"""),4.52)</f>
        <v>4.5199999999999996</v>
      </c>
      <c r="AJ1103" s="3">
        <f ca="1">IFERROR(__xludf.DUMMYFUNCTION("""COMPUTED_VALUE"""),183)</f>
        <v>183</v>
      </c>
      <c r="AK1103" s="3">
        <f ca="1">IFERROR(__xludf.DUMMYFUNCTION("""COMPUTED_VALUE"""),522)</f>
        <v>522</v>
      </c>
      <c r="AL1103" s="3"/>
      <c r="AM1103" s="3">
        <f>IFERROR(Raw_Data!AL1103 / Raw_Data!AK1103, "")</f>
        <v>0</v>
      </c>
      <c r="AN1103" s="3" t="str">
        <f>IF(ISBLANK(Raw_Data!AL1103), "No", "Yes")</f>
        <v>No</v>
      </c>
      <c r="AO1103" s="3">
        <f>IFERROR(Raw_Data!Z1103/60, "")</f>
        <v>4</v>
      </c>
    </row>
    <row r="1104" spans="1:41" ht="13">
      <c r="A1104" s="3">
        <f ca="1">IFERROR(__xludf.DUMMYFUNCTION("""COMPUTED_VALUE"""),154)</f>
        <v>154</v>
      </c>
      <c r="B1104" s="3"/>
      <c r="C1104" s="3">
        <f ca="1">IFERROR(__xludf.DUMMYFUNCTION("""COMPUTED_VALUE"""),4050)</f>
        <v>4050</v>
      </c>
      <c r="D1104" s="3" t="str">
        <f ca="1">IFERROR(__xludf.DUMMYFUNCTION("""COMPUTED_VALUE"""),"Doorlanta")</f>
        <v>Doorlanta</v>
      </c>
      <c r="E1104" s="3" t="str">
        <f ca="1">IFERROR(__xludf.DUMMYFUNCTION("""COMPUTED_VALUE"""),"Galaxy A")</f>
        <v>Galaxy A</v>
      </c>
      <c r="F1104" s="3" t="str">
        <f ca="1">IFERROR(__xludf.DUMMYFUNCTION("""COMPUTED_VALUE"""),"Joe")</f>
        <v>Joe</v>
      </c>
      <c r="G1104" s="3">
        <f ca="1">IFERROR(__xludf.DUMMYFUNCTION("""COMPUTED_VALUE"""),0)</f>
        <v>0</v>
      </c>
      <c r="H1104" s="3" t="str">
        <f ca="1">IFERROR(__xludf.DUMMYFUNCTION("""COMPUTED_VALUE"""),"car")</f>
        <v>car</v>
      </c>
      <c r="I1104" s="3" t="str">
        <f ca="1">IFERROR(__xludf.DUMMYFUNCTION("""COMPUTED_VALUE"""),"2055-06-02T19:01:36.889158Z")</f>
        <v>2055-06-02T19:01:36.889158Z</v>
      </c>
      <c r="J1104" s="3" t="str">
        <f ca="1">IFERROR(__xludf.DUMMYFUNCTION("""COMPUTED_VALUE"""),"2055-06-02T19:56:36.963Z")</f>
        <v>2055-06-02T19:56:36.963Z</v>
      </c>
      <c r="K1104" s="3" t="str">
        <f ca="1">IFERROR(__xludf.DUMMYFUNCTION("""COMPUTED_VALUE"""),"2055-06-02T19:30:49.963Z")</f>
        <v>2055-06-02T19:30:49.963Z</v>
      </c>
      <c r="L1104" s="3">
        <f ca="1">IFERROR(__xludf.DUMMYFUNCTION("""COMPUTED_VALUE"""),1)</f>
        <v>1</v>
      </c>
      <c r="M1104" s="3">
        <f ca="1">IFERROR(__xludf.DUMMYFUNCTION("""COMPUTED_VALUE"""),0)</f>
        <v>0</v>
      </c>
      <c r="N1104" s="3" t="str">
        <f ca="1">IFERROR(__xludf.DUMMYFUNCTION("""COMPUTED_VALUE"""),"2055-06-02T19:38:49.142099Z")</f>
        <v>2055-06-02T19:38:49.142099Z</v>
      </c>
      <c r="O1104" s="3" t="str">
        <f ca="1">IFERROR(__xludf.DUMMYFUNCTION("""COMPUTED_VALUE"""),"2055-06-02T19:46:18.188501Z")</f>
        <v>2055-06-02T19:46:18.188501Z</v>
      </c>
      <c r="P1104" s="3" t="str">
        <f ca="1">IFERROR(__xludf.DUMMYFUNCTION("""COMPUTED_VALUE"""),"2055-06-02T19:01:47.319435Z")</f>
        <v>2055-06-02T19:01:47.319435Z</v>
      </c>
      <c r="Q1104" s="3">
        <f ca="1">IFERROR(__xludf.DUMMYFUNCTION("""COMPUTED_VALUE"""),0)</f>
        <v>0</v>
      </c>
      <c r="R1104" s="3" t="str">
        <f ca="1">IFERROR(__xludf.DUMMYFUNCTION("""COMPUTED_VALUE"""),"2055-06-02T19:02:02.336569Z")</f>
        <v>2055-06-02T19:02:02.336569Z</v>
      </c>
      <c r="S1104" s="3" t="str">
        <f ca="1">IFERROR(__xludf.DUMMYFUNCTION("""COMPUTED_VALUE"""),"2055-06-02T19:35:33.325566Z")</f>
        <v>2055-06-02T19:35:33.325566Z</v>
      </c>
      <c r="T1104" s="3"/>
      <c r="U1104" s="4">
        <f ca="1">IFERROR(__xludf.DUMMYFUNCTION("""COMPUTED_VALUE"""),56767)</f>
        <v>56767</v>
      </c>
      <c r="V1104" s="3">
        <f ca="1">IFERROR(__xludf.DUMMYFUNCTION("""COMPUTED_VALUE"""),4.6)</f>
        <v>4.5999999999999996</v>
      </c>
      <c r="W1104" s="3">
        <f ca="1">IFERROR(__xludf.DUMMYFUNCTION("""COMPUTED_VALUE"""),1000)</f>
        <v>1000</v>
      </c>
      <c r="X1104" s="3">
        <f ca="1">IFERROR(__xludf.DUMMYFUNCTION("""COMPUTED_VALUE"""),2656)</f>
        <v>2656</v>
      </c>
      <c r="Y1104" s="3">
        <f ca="1">IFERROR(__xludf.DUMMYFUNCTION("""COMPUTED_VALUE"""),2011)</f>
        <v>2011</v>
      </c>
      <c r="Z1104" s="3">
        <f ca="1">IFERROR(__xludf.DUMMYFUNCTION("""COMPUTED_VALUE"""),196)</f>
        <v>196</v>
      </c>
      <c r="AA1104" s="3">
        <f ca="1">IFERROR(__xludf.DUMMYFUNCTION("""COMPUTED_VALUE"""),449)</f>
        <v>449</v>
      </c>
      <c r="AB1104" s="3">
        <f ca="1">IFERROR(__xludf.DUMMYFUNCTION("""COMPUTED_VALUE"""),0)</f>
        <v>0</v>
      </c>
      <c r="AC1104" s="3">
        <f ca="1">IFERROR(__xludf.DUMMYFUNCTION("""COMPUTED_VALUE"""),1)</f>
        <v>1</v>
      </c>
      <c r="AD1104" s="3" t="str">
        <f ca="1">IFERROR(__xludf.DUMMYFUNCTION("""COMPUTED_VALUE"""),"late")</f>
        <v>late</v>
      </c>
      <c r="AE1104" s="3" t="str">
        <f ca="1">IFERROR(__xludf.DUMMYFUNCTION("""COMPUTED_VALUE"""),"2055-06-02T15:38:49.142099Z")</f>
        <v>2055-06-02T15:38:49.142099Z</v>
      </c>
      <c r="AF1104" s="3" t="str">
        <f ca="1">IFERROR(__xludf.DUMMYFUNCTION("""COMPUTED_VALUE"""),"2055-06-02T15:46:18.188501Z")</f>
        <v>2055-06-02T15:46:18.188501Z</v>
      </c>
      <c r="AG1104" s="3" t="str">
        <f ca="1">IFERROR(__xludf.DUMMYFUNCTION("""COMPUTED_VALUE"""),"2055-06-02T15:01:47.319435Z")</f>
        <v>2055-06-02T15:01:47.319435Z</v>
      </c>
      <c r="AH1104" s="3" t="str">
        <f ca="1">IFERROR(__xludf.DUMMYFUNCTION("""COMPUTED_VALUE"""),"2055-06-02T15:35:33.325566Z")</f>
        <v>2055-06-02T15:35:33.325566Z</v>
      </c>
      <c r="AI1104" s="3">
        <f ca="1">IFERROR(__xludf.DUMMYFUNCTION("""COMPUTED_VALUE"""),4.38)</f>
        <v>4.38</v>
      </c>
      <c r="AJ1104" s="3">
        <f ca="1">IFERROR(__xludf.DUMMYFUNCTION("""COMPUTED_VALUE"""),196)</f>
        <v>196</v>
      </c>
      <c r="AK1104" s="3">
        <f ca="1">IFERROR(__xludf.DUMMYFUNCTION("""COMPUTED_VALUE"""),626)</f>
        <v>626</v>
      </c>
      <c r="AL1104" s="3"/>
      <c r="AM1104" s="3">
        <f>IFERROR(Raw_Data!AL1104 / Raw_Data!AK1104, "")</f>
        <v>0</v>
      </c>
      <c r="AN1104" s="3" t="str">
        <f>IF(ISBLANK(Raw_Data!AL1104), "No", "Yes")</f>
        <v>No</v>
      </c>
      <c r="AO1104" s="3">
        <f>IFERROR(Raw_Data!Z1104/60, "")</f>
        <v>3.2666666666666666</v>
      </c>
    </row>
    <row r="1105" spans="1:41" ht="13">
      <c r="A1105" s="3">
        <f ca="1">IFERROR(__xludf.DUMMYFUNCTION("""COMPUTED_VALUE"""),515)</f>
        <v>515</v>
      </c>
      <c r="B1105" s="3"/>
      <c r="C1105" s="3">
        <f ca="1">IFERROR(__xludf.DUMMYFUNCTION("""COMPUTED_VALUE"""),4001)</f>
        <v>4001</v>
      </c>
      <c r="D1105" s="3" t="str">
        <f ca="1">IFERROR(__xludf.DUMMYFUNCTION("""COMPUTED_VALUE"""),"Dashattan")</f>
        <v>Dashattan</v>
      </c>
      <c r="E1105" s="3" t="str">
        <f ca="1">IFERROR(__xludf.DUMMYFUNCTION("""COMPUTED_VALUE"""),"Galaxy A")</f>
        <v>Galaxy A</v>
      </c>
      <c r="F1105" s="3" t="str">
        <f ca="1">IFERROR(__xludf.DUMMYFUNCTION("""COMPUTED_VALUE"""),"Ron")</f>
        <v>Ron</v>
      </c>
      <c r="G1105" s="3">
        <f ca="1">IFERROR(__xludf.DUMMYFUNCTION("""COMPUTED_VALUE"""),0)</f>
        <v>0</v>
      </c>
      <c r="H1105" s="3" t="str">
        <f ca="1">IFERROR(__xludf.DUMMYFUNCTION("""COMPUTED_VALUE"""),"bicycle")</f>
        <v>bicycle</v>
      </c>
      <c r="I1105" s="3" t="str">
        <f ca="1">IFERROR(__xludf.DUMMYFUNCTION("""COMPUTED_VALUE"""),"2055-06-05T00:42:01.387699Z")</f>
        <v>2055-06-05T00:42:01.387699Z</v>
      </c>
      <c r="J1105" s="3" t="str">
        <f ca="1">IFERROR(__xludf.DUMMYFUNCTION("""COMPUTED_VALUE"""),"2055-06-05T01:43:33.464Z")</f>
        <v>2055-06-05T01:43:33.464Z</v>
      </c>
      <c r="K1105" s="3" t="str">
        <f ca="1">IFERROR(__xludf.DUMMYFUNCTION("""COMPUTED_VALUE"""),"2055-06-05T01:33:26.464Z")</f>
        <v>2055-06-05T01:33:26.464Z</v>
      </c>
      <c r="L1105" s="3">
        <f ca="1">IFERROR(__xludf.DUMMYFUNCTION("""COMPUTED_VALUE"""),1)</f>
        <v>1</v>
      </c>
      <c r="M1105" s="3">
        <f ca="1">IFERROR(__xludf.DUMMYFUNCTION("""COMPUTED_VALUE"""),0)</f>
        <v>0</v>
      </c>
      <c r="N1105" s="3" t="str">
        <f ca="1">IFERROR(__xludf.DUMMYFUNCTION("""COMPUTED_VALUE"""),"2055-06-05T01:07:31.548702Z")</f>
        <v>2055-06-05T01:07:31.548702Z</v>
      </c>
      <c r="O1105" s="3" t="str">
        <f ca="1">IFERROR(__xludf.DUMMYFUNCTION("""COMPUTED_VALUE"""),"2055-06-05T01:23:39.704121Z")</f>
        <v>2055-06-05T01:23:39.704121Z</v>
      </c>
      <c r="P1105" s="3" t="str">
        <f ca="1">IFERROR(__xludf.DUMMYFUNCTION("""COMPUTED_VALUE"""),"2055-06-05T01:00:54.66667Z")</f>
        <v>2055-06-05T01:00:54.66667Z</v>
      </c>
      <c r="Q1105" s="3">
        <f ca="1">IFERROR(__xludf.DUMMYFUNCTION("""COMPUTED_VALUE"""),0)</f>
        <v>0</v>
      </c>
      <c r="R1105" s="3" t="str">
        <f ca="1">IFERROR(__xludf.DUMMYFUNCTION("""COMPUTED_VALUE"""),"2055-06-05T01:01:31.085509Z")</f>
        <v>2055-06-05T01:01:31.085509Z</v>
      </c>
      <c r="S1105" s="3" t="str">
        <f ca="1">IFERROR(__xludf.DUMMYFUNCTION("""COMPUTED_VALUE"""),"2055-06-05T01:10:48.781855Z")</f>
        <v>2055-06-05T01:10:48.781855Z</v>
      </c>
      <c r="T1105" s="3"/>
      <c r="U1105" s="4">
        <f ca="1">IFERROR(__xludf.DUMMYFUNCTION("""COMPUTED_VALUE"""),56769)</f>
        <v>56769</v>
      </c>
      <c r="V1105" s="3">
        <f ca="1">IFERROR(__xludf.DUMMYFUNCTION("""COMPUTED_VALUE"""),4.4)</f>
        <v>4.4000000000000004</v>
      </c>
      <c r="W1105" s="3">
        <f ca="1">IFERROR(__xludf.DUMMYFUNCTION("""COMPUTED_VALUE"""),1000)</f>
        <v>1000</v>
      </c>
      <c r="X1105" s="3">
        <f ca="1">IFERROR(__xludf.DUMMYFUNCTION("""COMPUTED_VALUE"""),1328)</f>
        <v>1328</v>
      </c>
      <c r="Y1105" s="3">
        <f ca="1">IFERROR(__xludf.DUMMYFUNCTION("""COMPUTED_VALUE"""),557)</f>
        <v>557</v>
      </c>
      <c r="Z1105" s="3"/>
      <c r="AA1105" s="3">
        <f ca="1">IFERROR(__xludf.DUMMYFUNCTION("""COMPUTED_VALUE"""),968)</f>
        <v>968</v>
      </c>
      <c r="AB1105" s="3">
        <f ca="1">IFERROR(__xludf.DUMMYFUNCTION("""COMPUTED_VALUE"""),0)</f>
        <v>0</v>
      </c>
      <c r="AC1105" s="3">
        <f ca="1">IFERROR(__xludf.DUMMYFUNCTION("""COMPUTED_VALUE"""),1)</f>
        <v>1</v>
      </c>
      <c r="AD1105" s="3" t="str">
        <f ca="1">IFERROR(__xludf.DUMMYFUNCTION("""COMPUTED_VALUE"""),"on time")</f>
        <v>on time</v>
      </c>
      <c r="AE1105" s="3" t="str">
        <f ca="1">IFERROR(__xludf.DUMMYFUNCTION("""COMPUTED_VALUE"""),"2055-06-04T21:07:31.548702Z")</f>
        <v>2055-06-04T21:07:31.548702Z</v>
      </c>
      <c r="AF1105" s="3" t="str">
        <f ca="1">IFERROR(__xludf.DUMMYFUNCTION("""COMPUTED_VALUE"""),"2055-06-04T21:23:39.704121Z")</f>
        <v>2055-06-04T21:23:39.704121Z</v>
      </c>
      <c r="AG1105" s="3" t="str">
        <f ca="1">IFERROR(__xludf.DUMMYFUNCTION("""COMPUTED_VALUE"""),"2055-06-04T21:00:54.66667Z")</f>
        <v>2055-06-04T21:00:54.66667Z</v>
      </c>
      <c r="AH1105" s="3" t="str">
        <f ca="1">IFERROR(__xludf.DUMMYFUNCTION("""COMPUTED_VALUE"""),"2055-06-04T21:10:48.781855Z")</f>
        <v>2055-06-04T21:10:48.781855Z</v>
      </c>
      <c r="AI1105" s="3">
        <f ca="1">IFERROR(__xludf.DUMMYFUNCTION("""COMPUTED_VALUE"""),4.56)</f>
        <v>4.5599999999999996</v>
      </c>
      <c r="AJ1105" s="3">
        <f ca="1">IFERROR(__xludf.DUMMYFUNCTION("""COMPUTED_VALUE"""),765)</f>
        <v>765</v>
      </c>
      <c r="AK1105" s="3">
        <f ca="1">IFERROR(__xludf.DUMMYFUNCTION("""COMPUTED_VALUE"""),2618)</f>
        <v>2618</v>
      </c>
      <c r="AL1105" s="3"/>
      <c r="AM1105" s="3">
        <f>IFERROR(Raw_Data!AL1105 / Raw_Data!AK1105, "")</f>
        <v>0</v>
      </c>
      <c r="AN1105" s="3" t="str">
        <f>IF(ISBLANK(Raw_Data!AL1105), "No", "Yes")</f>
        <v>No</v>
      </c>
      <c r="AO1105" s="3">
        <f>IFERROR(Raw_Data!Z1105/60, "")</f>
        <v>0</v>
      </c>
    </row>
    <row r="1106" spans="1:41" ht="13">
      <c r="A1106" s="3">
        <f ca="1">IFERROR(__xludf.DUMMYFUNCTION("""COMPUTED_VALUE"""),1563)</f>
        <v>1563</v>
      </c>
      <c r="B1106" s="3"/>
      <c r="C1106" s="3">
        <f ca="1">IFERROR(__xludf.DUMMYFUNCTION("""COMPUTED_VALUE"""),4001)</f>
        <v>4001</v>
      </c>
      <c r="D1106" s="3" t="str">
        <f ca="1">IFERROR(__xludf.DUMMYFUNCTION("""COMPUTED_VALUE"""),"Dashattan")</f>
        <v>Dashattan</v>
      </c>
      <c r="E1106" s="3" t="str">
        <f ca="1">IFERROR(__xludf.DUMMYFUNCTION("""COMPUTED_VALUE"""),"Galaxy A")</f>
        <v>Galaxy A</v>
      </c>
      <c r="F1106" s="3" t="str">
        <f ca="1">IFERROR(__xludf.DUMMYFUNCTION("""COMPUTED_VALUE"""),"Jim")</f>
        <v>Jim</v>
      </c>
      <c r="G1106" s="3">
        <f ca="1">IFERROR(__xludf.DUMMYFUNCTION("""COMPUTED_VALUE"""),0)</f>
        <v>0</v>
      </c>
      <c r="H1106" s="3" t="str">
        <f ca="1">IFERROR(__xludf.DUMMYFUNCTION("""COMPUTED_VALUE"""),"bicycle")</f>
        <v>bicycle</v>
      </c>
      <c r="I1106" s="3" t="str">
        <f ca="1">IFERROR(__xludf.DUMMYFUNCTION("""COMPUTED_VALUE"""),"2055-06-13T15:42:28.095439Z")</f>
        <v>2055-06-13T15:42:28.095439Z</v>
      </c>
      <c r="J1106" s="3" t="str">
        <f ca="1">IFERROR(__xludf.DUMMYFUNCTION("""COMPUTED_VALUE"""),"2055-06-13T16:37:11.152Z")</f>
        <v>2055-06-13T16:37:11.152Z</v>
      </c>
      <c r="K1106" s="3" t="str">
        <f ca="1">IFERROR(__xludf.DUMMYFUNCTION("""COMPUTED_VALUE"""),"2055-06-13T16:17:04.152Z")</f>
        <v>2055-06-13T16:17:04.152Z</v>
      </c>
      <c r="L1106" s="3">
        <f ca="1">IFERROR(__xludf.DUMMYFUNCTION("""COMPUTED_VALUE"""),1)</f>
        <v>1</v>
      </c>
      <c r="M1106" s="3">
        <f ca="1">IFERROR(__xludf.DUMMYFUNCTION("""COMPUTED_VALUE"""),0)</f>
        <v>0</v>
      </c>
      <c r="N1106" s="3" t="str">
        <f ca="1">IFERROR(__xludf.DUMMYFUNCTION("""COMPUTED_VALUE"""),"2055-06-13T16:27:32.960581Z")</f>
        <v>2055-06-13T16:27:32.960581Z</v>
      </c>
      <c r="O1106" s="3" t="str">
        <f ca="1">IFERROR(__xludf.DUMMYFUNCTION("""COMPUTED_VALUE"""),"2055-06-13T16:37:29.942467Z")</f>
        <v>2055-06-13T16:37:29.942467Z</v>
      </c>
      <c r="P1106" s="3" t="str">
        <f ca="1">IFERROR(__xludf.DUMMYFUNCTION("""COMPUTED_VALUE"""),"2055-06-13T15:47:34.354673Z")</f>
        <v>2055-06-13T15:47:34.354673Z</v>
      </c>
      <c r="Q1106" s="3">
        <f ca="1">IFERROR(__xludf.DUMMYFUNCTION("""COMPUTED_VALUE"""),0)</f>
        <v>0</v>
      </c>
      <c r="R1106" s="3" t="str">
        <f ca="1">IFERROR(__xludf.DUMMYFUNCTION("""COMPUTED_VALUE"""),"2055-06-13T15:47:46.160079Z")</f>
        <v>2055-06-13T15:47:46.160079Z</v>
      </c>
      <c r="S1106" s="3" t="str">
        <f ca="1">IFERROR(__xludf.DUMMYFUNCTION("""COMPUTED_VALUE"""),"2055-06-13T15:57:26.37936Z")</f>
        <v>2055-06-13T15:57:26.37936Z</v>
      </c>
      <c r="T1106" s="3"/>
      <c r="U1106" s="4">
        <f ca="1">IFERROR(__xludf.DUMMYFUNCTION("""COMPUTED_VALUE"""),56778)</f>
        <v>56778</v>
      </c>
      <c r="V1106" s="3">
        <f ca="1">IFERROR(__xludf.DUMMYFUNCTION("""COMPUTED_VALUE"""),4.3)</f>
        <v>4.3</v>
      </c>
      <c r="W1106" s="3">
        <f ca="1">IFERROR(__xludf.DUMMYFUNCTION("""COMPUTED_VALUE"""),1000)</f>
        <v>1000</v>
      </c>
      <c r="X1106" s="3">
        <f ca="1">IFERROR(__xludf.DUMMYFUNCTION("""COMPUTED_VALUE"""),2983)</f>
        <v>2983</v>
      </c>
      <c r="Y1106" s="3">
        <f ca="1">IFERROR(__xludf.DUMMYFUNCTION("""COMPUTED_VALUE"""),580)</f>
        <v>580</v>
      </c>
      <c r="Z1106" s="3">
        <f ca="1">IFERROR(__xludf.DUMMYFUNCTION("""COMPUTED_VALUE"""),1806)</f>
        <v>1806</v>
      </c>
      <c r="AA1106" s="3">
        <f ca="1">IFERROR(__xludf.DUMMYFUNCTION("""COMPUTED_VALUE"""),597)</f>
        <v>597</v>
      </c>
      <c r="AB1106" s="3">
        <f ca="1">IFERROR(__xludf.DUMMYFUNCTION("""COMPUTED_VALUE"""),0)</f>
        <v>0</v>
      </c>
      <c r="AC1106" s="3">
        <f ca="1">IFERROR(__xludf.DUMMYFUNCTION("""COMPUTED_VALUE"""),1)</f>
        <v>1</v>
      </c>
      <c r="AD1106" s="3" t="str">
        <f ca="1">IFERROR(__xludf.DUMMYFUNCTION("""COMPUTED_VALUE"""),"on time")</f>
        <v>on time</v>
      </c>
      <c r="AE1106" s="3" t="str">
        <f ca="1">IFERROR(__xludf.DUMMYFUNCTION("""COMPUTED_VALUE"""),"2055-06-13T12:27:32.960581Z")</f>
        <v>2055-06-13T12:27:32.960581Z</v>
      </c>
      <c r="AF1106" s="3" t="str">
        <f ca="1">IFERROR(__xludf.DUMMYFUNCTION("""COMPUTED_VALUE"""),"2055-06-13T12:37:29.942467Z")</f>
        <v>2055-06-13T12:37:29.942467Z</v>
      </c>
      <c r="AG1106" s="3" t="str">
        <f ca="1">IFERROR(__xludf.DUMMYFUNCTION("""COMPUTED_VALUE"""),"2055-06-13T11:47:34.354673Z")</f>
        <v>2055-06-13T11:47:34.354673Z</v>
      </c>
      <c r="AH1106" s="3" t="str">
        <f ca="1">IFERROR(__xludf.DUMMYFUNCTION("""COMPUTED_VALUE"""),"2055-06-13T11:57:26.37936Z")</f>
        <v>2055-06-13T11:57:26.37936Z</v>
      </c>
      <c r="AI1106" s="3">
        <f ca="1">IFERROR(__xludf.DUMMYFUNCTION("""COMPUTED_VALUE"""),4.4375)</f>
        <v>4.4375</v>
      </c>
      <c r="AJ1106" s="3">
        <f ca="1">IFERROR(__xludf.DUMMYFUNCTION("""COMPUTED_VALUE"""),24)</f>
        <v>24</v>
      </c>
      <c r="AK1106" s="3">
        <f ca="1">IFERROR(__xludf.DUMMYFUNCTION("""COMPUTED_VALUE"""),65)</f>
        <v>65</v>
      </c>
      <c r="AL1106" s="3"/>
      <c r="AM1106" s="3">
        <f>IFERROR(Raw_Data!AL1106 / Raw_Data!AK1106, "")</f>
        <v>0</v>
      </c>
      <c r="AN1106" s="3" t="str">
        <f>IF(ISBLANK(Raw_Data!AL1106), "No", "Yes")</f>
        <v>No</v>
      </c>
      <c r="AO1106" s="3">
        <f>IFERROR(Raw_Data!Z1106/60, "")</f>
        <v>30.1</v>
      </c>
    </row>
    <row r="1107" spans="1:41" ht="13">
      <c r="A1107" s="3">
        <f ca="1">IFERROR(__xludf.DUMMYFUNCTION("""COMPUTED_VALUE"""),316)</f>
        <v>316</v>
      </c>
      <c r="B1107" s="3">
        <f ca="1">IFERROR(__xludf.DUMMYFUNCTION("""COMPUTED_VALUE"""),5)</f>
        <v>5</v>
      </c>
      <c r="C1107" s="3">
        <f ca="1">IFERROR(__xludf.DUMMYFUNCTION("""COMPUTED_VALUE"""),4050)</f>
        <v>4050</v>
      </c>
      <c r="D1107" s="3" t="str">
        <f ca="1">IFERROR(__xludf.DUMMYFUNCTION("""COMPUTED_VALUE"""),"Doorlanta")</f>
        <v>Doorlanta</v>
      </c>
      <c r="E1107" s="3" t="str">
        <f ca="1">IFERROR(__xludf.DUMMYFUNCTION("""COMPUTED_VALUE"""),"Galaxy A")</f>
        <v>Galaxy A</v>
      </c>
      <c r="F1107" s="3" t="str">
        <f ca="1">IFERROR(__xludf.DUMMYFUNCTION("""COMPUTED_VALUE"""),"Hersh")</f>
        <v>Hersh</v>
      </c>
      <c r="G1107" s="3">
        <f ca="1">IFERROR(__xludf.DUMMYFUNCTION("""COMPUTED_VALUE"""),0)</f>
        <v>0</v>
      </c>
      <c r="H1107" s="3" t="str">
        <f ca="1">IFERROR(__xludf.DUMMYFUNCTION("""COMPUTED_VALUE"""),"car")</f>
        <v>car</v>
      </c>
      <c r="I1107" s="3" t="str">
        <f ca="1">IFERROR(__xludf.DUMMYFUNCTION("""COMPUTED_VALUE"""),"2055-06-03T18:43:16.869168Z")</f>
        <v>2055-06-03T18:43:16.869168Z</v>
      </c>
      <c r="J1107" s="3" t="str">
        <f ca="1">IFERROR(__xludf.DUMMYFUNCTION("""COMPUTED_VALUE"""),"2055-06-03T19:32:16.95Z")</f>
        <v>2055-06-03T19:32:16.95Z</v>
      </c>
      <c r="K1107" s="3" t="str">
        <f ca="1">IFERROR(__xludf.DUMMYFUNCTION("""COMPUTED_VALUE"""),"2055-06-03T19:28:23.95Z")</f>
        <v>2055-06-03T19:28:23.95Z</v>
      </c>
      <c r="L1107" s="3">
        <f ca="1">IFERROR(__xludf.DUMMYFUNCTION("""COMPUTED_VALUE"""),1)</f>
        <v>1</v>
      </c>
      <c r="M1107" s="3">
        <f ca="1">IFERROR(__xludf.DUMMYFUNCTION("""COMPUTED_VALUE"""),0)</f>
        <v>0</v>
      </c>
      <c r="N1107" s="3" t="str">
        <f ca="1">IFERROR(__xludf.DUMMYFUNCTION("""COMPUTED_VALUE"""),"2055-06-03T19:43:07.507699Z")</f>
        <v>2055-06-03T19:43:07.507699Z</v>
      </c>
      <c r="O1107" s="3" t="str">
        <f ca="1">IFERROR(__xludf.DUMMYFUNCTION("""COMPUTED_VALUE"""),"2055-06-03T19:57:26.676992Z")</f>
        <v>2055-06-03T19:57:26.676992Z</v>
      </c>
      <c r="P1107" s="3" t="str">
        <f ca="1">IFERROR(__xludf.DUMMYFUNCTION("""COMPUTED_VALUE"""),"2055-06-03T19:34:27.250942Z")</f>
        <v>2055-06-03T19:34:27.250942Z</v>
      </c>
      <c r="Q1107" s="3">
        <f ca="1">IFERROR(__xludf.DUMMYFUNCTION("""COMPUTED_VALUE"""),0)</f>
        <v>0</v>
      </c>
      <c r="R1107" s="3" t="str">
        <f ca="1">IFERROR(__xludf.DUMMYFUNCTION("""COMPUTED_VALUE"""),"2055-06-03T19:34:30.823697Z")</f>
        <v>2055-06-03T19:34:30.823697Z</v>
      </c>
      <c r="S1107" s="3" t="str">
        <f ca="1">IFERROR(__xludf.DUMMYFUNCTION("""COMPUTED_VALUE"""),"2055-06-03T19:38:11.278498Z")</f>
        <v>2055-06-03T19:38:11.278498Z</v>
      </c>
      <c r="T1107" s="3"/>
      <c r="U1107" s="4">
        <f ca="1">IFERROR(__xludf.DUMMYFUNCTION("""COMPUTED_VALUE"""),56768)</f>
        <v>56768</v>
      </c>
      <c r="V1107" s="3">
        <f ca="1">IFERROR(__xludf.DUMMYFUNCTION("""COMPUTED_VALUE"""),3.367155433)</f>
        <v>3.3671554330000002</v>
      </c>
      <c r="W1107" s="3">
        <f ca="1">IFERROR(__xludf.DUMMYFUNCTION("""COMPUTED_VALUE"""),1000)</f>
        <v>1000</v>
      </c>
      <c r="X1107" s="3">
        <f ca="1">IFERROR(__xludf.DUMMYFUNCTION("""COMPUTED_VALUE"""),1376)</f>
        <v>1376</v>
      </c>
      <c r="Y1107" s="3">
        <f ca="1">IFERROR(__xludf.DUMMYFUNCTION("""COMPUTED_VALUE"""),221)</f>
        <v>221</v>
      </c>
      <c r="Z1107" s="3">
        <f ca="1">IFERROR(__xludf.DUMMYFUNCTION("""COMPUTED_VALUE"""),296)</f>
        <v>296</v>
      </c>
      <c r="AA1107" s="3">
        <f ca="1">IFERROR(__xludf.DUMMYFUNCTION("""COMPUTED_VALUE"""),859)</f>
        <v>859</v>
      </c>
      <c r="AB1107" s="3">
        <f ca="1">IFERROR(__xludf.DUMMYFUNCTION("""COMPUTED_VALUE"""),0)</f>
        <v>0</v>
      </c>
      <c r="AC1107" s="3">
        <f ca="1">IFERROR(__xludf.DUMMYFUNCTION("""COMPUTED_VALUE"""),1)</f>
        <v>1</v>
      </c>
      <c r="AD1107" s="3" t="str">
        <f ca="1">IFERROR(__xludf.DUMMYFUNCTION("""COMPUTED_VALUE"""),"early")</f>
        <v>early</v>
      </c>
      <c r="AE1107" s="3" t="str">
        <f ca="1">IFERROR(__xludf.DUMMYFUNCTION("""COMPUTED_VALUE"""),"2055-06-03T15:43:07.507699Z")</f>
        <v>2055-06-03T15:43:07.507699Z</v>
      </c>
      <c r="AF1107" s="3" t="str">
        <f ca="1">IFERROR(__xludf.DUMMYFUNCTION("""COMPUTED_VALUE"""),"2055-06-03T15:57:26.676992Z")</f>
        <v>2055-06-03T15:57:26.676992Z</v>
      </c>
      <c r="AG1107" s="3" t="str">
        <f ca="1">IFERROR(__xludf.DUMMYFUNCTION("""COMPUTED_VALUE"""),"2055-06-03T15:34:27.250942Z")</f>
        <v>2055-06-03T15:34:27.250942Z</v>
      </c>
      <c r="AH1107" s="3" t="str">
        <f ca="1">IFERROR(__xludf.DUMMYFUNCTION("""COMPUTED_VALUE"""),"2055-06-03T15:38:11.278498Z")</f>
        <v>2055-06-03T15:38:11.278498Z</v>
      </c>
      <c r="AI1107" s="3">
        <f ca="1">IFERROR(__xludf.DUMMYFUNCTION("""COMPUTED_VALUE"""),4.7)</f>
        <v>4.7</v>
      </c>
      <c r="AJ1107" s="3">
        <f ca="1">IFERROR(__xludf.DUMMYFUNCTION("""COMPUTED_VALUE"""),212)</f>
        <v>212</v>
      </c>
      <c r="AK1107" s="3">
        <f ca="1">IFERROR(__xludf.DUMMYFUNCTION("""COMPUTED_VALUE"""),624)</f>
        <v>624</v>
      </c>
      <c r="AL1107" s="3">
        <f ca="1">IFERROR(__xludf.DUMMYFUNCTION("""COMPUTED_VALUE"""),347)</f>
        <v>347</v>
      </c>
      <c r="AM1107" s="3">
        <f>IFERROR(Raw_Data!AL1107 / Raw_Data!AK1107, "")</f>
        <v>0.55608974358974361</v>
      </c>
      <c r="AN1107" s="3" t="str">
        <f>IF(ISBLANK(Raw_Data!AL1107), "No", "Yes")</f>
        <v>Yes</v>
      </c>
      <c r="AO1107" s="3">
        <f>IFERROR(Raw_Data!Z1107/60, "")</f>
        <v>4.9333333333333336</v>
      </c>
    </row>
    <row r="1108" spans="1:41" ht="13">
      <c r="A1108" s="3">
        <f ca="1">IFERROR(__xludf.DUMMYFUNCTION("""COMPUTED_VALUE"""),1195)</f>
        <v>1195</v>
      </c>
      <c r="B1108" s="3"/>
      <c r="C1108" s="3">
        <f ca="1">IFERROR(__xludf.DUMMYFUNCTION("""COMPUTED_VALUE"""),4001)</f>
        <v>4001</v>
      </c>
      <c r="D1108" s="3" t="str">
        <f ca="1">IFERROR(__xludf.DUMMYFUNCTION("""COMPUTED_VALUE"""),"Dashattan")</f>
        <v>Dashattan</v>
      </c>
      <c r="E1108" s="3" t="str">
        <f ca="1">IFERROR(__xludf.DUMMYFUNCTION("""COMPUTED_VALUE"""),"Galaxy A")</f>
        <v>Galaxy A</v>
      </c>
      <c r="F1108" s="3" t="str">
        <f ca="1">IFERROR(__xludf.DUMMYFUNCTION("""COMPUTED_VALUE"""),"Arya")</f>
        <v>Arya</v>
      </c>
      <c r="G1108" s="3">
        <f ca="1">IFERROR(__xludf.DUMMYFUNCTION("""COMPUTED_VALUE"""),0)</f>
        <v>0</v>
      </c>
      <c r="H1108" s="3" t="str">
        <f ca="1">IFERROR(__xludf.DUMMYFUNCTION("""COMPUTED_VALUE"""),"bicycle")</f>
        <v>bicycle</v>
      </c>
      <c r="I1108" s="3" t="str">
        <f ca="1">IFERROR(__xludf.DUMMYFUNCTION("""COMPUTED_VALUE"""),"2055-06-10T23:21:04.732666Z")</f>
        <v>2055-06-10T23:21:04.732666Z</v>
      </c>
      <c r="J1108" s="3" t="str">
        <f ca="1">IFERROR(__xludf.DUMMYFUNCTION("""COMPUTED_VALUE"""),"2055-06-10T23:59:45.862Z")</f>
        <v>2055-06-10T23:59:45.862Z</v>
      </c>
      <c r="K1108" s="3" t="str">
        <f ca="1">IFERROR(__xludf.DUMMYFUNCTION("""COMPUTED_VALUE"""),"2055-06-10T23:55:52.862Z")</f>
        <v>2055-06-10T23:55:52.862Z</v>
      </c>
      <c r="L1108" s="3">
        <f ca="1">IFERROR(__xludf.DUMMYFUNCTION("""COMPUTED_VALUE"""),1)</f>
        <v>1</v>
      </c>
      <c r="M1108" s="3">
        <f ca="1">IFERROR(__xludf.DUMMYFUNCTION("""COMPUTED_VALUE"""),0)</f>
        <v>0</v>
      </c>
      <c r="N1108" s="3" t="str">
        <f ca="1">IFERROR(__xludf.DUMMYFUNCTION("""COMPUTED_VALUE"""),"2055-06-11T00:21:23.428636Z")</f>
        <v>2055-06-11T00:21:23.428636Z</v>
      </c>
      <c r="O1108" s="3" t="str">
        <f ca="1">IFERROR(__xludf.DUMMYFUNCTION("""COMPUTED_VALUE"""),"2055-06-11T00:52:22.646502Z")</f>
        <v>2055-06-11T00:52:22.646502Z</v>
      </c>
      <c r="P1108" s="3" t="str">
        <f ca="1">IFERROR(__xludf.DUMMYFUNCTION("""COMPUTED_VALUE"""),"2055-06-10T23:26:14.69746Z")</f>
        <v>2055-06-10T23:26:14.69746Z</v>
      </c>
      <c r="Q1108" s="3">
        <f ca="1">IFERROR(__xludf.DUMMYFUNCTION("""COMPUTED_VALUE"""),0)</f>
        <v>0</v>
      </c>
      <c r="R1108" s="3" t="str">
        <f ca="1">IFERROR(__xludf.DUMMYFUNCTION("""COMPUTED_VALUE"""),"2055-06-10T23:26:27.446146Z")</f>
        <v>2055-06-10T23:26:27.446146Z</v>
      </c>
      <c r="S1108" s="3" t="str">
        <f ca="1">IFERROR(__xludf.DUMMYFUNCTION("""COMPUTED_VALUE"""),"2055-06-10T23:50:42.743905Z")</f>
        <v>2055-06-10T23:50:42.743905Z</v>
      </c>
      <c r="T1108" s="3"/>
      <c r="U1108" s="4">
        <f ca="1">IFERROR(__xludf.DUMMYFUNCTION("""COMPUTED_VALUE"""),56775)</f>
        <v>56775</v>
      </c>
      <c r="V1108" s="3">
        <f ca="1">IFERROR(__xludf.DUMMYFUNCTION("""COMPUTED_VALUE"""),4.3)</f>
        <v>4.3</v>
      </c>
      <c r="W1108" s="3">
        <f ca="1">IFERROR(__xludf.DUMMYFUNCTION("""COMPUTED_VALUE"""),1000)</f>
        <v>1000</v>
      </c>
      <c r="X1108" s="3">
        <f ca="1">IFERROR(__xludf.DUMMYFUNCTION("""COMPUTED_VALUE"""),5155)</f>
        <v>5155</v>
      </c>
      <c r="Y1108" s="3">
        <f ca="1">IFERROR(__xludf.DUMMYFUNCTION("""COMPUTED_VALUE"""),1455)</f>
        <v>1455</v>
      </c>
      <c r="Z1108" s="3">
        <f ca="1">IFERROR(__xludf.DUMMYFUNCTION("""COMPUTED_VALUE"""),1841)</f>
        <v>1841</v>
      </c>
      <c r="AA1108" s="3">
        <f ca="1">IFERROR(__xludf.DUMMYFUNCTION("""COMPUTED_VALUE"""),1859)</f>
        <v>1859</v>
      </c>
      <c r="AB1108" s="3">
        <f ca="1">IFERROR(__xludf.DUMMYFUNCTION("""COMPUTED_VALUE"""),0)</f>
        <v>0</v>
      </c>
      <c r="AC1108" s="3">
        <f ca="1">IFERROR(__xludf.DUMMYFUNCTION("""COMPUTED_VALUE"""),1)</f>
        <v>1</v>
      </c>
      <c r="AD1108" s="3" t="str">
        <f ca="1">IFERROR(__xludf.DUMMYFUNCTION("""COMPUTED_VALUE"""),"late")</f>
        <v>late</v>
      </c>
      <c r="AE1108" s="3" t="str">
        <f ca="1">IFERROR(__xludf.DUMMYFUNCTION("""COMPUTED_VALUE"""),"2055-06-10T20:21:23.428636Z")</f>
        <v>2055-06-10T20:21:23.428636Z</v>
      </c>
      <c r="AF1108" s="3" t="str">
        <f ca="1">IFERROR(__xludf.DUMMYFUNCTION("""COMPUTED_VALUE"""),"2055-06-10T20:52:22.646502Z")</f>
        <v>2055-06-10T20:52:22.646502Z</v>
      </c>
      <c r="AG1108" s="3" t="str">
        <f ca="1">IFERROR(__xludf.DUMMYFUNCTION("""COMPUTED_VALUE"""),"2055-06-10T19:26:14.69746Z")</f>
        <v>2055-06-10T19:26:14.69746Z</v>
      </c>
      <c r="AH1108" s="3" t="str">
        <f ca="1">IFERROR(__xludf.DUMMYFUNCTION("""COMPUTED_VALUE"""),"2055-06-10T19:50:42.743905Z")</f>
        <v>2055-06-10T19:50:42.743905Z</v>
      </c>
      <c r="AI1108" s="3">
        <f ca="1">IFERROR(__xludf.DUMMYFUNCTION("""COMPUTED_VALUE"""),4.17)</f>
        <v>4.17</v>
      </c>
      <c r="AJ1108" s="3">
        <f ca="1">IFERROR(__xludf.DUMMYFUNCTION("""COMPUTED_VALUE"""),457)</f>
        <v>457</v>
      </c>
      <c r="AK1108" s="3">
        <f ca="1">IFERROR(__xludf.DUMMYFUNCTION("""COMPUTED_VALUE"""),1599)</f>
        <v>1599</v>
      </c>
      <c r="AL1108" s="3"/>
      <c r="AM1108" s="3">
        <f>IFERROR(Raw_Data!AL1108 / Raw_Data!AK1108, "")</f>
        <v>0</v>
      </c>
      <c r="AN1108" s="3" t="str">
        <f>IF(ISBLANK(Raw_Data!AL1108), "No", "Yes")</f>
        <v>No</v>
      </c>
      <c r="AO1108" s="3">
        <f>IFERROR(Raw_Data!Z1108/60, "")</f>
        <v>30.683333333333334</v>
      </c>
    </row>
    <row r="1109" spans="1:41" ht="13">
      <c r="A1109" s="3">
        <f ca="1">IFERROR(__xludf.DUMMYFUNCTION("""COMPUTED_VALUE"""),689)</f>
        <v>689</v>
      </c>
      <c r="B1109" s="3">
        <f ca="1">IFERROR(__xludf.DUMMYFUNCTION("""COMPUTED_VALUE"""),5)</f>
        <v>5</v>
      </c>
      <c r="C1109" s="3">
        <f ca="1">IFERROR(__xludf.DUMMYFUNCTION("""COMPUTED_VALUE"""),4001)</f>
        <v>4001</v>
      </c>
      <c r="D1109" s="3" t="str">
        <f ca="1">IFERROR(__xludf.DUMMYFUNCTION("""COMPUTED_VALUE"""),"Dashattan")</f>
        <v>Dashattan</v>
      </c>
      <c r="E1109" s="3" t="str">
        <f ca="1">IFERROR(__xludf.DUMMYFUNCTION("""COMPUTED_VALUE"""),"Galaxy A")</f>
        <v>Galaxy A</v>
      </c>
      <c r="F1109" s="3" t="str">
        <f ca="1">IFERROR(__xludf.DUMMYFUNCTION("""COMPUTED_VALUE"""),"Arya")</f>
        <v>Arya</v>
      </c>
      <c r="G1109" s="3">
        <f ca="1">IFERROR(__xludf.DUMMYFUNCTION("""COMPUTED_VALUE"""),0)</f>
        <v>0</v>
      </c>
      <c r="H1109" s="3" t="str">
        <f ca="1">IFERROR(__xludf.DUMMYFUNCTION("""COMPUTED_VALUE"""),"bicycle")</f>
        <v>bicycle</v>
      </c>
      <c r="I1109" s="3" t="str">
        <f ca="1">IFERROR(__xludf.DUMMYFUNCTION("""COMPUTED_VALUE"""),"2055-06-05T23:57:08.624725Z")</f>
        <v>2055-06-05T23:57:08.624725Z</v>
      </c>
      <c r="J1109" s="3" t="str">
        <f ca="1">IFERROR(__xludf.DUMMYFUNCTION("""COMPUTED_VALUE"""),"2055-06-06T00:46:09.692Z")</f>
        <v>2055-06-06T00:46:09.692Z</v>
      </c>
      <c r="K1109" s="3" t="str">
        <f ca="1">IFERROR(__xludf.DUMMYFUNCTION("""COMPUTED_VALUE"""),"2055-06-06T00:36:28.692Z")</f>
        <v>2055-06-06T00:36:28.692Z</v>
      </c>
      <c r="L1109" s="3">
        <f ca="1">IFERROR(__xludf.DUMMYFUNCTION("""COMPUTED_VALUE"""),1)</f>
        <v>1</v>
      </c>
      <c r="M1109" s="3">
        <f ca="1">IFERROR(__xludf.DUMMYFUNCTION("""COMPUTED_VALUE"""),0)</f>
        <v>0</v>
      </c>
      <c r="N1109" s="3" t="str">
        <f ca="1">IFERROR(__xludf.DUMMYFUNCTION("""COMPUTED_VALUE"""),"2055-06-06T00:16:40.390747Z")</f>
        <v>2055-06-06T00:16:40.390747Z</v>
      </c>
      <c r="O1109" s="3" t="str">
        <f ca="1">IFERROR(__xludf.DUMMYFUNCTION("""COMPUTED_VALUE"""),"2055-06-06T00:21:22.189446Z")</f>
        <v>2055-06-06T00:21:22.189446Z</v>
      </c>
      <c r="P1109" s="3" t="str">
        <f ca="1">IFERROR(__xludf.DUMMYFUNCTION("""COMPUTED_VALUE"""),"2055-06-06T00:08:18.567636Z")</f>
        <v>2055-06-06T00:08:18.567636Z</v>
      </c>
      <c r="Q1109" s="3">
        <f ca="1">IFERROR(__xludf.DUMMYFUNCTION("""COMPUTED_VALUE"""),0)</f>
        <v>0</v>
      </c>
      <c r="R1109" s="3" t="str">
        <f ca="1">IFERROR(__xludf.DUMMYFUNCTION("""COMPUTED_VALUE"""),"2055-06-06T00:08:21.837761Z")</f>
        <v>2055-06-06T00:08:21.837761Z</v>
      </c>
      <c r="S1109" s="3" t="str">
        <f ca="1">IFERROR(__xludf.DUMMYFUNCTION("""COMPUTED_VALUE"""),"2055-06-06T00:16:26.539009Z")</f>
        <v>2055-06-06T00:16:26.539009Z</v>
      </c>
      <c r="T1109" s="3"/>
      <c r="U1109" s="4">
        <f ca="1">IFERROR(__xludf.DUMMYFUNCTION("""COMPUTED_VALUE"""),56770)</f>
        <v>56770</v>
      </c>
      <c r="V1109" s="3">
        <f ca="1">IFERROR(__xludf.DUMMYFUNCTION("""COMPUTED_VALUE"""),3.104939714)</f>
        <v>3.1049397139999999</v>
      </c>
      <c r="W1109" s="3">
        <f ca="1">IFERROR(__xludf.DUMMYFUNCTION("""COMPUTED_VALUE"""),1000)</f>
        <v>1000</v>
      </c>
      <c r="X1109" s="3">
        <f ca="1">IFERROR(__xludf.DUMMYFUNCTION("""COMPUTED_VALUE"""),781)</f>
        <v>781</v>
      </c>
      <c r="Y1109" s="3">
        <f ca="1">IFERROR(__xludf.DUMMYFUNCTION("""COMPUTED_VALUE"""),485)</f>
        <v>485</v>
      </c>
      <c r="Z1109" s="3">
        <f ca="1">IFERROR(__xludf.DUMMYFUNCTION("""COMPUTED_VALUE"""),14)</f>
        <v>14</v>
      </c>
      <c r="AA1109" s="3">
        <f ca="1">IFERROR(__xludf.DUMMYFUNCTION("""COMPUTED_VALUE"""),282)</f>
        <v>282</v>
      </c>
      <c r="AB1109" s="3">
        <f ca="1">IFERROR(__xludf.DUMMYFUNCTION("""COMPUTED_VALUE"""),0)</f>
        <v>0</v>
      </c>
      <c r="AC1109" s="3">
        <f ca="1">IFERROR(__xludf.DUMMYFUNCTION("""COMPUTED_VALUE"""),1)</f>
        <v>1</v>
      </c>
      <c r="AD1109" s="3" t="str">
        <f ca="1">IFERROR(__xludf.DUMMYFUNCTION("""COMPUTED_VALUE"""),"late")</f>
        <v>late</v>
      </c>
      <c r="AE1109" s="3" t="str">
        <f ca="1">IFERROR(__xludf.DUMMYFUNCTION("""COMPUTED_VALUE"""),"2055-06-05T20:16:40.390747Z")</f>
        <v>2055-06-05T20:16:40.390747Z</v>
      </c>
      <c r="AF1109" s="3" t="str">
        <f ca="1">IFERROR(__xludf.DUMMYFUNCTION("""COMPUTED_VALUE"""),"2055-06-05T20:21:22.189446Z")</f>
        <v>2055-06-05T20:21:22.189446Z</v>
      </c>
      <c r="AG1109" s="3" t="str">
        <f ca="1">IFERROR(__xludf.DUMMYFUNCTION("""COMPUTED_VALUE"""),"2055-06-05T20:08:18.567636Z")</f>
        <v>2055-06-05T20:08:18.567636Z</v>
      </c>
      <c r="AH1109" s="3" t="str">
        <f ca="1">IFERROR(__xludf.DUMMYFUNCTION("""COMPUTED_VALUE"""),"2055-06-05T20:16:26.539009Z")</f>
        <v>2055-06-05T20:16:26.539009Z</v>
      </c>
      <c r="AI1109" s="3">
        <f ca="1">IFERROR(__xludf.DUMMYFUNCTION("""COMPUTED_VALUE"""),4.17)</f>
        <v>4.17</v>
      </c>
      <c r="AJ1109" s="3">
        <f ca="1">IFERROR(__xludf.DUMMYFUNCTION("""COMPUTED_VALUE"""),457)</f>
        <v>457</v>
      </c>
      <c r="AK1109" s="3">
        <f ca="1">IFERROR(__xludf.DUMMYFUNCTION("""COMPUTED_VALUE"""),1599)</f>
        <v>1599</v>
      </c>
      <c r="AL1109" s="3"/>
      <c r="AM1109" s="3">
        <f>IFERROR(Raw_Data!AL1109 / Raw_Data!AK1109, "")</f>
        <v>0</v>
      </c>
      <c r="AN1109" s="3" t="str">
        <f>IF(ISBLANK(Raw_Data!AL1109), "No", "Yes")</f>
        <v>No</v>
      </c>
      <c r="AO1109" s="3">
        <f>IFERROR(Raw_Data!Z1109/60, "")</f>
        <v>0.23333333333333334</v>
      </c>
    </row>
    <row r="1110" spans="1:41" ht="13">
      <c r="A1110" s="3">
        <f ca="1">IFERROR(__xludf.DUMMYFUNCTION("""COMPUTED_VALUE"""),24)</f>
        <v>24</v>
      </c>
      <c r="B1110" s="3">
        <f ca="1">IFERROR(__xludf.DUMMYFUNCTION("""COMPUTED_VALUE"""),4)</f>
        <v>4</v>
      </c>
      <c r="C1110" s="3">
        <f ca="1">IFERROR(__xludf.DUMMYFUNCTION("""COMPUTED_VALUE"""),4050)</f>
        <v>4050</v>
      </c>
      <c r="D1110" s="3" t="str">
        <f ca="1">IFERROR(__xludf.DUMMYFUNCTION("""COMPUTED_VALUE"""),"Doorlanta")</f>
        <v>Doorlanta</v>
      </c>
      <c r="E1110" s="3" t="str">
        <f ca="1">IFERROR(__xludf.DUMMYFUNCTION("""COMPUTED_VALUE"""),"Galaxy A")</f>
        <v>Galaxy A</v>
      </c>
      <c r="F1110" s="3" t="str">
        <f ca="1">IFERROR(__xludf.DUMMYFUNCTION("""COMPUTED_VALUE"""),"Matt")</f>
        <v>Matt</v>
      </c>
      <c r="G1110" s="3">
        <f ca="1">IFERROR(__xludf.DUMMYFUNCTION("""COMPUTED_VALUE"""),0)</f>
        <v>0</v>
      </c>
      <c r="H1110" s="3" t="str">
        <f ca="1">IFERROR(__xludf.DUMMYFUNCTION("""COMPUTED_VALUE"""),"car")</f>
        <v>car</v>
      </c>
      <c r="I1110" s="3" t="str">
        <f ca="1">IFERROR(__xludf.DUMMYFUNCTION("""COMPUTED_VALUE"""),"2055-06-01T17:03:26.15626Z")</f>
        <v>2055-06-01T17:03:26.15626Z</v>
      </c>
      <c r="J1110" s="3" t="str">
        <f ca="1">IFERROR(__xludf.DUMMYFUNCTION("""COMPUTED_VALUE"""),"2055-06-01T17:51:09.235Z")</f>
        <v>2055-06-01T17:51:09.235Z</v>
      </c>
      <c r="K1110" s="3" t="str">
        <f ca="1">IFERROR(__xludf.DUMMYFUNCTION("""COMPUTED_VALUE"""),"2055-06-01T17:42:51.235Z")</f>
        <v>2055-06-01T17:42:51.235Z</v>
      </c>
      <c r="L1110" s="3">
        <f ca="1">IFERROR(__xludf.DUMMYFUNCTION("""COMPUTED_VALUE"""),1)</f>
        <v>1</v>
      </c>
      <c r="M1110" s="3">
        <f ca="1">IFERROR(__xludf.DUMMYFUNCTION("""COMPUTED_VALUE"""),0)</f>
        <v>0</v>
      </c>
      <c r="N1110" s="3" t="str">
        <f ca="1">IFERROR(__xludf.DUMMYFUNCTION("""COMPUTED_VALUE"""),"2055-06-01T17:48:29.891527Z")</f>
        <v>2055-06-01T17:48:29.891527Z</v>
      </c>
      <c r="O1110" s="3" t="str">
        <f ca="1">IFERROR(__xludf.DUMMYFUNCTION("""COMPUTED_VALUE"""),"2055-06-01T18:02:06.0753Z")</f>
        <v>2055-06-01T18:02:06.0753Z</v>
      </c>
      <c r="P1110" s="3" t="str">
        <f ca="1">IFERROR(__xludf.DUMMYFUNCTION("""COMPUTED_VALUE"""),"2055-06-01T17:14:47.309177Z")</f>
        <v>2055-06-01T17:14:47.309177Z</v>
      </c>
      <c r="Q1110" s="3">
        <f ca="1">IFERROR(__xludf.DUMMYFUNCTION("""COMPUTED_VALUE"""),0)</f>
        <v>0</v>
      </c>
      <c r="R1110" s="3" t="str">
        <f ca="1">IFERROR(__xludf.DUMMYFUNCTION("""COMPUTED_VALUE"""),"2055-06-01T17:14:51.705272Z")</f>
        <v>2055-06-01T17:14:51.705272Z</v>
      </c>
      <c r="S1110" s="3" t="str">
        <f ca="1">IFERROR(__xludf.DUMMYFUNCTION("""COMPUTED_VALUE"""),"2055-06-01T17:44:05.208351Z")</f>
        <v>2055-06-01T17:44:05.208351Z</v>
      </c>
      <c r="T1110" s="3"/>
      <c r="U1110" s="4">
        <f ca="1">IFERROR(__xludf.DUMMYFUNCTION("""COMPUTED_VALUE"""),56766)</f>
        <v>56766</v>
      </c>
      <c r="V1110" s="3">
        <f ca="1">IFERROR(__xludf.DUMMYFUNCTION("""COMPUTED_VALUE"""),4.4)</f>
        <v>4.4000000000000004</v>
      </c>
      <c r="W1110" s="3">
        <f ca="1">IFERROR(__xludf.DUMMYFUNCTION("""COMPUTED_VALUE"""),1000)</f>
        <v>1000</v>
      </c>
      <c r="X1110" s="3">
        <f ca="1">IFERROR(__xludf.DUMMYFUNCTION("""COMPUTED_VALUE"""),2835)</f>
        <v>2835</v>
      </c>
      <c r="Y1110" s="3">
        <f ca="1">IFERROR(__xludf.DUMMYFUNCTION("""COMPUTED_VALUE"""),1754)</f>
        <v>1754</v>
      </c>
      <c r="Z1110" s="3">
        <f ca="1">IFERROR(__xludf.DUMMYFUNCTION("""COMPUTED_VALUE"""),264)</f>
        <v>264</v>
      </c>
      <c r="AA1110" s="3">
        <f ca="1">IFERROR(__xludf.DUMMYFUNCTION("""COMPUTED_VALUE"""),817)</f>
        <v>817</v>
      </c>
      <c r="AB1110" s="3">
        <f ca="1">IFERROR(__xludf.DUMMYFUNCTION("""COMPUTED_VALUE"""),0)</f>
        <v>0</v>
      </c>
      <c r="AC1110" s="3">
        <f ca="1">IFERROR(__xludf.DUMMYFUNCTION("""COMPUTED_VALUE"""),1)</f>
        <v>1</v>
      </c>
      <c r="AD1110" s="3" t="str">
        <f ca="1">IFERROR(__xludf.DUMMYFUNCTION("""COMPUTED_VALUE"""),"late")</f>
        <v>late</v>
      </c>
      <c r="AE1110" s="3" t="str">
        <f ca="1">IFERROR(__xludf.DUMMYFUNCTION("""COMPUTED_VALUE"""),"2055-06-01T13:48:29.891527Z")</f>
        <v>2055-06-01T13:48:29.891527Z</v>
      </c>
      <c r="AF1110" s="3" t="str">
        <f ca="1">IFERROR(__xludf.DUMMYFUNCTION("""COMPUTED_VALUE"""),"2055-06-01T14:02:06.0753Z")</f>
        <v>2055-06-01T14:02:06.0753Z</v>
      </c>
      <c r="AG1110" s="3" t="str">
        <f ca="1">IFERROR(__xludf.DUMMYFUNCTION("""COMPUTED_VALUE"""),"2055-06-01T13:14:47.309177Z")</f>
        <v>2055-06-01T13:14:47.309177Z</v>
      </c>
      <c r="AH1110" s="3" t="str">
        <f ca="1">IFERROR(__xludf.DUMMYFUNCTION("""COMPUTED_VALUE"""),"2055-06-01T13:44:05.208351Z")</f>
        <v>2055-06-01T13:44:05.208351Z</v>
      </c>
      <c r="AI1110" s="3">
        <f ca="1">IFERROR(__xludf.DUMMYFUNCTION("""COMPUTED_VALUE"""),4.22)</f>
        <v>4.22</v>
      </c>
      <c r="AJ1110" s="3">
        <f ca="1">IFERROR(__xludf.DUMMYFUNCTION("""COMPUTED_VALUE"""),1551)</f>
        <v>1551</v>
      </c>
      <c r="AK1110" s="3">
        <f ca="1">IFERROR(__xludf.DUMMYFUNCTION("""COMPUTED_VALUE"""),4625)</f>
        <v>4625</v>
      </c>
      <c r="AL1110" s="3"/>
      <c r="AM1110" s="3">
        <f>IFERROR(Raw_Data!AL1110 / Raw_Data!AK1110, "")</f>
        <v>0</v>
      </c>
      <c r="AN1110" s="3" t="str">
        <f>IF(ISBLANK(Raw_Data!AL1110), "No", "Yes")</f>
        <v>No</v>
      </c>
      <c r="AO1110" s="3">
        <f>IFERROR(Raw_Data!Z1110/60, "")</f>
        <v>4.4000000000000004</v>
      </c>
    </row>
    <row r="1111" spans="1:41" ht="13">
      <c r="A1111" s="3">
        <f ca="1">IFERROR(__xludf.DUMMYFUNCTION("""COMPUTED_VALUE"""),589)</f>
        <v>589</v>
      </c>
      <c r="B1111" s="3"/>
      <c r="C1111" s="3">
        <f ca="1">IFERROR(__xludf.DUMMYFUNCTION("""COMPUTED_VALUE"""),4001)</f>
        <v>4001</v>
      </c>
      <c r="D1111" s="3" t="str">
        <f ca="1">IFERROR(__xludf.DUMMYFUNCTION("""COMPUTED_VALUE"""),"Dashattan")</f>
        <v>Dashattan</v>
      </c>
      <c r="E1111" s="3" t="str">
        <f ca="1">IFERROR(__xludf.DUMMYFUNCTION("""COMPUTED_VALUE"""),"Galaxy A")</f>
        <v>Galaxy A</v>
      </c>
      <c r="F1111" s="3" t="str">
        <f ca="1">IFERROR(__xludf.DUMMYFUNCTION("""COMPUTED_VALUE"""),"KC")</f>
        <v>KC</v>
      </c>
      <c r="G1111" s="3">
        <f ca="1">IFERROR(__xludf.DUMMYFUNCTION("""COMPUTED_VALUE"""),0)</f>
        <v>0</v>
      </c>
      <c r="H1111" s="3" t="str">
        <f ca="1">IFERROR(__xludf.DUMMYFUNCTION("""COMPUTED_VALUE"""),"car")</f>
        <v>car</v>
      </c>
      <c r="I1111" s="3" t="str">
        <f ca="1">IFERROR(__xludf.DUMMYFUNCTION("""COMPUTED_VALUE"""),"2055-06-05T18:32:06.345715Z")</f>
        <v>2055-06-05T18:32:06.345715Z</v>
      </c>
      <c r="J1111" s="3" t="str">
        <f ca="1">IFERROR(__xludf.DUMMYFUNCTION("""COMPUTED_VALUE"""),"2055-06-05T19:22:21.515Z")</f>
        <v>2055-06-05T19:22:21.515Z</v>
      </c>
      <c r="K1111" s="3" t="str">
        <f ca="1">IFERROR(__xludf.DUMMYFUNCTION("""COMPUTED_VALUE"""),"2055-06-05T19:02:14.515Z")</f>
        <v>2055-06-05T19:02:14.515Z</v>
      </c>
      <c r="L1111" s="3">
        <f ca="1">IFERROR(__xludf.DUMMYFUNCTION("""COMPUTED_VALUE"""),1)</f>
        <v>1</v>
      </c>
      <c r="M1111" s="3">
        <f ca="1">IFERROR(__xludf.DUMMYFUNCTION("""COMPUTED_VALUE"""),0)</f>
        <v>0</v>
      </c>
      <c r="N1111" s="3" t="str">
        <f ca="1">IFERROR(__xludf.DUMMYFUNCTION("""COMPUTED_VALUE"""),"2055-06-05T18:47:16.013629Z")</f>
        <v>2055-06-05T18:47:16.013629Z</v>
      </c>
      <c r="O1111" s="3" t="str">
        <f ca="1">IFERROR(__xludf.DUMMYFUNCTION("""COMPUTED_VALUE"""),"2055-06-05T18:54:29.04706Z")</f>
        <v>2055-06-05T18:54:29.04706Z</v>
      </c>
      <c r="P1111" s="3" t="str">
        <f ca="1">IFERROR(__xludf.DUMMYFUNCTION("""COMPUTED_VALUE"""),"2055-06-05T18:38:14.510823Z")</f>
        <v>2055-06-05T18:38:14.510823Z</v>
      </c>
      <c r="Q1111" s="3">
        <f ca="1">IFERROR(__xludf.DUMMYFUNCTION("""COMPUTED_VALUE"""),0)</f>
        <v>0</v>
      </c>
      <c r="R1111" s="3" t="str">
        <f ca="1">IFERROR(__xludf.DUMMYFUNCTION("""COMPUTED_VALUE"""),"2055-06-05T18:38:24.139431Z")</f>
        <v>2055-06-05T18:38:24.139431Z</v>
      </c>
      <c r="S1111" s="3" t="str">
        <f ca="1">IFERROR(__xludf.DUMMYFUNCTION("""COMPUTED_VALUE"""),"2055-06-05T18:43:37.718352Z")</f>
        <v>2055-06-05T18:43:37.718352Z</v>
      </c>
      <c r="T1111" s="3"/>
      <c r="U1111" s="4">
        <f ca="1">IFERROR(__xludf.DUMMYFUNCTION("""COMPUTED_VALUE"""),56770)</f>
        <v>56770</v>
      </c>
      <c r="V1111" s="3">
        <f ca="1">IFERROR(__xludf.DUMMYFUNCTION("""COMPUTED_VALUE"""),3.024036945)</f>
        <v>3.0240369450000002</v>
      </c>
      <c r="W1111" s="3">
        <f ca="1">IFERROR(__xludf.DUMMYFUNCTION("""COMPUTED_VALUE"""),1000)</f>
        <v>1000</v>
      </c>
      <c r="X1111" s="3">
        <f ca="1">IFERROR(__xludf.DUMMYFUNCTION("""COMPUTED_VALUE"""),965)</f>
        <v>965</v>
      </c>
      <c r="Y1111" s="3">
        <f ca="1">IFERROR(__xludf.DUMMYFUNCTION("""COMPUTED_VALUE"""),313)</f>
        <v>313</v>
      </c>
      <c r="Z1111" s="3">
        <f ca="1">IFERROR(__xludf.DUMMYFUNCTION("""COMPUTED_VALUE"""),219)</f>
        <v>219</v>
      </c>
      <c r="AA1111" s="3">
        <f ca="1">IFERROR(__xludf.DUMMYFUNCTION("""COMPUTED_VALUE"""),433)</f>
        <v>433</v>
      </c>
      <c r="AB1111" s="3">
        <f ca="1">IFERROR(__xludf.DUMMYFUNCTION("""COMPUTED_VALUE"""),0)</f>
        <v>0</v>
      </c>
      <c r="AC1111" s="3">
        <f ca="1">IFERROR(__xludf.DUMMYFUNCTION("""COMPUTED_VALUE"""),1)</f>
        <v>1</v>
      </c>
      <c r="AD1111" s="3" t="str">
        <f ca="1">IFERROR(__xludf.DUMMYFUNCTION("""COMPUTED_VALUE"""),"on time")</f>
        <v>on time</v>
      </c>
      <c r="AE1111" s="3" t="str">
        <f ca="1">IFERROR(__xludf.DUMMYFUNCTION("""COMPUTED_VALUE"""),"2055-06-05T14:47:16.013629Z")</f>
        <v>2055-06-05T14:47:16.013629Z</v>
      </c>
      <c r="AF1111" s="3" t="str">
        <f ca="1">IFERROR(__xludf.DUMMYFUNCTION("""COMPUTED_VALUE"""),"2055-06-05T14:54:29.04706Z")</f>
        <v>2055-06-05T14:54:29.04706Z</v>
      </c>
      <c r="AG1111" s="3" t="str">
        <f ca="1">IFERROR(__xludf.DUMMYFUNCTION("""COMPUTED_VALUE"""),"2055-06-05T14:38:14.510823Z")</f>
        <v>2055-06-05T14:38:14.510823Z</v>
      </c>
      <c r="AH1111" s="3" t="str">
        <f ca="1">IFERROR(__xludf.DUMMYFUNCTION("""COMPUTED_VALUE"""),"2055-06-05T14:43:37.718352Z")</f>
        <v>2055-06-05T14:43:37.718352Z</v>
      </c>
      <c r="AI1111" s="3">
        <f ca="1">IFERROR(__xludf.DUMMYFUNCTION("""COMPUTED_VALUE"""),4.54)</f>
        <v>4.54</v>
      </c>
      <c r="AJ1111" s="3">
        <f ca="1">IFERROR(__xludf.DUMMYFUNCTION("""COMPUTED_VALUE"""),2229)</f>
        <v>2229</v>
      </c>
      <c r="AK1111" s="3">
        <f ca="1">IFERROR(__xludf.DUMMYFUNCTION("""COMPUTED_VALUE"""),6580)</f>
        <v>6580</v>
      </c>
      <c r="AL1111" s="3"/>
      <c r="AM1111" s="3">
        <f>IFERROR(Raw_Data!AL1111 / Raw_Data!AK1111, "")</f>
        <v>0</v>
      </c>
      <c r="AN1111" s="3" t="str">
        <f>IF(ISBLANK(Raw_Data!AL1111), "No", "Yes")</f>
        <v>No</v>
      </c>
      <c r="AO1111" s="3">
        <f>IFERROR(Raw_Data!Z1111/60, "")</f>
        <v>3.65</v>
      </c>
    </row>
    <row r="1112" spans="1:41" ht="13">
      <c r="A1112" s="3">
        <f ca="1">IFERROR(__xludf.DUMMYFUNCTION("""COMPUTED_VALUE"""),1342)</f>
        <v>1342</v>
      </c>
      <c r="B1112" s="3">
        <f ca="1">IFERROR(__xludf.DUMMYFUNCTION("""COMPUTED_VALUE"""),5)</f>
        <v>5</v>
      </c>
      <c r="C1112" s="3">
        <f ca="1">IFERROR(__xludf.DUMMYFUNCTION("""COMPUTED_VALUE"""),4001)</f>
        <v>4001</v>
      </c>
      <c r="D1112" s="3" t="str">
        <f ca="1">IFERROR(__xludf.DUMMYFUNCTION("""COMPUTED_VALUE"""),"Dashattan")</f>
        <v>Dashattan</v>
      </c>
      <c r="E1112" s="3" t="str">
        <f ca="1">IFERROR(__xludf.DUMMYFUNCTION("""COMPUTED_VALUE"""),"Galaxy A")</f>
        <v>Galaxy A</v>
      </c>
      <c r="F1112" s="3" t="str">
        <f ca="1">IFERROR(__xludf.DUMMYFUNCTION("""COMPUTED_VALUE"""),"Bunje")</f>
        <v>Bunje</v>
      </c>
      <c r="G1112" s="3">
        <f ca="1">IFERROR(__xludf.DUMMYFUNCTION("""COMPUTED_VALUE"""),0)</f>
        <v>0</v>
      </c>
      <c r="H1112" s="3" t="str">
        <f ca="1">IFERROR(__xludf.DUMMYFUNCTION("""COMPUTED_VALUE"""),"bicycle")</f>
        <v>bicycle</v>
      </c>
      <c r="I1112" s="3" t="str">
        <f ca="1">IFERROR(__xludf.DUMMYFUNCTION("""COMPUTED_VALUE"""),"2055-06-11T23:32:45.372794Z")</f>
        <v>2055-06-11T23:32:45.372794Z</v>
      </c>
      <c r="J1112" s="3" t="str">
        <f ca="1">IFERROR(__xludf.DUMMYFUNCTION("""COMPUTED_VALUE"""),"2055-06-12T00:28:18.434Z")</f>
        <v>2055-06-12T00:28:18.434Z</v>
      </c>
      <c r="K1112" s="3" t="str">
        <f ca="1">IFERROR(__xludf.DUMMYFUNCTION("""COMPUTED_VALUE"""),"2055-06-12T00:18:39.434Z")</f>
        <v>2055-06-12T00:18:39.434Z</v>
      </c>
      <c r="L1112" s="3">
        <f ca="1">IFERROR(__xludf.DUMMYFUNCTION("""COMPUTED_VALUE"""),1)</f>
        <v>1</v>
      </c>
      <c r="M1112" s="3">
        <f ca="1">IFERROR(__xludf.DUMMYFUNCTION("""COMPUTED_VALUE"""),0)</f>
        <v>0</v>
      </c>
      <c r="N1112" s="3" t="str">
        <f ca="1">IFERROR(__xludf.DUMMYFUNCTION("""COMPUTED_VALUE"""),"2055-06-12T00:02:57.404229Z")</f>
        <v>2055-06-12T00:02:57.404229Z</v>
      </c>
      <c r="O1112" s="3" t="str">
        <f ca="1">IFERROR(__xludf.DUMMYFUNCTION("""COMPUTED_VALUE"""),"2055-06-12T00:11:04.654686Z")</f>
        <v>2055-06-12T00:11:04.654686Z</v>
      </c>
      <c r="P1112" s="3" t="str">
        <f ca="1">IFERROR(__xludf.DUMMYFUNCTION("""COMPUTED_VALUE"""),"2055-06-11T23:32:54.568246Z")</f>
        <v>2055-06-11T23:32:54.568246Z</v>
      </c>
      <c r="Q1112" s="3">
        <f ca="1">IFERROR(__xludf.DUMMYFUNCTION("""COMPUTED_VALUE"""),0)</f>
        <v>0</v>
      </c>
      <c r="R1112" s="3" t="str">
        <f ca="1">IFERROR(__xludf.DUMMYFUNCTION("""COMPUTED_VALUE"""),"2055-06-11T23:33:02.510426Z")</f>
        <v>2055-06-11T23:33:02.510426Z</v>
      </c>
      <c r="S1112" s="3" t="str">
        <f ca="1">IFERROR(__xludf.DUMMYFUNCTION("""COMPUTED_VALUE"""),"2055-06-11T23:39:32.711513Z")</f>
        <v>2055-06-11T23:39:32.711513Z</v>
      </c>
      <c r="T1112" s="3"/>
      <c r="U1112" s="4">
        <f ca="1">IFERROR(__xludf.DUMMYFUNCTION("""COMPUTED_VALUE"""),56776)</f>
        <v>56776</v>
      </c>
      <c r="V1112" s="3">
        <f ca="1">IFERROR(__xludf.DUMMYFUNCTION("""COMPUTED_VALUE"""),2.856812235)</f>
        <v>2.856812235</v>
      </c>
      <c r="W1112" s="3">
        <f ca="1">IFERROR(__xludf.DUMMYFUNCTION("""COMPUTED_VALUE"""),1000)</f>
        <v>1000</v>
      </c>
      <c r="X1112" s="3">
        <f ca="1">IFERROR(__xludf.DUMMYFUNCTION("""COMPUTED_VALUE"""),2282)</f>
        <v>2282</v>
      </c>
      <c r="Y1112" s="3">
        <f ca="1">IFERROR(__xludf.DUMMYFUNCTION("""COMPUTED_VALUE"""),390)</f>
        <v>390</v>
      </c>
      <c r="Z1112" s="3">
        <f ca="1">IFERROR(__xludf.DUMMYFUNCTION("""COMPUTED_VALUE"""),1405)</f>
        <v>1405</v>
      </c>
      <c r="AA1112" s="3">
        <f ca="1">IFERROR(__xludf.DUMMYFUNCTION("""COMPUTED_VALUE"""),487)</f>
        <v>487</v>
      </c>
      <c r="AB1112" s="3">
        <f ca="1">IFERROR(__xludf.DUMMYFUNCTION("""COMPUTED_VALUE"""),1)</f>
        <v>1</v>
      </c>
      <c r="AC1112" s="3">
        <f ca="1">IFERROR(__xludf.DUMMYFUNCTION("""COMPUTED_VALUE"""),2)</f>
        <v>2</v>
      </c>
      <c r="AD1112" s="3"/>
      <c r="AE1112" s="3" t="str">
        <f ca="1">IFERROR(__xludf.DUMMYFUNCTION("""COMPUTED_VALUE"""),"2055-06-11T20:02:57.404229Z")</f>
        <v>2055-06-11T20:02:57.404229Z</v>
      </c>
      <c r="AF1112" s="3" t="str">
        <f ca="1">IFERROR(__xludf.DUMMYFUNCTION("""COMPUTED_VALUE"""),"2055-06-11T20:11:04.654686Z")</f>
        <v>2055-06-11T20:11:04.654686Z</v>
      </c>
      <c r="AG1112" s="3" t="str">
        <f ca="1">IFERROR(__xludf.DUMMYFUNCTION("""COMPUTED_VALUE"""),"2055-06-11T19:32:54.568246Z")</f>
        <v>2055-06-11T19:32:54.568246Z</v>
      </c>
      <c r="AH1112" s="3" t="str">
        <f ca="1">IFERROR(__xludf.DUMMYFUNCTION("""COMPUTED_VALUE"""),"2055-06-11T19:39:32.711513Z")</f>
        <v>2055-06-11T19:39:32.711513Z</v>
      </c>
      <c r="AI1112" s="3">
        <f ca="1">IFERROR(__xludf.DUMMYFUNCTION("""COMPUTED_VALUE"""),4.7)</f>
        <v>4.7</v>
      </c>
      <c r="AJ1112" s="3">
        <f ca="1">IFERROR(__xludf.DUMMYFUNCTION("""COMPUTED_VALUE"""),443)</f>
        <v>443</v>
      </c>
      <c r="AK1112" s="3">
        <f ca="1">IFERROR(__xludf.DUMMYFUNCTION("""COMPUTED_VALUE"""),1579)</f>
        <v>1579</v>
      </c>
      <c r="AL1112" s="3"/>
      <c r="AM1112" s="3">
        <f>IFERROR(Raw_Data!AL1112 / Raw_Data!AK1112, "")</f>
        <v>0</v>
      </c>
      <c r="AN1112" s="3" t="str">
        <f>IF(ISBLANK(Raw_Data!AL1112), "No", "Yes")</f>
        <v>No</v>
      </c>
      <c r="AO1112" s="3">
        <f>IFERROR(Raw_Data!Z1112/60, "")</f>
        <v>23.416666666666668</v>
      </c>
    </row>
    <row r="1113" spans="1:41" ht="13">
      <c r="A1113" s="3">
        <f ca="1">IFERROR(__xludf.DUMMYFUNCTION("""COMPUTED_VALUE"""),262)</f>
        <v>262</v>
      </c>
      <c r="B1113" s="3">
        <f ca="1">IFERROR(__xludf.DUMMYFUNCTION("""COMPUTED_VALUE"""),5)</f>
        <v>5</v>
      </c>
      <c r="C1113" s="3">
        <f ca="1">IFERROR(__xludf.DUMMYFUNCTION("""COMPUTED_VALUE"""),4050)</f>
        <v>4050</v>
      </c>
      <c r="D1113" s="3" t="str">
        <f ca="1">IFERROR(__xludf.DUMMYFUNCTION("""COMPUTED_VALUE"""),"Doorlanta")</f>
        <v>Doorlanta</v>
      </c>
      <c r="E1113" s="3" t="str">
        <f ca="1">IFERROR(__xludf.DUMMYFUNCTION("""COMPUTED_VALUE"""),"Galaxy A")</f>
        <v>Galaxy A</v>
      </c>
      <c r="F1113" s="3" t="str">
        <f ca="1">IFERROR(__xludf.DUMMYFUNCTION("""COMPUTED_VALUE"""),"Cate")</f>
        <v>Cate</v>
      </c>
      <c r="G1113" s="3">
        <f ca="1">IFERROR(__xludf.DUMMYFUNCTION("""COMPUTED_VALUE"""),0)</f>
        <v>0</v>
      </c>
      <c r="H1113" s="3" t="str">
        <f ca="1">IFERROR(__xludf.DUMMYFUNCTION("""COMPUTED_VALUE"""),"car")</f>
        <v>car</v>
      </c>
      <c r="I1113" s="3" t="str">
        <f ca="1">IFERROR(__xludf.DUMMYFUNCTION("""COMPUTED_VALUE"""),"2055-06-03T15:11:54.381458Z")</f>
        <v>2055-06-03T15:11:54.381458Z</v>
      </c>
      <c r="J1113" s="3" t="str">
        <f ca="1">IFERROR(__xludf.DUMMYFUNCTION("""COMPUTED_VALUE"""),"2055-06-03T16:08:36.54Z")</f>
        <v>2055-06-03T16:08:36.54Z</v>
      </c>
      <c r="K1113" s="3" t="str">
        <f ca="1">IFERROR(__xludf.DUMMYFUNCTION("""COMPUTED_VALUE"""),"2055-06-03T15:49:43.54Z")</f>
        <v>2055-06-03T15:49:43.54Z</v>
      </c>
      <c r="L1113" s="3">
        <f ca="1">IFERROR(__xludf.DUMMYFUNCTION("""COMPUTED_VALUE"""),1)</f>
        <v>1</v>
      </c>
      <c r="M1113" s="3">
        <f ca="1">IFERROR(__xludf.DUMMYFUNCTION("""COMPUTED_VALUE"""),0)</f>
        <v>0</v>
      </c>
      <c r="N1113" s="3" t="str">
        <f ca="1">IFERROR(__xludf.DUMMYFUNCTION("""COMPUTED_VALUE"""),"2055-06-03T15:36:00.541518Z")</f>
        <v>2055-06-03T15:36:00.541518Z</v>
      </c>
      <c r="O1113" s="3" t="str">
        <f ca="1">IFERROR(__xludf.DUMMYFUNCTION("""COMPUTED_VALUE"""),"2055-06-03T15:49:09.161751Z")</f>
        <v>2055-06-03T15:49:09.161751Z</v>
      </c>
      <c r="P1113" s="3" t="str">
        <f ca="1">IFERROR(__xludf.DUMMYFUNCTION("""COMPUTED_VALUE"""),"2055-06-03T15:12:07.316997Z")</f>
        <v>2055-06-03T15:12:07.316997Z</v>
      </c>
      <c r="Q1113" s="3">
        <f ca="1">IFERROR(__xludf.DUMMYFUNCTION("""COMPUTED_VALUE"""),0)</f>
        <v>0</v>
      </c>
      <c r="R1113" s="3" t="str">
        <f ca="1">IFERROR(__xludf.DUMMYFUNCTION("""COMPUTED_VALUE"""),"2055-06-03T15:12:12.20366Z")</f>
        <v>2055-06-03T15:12:12.20366Z</v>
      </c>
      <c r="S1113" s="3"/>
      <c r="T1113" s="3"/>
      <c r="U1113" s="4">
        <f ca="1">IFERROR(__xludf.DUMMYFUNCTION("""COMPUTED_VALUE"""),56768)</f>
        <v>56768</v>
      </c>
      <c r="V1113" s="3">
        <f ca="1">IFERROR(__xludf.DUMMYFUNCTION("""COMPUTED_VALUE"""),4.4)</f>
        <v>4.4000000000000004</v>
      </c>
      <c r="W1113" s="3">
        <f ca="1">IFERROR(__xludf.DUMMYFUNCTION("""COMPUTED_VALUE"""),1000)</f>
        <v>1000</v>
      </c>
      <c r="X1113" s="3">
        <f ca="1">IFERROR(__xludf.DUMMYFUNCTION("""COMPUTED_VALUE"""),2217)</f>
        <v>2217</v>
      </c>
      <c r="Y1113" s="3"/>
      <c r="Z1113" s="3"/>
      <c r="AA1113" s="3">
        <f ca="1">IFERROR(__xludf.DUMMYFUNCTION("""COMPUTED_VALUE"""),789)</f>
        <v>789</v>
      </c>
      <c r="AB1113" s="3">
        <f ca="1">IFERROR(__xludf.DUMMYFUNCTION("""COMPUTED_VALUE"""),0)</f>
        <v>0</v>
      </c>
      <c r="AC1113" s="3">
        <f ca="1">IFERROR(__xludf.DUMMYFUNCTION("""COMPUTED_VALUE"""),1)</f>
        <v>1</v>
      </c>
      <c r="AD1113" s="3"/>
      <c r="AE1113" s="3" t="str">
        <f ca="1">IFERROR(__xludf.DUMMYFUNCTION("""COMPUTED_VALUE"""),"2055-06-03T11:36:00.541518Z")</f>
        <v>2055-06-03T11:36:00.541518Z</v>
      </c>
      <c r="AF1113" s="3" t="str">
        <f ca="1">IFERROR(__xludf.DUMMYFUNCTION("""COMPUTED_VALUE"""),"2055-06-03T11:49:09.161751Z")</f>
        <v>2055-06-03T11:49:09.161751Z</v>
      </c>
      <c r="AG1113" s="3" t="str">
        <f ca="1">IFERROR(__xludf.DUMMYFUNCTION("""COMPUTED_VALUE"""),"2055-06-03T11:12:07.316997Z")</f>
        <v>2055-06-03T11:12:07.316997Z</v>
      </c>
      <c r="AH1113" s="3"/>
      <c r="AI1113" s="3">
        <f ca="1">IFERROR(__xludf.DUMMYFUNCTION("""COMPUTED_VALUE"""),4.49)</f>
        <v>4.49</v>
      </c>
      <c r="AJ1113" s="3">
        <f ca="1">IFERROR(__xludf.DUMMYFUNCTION("""COMPUTED_VALUE"""),2315)</f>
        <v>2315</v>
      </c>
      <c r="AK1113" s="3">
        <f ca="1">IFERROR(__xludf.DUMMYFUNCTION("""COMPUTED_VALUE"""),7039)</f>
        <v>7039</v>
      </c>
      <c r="AL1113" s="3">
        <f ca="1">IFERROR(__xludf.DUMMYFUNCTION("""COMPUTED_VALUE"""),763)</f>
        <v>763</v>
      </c>
      <c r="AM1113" s="3">
        <f>IFERROR(Raw_Data!AL1113 / Raw_Data!AK1113, "")</f>
        <v>0.10839607898849268</v>
      </c>
      <c r="AN1113" s="3" t="str">
        <f>IF(ISBLANK(Raw_Data!AL1113), "No", "Yes")</f>
        <v>Yes</v>
      </c>
      <c r="AO1113" s="3">
        <f>IFERROR(Raw_Data!Z1113/60, "")</f>
        <v>0</v>
      </c>
    </row>
    <row r="1114" spans="1:41" ht="13">
      <c r="A1114" s="3">
        <f ca="1">IFERROR(__xludf.DUMMYFUNCTION("""COMPUTED_VALUE"""),542)</f>
        <v>542</v>
      </c>
      <c r="B1114" s="3">
        <f ca="1">IFERROR(__xludf.DUMMYFUNCTION("""COMPUTED_VALUE"""),5)</f>
        <v>5</v>
      </c>
      <c r="C1114" s="3">
        <f ca="1">IFERROR(__xludf.DUMMYFUNCTION("""COMPUTED_VALUE"""),4001)</f>
        <v>4001</v>
      </c>
      <c r="D1114" s="3" t="str">
        <f ca="1">IFERROR(__xludf.DUMMYFUNCTION("""COMPUTED_VALUE"""),"Dashattan")</f>
        <v>Dashattan</v>
      </c>
      <c r="E1114" s="3" t="str">
        <f ca="1">IFERROR(__xludf.DUMMYFUNCTION("""COMPUTED_VALUE"""),"Galaxy A")</f>
        <v>Galaxy A</v>
      </c>
      <c r="F1114" s="3" t="str">
        <f ca="1">IFERROR(__xludf.DUMMYFUNCTION("""COMPUTED_VALUE"""),"Bret")</f>
        <v>Bret</v>
      </c>
      <c r="G1114" s="3">
        <f ca="1">IFERROR(__xludf.DUMMYFUNCTION("""COMPUTED_VALUE"""),0)</f>
        <v>0</v>
      </c>
      <c r="H1114" s="3" t="str">
        <f ca="1">IFERROR(__xludf.DUMMYFUNCTION("""COMPUTED_VALUE"""),"car")</f>
        <v>car</v>
      </c>
      <c r="I1114" s="3" t="str">
        <f ca="1">IFERROR(__xludf.DUMMYFUNCTION("""COMPUTED_VALUE"""),"2055-06-05T14:13:23.271629Z")</f>
        <v>2055-06-05T14:13:23.271629Z</v>
      </c>
      <c r="J1114" s="3" t="str">
        <f ca="1">IFERROR(__xludf.DUMMYFUNCTION("""COMPUTED_VALUE"""),"2055-06-05T15:17:59.333Z")</f>
        <v>2055-06-05T15:17:59.333Z</v>
      </c>
      <c r="K1114" s="3" t="str">
        <f ca="1">IFERROR(__xludf.DUMMYFUNCTION("""COMPUTED_VALUE"""),"2055-06-05T14:57:52.333Z")</f>
        <v>2055-06-05T14:57:52.333Z</v>
      </c>
      <c r="L1114" s="3">
        <f ca="1">IFERROR(__xludf.DUMMYFUNCTION("""COMPUTED_VALUE"""),1)</f>
        <v>1</v>
      </c>
      <c r="M1114" s="3">
        <f ca="1">IFERROR(__xludf.DUMMYFUNCTION("""COMPUTED_VALUE"""),0)</f>
        <v>0</v>
      </c>
      <c r="N1114" s="3" t="str">
        <f ca="1">IFERROR(__xludf.DUMMYFUNCTION("""COMPUTED_VALUE"""),"2055-06-05T15:08:03.166367Z")</f>
        <v>2055-06-05T15:08:03.166367Z</v>
      </c>
      <c r="O1114" s="3" t="str">
        <f ca="1">IFERROR(__xludf.DUMMYFUNCTION("""COMPUTED_VALUE"""),"2055-06-05T15:21:57.641113Z")</f>
        <v>2055-06-05T15:21:57.641113Z</v>
      </c>
      <c r="P1114" s="3" t="str">
        <f ca="1">IFERROR(__xludf.DUMMYFUNCTION("""COMPUTED_VALUE"""),"2055-06-05T14:42:54.165237Z")</f>
        <v>2055-06-05T14:42:54.165237Z</v>
      </c>
      <c r="Q1114" s="3">
        <f ca="1">IFERROR(__xludf.DUMMYFUNCTION("""COMPUTED_VALUE"""),0)</f>
        <v>0</v>
      </c>
      <c r="R1114" s="3" t="str">
        <f ca="1">IFERROR(__xludf.DUMMYFUNCTION("""COMPUTED_VALUE"""),"2055-06-05T14:43:01.199428Z")</f>
        <v>2055-06-05T14:43:01.199428Z</v>
      </c>
      <c r="S1114" s="3" t="str">
        <f ca="1">IFERROR(__xludf.DUMMYFUNCTION("""COMPUTED_VALUE"""),"2055-06-05T14:59:33.279372Z")</f>
        <v>2055-06-05T14:59:33.279372Z</v>
      </c>
      <c r="T1114" s="3"/>
      <c r="U1114" s="4">
        <f ca="1">IFERROR(__xludf.DUMMYFUNCTION("""COMPUTED_VALUE"""),56770)</f>
        <v>56770</v>
      </c>
      <c r="V1114" s="3">
        <f ca="1">IFERROR(__xludf.DUMMYFUNCTION("""COMPUTED_VALUE"""),2.969143873)</f>
        <v>2.9691438730000002</v>
      </c>
      <c r="W1114" s="3">
        <f ca="1">IFERROR(__xludf.DUMMYFUNCTION("""COMPUTED_VALUE"""),1000)</f>
        <v>1000</v>
      </c>
      <c r="X1114" s="3">
        <f ca="1">IFERROR(__xludf.DUMMYFUNCTION("""COMPUTED_VALUE"""),2336)</f>
        <v>2336</v>
      </c>
      <c r="Y1114" s="3">
        <f ca="1">IFERROR(__xludf.DUMMYFUNCTION("""COMPUTED_VALUE"""),992)</f>
        <v>992</v>
      </c>
      <c r="Z1114" s="3">
        <f ca="1">IFERROR(__xludf.DUMMYFUNCTION("""COMPUTED_VALUE"""),510)</f>
        <v>510</v>
      </c>
      <c r="AA1114" s="3">
        <f ca="1">IFERROR(__xludf.DUMMYFUNCTION("""COMPUTED_VALUE"""),834)</f>
        <v>834</v>
      </c>
      <c r="AB1114" s="3">
        <f ca="1">IFERROR(__xludf.DUMMYFUNCTION("""COMPUTED_VALUE"""),0)</f>
        <v>0</v>
      </c>
      <c r="AC1114" s="3">
        <f ca="1">IFERROR(__xludf.DUMMYFUNCTION("""COMPUTED_VALUE"""),2)</f>
        <v>2</v>
      </c>
      <c r="AD1114" s="3" t="str">
        <f ca="1">IFERROR(__xludf.DUMMYFUNCTION("""COMPUTED_VALUE"""),"on time")</f>
        <v>on time</v>
      </c>
      <c r="AE1114" s="3" t="str">
        <f ca="1">IFERROR(__xludf.DUMMYFUNCTION("""COMPUTED_VALUE"""),"2055-06-05T11:08:03.166367Z")</f>
        <v>2055-06-05T11:08:03.166367Z</v>
      </c>
      <c r="AF1114" s="3" t="str">
        <f ca="1">IFERROR(__xludf.DUMMYFUNCTION("""COMPUTED_VALUE"""),"2055-06-05T11:21:57.641113Z")</f>
        <v>2055-06-05T11:21:57.641113Z</v>
      </c>
      <c r="AG1114" s="3" t="str">
        <f ca="1">IFERROR(__xludf.DUMMYFUNCTION("""COMPUTED_VALUE"""),"2055-06-05T10:42:54.165237Z")</f>
        <v>2055-06-05T10:42:54.165237Z</v>
      </c>
      <c r="AH1114" s="3" t="str">
        <f ca="1">IFERROR(__xludf.DUMMYFUNCTION("""COMPUTED_VALUE"""),"2055-06-05T10:59:33.279372Z")</f>
        <v>2055-06-05T10:59:33.279372Z</v>
      </c>
      <c r="AI1114" s="3">
        <f ca="1">IFERROR(__xludf.DUMMYFUNCTION("""COMPUTED_VALUE"""),3.82)</f>
        <v>3.82</v>
      </c>
      <c r="AJ1114" s="3">
        <f ca="1">IFERROR(__xludf.DUMMYFUNCTION("""COMPUTED_VALUE"""),174)</f>
        <v>174</v>
      </c>
      <c r="AK1114" s="3">
        <f ca="1">IFERROR(__xludf.DUMMYFUNCTION("""COMPUTED_VALUE"""),773)</f>
        <v>773</v>
      </c>
      <c r="AL1114" s="3"/>
      <c r="AM1114" s="3">
        <f>IFERROR(Raw_Data!AL1114 / Raw_Data!AK1114, "")</f>
        <v>0</v>
      </c>
      <c r="AN1114" s="3" t="str">
        <f>IF(ISBLANK(Raw_Data!AL1114), "No", "Yes")</f>
        <v>No</v>
      </c>
      <c r="AO1114" s="3">
        <f>IFERROR(Raw_Data!Z1114/60, "")</f>
        <v>8.5</v>
      </c>
    </row>
    <row r="1115" spans="1:41" ht="13">
      <c r="A1115" s="3">
        <f ca="1">IFERROR(__xludf.DUMMYFUNCTION("""COMPUTED_VALUE"""),1352)</f>
        <v>1352</v>
      </c>
      <c r="B1115" s="3">
        <f ca="1">IFERROR(__xludf.DUMMYFUNCTION("""COMPUTED_VALUE"""),5)</f>
        <v>5</v>
      </c>
      <c r="C1115" s="3">
        <f ca="1">IFERROR(__xludf.DUMMYFUNCTION("""COMPUTED_VALUE"""),4001)</f>
        <v>4001</v>
      </c>
      <c r="D1115" s="3" t="str">
        <f ca="1">IFERROR(__xludf.DUMMYFUNCTION("""COMPUTED_VALUE"""),"Dashattan")</f>
        <v>Dashattan</v>
      </c>
      <c r="E1115" s="3" t="str">
        <f ca="1">IFERROR(__xludf.DUMMYFUNCTION("""COMPUTED_VALUE"""),"Galaxy A")</f>
        <v>Galaxy A</v>
      </c>
      <c r="F1115" s="3" t="str">
        <f ca="1">IFERROR(__xludf.DUMMYFUNCTION("""COMPUTED_VALUE"""),"Mike")</f>
        <v>Mike</v>
      </c>
      <c r="G1115" s="3">
        <f ca="1">IFERROR(__xludf.DUMMYFUNCTION("""COMPUTED_VALUE"""),0)</f>
        <v>0</v>
      </c>
      <c r="H1115" s="3" t="str">
        <f ca="1">IFERROR(__xludf.DUMMYFUNCTION("""COMPUTED_VALUE"""),"bicycle")</f>
        <v>bicycle</v>
      </c>
      <c r="I1115" s="3" t="str">
        <f ca="1">IFERROR(__xludf.DUMMYFUNCTION("""COMPUTED_VALUE"""),"2055-06-11T23:53:53.093403Z")</f>
        <v>2055-06-11T23:53:53.093403Z</v>
      </c>
      <c r="J1115" s="3" t="str">
        <f ca="1">IFERROR(__xludf.DUMMYFUNCTION("""COMPUTED_VALUE"""),"2055-06-12T00:58:01.155Z")</f>
        <v>2055-06-12T00:58:01.155Z</v>
      </c>
      <c r="K1115" s="3" t="str">
        <f ca="1">IFERROR(__xludf.DUMMYFUNCTION("""COMPUTED_VALUE"""),"2055-06-12T00:38:22.155Z")</f>
        <v>2055-06-12T00:38:22.155Z</v>
      </c>
      <c r="L1115" s="3">
        <f ca="1">IFERROR(__xludf.DUMMYFUNCTION("""COMPUTED_VALUE"""),1)</f>
        <v>1</v>
      </c>
      <c r="M1115" s="3">
        <f ca="1">IFERROR(__xludf.DUMMYFUNCTION("""COMPUTED_VALUE"""),0)</f>
        <v>0</v>
      </c>
      <c r="N1115" s="3" t="str">
        <f ca="1">IFERROR(__xludf.DUMMYFUNCTION("""COMPUTED_VALUE"""),"2055-06-12T00:08:32.293409Z")</f>
        <v>2055-06-12T00:08:32.293409Z</v>
      </c>
      <c r="O1115" s="3" t="str">
        <f ca="1">IFERROR(__xludf.DUMMYFUNCTION("""COMPUTED_VALUE"""),"2055-06-12T00:33:00.109929Z")</f>
        <v>2055-06-12T00:33:00.109929Z</v>
      </c>
      <c r="P1115" s="3" t="str">
        <f ca="1">IFERROR(__xludf.DUMMYFUNCTION("""COMPUTED_VALUE"""),"2055-06-11T23:54:15.367578Z")</f>
        <v>2055-06-11T23:54:15.367578Z</v>
      </c>
      <c r="Q1115" s="3">
        <f ca="1">IFERROR(__xludf.DUMMYFUNCTION("""COMPUTED_VALUE"""),0)</f>
        <v>0</v>
      </c>
      <c r="R1115" s="3" t="str">
        <f ca="1">IFERROR(__xludf.DUMMYFUNCTION("""COMPUTED_VALUE"""),"2055-06-11T23:54:28.742157Z")</f>
        <v>2055-06-11T23:54:28.742157Z</v>
      </c>
      <c r="S1115" s="3" t="str">
        <f ca="1">IFERROR(__xludf.DUMMYFUNCTION("""COMPUTED_VALUE"""),"2055-06-12T00:02:38.122467Z")</f>
        <v>2055-06-12T00:02:38.122467Z</v>
      </c>
      <c r="T1115" s="3"/>
      <c r="U1115" s="4">
        <f ca="1">IFERROR(__xludf.DUMMYFUNCTION("""COMPUTED_VALUE"""),56776)</f>
        <v>56776</v>
      </c>
      <c r="V1115" s="3">
        <f ca="1">IFERROR(__xludf.DUMMYFUNCTION("""COMPUTED_VALUE"""),3.733331346)</f>
        <v>3.7333313459999999</v>
      </c>
      <c r="W1115" s="3">
        <f ca="1">IFERROR(__xludf.DUMMYFUNCTION("""COMPUTED_VALUE"""),1000)</f>
        <v>1000</v>
      </c>
      <c r="X1115" s="3">
        <f ca="1">IFERROR(__xludf.DUMMYFUNCTION("""COMPUTED_VALUE"""),2312)</f>
        <v>2312</v>
      </c>
      <c r="Y1115" s="3">
        <f ca="1">IFERROR(__xludf.DUMMYFUNCTION("""COMPUTED_VALUE"""),490)</f>
        <v>490</v>
      </c>
      <c r="Z1115" s="3">
        <f ca="1">IFERROR(__xludf.DUMMYFUNCTION("""COMPUTED_VALUE"""),354)</f>
        <v>354</v>
      </c>
      <c r="AA1115" s="3">
        <f ca="1">IFERROR(__xludf.DUMMYFUNCTION("""COMPUTED_VALUE"""),1468)</f>
        <v>1468</v>
      </c>
      <c r="AB1115" s="3">
        <f ca="1">IFERROR(__xludf.DUMMYFUNCTION("""COMPUTED_VALUE"""),0)</f>
        <v>0</v>
      </c>
      <c r="AC1115" s="3">
        <f ca="1">IFERROR(__xludf.DUMMYFUNCTION("""COMPUTED_VALUE"""),2)</f>
        <v>2</v>
      </c>
      <c r="AD1115" s="3"/>
      <c r="AE1115" s="3" t="str">
        <f ca="1">IFERROR(__xludf.DUMMYFUNCTION("""COMPUTED_VALUE"""),"2055-06-11T20:08:32.293409Z")</f>
        <v>2055-06-11T20:08:32.293409Z</v>
      </c>
      <c r="AF1115" s="3" t="str">
        <f ca="1">IFERROR(__xludf.DUMMYFUNCTION("""COMPUTED_VALUE"""),"2055-06-11T20:33:00.109929Z")</f>
        <v>2055-06-11T20:33:00.109929Z</v>
      </c>
      <c r="AG1115" s="3" t="str">
        <f ca="1">IFERROR(__xludf.DUMMYFUNCTION("""COMPUTED_VALUE"""),"2055-06-11T19:54:15.367578Z")</f>
        <v>2055-06-11T19:54:15.367578Z</v>
      </c>
      <c r="AH1115" s="3" t="str">
        <f ca="1">IFERROR(__xludf.DUMMYFUNCTION("""COMPUTED_VALUE"""),"2055-06-11T20:02:38.122467Z")</f>
        <v>2055-06-11T20:02:38.122467Z</v>
      </c>
      <c r="AI1115" s="3">
        <f ca="1">IFERROR(__xludf.DUMMYFUNCTION("""COMPUTED_VALUE"""),4.63)</f>
        <v>4.63</v>
      </c>
      <c r="AJ1115" s="3">
        <f ca="1">IFERROR(__xludf.DUMMYFUNCTION("""COMPUTED_VALUE"""),242)</f>
        <v>242</v>
      </c>
      <c r="AK1115" s="3">
        <f ca="1">IFERROR(__xludf.DUMMYFUNCTION("""COMPUTED_VALUE"""),736)</f>
        <v>736</v>
      </c>
      <c r="AL1115" s="3"/>
      <c r="AM1115" s="3">
        <f>IFERROR(Raw_Data!AL1115 / Raw_Data!AK1115, "")</f>
        <v>0</v>
      </c>
      <c r="AN1115" s="3" t="str">
        <f>IF(ISBLANK(Raw_Data!AL1115), "No", "Yes")</f>
        <v>No</v>
      </c>
      <c r="AO1115" s="3">
        <f>IFERROR(Raw_Data!Z1115/60, "")</f>
        <v>5.9</v>
      </c>
    </row>
    <row r="1116" spans="1:41" ht="13">
      <c r="A1116" s="3">
        <f ca="1">IFERROR(__xludf.DUMMYFUNCTION("""COMPUTED_VALUE"""),1362)</f>
        <v>1362</v>
      </c>
      <c r="B1116" s="3">
        <f ca="1">IFERROR(__xludf.DUMMYFUNCTION("""COMPUTED_VALUE"""),5)</f>
        <v>5</v>
      </c>
      <c r="C1116" s="3">
        <f ca="1">IFERROR(__xludf.DUMMYFUNCTION("""COMPUTED_VALUE"""),4001)</f>
        <v>4001</v>
      </c>
      <c r="D1116" s="3" t="str">
        <f ca="1">IFERROR(__xludf.DUMMYFUNCTION("""COMPUTED_VALUE"""),"Dashattan")</f>
        <v>Dashattan</v>
      </c>
      <c r="E1116" s="3" t="str">
        <f ca="1">IFERROR(__xludf.DUMMYFUNCTION("""COMPUTED_VALUE"""),"Galaxy A")</f>
        <v>Galaxy A</v>
      </c>
      <c r="F1116" s="3" t="str">
        <f ca="1">IFERROR(__xludf.DUMMYFUNCTION("""COMPUTED_VALUE"""),"Mike")</f>
        <v>Mike</v>
      </c>
      <c r="G1116" s="3">
        <f ca="1">IFERROR(__xludf.DUMMYFUNCTION("""COMPUTED_VALUE"""),0)</f>
        <v>0</v>
      </c>
      <c r="H1116" s="3" t="str">
        <f ca="1">IFERROR(__xludf.DUMMYFUNCTION("""COMPUTED_VALUE"""),"bicycle")</f>
        <v>bicycle</v>
      </c>
      <c r="I1116" s="3" t="str">
        <f ca="1">IFERROR(__xludf.DUMMYFUNCTION("""COMPUTED_VALUE"""),"2055-06-12T00:39:32.383516Z")</f>
        <v>2055-06-12T00:39:32.383516Z</v>
      </c>
      <c r="J1116" s="3" t="str">
        <f ca="1">IFERROR(__xludf.DUMMYFUNCTION("""COMPUTED_VALUE"""),"2055-06-12T01:39:40.436Z")</f>
        <v>2055-06-12T01:39:40.436Z</v>
      </c>
      <c r="K1116" s="3" t="str">
        <f ca="1">IFERROR(__xludf.DUMMYFUNCTION("""COMPUTED_VALUE"""),"2055-06-12T01:19:33.436Z")</f>
        <v>2055-06-12T01:19:33.436Z</v>
      </c>
      <c r="L1116" s="3">
        <f ca="1">IFERROR(__xludf.DUMMYFUNCTION("""COMPUTED_VALUE"""),1)</f>
        <v>1</v>
      </c>
      <c r="M1116" s="3">
        <f ca="1">IFERROR(__xludf.DUMMYFUNCTION("""COMPUTED_VALUE"""),0)</f>
        <v>0</v>
      </c>
      <c r="N1116" s="3" t="str">
        <f ca="1">IFERROR(__xludf.DUMMYFUNCTION("""COMPUTED_VALUE"""),"2055-06-12T01:15:12.561316Z")</f>
        <v>2055-06-12T01:15:12.561316Z</v>
      </c>
      <c r="O1116" s="3" t="str">
        <f ca="1">IFERROR(__xludf.DUMMYFUNCTION("""COMPUTED_VALUE"""),"2055-06-12T01:39:17.877281Z")</f>
        <v>2055-06-12T01:39:17.877281Z</v>
      </c>
      <c r="P1116" s="3" t="str">
        <f ca="1">IFERROR(__xludf.DUMMYFUNCTION("""COMPUTED_VALUE"""),"2055-06-12T00:39:54.728165Z")</f>
        <v>2055-06-12T00:39:54.728165Z</v>
      </c>
      <c r="Q1116" s="3">
        <f ca="1">IFERROR(__xludf.DUMMYFUNCTION("""COMPUTED_VALUE"""),0)</f>
        <v>0</v>
      </c>
      <c r="R1116" s="3" t="str">
        <f ca="1">IFERROR(__xludf.DUMMYFUNCTION("""COMPUTED_VALUE"""),"2055-06-12T00:40:02.940975Z")</f>
        <v>2055-06-12T00:40:02.940975Z</v>
      </c>
      <c r="S1116" s="3" t="str">
        <f ca="1">IFERROR(__xludf.DUMMYFUNCTION("""COMPUTED_VALUE"""),"2055-06-12T01:10:52.348001Z")</f>
        <v>2055-06-12T01:10:52.348001Z</v>
      </c>
      <c r="T1116" s="3"/>
      <c r="U1116" s="4">
        <f ca="1">IFERROR(__xludf.DUMMYFUNCTION("""COMPUTED_VALUE"""),56776)</f>
        <v>56776</v>
      </c>
      <c r="V1116" s="3">
        <f ca="1">IFERROR(__xludf.DUMMYFUNCTION("""COMPUTED_VALUE"""),2.495450152)</f>
        <v>2.4954501520000001</v>
      </c>
      <c r="W1116" s="3">
        <f ca="1">IFERROR(__xludf.DUMMYFUNCTION("""COMPUTED_VALUE"""),1000)</f>
        <v>1000</v>
      </c>
      <c r="X1116" s="3">
        <f ca="1">IFERROR(__xludf.DUMMYFUNCTION("""COMPUTED_VALUE"""),3555)</f>
        <v>3555</v>
      </c>
      <c r="Y1116" s="3">
        <f ca="1">IFERROR(__xludf.DUMMYFUNCTION("""COMPUTED_VALUE"""),1850)</f>
        <v>1850</v>
      </c>
      <c r="Z1116" s="3">
        <f ca="1">IFERROR(__xludf.DUMMYFUNCTION("""COMPUTED_VALUE"""),260)</f>
        <v>260</v>
      </c>
      <c r="AA1116" s="3">
        <f ca="1">IFERROR(__xludf.DUMMYFUNCTION("""COMPUTED_VALUE"""),1445)</f>
        <v>1445</v>
      </c>
      <c r="AB1116" s="3">
        <f ca="1">IFERROR(__xludf.DUMMYFUNCTION("""COMPUTED_VALUE"""),0)</f>
        <v>0</v>
      </c>
      <c r="AC1116" s="3">
        <f ca="1">IFERROR(__xludf.DUMMYFUNCTION("""COMPUTED_VALUE"""),2)</f>
        <v>2</v>
      </c>
      <c r="AD1116" s="3"/>
      <c r="AE1116" s="3" t="str">
        <f ca="1">IFERROR(__xludf.DUMMYFUNCTION("""COMPUTED_VALUE"""),"2055-06-11T21:15:12.561316Z")</f>
        <v>2055-06-11T21:15:12.561316Z</v>
      </c>
      <c r="AF1116" s="3" t="str">
        <f ca="1">IFERROR(__xludf.DUMMYFUNCTION("""COMPUTED_VALUE"""),"2055-06-11T21:39:17.877281Z")</f>
        <v>2055-06-11T21:39:17.877281Z</v>
      </c>
      <c r="AG1116" s="3" t="str">
        <f ca="1">IFERROR(__xludf.DUMMYFUNCTION("""COMPUTED_VALUE"""),"2055-06-11T20:39:54.728165Z")</f>
        <v>2055-06-11T20:39:54.728165Z</v>
      </c>
      <c r="AH1116" s="3" t="str">
        <f ca="1">IFERROR(__xludf.DUMMYFUNCTION("""COMPUTED_VALUE"""),"2055-06-11T21:10:52.348001Z")</f>
        <v>2055-06-11T21:10:52.348001Z</v>
      </c>
      <c r="AI1116" s="3">
        <f ca="1">IFERROR(__xludf.DUMMYFUNCTION("""COMPUTED_VALUE"""),4.63)</f>
        <v>4.63</v>
      </c>
      <c r="AJ1116" s="3">
        <f ca="1">IFERROR(__xludf.DUMMYFUNCTION("""COMPUTED_VALUE"""),242)</f>
        <v>242</v>
      </c>
      <c r="AK1116" s="3">
        <f ca="1">IFERROR(__xludf.DUMMYFUNCTION("""COMPUTED_VALUE"""),736)</f>
        <v>736</v>
      </c>
      <c r="AL1116" s="3"/>
      <c r="AM1116" s="3">
        <f>IFERROR(Raw_Data!AL1116 / Raw_Data!AK1116, "")</f>
        <v>0</v>
      </c>
      <c r="AN1116" s="3" t="str">
        <f>IF(ISBLANK(Raw_Data!AL1116), "No", "Yes")</f>
        <v>No</v>
      </c>
      <c r="AO1116" s="3">
        <f>IFERROR(Raw_Data!Z1116/60, "")</f>
        <v>4.333333333333333</v>
      </c>
    </row>
    <row r="1117" spans="1:41" ht="13">
      <c r="A1117" s="3">
        <f ca="1">IFERROR(__xludf.DUMMYFUNCTION("""COMPUTED_VALUE"""),1196)</f>
        <v>1196</v>
      </c>
      <c r="B1117" s="3"/>
      <c r="C1117" s="3">
        <f ca="1">IFERROR(__xludf.DUMMYFUNCTION("""COMPUTED_VALUE"""),4001)</f>
        <v>4001</v>
      </c>
      <c r="D1117" s="3" t="str">
        <f ca="1">IFERROR(__xludf.DUMMYFUNCTION("""COMPUTED_VALUE"""),"Dashattan")</f>
        <v>Dashattan</v>
      </c>
      <c r="E1117" s="3" t="str">
        <f ca="1">IFERROR(__xludf.DUMMYFUNCTION("""COMPUTED_VALUE"""),"Galaxy A")</f>
        <v>Galaxy A</v>
      </c>
      <c r="F1117" s="3" t="str">
        <f ca="1">IFERROR(__xludf.DUMMYFUNCTION("""COMPUTED_VALUE"""),"KC")</f>
        <v>KC</v>
      </c>
      <c r="G1117" s="3">
        <f ca="1">IFERROR(__xludf.DUMMYFUNCTION("""COMPUTED_VALUE"""),0)</f>
        <v>0</v>
      </c>
      <c r="H1117" s="3" t="str">
        <f ca="1">IFERROR(__xludf.DUMMYFUNCTION("""COMPUTED_VALUE"""),"car")</f>
        <v>car</v>
      </c>
      <c r="I1117" s="3" t="str">
        <f ca="1">IFERROR(__xludf.DUMMYFUNCTION("""COMPUTED_VALUE"""),"2055-06-10T23:21:59.896548Z")</f>
        <v>2055-06-10T23:21:59.896548Z</v>
      </c>
      <c r="J1117" s="3" t="str">
        <f ca="1">IFERROR(__xludf.DUMMYFUNCTION("""COMPUTED_VALUE"""),"2055-06-11T00:08:16.956Z")</f>
        <v>2055-06-11T00:08:16.956Z</v>
      </c>
      <c r="K1117" s="3" t="str">
        <f ca="1">IFERROR(__xludf.DUMMYFUNCTION("""COMPUTED_VALUE"""),"2055-06-10T23:54:23.956Z")</f>
        <v>2055-06-10T23:54:23.956Z</v>
      </c>
      <c r="L1117" s="3">
        <f ca="1">IFERROR(__xludf.DUMMYFUNCTION("""COMPUTED_VALUE"""),1)</f>
        <v>1</v>
      </c>
      <c r="M1117" s="3">
        <f ca="1">IFERROR(__xludf.DUMMYFUNCTION("""COMPUTED_VALUE"""),0)</f>
        <v>0</v>
      </c>
      <c r="N1117" s="3" t="str">
        <f ca="1">IFERROR(__xludf.DUMMYFUNCTION("""COMPUTED_VALUE"""),"2055-06-10T23:32:08.107987Z")</f>
        <v>2055-06-10T23:32:08.107987Z</v>
      </c>
      <c r="O1117" s="3" t="str">
        <f ca="1">IFERROR(__xludf.DUMMYFUNCTION("""COMPUTED_VALUE"""),"2055-06-10T23:44:53.493437Z")</f>
        <v>2055-06-10T23:44:53.493437Z</v>
      </c>
      <c r="P1117" s="3" t="str">
        <f ca="1">IFERROR(__xludf.DUMMYFUNCTION("""COMPUTED_VALUE"""),"2055-06-10T23:22:14.947137Z")</f>
        <v>2055-06-10T23:22:14.947137Z</v>
      </c>
      <c r="Q1117" s="3">
        <f ca="1">IFERROR(__xludf.DUMMYFUNCTION("""COMPUTED_VALUE"""),0)</f>
        <v>0</v>
      </c>
      <c r="R1117" s="3" t="str">
        <f ca="1">IFERROR(__xludf.DUMMYFUNCTION("""COMPUTED_VALUE"""),"2055-06-10T23:22:31.69539Z")</f>
        <v>2055-06-10T23:22:31.69539Z</v>
      </c>
      <c r="S1117" s="3" t="str">
        <f ca="1">IFERROR(__xludf.DUMMYFUNCTION("""COMPUTED_VALUE"""),"2055-06-10T23:24:05.557202Z")</f>
        <v>2055-06-10T23:24:05.557202Z</v>
      </c>
      <c r="T1117" s="3"/>
      <c r="U1117" s="4">
        <f ca="1">IFERROR(__xludf.DUMMYFUNCTION("""COMPUTED_VALUE"""),56775)</f>
        <v>56775</v>
      </c>
      <c r="V1117" s="3">
        <f ca="1">IFERROR(__xludf.DUMMYFUNCTION("""COMPUTED_VALUE"""),4.2)</f>
        <v>4.2</v>
      </c>
      <c r="W1117" s="3">
        <f ca="1">IFERROR(__xludf.DUMMYFUNCTION("""COMPUTED_VALUE"""),1000)</f>
        <v>1000</v>
      </c>
      <c r="X1117" s="3">
        <f ca="1">IFERROR(__xludf.DUMMYFUNCTION("""COMPUTED_VALUE"""),1342)</f>
        <v>1342</v>
      </c>
      <c r="Y1117" s="3">
        <f ca="1">IFERROR(__xludf.DUMMYFUNCTION("""COMPUTED_VALUE"""),94)</f>
        <v>94</v>
      </c>
      <c r="Z1117" s="3">
        <f ca="1">IFERROR(__xludf.DUMMYFUNCTION("""COMPUTED_VALUE"""),483)</f>
        <v>483</v>
      </c>
      <c r="AA1117" s="3">
        <f ca="1">IFERROR(__xludf.DUMMYFUNCTION("""COMPUTED_VALUE"""),765)</f>
        <v>765</v>
      </c>
      <c r="AB1117" s="3">
        <f ca="1">IFERROR(__xludf.DUMMYFUNCTION("""COMPUTED_VALUE"""),0)</f>
        <v>0</v>
      </c>
      <c r="AC1117" s="3">
        <f ca="1">IFERROR(__xludf.DUMMYFUNCTION("""COMPUTED_VALUE"""),4)</f>
        <v>4</v>
      </c>
      <c r="AD1117" s="3" t="str">
        <f ca="1">IFERROR(__xludf.DUMMYFUNCTION("""COMPUTED_VALUE"""),"early")</f>
        <v>early</v>
      </c>
      <c r="AE1117" s="3" t="str">
        <f ca="1">IFERROR(__xludf.DUMMYFUNCTION("""COMPUTED_VALUE"""),"2055-06-10T19:32:08.107987Z")</f>
        <v>2055-06-10T19:32:08.107987Z</v>
      </c>
      <c r="AF1117" s="3" t="str">
        <f ca="1">IFERROR(__xludf.DUMMYFUNCTION("""COMPUTED_VALUE"""),"2055-06-10T19:44:53.493437Z")</f>
        <v>2055-06-10T19:44:53.493437Z</v>
      </c>
      <c r="AG1117" s="3" t="str">
        <f ca="1">IFERROR(__xludf.DUMMYFUNCTION("""COMPUTED_VALUE"""),"2055-06-10T19:22:14.947137Z")</f>
        <v>2055-06-10T19:22:14.947137Z</v>
      </c>
      <c r="AH1117" s="3" t="str">
        <f ca="1">IFERROR(__xludf.DUMMYFUNCTION("""COMPUTED_VALUE"""),"2055-06-10T19:24:05.557202Z")</f>
        <v>2055-06-10T19:24:05.557202Z</v>
      </c>
      <c r="AI1117" s="3">
        <f ca="1">IFERROR(__xludf.DUMMYFUNCTION("""COMPUTED_VALUE"""),4.54)</f>
        <v>4.54</v>
      </c>
      <c r="AJ1117" s="3">
        <f ca="1">IFERROR(__xludf.DUMMYFUNCTION("""COMPUTED_VALUE"""),2229)</f>
        <v>2229</v>
      </c>
      <c r="AK1117" s="3">
        <f ca="1">IFERROR(__xludf.DUMMYFUNCTION("""COMPUTED_VALUE"""),6580)</f>
        <v>6580</v>
      </c>
      <c r="AL1117" s="3"/>
      <c r="AM1117" s="3">
        <f>IFERROR(Raw_Data!AL1117 / Raw_Data!AK1117, "")</f>
        <v>0</v>
      </c>
      <c r="AN1117" s="3" t="str">
        <f>IF(ISBLANK(Raw_Data!AL1117), "No", "Yes")</f>
        <v>No</v>
      </c>
      <c r="AO1117" s="3">
        <f>IFERROR(Raw_Data!Z1117/60, "")</f>
        <v>8.0500000000000007</v>
      </c>
    </row>
    <row r="1118" spans="1:41" ht="13">
      <c r="A1118" s="3">
        <f ca="1">IFERROR(__xludf.DUMMYFUNCTION("""COMPUTED_VALUE"""),865)</f>
        <v>865</v>
      </c>
      <c r="B1118" s="3">
        <f ca="1">IFERROR(__xludf.DUMMYFUNCTION("""COMPUTED_VALUE"""),1)</f>
        <v>1</v>
      </c>
      <c r="C1118" s="3">
        <f ca="1">IFERROR(__xludf.DUMMYFUNCTION("""COMPUTED_VALUE"""),4001)</f>
        <v>4001</v>
      </c>
      <c r="D1118" s="3" t="str">
        <f ca="1">IFERROR(__xludf.DUMMYFUNCTION("""COMPUTED_VALUE"""),"Dashattan")</f>
        <v>Dashattan</v>
      </c>
      <c r="E1118" s="3" t="str">
        <f ca="1">IFERROR(__xludf.DUMMYFUNCTION("""COMPUTED_VALUE"""),"Galaxy A")</f>
        <v>Galaxy A</v>
      </c>
      <c r="F1118" s="3" t="str">
        <f ca="1">IFERROR(__xludf.DUMMYFUNCTION("""COMPUTED_VALUE"""),"Bret")</f>
        <v>Bret</v>
      </c>
      <c r="G1118" s="3">
        <f ca="1">IFERROR(__xludf.DUMMYFUNCTION("""COMPUTED_VALUE"""),0)</f>
        <v>0</v>
      </c>
      <c r="H1118" s="3" t="str">
        <f ca="1">IFERROR(__xludf.DUMMYFUNCTION("""COMPUTED_VALUE"""),"car")</f>
        <v>car</v>
      </c>
      <c r="I1118" s="3" t="str">
        <f ca="1">IFERROR(__xludf.DUMMYFUNCTION("""COMPUTED_VALUE"""),"2055-06-07T19:15:23.217694Z")</f>
        <v>2055-06-07T19:15:23.217694Z</v>
      </c>
      <c r="J1118" s="3" t="str">
        <f ca="1">IFERROR(__xludf.DUMMYFUNCTION("""COMPUTED_VALUE"""),"2055-06-07T19:59:56.292Z")</f>
        <v>2055-06-07T19:59:56.292Z</v>
      </c>
      <c r="K1118" s="3" t="str">
        <f ca="1">IFERROR(__xludf.DUMMYFUNCTION("""COMPUTED_VALUE"""),"2055-06-07T19:48:02.292Z")</f>
        <v>2055-06-07T19:48:02.292Z</v>
      </c>
      <c r="L1118" s="3">
        <f ca="1">IFERROR(__xludf.DUMMYFUNCTION("""COMPUTED_VALUE"""),1)</f>
        <v>1</v>
      </c>
      <c r="M1118" s="3">
        <f ca="1">IFERROR(__xludf.DUMMYFUNCTION("""COMPUTED_VALUE"""),0)</f>
        <v>0</v>
      </c>
      <c r="N1118" s="3" t="str">
        <f ca="1">IFERROR(__xludf.DUMMYFUNCTION("""COMPUTED_VALUE"""),"2055-06-07T20:40:28.662448Z")</f>
        <v>2055-06-07T20:40:28.662448Z</v>
      </c>
      <c r="O1118" s="3" t="str">
        <f ca="1">IFERROR(__xludf.DUMMYFUNCTION("""COMPUTED_VALUE"""),"2055-06-07T20:56:13.824087Z")</f>
        <v>2055-06-07T20:56:13.824087Z</v>
      </c>
      <c r="P1118" s="3" t="str">
        <f ca="1">IFERROR(__xludf.DUMMYFUNCTION("""COMPUTED_VALUE"""),"2055-06-07T19:35:34.297032Z")</f>
        <v>2055-06-07T19:35:34.297032Z</v>
      </c>
      <c r="Q1118" s="3">
        <f ca="1">IFERROR(__xludf.DUMMYFUNCTION("""COMPUTED_VALUE"""),0)</f>
        <v>0</v>
      </c>
      <c r="R1118" s="3" t="str">
        <f ca="1">IFERROR(__xludf.DUMMYFUNCTION("""COMPUTED_VALUE"""),"2055-06-07T19:35:55.409194Z")</f>
        <v>2055-06-07T19:35:55.409194Z</v>
      </c>
      <c r="S1118" s="3" t="str">
        <f ca="1">IFERROR(__xludf.DUMMYFUNCTION("""COMPUTED_VALUE"""),"2055-06-07T20:34:56.370015Z")</f>
        <v>2055-06-07T20:34:56.370015Z</v>
      </c>
      <c r="T1118" s="3"/>
      <c r="U1118" s="4">
        <f ca="1">IFERROR(__xludf.DUMMYFUNCTION("""COMPUTED_VALUE"""),56772)</f>
        <v>56772</v>
      </c>
      <c r="V1118" s="3">
        <f ca="1">IFERROR(__xludf.DUMMYFUNCTION("""COMPUTED_VALUE"""),3.629034489)</f>
        <v>3.6290344889999999</v>
      </c>
      <c r="W1118" s="3">
        <f ca="1">IFERROR(__xludf.DUMMYFUNCTION("""COMPUTED_VALUE"""),1000)</f>
        <v>1000</v>
      </c>
      <c r="X1118" s="3">
        <f ca="1">IFERROR(__xludf.DUMMYFUNCTION("""COMPUTED_VALUE"""),4818)</f>
        <v>4818</v>
      </c>
      <c r="Y1118" s="3">
        <f ca="1">IFERROR(__xludf.DUMMYFUNCTION("""COMPUTED_VALUE"""),3541)</f>
        <v>3541</v>
      </c>
      <c r="Z1118" s="3">
        <f ca="1">IFERROR(__xludf.DUMMYFUNCTION("""COMPUTED_VALUE"""),332)</f>
        <v>332</v>
      </c>
      <c r="AA1118" s="3">
        <f ca="1">IFERROR(__xludf.DUMMYFUNCTION("""COMPUTED_VALUE"""),945)</f>
        <v>945</v>
      </c>
      <c r="AB1118" s="3">
        <f ca="1">IFERROR(__xludf.DUMMYFUNCTION("""COMPUTED_VALUE"""),0)</f>
        <v>0</v>
      </c>
      <c r="AC1118" s="3">
        <f ca="1">IFERROR(__xludf.DUMMYFUNCTION("""COMPUTED_VALUE"""),1)</f>
        <v>1</v>
      </c>
      <c r="AD1118" s="3" t="str">
        <f ca="1">IFERROR(__xludf.DUMMYFUNCTION("""COMPUTED_VALUE"""),"late")</f>
        <v>late</v>
      </c>
      <c r="AE1118" s="3" t="str">
        <f ca="1">IFERROR(__xludf.DUMMYFUNCTION("""COMPUTED_VALUE"""),"2055-06-07T16:40:28.662448Z")</f>
        <v>2055-06-07T16:40:28.662448Z</v>
      </c>
      <c r="AF1118" s="3" t="str">
        <f ca="1">IFERROR(__xludf.DUMMYFUNCTION("""COMPUTED_VALUE"""),"2055-06-07T16:56:13.824087Z")</f>
        <v>2055-06-07T16:56:13.824087Z</v>
      </c>
      <c r="AG1118" s="3" t="str">
        <f ca="1">IFERROR(__xludf.DUMMYFUNCTION("""COMPUTED_VALUE"""),"2055-06-07T15:35:34.297032Z")</f>
        <v>2055-06-07T15:35:34.297032Z</v>
      </c>
      <c r="AH1118" s="3" t="str">
        <f ca="1">IFERROR(__xludf.DUMMYFUNCTION("""COMPUTED_VALUE"""),"2055-06-07T16:34:56.370015Z")</f>
        <v>2055-06-07T16:34:56.370015Z</v>
      </c>
      <c r="AI1118" s="3">
        <f ca="1">IFERROR(__xludf.DUMMYFUNCTION("""COMPUTED_VALUE"""),3.82)</f>
        <v>3.82</v>
      </c>
      <c r="AJ1118" s="3">
        <f ca="1">IFERROR(__xludf.DUMMYFUNCTION("""COMPUTED_VALUE"""),174)</f>
        <v>174</v>
      </c>
      <c r="AK1118" s="3">
        <f ca="1">IFERROR(__xludf.DUMMYFUNCTION("""COMPUTED_VALUE"""),773)</f>
        <v>773</v>
      </c>
      <c r="AL1118" s="3"/>
      <c r="AM1118" s="3">
        <f>IFERROR(Raw_Data!AL1118 / Raw_Data!AK1118, "")</f>
        <v>0</v>
      </c>
      <c r="AN1118" s="3" t="str">
        <f>IF(ISBLANK(Raw_Data!AL1118), "No", "Yes")</f>
        <v>No</v>
      </c>
      <c r="AO1118" s="3">
        <f>IFERROR(Raw_Data!Z1118/60, "")</f>
        <v>5.5333333333333332</v>
      </c>
    </row>
    <row r="1119" spans="1:41" ht="13">
      <c r="A1119" s="3">
        <f ca="1">IFERROR(__xludf.DUMMYFUNCTION("""COMPUTED_VALUE"""),829)</f>
        <v>829</v>
      </c>
      <c r="B1119" s="3">
        <f ca="1">IFERROR(__xludf.DUMMYFUNCTION("""COMPUTED_VALUE"""),5)</f>
        <v>5</v>
      </c>
      <c r="C1119" s="3">
        <f ca="1">IFERROR(__xludf.DUMMYFUNCTION("""COMPUTED_VALUE"""),4050)</f>
        <v>4050</v>
      </c>
      <c r="D1119" s="3" t="str">
        <f ca="1">IFERROR(__xludf.DUMMYFUNCTION("""COMPUTED_VALUE"""),"Doorlanta")</f>
        <v>Doorlanta</v>
      </c>
      <c r="E1119" s="3" t="str">
        <f ca="1">IFERROR(__xludf.DUMMYFUNCTION("""COMPUTED_VALUE"""),"Galaxy A")</f>
        <v>Galaxy A</v>
      </c>
      <c r="F1119" s="3" t="str">
        <f ca="1">IFERROR(__xludf.DUMMYFUNCTION("""COMPUTED_VALUE"""),"Matthew")</f>
        <v>Matthew</v>
      </c>
      <c r="G1119" s="3">
        <f ca="1">IFERROR(__xludf.DUMMYFUNCTION("""COMPUTED_VALUE"""),0)</f>
        <v>0</v>
      </c>
      <c r="H1119" s="3" t="str">
        <f ca="1">IFERROR(__xludf.DUMMYFUNCTION("""COMPUTED_VALUE"""),"car")</f>
        <v>car</v>
      </c>
      <c r="I1119" s="3" t="str">
        <f ca="1">IFERROR(__xludf.DUMMYFUNCTION("""COMPUTED_VALUE"""),"2055-06-07T14:23:41.279169Z")</f>
        <v>2055-06-07T14:23:41.279169Z</v>
      </c>
      <c r="J1119" s="3" t="str">
        <f ca="1">IFERROR(__xludf.DUMMYFUNCTION("""COMPUTED_VALUE"""),"2055-06-07T15:05:42.36Z")</f>
        <v>2055-06-07T15:05:42.36Z</v>
      </c>
      <c r="K1119" s="3" t="str">
        <f ca="1">IFERROR(__xludf.DUMMYFUNCTION("""COMPUTED_VALUE"""),"2055-06-07T15:01:49.36Z")</f>
        <v>2055-06-07T15:01:49.36Z</v>
      </c>
      <c r="L1119" s="3">
        <f ca="1">IFERROR(__xludf.DUMMYFUNCTION("""COMPUTED_VALUE"""),1)</f>
        <v>1</v>
      </c>
      <c r="M1119" s="3">
        <f ca="1">IFERROR(__xludf.DUMMYFUNCTION("""COMPUTED_VALUE"""),0)</f>
        <v>0</v>
      </c>
      <c r="N1119" s="3" t="str">
        <f ca="1">IFERROR(__xludf.DUMMYFUNCTION("""COMPUTED_VALUE"""),"2055-06-07T14:32:17.901091Z")</f>
        <v>2055-06-07T14:32:17.901091Z</v>
      </c>
      <c r="O1119" s="3" t="str">
        <f ca="1">IFERROR(__xludf.DUMMYFUNCTION("""COMPUTED_VALUE"""),"2055-06-07T15:00:48.763355Z")</f>
        <v>2055-06-07T15:00:48.763355Z</v>
      </c>
      <c r="P1119" s="3" t="str">
        <f ca="1">IFERROR(__xludf.DUMMYFUNCTION("""COMPUTED_VALUE"""),"2055-06-07T14:25:07.294813Z")</f>
        <v>2055-06-07T14:25:07.294813Z</v>
      </c>
      <c r="Q1119" s="3">
        <f ca="1">IFERROR(__xludf.DUMMYFUNCTION("""COMPUTED_VALUE"""),0)</f>
        <v>0</v>
      </c>
      <c r="R1119" s="3" t="str">
        <f ca="1">IFERROR(__xludf.DUMMYFUNCTION("""COMPUTED_VALUE"""),"2055-06-07T14:25:51.184838Z")</f>
        <v>2055-06-07T14:25:51.184838Z</v>
      </c>
      <c r="S1119" s="3"/>
      <c r="T1119" s="3"/>
      <c r="U1119" s="4">
        <f ca="1">IFERROR(__xludf.DUMMYFUNCTION("""COMPUTED_VALUE"""),56772)</f>
        <v>56772</v>
      </c>
      <c r="V1119" s="3">
        <f ca="1">IFERROR(__xludf.DUMMYFUNCTION("""COMPUTED_VALUE"""),3.389966937)</f>
        <v>3.3899669370000001</v>
      </c>
      <c r="W1119" s="3">
        <f ca="1">IFERROR(__xludf.DUMMYFUNCTION("""COMPUTED_VALUE"""),1000)</f>
        <v>1000</v>
      </c>
      <c r="X1119" s="3">
        <f ca="1">IFERROR(__xludf.DUMMYFUNCTION("""COMPUTED_VALUE"""),2097)</f>
        <v>2097</v>
      </c>
      <c r="Y1119" s="3"/>
      <c r="Z1119" s="3"/>
      <c r="AA1119" s="3">
        <f ca="1">IFERROR(__xludf.DUMMYFUNCTION("""COMPUTED_VALUE"""),1711)</f>
        <v>1711</v>
      </c>
      <c r="AB1119" s="3">
        <f ca="1">IFERROR(__xludf.DUMMYFUNCTION("""COMPUTED_VALUE"""),0)</f>
        <v>0</v>
      </c>
      <c r="AC1119" s="3">
        <f ca="1">IFERROR(__xludf.DUMMYFUNCTION("""COMPUTED_VALUE"""),2)</f>
        <v>2</v>
      </c>
      <c r="AD1119" s="3"/>
      <c r="AE1119" s="3" t="str">
        <f ca="1">IFERROR(__xludf.DUMMYFUNCTION("""COMPUTED_VALUE"""),"2055-06-07T10:32:17.901091Z")</f>
        <v>2055-06-07T10:32:17.901091Z</v>
      </c>
      <c r="AF1119" s="3" t="str">
        <f ca="1">IFERROR(__xludf.DUMMYFUNCTION("""COMPUTED_VALUE"""),"2055-06-07T11:00:48.763355Z")</f>
        <v>2055-06-07T11:00:48.763355Z</v>
      </c>
      <c r="AG1119" s="3" t="str">
        <f ca="1">IFERROR(__xludf.DUMMYFUNCTION("""COMPUTED_VALUE"""),"2055-06-07T10:25:07.294813Z")</f>
        <v>2055-06-07T10:25:07.294813Z</v>
      </c>
      <c r="AH1119" s="3"/>
      <c r="AI1119" s="3">
        <f ca="1">IFERROR(__xludf.DUMMYFUNCTION("""COMPUTED_VALUE"""),4.411111111)</f>
        <v>4.4111111110000003</v>
      </c>
      <c r="AJ1119" s="3">
        <f ca="1">IFERROR(__xludf.DUMMYFUNCTION("""COMPUTED_VALUE"""),68)</f>
        <v>68</v>
      </c>
      <c r="AK1119" s="3">
        <f ca="1">IFERROR(__xludf.DUMMYFUNCTION("""COMPUTED_VALUE"""),223)</f>
        <v>223</v>
      </c>
      <c r="AL1119" s="3">
        <f ca="1">IFERROR(__xludf.DUMMYFUNCTION("""COMPUTED_VALUE"""),118)</f>
        <v>118</v>
      </c>
      <c r="AM1119" s="3">
        <f>IFERROR(Raw_Data!AL1119 / Raw_Data!AK1119, "")</f>
        <v>0.52914798206278024</v>
      </c>
      <c r="AN1119" s="3" t="str">
        <f>IF(ISBLANK(Raw_Data!AL1119), "No", "Yes")</f>
        <v>Yes</v>
      </c>
      <c r="AO1119" s="3">
        <f>IFERROR(Raw_Data!Z1119/60, "")</f>
        <v>0</v>
      </c>
    </row>
    <row r="1120" spans="1:41" ht="13">
      <c r="A1120" s="3">
        <f ca="1">IFERROR(__xludf.DUMMYFUNCTION("""COMPUTED_VALUE"""),557)</f>
        <v>557</v>
      </c>
      <c r="B1120" s="3"/>
      <c r="C1120" s="3">
        <f ca="1">IFERROR(__xludf.DUMMYFUNCTION("""COMPUTED_VALUE"""),4050)</f>
        <v>4050</v>
      </c>
      <c r="D1120" s="3" t="str">
        <f ca="1">IFERROR(__xludf.DUMMYFUNCTION("""COMPUTED_VALUE"""),"Doorlanta")</f>
        <v>Doorlanta</v>
      </c>
      <c r="E1120" s="3" t="str">
        <f ca="1">IFERROR(__xludf.DUMMYFUNCTION("""COMPUTED_VALUE"""),"Galaxy A")</f>
        <v>Galaxy A</v>
      </c>
      <c r="F1120" s="3" t="str">
        <f ca="1">IFERROR(__xludf.DUMMYFUNCTION("""COMPUTED_VALUE"""),"Elon")</f>
        <v>Elon</v>
      </c>
      <c r="G1120" s="3">
        <f ca="1">IFERROR(__xludf.DUMMYFUNCTION("""COMPUTED_VALUE"""),0)</f>
        <v>0</v>
      </c>
      <c r="H1120" s="3" t="str">
        <f ca="1">IFERROR(__xludf.DUMMYFUNCTION("""COMPUTED_VALUE"""),"car")</f>
        <v>car</v>
      </c>
      <c r="I1120" s="3" t="str">
        <f ca="1">IFERROR(__xludf.DUMMYFUNCTION("""COMPUTED_VALUE"""),"2055-06-05T15:46:09.975806Z")</f>
        <v>2055-06-05T15:46:09.975806Z</v>
      </c>
      <c r="J1120" s="3" t="str">
        <f ca="1">IFERROR(__xludf.DUMMYFUNCTION("""COMPUTED_VALUE"""),"2055-06-05T16:48:04.048Z")</f>
        <v>2055-06-05T16:48:04.048Z</v>
      </c>
      <c r="K1120" s="3" t="str">
        <f ca="1">IFERROR(__xludf.DUMMYFUNCTION("""COMPUTED_VALUE"""),"2055-06-05T16:28:25.048Z")</f>
        <v>2055-06-05T16:28:25.048Z</v>
      </c>
      <c r="L1120" s="3">
        <f ca="1">IFERROR(__xludf.DUMMYFUNCTION("""COMPUTED_VALUE"""),1)</f>
        <v>1</v>
      </c>
      <c r="M1120" s="3">
        <f ca="1">IFERROR(__xludf.DUMMYFUNCTION("""COMPUTED_VALUE"""),0)</f>
        <v>0</v>
      </c>
      <c r="N1120" s="3" t="str">
        <f ca="1">IFERROR(__xludf.DUMMYFUNCTION("""COMPUTED_VALUE"""),"2055-06-05T16:07:00.741801Z")</f>
        <v>2055-06-05T16:07:00.741801Z</v>
      </c>
      <c r="O1120" s="3" t="str">
        <f ca="1">IFERROR(__xludf.DUMMYFUNCTION("""COMPUTED_VALUE"""),"2055-06-05T16:23:17.337724Z")</f>
        <v>2055-06-05T16:23:17.337724Z</v>
      </c>
      <c r="P1120" s="3" t="str">
        <f ca="1">IFERROR(__xludf.DUMMYFUNCTION("""COMPUTED_VALUE"""),"2055-06-05T15:54:47.414969Z")</f>
        <v>2055-06-05T15:54:47.414969Z</v>
      </c>
      <c r="Q1120" s="3">
        <f ca="1">IFERROR(__xludf.DUMMYFUNCTION("""COMPUTED_VALUE"""),0)</f>
        <v>0</v>
      </c>
      <c r="R1120" s="3" t="str">
        <f ca="1">IFERROR(__xludf.DUMMYFUNCTION("""COMPUTED_VALUE"""),"2055-06-05T15:55:22.510111Z")</f>
        <v>2055-06-05T15:55:22.510111Z</v>
      </c>
      <c r="S1120" s="3" t="str">
        <f ca="1">IFERROR(__xludf.DUMMYFUNCTION("""COMPUTED_VALUE"""),"2055-06-05T16:00:55.437944Z")</f>
        <v>2055-06-05T16:00:55.437944Z</v>
      </c>
      <c r="T1120" s="3"/>
      <c r="U1120" s="4">
        <f ca="1">IFERROR(__xludf.DUMMYFUNCTION("""COMPUTED_VALUE"""),56770)</f>
        <v>56770</v>
      </c>
      <c r="V1120" s="3">
        <f ca="1">IFERROR(__xludf.DUMMYFUNCTION("""COMPUTED_VALUE"""),4.4)</f>
        <v>4.4000000000000004</v>
      </c>
      <c r="W1120" s="3">
        <f ca="1">IFERROR(__xludf.DUMMYFUNCTION("""COMPUTED_VALUE"""),1000)</f>
        <v>1000</v>
      </c>
      <c r="X1120" s="3">
        <f ca="1">IFERROR(__xludf.DUMMYFUNCTION("""COMPUTED_VALUE"""),1675)</f>
        <v>1675</v>
      </c>
      <c r="Y1120" s="3">
        <f ca="1">IFERROR(__xludf.DUMMYFUNCTION("""COMPUTED_VALUE"""),333)</f>
        <v>333</v>
      </c>
      <c r="Z1120" s="3">
        <f ca="1">IFERROR(__xludf.DUMMYFUNCTION("""COMPUTED_VALUE"""),365)</f>
        <v>365</v>
      </c>
      <c r="AA1120" s="3">
        <f ca="1">IFERROR(__xludf.DUMMYFUNCTION("""COMPUTED_VALUE"""),977)</f>
        <v>977</v>
      </c>
      <c r="AB1120" s="3">
        <f ca="1">IFERROR(__xludf.DUMMYFUNCTION("""COMPUTED_VALUE"""),0)</f>
        <v>0</v>
      </c>
      <c r="AC1120" s="3">
        <f ca="1">IFERROR(__xludf.DUMMYFUNCTION("""COMPUTED_VALUE"""),1)</f>
        <v>1</v>
      </c>
      <c r="AD1120" s="3" t="str">
        <f ca="1">IFERROR(__xludf.DUMMYFUNCTION("""COMPUTED_VALUE"""),"on time")</f>
        <v>on time</v>
      </c>
      <c r="AE1120" s="3" t="str">
        <f ca="1">IFERROR(__xludf.DUMMYFUNCTION("""COMPUTED_VALUE"""),"2055-06-05T12:07:00.741801Z")</f>
        <v>2055-06-05T12:07:00.741801Z</v>
      </c>
      <c r="AF1120" s="3" t="str">
        <f ca="1">IFERROR(__xludf.DUMMYFUNCTION("""COMPUTED_VALUE"""),"2055-06-05T12:23:17.337724Z")</f>
        <v>2055-06-05T12:23:17.337724Z</v>
      </c>
      <c r="AG1120" s="3" t="str">
        <f ca="1">IFERROR(__xludf.DUMMYFUNCTION("""COMPUTED_VALUE"""),"2055-06-05T11:54:47.414969Z")</f>
        <v>2055-06-05T11:54:47.414969Z</v>
      </c>
      <c r="AH1120" s="3" t="str">
        <f ca="1">IFERROR(__xludf.DUMMYFUNCTION("""COMPUTED_VALUE"""),"2055-06-05T12:00:55.437944Z")</f>
        <v>2055-06-05T12:00:55.437944Z</v>
      </c>
      <c r="AI1120" s="3">
        <f ca="1">IFERROR(__xludf.DUMMYFUNCTION("""COMPUTED_VALUE"""),4.62)</f>
        <v>4.62</v>
      </c>
      <c r="AJ1120" s="3">
        <f ca="1">IFERROR(__xludf.DUMMYFUNCTION("""COMPUTED_VALUE"""),259)</f>
        <v>259</v>
      </c>
      <c r="AK1120" s="3">
        <f ca="1">IFERROR(__xludf.DUMMYFUNCTION("""COMPUTED_VALUE"""),604)</f>
        <v>604</v>
      </c>
      <c r="AL1120" s="3">
        <f ca="1">IFERROR(__xludf.DUMMYFUNCTION("""COMPUTED_VALUE"""),21)</f>
        <v>21</v>
      </c>
      <c r="AM1120" s="3">
        <f>IFERROR(Raw_Data!AL1120 / Raw_Data!AK1120, "")</f>
        <v>3.4768211920529798E-2</v>
      </c>
      <c r="AN1120" s="3" t="str">
        <f>IF(ISBLANK(Raw_Data!AL1120), "No", "Yes")</f>
        <v>Yes</v>
      </c>
      <c r="AO1120" s="3">
        <f>IFERROR(Raw_Data!Z1120/60, "")</f>
        <v>6.083333333333333</v>
      </c>
    </row>
    <row r="1121" spans="1:41" ht="13">
      <c r="A1121" s="3">
        <f ca="1">IFERROR(__xludf.DUMMYFUNCTION("""COMPUTED_VALUE"""),1300)</f>
        <v>1300</v>
      </c>
      <c r="B1121" s="3"/>
      <c r="C1121" s="3">
        <f ca="1">IFERROR(__xludf.DUMMYFUNCTION("""COMPUTED_VALUE"""),4001)</f>
        <v>4001</v>
      </c>
      <c r="D1121" s="3" t="str">
        <f ca="1">IFERROR(__xludf.DUMMYFUNCTION("""COMPUTED_VALUE"""),"Dashattan")</f>
        <v>Dashattan</v>
      </c>
      <c r="E1121" s="3" t="str">
        <f ca="1">IFERROR(__xludf.DUMMYFUNCTION("""COMPUTED_VALUE"""),"Galaxy A")</f>
        <v>Galaxy A</v>
      </c>
      <c r="F1121" s="3" t="str">
        <f ca="1">IFERROR(__xludf.DUMMYFUNCTION("""COMPUTED_VALUE"""),"KC")</f>
        <v>KC</v>
      </c>
      <c r="G1121" s="3">
        <f ca="1">IFERROR(__xludf.DUMMYFUNCTION("""COMPUTED_VALUE"""),0)</f>
        <v>0</v>
      </c>
      <c r="H1121" s="3" t="str">
        <f ca="1">IFERROR(__xludf.DUMMYFUNCTION("""COMPUTED_VALUE"""),"car")</f>
        <v>car</v>
      </c>
      <c r="I1121" s="3" t="str">
        <f ca="1">IFERROR(__xludf.DUMMYFUNCTION("""COMPUTED_VALUE"""),"2055-06-11T20:59:12.015469Z")</f>
        <v>2055-06-11T20:59:12.015469Z</v>
      </c>
      <c r="J1121" s="3" t="str">
        <f ca="1">IFERROR(__xludf.DUMMYFUNCTION("""COMPUTED_VALUE"""),"2055-06-11T21:53:09.063Z")</f>
        <v>2055-06-11T21:53:09.063Z</v>
      </c>
      <c r="K1121" s="3" t="str">
        <f ca="1">IFERROR(__xludf.DUMMYFUNCTION("""COMPUTED_VALUE"""),"2055-06-11T21:33:30.063Z")</f>
        <v>2055-06-11T21:33:30.063Z</v>
      </c>
      <c r="L1121" s="3">
        <f ca="1">IFERROR(__xludf.DUMMYFUNCTION("""COMPUTED_VALUE"""),1)</f>
        <v>1</v>
      </c>
      <c r="M1121" s="3">
        <f ca="1">IFERROR(__xludf.DUMMYFUNCTION("""COMPUTED_VALUE"""),0)</f>
        <v>0</v>
      </c>
      <c r="N1121" s="3" t="str">
        <f ca="1">IFERROR(__xludf.DUMMYFUNCTION("""COMPUTED_VALUE"""),"2055-06-11T21:24:11.268708Z")</f>
        <v>2055-06-11T21:24:11.268708Z</v>
      </c>
      <c r="O1121" s="3" t="str">
        <f ca="1">IFERROR(__xludf.DUMMYFUNCTION("""COMPUTED_VALUE"""),"2055-06-11T21:43:10.909119Z")</f>
        <v>2055-06-11T21:43:10.909119Z</v>
      </c>
      <c r="P1121" s="3" t="str">
        <f ca="1">IFERROR(__xludf.DUMMYFUNCTION("""COMPUTED_VALUE"""),"2055-06-11T21:14:34.279417Z")</f>
        <v>2055-06-11T21:14:34.279417Z</v>
      </c>
      <c r="Q1121" s="3">
        <f ca="1">IFERROR(__xludf.DUMMYFUNCTION("""COMPUTED_VALUE"""),0)</f>
        <v>0</v>
      </c>
      <c r="R1121" s="3" t="str">
        <f ca="1">IFERROR(__xludf.DUMMYFUNCTION("""COMPUTED_VALUE"""),"2055-06-11T21:14:49.646731Z")</f>
        <v>2055-06-11T21:14:49.646731Z</v>
      </c>
      <c r="S1121" s="3" t="str">
        <f ca="1">IFERROR(__xludf.DUMMYFUNCTION("""COMPUTED_VALUE"""),"2055-06-11T21:20:07.061232Z")</f>
        <v>2055-06-11T21:20:07.061232Z</v>
      </c>
      <c r="T1121" s="3"/>
      <c r="U1121" s="4">
        <f ca="1">IFERROR(__xludf.DUMMYFUNCTION("""COMPUTED_VALUE"""),56776)</f>
        <v>56776</v>
      </c>
      <c r="V1121" s="3">
        <f ca="1">IFERROR(__xludf.DUMMYFUNCTION("""COMPUTED_VALUE"""),4.4)</f>
        <v>4.4000000000000004</v>
      </c>
      <c r="W1121" s="3">
        <f ca="1">IFERROR(__xludf.DUMMYFUNCTION("""COMPUTED_VALUE"""),1000)</f>
        <v>1000</v>
      </c>
      <c r="X1121" s="3">
        <f ca="1">IFERROR(__xludf.DUMMYFUNCTION("""COMPUTED_VALUE"""),1701)</f>
        <v>1701</v>
      </c>
      <c r="Y1121" s="3">
        <f ca="1">IFERROR(__xludf.DUMMYFUNCTION("""COMPUTED_VALUE"""),318)</f>
        <v>318</v>
      </c>
      <c r="Z1121" s="3">
        <f ca="1">IFERROR(__xludf.DUMMYFUNCTION("""COMPUTED_VALUE"""),244)</f>
        <v>244</v>
      </c>
      <c r="AA1121" s="3">
        <f ca="1">IFERROR(__xludf.DUMMYFUNCTION("""COMPUTED_VALUE"""),1139)</f>
        <v>1139</v>
      </c>
      <c r="AB1121" s="3">
        <f ca="1">IFERROR(__xludf.DUMMYFUNCTION("""COMPUTED_VALUE"""),0)</f>
        <v>0</v>
      </c>
      <c r="AC1121" s="3">
        <f ca="1">IFERROR(__xludf.DUMMYFUNCTION("""COMPUTED_VALUE"""),1)</f>
        <v>1</v>
      </c>
      <c r="AD1121" s="3"/>
      <c r="AE1121" s="3" t="str">
        <f ca="1">IFERROR(__xludf.DUMMYFUNCTION("""COMPUTED_VALUE"""),"2055-06-11T17:24:11.268708Z")</f>
        <v>2055-06-11T17:24:11.268708Z</v>
      </c>
      <c r="AF1121" s="3" t="str">
        <f ca="1">IFERROR(__xludf.DUMMYFUNCTION("""COMPUTED_VALUE"""),"2055-06-11T17:43:10.909119Z")</f>
        <v>2055-06-11T17:43:10.909119Z</v>
      </c>
      <c r="AG1121" s="3" t="str">
        <f ca="1">IFERROR(__xludf.DUMMYFUNCTION("""COMPUTED_VALUE"""),"2055-06-11T17:14:34.279417Z")</f>
        <v>2055-06-11T17:14:34.279417Z</v>
      </c>
      <c r="AH1121" s="3" t="str">
        <f ca="1">IFERROR(__xludf.DUMMYFUNCTION("""COMPUTED_VALUE"""),"2055-06-11T17:20:07.061232Z")</f>
        <v>2055-06-11T17:20:07.061232Z</v>
      </c>
      <c r="AI1121" s="3">
        <f ca="1">IFERROR(__xludf.DUMMYFUNCTION("""COMPUTED_VALUE"""),4.54)</f>
        <v>4.54</v>
      </c>
      <c r="AJ1121" s="3">
        <f ca="1">IFERROR(__xludf.DUMMYFUNCTION("""COMPUTED_VALUE"""),2229)</f>
        <v>2229</v>
      </c>
      <c r="AK1121" s="3">
        <f ca="1">IFERROR(__xludf.DUMMYFUNCTION("""COMPUTED_VALUE"""),6580)</f>
        <v>6580</v>
      </c>
      <c r="AL1121" s="3"/>
      <c r="AM1121" s="3">
        <f>IFERROR(Raw_Data!AL1121 / Raw_Data!AK1121, "")</f>
        <v>0</v>
      </c>
      <c r="AN1121" s="3" t="str">
        <f>IF(ISBLANK(Raw_Data!AL1121), "No", "Yes")</f>
        <v>No</v>
      </c>
      <c r="AO1121" s="3">
        <f>IFERROR(Raw_Data!Z1121/60, "")</f>
        <v>4.0666666666666664</v>
      </c>
    </row>
    <row r="1122" spans="1:41" ht="13">
      <c r="A1122" s="3">
        <f ca="1">IFERROR(__xludf.DUMMYFUNCTION("""COMPUTED_VALUE"""),1571)</f>
        <v>1571</v>
      </c>
      <c r="B1122" s="3">
        <f ca="1">IFERROR(__xludf.DUMMYFUNCTION("""COMPUTED_VALUE"""),5)</f>
        <v>5</v>
      </c>
      <c r="C1122" s="3">
        <f ca="1">IFERROR(__xludf.DUMMYFUNCTION("""COMPUTED_VALUE"""),4001)</f>
        <v>4001</v>
      </c>
      <c r="D1122" s="3" t="str">
        <f ca="1">IFERROR(__xludf.DUMMYFUNCTION("""COMPUTED_VALUE"""),"Dashattan")</f>
        <v>Dashattan</v>
      </c>
      <c r="E1122" s="3" t="str">
        <f ca="1">IFERROR(__xludf.DUMMYFUNCTION("""COMPUTED_VALUE"""),"Galaxy A")</f>
        <v>Galaxy A</v>
      </c>
      <c r="F1122" s="3" t="str">
        <f ca="1">IFERROR(__xludf.DUMMYFUNCTION("""COMPUTED_VALUE"""),"Cass")</f>
        <v>Cass</v>
      </c>
      <c r="G1122" s="3">
        <f ca="1">IFERROR(__xludf.DUMMYFUNCTION("""COMPUTED_VALUE"""),0)</f>
        <v>0</v>
      </c>
      <c r="H1122" s="3" t="str">
        <f ca="1">IFERROR(__xludf.DUMMYFUNCTION("""COMPUTED_VALUE"""),"bicycle")</f>
        <v>bicycle</v>
      </c>
      <c r="I1122" s="3" t="str">
        <f ca="1">IFERROR(__xludf.DUMMYFUNCTION("""COMPUTED_VALUE"""),"2055-06-13T16:15:28.582499Z")</f>
        <v>2055-06-13T16:15:28.582499Z</v>
      </c>
      <c r="J1122" s="3" t="str">
        <f ca="1">IFERROR(__xludf.DUMMYFUNCTION("""COMPUTED_VALUE"""),"2055-06-13T17:10:03.629Z")</f>
        <v>2055-06-13T17:10:03.629Z</v>
      </c>
      <c r="K1122" s="3" t="str">
        <f ca="1">IFERROR(__xludf.DUMMYFUNCTION("""COMPUTED_VALUE"""),"2055-06-13T16:49:56.629Z")</f>
        <v>2055-06-13T16:49:56.629Z</v>
      </c>
      <c r="L1122" s="3">
        <f ca="1">IFERROR(__xludf.DUMMYFUNCTION("""COMPUTED_VALUE"""),1)</f>
        <v>1</v>
      </c>
      <c r="M1122" s="3">
        <f ca="1">IFERROR(__xludf.DUMMYFUNCTION("""COMPUTED_VALUE"""),0)</f>
        <v>0</v>
      </c>
      <c r="N1122" s="3" t="str">
        <f ca="1">IFERROR(__xludf.DUMMYFUNCTION("""COMPUTED_VALUE"""),"2055-06-13T16:44:45.125198Z")</f>
        <v>2055-06-13T16:44:45.125198Z</v>
      </c>
      <c r="O1122" s="3" t="str">
        <f ca="1">IFERROR(__xludf.DUMMYFUNCTION("""COMPUTED_VALUE"""),"2055-06-13T16:58:47.470651Z")</f>
        <v>2055-06-13T16:58:47.470651Z</v>
      </c>
      <c r="P1122" s="3" t="str">
        <f ca="1">IFERROR(__xludf.DUMMYFUNCTION("""COMPUTED_VALUE"""),"2055-06-13T16:18:14.719574Z")</f>
        <v>2055-06-13T16:18:14.719574Z</v>
      </c>
      <c r="Q1122" s="3">
        <f ca="1">IFERROR(__xludf.DUMMYFUNCTION("""COMPUTED_VALUE"""),0)</f>
        <v>0</v>
      </c>
      <c r="R1122" s="3" t="str">
        <f ca="1">IFERROR(__xludf.DUMMYFUNCTION("""COMPUTED_VALUE"""),"2055-06-13T16:18:41.794562Z")</f>
        <v>2055-06-13T16:18:41.794562Z</v>
      </c>
      <c r="S1122" s="3" t="str">
        <f ca="1">IFERROR(__xludf.DUMMYFUNCTION("""COMPUTED_VALUE"""),"2055-06-13T16:43:55.308636Z")</f>
        <v>2055-06-13T16:43:55.308636Z</v>
      </c>
      <c r="T1122" s="3"/>
      <c r="U1122" s="4">
        <f ca="1">IFERROR(__xludf.DUMMYFUNCTION("""COMPUTED_VALUE"""),56778)</f>
        <v>56778</v>
      </c>
      <c r="V1122" s="3">
        <f ca="1">IFERROR(__xludf.DUMMYFUNCTION("""COMPUTED_VALUE"""),4.7)</f>
        <v>4.7</v>
      </c>
      <c r="W1122" s="3">
        <f ca="1">IFERROR(__xludf.DUMMYFUNCTION("""COMPUTED_VALUE"""),850)</f>
        <v>850</v>
      </c>
      <c r="X1122" s="3">
        <f ca="1">IFERROR(__xludf.DUMMYFUNCTION("""COMPUTED_VALUE"""),2406)</f>
        <v>2406</v>
      </c>
      <c r="Y1122" s="3">
        <f ca="1">IFERROR(__xludf.DUMMYFUNCTION("""COMPUTED_VALUE"""),1514)</f>
        <v>1514</v>
      </c>
      <c r="Z1122" s="3">
        <f ca="1">IFERROR(__xludf.DUMMYFUNCTION("""COMPUTED_VALUE"""),50)</f>
        <v>50</v>
      </c>
      <c r="AA1122" s="3">
        <f ca="1">IFERROR(__xludf.DUMMYFUNCTION("""COMPUTED_VALUE"""),842)</f>
        <v>842</v>
      </c>
      <c r="AB1122" s="3">
        <f ca="1">IFERROR(__xludf.DUMMYFUNCTION("""COMPUTED_VALUE"""),0)</f>
        <v>0</v>
      </c>
      <c r="AC1122" s="3">
        <f ca="1">IFERROR(__xludf.DUMMYFUNCTION("""COMPUTED_VALUE"""),1)</f>
        <v>1</v>
      </c>
      <c r="AD1122" s="3" t="str">
        <f ca="1">IFERROR(__xludf.DUMMYFUNCTION("""COMPUTED_VALUE"""),"late")</f>
        <v>late</v>
      </c>
      <c r="AE1122" s="3" t="str">
        <f ca="1">IFERROR(__xludf.DUMMYFUNCTION("""COMPUTED_VALUE"""),"2055-06-13T12:44:45.125198Z")</f>
        <v>2055-06-13T12:44:45.125198Z</v>
      </c>
      <c r="AF1122" s="3" t="str">
        <f ca="1">IFERROR(__xludf.DUMMYFUNCTION("""COMPUTED_VALUE"""),"2055-06-13T12:58:47.470651Z")</f>
        <v>2055-06-13T12:58:47.470651Z</v>
      </c>
      <c r="AG1122" s="3" t="str">
        <f ca="1">IFERROR(__xludf.DUMMYFUNCTION("""COMPUTED_VALUE"""),"2055-06-13T12:18:14.719574Z")</f>
        <v>2055-06-13T12:18:14.719574Z</v>
      </c>
      <c r="AH1122" s="3" t="str">
        <f ca="1">IFERROR(__xludf.DUMMYFUNCTION("""COMPUTED_VALUE"""),"2055-06-13T12:43:55.308636Z")</f>
        <v>2055-06-13T12:43:55.308636Z</v>
      </c>
      <c r="AI1122" s="3">
        <f ca="1">IFERROR(__xludf.DUMMYFUNCTION("""COMPUTED_VALUE"""),4.505263158)</f>
        <v>4.505263158</v>
      </c>
      <c r="AJ1122" s="3">
        <f ca="1">IFERROR(__xludf.DUMMYFUNCTION("""COMPUTED_VALUE"""),79)</f>
        <v>79</v>
      </c>
      <c r="AK1122" s="3">
        <f ca="1">IFERROR(__xludf.DUMMYFUNCTION("""COMPUTED_VALUE"""),248)</f>
        <v>248</v>
      </c>
      <c r="AL1122" s="3">
        <f ca="1">IFERROR(__xludf.DUMMYFUNCTION("""COMPUTED_VALUE"""),2)</f>
        <v>2</v>
      </c>
      <c r="AM1122" s="3">
        <f>IFERROR(Raw_Data!AL1122 / Raw_Data!AK1122, "")</f>
        <v>8.0645161290322578E-3</v>
      </c>
      <c r="AN1122" s="3" t="str">
        <f>IF(ISBLANK(Raw_Data!AL1122), "No", "Yes")</f>
        <v>Yes</v>
      </c>
      <c r="AO1122" s="3">
        <f>IFERROR(Raw_Data!Z1122/60, "")</f>
        <v>0.83333333333333337</v>
      </c>
    </row>
    <row r="1123" spans="1:41" ht="13">
      <c r="A1123" s="3">
        <f ca="1">IFERROR(__xludf.DUMMYFUNCTION("""COMPUTED_VALUE"""),1388)</f>
        <v>1388</v>
      </c>
      <c r="B1123" s="3"/>
      <c r="C1123" s="3">
        <f ca="1">IFERROR(__xludf.DUMMYFUNCTION("""COMPUTED_VALUE"""),4001)</f>
        <v>4001</v>
      </c>
      <c r="D1123" s="3" t="str">
        <f ca="1">IFERROR(__xludf.DUMMYFUNCTION("""COMPUTED_VALUE"""),"Dashattan")</f>
        <v>Dashattan</v>
      </c>
      <c r="E1123" s="3" t="str">
        <f ca="1">IFERROR(__xludf.DUMMYFUNCTION("""COMPUTED_VALUE"""),"Galaxy A")</f>
        <v>Galaxy A</v>
      </c>
      <c r="F1123" s="3" t="str">
        <f ca="1">IFERROR(__xludf.DUMMYFUNCTION("""COMPUTED_VALUE"""),"Rojan")</f>
        <v>Rojan</v>
      </c>
      <c r="G1123" s="3">
        <f ca="1">IFERROR(__xludf.DUMMYFUNCTION("""COMPUTED_VALUE"""),0)</f>
        <v>0</v>
      </c>
      <c r="H1123" s="3" t="str">
        <f ca="1">IFERROR(__xludf.DUMMYFUNCTION("""COMPUTED_VALUE"""),"bicycle")</f>
        <v>bicycle</v>
      </c>
      <c r="I1123" s="3" t="str">
        <f ca="1">IFERROR(__xludf.DUMMYFUNCTION("""COMPUTED_VALUE"""),"2055-06-12T14:40:32.056766Z")</f>
        <v>2055-06-12T14:40:32.056766Z</v>
      </c>
      <c r="J1123" s="3" t="str">
        <f ca="1">IFERROR(__xludf.DUMMYFUNCTION("""COMPUTED_VALUE"""),"2055-06-12T15:37:59.124Z")</f>
        <v>2055-06-12T15:37:59.124Z</v>
      </c>
      <c r="K1123" s="3" t="str">
        <f ca="1">IFERROR(__xludf.DUMMYFUNCTION("""COMPUTED_VALUE"""),"2055-06-12T15:18:20.124Z")</f>
        <v>2055-06-12T15:18:20.124Z</v>
      </c>
      <c r="L1123" s="3">
        <f ca="1">IFERROR(__xludf.DUMMYFUNCTION("""COMPUTED_VALUE"""),1)</f>
        <v>1</v>
      </c>
      <c r="M1123" s="3">
        <f ca="1">IFERROR(__xludf.DUMMYFUNCTION("""COMPUTED_VALUE"""),0)</f>
        <v>0</v>
      </c>
      <c r="N1123" s="3" t="str">
        <f ca="1">IFERROR(__xludf.DUMMYFUNCTION("""COMPUTED_VALUE"""),"2055-06-12T15:17:00.260471Z")</f>
        <v>2055-06-12T15:17:00.260471Z</v>
      </c>
      <c r="O1123" s="3" t="str">
        <f ca="1">IFERROR(__xludf.DUMMYFUNCTION("""COMPUTED_VALUE"""),"2055-06-12T15:35:31.875033Z")</f>
        <v>2055-06-12T15:35:31.875033Z</v>
      </c>
      <c r="P1123" s="3" t="str">
        <f ca="1">IFERROR(__xludf.DUMMYFUNCTION("""COMPUTED_VALUE"""),"2055-06-12T14:46:14.217254Z")</f>
        <v>2055-06-12T14:46:14.217254Z</v>
      </c>
      <c r="Q1123" s="3">
        <f ca="1">IFERROR(__xludf.DUMMYFUNCTION("""COMPUTED_VALUE"""),0)</f>
        <v>0</v>
      </c>
      <c r="R1123" s="3" t="str">
        <f ca="1">IFERROR(__xludf.DUMMYFUNCTION("""COMPUTED_VALUE"""),"2055-06-12T14:46:25.220377Z")</f>
        <v>2055-06-12T14:46:25.220377Z</v>
      </c>
      <c r="S1123" s="3" t="str">
        <f ca="1">IFERROR(__xludf.DUMMYFUNCTION("""COMPUTED_VALUE"""),"2055-06-12T14:59:49.410268Z")</f>
        <v>2055-06-12T14:59:49.410268Z</v>
      </c>
      <c r="T1123" s="3"/>
      <c r="U1123" s="4">
        <f ca="1">IFERROR(__xludf.DUMMYFUNCTION("""COMPUTED_VALUE"""),56777)</f>
        <v>56777</v>
      </c>
      <c r="V1123" s="3">
        <f ca="1">IFERROR(__xludf.DUMMYFUNCTION("""COMPUTED_VALUE"""),4.5)</f>
        <v>4.5</v>
      </c>
      <c r="W1123" s="3">
        <f ca="1">IFERROR(__xludf.DUMMYFUNCTION("""COMPUTED_VALUE"""),850)</f>
        <v>850</v>
      </c>
      <c r="X1123" s="3">
        <f ca="1">IFERROR(__xludf.DUMMYFUNCTION("""COMPUTED_VALUE"""),2946)</f>
        <v>2946</v>
      </c>
      <c r="Y1123" s="3">
        <f ca="1">IFERROR(__xludf.DUMMYFUNCTION("""COMPUTED_VALUE"""),804)</f>
        <v>804</v>
      </c>
      <c r="Z1123" s="3">
        <f ca="1">IFERROR(__xludf.DUMMYFUNCTION("""COMPUTED_VALUE"""),1031)</f>
        <v>1031</v>
      </c>
      <c r="AA1123" s="3">
        <f ca="1">IFERROR(__xludf.DUMMYFUNCTION("""COMPUTED_VALUE"""),1111)</f>
        <v>1111</v>
      </c>
      <c r="AB1123" s="3">
        <f ca="1">IFERROR(__xludf.DUMMYFUNCTION("""COMPUTED_VALUE"""),0)</f>
        <v>0</v>
      </c>
      <c r="AC1123" s="3">
        <f ca="1">IFERROR(__xludf.DUMMYFUNCTION("""COMPUTED_VALUE"""),1)</f>
        <v>1</v>
      </c>
      <c r="AD1123" s="3" t="str">
        <f ca="1">IFERROR(__xludf.DUMMYFUNCTION("""COMPUTED_VALUE"""),"on time")</f>
        <v>on time</v>
      </c>
      <c r="AE1123" s="3" t="str">
        <f ca="1">IFERROR(__xludf.DUMMYFUNCTION("""COMPUTED_VALUE"""),"2055-06-12T11:17:00.260471Z")</f>
        <v>2055-06-12T11:17:00.260471Z</v>
      </c>
      <c r="AF1123" s="3" t="str">
        <f ca="1">IFERROR(__xludf.DUMMYFUNCTION("""COMPUTED_VALUE"""),"2055-06-12T11:35:31.875033Z")</f>
        <v>2055-06-12T11:35:31.875033Z</v>
      </c>
      <c r="AG1123" s="3" t="str">
        <f ca="1">IFERROR(__xludf.DUMMYFUNCTION("""COMPUTED_VALUE"""),"2055-06-12T10:46:14.217254Z")</f>
        <v>2055-06-12T10:46:14.217254Z</v>
      </c>
      <c r="AH1123" s="3" t="str">
        <f ca="1">IFERROR(__xludf.DUMMYFUNCTION("""COMPUTED_VALUE"""),"2055-06-12T10:59:49.410268Z")</f>
        <v>2055-06-12T10:59:49.410268Z</v>
      </c>
      <c r="AI1123" s="3">
        <f ca="1">IFERROR(__xludf.DUMMYFUNCTION("""COMPUTED_VALUE"""),4.58)</f>
        <v>4.58</v>
      </c>
      <c r="AJ1123" s="3">
        <f ca="1">IFERROR(__xludf.DUMMYFUNCTION("""COMPUTED_VALUE"""),254)</f>
        <v>254</v>
      </c>
      <c r="AK1123" s="3">
        <f ca="1">IFERROR(__xludf.DUMMYFUNCTION("""COMPUTED_VALUE"""),788)</f>
        <v>788</v>
      </c>
      <c r="AL1123" s="3">
        <f ca="1">IFERROR(__xludf.DUMMYFUNCTION("""COMPUTED_VALUE"""),9)</f>
        <v>9</v>
      </c>
      <c r="AM1123" s="3">
        <f>IFERROR(Raw_Data!AL1123 / Raw_Data!AK1123, "")</f>
        <v>1.1421319796954314E-2</v>
      </c>
      <c r="AN1123" s="3" t="str">
        <f>IF(ISBLANK(Raw_Data!AL1123), "No", "Yes")</f>
        <v>Yes</v>
      </c>
      <c r="AO1123" s="3">
        <f>IFERROR(Raw_Data!Z1123/60, "")</f>
        <v>17.183333333333334</v>
      </c>
    </row>
    <row r="1124" spans="1:41" ht="13">
      <c r="A1124" s="3">
        <f ca="1">IFERROR(__xludf.DUMMYFUNCTION("""COMPUTED_VALUE"""),1562)</f>
        <v>1562</v>
      </c>
      <c r="B1124" s="3"/>
      <c r="C1124" s="3">
        <f ca="1">IFERROR(__xludf.DUMMYFUNCTION("""COMPUTED_VALUE"""),4001)</f>
        <v>4001</v>
      </c>
      <c r="D1124" s="3" t="str">
        <f ca="1">IFERROR(__xludf.DUMMYFUNCTION("""COMPUTED_VALUE"""),"Dashattan")</f>
        <v>Dashattan</v>
      </c>
      <c r="E1124" s="3" t="str">
        <f ca="1">IFERROR(__xludf.DUMMYFUNCTION("""COMPUTED_VALUE"""),"Galaxy A")</f>
        <v>Galaxy A</v>
      </c>
      <c r="F1124" s="3" t="str">
        <f ca="1">IFERROR(__xludf.DUMMYFUNCTION("""COMPUTED_VALUE"""),"KC")</f>
        <v>KC</v>
      </c>
      <c r="G1124" s="3">
        <f ca="1">IFERROR(__xludf.DUMMYFUNCTION("""COMPUTED_VALUE"""),0)</f>
        <v>0</v>
      </c>
      <c r="H1124" s="3" t="str">
        <f ca="1">IFERROR(__xludf.DUMMYFUNCTION("""COMPUTED_VALUE"""),"car")</f>
        <v>car</v>
      </c>
      <c r="I1124" s="3" t="str">
        <f ca="1">IFERROR(__xludf.DUMMYFUNCTION("""COMPUTED_VALUE"""),"2055-06-13T15:39:36.974759Z")</f>
        <v>2055-06-13T15:39:36.974759Z</v>
      </c>
      <c r="J1124" s="3" t="str">
        <f ca="1">IFERROR(__xludf.DUMMYFUNCTION("""COMPUTED_VALUE"""),"2055-06-13T16:33:20.051Z")</f>
        <v>2055-06-13T16:33:20.051Z</v>
      </c>
      <c r="K1124" s="3" t="str">
        <f ca="1">IFERROR(__xludf.DUMMYFUNCTION("""COMPUTED_VALUE"""),"2055-06-13T16:13:41.051Z")</f>
        <v>2055-06-13T16:13:41.051Z</v>
      </c>
      <c r="L1124" s="3">
        <f ca="1">IFERROR(__xludf.DUMMYFUNCTION("""COMPUTED_VALUE"""),1)</f>
        <v>1</v>
      </c>
      <c r="M1124" s="3">
        <f ca="1">IFERROR(__xludf.DUMMYFUNCTION("""COMPUTED_VALUE"""),0)</f>
        <v>0</v>
      </c>
      <c r="N1124" s="3" t="str">
        <f ca="1">IFERROR(__xludf.DUMMYFUNCTION("""COMPUTED_VALUE"""),"2055-06-13T15:46:54.325999Z")</f>
        <v>2055-06-13T15:46:54.325999Z</v>
      </c>
      <c r="O1124" s="3" t="str">
        <f ca="1">IFERROR(__xludf.DUMMYFUNCTION("""COMPUTED_VALUE"""),"2055-06-13T16:00:23.191186Z")</f>
        <v>2055-06-13T16:00:23.191186Z</v>
      </c>
      <c r="P1124" s="3" t="str">
        <f ca="1">IFERROR(__xludf.DUMMYFUNCTION("""COMPUTED_VALUE"""),"2055-06-13T15:39:54.186215Z")</f>
        <v>2055-06-13T15:39:54.186215Z</v>
      </c>
      <c r="Q1124" s="3">
        <f ca="1">IFERROR(__xludf.DUMMYFUNCTION("""COMPUTED_VALUE"""),0)</f>
        <v>0</v>
      </c>
      <c r="R1124" s="3" t="str">
        <f ca="1">IFERROR(__xludf.DUMMYFUNCTION("""COMPUTED_VALUE"""),"2055-06-13T15:40:13.384586Z")</f>
        <v>2055-06-13T15:40:13.384586Z</v>
      </c>
      <c r="S1124" s="3" t="str">
        <f ca="1">IFERROR(__xludf.DUMMYFUNCTION("""COMPUTED_VALUE"""),"2055-06-13T15:44:23.643881Z")</f>
        <v>2055-06-13T15:44:23.643881Z</v>
      </c>
      <c r="T1124" s="3"/>
      <c r="U1124" s="4">
        <f ca="1">IFERROR(__xludf.DUMMYFUNCTION("""COMPUTED_VALUE"""),56778)</f>
        <v>56778</v>
      </c>
      <c r="V1124" s="3">
        <f ca="1">IFERROR(__xludf.DUMMYFUNCTION("""COMPUTED_VALUE"""),3.415063711)</f>
        <v>3.4150637110000002</v>
      </c>
      <c r="W1124" s="3">
        <f ca="1">IFERROR(__xludf.DUMMYFUNCTION("""COMPUTED_VALUE"""),850)</f>
        <v>850</v>
      </c>
      <c r="X1124" s="3">
        <f ca="1">IFERROR(__xludf.DUMMYFUNCTION("""COMPUTED_VALUE"""),1210)</f>
        <v>1210</v>
      </c>
      <c r="Y1124" s="3">
        <f ca="1">IFERROR(__xludf.DUMMYFUNCTION("""COMPUTED_VALUE"""),250)</f>
        <v>250</v>
      </c>
      <c r="Z1124" s="3">
        <f ca="1">IFERROR(__xludf.DUMMYFUNCTION("""COMPUTED_VALUE"""),151)</f>
        <v>151</v>
      </c>
      <c r="AA1124" s="3">
        <f ca="1">IFERROR(__xludf.DUMMYFUNCTION("""COMPUTED_VALUE"""),809)</f>
        <v>809</v>
      </c>
      <c r="AB1124" s="3">
        <f ca="1">IFERROR(__xludf.DUMMYFUNCTION("""COMPUTED_VALUE"""),0)</f>
        <v>0</v>
      </c>
      <c r="AC1124" s="3">
        <f ca="1">IFERROR(__xludf.DUMMYFUNCTION("""COMPUTED_VALUE"""),1)</f>
        <v>1</v>
      </c>
      <c r="AD1124" s="3" t="str">
        <f ca="1">IFERROR(__xludf.DUMMYFUNCTION("""COMPUTED_VALUE"""),"on time")</f>
        <v>on time</v>
      </c>
      <c r="AE1124" s="3" t="str">
        <f ca="1">IFERROR(__xludf.DUMMYFUNCTION("""COMPUTED_VALUE"""),"2055-06-13T11:46:54.325999Z")</f>
        <v>2055-06-13T11:46:54.325999Z</v>
      </c>
      <c r="AF1124" s="3" t="str">
        <f ca="1">IFERROR(__xludf.DUMMYFUNCTION("""COMPUTED_VALUE"""),"2055-06-13T12:00:23.191186Z")</f>
        <v>2055-06-13T12:00:23.191186Z</v>
      </c>
      <c r="AG1124" s="3" t="str">
        <f ca="1">IFERROR(__xludf.DUMMYFUNCTION("""COMPUTED_VALUE"""),"2055-06-13T11:39:54.186215Z")</f>
        <v>2055-06-13T11:39:54.186215Z</v>
      </c>
      <c r="AH1124" s="3" t="str">
        <f ca="1">IFERROR(__xludf.DUMMYFUNCTION("""COMPUTED_VALUE"""),"2055-06-13T11:44:23.643881Z")</f>
        <v>2055-06-13T11:44:23.643881Z</v>
      </c>
      <c r="AI1124" s="3">
        <f ca="1">IFERROR(__xludf.DUMMYFUNCTION("""COMPUTED_VALUE"""),4.54)</f>
        <v>4.54</v>
      </c>
      <c r="AJ1124" s="3">
        <f ca="1">IFERROR(__xludf.DUMMYFUNCTION("""COMPUTED_VALUE"""),2229)</f>
        <v>2229</v>
      </c>
      <c r="AK1124" s="3">
        <f ca="1">IFERROR(__xludf.DUMMYFUNCTION("""COMPUTED_VALUE"""),6580)</f>
        <v>6580</v>
      </c>
      <c r="AL1124" s="3"/>
      <c r="AM1124" s="3">
        <f>IFERROR(Raw_Data!AL1124 / Raw_Data!AK1124, "")</f>
        <v>0</v>
      </c>
      <c r="AN1124" s="3" t="str">
        <f>IF(ISBLANK(Raw_Data!AL1124), "No", "Yes")</f>
        <v>No</v>
      </c>
      <c r="AO1124" s="3">
        <f>IFERROR(Raw_Data!Z1124/60, "")</f>
        <v>2.5166666666666666</v>
      </c>
    </row>
    <row r="1125" spans="1:41" ht="13">
      <c r="A1125" s="3">
        <f ca="1">IFERROR(__xludf.DUMMYFUNCTION("""COMPUTED_VALUE"""),941)</f>
        <v>941</v>
      </c>
      <c r="B1125" s="3"/>
      <c r="C1125" s="3">
        <f ca="1">IFERROR(__xludf.DUMMYFUNCTION("""COMPUTED_VALUE"""),4001)</f>
        <v>4001</v>
      </c>
      <c r="D1125" s="3" t="str">
        <f ca="1">IFERROR(__xludf.DUMMYFUNCTION("""COMPUTED_VALUE"""),"Dashattan")</f>
        <v>Dashattan</v>
      </c>
      <c r="E1125" s="3" t="str">
        <f ca="1">IFERROR(__xludf.DUMMYFUNCTION("""COMPUTED_VALUE"""),"Galaxy A")</f>
        <v>Galaxy A</v>
      </c>
      <c r="F1125" s="3" t="str">
        <f ca="1">IFERROR(__xludf.DUMMYFUNCTION("""COMPUTED_VALUE"""),"Sean")</f>
        <v>Sean</v>
      </c>
      <c r="G1125" s="3">
        <f ca="1">IFERROR(__xludf.DUMMYFUNCTION("""COMPUTED_VALUE"""),0)</f>
        <v>0</v>
      </c>
      <c r="H1125" s="3" t="str">
        <f ca="1">IFERROR(__xludf.DUMMYFUNCTION("""COMPUTED_VALUE"""),"bicycle")</f>
        <v>bicycle</v>
      </c>
      <c r="I1125" s="3" t="str">
        <f ca="1">IFERROR(__xludf.DUMMYFUNCTION("""COMPUTED_VALUE"""),"2055-06-08T16:10:43.724159Z")</f>
        <v>2055-06-08T16:10:43.724159Z</v>
      </c>
      <c r="J1125" s="3" t="str">
        <f ca="1">IFERROR(__xludf.DUMMYFUNCTION("""COMPUTED_VALUE"""),"2055-06-08T17:01:31.803Z")</f>
        <v>2055-06-08T17:01:31.803Z</v>
      </c>
      <c r="K1125" s="3" t="str">
        <f ca="1">IFERROR(__xludf.DUMMYFUNCTION("""COMPUTED_VALUE"""),"2055-06-08T16:41:52.803Z")</f>
        <v>2055-06-08T16:41:52.803Z</v>
      </c>
      <c r="L1125" s="3">
        <f ca="1">IFERROR(__xludf.DUMMYFUNCTION("""COMPUTED_VALUE"""),1)</f>
        <v>1</v>
      </c>
      <c r="M1125" s="3">
        <f ca="1">IFERROR(__xludf.DUMMYFUNCTION("""COMPUTED_VALUE"""),0)</f>
        <v>0</v>
      </c>
      <c r="N1125" s="3" t="str">
        <f ca="1">IFERROR(__xludf.DUMMYFUNCTION("""COMPUTED_VALUE"""),"2055-06-08T16:23:23.378106Z")</f>
        <v>2055-06-08T16:23:23.378106Z</v>
      </c>
      <c r="O1125" s="3" t="str">
        <f ca="1">IFERROR(__xludf.DUMMYFUNCTION("""COMPUTED_VALUE"""),"2055-06-08T16:34:40.376499Z")</f>
        <v>2055-06-08T16:34:40.376499Z</v>
      </c>
      <c r="P1125" s="3" t="str">
        <f ca="1">IFERROR(__xludf.DUMMYFUNCTION("""COMPUTED_VALUE"""),"2055-06-08T16:16:34.525618Z")</f>
        <v>2055-06-08T16:16:34.525618Z</v>
      </c>
      <c r="Q1125" s="3">
        <f ca="1">IFERROR(__xludf.DUMMYFUNCTION("""COMPUTED_VALUE"""),0)</f>
        <v>0</v>
      </c>
      <c r="R1125" s="3" t="str">
        <f ca="1">IFERROR(__xludf.DUMMYFUNCTION("""COMPUTED_VALUE"""),"2055-06-08T16:16:46.075049Z")</f>
        <v>2055-06-08T16:16:46.075049Z</v>
      </c>
      <c r="S1125" s="3" t="str">
        <f ca="1">IFERROR(__xludf.DUMMYFUNCTION("""COMPUTED_VALUE"""),"2055-06-08T16:19:34.52074Z")</f>
        <v>2055-06-08T16:19:34.52074Z</v>
      </c>
      <c r="T1125" s="3"/>
      <c r="U1125" s="4">
        <f ca="1">IFERROR(__xludf.DUMMYFUNCTION("""COMPUTED_VALUE"""),56773)</f>
        <v>56773</v>
      </c>
      <c r="V1125" s="3">
        <f ca="1">IFERROR(__xludf.DUMMYFUNCTION("""COMPUTED_VALUE"""),4.5)</f>
        <v>4.5</v>
      </c>
      <c r="W1125" s="3">
        <f ca="1">IFERROR(__xludf.DUMMYFUNCTION("""COMPUTED_VALUE"""),850)</f>
        <v>850</v>
      </c>
      <c r="X1125" s="3">
        <f ca="1">IFERROR(__xludf.DUMMYFUNCTION("""COMPUTED_VALUE"""),1074)</f>
        <v>1074</v>
      </c>
      <c r="Y1125" s="3">
        <f ca="1">IFERROR(__xludf.DUMMYFUNCTION("""COMPUTED_VALUE"""),168)</f>
        <v>168</v>
      </c>
      <c r="Z1125" s="3">
        <f ca="1">IFERROR(__xludf.DUMMYFUNCTION("""COMPUTED_VALUE"""),229)</f>
        <v>229</v>
      </c>
      <c r="AA1125" s="3">
        <f ca="1">IFERROR(__xludf.DUMMYFUNCTION("""COMPUTED_VALUE"""),677)</f>
        <v>677</v>
      </c>
      <c r="AB1125" s="3">
        <f ca="1">IFERROR(__xludf.DUMMYFUNCTION("""COMPUTED_VALUE"""),0)</f>
        <v>0</v>
      </c>
      <c r="AC1125" s="3">
        <f ca="1">IFERROR(__xludf.DUMMYFUNCTION("""COMPUTED_VALUE"""),2)</f>
        <v>2</v>
      </c>
      <c r="AD1125" s="3" t="str">
        <f ca="1">IFERROR(__xludf.DUMMYFUNCTION("""COMPUTED_VALUE"""),"early")</f>
        <v>early</v>
      </c>
      <c r="AE1125" s="3" t="str">
        <f ca="1">IFERROR(__xludf.DUMMYFUNCTION("""COMPUTED_VALUE"""),"2055-06-08T12:23:23.378106Z")</f>
        <v>2055-06-08T12:23:23.378106Z</v>
      </c>
      <c r="AF1125" s="3" t="str">
        <f ca="1">IFERROR(__xludf.DUMMYFUNCTION("""COMPUTED_VALUE"""),"2055-06-08T12:34:40.376499Z")</f>
        <v>2055-06-08T12:34:40.376499Z</v>
      </c>
      <c r="AG1125" s="3" t="str">
        <f ca="1">IFERROR(__xludf.DUMMYFUNCTION("""COMPUTED_VALUE"""),"2055-06-08T12:16:34.525618Z")</f>
        <v>2055-06-08T12:16:34.525618Z</v>
      </c>
      <c r="AH1125" s="3" t="str">
        <f ca="1">IFERROR(__xludf.DUMMYFUNCTION("""COMPUTED_VALUE"""),"2055-06-08T12:19:34.52074Z")</f>
        <v>2055-06-08T12:19:34.52074Z</v>
      </c>
      <c r="AI1125" s="3">
        <f ca="1">IFERROR(__xludf.DUMMYFUNCTION("""COMPUTED_VALUE"""),4.52)</f>
        <v>4.5199999999999996</v>
      </c>
      <c r="AJ1125" s="3">
        <f ca="1">IFERROR(__xludf.DUMMYFUNCTION("""COMPUTED_VALUE"""),183)</f>
        <v>183</v>
      </c>
      <c r="AK1125" s="3">
        <f ca="1">IFERROR(__xludf.DUMMYFUNCTION("""COMPUTED_VALUE"""),522)</f>
        <v>522</v>
      </c>
      <c r="AL1125" s="3"/>
      <c r="AM1125" s="3">
        <f>IFERROR(Raw_Data!AL1125 / Raw_Data!AK1125, "")</f>
        <v>0</v>
      </c>
      <c r="AN1125" s="3" t="str">
        <f>IF(ISBLANK(Raw_Data!AL1125), "No", "Yes")</f>
        <v>No</v>
      </c>
      <c r="AO1125" s="3">
        <f>IFERROR(Raw_Data!Z1125/60, "")</f>
        <v>3.8166666666666669</v>
      </c>
    </row>
    <row r="1126" spans="1:41" ht="13">
      <c r="A1126" s="3">
        <f ca="1">IFERROR(__xludf.DUMMYFUNCTION("""COMPUTED_VALUE"""),257)</f>
        <v>257</v>
      </c>
      <c r="B1126" s="3">
        <f ca="1">IFERROR(__xludf.DUMMYFUNCTION("""COMPUTED_VALUE"""),5)</f>
        <v>5</v>
      </c>
      <c r="C1126" s="3">
        <f ca="1">IFERROR(__xludf.DUMMYFUNCTION("""COMPUTED_VALUE"""),4050)</f>
        <v>4050</v>
      </c>
      <c r="D1126" s="3" t="str">
        <f ca="1">IFERROR(__xludf.DUMMYFUNCTION("""COMPUTED_VALUE"""),"Doorlanta")</f>
        <v>Doorlanta</v>
      </c>
      <c r="E1126" s="3" t="str">
        <f ca="1">IFERROR(__xludf.DUMMYFUNCTION("""COMPUTED_VALUE"""),"Galaxy A")</f>
        <v>Galaxy A</v>
      </c>
      <c r="F1126" s="3" t="str">
        <f ca="1">IFERROR(__xludf.DUMMYFUNCTION("""COMPUTED_VALUE"""),"Matt")</f>
        <v>Matt</v>
      </c>
      <c r="G1126" s="3">
        <f ca="1">IFERROR(__xludf.DUMMYFUNCTION("""COMPUTED_VALUE"""),0)</f>
        <v>0</v>
      </c>
      <c r="H1126" s="3" t="str">
        <f ca="1">IFERROR(__xludf.DUMMYFUNCTION("""COMPUTED_VALUE"""),"car")</f>
        <v>car</v>
      </c>
      <c r="I1126" s="3" t="str">
        <f ca="1">IFERROR(__xludf.DUMMYFUNCTION("""COMPUTED_VALUE"""),"2055-06-03T14:32:19.900369Z")</f>
        <v>2055-06-03T14:32:19.900369Z</v>
      </c>
      <c r="J1126" s="3" t="str">
        <f ca="1">IFERROR(__xludf.DUMMYFUNCTION("""COMPUTED_VALUE"""),"2055-06-03T15:45:00Z")</f>
        <v>2055-06-03T15:45:00Z</v>
      </c>
      <c r="K1126" s="3" t="str">
        <f ca="1">IFERROR(__xludf.DUMMYFUNCTION("""COMPUTED_VALUE"""),"2055-06-03T15:45:00Z")</f>
        <v>2055-06-03T15:45:00Z</v>
      </c>
      <c r="L1126" s="3">
        <f ca="1">IFERROR(__xludf.DUMMYFUNCTION("""COMPUTED_VALUE"""),0)</f>
        <v>0</v>
      </c>
      <c r="M1126" s="3">
        <f ca="1">IFERROR(__xludf.DUMMYFUNCTION("""COMPUTED_VALUE"""),0)</f>
        <v>0</v>
      </c>
      <c r="N1126" s="3" t="str">
        <f ca="1">IFERROR(__xludf.DUMMYFUNCTION("""COMPUTED_VALUE"""),"2055-06-03T15:28:26.750957Z")</f>
        <v>2055-06-03T15:28:26.750957Z</v>
      </c>
      <c r="O1126" s="3" t="str">
        <f ca="1">IFERROR(__xludf.DUMMYFUNCTION("""COMPUTED_VALUE"""),"2055-06-03T15:43:11.02399Z")</f>
        <v>2055-06-03T15:43:11.02399Z</v>
      </c>
      <c r="P1126" s="3" t="str">
        <f ca="1">IFERROR(__xludf.DUMMYFUNCTION("""COMPUTED_VALUE"""),"2055-06-03T14:47:07.289257Z")</f>
        <v>2055-06-03T14:47:07.289257Z</v>
      </c>
      <c r="Q1126" s="3">
        <f ca="1">IFERROR(__xludf.DUMMYFUNCTION("""COMPUTED_VALUE"""),0)</f>
        <v>0</v>
      </c>
      <c r="R1126" s="3" t="str">
        <f ca="1">IFERROR(__xludf.DUMMYFUNCTION("""COMPUTED_VALUE"""),"2055-06-03T14:47:27.782344Z")</f>
        <v>2055-06-03T14:47:27.782344Z</v>
      </c>
      <c r="S1126" s="3" t="str">
        <f ca="1">IFERROR(__xludf.DUMMYFUNCTION("""COMPUTED_VALUE"""),"2055-06-03T15:04:48.724394Z")</f>
        <v>2055-06-03T15:04:48.724394Z</v>
      </c>
      <c r="T1126" s="3"/>
      <c r="U1126" s="4">
        <f ca="1">IFERROR(__xludf.DUMMYFUNCTION("""COMPUTED_VALUE"""),56768)</f>
        <v>56768</v>
      </c>
      <c r="V1126" s="3">
        <f ca="1">IFERROR(__xludf.DUMMYFUNCTION("""COMPUTED_VALUE"""),4.5)</f>
        <v>4.5</v>
      </c>
      <c r="W1126" s="3">
        <f ca="1">IFERROR(__xludf.DUMMYFUNCTION("""COMPUTED_VALUE"""),850)</f>
        <v>850</v>
      </c>
      <c r="X1126" s="3">
        <f ca="1">IFERROR(__xludf.DUMMYFUNCTION("""COMPUTED_VALUE"""),3344)</f>
        <v>3344</v>
      </c>
      <c r="Y1126" s="3">
        <f ca="1">IFERROR(__xludf.DUMMYFUNCTION("""COMPUTED_VALUE"""),1041)</f>
        <v>1041</v>
      </c>
      <c r="Z1126" s="3">
        <f ca="1">IFERROR(__xludf.DUMMYFUNCTION("""COMPUTED_VALUE"""),1418)</f>
        <v>1418</v>
      </c>
      <c r="AA1126" s="3">
        <f ca="1">IFERROR(__xludf.DUMMYFUNCTION("""COMPUTED_VALUE"""),885)</f>
        <v>885</v>
      </c>
      <c r="AB1126" s="3">
        <f ca="1">IFERROR(__xludf.DUMMYFUNCTION("""COMPUTED_VALUE"""),0)</f>
        <v>0</v>
      </c>
      <c r="AC1126" s="3">
        <f ca="1">IFERROR(__xludf.DUMMYFUNCTION("""COMPUTED_VALUE"""),1)</f>
        <v>1</v>
      </c>
      <c r="AD1126" s="3" t="str">
        <f ca="1">IFERROR(__xludf.DUMMYFUNCTION("""COMPUTED_VALUE"""),"early")</f>
        <v>early</v>
      </c>
      <c r="AE1126" s="3" t="str">
        <f ca="1">IFERROR(__xludf.DUMMYFUNCTION("""COMPUTED_VALUE"""),"2055-06-03T11:28:26.750957Z")</f>
        <v>2055-06-03T11:28:26.750957Z</v>
      </c>
      <c r="AF1126" s="3" t="str">
        <f ca="1">IFERROR(__xludf.DUMMYFUNCTION("""COMPUTED_VALUE"""),"2055-06-03T11:43:11.02399Z")</f>
        <v>2055-06-03T11:43:11.02399Z</v>
      </c>
      <c r="AG1126" s="3" t="str">
        <f ca="1">IFERROR(__xludf.DUMMYFUNCTION("""COMPUTED_VALUE"""),"2055-06-03T10:47:07.289257Z")</f>
        <v>2055-06-03T10:47:07.289257Z</v>
      </c>
      <c r="AH1126" s="3" t="str">
        <f ca="1">IFERROR(__xludf.DUMMYFUNCTION("""COMPUTED_VALUE"""),"2055-06-03T11:04:48.724394Z")</f>
        <v>2055-06-03T11:04:48.724394Z</v>
      </c>
      <c r="AI1126" s="3">
        <f ca="1">IFERROR(__xludf.DUMMYFUNCTION("""COMPUTED_VALUE"""),4.22)</f>
        <v>4.22</v>
      </c>
      <c r="AJ1126" s="3">
        <f ca="1">IFERROR(__xludf.DUMMYFUNCTION("""COMPUTED_VALUE"""),1551)</f>
        <v>1551</v>
      </c>
      <c r="AK1126" s="3">
        <f ca="1">IFERROR(__xludf.DUMMYFUNCTION("""COMPUTED_VALUE"""),4625)</f>
        <v>4625</v>
      </c>
      <c r="AL1126" s="3"/>
      <c r="AM1126" s="3">
        <f>IFERROR(Raw_Data!AL1126 / Raw_Data!AK1126, "")</f>
        <v>0</v>
      </c>
      <c r="AN1126" s="3" t="str">
        <f>IF(ISBLANK(Raw_Data!AL1126), "No", "Yes")</f>
        <v>No</v>
      </c>
      <c r="AO1126" s="3">
        <f>IFERROR(Raw_Data!Z1126/60, "")</f>
        <v>23.633333333333333</v>
      </c>
    </row>
    <row r="1127" spans="1:41" ht="13">
      <c r="A1127" s="3">
        <f ca="1">IFERROR(__xludf.DUMMYFUNCTION("""COMPUTED_VALUE"""),850)</f>
        <v>850</v>
      </c>
      <c r="B1127" s="3">
        <f ca="1">IFERROR(__xludf.DUMMYFUNCTION("""COMPUTED_VALUE"""),4)</f>
        <v>4</v>
      </c>
      <c r="C1127" s="3">
        <f ca="1">IFERROR(__xludf.DUMMYFUNCTION("""COMPUTED_VALUE"""),4050)</f>
        <v>4050</v>
      </c>
      <c r="D1127" s="3" t="str">
        <f ca="1">IFERROR(__xludf.DUMMYFUNCTION("""COMPUTED_VALUE"""),"Doorlanta")</f>
        <v>Doorlanta</v>
      </c>
      <c r="E1127" s="3" t="str">
        <f ca="1">IFERROR(__xludf.DUMMYFUNCTION("""COMPUTED_VALUE"""),"Galaxy A")</f>
        <v>Galaxy A</v>
      </c>
      <c r="F1127" s="3" t="str">
        <f ca="1">IFERROR(__xludf.DUMMYFUNCTION("""COMPUTED_VALUE"""),"Jarry")</f>
        <v>Jarry</v>
      </c>
      <c r="G1127" s="3">
        <f ca="1">IFERROR(__xludf.DUMMYFUNCTION("""COMPUTED_VALUE"""),0)</f>
        <v>0</v>
      </c>
      <c r="H1127" s="3" t="str">
        <f ca="1">IFERROR(__xludf.DUMMYFUNCTION("""COMPUTED_VALUE"""),"car")</f>
        <v>car</v>
      </c>
      <c r="I1127" s="3" t="str">
        <f ca="1">IFERROR(__xludf.DUMMYFUNCTION("""COMPUTED_VALUE"""),"2055-06-07T16:51:40.618873Z")</f>
        <v>2055-06-07T16:51:40.618873Z</v>
      </c>
      <c r="J1127" s="3" t="str">
        <f ca="1">IFERROR(__xludf.DUMMYFUNCTION("""COMPUTED_VALUE"""),"2055-06-07T17:36:40.71Z")</f>
        <v>2055-06-07T17:36:40.71Z</v>
      </c>
      <c r="K1127" s="3" t="str">
        <f ca="1">IFERROR(__xludf.DUMMYFUNCTION("""COMPUTED_VALUE"""),"2055-06-07T17:23:49.71Z")</f>
        <v>2055-06-07T17:23:49.71Z</v>
      </c>
      <c r="L1127" s="3">
        <f ca="1">IFERROR(__xludf.DUMMYFUNCTION("""COMPUTED_VALUE"""),1)</f>
        <v>1</v>
      </c>
      <c r="M1127" s="3">
        <f ca="1">IFERROR(__xludf.DUMMYFUNCTION("""COMPUTED_VALUE"""),0)</f>
        <v>0</v>
      </c>
      <c r="N1127" s="3" t="str">
        <f ca="1">IFERROR(__xludf.DUMMYFUNCTION("""COMPUTED_VALUE"""),"2055-06-07T17:17:41.425107Z")</f>
        <v>2055-06-07T17:17:41.425107Z</v>
      </c>
      <c r="O1127" s="3" t="str">
        <f ca="1">IFERROR(__xludf.DUMMYFUNCTION("""COMPUTED_VALUE"""),"2055-06-07T17:30:19.505636Z")</f>
        <v>2055-06-07T17:30:19.505636Z</v>
      </c>
      <c r="P1127" s="3" t="str">
        <f ca="1">IFERROR(__xludf.DUMMYFUNCTION("""COMPUTED_VALUE"""),"2055-06-07T16:53:07.246218Z")</f>
        <v>2055-06-07T16:53:07.246218Z</v>
      </c>
      <c r="Q1127" s="3">
        <f ca="1">IFERROR(__xludf.DUMMYFUNCTION("""COMPUTED_VALUE"""),0)</f>
        <v>0</v>
      </c>
      <c r="R1127" s="3" t="str">
        <f ca="1">IFERROR(__xludf.DUMMYFUNCTION("""COMPUTED_VALUE"""),"2055-06-07T16:53:12.344772Z")</f>
        <v>2055-06-07T16:53:12.344772Z</v>
      </c>
      <c r="S1127" s="3" t="str">
        <f ca="1">IFERROR(__xludf.DUMMYFUNCTION("""COMPUTED_VALUE"""),"2055-06-07T17:11:17.40771Z")</f>
        <v>2055-06-07T17:11:17.40771Z</v>
      </c>
      <c r="T1127" s="3"/>
      <c r="U1127" s="4">
        <f ca="1">IFERROR(__xludf.DUMMYFUNCTION("""COMPUTED_VALUE"""),56772)</f>
        <v>56772</v>
      </c>
      <c r="V1127" s="3">
        <f ca="1">IFERROR(__xludf.DUMMYFUNCTION("""COMPUTED_VALUE"""),4.7)</f>
        <v>4.7</v>
      </c>
      <c r="W1127" s="3">
        <f ca="1">IFERROR(__xludf.DUMMYFUNCTION("""COMPUTED_VALUE"""),850)</f>
        <v>850</v>
      </c>
      <c r="X1127" s="3">
        <f ca="1">IFERROR(__xludf.DUMMYFUNCTION("""COMPUTED_VALUE"""),2227)</f>
        <v>2227</v>
      </c>
      <c r="Y1127" s="3">
        <f ca="1">IFERROR(__xludf.DUMMYFUNCTION("""COMPUTED_VALUE"""),1085)</f>
        <v>1085</v>
      </c>
      <c r="Z1127" s="3">
        <f ca="1">IFERROR(__xludf.DUMMYFUNCTION("""COMPUTED_VALUE"""),384)</f>
        <v>384</v>
      </c>
      <c r="AA1127" s="3">
        <f ca="1">IFERROR(__xludf.DUMMYFUNCTION("""COMPUTED_VALUE"""),758)</f>
        <v>758</v>
      </c>
      <c r="AB1127" s="3">
        <f ca="1">IFERROR(__xludf.DUMMYFUNCTION("""COMPUTED_VALUE"""),0)</f>
        <v>0</v>
      </c>
      <c r="AC1127" s="3">
        <f ca="1">IFERROR(__xludf.DUMMYFUNCTION("""COMPUTED_VALUE"""),1)</f>
        <v>1</v>
      </c>
      <c r="AD1127" s="3" t="str">
        <f ca="1">IFERROR(__xludf.DUMMYFUNCTION("""COMPUTED_VALUE"""),"late")</f>
        <v>late</v>
      </c>
      <c r="AE1127" s="3" t="str">
        <f ca="1">IFERROR(__xludf.DUMMYFUNCTION("""COMPUTED_VALUE"""),"2055-06-07T13:17:41.425107Z")</f>
        <v>2055-06-07T13:17:41.425107Z</v>
      </c>
      <c r="AF1127" s="3" t="str">
        <f ca="1">IFERROR(__xludf.DUMMYFUNCTION("""COMPUTED_VALUE"""),"2055-06-07T13:30:19.505636Z")</f>
        <v>2055-06-07T13:30:19.505636Z</v>
      </c>
      <c r="AG1127" s="3" t="str">
        <f ca="1">IFERROR(__xludf.DUMMYFUNCTION("""COMPUTED_VALUE"""),"2055-06-07T12:53:07.246218Z")</f>
        <v>2055-06-07T12:53:07.246218Z</v>
      </c>
      <c r="AH1127" s="3" t="str">
        <f ca="1">IFERROR(__xludf.DUMMYFUNCTION("""COMPUTED_VALUE"""),"2055-06-07T13:11:17.40771Z")</f>
        <v>2055-06-07T13:11:17.40771Z</v>
      </c>
      <c r="AI1127" s="3">
        <f ca="1">IFERROR(__xludf.DUMMYFUNCTION("""COMPUTED_VALUE"""),4.720588235)</f>
        <v>4.7205882350000001</v>
      </c>
      <c r="AJ1127" s="3">
        <f ca="1">IFERROR(__xludf.DUMMYFUNCTION("""COMPUTED_VALUE"""),59)</f>
        <v>59</v>
      </c>
      <c r="AK1127" s="3">
        <f ca="1">IFERROR(__xludf.DUMMYFUNCTION("""COMPUTED_VALUE"""),198)</f>
        <v>198</v>
      </c>
      <c r="AL1127" s="3">
        <f ca="1">IFERROR(__xludf.DUMMYFUNCTION("""COMPUTED_VALUE"""),82)</f>
        <v>82</v>
      </c>
      <c r="AM1127" s="3">
        <f>IFERROR(Raw_Data!AL1127 / Raw_Data!AK1127, "")</f>
        <v>0.41414141414141414</v>
      </c>
      <c r="AN1127" s="3" t="str">
        <f>IF(ISBLANK(Raw_Data!AL1127), "No", "Yes")</f>
        <v>Yes</v>
      </c>
      <c r="AO1127" s="3">
        <f>IFERROR(Raw_Data!Z1127/60, "")</f>
        <v>6.4</v>
      </c>
    </row>
    <row r="1128" spans="1:41" ht="13">
      <c r="A1128" s="3">
        <f ca="1">IFERROR(__xludf.DUMMYFUNCTION("""COMPUTED_VALUE"""),89)</f>
        <v>89</v>
      </c>
      <c r="B1128" s="3">
        <f ca="1">IFERROR(__xludf.DUMMYFUNCTION("""COMPUTED_VALUE"""),5)</f>
        <v>5</v>
      </c>
      <c r="C1128" s="3">
        <f ca="1">IFERROR(__xludf.DUMMYFUNCTION("""COMPUTED_VALUE"""),4001)</f>
        <v>4001</v>
      </c>
      <c r="D1128" s="3" t="str">
        <f ca="1">IFERROR(__xludf.DUMMYFUNCTION("""COMPUTED_VALUE"""),"Dashattan")</f>
        <v>Dashattan</v>
      </c>
      <c r="E1128" s="3" t="str">
        <f ca="1">IFERROR(__xludf.DUMMYFUNCTION("""COMPUTED_VALUE"""),"Galaxy A")</f>
        <v>Galaxy A</v>
      </c>
      <c r="F1128" s="3" t="str">
        <f ca="1">IFERROR(__xludf.DUMMYFUNCTION("""COMPUTED_VALUE"""),"KC")</f>
        <v>KC</v>
      </c>
      <c r="G1128" s="3">
        <f ca="1">IFERROR(__xludf.DUMMYFUNCTION("""COMPUTED_VALUE"""),0)</f>
        <v>0</v>
      </c>
      <c r="H1128" s="3" t="str">
        <f ca="1">IFERROR(__xludf.DUMMYFUNCTION("""COMPUTED_VALUE"""),"car")</f>
        <v>car</v>
      </c>
      <c r="I1128" s="3" t="str">
        <f ca="1">IFERROR(__xludf.DUMMYFUNCTION("""COMPUTED_VALUE"""),"2055-06-02T00:05:30.345732Z")</f>
        <v>2055-06-02T00:05:30.345732Z</v>
      </c>
      <c r="J1128" s="3" t="str">
        <f ca="1">IFERROR(__xludf.DUMMYFUNCTION("""COMPUTED_VALUE"""),"2055-06-02T00:58:50.418Z")</f>
        <v>2055-06-02T00:58:50.418Z</v>
      </c>
      <c r="K1128" s="3" t="str">
        <f ca="1">IFERROR(__xludf.DUMMYFUNCTION("""COMPUTED_VALUE"""),"2055-06-02T00:38:43.418Z")</f>
        <v>2055-06-02T00:38:43.418Z</v>
      </c>
      <c r="L1128" s="3">
        <f ca="1">IFERROR(__xludf.DUMMYFUNCTION("""COMPUTED_VALUE"""),1)</f>
        <v>1</v>
      </c>
      <c r="M1128" s="3">
        <f ca="1">IFERROR(__xludf.DUMMYFUNCTION("""COMPUTED_VALUE"""),0)</f>
        <v>0</v>
      </c>
      <c r="N1128" s="3" t="str">
        <f ca="1">IFERROR(__xludf.DUMMYFUNCTION("""COMPUTED_VALUE"""),"2055-06-02T00:18:37.206673Z")</f>
        <v>2055-06-02T00:18:37.206673Z</v>
      </c>
      <c r="O1128" s="3" t="str">
        <f ca="1">IFERROR(__xludf.DUMMYFUNCTION("""COMPUTED_VALUE"""),"2055-06-02T00:25:34.09687Z")</f>
        <v>2055-06-02T00:25:34.09687Z</v>
      </c>
      <c r="P1128" s="3" t="str">
        <f ca="1">IFERROR(__xludf.DUMMYFUNCTION("""COMPUTED_VALUE"""),"2055-06-02T00:05:35.614963Z")</f>
        <v>2055-06-02T00:05:35.614963Z</v>
      </c>
      <c r="Q1128" s="3">
        <f ca="1">IFERROR(__xludf.DUMMYFUNCTION("""COMPUTED_VALUE"""),0)</f>
        <v>0</v>
      </c>
      <c r="R1128" s="3" t="str">
        <f ca="1">IFERROR(__xludf.DUMMYFUNCTION("""COMPUTED_VALUE"""),"2055-06-02T00:05:43.791064Z")</f>
        <v>2055-06-02T00:05:43.791064Z</v>
      </c>
      <c r="S1128" s="3" t="str">
        <f ca="1">IFERROR(__xludf.DUMMYFUNCTION("""COMPUTED_VALUE"""),"2055-06-02T00:12:25.492325Z")</f>
        <v>2055-06-02T00:12:25.492325Z</v>
      </c>
      <c r="T1128" s="3"/>
      <c r="U1128" s="4">
        <f ca="1">IFERROR(__xludf.DUMMYFUNCTION("""COMPUTED_VALUE"""),56766)</f>
        <v>56766</v>
      </c>
      <c r="V1128" s="3">
        <f ca="1">IFERROR(__xludf.DUMMYFUNCTION("""COMPUTED_VALUE"""),4.5)</f>
        <v>4.5</v>
      </c>
      <c r="W1128" s="3">
        <f ca="1">IFERROR(__xludf.DUMMYFUNCTION("""COMPUTED_VALUE"""),850)</f>
        <v>850</v>
      </c>
      <c r="X1128" s="3">
        <f ca="1">IFERROR(__xludf.DUMMYFUNCTION("""COMPUTED_VALUE"""),1191)</f>
        <v>1191</v>
      </c>
      <c r="Y1128" s="3">
        <f ca="1">IFERROR(__xludf.DUMMYFUNCTION("""COMPUTED_VALUE"""),402)</f>
        <v>402</v>
      </c>
      <c r="Z1128" s="3">
        <f ca="1">IFERROR(__xludf.DUMMYFUNCTION("""COMPUTED_VALUE"""),372)</f>
        <v>372</v>
      </c>
      <c r="AA1128" s="3">
        <f ca="1">IFERROR(__xludf.DUMMYFUNCTION("""COMPUTED_VALUE"""),417)</f>
        <v>417</v>
      </c>
      <c r="AB1128" s="3">
        <f ca="1">IFERROR(__xludf.DUMMYFUNCTION("""COMPUTED_VALUE"""),0)</f>
        <v>0</v>
      </c>
      <c r="AC1128" s="3">
        <f ca="1">IFERROR(__xludf.DUMMYFUNCTION("""COMPUTED_VALUE"""),2)</f>
        <v>2</v>
      </c>
      <c r="AD1128" s="3" t="str">
        <f ca="1">IFERROR(__xludf.DUMMYFUNCTION("""COMPUTED_VALUE"""),"on time")</f>
        <v>on time</v>
      </c>
      <c r="AE1128" s="3" t="str">
        <f ca="1">IFERROR(__xludf.DUMMYFUNCTION("""COMPUTED_VALUE"""),"2055-06-01T20:18:37.206673Z")</f>
        <v>2055-06-01T20:18:37.206673Z</v>
      </c>
      <c r="AF1128" s="3" t="str">
        <f ca="1">IFERROR(__xludf.DUMMYFUNCTION("""COMPUTED_VALUE"""),"2055-06-01T20:25:34.09687Z")</f>
        <v>2055-06-01T20:25:34.09687Z</v>
      </c>
      <c r="AG1128" s="3" t="str">
        <f ca="1">IFERROR(__xludf.DUMMYFUNCTION("""COMPUTED_VALUE"""),"2055-06-01T20:05:35.614963Z")</f>
        <v>2055-06-01T20:05:35.614963Z</v>
      </c>
      <c r="AH1128" s="3" t="str">
        <f ca="1">IFERROR(__xludf.DUMMYFUNCTION("""COMPUTED_VALUE"""),"2055-06-01T20:12:25.492325Z")</f>
        <v>2055-06-01T20:12:25.492325Z</v>
      </c>
      <c r="AI1128" s="3">
        <f ca="1">IFERROR(__xludf.DUMMYFUNCTION("""COMPUTED_VALUE"""),4.54)</f>
        <v>4.54</v>
      </c>
      <c r="AJ1128" s="3">
        <f ca="1">IFERROR(__xludf.DUMMYFUNCTION("""COMPUTED_VALUE"""),2229)</f>
        <v>2229</v>
      </c>
      <c r="AK1128" s="3">
        <f ca="1">IFERROR(__xludf.DUMMYFUNCTION("""COMPUTED_VALUE"""),6580)</f>
        <v>6580</v>
      </c>
      <c r="AL1128" s="3"/>
      <c r="AM1128" s="3">
        <f>IFERROR(Raw_Data!AL1128 / Raw_Data!AK1128, "")</f>
        <v>0</v>
      </c>
      <c r="AN1128" s="3" t="str">
        <f>IF(ISBLANK(Raw_Data!AL1128), "No", "Yes")</f>
        <v>No</v>
      </c>
      <c r="AO1128" s="3">
        <f>IFERROR(Raw_Data!Z1128/60, "")</f>
        <v>6.2</v>
      </c>
    </row>
    <row r="1129" spans="1:41" ht="13">
      <c r="A1129" s="3">
        <f ca="1">IFERROR(__xludf.DUMMYFUNCTION("""COMPUTED_VALUE"""),115)</f>
        <v>115</v>
      </c>
      <c r="B1129" s="3">
        <f ca="1">IFERROR(__xludf.DUMMYFUNCTION("""COMPUTED_VALUE"""),4)</f>
        <v>4</v>
      </c>
      <c r="C1129" s="3">
        <f ca="1">IFERROR(__xludf.DUMMYFUNCTION("""COMPUTED_VALUE"""),4050)</f>
        <v>4050</v>
      </c>
      <c r="D1129" s="3" t="str">
        <f ca="1">IFERROR(__xludf.DUMMYFUNCTION("""COMPUTED_VALUE"""),"Doorlanta")</f>
        <v>Doorlanta</v>
      </c>
      <c r="E1129" s="3" t="str">
        <f ca="1">IFERROR(__xludf.DUMMYFUNCTION("""COMPUTED_VALUE"""),"Galaxy A")</f>
        <v>Galaxy A</v>
      </c>
      <c r="F1129" s="3" t="str">
        <f ca="1">IFERROR(__xludf.DUMMYFUNCTION("""COMPUTED_VALUE"""),"Elon")</f>
        <v>Elon</v>
      </c>
      <c r="G1129" s="3">
        <f ca="1">IFERROR(__xludf.DUMMYFUNCTION("""COMPUTED_VALUE"""),0)</f>
        <v>0</v>
      </c>
      <c r="H1129" s="3" t="str">
        <f ca="1">IFERROR(__xludf.DUMMYFUNCTION("""COMPUTED_VALUE"""),"car")</f>
        <v>car</v>
      </c>
      <c r="I1129" s="3" t="str">
        <f ca="1">IFERROR(__xludf.DUMMYFUNCTION("""COMPUTED_VALUE"""),"2055-06-02T14:59:14.321125Z")</f>
        <v>2055-06-02T14:59:14.321125Z</v>
      </c>
      <c r="J1129" s="3" t="str">
        <f ca="1">IFERROR(__xludf.DUMMYFUNCTION("""COMPUTED_VALUE"""),"2055-06-02T15:44:14.407Z")</f>
        <v>2055-06-02T15:44:14.407Z</v>
      </c>
      <c r="K1129" s="3" t="str">
        <f ca="1">IFERROR(__xludf.DUMMYFUNCTION("""COMPUTED_VALUE"""),"2055-06-02T15:26:22.407Z")</f>
        <v>2055-06-02T15:26:22.407Z</v>
      </c>
      <c r="L1129" s="3">
        <f ca="1">IFERROR(__xludf.DUMMYFUNCTION("""COMPUTED_VALUE"""),1)</f>
        <v>1</v>
      </c>
      <c r="M1129" s="3">
        <f ca="1">IFERROR(__xludf.DUMMYFUNCTION("""COMPUTED_VALUE"""),0)</f>
        <v>0</v>
      </c>
      <c r="N1129" s="3" t="str">
        <f ca="1">IFERROR(__xludf.DUMMYFUNCTION("""COMPUTED_VALUE"""),"2055-06-02T15:14:37.388834Z")</f>
        <v>2055-06-02T15:14:37.388834Z</v>
      </c>
      <c r="O1129" s="3" t="str">
        <f ca="1">IFERROR(__xludf.DUMMYFUNCTION("""COMPUTED_VALUE"""),"2055-06-02T15:19:48.639002Z")</f>
        <v>2055-06-02T15:19:48.639002Z</v>
      </c>
      <c r="P1129" s="3" t="str">
        <f ca="1">IFERROR(__xludf.DUMMYFUNCTION("""COMPUTED_VALUE"""),"2055-06-02T14:59:27.237861Z")</f>
        <v>2055-06-02T14:59:27.237861Z</v>
      </c>
      <c r="Q1129" s="3">
        <f ca="1">IFERROR(__xludf.DUMMYFUNCTION("""COMPUTED_VALUE"""),0)</f>
        <v>0</v>
      </c>
      <c r="R1129" s="3" t="str">
        <f ca="1">IFERROR(__xludf.DUMMYFUNCTION("""COMPUTED_VALUE"""),"2055-06-02T14:59:57.859015Z")</f>
        <v>2055-06-02T14:59:57.859015Z</v>
      </c>
      <c r="S1129" s="3" t="str">
        <f ca="1">IFERROR(__xludf.DUMMYFUNCTION("""COMPUTED_VALUE"""),"2055-06-02T14:59:29.085496Z")</f>
        <v>2055-06-02T14:59:29.085496Z</v>
      </c>
      <c r="T1129" s="3"/>
      <c r="U1129" s="4">
        <f ca="1">IFERROR(__xludf.DUMMYFUNCTION("""COMPUTED_VALUE"""),56767)</f>
        <v>56767</v>
      </c>
      <c r="V1129" s="3">
        <f ca="1">IFERROR(__xludf.DUMMYFUNCTION("""COMPUTED_VALUE"""),4.5)</f>
        <v>4.5</v>
      </c>
      <c r="W1129" s="3">
        <f ca="1">IFERROR(__xludf.DUMMYFUNCTION("""COMPUTED_VALUE"""),850)</f>
        <v>850</v>
      </c>
      <c r="X1129" s="3">
        <f ca="1">IFERROR(__xludf.DUMMYFUNCTION("""COMPUTED_VALUE"""),1191)</f>
        <v>1191</v>
      </c>
      <c r="Y1129" s="3"/>
      <c r="Z1129" s="3">
        <f ca="1">IFERROR(__xludf.DUMMYFUNCTION("""COMPUTED_VALUE"""),908)</f>
        <v>908</v>
      </c>
      <c r="AA1129" s="3">
        <f ca="1">IFERROR(__xludf.DUMMYFUNCTION("""COMPUTED_VALUE"""),311)</f>
        <v>311</v>
      </c>
      <c r="AB1129" s="3">
        <f ca="1">IFERROR(__xludf.DUMMYFUNCTION("""COMPUTED_VALUE"""),0)</f>
        <v>0</v>
      </c>
      <c r="AC1129" s="3">
        <f ca="1">IFERROR(__xludf.DUMMYFUNCTION("""COMPUTED_VALUE"""),1)</f>
        <v>1</v>
      </c>
      <c r="AD1129" s="3" t="str">
        <f ca="1">IFERROR(__xludf.DUMMYFUNCTION("""COMPUTED_VALUE"""),"on time")</f>
        <v>on time</v>
      </c>
      <c r="AE1129" s="3" t="str">
        <f ca="1">IFERROR(__xludf.DUMMYFUNCTION("""COMPUTED_VALUE"""),"2055-06-02T11:14:37.388834Z")</f>
        <v>2055-06-02T11:14:37.388834Z</v>
      </c>
      <c r="AF1129" s="3" t="str">
        <f ca="1">IFERROR(__xludf.DUMMYFUNCTION("""COMPUTED_VALUE"""),"2055-06-02T11:19:48.639002Z")</f>
        <v>2055-06-02T11:19:48.639002Z</v>
      </c>
      <c r="AG1129" s="3" t="str">
        <f ca="1">IFERROR(__xludf.DUMMYFUNCTION("""COMPUTED_VALUE"""),"2055-06-02T10:59:27.237861Z")</f>
        <v>2055-06-02T10:59:27.237861Z</v>
      </c>
      <c r="AH1129" s="3" t="str">
        <f ca="1">IFERROR(__xludf.DUMMYFUNCTION("""COMPUTED_VALUE"""),"2055-06-02T10:59:29.085496Z")</f>
        <v>2055-06-02T10:59:29.085496Z</v>
      </c>
      <c r="AI1129" s="3">
        <f ca="1">IFERROR(__xludf.DUMMYFUNCTION("""COMPUTED_VALUE"""),4.62)</f>
        <v>4.62</v>
      </c>
      <c r="AJ1129" s="3">
        <f ca="1">IFERROR(__xludf.DUMMYFUNCTION("""COMPUTED_VALUE"""),259)</f>
        <v>259</v>
      </c>
      <c r="AK1129" s="3">
        <f ca="1">IFERROR(__xludf.DUMMYFUNCTION("""COMPUTED_VALUE"""),604)</f>
        <v>604</v>
      </c>
      <c r="AL1129" s="3">
        <f ca="1">IFERROR(__xludf.DUMMYFUNCTION("""COMPUTED_VALUE"""),21)</f>
        <v>21</v>
      </c>
      <c r="AM1129" s="3">
        <f>IFERROR(Raw_Data!AL1129 / Raw_Data!AK1129, "")</f>
        <v>3.4768211920529798E-2</v>
      </c>
      <c r="AN1129" s="3" t="str">
        <f>IF(ISBLANK(Raw_Data!AL1129), "No", "Yes")</f>
        <v>Yes</v>
      </c>
      <c r="AO1129" s="3">
        <f>IFERROR(Raw_Data!Z1129/60, "")</f>
        <v>15.133333333333333</v>
      </c>
    </row>
    <row r="1130" spans="1:41" ht="13">
      <c r="A1130" s="3">
        <f ca="1">IFERROR(__xludf.DUMMYFUNCTION("""COMPUTED_VALUE"""),845)</f>
        <v>845</v>
      </c>
      <c r="B1130" s="3">
        <f ca="1">IFERROR(__xludf.DUMMYFUNCTION("""COMPUTED_VALUE"""),5)</f>
        <v>5</v>
      </c>
      <c r="C1130" s="3">
        <f ca="1">IFERROR(__xludf.DUMMYFUNCTION("""COMPUTED_VALUE"""),4050)</f>
        <v>4050</v>
      </c>
      <c r="D1130" s="3" t="str">
        <f ca="1">IFERROR(__xludf.DUMMYFUNCTION("""COMPUTED_VALUE"""),"Doorlanta")</f>
        <v>Doorlanta</v>
      </c>
      <c r="E1130" s="3" t="str">
        <f ca="1">IFERROR(__xludf.DUMMYFUNCTION("""COMPUTED_VALUE"""),"Galaxy A")</f>
        <v>Galaxy A</v>
      </c>
      <c r="F1130" s="3" t="str">
        <f ca="1">IFERROR(__xludf.DUMMYFUNCTION("""COMPUTED_VALUE"""),"Elon")</f>
        <v>Elon</v>
      </c>
      <c r="G1130" s="3">
        <f ca="1">IFERROR(__xludf.DUMMYFUNCTION("""COMPUTED_VALUE"""),0)</f>
        <v>0</v>
      </c>
      <c r="H1130" s="3" t="str">
        <f ca="1">IFERROR(__xludf.DUMMYFUNCTION("""COMPUTED_VALUE"""),"car")</f>
        <v>car</v>
      </c>
      <c r="I1130" s="3" t="str">
        <f ca="1">IFERROR(__xludf.DUMMYFUNCTION("""COMPUTED_VALUE"""),"2055-06-07T16:37:28.128137Z")</f>
        <v>2055-06-07T16:37:28.128137Z</v>
      </c>
      <c r="J1130" s="3" t="str">
        <f ca="1">IFERROR(__xludf.DUMMYFUNCTION("""COMPUTED_VALUE"""),"2055-06-07T17:36:44.207Z")</f>
        <v>2055-06-07T17:36:44.207Z</v>
      </c>
      <c r="K1130" s="3" t="str">
        <f ca="1">IFERROR(__xludf.DUMMYFUNCTION("""COMPUTED_VALUE"""),"2055-06-07T17:16:37.207Z")</f>
        <v>2055-06-07T17:16:37.207Z</v>
      </c>
      <c r="L1130" s="3">
        <f ca="1">IFERROR(__xludf.DUMMYFUNCTION("""COMPUTED_VALUE"""),1)</f>
        <v>1</v>
      </c>
      <c r="M1130" s="3">
        <f ca="1">IFERROR(__xludf.DUMMYFUNCTION("""COMPUTED_VALUE"""),0)</f>
        <v>0</v>
      </c>
      <c r="N1130" s="3" t="str">
        <f ca="1">IFERROR(__xludf.DUMMYFUNCTION("""COMPUTED_VALUE"""),"2055-06-07T17:28:40.662909Z")</f>
        <v>2055-06-07T17:28:40.662909Z</v>
      </c>
      <c r="O1130" s="3" t="str">
        <f ca="1">IFERROR(__xludf.DUMMYFUNCTION("""COMPUTED_VALUE"""),"2055-06-07T17:38:03.776997Z")</f>
        <v>2055-06-07T17:38:03.776997Z</v>
      </c>
      <c r="P1130" s="3" t="str">
        <f ca="1">IFERROR(__xludf.DUMMYFUNCTION("""COMPUTED_VALUE"""),"2055-06-07T17:07:27.328182Z")</f>
        <v>2055-06-07T17:07:27.328182Z</v>
      </c>
      <c r="Q1130" s="3">
        <f ca="1">IFERROR(__xludf.DUMMYFUNCTION("""COMPUTED_VALUE"""),0)</f>
        <v>0</v>
      </c>
      <c r="R1130" s="3" t="str">
        <f ca="1">IFERROR(__xludf.DUMMYFUNCTION("""COMPUTED_VALUE"""),"2055-06-07T17:07:38.452951Z")</f>
        <v>2055-06-07T17:07:38.452951Z</v>
      </c>
      <c r="S1130" s="3"/>
      <c r="T1130" s="3"/>
      <c r="U1130" s="4">
        <f ca="1">IFERROR(__xludf.DUMMYFUNCTION("""COMPUTED_VALUE"""),56772)</f>
        <v>56772</v>
      </c>
      <c r="V1130" s="3">
        <f ca="1">IFERROR(__xludf.DUMMYFUNCTION("""COMPUTED_VALUE"""),4.3)</f>
        <v>4.3</v>
      </c>
      <c r="W1130" s="3">
        <f ca="1">IFERROR(__xludf.DUMMYFUNCTION("""COMPUTED_VALUE"""),850)</f>
        <v>850</v>
      </c>
      <c r="X1130" s="3">
        <f ca="1">IFERROR(__xludf.DUMMYFUNCTION("""COMPUTED_VALUE"""),1825)</f>
        <v>1825</v>
      </c>
      <c r="Y1130" s="3"/>
      <c r="Z1130" s="3"/>
      <c r="AA1130" s="3">
        <f ca="1">IFERROR(__xludf.DUMMYFUNCTION("""COMPUTED_VALUE"""),563)</f>
        <v>563</v>
      </c>
      <c r="AB1130" s="3">
        <f ca="1">IFERROR(__xludf.DUMMYFUNCTION("""COMPUTED_VALUE"""),0)</f>
        <v>0</v>
      </c>
      <c r="AC1130" s="3">
        <f ca="1">IFERROR(__xludf.DUMMYFUNCTION("""COMPUTED_VALUE"""),1)</f>
        <v>1</v>
      </c>
      <c r="AD1130" s="3"/>
      <c r="AE1130" s="3" t="str">
        <f ca="1">IFERROR(__xludf.DUMMYFUNCTION("""COMPUTED_VALUE"""),"2055-06-07T13:28:40.662909Z")</f>
        <v>2055-06-07T13:28:40.662909Z</v>
      </c>
      <c r="AF1130" s="3" t="str">
        <f ca="1">IFERROR(__xludf.DUMMYFUNCTION("""COMPUTED_VALUE"""),"2055-06-07T13:38:03.776997Z")</f>
        <v>2055-06-07T13:38:03.776997Z</v>
      </c>
      <c r="AG1130" s="3" t="str">
        <f ca="1">IFERROR(__xludf.DUMMYFUNCTION("""COMPUTED_VALUE"""),"2055-06-07T13:07:27.328182Z")</f>
        <v>2055-06-07T13:07:27.328182Z</v>
      </c>
      <c r="AH1130" s="3"/>
      <c r="AI1130" s="3">
        <f ca="1">IFERROR(__xludf.DUMMYFUNCTION("""COMPUTED_VALUE"""),4.62)</f>
        <v>4.62</v>
      </c>
      <c r="AJ1130" s="3">
        <f ca="1">IFERROR(__xludf.DUMMYFUNCTION("""COMPUTED_VALUE"""),259)</f>
        <v>259</v>
      </c>
      <c r="AK1130" s="3">
        <f ca="1">IFERROR(__xludf.DUMMYFUNCTION("""COMPUTED_VALUE"""),604)</f>
        <v>604</v>
      </c>
      <c r="AL1130" s="3">
        <f ca="1">IFERROR(__xludf.DUMMYFUNCTION("""COMPUTED_VALUE"""),21)</f>
        <v>21</v>
      </c>
      <c r="AM1130" s="3">
        <f>IFERROR(Raw_Data!AL1130 / Raw_Data!AK1130, "")</f>
        <v>3.4768211920529798E-2</v>
      </c>
      <c r="AN1130" s="3" t="str">
        <f>IF(ISBLANK(Raw_Data!AL1130), "No", "Yes")</f>
        <v>Yes</v>
      </c>
      <c r="AO1130" s="3">
        <f>IFERROR(Raw_Data!Z1130/60, "")</f>
        <v>0</v>
      </c>
    </row>
    <row r="1131" spans="1:41" ht="13">
      <c r="A1131" s="3">
        <f ca="1">IFERROR(__xludf.DUMMYFUNCTION("""COMPUTED_VALUE"""),179)</f>
        <v>179</v>
      </c>
      <c r="B1131" s="3">
        <f ca="1">IFERROR(__xludf.DUMMYFUNCTION("""COMPUTED_VALUE"""),5)</f>
        <v>5</v>
      </c>
      <c r="C1131" s="3">
        <f ca="1">IFERROR(__xludf.DUMMYFUNCTION("""COMPUTED_VALUE"""),4001)</f>
        <v>4001</v>
      </c>
      <c r="D1131" s="3" t="str">
        <f ca="1">IFERROR(__xludf.DUMMYFUNCTION("""COMPUTED_VALUE"""),"Dashattan")</f>
        <v>Dashattan</v>
      </c>
      <c r="E1131" s="3" t="str">
        <f ca="1">IFERROR(__xludf.DUMMYFUNCTION("""COMPUTED_VALUE"""),"Galaxy A")</f>
        <v>Galaxy A</v>
      </c>
      <c r="F1131" s="3" t="str">
        <f ca="1">IFERROR(__xludf.DUMMYFUNCTION("""COMPUTED_VALUE"""),"KC")</f>
        <v>KC</v>
      </c>
      <c r="G1131" s="3">
        <f ca="1">IFERROR(__xludf.DUMMYFUNCTION("""COMPUTED_VALUE"""),0)</f>
        <v>0</v>
      </c>
      <c r="H1131" s="3" t="str">
        <f ca="1">IFERROR(__xludf.DUMMYFUNCTION("""COMPUTED_VALUE"""),"car")</f>
        <v>car</v>
      </c>
      <c r="I1131" s="3" t="str">
        <f ca="1">IFERROR(__xludf.DUMMYFUNCTION("""COMPUTED_VALUE"""),"2055-06-02T22:04:33.223566Z")</f>
        <v>2055-06-02T22:04:33.223566Z</v>
      </c>
      <c r="J1131" s="3" t="str">
        <f ca="1">IFERROR(__xludf.DUMMYFUNCTION("""COMPUTED_VALUE"""),"2055-06-02T23:07:28.366Z")</f>
        <v>2055-06-02T23:07:28.366Z</v>
      </c>
      <c r="K1131" s="3" t="str">
        <f ca="1">IFERROR(__xludf.DUMMYFUNCTION("""COMPUTED_VALUE"""),"2055-06-02T22:47:49.366Z")</f>
        <v>2055-06-02T22:47:49.366Z</v>
      </c>
      <c r="L1131" s="3">
        <f ca="1">IFERROR(__xludf.DUMMYFUNCTION("""COMPUTED_VALUE"""),1)</f>
        <v>1</v>
      </c>
      <c r="M1131" s="3">
        <f ca="1">IFERROR(__xludf.DUMMYFUNCTION("""COMPUTED_VALUE"""),0)</f>
        <v>0</v>
      </c>
      <c r="N1131" s="3" t="str">
        <f ca="1">IFERROR(__xludf.DUMMYFUNCTION("""COMPUTED_VALUE"""),"2055-06-02T22:45:04.101019Z")</f>
        <v>2055-06-02T22:45:04.101019Z</v>
      </c>
      <c r="O1131" s="3" t="str">
        <f ca="1">IFERROR(__xludf.DUMMYFUNCTION("""COMPUTED_VALUE"""),"2055-06-02T23:03:17.889051Z")</f>
        <v>2055-06-02T23:03:17.889051Z</v>
      </c>
      <c r="P1131" s="3" t="str">
        <f ca="1">IFERROR(__xludf.DUMMYFUNCTION("""COMPUTED_VALUE"""),"2055-06-02T22:04:54.116432Z")</f>
        <v>2055-06-02T22:04:54.116432Z</v>
      </c>
      <c r="Q1131" s="3">
        <f ca="1">IFERROR(__xludf.DUMMYFUNCTION("""COMPUTED_VALUE"""),0)</f>
        <v>0</v>
      </c>
      <c r="R1131" s="3" t="str">
        <f ca="1">IFERROR(__xludf.DUMMYFUNCTION("""COMPUTED_VALUE"""),"2055-06-02T22:05:04.990692Z")</f>
        <v>2055-06-02T22:05:04.990692Z</v>
      </c>
      <c r="S1131" s="3" t="str">
        <f ca="1">IFERROR(__xludf.DUMMYFUNCTION("""COMPUTED_VALUE"""),"2055-06-02T22:08:35.08905Z")</f>
        <v>2055-06-02T22:08:35.08905Z</v>
      </c>
      <c r="T1131" s="3"/>
      <c r="U1131" s="4">
        <f ca="1">IFERROR(__xludf.DUMMYFUNCTION("""COMPUTED_VALUE"""),56767)</f>
        <v>56767</v>
      </c>
      <c r="V1131" s="3">
        <f ca="1">IFERROR(__xludf.DUMMYFUNCTION("""COMPUTED_VALUE"""),4.3)</f>
        <v>4.3</v>
      </c>
      <c r="W1131" s="3">
        <f ca="1">IFERROR(__xludf.DUMMYFUNCTION("""COMPUTED_VALUE"""),850)</f>
        <v>850</v>
      </c>
      <c r="X1131" s="3">
        <f ca="1">IFERROR(__xludf.DUMMYFUNCTION("""COMPUTED_VALUE"""),3493)</f>
        <v>3493</v>
      </c>
      <c r="Y1131" s="3">
        <f ca="1">IFERROR(__xludf.DUMMYFUNCTION("""COMPUTED_VALUE"""),211)</f>
        <v>211</v>
      </c>
      <c r="Z1131" s="3">
        <f ca="1">IFERROR(__xludf.DUMMYFUNCTION("""COMPUTED_VALUE"""),2189)</f>
        <v>2189</v>
      </c>
      <c r="AA1131" s="3">
        <f ca="1">IFERROR(__xludf.DUMMYFUNCTION("""COMPUTED_VALUE"""),1093)</f>
        <v>1093</v>
      </c>
      <c r="AB1131" s="3">
        <f ca="1">IFERROR(__xludf.DUMMYFUNCTION("""COMPUTED_VALUE"""),1)</f>
        <v>1</v>
      </c>
      <c r="AC1131" s="3">
        <f ca="1">IFERROR(__xludf.DUMMYFUNCTION("""COMPUTED_VALUE"""),2)</f>
        <v>2</v>
      </c>
      <c r="AD1131" s="3"/>
      <c r="AE1131" s="3" t="str">
        <f ca="1">IFERROR(__xludf.DUMMYFUNCTION("""COMPUTED_VALUE"""),"2055-06-02T18:45:04.101019Z")</f>
        <v>2055-06-02T18:45:04.101019Z</v>
      </c>
      <c r="AF1131" s="3" t="str">
        <f ca="1">IFERROR(__xludf.DUMMYFUNCTION("""COMPUTED_VALUE"""),"2055-06-02T19:03:17.889051Z")</f>
        <v>2055-06-02T19:03:17.889051Z</v>
      </c>
      <c r="AG1131" s="3" t="str">
        <f ca="1">IFERROR(__xludf.DUMMYFUNCTION("""COMPUTED_VALUE"""),"2055-06-02T18:04:54.116432Z")</f>
        <v>2055-06-02T18:04:54.116432Z</v>
      </c>
      <c r="AH1131" s="3" t="str">
        <f ca="1">IFERROR(__xludf.DUMMYFUNCTION("""COMPUTED_VALUE"""),"2055-06-02T18:08:35.08905Z")</f>
        <v>2055-06-02T18:08:35.08905Z</v>
      </c>
      <c r="AI1131" s="3">
        <f ca="1">IFERROR(__xludf.DUMMYFUNCTION("""COMPUTED_VALUE"""),4.54)</f>
        <v>4.54</v>
      </c>
      <c r="AJ1131" s="3">
        <f ca="1">IFERROR(__xludf.DUMMYFUNCTION("""COMPUTED_VALUE"""),2229)</f>
        <v>2229</v>
      </c>
      <c r="AK1131" s="3">
        <f ca="1">IFERROR(__xludf.DUMMYFUNCTION("""COMPUTED_VALUE"""),6580)</f>
        <v>6580</v>
      </c>
      <c r="AL1131" s="3"/>
      <c r="AM1131" s="3">
        <f>IFERROR(Raw_Data!AL1131 / Raw_Data!AK1131, "")</f>
        <v>0</v>
      </c>
      <c r="AN1131" s="3" t="str">
        <f>IF(ISBLANK(Raw_Data!AL1131), "No", "Yes")</f>
        <v>No</v>
      </c>
      <c r="AO1131" s="3">
        <f>IFERROR(Raw_Data!Z1131/60, "")</f>
        <v>36.483333333333334</v>
      </c>
    </row>
    <row r="1132" spans="1:41" ht="13">
      <c r="A1132" s="3">
        <f ca="1">IFERROR(__xludf.DUMMYFUNCTION("""COMPUTED_VALUE"""),503)</f>
        <v>503</v>
      </c>
      <c r="B1132" s="3"/>
      <c r="C1132" s="3">
        <f ca="1">IFERROR(__xludf.DUMMYFUNCTION("""COMPUTED_VALUE"""),4001)</f>
        <v>4001</v>
      </c>
      <c r="D1132" s="3" t="str">
        <f ca="1">IFERROR(__xludf.DUMMYFUNCTION("""COMPUTED_VALUE"""),"Dashattan")</f>
        <v>Dashattan</v>
      </c>
      <c r="E1132" s="3" t="str">
        <f ca="1">IFERROR(__xludf.DUMMYFUNCTION("""COMPUTED_VALUE"""),"Galaxy A")</f>
        <v>Galaxy A</v>
      </c>
      <c r="F1132" s="3" t="str">
        <f ca="1">IFERROR(__xludf.DUMMYFUNCTION("""COMPUTED_VALUE"""),"Bunje")</f>
        <v>Bunje</v>
      </c>
      <c r="G1132" s="3">
        <f ca="1">IFERROR(__xludf.DUMMYFUNCTION("""COMPUTED_VALUE"""),0)</f>
        <v>0</v>
      </c>
      <c r="H1132" s="3" t="str">
        <f ca="1">IFERROR(__xludf.DUMMYFUNCTION("""COMPUTED_VALUE"""),"bicycle")</f>
        <v>bicycle</v>
      </c>
      <c r="I1132" s="3" t="str">
        <f ca="1">IFERROR(__xludf.DUMMYFUNCTION("""COMPUTED_VALUE"""),"2055-06-05T00:08:15.565862Z")</f>
        <v>2055-06-05T00:08:15.565862Z</v>
      </c>
      <c r="J1132" s="3" t="str">
        <f ca="1">IFERROR(__xludf.DUMMYFUNCTION("""COMPUTED_VALUE"""),"2055-06-05T01:23:34.628Z")</f>
        <v>2055-06-05T01:23:34.628Z</v>
      </c>
      <c r="K1132" s="3" t="str">
        <f ca="1">IFERROR(__xludf.DUMMYFUNCTION("""COMPUTED_VALUE"""),"2055-06-05T01:01:40.628Z")</f>
        <v>2055-06-05T01:01:40.628Z</v>
      </c>
      <c r="L1132" s="3">
        <f ca="1">IFERROR(__xludf.DUMMYFUNCTION("""COMPUTED_VALUE"""),1)</f>
        <v>1</v>
      </c>
      <c r="M1132" s="3">
        <f ca="1">IFERROR(__xludf.DUMMYFUNCTION("""COMPUTED_VALUE"""),0)</f>
        <v>0</v>
      </c>
      <c r="N1132" s="3" t="str">
        <f ca="1">IFERROR(__xludf.DUMMYFUNCTION("""COMPUTED_VALUE"""),"2055-06-05T00:31:33.246618Z")</f>
        <v>2055-06-05T00:31:33.246618Z</v>
      </c>
      <c r="O1132" s="3" t="str">
        <f ca="1">IFERROR(__xludf.DUMMYFUNCTION("""COMPUTED_VALUE"""),"2055-06-05T00:49:39.937794Z")</f>
        <v>2055-06-05T00:49:39.937794Z</v>
      </c>
      <c r="P1132" s="3" t="str">
        <f ca="1">IFERROR(__xludf.DUMMYFUNCTION("""COMPUTED_VALUE"""),"2055-06-05T00:10:14.80112Z")</f>
        <v>2055-06-05T00:10:14.80112Z</v>
      </c>
      <c r="Q1132" s="3">
        <f ca="1">IFERROR(__xludf.DUMMYFUNCTION("""COMPUTED_VALUE"""),0)</f>
        <v>0</v>
      </c>
      <c r="R1132" s="3" t="str">
        <f ca="1">IFERROR(__xludf.DUMMYFUNCTION("""COMPUTED_VALUE"""),"2055-06-05T00:10:33.654286Z")</f>
        <v>2055-06-05T00:10:33.654286Z</v>
      </c>
      <c r="S1132" s="3" t="str">
        <f ca="1">IFERROR(__xludf.DUMMYFUNCTION("""COMPUTED_VALUE"""),"2055-06-05T00:24:24.013208Z")</f>
        <v>2055-06-05T00:24:24.013208Z</v>
      </c>
      <c r="T1132" s="3"/>
      <c r="U1132" s="4">
        <f ca="1">IFERROR(__xludf.DUMMYFUNCTION("""COMPUTED_VALUE"""),56769)</f>
        <v>56769</v>
      </c>
      <c r="V1132" s="3">
        <f ca="1">IFERROR(__xludf.DUMMYFUNCTION("""COMPUTED_VALUE"""),4.3)</f>
        <v>4.3</v>
      </c>
      <c r="W1132" s="3">
        <f ca="1">IFERROR(__xludf.DUMMYFUNCTION("""COMPUTED_VALUE"""),850)</f>
        <v>850</v>
      </c>
      <c r="X1132" s="3">
        <f ca="1">IFERROR(__xludf.DUMMYFUNCTION("""COMPUTED_VALUE"""),2346)</f>
        <v>2346</v>
      </c>
      <c r="Y1132" s="3">
        <f ca="1">IFERROR(__xludf.DUMMYFUNCTION("""COMPUTED_VALUE"""),831)</f>
        <v>831</v>
      </c>
      <c r="Z1132" s="3">
        <f ca="1">IFERROR(__xludf.DUMMYFUNCTION("""COMPUTED_VALUE"""),429)</f>
        <v>429</v>
      </c>
      <c r="AA1132" s="3">
        <f ca="1">IFERROR(__xludf.DUMMYFUNCTION("""COMPUTED_VALUE"""),1086)</f>
        <v>1086</v>
      </c>
      <c r="AB1132" s="3">
        <f ca="1">IFERROR(__xludf.DUMMYFUNCTION("""COMPUTED_VALUE"""),0)</f>
        <v>0</v>
      </c>
      <c r="AC1132" s="3">
        <f ca="1">IFERROR(__xludf.DUMMYFUNCTION("""COMPUTED_VALUE"""),2)</f>
        <v>2</v>
      </c>
      <c r="AD1132" s="3" t="str">
        <f ca="1">IFERROR(__xludf.DUMMYFUNCTION("""COMPUTED_VALUE"""),"on time")</f>
        <v>on time</v>
      </c>
      <c r="AE1132" s="3" t="str">
        <f ca="1">IFERROR(__xludf.DUMMYFUNCTION("""COMPUTED_VALUE"""),"2055-06-04T20:31:33.246618Z")</f>
        <v>2055-06-04T20:31:33.246618Z</v>
      </c>
      <c r="AF1132" s="3" t="str">
        <f ca="1">IFERROR(__xludf.DUMMYFUNCTION("""COMPUTED_VALUE"""),"2055-06-04T20:49:39.937794Z")</f>
        <v>2055-06-04T20:49:39.937794Z</v>
      </c>
      <c r="AG1132" s="3" t="str">
        <f ca="1">IFERROR(__xludf.DUMMYFUNCTION("""COMPUTED_VALUE"""),"2055-06-04T20:10:14.80112Z")</f>
        <v>2055-06-04T20:10:14.80112Z</v>
      </c>
      <c r="AH1132" s="3" t="str">
        <f ca="1">IFERROR(__xludf.DUMMYFUNCTION("""COMPUTED_VALUE"""),"2055-06-04T20:24:24.013208Z")</f>
        <v>2055-06-04T20:24:24.013208Z</v>
      </c>
      <c r="AI1132" s="3">
        <f ca="1">IFERROR(__xludf.DUMMYFUNCTION("""COMPUTED_VALUE"""),4.7)</f>
        <v>4.7</v>
      </c>
      <c r="AJ1132" s="3">
        <f ca="1">IFERROR(__xludf.DUMMYFUNCTION("""COMPUTED_VALUE"""),443)</f>
        <v>443</v>
      </c>
      <c r="AK1132" s="3">
        <f ca="1">IFERROR(__xludf.DUMMYFUNCTION("""COMPUTED_VALUE"""),1579)</f>
        <v>1579</v>
      </c>
      <c r="AL1132" s="3"/>
      <c r="AM1132" s="3">
        <f>IFERROR(Raw_Data!AL1132 / Raw_Data!AK1132, "")</f>
        <v>0</v>
      </c>
      <c r="AN1132" s="3" t="str">
        <f>IF(ISBLANK(Raw_Data!AL1132), "No", "Yes")</f>
        <v>No</v>
      </c>
      <c r="AO1132" s="3">
        <f>IFERROR(Raw_Data!Z1132/60, "")</f>
        <v>7.15</v>
      </c>
    </row>
    <row r="1133" spans="1:41" ht="13">
      <c r="A1133" s="3">
        <f ca="1">IFERROR(__xludf.DUMMYFUNCTION("""COMPUTED_VALUE"""),1043)</f>
        <v>1043</v>
      </c>
      <c r="B1133" s="3">
        <f ca="1">IFERROR(__xludf.DUMMYFUNCTION("""COMPUTED_VALUE"""),5)</f>
        <v>5</v>
      </c>
      <c r="C1133" s="3">
        <f ca="1">IFERROR(__xludf.DUMMYFUNCTION("""COMPUTED_VALUE"""),4001)</f>
        <v>4001</v>
      </c>
      <c r="D1133" s="3" t="str">
        <f ca="1">IFERROR(__xludf.DUMMYFUNCTION("""COMPUTED_VALUE"""),"Dashattan")</f>
        <v>Dashattan</v>
      </c>
      <c r="E1133" s="3" t="str">
        <f ca="1">IFERROR(__xludf.DUMMYFUNCTION("""COMPUTED_VALUE"""),"Galaxy A")</f>
        <v>Galaxy A</v>
      </c>
      <c r="F1133" s="3" t="str">
        <f ca="1">IFERROR(__xludf.DUMMYFUNCTION("""COMPUTED_VALUE"""),"Sean")</f>
        <v>Sean</v>
      </c>
      <c r="G1133" s="3">
        <f ca="1">IFERROR(__xludf.DUMMYFUNCTION("""COMPUTED_VALUE"""),0)</f>
        <v>0</v>
      </c>
      <c r="H1133" s="3" t="str">
        <f ca="1">IFERROR(__xludf.DUMMYFUNCTION("""COMPUTED_VALUE"""),"bicycle")</f>
        <v>bicycle</v>
      </c>
      <c r="I1133" s="3" t="str">
        <f ca="1">IFERROR(__xludf.DUMMYFUNCTION("""COMPUTED_VALUE"""),"2055-06-09T18:14:15.909149Z")</f>
        <v>2055-06-09T18:14:15.909149Z</v>
      </c>
      <c r="J1133" s="3" t="str">
        <f ca="1">IFERROR(__xludf.DUMMYFUNCTION("""COMPUTED_VALUE"""),"2055-06-09T19:33:35.973Z")</f>
        <v>2055-06-09T19:33:35.973Z</v>
      </c>
      <c r="K1133" s="3" t="str">
        <f ca="1">IFERROR(__xludf.DUMMYFUNCTION("""COMPUTED_VALUE"""),"2055-06-09T19:08:54.973Z")</f>
        <v>2055-06-09T19:08:54.973Z</v>
      </c>
      <c r="L1133" s="3">
        <f ca="1">IFERROR(__xludf.DUMMYFUNCTION("""COMPUTED_VALUE"""),1)</f>
        <v>1</v>
      </c>
      <c r="M1133" s="3">
        <f ca="1">IFERROR(__xludf.DUMMYFUNCTION("""COMPUTED_VALUE"""),0)</f>
        <v>0</v>
      </c>
      <c r="N1133" s="3" t="str">
        <f ca="1">IFERROR(__xludf.DUMMYFUNCTION("""COMPUTED_VALUE"""),"2055-06-09T18:43:44.701621Z")</f>
        <v>2055-06-09T18:43:44.701621Z</v>
      </c>
      <c r="O1133" s="3" t="str">
        <f ca="1">IFERROR(__xludf.DUMMYFUNCTION("""COMPUTED_VALUE"""),"2055-06-09T18:51:30.68731Z")</f>
        <v>2055-06-09T18:51:30.68731Z</v>
      </c>
      <c r="P1133" s="3" t="str">
        <f ca="1">IFERROR(__xludf.DUMMYFUNCTION("""COMPUTED_VALUE"""),"2055-06-09T18:21:54.302462Z")</f>
        <v>2055-06-09T18:21:54.302462Z</v>
      </c>
      <c r="Q1133" s="3">
        <f ca="1">IFERROR(__xludf.DUMMYFUNCTION("""COMPUTED_VALUE"""),0)</f>
        <v>0</v>
      </c>
      <c r="R1133" s="3" t="str">
        <f ca="1">IFERROR(__xludf.DUMMYFUNCTION("""COMPUTED_VALUE"""),"2055-06-09T18:23:45.399567Z")</f>
        <v>2055-06-09T18:23:45.399567Z</v>
      </c>
      <c r="S1133" s="3" t="str">
        <f ca="1">IFERROR(__xludf.DUMMYFUNCTION("""COMPUTED_VALUE"""),"2055-06-09T18:31:49.351373Z")</f>
        <v>2055-06-09T18:31:49.351373Z</v>
      </c>
      <c r="T1133" s="3"/>
      <c r="U1133" s="4">
        <f ca="1">IFERROR(__xludf.DUMMYFUNCTION("""COMPUTED_VALUE"""),56774)</f>
        <v>56774</v>
      </c>
      <c r="V1133" s="3">
        <f ca="1">IFERROR(__xludf.DUMMYFUNCTION("""COMPUTED_VALUE"""),4.3)</f>
        <v>4.3</v>
      </c>
      <c r="W1133" s="3">
        <f ca="1">IFERROR(__xludf.DUMMYFUNCTION("""COMPUTED_VALUE"""),850)</f>
        <v>850</v>
      </c>
      <c r="X1133" s="3">
        <f ca="1">IFERROR(__xludf.DUMMYFUNCTION("""COMPUTED_VALUE"""),1665)</f>
        <v>1665</v>
      </c>
      <c r="Y1133" s="3">
        <f ca="1">IFERROR(__xludf.DUMMYFUNCTION("""COMPUTED_VALUE"""),484)</f>
        <v>484</v>
      </c>
      <c r="Z1133" s="3">
        <f ca="1">IFERROR(__xludf.DUMMYFUNCTION("""COMPUTED_VALUE"""),715)</f>
        <v>715</v>
      </c>
      <c r="AA1133" s="3">
        <f ca="1">IFERROR(__xludf.DUMMYFUNCTION("""COMPUTED_VALUE"""),466)</f>
        <v>466</v>
      </c>
      <c r="AB1133" s="3">
        <f ca="1">IFERROR(__xludf.DUMMYFUNCTION("""COMPUTED_VALUE"""),0)</f>
        <v>0</v>
      </c>
      <c r="AC1133" s="3">
        <f ca="1">IFERROR(__xludf.DUMMYFUNCTION("""COMPUTED_VALUE"""),2)</f>
        <v>2</v>
      </c>
      <c r="AD1133" s="3"/>
      <c r="AE1133" s="3" t="str">
        <f ca="1">IFERROR(__xludf.DUMMYFUNCTION("""COMPUTED_VALUE"""),"2055-06-09T14:43:44.701621Z")</f>
        <v>2055-06-09T14:43:44.701621Z</v>
      </c>
      <c r="AF1133" s="3" t="str">
        <f ca="1">IFERROR(__xludf.DUMMYFUNCTION("""COMPUTED_VALUE"""),"2055-06-09T14:51:30.68731Z")</f>
        <v>2055-06-09T14:51:30.68731Z</v>
      </c>
      <c r="AG1133" s="3" t="str">
        <f ca="1">IFERROR(__xludf.DUMMYFUNCTION("""COMPUTED_VALUE"""),"2055-06-09T14:21:54.302462Z")</f>
        <v>2055-06-09T14:21:54.302462Z</v>
      </c>
      <c r="AH1133" s="3" t="str">
        <f ca="1">IFERROR(__xludf.DUMMYFUNCTION("""COMPUTED_VALUE"""),"2055-06-09T14:31:49.351373Z")</f>
        <v>2055-06-09T14:31:49.351373Z</v>
      </c>
      <c r="AI1133" s="3">
        <f ca="1">IFERROR(__xludf.DUMMYFUNCTION("""COMPUTED_VALUE"""),4.52)</f>
        <v>4.5199999999999996</v>
      </c>
      <c r="AJ1133" s="3">
        <f ca="1">IFERROR(__xludf.DUMMYFUNCTION("""COMPUTED_VALUE"""),183)</f>
        <v>183</v>
      </c>
      <c r="AK1133" s="3">
        <f ca="1">IFERROR(__xludf.DUMMYFUNCTION("""COMPUTED_VALUE"""),522)</f>
        <v>522</v>
      </c>
      <c r="AL1133" s="3"/>
      <c r="AM1133" s="3">
        <f>IFERROR(Raw_Data!AL1133 / Raw_Data!AK1133, "")</f>
        <v>0</v>
      </c>
      <c r="AN1133" s="3" t="str">
        <f>IF(ISBLANK(Raw_Data!AL1133), "No", "Yes")</f>
        <v>No</v>
      </c>
      <c r="AO1133" s="3">
        <f>IFERROR(Raw_Data!Z1133/60, "")</f>
        <v>11.916666666666666</v>
      </c>
    </row>
    <row r="1134" spans="1:41" ht="13">
      <c r="A1134" s="3">
        <f ca="1">IFERROR(__xludf.DUMMYFUNCTION("""COMPUTED_VALUE"""),1293)</f>
        <v>1293</v>
      </c>
      <c r="B1134" s="3"/>
      <c r="C1134" s="3">
        <f ca="1">IFERROR(__xludf.DUMMYFUNCTION("""COMPUTED_VALUE"""),4001)</f>
        <v>4001</v>
      </c>
      <c r="D1134" s="3" t="str">
        <f ca="1">IFERROR(__xludf.DUMMYFUNCTION("""COMPUTED_VALUE"""),"Dashattan")</f>
        <v>Dashattan</v>
      </c>
      <c r="E1134" s="3" t="str">
        <f ca="1">IFERROR(__xludf.DUMMYFUNCTION("""COMPUTED_VALUE"""),"Galaxy A")</f>
        <v>Galaxy A</v>
      </c>
      <c r="F1134" s="3" t="str">
        <f ca="1">IFERROR(__xludf.DUMMYFUNCTION("""COMPUTED_VALUE"""),"Arya")</f>
        <v>Arya</v>
      </c>
      <c r="G1134" s="3">
        <f ca="1">IFERROR(__xludf.DUMMYFUNCTION("""COMPUTED_VALUE"""),0)</f>
        <v>0</v>
      </c>
      <c r="H1134" s="3" t="str">
        <f ca="1">IFERROR(__xludf.DUMMYFUNCTION("""COMPUTED_VALUE"""),"bicycle")</f>
        <v>bicycle</v>
      </c>
      <c r="I1134" s="3" t="str">
        <f ca="1">IFERROR(__xludf.DUMMYFUNCTION("""COMPUTED_VALUE"""),"2055-06-11T20:04:35.620949Z")</f>
        <v>2055-06-11T20:04:35.620949Z</v>
      </c>
      <c r="J1134" s="3" t="str">
        <f ca="1">IFERROR(__xludf.DUMMYFUNCTION("""COMPUTED_VALUE"""),"2055-06-11T21:19:48.689Z")</f>
        <v>2055-06-11T21:19:48.689Z</v>
      </c>
      <c r="K1134" s="3" t="str">
        <f ca="1">IFERROR(__xludf.DUMMYFUNCTION("""COMPUTED_VALUE"""),"2055-06-11T21:02:54.689Z")</f>
        <v>2055-06-11T21:02:54.689Z</v>
      </c>
      <c r="L1134" s="3">
        <f ca="1">IFERROR(__xludf.DUMMYFUNCTION("""COMPUTED_VALUE"""),1)</f>
        <v>1</v>
      </c>
      <c r="M1134" s="3">
        <f ca="1">IFERROR(__xludf.DUMMYFUNCTION("""COMPUTED_VALUE"""),0)</f>
        <v>0</v>
      </c>
      <c r="N1134" s="3" t="str">
        <f ca="1">IFERROR(__xludf.DUMMYFUNCTION("""COMPUTED_VALUE"""),"2055-06-11T20:44:18.498535Z")</f>
        <v>2055-06-11T20:44:18.498535Z</v>
      </c>
      <c r="O1134" s="3" t="str">
        <f ca="1">IFERROR(__xludf.DUMMYFUNCTION("""COMPUTED_VALUE"""),"2055-06-11T20:58:16.456736Z")</f>
        <v>2055-06-11T20:58:16.456736Z</v>
      </c>
      <c r="P1134" s="3" t="str">
        <f ca="1">IFERROR(__xludf.DUMMYFUNCTION("""COMPUTED_VALUE"""),"2055-06-11T20:07:34.253792Z")</f>
        <v>2055-06-11T20:07:34.253792Z</v>
      </c>
      <c r="Q1134" s="3">
        <f ca="1">IFERROR(__xludf.DUMMYFUNCTION("""COMPUTED_VALUE"""),0)</f>
        <v>0</v>
      </c>
      <c r="R1134" s="3" t="str">
        <f ca="1">IFERROR(__xludf.DUMMYFUNCTION("""COMPUTED_VALUE"""),"2055-06-11T20:07:41.600578Z")</f>
        <v>2055-06-11T20:07:41.600578Z</v>
      </c>
      <c r="S1134" s="3"/>
      <c r="T1134" s="3"/>
      <c r="U1134" s="4">
        <f ca="1">IFERROR(__xludf.DUMMYFUNCTION("""COMPUTED_VALUE"""),56776)</f>
        <v>56776</v>
      </c>
      <c r="V1134" s="3">
        <f ca="1">IFERROR(__xludf.DUMMYFUNCTION("""COMPUTED_VALUE"""),4.3)</f>
        <v>4.3</v>
      </c>
      <c r="W1134" s="3">
        <f ca="1">IFERROR(__xludf.DUMMYFUNCTION("""COMPUTED_VALUE"""),850)</f>
        <v>850</v>
      </c>
      <c r="X1134" s="3">
        <f ca="1">IFERROR(__xludf.DUMMYFUNCTION("""COMPUTED_VALUE"""),3035)</f>
        <v>3035</v>
      </c>
      <c r="Y1134" s="3"/>
      <c r="Z1134" s="3"/>
      <c r="AA1134" s="3">
        <f ca="1">IFERROR(__xludf.DUMMYFUNCTION("""COMPUTED_VALUE"""),838)</f>
        <v>838</v>
      </c>
      <c r="AB1134" s="3">
        <f ca="1">IFERROR(__xludf.DUMMYFUNCTION("""COMPUTED_VALUE"""),0)</f>
        <v>0</v>
      </c>
      <c r="AC1134" s="3">
        <f ca="1">IFERROR(__xludf.DUMMYFUNCTION("""COMPUTED_VALUE"""),2)</f>
        <v>2</v>
      </c>
      <c r="AD1134" s="3"/>
      <c r="AE1134" s="3" t="str">
        <f ca="1">IFERROR(__xludf.DUMMYFUNCTION("""COMPUTED_VALUE"""),"2055-06-11T16:44:18.498535Z")</f>
        <v>2055-06-11T16:44:18.498535Z</v>
      </c>
      <c r="AF1134" s="3" t="str">
        <f ca="1">IFERROR(__xludf.DUMMYFUNCTION("""COMPUTED_VALUE"""),"2055-06-11T16:58:16.456736Z")</f>
        <v>2055-06-11T16:58:16.456736Z</v>
      </c>
      <c r="AG1134" s="3" t="str">
        <f ca="1">IFERROR(__xludf.DUMMYFUNCTION("""COMPUTED_VALUE"""),"2055-06-11T16:07:34.253792Z")</f>
        <v>2055-06-11T16:07:34.253792Z</v>
      </c>
      <c r="AH1134" s="3"/>
      <c r="AI1134" s="3">
        <f ca="1">IFERROR(__xludf.DUMMYFUNCTION("""COMPUTED_VALUE"""),4.17)</f>
        <v>4.17</v>
      </c>
      <c r="AJ1134" s="3">
        <f ca="1">IFERROR(__xludf.DUMMYFUNCTION("""COMPUTED_VALUE"""),457)</f>
        <v>457</v>
      </c>
      <c r="AK1134" s="3">
        <f ca="1">IFERROR(__xludf.DUMMYFUNCTION("""COMPUTED_VALUE"""),1599)</f>
        <v>1599</v>
      </c>
      <c r="AL1134" s="3"/>
      <c r="AM1134" s="3">
        <f>IFERROR(Raw_Data!AL1134 / Raw_Data!AK1134, "")</f>
        <v>0</v>
      </c>
      <c r="AN1134" s="3" t="str">
        <f>IF(ISBLANK(Raw_Data!AL1134), "No", "Yes")</f>
        <v>No</v>
      </c>
      <c r="AO1134" s="3">
        <f>IFERROR(Raw_Data!Z1134/60, "")</f>
        <v>0</v>
      </c>
    </row>
    <row r="1135" spans="1:41" ht="13">
      <c r="A1135" s="3">
        <f ca="1">IFERROR(__xludf.DUMMYFUNCTION("""COMPUTED_VALUE"""),2)</f>
        <v>2</v>
      </c>
      <c r="B1135" s="3"/>
      <c r="C1135" s="3">
        <f ca="1">IFERROR(__xludf.DUMMYFUNCTION("""COMPUTED_VALUE"""),4050)</f>
        <v>4050</v>
      </c>
      <c r="D1135" s="3" t="str">
        <f ca="1">IFERROR(__xludf.DUMMYFUNCTION("""COMPUTED_VALUE"""),"Doorlanta")</f>
        <v>Doorlanta</v>
      </c>
      <c r="E1135" s="3" t="str">
        <f ca="1">IFERROR(__xludf.DUMMYFUNCTION("""COMPUTED_VALUE"""),"Galaxy A")</f>
        <v>Galaxy A</v>
      </c>
      <c r="F1135" s="3" t="str">
        <f ca="1">IFERROR(__xludf.DUMMYFUNCTION("""COMPUTED_VALUE"""),"Hersh")</f>
        <v>Hersh</v>
      </c>
      <c r="G1135" s="3">
        <f ca="1">IFERROR(__xludf.DUMMYFUNCTION("""COMPUTED_VALUE"""),0)</f>
        <v>0</v>
      </c>
      <c r="H1135" s="3" t="str">
        <f ca="1">IFERROR(__xludf.DUMMYFUNCTION("""COMPUTED_VALUE"""),"car")</f>
        <v>car</v>
      </c>
      <c r="I1135" s="3" t="str">
        <f ca="1">IFERROR(__xludf.DUMMYFUNCTION("""COMPUTED_VALUE"""),"2055-06-01T13:56:40.020639Z")</f>
        <v>2055-06-01T13:56:40.020639Z</v>
      </c>
      <c r="J1135" s="3" t="str">
        <f ca="1">IFERROR(__xludf.DUMMYFUNCTION("""COMPUTED_VALUE"""),"2055-06-01T14:59:15.1Z")</f>
        <v>2055-06-01T14:59:15.1Z</v>
      </c>
      <c r="K1135" s="3" t="str">
        <f ca="1">IFERROR(__xludf.DUMMYFUNCTION("""COMPUTED_VALUE"""),"2055-06-01T14:43:36.1Z")</f>
        <v>2055-06-01T14:43:36.1Z</v>
      </c>
      <c r="L1135" s="3">
        <f ca="1">IFERROR(__xludf.DUMMYFUNCTION("""COMPUTED_VALUE"""),1)</f>
        <v>1</v>
      </c>
      <c r="M1135" s="3">
        <f ca="1">IFERROR(__xludf.DUMMYFUNCTION("""COMPUTED_VALUE"""),0)</f>
        <v>0</v>
      </c>
      <c r="N1135" s="3" t="str">
        <f ca="1">IFERROR(__xludf.DUMMYFUNCTION("""COMPUTED_VALUE"""),"2055-06-01T14:24:53.615774Z")</f>
        <v>2055-06-01T14:24:53.615774Z</v>
      </c>
      <c r="O1135" s="3" t="str">
        <f ca="1">IFERROR(__xludf.DUMMYFUNCTION("""COMPUTED_VALUE"""),"2055-06-01T14:45:43.448166Z")</f>
        <v>2055-06-01T14:45:43.448166Z</v>
      </c>
      <c r="P1135" s="3" t="str">
        <f ca="1">IFERROR(__xludf.DUMMYFUNCTION("""COMPUTED_VALUE"""),"2055-06-01T13:58:47.274179Z")</f>
        <v>2055-06-01T13:58:47.274179Z</v>
      </c>
      <c r="Q1135" s="3">
        <f ca="1">IFERROR(__xludf.DUMMYFUNCTION("""COMPUTED_VALUE"""),0)</f>
        <v>0</v>
      </c>
      <c r="R1135" s="3" t="str">
        <f ca="1">IFERROR(__xludf.DUMMYFUNCTION("""COMPUTED_VALUE"""),"2055-06-01T13:59:18.813584Z")</f>
        <v>2055-06-01T13:59:18.813584Z</v>
      </c>
      <c r="S1135" s="3" t="str">
        <f ca="1">IFERROR(__xludf.DUMMYFUNCTION("""COMPUTED_VALUE"""),"2055-06-01T14:05:48.475307Z")</f>
        <v>2055-06-01T14:05:48.475307Z</v>
      </c>
      <c r="T1135" s="3"/>
      <c r="U1135" s="4">
        <f ca="1">IFERROR(__xludf.DUMMYFUNCTION("""COMPUTED_VALUE"""),56766)</f>
        <v>56766</v>
      </c>
      <c r="V1135" s="3">
        <f ca="1">IFERROR(__xludf.DUMMYFUNCTION("""COMPUTED_VALUE"""),3.9)</f>
        <v>3.9</v>
      </c>
      <c r="W1135" s="3">
        <f ca="1">IFERROR(__xludf.DUMMYFUNCTION("""COMPUTED_VALUE"""),850)</f>
        <v>850</v>
      </c>
      <c r="X1135" s="3">
        <f ca="1">IFERROR(__xludf.DUMMYFUNCTION("""COMPUTED_VALUE"""),2785)</f>
        <v>2785</v>
      </c>
      <c r="Y1135" s="3">
        <f ca="1">IFERROR(__xludf.DUMMYFUNCTION("""COMPUTED_VALUE"""),390)</f>
        <v>390</v>
      </c>
      <c r="Z1135" s="3">
        <f ca="1">IFERROR(__xludf.DUMMYFUNCTION("""COMPUTED_VALUE"""),1145)</f>
        <v>1145</v>
      </c>
      <c r="AA1135" s="3">
        <f ca="1">IFERROR(__xludf.DUMMYFUNCTION("""COMPUTED_VALUE"""),1250)</f>
        <v>1250</v>
      </c>
      <c r="AB1135" s="3">
        <f ca="1">IFERROR(__xludf.DUMMYFUNCTION("""COMPUTED_VALUE"""),0)</f>
        <v>0</v>
      </c>
      <c r="AC1135" s="3">
        <f ca="1">IFERROR(__xludf.DUMMYFUNCTION("""COMPUTED_VALUE"""),1)</f>
        <v>1</v>
      </c>
      <c r="AD1135" s="3" t="str">
        <f ca="1">IFERROR(__xludf.DUMMYFUNCTION("""COMPUTED_VALUE"""),"early")</f>
        <v>early</v>
      </c>
      <c r="AE1135" s="3" t="str">
        <f ca="1">IFERROR(__xludf.DUMMYFUNCTION("""COMPUTED_VALUE"""),"2055-06-01T10:24:53.615774Z")</f>
        <v>2055-06-01T10:24:53.615774Z</v>
      </c>
      <c r="AF1135" s="3" t="str">
        <f ca="1">IFERROR(__xludf.DUMMYFUNCTION("""COMPUTED_VALUE"""),"2055-06-01T10:45:43.448166Z")</f>
        <v>2055-06-01T10:45:43.448166Z</v>
      </c>
      <c r="AG1135" s="3" t="str">
        <f ca="1">IFERROR(__xludf.DUMMYFUNCTION("""COMPUTED_VALUE"""),"2055-06-01T09:58:47.274179Z")</f>
        <v>2055-06-01T09:58:47.274179Z</v>
      </c>
      <c r="AH1135" s="3" t="str">
        <f ca="1">IFERROR(__xludf.DUMMYFUNCTION("""COMPUTED_VALUE"""),"2055-06-01T10:05:48.475307Z")</f>
        <v>2055-06-01T10:05:48.475307Z</v>
      </c>
      <c r="AI1135" s="3">
        <f ca="1">IFERROR(__xludf.DUMMYFUNCTION("""COMPUTED_VALUE"""),4.7)</f>
        <v>4.7</v>
      </c>
      <c r="AJ1135" s="3">
        <f ca="1">IFERROR(__xludf.DUMMYFUNCTION("""COMPUTED_VALUE"""),212)</f>
        <v>212</v>
      </c>
      <c r="AK1135" s="3">
        <f ca="1">IFERROR(__xludf.DUMMYFUNCTION("""COMPUTED_VALUE"""),624)</f>
        <v>624</v>
      </c>
      <c r="AL1135" s="3">
        <f ca="1">IFERROR(__xludf.DUMMYFUNCTION("""COMPUTED_VALUE"""),347)</f>
        <v>347</v>
      </c>
      <c r="AM1135" s="3">
        <f>IFERROR(Raw_Data!AL1135 / Raw_Data!AK1135, "")</f>
        <v>0.55608974358974361</v>
      </c>
      <c r="AN1135" s="3" t="str">
        <f>IF(ISBLANK(Raw_Data!AL1135), "No", "Yes")</f>
        <v>Yes</v>
      </c>
      <c r="AO1135" s="3">
        <f>IFERROR(Raw_Data!Z1135/60, "")</f>
        <v>19.083333333333332</v>
      </c>
    </row>
    <row r="1136" spans="1:41" ht="13">
      <c r="A1136" s="3">
        <f ca="1">IFERROR(__xludf.DUMMYFUNCTION("""COMPUTED_VALUE"""),1232)</f>
        <v>1232</v>
      </c>
      <c r="B1136" s="3">
        <f ca="1">IFERROR(__xludf.DUMMYFUNCTION("""COMPUTED_VALUE"""),5)</f>
        <v>5</v>
      </c>
      <c r="C1136" s="3">
        <f ca="1">IFERROR(__xludf.DUMMYFUNCTION("""COMPUTED_VALUE"""),4001)</f>
        <v>4001</v>
      </c>
      <c r="D1136" s="3" t="str">
        <f ca="1">IFERROR(__xludf.DUMMYFUNCTION("""COMPUTED_VALUE"""),"Dashattan")</f>
        <v>Dashattan</v>
      </c>
      <c r="E1136" s="3" t="str">
        <f ca="1">IFERROR(__xludf.DUMMYFUNCTION("""COMPUTED_VALUE"""),"Galaxy A")</f>
        <v>Galaxy A</v>
      </c>
      <c r="F1136" s="3" t="str">
        <f ca="1">IFERROR(__xludf.DUMMYFUNCTION("""COMPUTED_VALUE"""),"Rojan")</f>
        <v>Rojan</v>
      </c>
      <c r="G1136" s="3">
        <f ca="1">IFERROR(__xludf.DUMMYFUNCTION("""COMPUTED_VALUE"""),0)</f>
        <v>0</v>
      </c>
      <c r="H1136" s="3" t="str">
        <f ca="1">IFERROR(__xludf.DUMMYFUNCTION("""COMPUTED_VALUE"""),"bicycle")</f>
        <v>bicycle</v>
      </c>
      <c r="I1136" s="3" t="str">
        <f ca="1">IFERROR(__xludf.DUMMYFUNCTION("""COMPUTED_VALUE"""),"2055-06-11T13:04:10.022911Z")</f>
        <v>2055-06-11T13:04:10.022911Z</v>
      </c>
      <c r="J1136" s="3" t="str">
        <f ca="1">IFERROR(__xludf.DUMMYFUNCTION("""COMPUTED_VALUE"""),"2055-06-11T13:55:58.098Z")</f>
        <v>2055-06-11T13:55:58.098Z</v>
      </c>
      <c r="K1136" s="3" t="str">
        <f ca="1">IFERROR(__xludf.DUMMYFUNCTION("""COMPUTED_VALUE"""),"2055-06-11T13:52:05.098Z")</f>
        <v>2055-06-11T13:52:05.098Z</v>
      </c>
      <c r="L1136" s="3">
        <f ca="1">IFERROR(__xludf.DUMMYFUNCTION("""COMPUTED_VALUE"""),1)</f>
        <v>1</v>
      </c>
      <c r="M1136" s="3">
        <f ca="1">IFERROR(__xludf.DUMMYFUNCTION("""COMPUTED_VALUE"""),0)</f>
        <v>0</v>
      </c>
      <c r="N1136" s="3" t="str">
        <f ca="1">IFERROR(__xludf.DUMMYFUNCTION("""COMPUTED_VALUE"""),"2055-06-11T13:16:59.341534Z")</f>
        <v>2055-06-11T13:16:59.341534Z</v>
      </c>
      <c r="O1136" s="3" t="str">
        <f ca="1">IFERROR(__xludf.DUMMYFUNCTION("""COMPUTED_VALUE"""),"2055-06-11T13:27:22.185838Z")</f>
        <v>2055-06-11T13:27:22.185838Z</v>
      </c>
      <c r="P1136" s="3" t="str">
        <f ca="1">IFERROR(__xludf.DUMMYFUNCTION("""COMPUTED_VALUE"""),"2055-06-11T13:04:14.097231Z")</f>
        <v>2055-06-11T13:04:14.097231Z</v>
      </c>
      <c r="Q1136" s="3">
        <f ca="1">IFERROR(__xludf.DUMMYFUNCTION("""COMPUTED_VALUE"""),0)</f>
        <v>0</v>
      </c>
      <c r="R1136" s="3" t="str">
        <f ca="1">IFERROR(__xludf.DUMMYFUNCTION("""COMPUTED_VALUE"""),"2055-06-11T13:04:30.364064Z")</f>
        <v>2055-06-11T13:04:30.364064Z</v>
      </c>
      <c r="S1136" s="3" t="str">
        <f ca="1">IFERROR(__xludf.DUMMYFUNCTION("""COMPUTED_VALUE"""),"2055-06-11T13:10:34.34707Z")</f>
        <v>2055-06-11T13:10:34.34707Z</v>
      </c>
      <c r="T1136" s="3"/>
      <c r="U1136" s="4">
        <f ca="1">IFERROR(__xludf.DUMMYFUNCTION("""COMPUTED_VALUE"""),56776)</f>
        <v>56776</v>
      </c>
      <c r="V1136" s="3">
        <f ca="1">IFERROR(__xludf.DUMMYFUNCTION("""COMPUTED_VALUE"""),4.4)</f>
        <v>4.4000000000000004</v>
      </c>
      <c r="W1136" s="3">
        <f ca="1">IFERROR(__xludf.DUMMYFUNCTION("""COMPUTED_VALUE"""),850)</f>
        <v>850</v>
      </c>
      <c r="X1136" s="3">
        <f ca="1">IFERROR(__xludf.DUMMYFUNCTION("""COMPUTED_VALUE"""),1372)</f>
        <v>1372</v>
      </c>
      <c r="Y1136" s="3">
        <f ca="1">IFERROR(__xludf.DUMMYFUNCTION("""COMPUTED_VALUE"""),364)</f>
        <v>364</v>
      </c>
      <c r="Z1136" s="3">
        <f ca="1">IFERROR(__xludf.DUMMYFUNCTION("""COMPUTED_VALUE"""),385)</f>
        <v>385</v>
      </c>
      <c r="AA1136" s="3">
        <f ca="1">IFERROR(__xludf.DUMMYFUNCTION("""COMPUTED_VALUE"""),623)</f>
        <v>623</v>
      </c>
      <c r="AB1136" s="3">
        <f ca="1">IFERROR(__xludf.DUMMYFUNCTION("""COMPUTED_VALUE"""),0)</f>
        <v>0</v>
      </c>
      <c r="AC1136" s="3">
        <f ca="1">IFERROR(__xludf.DUMMYFUNCTION("""COMPUTED_VALUE"""),2)</f>
        <v>2</v>
      </c>
      <c r="AD1136" s="3" t="str">
        <f ca="1">IFERROR(__xludf.DUMMYFUNCTION("""COMPUTED_VALUE"""),"early")</f>
        <v>early</v>
      </c>
      <c r="AE1136" s="3" t="str">
        <f ca="1">IFERROR(__xludf.DUMMYFUNCTION("""COMPUTED_VALUE"""),"2055-06-11T09:16:59.341534Z")</f>
        <v>2055-06-11T09:16:59.341534Z</v>
      </c>
      <c r="AF1136" s="3" t="str">
        <f ca="1">IFERROR(__xludf.DUMMYFUNCTION("""COMPUTED_VALUE"""),"2055-06-11T09:27:22.185838Z")</f>
        <v>2055-06-11T09:27:22.185838Z</v>
      </c>
      <c r="AG1136" s="3" t="str">
        <f ca="1">IFERROR(__xludf.DUMMYFUNCTION("""COMPUTED_VALUE"""),"2055-06-11T09:04:14.097231Z")</f>
        <v>2055-06-11T09:04:14.097231Z</v>
      </c>
      <c r="AH1136" s="3" t="str">
        <f ca="1">IFERROR(__xludf.DUMMYFUNCTION("""COMPUTED_VALUE"""),"2055-06-11T09:10:34.34707Z")</f>
        <v>2055-06-11T09:10:34.34707Z</v>
      </c>
      <c r="AI1136" s="3">
        <f ca="1">IFERROR(__xludf.DUMMYFUNCTION("""COMPUTED_VALUE"""),4.58)</f>
        <v>4.58</v>
      </c>
      <c r="AJ1136" s="3">
        <f ca="1">IFERROR(__xludf.DUMMYFUNCTION("""COMPUTED_VALUE"""),254)</f>
        <v>254</v>
      </c>
      <c r="AK1136" s="3">
        <f ca="1">IFERROR(__xludf.DUMMYFUNCTION("""COMPUTED_VALUE"""),788)</f>
        <v>788</v>
      </c>
      <c r="AL1136" s="3">
        <f ca="1">IFERROR(__xludf.DUMMYFUNCTION("""COMPUTED_VALUE"""),9)</f>
        <v>9</v>
      </c>
      <c r="AM1136" s="3">
        <f>IFERROR(Raw_Data!AL1136 / Raw_Data!AK1136, "")</f>
        <v>1.1421319796954314E-2</v>
      </c>
      <c r="AN1136" s="3" t="str">
        <f>IF(ISBLANK(Raw_Data!AL1136), "No", "Yes")</f>
        <v>Yes</v>
      </c>
      <c r="AO1136" s="3">
        <f>IFERROR(Raw_Data!Z1136/60, "")</f>
        <v>6.416666666666667</v>
      </c>
    </row>
    <row r="1137" spans="1:41" ht="13">
      <c r="A1137" s="3">
        <f ca="1">IFERROR(__xludf.DUMMYFUNCTION("""COMPUTED_VALUE"""),486)</f>
        <v>486</v>
      </c>
      <c r="B1137" s="3">
        <f ca="1">IFERROR(__xludf.DUMMYFUNCTION("""COMPUTED_VALUE"""),1)</f>
        <v>1</v>
      </c>
      <c r="C1137" s="3">
        <f ca="1">IFERROR(__xludf.DUMMYFUNCTION("""COMPUTED_VALUE"""),4001)</f>
        <v>4001</v>
      </c>
      <c r="D1137" s="3" t="str">
        <f ca="1">IFERROR(__xludf.DUMMYFUNCTION("""COMPUTED_VALUE"""),"Dashattan")</f>
        <v>Dashattan</v>
      </c>
      <c r="E1137" s="3" t="str">
        <f ca="1">IFERROR(__xludf.DUMMYFUNCTION("""COMPUTED_VALUE"""),"Galaxy A")</f>
        <v>Galaxy A</v>
      </c>
      <c r="F1137" s="3" t="str">
        <f ca="1">IFERROR(__xludf.DUMMYFUNCTION("""COMPUTED_VALUE"""),"Bunje")</f>
        <v>Bunje</v>
      </c>
      <c r="G1137" s="3">
        <f ca="1">IFERROR(__xludf.DUMMYFUNCTION("""COMPUTED_VALUE"""),0)</f>
        <v>0</v>
      </c>
      <c r="H1137" s="3" t="str">
        <f ca="1">IFERROR(__xludf.DUMMYFUNCTION("""COMPUTED_VALUE"""),"bicycle")</f>
        <v>bicycle</v>
      </c>
      <c r="I1137" s="3" t="str">
        <f ca="1">IFERROR(__xludf.DUMMYFUNCTION("""COMPUTED_VALUE"""),"2055-06-04T23:22:19.668757Z")</f>
        <v>2055-06-04T23:22:19.668757Z</v>
      </c>
      <c r="J1137" s="3" t="str">
        <f ca="1">IFERROR(__xludf.DUMMYFUNCTION("""COMPUTED_VALUE"""),"2055-06-05T00:15:00Z")</f>
        <v>2055-06-05T00:15:00Z</v>
      </c>
      <c r="K1137" s="3" t="str">
        <f ca="1">IFERROR(__xludf.DUMMYFUNCTION("""COMPUTED_VALUE"""),"2055-06-05T00:15:00Z")</f>
        <v>2055-06-05T00:15:00Z</v>
      </c>
      <c r="L1137" s="3">
        <f ca="1">IFERROR(__xludf.DUMMYFUNCTION("""COMPUTED_VALUE"""),0)</f>
        <v>0</v>
      </c>
      <c r="M1137" s="3">
        <f ca="1">IFERROR(__xludf.DUMMYFUNCTION("""COMPUTED_VALUE"""),0)</f>
        <v>0</v>
      </c>
      <c r="N1137" s="3" t="str">
        <f ca="1">IFERROR(__xludf.DUMMYFUNCTION("""COMPUTED_VALUE"""),"2055-06-04T23:41:22.420969Z")</f>
        <v>2055-06-04T23:41:22.420969Z</v>
      </c>
      <c r="O1137" s="3" t="str">
        <f ca="1">IFERROR(__xludf.DUMMYFUNCTION("""COMPUTED_VALUE"""),"2055-06-04T23:49:09.772704Z")</f>
        <v>2055-06-04T23:49:09.772704Z</v>
      </c>
      <c r="P1137" s="3" t="str">
        <f ca="1">IFERROR(__xludf.DUMMYFUNCTION("""COMPUTED_VALUE"""),"2055-06-04T23:22:35.098804Z")</f>
        <v>2055-06-04T23:22:35.098804Z</v>
      </c>
      <c r="Q1137" s="3">
        <f ca="1">IFERROR(__xludf.DUMMYFUNCTION("""COMPUTED_VALUE"""),0)</f>
        <v>0</v>
      </c>
      <c r="R1137" s="3" t="str">
        <f ca="1">IFERROR(__xludf.DUMMYFUNCTION("""COMPUTED_VALUE"""),"2055-06-04T23:22:44.609588Z")</f>
        <v>2055-06-04T23:22:44.609588Z</v>
      </c>
      <c r="S1137" s="3" t="str">
        <f ca="1">IFERROR(__xludf.DUMMYFUNCTION("""COMPUTED_VALUE"""),"2055-06-04T23:32:22.472495Z")</f>
        <v>2055-06-04T23:32:22.472495Z</v>
      </c>
      <c r="T1137" s="3"/>
      <c r="U1137" s="4">
        <f ca="1">IFERROR(__xludf.DUMMYFUNCTION("""COMPUTED_VALUE"""),56769)</f>
        <v>56769</v>
      </c>
      <c r="V1137" s="3">
        <f ca="1">IFERROR(__xludf.DUMMYFUNCTION("""COMPUTED_VALUE"""),4.3)</f>
        <v>4.3</v>
      </c>
      <c r="W1137" s="3">
        <f ca="1">IFERROR(__xludf.DUMMYFUNCTION("""COMPUTED_VALUE"""),850)</f>
        <v>850</v>
      </c>
      <c r="X1137" s="3">
        <f ca="1">IFERROR(__xludf.DUMMYFUNCTION("""COMPUTED_VALUE"""),1585)</f>
        <v>1585</v>
      </c>
      <c r="Y1137" s="3">
        <f ca="1">IFERROR(__xludf.DUMMYFUNCTION("""COMPUTED_VALUE"""),578)</f>
        <v>578</v>
      </c>
      <c r="Z1137" s="3">
        <f ca="1">IFERROR(__xludf.DUMMYFUNCTION("""COMPUTED_VALUE"""),540)</f>
        <v>540</v>
      </c>
      <c r="AA1137" s="3">
        <f ca="1">IFERROR(__xludf.DUMMYFUNCTION("""COMPUTED_VALUE"""),467)</f>
        <v>467</v>
      </c>
      <c r="AB1137" s="3">
        <f ca="1">IFERROR(__xludf.DUMMYFUNCTION("""COMPUTED_VALUE"""),0)</f>
        <v>0</v>
      </c>
      <c r="AC1137" s="3">
        <f ca="1">IFERROR(__xludf.DUMMYFUNCTION("""COMPUTED_VALUE"""),2)</f>
        <v>2</v>
      </c>
      <c r="AD1137" s="3" t="str">
        <f ca="1">IFERROR(__xludf.DUMMYFUNCTION("""COMPUTED_VALUE"""),"on time")</f>
        <v>on time</v>
      </c>
      <c r="AE1137" s="3" t="str">
        <f ca="1">IFERROR(__xludf.DUMMYFUNCTION("""COMPUTED_VALUE"""),"2055-06-04T19:41:22.420969Z")</f>
        <v>2055-06-04T19:41:22.420969Z</v>
      </c>
      <c r="AF1137" s="3" t="str">
        <f ca="1">IFERROR(__xludf.DUMMYFUNCTION("""COMPUTED_VALUE"""),"2055-06-04T19:49:09.772704Z")</f>
        <v>2055-06-04T19:49:09.772704Z</v>
      </c>
      <c r="AG1137" s="3" t="str">
        <f ca="1">IFERROR(__xludf.DUMMYFUNCTION("""COMPUTED_VALUE"""),"2055-06-04T19:22:35.098804Z")</f>
        <v>2055-06-04T19:22:35.098804Z</v>
      </c>
      <c r="AH1137" s="3" t="str">
        <f ca="1">IFERROR(__xludf.DUMMYFUNCTION("""COMPUTED_VALUE"""),"2055-06-04T19:32:22.472495Z")</f>
        <v>2055-06-04T19:32:22.472495Z</v>
      </c>
      <c r="AI1137" s="3">
        <f ca="1">IFERROR(__xludf.DUMMYFUNCTION("""COMPUTED_VALUE"""),4.7)</f>
        <v>4.7</v>
      </c>
      <c r="AJ1137" s="3">
        <f ca="1">IFERROR(__xludf.DUMMYFUNCTION("""COMPUTED_VALUE"""),443)</f>
        <v>443</v>
      </c>
      <c r="AK1137" s="3">
        <f ca="1">IFERROR(__xludf.DUMMYFUNCTION("""COMPUTED_VALUE"""),1579)</f>
        <v>1579</v>
      </c>
      <c r="AL1137" s="3"/>
      <c r="AM1137" s="3">
        <f>IFERROR(Raw_Data!AL1137 / Raw_Data!AK1137, "")</f>
        <v>0</v>
      </c>
      <c r="AN1137" s="3" t="str">
        <f>IF(ISBLANK(Raw_Data!AL1137), "No", "Yes")</f>
        <v>No</v>
      </c>
      <c r="AO1137" s="3">
        <f>IFERROR(Raw_Data!Z1137/60, "")</f>
        <v>9</v>
      </c>
    </row>
    <row r="1138" spans="1:41" ht="13">
      <c r="A1138" s="3">
        <f ca="1">IFERROR(__xludf.DUMMYFUNCTION("""COMPUTED_VALUE"""),846)</f>
        <v>846</v>
      </c>
      <c r="B1138" s="3">
        <f ca="1">IFERROR(__xludf.DUMMYFUNCTION("""COMPUTED_VALUE"""),5)</f>
        <v>5</v>
      </c>
      <c r="C1138" s="3">
        <f ca="1">IFERROR(__xludf.DUMMYFUNCTION("""COMPUTED_VALUE"""),4050)</f>
        <v>4050</v>
      </c>
      <c r="D1138" s="3" t="str">
        <f ca="1">IFERROR(__xludf.DUMMYFUNCTION("""COMPUTED_VALUE"""),"Doorlanta")</f>
        <v>Doorlanta</v>
      </c>
      <c r="E1138" s="3" t="str">
        <f ca="1">IFERROR(__xludf.DUMMYFUNCTION("""COMPUTED_VALUE"""),"Galaxy A")</f>
        <v>Galaxy A</v>
      </c>
      <c r="F1138" s="3" t="str">
        <f ca="1">IFERROR(__xludf.DUMMYFUNCTION("""COMPUTED_VALUE"""),"Josh")</f>
        <v>Josh</v>
      </c>
      <c r="G1138" s="3">
        <f ca="1">IFERROR(__xludf.DUMMYFUNCTION("""COMPUTED_VALUE"""),0)</f>
        <v>0</v>
      </c>
      <c r="H1138" s="3" t="str">
        <f ca="1">IFERROR(__xludf.DUMMYFUNCTION("""COMPUTED_VALUE"""),"car")</f>
        <v>car</v>
      </c>
      <c r="I1138" s="3" t="str">
        <f ca="1">IFERROR(__xludf.DUMMYFUNCTION("""COMPUTED_VALUE"""),"2055-06-07T16:41:24.335009Z")</f>
        <v>2055-06-07T16:41:24.335009Z</v>
      </c>
      <c r="J1138" s="3" t="str">
        <f ca="1">IFERROR(__xludf.DUMMYFUNCTION("""COMPUTED_VALUE"""),"2055-06-07T17:36:24.403Z")</f>
        <v>2055-06-07T17:36:24.403Z</v>
      </c>
      <c r="K1138" s="3" t="str">
        <f ca="1">IFERROR(__xludf.DUMMYFUNCTION("""COMPUTED_VALUE"""),"2055-06-07T17:09:22.403Z")</f>
        <v>2055-06-07T17:09:22.403Z</v>
      </c>
      <c r="L1138" s="3">
        <f ca="1">IFERROR(__xludf.DUMMYFUNCTION("""COMPUTED_VALUE"""),1)</f>
        <v>1</v>
      </c>
      <c r="M1138" s="3">
        <f ca="1">IFERROR(__xludf.DUMMYFUNCTION("""COMPUTED_VALUE"""),0)</f>
        <v>0</v>
      </c>
      <c r="N1138" s="3" t="str">
        <f ca="1">IFERROR(__xludf.DUMMYFUNCTION("""COMPUTED_VALUE"""),"2055-06-07T17:24:36.035381Z")</f>
        <v>2055-06-07T17:24:36.035381Z</v>
      </c>
      <c r="O1138" s="3" t="str">
        <f ca="1">IFERROR(__xludf.DUMMYFUNCTION("""COMPUTED_VALUE"""),"2055-06-07T17:36:43.015595Z")</f>
        <v>2055-06-07T17:36:43.015595Z</v>
      </c>
      <c r="P1138" s="3" t="str">
        <f ca="1">IFERROR(__xludf.DUMMYFUNCTION("""COMPUTED_VALUE"""),"2055-06-07T16:41:47.319256Z")</f>
        <v>2055-06-07T16:41:47.319256Z</v>
      </c>
      <c r="Q1138" s="3">
        <f ca="1">IFERROR(__xludf.DUMMYFUNCTION("""COMPUTED_VALUE"""),0)</f>
        <v>0</v>
      </c>
      <c r="R1138" s="3" t="str">
        <f ca="1">IFERROR(__xludf.DUMMYFUNCTION("""COMPUTED_VALUE"""),"2055-06-07T16:42:04.24654Z")</f>
        <v>2055-06-07T16:42:04.24654Z</v>
      </c>
      <c r="S1138" s="3" t="str">
        <f ca="1">IFERROR(__xludf.DUMMYFUNCTION("""COMPUTED_VALUE"""),"2055-06-07T16:44:29.066527Z")</f>
        <v>2055-06-07T16:44:29.066527Z</v>
      </c>
      <c r="T1138" s="3"/>
      <c r="U1138" s="4">
        <f ca="1">IFERROR(__xludf.DUMMYFUNCTION("""COMPUTED_VALUE"""),56772)</f>
        <v>56772</v>
      </c>
      <c r="V1138" s="3">
        <f ca="1">IFERROR(__xludf.DUMMYFUNCTION("""COMPUTED_VALUE"""),4.6)</f>
        <v>4.5999999999999996</v>
      </c>
      <c r="W1138" s="3">
        <f ca="1">IFERROR(__xludf.DUMMYFUNCTION("""COMPUTED_VALUE"""),850)</f>
        <v>850</v>
      </c>
      <c r="X1138" s="3">
        <f ca="1">IFERROR(__xludf.DUMMYFUNCTION("""COMPUTED_VALUE"""),3279)</f>
        <v>3279</v>
      </c>
      <c r="Y1138" s="3">
        <f ca="1">IFERROR(__xludf.DUMMYFUNCTION("""COMPUTED_VALUE"""),145)</f>
        <v>145</v>
      </c>
      <c r="Z1138" s="3">
        <f ca="1">IFERROR(__xludf.DUMMYFUNCTION("""COMPUTED_VALUE"""),2407)</f>
        <v>2407</v>
      </c>
      <c r="AA1138" s="3">
        <f ca="1">IFERROR(__xludf.DUMMYFUNCTION("""COMPUTED_VALUE"""),727)</f>
        <v>727</v>
      </c>
      <c r="AB1138" s="3">
        <f ca="1">IFERROR(__xludf.DUMMYFUNCTION("""COMPUTED_VALUE"""),0)</f>
        <v>0</v>
      </c>
      <c r="AC1138" s="3">
        <f ca="1">IFERROR(__xludf.DUMMYFUNCTION("""COMPUTED_VALUE"""),2)</f>
        <v>2</v>
      </c>
      <c r="AD1138" s="3" t="str">
        <f ca="1">IFERROR(__xludf.DUMMYFUNCTION("""COMPUTED_VALUE"""),"early")</f>
        <v>early</v>
      </c>
      <c r="AE1138" s="3" t="str">
        <f ca="1">IFERROR(__xludf.DUMMYFUNCTION("""COMPUTED_VALUE"""),"2055-06-07T13:24:36.035381Z")</f>
        <v>2055-06-07T13:24:36.035381Z</v>
      </c>
      <c r="AF1138" s="3" t="str">
        <f ca="1">IFERROR(__xludf.DUMMYFUNCTION("""COMPUTED_VALUE"""),"2055-06-07T13:36:43.015595Z")</f>
        <v>2055-06-07T13:36:43.015595Z</v>
      </c>
      <c r="AG1138" s="3" t="str">
        <f ca="1">IFERROR(__xludf.DUMMYFUNCTION("""COMPUTED_VALUE"""),"2055-06-07T12:41:47.319256Z")</f>
        <v>2055-06-07T12:41:47.319256Z</v>
      </c>
      <c r="AH1138" s="3" t="str">
        <f ca="1">IFERROR(__xludf.DUMMYFUNCTION("""COMPUTED_VALUE"""),"2055-06-07T12:44:29.066527Z")</f>
        <v>2055-06-07T12:44:29.066527Z</v>
      </c>
      <c r="AI1138" s="3">
        <f ca="1">IFERROR(__xludf.DUMMYFUNCTION("""COMPUTED_VALUE"""),4.77)</f>
        <v>4.7699999999999996</v>
      </c>
      <c r="AJ1138" s="3">
        <f ca="1">IFERROR(__xludf.DUMMYFUNCTION("""COMPUTED_VALUE"""),426)</f>
        <v>426</v>
      </c>
      <c r="AK1138" s="3">
        <f ca="1">IFERROR(__xludf.DUMMYFUNCTION("""COMPUTED_VALUE"""),1226)</f>
        <v>1226</v>
      </c>
      <c r="AL1138" s="3">
        <f ca="1">IFERROR(__xludf.DUMMYFUNCTION("""COMPUTED_VALUE"""),85)</f>
        <v>85</v>
      </c>
      <c r="AM1138" s="3">
        <f>IFERROR(Raw_Data!AL1138 / Raw_Data!AK1138, "")</f>
        <v>6.9331158238172916E-2</v>
      </c>
      <c r="AN1138" s="3" t="str">
        <f>IF(ISBLANK(Raw_Data!AL1138), "No", "Yes")</f>
        <v>Yes</v>
      </c>
      <c r="AO1138" s="3">
        <f>IFERROR(Raw_Data!Z1138/60, "")</f>
        <v>40.116666666666667</v>
      </c>
    </row>
    <row r="1139" spans="1:41" ht="13">
      <c r="A1139" s="3">
        <f ca="1">IFERROR(__xludf.DUMMYFUNCTION("""COMPUTED_VALUE"""),755)</f>
        <v>755</v>
      </c>
      <c r="B1139" s="3"/>
      <c r="C1139" s="3">
        <f ca="1">IFERROR(__xludf.DUMMYFUNCTION("""COMPUTED_VALUE"""),4050)</f>
        <v>4050</v>
      </c>
      <c r="D1139" s="3" t="str">
        <f ca="1">IFERROR(__xludf.DUMMYFUNCTION("""COMPUTED_VALUE"""),"Doorlanta")</f>
        <v>Doorlanta</v>
      </c>
      <c r="E1139" s="3" t="str">
        <f ca="1">IFERROR(__xludf.DUMMYFUNCTION("""COMPUTED_VALUE"""),"Galaxy A")</f>
        <v>Galaxy A</v>
      </c>
      <c r="F1139" s="3" t="str">
        <f ca="1">IFERROR(__xludf.DUMMYFUNCTION("""COMPUTED_VALUE"""),"Merissa")</f>
        <v>Merissa</v>
      </c>
      <c r="G1139" s="3">
        <f ca="1">IFERROR(__xludf.DUMMYFUNCTION("""COMPUTED_VALUE"""),0)</f>
        <v>0</v>
      </c>
      <c r="H1139" s="3" t="str">
        <f ca="1">IFERROR(__xludf.DUMMYFUNCTION("""COMPUTED_VALUE"""),"car")</f>
        <v>car</v>
      </c>
      <c r="I1139" s="3" t="str">
        <f ca="1">IFERROR(__xludf.DUMMYFUNCTION("""COMPUTED_VALUE"""),"2055-06-06T18:20:37.027509Z")</f>
        <v>2055-06-06T18:20:37.027509Z</v>
      </c>
      <c r="J1139" s="3" t="str">
        <f ca="1">IFERROR(__xludf.DUMMYFUNCTION("""COMPUTED_VALUE"""),"2055-06-06T19:05:37.099Z")</f>
        <v>2055-06-06T19:05:37.099Z</v>
      </c>
      <c r="K1139" s="3" t="str">
        <f ca="1">IFERROR(__xludf.DUMMYFUNCTION("""COMPUTED_VALUE"""),"2055-06-06T18:52:02.099Z")</f>
        <v>2055-06-06T18:52:02.099Z</v>
      </c>
      <c r="L1139" s="3">
        <f ca="1">IFERROR(__xludf.DUMMYFUNCTION("""COMPUTED_VALUE"""),1)</f>
        <v>1</v>
      </c>
      <c r="M1139" s="3">
        <f ca="1">IFERROR(__xludf.DUMMYFUNCTION("""COMPUTED_VALUE"""),0)</f>
        <v>0</v>
      </c>
      <c r="N1139" s="3" t="str">
        <f ca="1">IFERROR(__xludf.DUMMYFUNCTION("""COMPUTED_VALUE"""),"2055-06-06T18:36:53.981229Z")</f>
        <v>2055-06-06T18:36:53.981229Z</v>
      </c>
      <c r="O1139" s="3" t="str">
        <f ca="1">IFERROR(__xludf.DUMMYFUNCTION("""COMPUTED_VALUE"""),"2055-06-06T18:43:42.267574Z")</f>
        <v>2055-06-06T18:43:42.267574Z</v>
      </c>
      <c r="P1139" s="3" t="str">
        <f ca="1">IFERROR(__xludf.DUMMYFUNCTION("""COMPUTED_VALUE"""),"2055-06-06T18:20:47.357263Z")</f>
        <v>2055-06-06T18:20:47.357263Z</v>
      </c>
      <c r="Q1139" s="3">
        <f ca="1">IFERROR(__xludf.DUMMYFUNCTION("""COMPUTED_VALUE"""),0)</f>
        <v>0</v>
      </c>
      <c r="R1139" s="3" t="str">
        <f ca="1">IFERROR(__xludf.DUMMYFUNCTION("""COMPUTED_VALUE"""),"2055-06-06T18:20:52.089321Z")</f>
        <v>2055-06-06T18:20:52.089321Z</v>
      </c>
      <c r="S1139" s="3" t="str">
        <f ca="1">IFERROR(__xludf.DUMMYFUNCTION("""COMPUTED_VALUE"""),"2055-06-06T18:33:56.960852Z")</f>
        <v>2055-06-06T18:33:56.960852Z</v>
      </c>
      <c r="T1139" s="3"/>
      <c r="U1139" s="4">
        <f ca="1">IFERROR(__xludf.DUMMYFUNCTION("""COMPUTED_VALUE"""),56771)</f>
        <v>56771</v>
      </c>
      <c r="V1139" s="3">
        <f ca="1">IFERROR(__xludf.DUMMYFUNCTION("""COMPUTED_VALUE"""),4.5)</f>
        <v>4.5</v>
      </c>
      <c r="W1139" s="3">
        <f ca="1">IFERROR(__xludf.DUMMYFUNCTION("""COMPUTED_VALUE"""),850)</f>
        <v>850</v>
      </c>
      <c r="X1139" s="3">
        <f ca="1">IFERROR(__xludf.DUMMYFUNCTION("""COMPUTED_VALUE"""),1370)</f>
        <v>1370</v>
      </c>
      <c r="Y1139" s="3">
        <f ca="1">IFERROR(__xludf.DUMMYFUNCTION("""COMPUTED_VALUE"""),784)</f>
        <v>784</v>
      </c>
      <c r="Z1139" s="3">
        <f ca="1">IFERROR(__xludf.DUMMYFUNCTION("""COMPUTED_VALUE"""),177)</f>
        <v>177</v>
      </c>
      <c r="AA1139" s="3">
        <f ca="1">IFERROR(__xludf.DUMMYFUNCTION("""COMPUTED_VALUE"""),409)</f>
        <v>409</v>
      </c>
      <c r="AB1139" s="3">
        <f ca="1">IFERROR(__xludf.DUMMYFUNCTION("""COMPUTED_VALUE"""),0)</f>
        <v>0</v>
      </c>
      <c r="AC1139" s="3">
        <f ca="1">IFERROR(__xludf.DUMMYFUNCTION("""COMPUTED_VALUE"""),2)</f>
        <v>2</v>
      </c>
      <c r="AD1139" s="3" t="str">
        <f ca="1">IFERROR(__xludf.DUMMYFUNCTION("""COMPUTED_VALUE"""),"late")</f>
        <v>late</v>
      </c>
      <c r="AE1139" s="3" t="str">
        <f ca="1">IFERROR(__xludf.DUMMYFUNCTION("""COMPUTED_VALUE"""),"2055-06-06T14:36:53.981229Z")</f>
        <v>2055-06-06T14:36:53.981229Z</v>
      </c>
      <c r="AF1139" s="3" t="str">
        <f ca="1">IFERROR(__xludf.DUMMYFUNCTION("""COMPUTED_VALUE"""),"2055-06-06T14:43:42.267574Z")</f>
        <v>2055-06-06T14:43:42.267574Z</v>
      </c>
      <c r="AG1139" s="3" t="str">
        <f ca="1">IFERROR(__xludf.DUMMYFUNCTION("""COMPUTED_VALUE"""),"2055-06-06T14:20:47.357263Z")</f>
        <v>2055-06-06T14:20:47.357263Z</v>
      </c>
      <c r="AH1139" s="3" t="str">
        <f ca="1">IFERROR(__xludf.DUMMYFUNCTION("""COMPUTED_VALUE"""),"2055-06-06T14:33:56.960852Z")</f>
        <v>2055-06-06T14:33:56.960852Z</v>
      </c>
      <c r="AI1139" s="3">
        <f ca="1">IFERROR(__xludf.DUMMYFUNCTION("""COMPUTED_VALUE"""),4.58)</f>
        <v>4.58</v>
      </c>
      <c r="AJ1139" s="3">
        <f ca="1">IFERROR(__xludf.DUMMYFUNCTION("""COMPUTED_VALUE"""),679)</f>
        <v>679</v>
      </c>
      <c r="AK1139" s="3">
        <f ca="1">IFERROR(__xludf.DUMMYFUNCTION("""COMPUTED_VALUE"""),2371)</f>
        <v>2371</v>
      </c>
      <c r="AL1139" s="3">
        <f ca="1">IFERROR(__xludf.DUMMYFUNCTION("""COMPUTED_VALUE"""),1830)</f>
        <v>1830</v>
      </c>
      <c r="AM1139" s="3">
        <f>IFERROR(Raw_Data!AL1139 / Raw_Data!AK1139, "")</f>
        <v>0.7718262336566849</v>
      </c>
      <c r="AN1139" s="3" t="str">
        <f>IF(ISBLANK(Raw_Data!AL1139), "No", "Yes")</f>
        <v>Yes</v>
      </c>
      <c r="AO1139" s="3">
        <f>IFERROR(Raw_Data!Z1139/60, "")</f>
        <v>2.95</v>
      </c>
    </row>
    <row r="1140" spans="1:41" ht="13">
      <c r="A1140" s="3">
        <f ca="1">IFERROR(__xludf.DUMMYFUNCTION("""COMPUTED_VALUE"""),772)</f>
        <v>772</v>
      </c>
      <c r="B1140" s="3"/>
      <c r="C1140" s="3">
        <f ca="1">IFERROR(__xludf.DUMMYFUNCTION("""COMPUTED_VALUE"""),4050)</f>
        <v>4050</v>
      </c>
      <c r="D1140" s="3" t="str">
        <f ca="1">IFERROR(__xludf.DUMMYFUNCTION("""COMPUTED_VALUE"""),"Doorlanta")</f>
        <v>Doorlanta</v>
      </c>
      <c r="E1140" s="3" t="str">
        <f ca="1">IFERROR(__xludf.DUMMYFUNCTION("""COMPUTED_VALUE"""),"Galaxy A")</f>
        <v>Galaxy A</v>
      </c>
      <c r="F1140" s="3" t="str">
        <f ca="1">IFERROR(__xludf.DUMMYFUNCTION("""COMPUTED_VALUE"""),"Jagar")</f>
        <v>Jagar</v>
      </c>
      <c r="G1140" s="3">
        <f ca="1">IFERROR(__xludf.DUMMYFUNCTION("""COMPUTED_VALUE"""),0)</f>
        <v>0</v>
      </c>
      <c r="H1140" s="3" t="str">
        <f ca="1">IFERROR(__xludf.DUMMYFUNCTION("""COMPUTED_VALUE"""),"car")</f>
        <v>car</v>
      </c>
      <c r="I1140" s="3" t="str">
        <f ca="1">IFERROR(__xludf.DUMMYFUNCTION("""COMPUTED_VALUE"""),"2055-06-06T22:13:53.11157Z")</f>
        <v>2055-06-06T22:13:53.11157Z</v>
      </c>
      <c r="J1140" s="3" t="str">
        <f ca="1">IFERROR(__xludf.DUMMYFUNCTION("""COMPUTED_VALUE"""),"2055-06-06T23:05:27.176Z")</f>
        <v>2055-06-06T23:05:27.176Z</v>
      </c>
      <c r="K1140" s="3" t="str">
        <f ca="1">IFERROR(__xludf.DUMMYFUNCTION("""COMPUTED_VALUE"""),"2055-06-06T22:56:34.176Z")</f>
        <v>2055-06-06T22:56:34.176Z</v>
      </c>
      <c r="L1140" s="3">
        <f ca="1">IFERROR(__xludf.DUMMYFUNCTION("""COMPUTED_VALUE"""),1)</f>
        <v>1</v>
      </c>
      <c r="M1140" s="3">
        <f ca="1">IFERROR(__xludf.DUMMYFUNCTION("""COMPUTED_VALUE"""),0)</f>
        <v>0</v>
      </c>
      <c r="N1140" s="3" t="str">
        <f ca="1">IFERROR(__xludf.DUMMYFUNCTION("""COMPUTED_VALUE"""),"2055-06-06T22:25:11.587785Z")</f>
        <v>2055-06-06T22:25:11.587785Z</v>
      </c>
      <c r="O1140" s="3" t="str">
        <f ca="1">IFERROR(__xludf.DUMMYFUNCTION("""COMPUTED_VALUE"""),"2055-06-06T22:31:16.57316Z")</f>
        <v>2055-06-06T22:31:16.57316Z</v>
      </c>
      <c r="P1140" s="3" t="str">
        <f ca="1">IFERROR(__xludf.DUMMYFUNCTION("""COMPUTED_VALUE"""),"2055-06-06T22:14:07.433377Z")</f>
        <v>2055-06-06T22:14:07.433377Z</v>
      </c>
      <c r="Q1140" s="3">
        <f ca="1">IFERROR(__xludf.DUMMYFUNCTION("""COMPUTED_VALUE"""),0)</f>
        <v>0</v>
      </c>
      <c r="R1140" s="3" t="str">
        <f ca="1">IFERROR(__xludf.DUMMYFUNCTION("""COMPUTED_VALUE"""),"2055-06-06T22:14:14.801829Z")</f>
        <v>2055-06-06T22:14:14.801829Z</v>
      </c>
      <c r="S1140" s="3" t="str">
        <f ca="1">IFERROR(__xludf.DUMMYFUNCTION("""COMPUTED_VALUE"""),"2055-06-06T22:19:50.26111Z")</f>
        <v>2055-06-06T22:19:50.26111Z</v>
      </c>
      <c r="T1140" s="3"/>
      <c r="U1140" s="4">
        <f ca="1">IFERROR(__xludf.DUMMYFUNCTION("""COMPUTED_VALUE"""),56771)</f>
        <v>56771</v>
      </c>
      <c r="V1140" s="3">
        <f ca="1">IFERROR(__xludf.DUMMYFUNCTION("""COMPUTED_VALUE"""),4.5)</f>
        <v>4.5</v>
      </c>
      <c r="W1140" s="3">
        <f ca="1">IFERROR(__xludf.DUMMYFUNCTION("""COMPUTED_VALUE"""),850)</f>
        <v>850</v>
      </c>
      <c r="X1140" s="3">
        <f ca="1">IFERROR(__xludf.DUMMYFUNCTION("""COMPUTED_VALUE"""),1022)</f>
        <v>1022</v>
      </c>
      <c r="Y1140" s="3">
        <f ca="1">IFERROR(__xludf.DUMMYFUNCTION("""COMPUTED_VALUE"""),336)</f>
        <v>336</v>
      </c>
      <c r="Z1140" s="3">
        <f ca="1">IFERROR(__xludf.DUMMYFUNCTION("""COMPUTED_VALUE"""),321)</f>
        <v>321</v>
      </c>
      <c r="AA1140" s="3">
        <f ca="1">IFERROR(__xludf.DUMMYFUNCTION("""COMPUTED_VALUE"""),365)</f>
        <v>365</v>
      </c>
      <c r="AB1140" s="3">
        <f ca="1">IFERROR(__xludf.DUMMYFUNCTION("""COMPUTED_VALUE"""),0)</f>
        <v>0</v>
      </c>
      <c r="AC1140" s="3">
        <f ca="1">IFERROR(__xludf.DUMMYFUNCTION("""COMPUTED_VALUE"""),2)</f>
        <v>2</v>
      </c>
      <c r="AD1140" s="3" t="str">
        <f ca="1">IFERROR(__xludf.DUMMYFUNCTION("""COMPUTED_VALUE"""),"on time")</f>
        <v>on time</v>
      </c>
      <c r="AE1140" s="3" t="str">
        <f ca="1">IFERROR(__xludf.DUMMYFUNCTION("""COMPUTED_VALUE"""),"2055-06-06T18:25:11.587785Z")</f>
        <v>2055-06-06T18:25:11.587785Z</v>
      </c>
      <c r="AF1140" s="3" t="str">
        <f ca="1">IFERROR(__xludf.DUMMYFUNCTION("""COMPUTED_VALUE"""),"2055-06-06T18:31:16.57316Z")</f>
        <v>2055-06-06T18:31:16.57316Z</v>
      </c>
      <c r="AG1140" s="3" t="str">
        <f ca="1">IFERROR(__xludf.DUMMYFUNCTION("""COMPUTED_VALUE"""),"2055-06-06T18:14:07.433377Z")</f>
        <v>2055-06-06T18:14:07.433377Z</v>
      </c>
      <c r="AH1140" s="3" t="str">
        <f ca="1">IFERROR(__xludf.DUMMYFUNCTION("""COMPUTED_VALUE"""),"2055-06-06T18:19:50.26111Z")</f>
        <v>2055-06-06T18:19:50.26111Z</v>
      </c>
      <c r="AI1140" s="3">
        <f ca="1">IFERROR(__xludf.DUMMYFUNCTION("""COMPUTED_VALUE"""),4.89)</f>
        <v>4.8899999999999997</v>
      </c>
      <c r="AJ1140" s="3">
        <f ca="1">IFERROR(__xludf.DUMMYFUNCTION("""COMPUTED_VALUE"""),1778)</f>
        <v>1778</v>
      </c>
      <c r="AK1140" s="3">
        <f ca="1">IFERROR(__xludf.DUMMYFUNCTION("""COMPUTED_VALUE"""),5138)</f>
        <v>5138</v>
      </c>
      <c r="AL1140" s="3">
        <f ca="1">IFERROR(__xludf.DUMMYFUNCTION("""COMPUTED_VALUE"""),314)</f>
        <v>314</v>
      </c>
      <c r="AM1140" s="3">
        <f>IFERROR(Raw_Data!AL1140 / Raw_Data!AK1140, "")</f>
        <v>6.1113273647333592E-2</v>
      </c>
      <c r="AN1140" s="3" t="str">
        <f>IF(ISBLANK(Raw_Data!AL1140), "No", "Yes")</f>
        <v>Yes</v>
      </c>
      <c r="AO1140" s="3">
        <f>IFERROR(Raw_Data!Z1140/60, "")</f>
        <v>5.35</v>
      </c>
    </row>
    <row r="1141" spans="1:41" ht="13">
      <c r="A1141" s="3">
        <f ca="1">IFERROR(__xludf.DUMMYFUNCTION("""COMPUTED_VALUE"""),541)</f>
        <v>541</v>
      </c>
      <c r="B1141" s="3"/>
      <c r="C1141" s="3">
        <f ca="1">IFERROR(__xludf.DUMMYFUNCTION("""COMPUTED_VALUE"""),4050)</f>
        <v>4050</v>
      </c>
      <c r="D1141" s="3" t="str">
        <f ca="1">IFERROR(__xludf.DUMMYFUNCTION("""COMPUTED_VALUE"""),"Doorlanta")</f>
        <v>Doorlanta</v>
      </c>
      <c r="E1141" s="3" t="str">
        <f ca="1">IFERROR(__xludf.DUMMYFUNCTION("""COMPUTED_VALUE"""),"Galaxy A")</f>
        <v>Galaxy A</v>
      </c>
      <c r="F1141" s="3" t="str">
        <f ca="1">IFERROR(__xludf.DUMMYFUNCTION("""COMPUTED_VALUE"""),"Hanna")</f>
        <v>Hanna</v>
      </c>
      <c r="G1141" s="3">
        <f ca="1">IFERROR(__xludf.DUMMYFUNCTION("""COMPUTED_VALUE"""),0)</f>
        <v>0</v>
      </c>
      <c r="H1141" s="3" t="str">
        <f ca="1">IFERROR(__xludf.DUMMYFUNCTION("""COMPUTED_VALUE"""),"car")</f>
        <v>car</v>
      </c>
      <c r="I1141" s="3" t="str">
        <f ca="1">IFERROR(__xludf.DUMMYFUNCTION("""COMPUTED_VALUE"""),"2055-06-05T14:00:57.206245Z")</f>
        <v>2055-06-05T14:00:57.206245Z</v>
      </c>
      <c r="J1141" s="3" t="str">
        <f ca="1">IFERROR(__xludf.DUMMYFUNCTION("""COMPUTED_VALUE"""),"2055-06-05T15:00:00Z")</f>
        <v>2055-06-05T15:00:00Z</v>
      </c>
      <c r="K1141" s="3" t="str">
        <f ca="1">IFERROR(__xludf.DUMMYFUNCTION("""COMPUTED_VALUE"""),"2055-06-05T15:00:00Z")</f>
        <v>2055-06-05T15:00:00Z</v>
      </c>
      <c r="L1141" s="3">
        <f ca="1">IFERROR(__xludf.DUMMYFUNCTION("""COMPUTED_VALUE"""),0)</f>
        <v>0</v>
      </c>
      <c r="M1141" s="3">
        <f ca="1">IFERROR(__xludf.DUMMYFUNCTION("""COMPUTED_VALUE"""),0)</f>
        <v>0</v>
      </c>
      <c r="N1141" s="3" t="str">
        <f ca="1">IFERROR(__xludf.DUMMYFUNCTION("""COMPUTED_VALUE"""),"2055-06-05T14:40:28.445777Z")</f>
        <v>2055-06-05T14:40:28.445777Z</v>
      </c>
      <c r="O1141" s="3" t="str">
        <f ca="1">IFERROR(__xludf.DUMMYFUNCTION("""COMPUTED_VALUE"""),"2055-06-05T14:53:26.301302Z")</f>
        <v>2055-06-05T14:53:26.301302Z</v>
      </c>
      <c r="P1141" s="3" t="str">
        <f ca="1">IFERROR(__xludf.DUMMYFUNCTION("""COMPUTED_VALUE"""),"2055-06-05T14:12:07.27916Z")</f>
        <v>2055-06-05T14:12:07.27916Z</v>
      </c>
      <c r="Q1141" s="3">
        <f ca="1">IFERROR(__xludf.DUMMYFUNCTION("""COMPUTED_VALUE"""),0)</f>
        <v>0</v>
      </c>
      <c r="R1141" s="3" t="str">
        <f ca="1">IFERROR(__xludf.DUMMYFUNCTION("""COMPUTED_VALUE"""),"2055-06-05T14:12:29.79725Z")</f>
        <v>2055-06-05T14:12:29.79725Z</v>
      </c>
      <c r="S1141" s="3" t="str">
        <f ca="1">IFERROR(__xludf.DUMMYFUNCTION("""COMPUTED_VALUE"""),"2055-06-05T14:32:29.408925Z")</f>
        <v>2055-06-05T14:32:29.408925Z</v>
      </c>
      <c r="T1141" s="3"/>
      <c r="U1141" s="4">
        <f ca="1">IFERROR(__xludf.DUMMYFUNCTION("""COMPUTED_VALUE"""),56770)</f>
        <v>56770</v>
      </c>
      <c r="V1141" s="3">
        <f ca="1">IFERROR(__xludf.DUMMYFUNCTION("""COMPUTED_VALUE"""),4.2)</f>
        <v>4.2</v>
      </c>
      <c r="W1141" s="3">
        <f ca="1">IFERROR(__xludf.DUMMYFUNCTION("""COMPUTED_VALUE"""),850)</f>
        <v>850</v>
      </c>
      <c r="X1141" s="3">
        <f ca="1">IFERROR(__xludf.DUMMYFUNCTION("""COMPUTED_VALUE"""),2457)</f>
        <v>2457</v>
      </c>
      <c r="Y1141" s="3">
        <f ca="1">IFERROR(__xludf.DUMMYFUNCTION("""COMPUTED_VALUE"""),1200)</f>
        <v>1200</v>
      </c>
      <c r="Z1141" s="3">
        <f ca="1">IFERROR(__xludf.DUMMYFUNCTION("""COMPUTED_VALUE"""),479)</f>
        <v>479</v>
      </c>
      <c r="AA1141" s="3">
        <f ca="1">IFERROR(__xludf.DUMMYFUNCTION("""COMPUTED_VALUE"""),778)</f>
        <v>778</v>
      </c>
      <c r="AB1141" s="3">
        <f ca="1">IFERROR(__xludf.DUMMYFUNCTION("""COMPUTED_VALUE"""),1)</f>
        <v>1</v>
      </c>
      <c r="AC1141" s="3">
        <f ca="1">IFERROR(__xludf.DUMMYFUNCTION("""COMPUTED_VALUE"""),2)</f>
        <v>2</v>
      </c>
      <c r="AD1141" s="3"/>
      <c r="AE1141" s="3" t="str">
        <f ca="1">IFERROR(__xludf.DUMMYFUNCTION("""COMPUTED_VALUE"""),"2055-06-05T10:40:28.445777Z")</f>
        <v>2055-06-05T10:40:28.445777Z</v>
      </c>
      <c r="AF1141" s="3" t="str">
        <f ca="1">IFERROR(__xludf.DUMMYFUNCTION("""COMPUTED_VALUE"""),"2055-06-05T10:53:26.301302Z")</f>
        <v>2055-06-05T10:53:26.301302Z</v>
      </c>
      <c r="AG1141" s="3" t="str">
        <f ca="1">IFERROR(__xludf.DUMMYFUNCTION("""COMPUTED_VALUE"""),"2055-06-05T10:12:07.27916Z")</f>
        <v>2055-06-05T10:12:07.27916Z</v>
      </c>
      <c r="AH1141" s="3" t="str">
        <f ca="1">IFERROR(__xludf.DUMMYFUNCTION("""COMPUTED_VALUE"""),"2055-06-05T10:32:29.408925Z")</f>
        <v>2055-06-05T10:32:29.408925Z</v>
      </c>
      <c r="AI1141" s="3">
        <f ca="1">IFERROR(__xludf.DUMMYFUNCTION("""COMPUTED_VALUE"""),4.79)</f>
        <v>4.79</v>
      </c>
      <c r="AJ1141" s="3">
        <f ca="1">IFERROR(__xludf.DUMMYFUNCTION("""COMPUTED_VALUE"""),1007)</f>
        <v>1007</v>
      </c>
      <c r="AK1141" s="3">
        <f ca="1">IFERROR(__xludf.DUMMYFUNCTION("""COMPUTED_VALUE"""),2899)</f>
        <v>2899</v>
      </c>
      <c r="AL1141" s="3">
        <f ca="1">IFERROR(__xludf.DUMMYFUNCTION("""COMPUTED_VALUE"""),1301)</f>
        <v>1301</v>
      </c>
      <c r="AM1141" s="3">
        <f>IFERROR(Raw_Data!AL1141 / Raw_Data!AK1141, "")</f>
        <v>0.44877543980682993</v>
      </c>
      <c r="AN1141" s="3" t="str">
        <f>IF(ISBLANK(Raw_Data!AL1141), "No", "Yes")</f>
        <v>Yes</v>
      </c>
      <c r="AO1141" s="3">
        <f>IFERROR(Raw_Data!Z1141/60, "")</f>
        <v>7.9833333333333334</v>
      </c>
    </row>
    <row r="1142" spans="1:41" ht="13">
      <c r="A1142" s="3">
        <f ca="1">IFERROR(__xludf.DUMMYFUNCTION("""COMPUTED_VALUE"""),40)</f>
        <v>40</v>
      </c>
      <c r="B1142" s="3">
        <f ca="1">IFERROR(__xludf.DUMMYFUNCTION("""COMPUTED_VALUE"""),5)</f>
        <v>5</v>
      </c>
      <c r="C1142" s="3">
        <f ca="1">IFERROR(__xludf.DUMMYFUNCTION("""COMPUTED_VALUE"""),4050)</f>
        <v>4050</v>
      </c>
      <c r="D1142" s="3" t="str">
        <f ca="1">IFERROR(__xludf.DUMMYFUNCTION("""COMPUTED_VALUE"""),"Doorlanta")</f>
        <v>Doorlanta</v>
      </c>
      <c r="E1142" s="3" t="str">
        <f ca="1">IFERROR(__xludf.DUMMYFUNCTION("""COMPUTED_VALUE"""),"Galaxy A")</f>
        <v>Galaxy A</v>
      </c>
      <c r="F1142" s="3" t="str">
        <f ca="1">IFERROR(__xludf.DUMMYFUNCTION("""COMPUTED_VALUE"""),"Jagar")</f>
        <v>Jagar</v>
      </c>
      <c r="G1142" s="3">
        <f ca="1">IFERROR(__xludf.DUMMYFUNCTION("""COMPUTED_VALUE"""),0)</f>
        <v>0</v>
      </c>
      <c r="H1142" s="3" t="str">
        <f ca="1">IFERROR(__xludf.DUMMYFUNCTION("""COMPUTED_VALUE"""),"car")</f>
        <v>car</v>
      </c>
      <c r="I1142" s="3" t="str">
        <f ca="1">IFERROR(__xludf.DUMMYFUNCTION("""COMPUTED_VALUE"""),"2055-06-01T21:20:21.285011Z")</f>
        <v>2055-06-01T21:20:21.285011Z</v>
      </c>
      <c r="J1142" s="3" t="str">
        <f ca="1">IFERROR(__xludf.DUMMYFUNCTION("""COMPUTED_VALUE"""),"2055-06-01T22:06:01.41Z")</f>
        <v>2055-06-01T22:06:01.41Z</v>
      </c>
      <c r="K1142" s="3" t="str">
        <f ca="1">IFERROR(__xludf.DUMMYFUNCTION("""COMPUTED_VALUE"""),"2055-06-01T21:59:07.41Z")</f>
        <v>2055-06-01T21:59:07.41Z</v>
      </c>
      <c r="L1142" s="3">
        <f ca="1">IFERROR(__xludf.DUMMYFUNCTION("""COMPUTED_VALUE"""),1)</f>
        <v>1</v>
      </c>
      <c r="M1142" s="3">
        <f ca="1">IFERROR(__xludf.DUMMYFUNCTION("""COMPUTED_VALUE"""),0)</f>
        <v>0</v>
      </c>
      <c r="N1142" s="3" t="str">
        <f ca="1">IFERROR(__xludf.DUMMYFUNCTION("""COMPUTED_VALUE"""),"2055-06-01T21:58:39.828802Z")</f>
        <v>2055-06-01T21:58:39.828802Z</v>
      </c>
      <c r="O1142" s="3" t="str">
        <f ca="1">IFERROR(__xludf.DUMMYFUNCTION("""COMPUTED_VALUE"""),"2055-06-01T22:05:29.831496Z")</f>
        <v>2055-06-01T22:05:29.831496Z</v>
      </c>
      <c r="P1142" s="3" t="str">
        <f ca="1">IFERROR(__xludf.DUMMYFUNCTION("""COMPUTED_VALUE"""),"2055-06-01T21:32:27.354272Z")</f>
        <v>2055-06-01T21:32:27.354272Z</v>
      </c>
      <c r="Q1142" s="3">
        <f ca="1">IFERROR(__xludf.DUMMYFUNCTION("""COMPUTED_VALUE"""),0)</f>
        <v>0</v>
      </c>
      <c r="R1142" s="3" t="str">
        <f ca="1">IFERROR(__xludf.DUMMYFUNCTION("""COMPUTED_VALUE"""),"2055-06-01T21:32:34.948613Z")</f>
        <v>2055-06-01T21:32:34.948613Z</v>
      </c>
      <c r="S1142" s="3" t="str">
        <f ca="1">IFERROR(__xludf.DUMMYFUNCTION("""COMPUTED_VALUE"""),"2055-06-01T21:50:49.30782Z")</f>
        <v>2055-06-01T21:50:49.30782Z</v>
      </c>
      <c r="T1142" s="3"/>
      <c r="U1142" s="4">
        <f ca="1">IFERROR(__xludf.DUMMYFUNCTION("""COMPUTED_VALUE"""),56766)</f>
        <v>56766</v>
      </c>
      <c r="V1142" s="3">
        <f ca="1">IFERROR(__xludf.DUMMYFUNCTION("""COMPUTED_VALUE"""),4.7)</f>
        <v>4.7</v>
      </c>
      <c r="W1142" s="3">
        <f ca="1">IFERROR(__xludf.DUMMYFUNCTION("""COMPUTED_VALUE"""),850)</f>
        <v>850</v>
      </c>
      <c r="X1142" s="3">
        <f ca="1">IFERROR(__xludf.DUMMYFUNCTION("""COMPUTED_VALUE"""),1975)</f>
        <v>1975</v>
      </c>
      <c r="Y1142" s="3">
        <f ca="1">IFERROR(__xludf.DUMMYFUNCTION("""COMPUTED_VALUE"""),1095)</f>
        <v>1095</v>
      </c>
      <c r="Z1142" s="3">
        <f ca="1">IFERROR(__xludf.DUMMYFUNCTION("""COMPUTED_VALUE"""),470)</f>
        <v>470</v>
      </c>
      <c r="AA1142" s="3">
        <f ca="1">IFERROR(__xludf.DUMMYFUNCTION("""COMPUTED_VALUE"""),410)</f>
        <v>410</v>
      </c>
      <c r="AB1142" s="3">
        <f ca="1">IFERROR(__xludf.DUMMYFUNCTION("""COMPUTED_VALUE"""),1)</f>
        <v>1</v>
      </c>
      <c r="AC1142" s="3">
        <f ca="1">IFERROR(__xludf.DUMMYFUNCTION("""COMPUTED_VALUE"""),2)</f>
        <v>2</v>
      </c>
      <c r="AD1142" s="3"/>
      <c r="AE1142" s="3" t="str">
        <f ca="1">IFERROR(__xludf.DUMMYFUNCTION("""COMPUTED_VALUE"""),"2055-06-01T17:58:39.828802Z")</f>
        <v>2055-06-01T17:58:39.828802Z</v>
      </c>
      <c r="AF1142" s="3" t="str">
        <f ca="1">IFERROR(__xludf.DUMMYFUNCTION("""COMPUTED_VALUE"""),"2055-06-01T18:05:29.831496Z")</f>
        <v>2055-06-01T18:05:29.831496Z</v>
      </c>
      <c r="AG1142" s="3" t="str">
        <f ca="1">IFERROR(__xludf.DUMMYFUNCTION("""COMPUTED_VALUE"""),"2055-06-01T17:32:27.354272Z")</f>
        <v>2055-06-01T17:32:27.354272Z</v>
      </c>
      <c r="AH1142" s="3" t="str">
        <f ca="1">IFERROR(__xludf.DUMMYFUNCTION("""COMPUTED_VALUE"""),"2055-06-01T17:50:49.30782Z")</f>
        <v>2055-06-01T17:50:49.30782Z</v>
      </c>
      <c r="AI1142" s="3">
        <f ca="1">IFERROR(__xludf.DUMMYFUNCTION("""COMPUTED_VALUE"""),4.89)</f>
        <v>4.8899999999999997</v>
      </c>
      <c r="AJ1142" s="3">
        <f ca="1">IFERROR(__xludf.DUMMYFUNCTION("""COMPUTED_VALUE"""),1778)</f>
        <v>1778</v>
      </c>
      <c r="AK1142" s="3">
        <f ca="1">IFERROR(__xludf.DUMMYFUNCTION("""COMPUTED_VALUE"""),5138)</f>
        <v>5138</v>
      </c>
      <c r="AL1142" s="3">
        <f ca="1">IFERROR(__xludf.DUMMYFUNCTION("""COMPUTED_VALUE"""),314)</f>
        <v>314</v>
      </c>
      <c r="AM1142" s="3">
        <f>IFERROR(Raw_Data!AL1142 / Raw_Data!AK1142, "")</f>
        <v>6.1113273647333592E-2</v>
      </c>
      <c r="AN1142" s="3" t="str">
        <f>IF(ISBLANK(Raw_Data!AL1142), "No", "Yes")</f>
        <v>Yes</v>
      </c>
      <c r="AO1142" s="3">
        <f>IFERROR(Raw_Data!Z1142/60, "")</f>
        <v>7.833333333333333</v>
      </c>
    </row>
    <row r="1143" spans="1:41" ht="13">
      <c r="A1143" s="3">
        <f ca="1">IFERROR(__xludf.DUMMYFUNCTION("""COMPUTED_VALUE"""),17)</f>
        <v>17</v>
      </c>
      <c r="B1143" s="3">
        <f ca="1">IFERROR(__xludf.DUMMYFUNCTION("""COMPUTED_VALUE"""),5)</f>
        <v>5</v>
      </c>
      <c r="C1143" s="3">
        <f ca="1">IFERROR(__xludf.DUMMYFUNCTION("""COMPUTED_VALUE"""),4050)</f>
        <v>4050</v>
      </c>
      <c r="D1143" s="3" t="str">
        <f ca="1">IFERROR(__xludf.DUMMYFUNCTION("""COMPUTED_VALUE"""),"Doorlanta")</f>
        <v>Doorlanta</v>
      </c>
      <c r="E1143" s="3" t="str">
        <f ca="1">IFERROR(__xludf.DUMMYFUNCTION("""COMPUTED_VALUE"""),"Galaxy A")</f>
        <v>Galaxy A</v>
      </c>
      <c r="F1143" s="3" t="str">
        <f ca="1">IFERROR(__xludf.DUMMYFUNCTION("""COMPUTED_VALUE"""),"Matt")</f>
        <v>Matt</v>
      </c>
      <c r="G1143" s="3">
        <f ca="1">IFERROR(__xludf.DUMMYFUNCTION("""COMPUTED_VALUE"""),0)</f>
        <v>0</v>
      </c>
      <c r="H1143" s="3" t="str">
        <f ca="1">IFERROR(__xludf.DUMMYFUNCTION("""COMPUTED_VALUE"""),"car")</f>
        <v>car</v>
      </c>
      <c r="I1143" s="3" t="str">
        <f ca="1">IFERROR(__xludf.DUMMYFUNCTION("""COMPUTED_VALUE"""),"2055-06-01T16:24:28.83475Z")</f>
        <v>2055-06-01T16:24:28.83475Z</v>
      </c>
      <c r="J1143" s="3" t="str">
        <f ca="1">IFERROR(__xludf.DUMMYFUNCTION("""COMPUTED_VALUE"""),"2055-06-01T17:23:11.923Z")</f>
        <v>2055-06-01T17:23:11.923Z</v>
      </c>
      <c r="K1143" s="3" t="str">
        <f ca="1">IFERROR(__xludf.DUMMYFUNCTION("""COMPUTED_VALUE"""),"2055-06-01T17:01:17.923Z")</f>
        <v>2055-06-01T17:01:17.923Z</v>
      </c>
      <c r="L1143" s="3">
        <f ca="1">IFERROR(__xludf.DUMMYFUNCTION("""COMPUTED_VALUE"""),1)</f>
        <v>1</v>
      </c>
      <c r="M1143" s="3">
        <f ca="1">IFERROR(__xludf.DUMMYFUNCTION("""COMPUTED_VALUE"""),0)</f>
        <v>0</v>
      </c>
      <c r="N1143" s="3" t="str">
        <f ca="1">IFERROR(__xludf.DUMMYFUNCTION("""COMPUTED_VALUE"""),"2055-06-01T17:03:00.990086Z")</f>
        <v>2055-06-01T17:03:00.990086Z</v>
      </c>
      <c r="O1143" s="3" t="str">
        <f ca="1">IFERROR(__xludf.DUMMYFUNCTION("""COMPUTED_VALUE"""),"2055-06-01T17:14:34.497309Z")</f>
        <v>2055-06-01T17:14:34.497309Z</v>
      </c>
      <c r="P1143" s="3" t="str">
        <f ca="1">IFERROR(__xludf.DUMMYFUNCTION("""COMPUTED_VALUE"""),"2055-06-01T16:33:13.255764Z")</f>
        <v>2055-06-01T16:33:13.255764Z</v>
      </c>
      <c r="Q1143" s="3">
        <f ca="1">IFERROR(__xludf.DUMMYFUNCTION("""COMPUTED_VALUE"""),1)</f>
        <v>1</v>
      </c>
      <c r="R1143" s="3" t="str">
        <f ca="1">IFERROR(__xludf.DUMMYFUNCTION("""COMPUTED_VALUE"""),"2055-06-01T16:33:17.376386Z")</f>
        <v>2055-06-01T16:33:17.376386Z</v>
      </c>
      <c r="S1143" s="3" t="str">
        <f ca="1">IFERROR(__xludf.DUMMYFUNCTION("""COMPUTED_VALUE"""),"2055-06-01T17:05:04.305424Z")</f>
        <v>2055-06-01T17:05:04.305424Z</v>
      </c>
      <c r="T1143" s="3"/>
      <c r="U1143" s="4">
        <f ca="1">IFERROR(__xludf.DUMMYFUNCTION("""COMPUTED_VALUE"""),56766)</f>
        <v>56766</v>
      </c>
      <c r="V1143" s="3">
        <f ca="1">IFERROR(__xludf.DUMMYFUNCTION("""COMPUTED_VALUE"""),4.4)</f>
        <v>4.4000000000000004</v>
      </c>
      <c r="W1143" s="3">
        <f ca="1">IFERROR(__xludf.DUMMYFUNCTION("""COMPUTED_VALUE"""),850)</f>
        <v>850</v>
      </c>
      <c r="X1143" s="3">
        <f ca="1">IFERROR(__xludf.DUMMYFUNCTION("""COMPUTED_VALUE"""),2477)</f>
        <v>2477</v>
      </c>
      <c r="Y1143" s="3">
        <f ca="1">IFERROR(__xludf.DUMMYFUNCTION("""COMPUTED_VALUE"""),1907)</f>
        <v>1907</v>
      </c>
      <c r="Z1143" s="3"/>
      <c r="AA1143" s="3">
        <f ca="1">IFERROR(__xludf.DUMMYFUNCTION("""COMPUTED_VALUE"""),694)</f>
        <v>694</v>
      </c>
      <c r="AB1143" s="3">
        <f ca="1">IFERROR(__xludf.DUMMYFUNCTION("""COMPUTED_VALUE"""),0)</f>
        <v>0</v>
      </c>
      <c r="AC1143" s="3">
        <f ca="1">IFERROR(__xludf.DUMMYFUNCTION("""COMPUTED_VALUE"""),1)</f>
        <v>1</v>
      </c>
      <c r="AD1143" s="3" t="str">
        <f ca="1">IFERROR(__xludf.DUMMYFUNCTION("""COMPUTED_VALUE"""),"late")</f>
        <v>late</v>
      </c>
      <c r="AE1143" s="3" t="str">
        <f ca="1">IFERROR(__xludf.DUMMYFUNCTION("""COMPUTED_VALUE"""),"2055-06-01T13:03:00.990086Z")</f>
        <v>2055-06-01T13:03:00.990086Z</v>
      </c>
      <c r="AF1143" s="3" t="str">
        <f ca="1">IFERROR(__xludf.DUMMYFUNCTION("""COMPUTED_VALUE"""),"2055-06-01T13:14:34.497309Z")</f>
        <v>2055-06-01T13:14:34.497309Z</v>
      </c>
      <c r="AG1143" s="3" t="str">
        <f ca="1">IFERROR(__xludf.DUMMYFUNCTION("""COMPUTED_VALUE"""),"2055-06-01T12:33:13.255764Z")</f>
        <v>2055-06-01T12:33:13.255764Z</v>
      </c>
      <c r="AH1143" s="3" t="str">
        <f ca="1">IFERROR(__xludf.DUMMYFUNCTION("""COMPUTED_VALUE"""),"2055-06-01T13:05:04.305424Z")</f>
        <v>2055-06-01T13:05:04.305424Z</v>
      </c>
      <c r="AI1143" s="3">
        <f ca="1">IFERROR(__xludf.DUMMYFUNCTION("""COMPUTED_VALUE"""),4.22)</f>
        <v>4.22</v>
      </c>
      <c r="AJ1143" s="3">
        <f ca="1">IFERROR(__xludf.DUMMYFUNCTION("""COMPUTED_VALUE"""),1551)</f>
        <v>1551</v>
      </c>
      <c r="AK1143" s="3">
        <f ca="1">IFERROR(__xludf.DUMMYFUNCTION("""COMPUTED_VALUE"""),4625)</f>
        <v>4625</v>
      </c>
      <c r="AL1143" s="3"/>
      <c r="AM1143" s="3">
        <f>IFERROR(Raw_Data!AL1143 / Raw_Data!AK1143, "")</f>
        <v>0</v>
      </c>
      <c r="AN1143" s="3" t="str">
        <f>IF(ISBLANK(Raw_Data!AL1143), "No", "Yes")</f>
        <v>No</v>
      </c>
      <c r="AO1143" s="3">
        <f>IFERROR(Raw_Data!Z1143/60, "")</f>
        <v>0</v>
      </c>
    </row>
    <row r="1144" spans="1:41" ht="13">
      <c r="A1144" s="3">
        <f ca="1">IFERROR(__xludf.DUMMYFUNCTION("""COMPUTED_VALUE"""),22)</f>
        <v>22</v>
      </c>
      <c r="B1144" s="3"/>
      <c r="C1144" s="3">
        <f ca="1">IFERROR(__xludf.DUMMYFUNCTION("""COMPUTED_VALUE"""),4001)</f>
        <v>4001</v>
      </c>
      <c r="D1144" s="3" t="str">
        <f ca="1">IFERROR(__xludf.DUMMYFUNCTION("""COMPUTED_VALUE"""),"Dashattan")</f>
        <v>Dashattan</v>
      </c>
      <c r="E1144" s="3" t="str">
        <f ca="1">IFERROR(__xludf.DUMMYFUNCTION("""COMPUTED_VALUE"""),"Galaxy A")</f>
        <v>Galaxy A</v>
      </c>
      <c r="F1144" s="3" t="str">
        <f ca="1">IFERROR(__xludf.DUMMYFUNCTION("""COMPUTED_VALUE"""),"J")</f>
        <v>J</v>
      </c>
      <c r="G1144" s="3">
        <f ca="1">IFERROR(__xludf.DUMMYFUNCTION("""COMPUTED_VALUE"""),0)</f>
        <v>0</v>
      </c>
      <c r="H1144" s="3" t="str">
        <f ca="1">IFERROR(__xludf.DUMMYFUNCTION("""COMPUTED_VALUE"""),"bicycle")</f>
        <v>bicycle</v>
      </c>
      <c r="I1144" s="3" t="str">
        <f ca="1">IFERROR(__xludf.DUMMYFUNCTION("""COMPUTED_VALUE"""),"2055-06-01T16:43:43.285358Z")</f>
        <v>2055-06-01T16:43:43.285358Z</v>
      </c>
      <c r="J1144" s="3" t="str">
        <f ca="1">IFERROR(__xludf.DUMMYFUNCTION("""COMPUTED_VALUE"""),"2055-06-01T18:07:09.345Z")</f>
        <v>2055-06-01T18:07:09.345Z</v>
      </c>
      <c r="K1144" s="3" t="str">
        <f ca="1">IFERROR(__xludf.DUMMYFUNCTION("""COMPUTED_VALUE"""),"2055-06-01T17:42:28.345Z")</f>
        <v>2055-06-01T17:42:28.345Z</v>
      </c>
      <c r="L1144" s="3">
        <f ca="1">IFERROR(__xludf.DUMMYFUNCTION("""COMPUTED_VALUE"""),1)</f>
        <v>1</v>
      </c>
      <c r="M1144" s="3">
        <f ca="1">IFERROR(__xludf.DUMMYFUNCTION("""COMPUTED_VALUE"""),0)</f>
        <v>0</v>
      </c>
      <c r="N1144" s="3" t="str">
        <f ca="1">IFERROR(__xludf.DUMMYFUNCTION("""COMPUTED_VALUE"""),"2055-06-01T17:39:09.077343Z")</f>
        <v>2055-06-01T17:39:09.077343Z</v>
      </c>
      <c r="O1144" s="3" t="str">
        <f ca="1">IFERROR(__xludf.DUMMYFUNCTION("""COMPUTED_VALUE"""),"2055-06-01T17:50:50.540833Z")</f>
        <v>2055-06-01T17:50:50.540833Z</v>
      </c>
      <c r="P1144" s="3" t="str">
        <f ca="1">IFERROR(__xludf.DUMMYFUNCTION("""COMPUTED_VALUE"""),"2055-06-01T17:01:54.258178Z")</f>
        <v>2055-06-01T17:01:54.258178Z</v>
      </c>
      <c r="Q1144" s="3">
        <f ca="1">IFERROR(__xludf.DUMMYFUNCTION("""COMPUTED_VALUE"""),0)</f>
        <v>0</v>
      </c>
      <c r="R1144" s="3" t="str">
        <f ca="1">IFERROR(__xludf.DUMMYFUNCTION("""COMPUTED_VALUE"""),"2055-06-01T17:01:58.469795Z")</f>
        <v>2055-06-01T17:01:58.469795Z</v>
      </c>
      <c r="S1144" s="3" t="str">
        <f ca="1">IFERROR(__xludf.DUMMYFUNCTION("""COMPUTED_VALUE"""),"2055-06-01T17:20:33.227619Z")</f>
        <v>2055-06-01T17:20:33.227619Z</v>
      </c>
      <c r="T1144" s="3"/>
      <c r="U1144" s="4">
        <f ca="1">IFERROR(__xludf.DUMMYFUNCTION("""COMPUTED_VALUE"""),56766)</f>
        <v>56766</v>
      </c>
      <c r="V1144" s="3">
        <f ca="1">IFERROR(__xludf.DUMMYFUNCTION("""COMPUTED_VALUE"""),4.2)</f>
        <v>4.2</v>
      </c>
      <c r="W1144" s="3">
        <f ca="1">IFERROR(__xludf.DUMMYFUNCTION("""COMPUTED_VALUE"""),850)</f>
        <v>850</v>
      </c>
      <c r="X1144" s="3">
        <f ca="1">IFERROR(__xludf.DUMMYFUNCTION("""COMPUTED_VALUE"""),2932)</f>
        <v>2932</v>
      </c>
      <c r="Y1144" s="3">
        <f ca="1">IFERROR(__xludf.DUMMYFUNCTION("""COMPUTED_VALUE"""),1115)</f>
        <v>1115</v>
      </c>
      <c r="Z1144" s="3">
        <f ca="1">IFERROR(__xludf.DUMMYFUNCTION("""COMPUTED_VALUE"""),1116)</f>
        <v>1116</v>
      </c>
      <c r="AA1144" s="3">
        <f ca="1">IFERROR(__xludf.DUMMYFUNCTION("""COMPUTED_VALUE"""),701)</f>
        <v>701</v>
      </c>
      <c r="AB1144" s="3">
        <f ca="1">IFERROR(__xludf.DUMMYFUNCTION("""COMPUTED_VALUE"""),0)</f>
        <v>0</v>
      </c>
      <c r="AC1144" s="3">
        <f ca="1">IFERROR(__xludf.DUMMYFUNCTION("""COMPUTED_VALUE"""),1)</f>
        <v>1</v>
      </c>
      <c r="AD1144" s="3" t="str">
        <f ca="1">IFERROR(__xludf.DUMMYFUNCTION("""COMPUTED_VALUE"""),"early")</f>
        <v>early</v>
      </c>
      <c r="AE1144" s="3" t="str">
        <f ca="1">IFERROR(__xludf.DUMMYFUNCTION("""COMPUTED_VALUE"""),"2055-06-01T13:39:09.077343Z")</f>
        <v>2055-06-01T13:39:09.077343Z</v>
      </c>
      <c r="AF1144" s="3" t="str">
        <f ca="1">IFERROR(__xludf.DUMMYFUNCTION("""COMPUTED_VALUE"""),"2055-06-01T13:50:50.540833Z")</f>
        <v>2055-06-01T13:50:50.540833Z</v>
      </c>
      <c r="AG1144" s="3" t="str">
        <f ca="1">IFERROR(__xludf.DUMMYFUNCTION("""COMPUTED_VALUE"""),"2055-06-01T13:01:54.258178Z")</f>
        <v>2055-06-01T13:01:54.258178Z</v>
      </c>
      <c r="AH1144" s="3" t="str">
        <f ca="1">IFERROR(__xludf.DUMMYFUNCTION("""COMPUTED_VALUE"""),"2055-06-01T13:20:33.227619Z")</f>
        <v>2055-06-01T13:20:33.227619Z</v>
      </c>
      <c r="AI1144" s="3">
        <f ca="1">IFERROR(__xludf.DUMMYFUNCTION("""COMPUTED_VALUE"""),4.6)</f>
        <v>4.5999999999999996</v>
      </c>
      <c r="AJ1144" s="3">
        <f ca="1">IFERROR(__xludf.DUMMYFUNCTION("""COMPUTED_VALUE"""),292)</f>
        <v>292</v>
      </c>
      <c r="AK1144" s="3">
        <f ca="1">IFERROR(__xludf.DUMMYFUNCTION("""COMPUTED_VALUE"""),1027)</f>
        <v>1027</v>
      </c>
      <c r="AL1144" s="3">
        <f ca="1">IFERROR(__xludf.DUMMYFUNCTION("""COMPUTED_VALUE"""),26)</f>
        <v>26</v>
      </c>
      <c r="AM1144" s="3">
        <f>IFERROR(Raw_Data!AL1144 / Raw_Data!AK1144, "")</f>
        <v>2.5316455696202531E-2</v>
      </c>
      <c r="AN1144" s="3" t="str">
        <f>IF(ISBLANK(Raw_Data!AL1144), "No", "Yes")</f>
        <v>Yes</v>
      </c>
      <c r="AO1144" s="3">
        <f>IFERROR(Raw_Data!Z1144/60, "")</f>
        <v>18.600000000000001</v>
      </c>
    </row>
    <row r="1145" spans="1:41" ht="13">
      <c r="A1145" s="3">
        <f ca="1">IFERROR(__xludf.DUMMYFUNCTION("""COMPUTED_VALUE"""),131)</f>
        <v>131</v>
      </c>
      <c r="B1145" s="3"/>
      <c r="C1145" s="3">
        <f ca="1">IFERROR(__xludf.DUMMYFUNCTION("""COMPUTED_VALUE"""),4001)</f>
        <v>4001</v>
      </c>
      <c r="D1145" s="3" t="str">
        <f ca="1">IFERROR(__xludf.DUMMYFUNCTION("""COMPUTED_VALUE"""),"Dashattan")</f>
        <v>Dashattan</v>
      </c>
      <c r="E1145" s="3" t="str">
        <f ca="1">IFERROR(__xludf.DUMMYFUNCTION("""COMPUTED_VALUE"""),"Galaxy A")</f>
        <v>Galaxy A</v>
      </c>
      <c r="F1145" s="3" t="str">
        <f ca="1">IFERROR(__xludf.DUMMYFUNCTION("""COMPUTED_VALUE"""),"Bunje")</f>
        <v>Bunje</v>
      </c>
      <c r="G1145" s="3">
        <f ca="1">IFERROR(__xludf.DUMMYFUNCTION("""COMPUTED_VALUE"""),0)</f>
        <v>0</v>
      </c>
      <c r="H1145" s="3" t="str">
        <f ca="1">IFERROR(__xludf.DUMMYFUNCTION("""COMPUTED_VALUE"""),"bicycle")</f>
        <v>bicycle</v>
      </c>
      <c r="I1145" s="3" t="str">
        <f ca="1">IFERROR(__xludf.DUMMYFUNCTION("""COMPUTED_VALUE"""),"2055-06-02T16:02:41.249037Z")</f>
        <v>2055-06-02T16:02:41.249037Z</v>
      </c>
      <c r="J1145" s="3" t="str">
        <f ca="1">IFERROR(__xludf.DUMMYFUNCTION("""COMPUTED_VALUE"""),"2055-06-02T17:16:38.321Z")</f>
        <v>2055-06-02T17:16:38.321Z</v>
      </c>
      <c r="K1145" s="3" t="str">
        <f ca="1">IFERROR(__xludf.DUMMYFUNCTION("""COMPUTED_VALUE"""),"2055-06-02T16:54:44.321Z")</f>
        <v>2055-06-02T16:54:44.321Z</v>
      </c>
      <c r="L1145" s="3">
        <f ca="1">IFERROR(__xludf.DUMMYFUNCTION("""COMPUTED_VALUE"""),1)</f>
        <v>1</v>
      </c>
      <c r="M1145" s="3">
        <f ca="1">IFERROR(__xludf.DUMMYFUNCTION("""COMPUTED_VALUE"""),0)</f>
        <v>0</v>
      </c>
      <c r="N1145" s="3" t="str">
        <f ca="1">IFERROR(__xludf.DUMMYFUNCTION("""COMPUTED_VALUE"""),"2055-06-02T16:54:45.613655Z")</f>
        <v>2055-06-02T16:54:45.613655Z</v>
      </c>
      <c r="O1145" s="3" t="str">
        <f ca="1">IFERROR(__xludf.DUMMYFUNCTION("""COMPUTED_VALUE"""),"2055-06-02T17:09:09.471048Z")</f>
        <v>2055-06-02T17:09:09.471048Z</v>
      </c>
      <c r="P1145" s="3" t="str">
        <f ca="1">IFERROR(__xludf.DUMMYFUNCTION("""COMPUTED_VALUE"""),"2055-06-02T16:05:14.870306Z")</f>
        <v>2055-06-02T16:05:14.870306Z</v>
      </c>
      <c r="Q1145" s="3">
        <f ca="1">IFERROR(__xludf.DUMMYFUNCTION("""COMPUTED_VALUE"""),0)</f>
        <v>0</v>
      </c>
      <c r="R1145" s="3" t="str">
        <f ca="1">IFERROR(__xludf.DUMMYFUNCTION("""COMPUTED_VALUE"""),"2055-06-02T16:05:23.764804Z")</f>
        <v>2055-06-02T16:05:23.764804Z</v>
      </c>
      <c r="S1145" s="3" t="str">
        <f ca="1">IFERROR(__xludf.DUMMYFUNCTION("""COMPUTED_VALUE"""),"2055-06-02T16:29:48.186655Z")</f>
        <v>2055-06-02T16:29:48.186655Z</v>
      </c>
      <c r="T1145" s="3"/>
      <c r="U1145" s="4">
        <f ca="1">IFERROR(__xludf.DUMMYFUNCTION("""COMPUTED_VALUE"""),56767)</f>
        <v>56767</v>
      </c>
      <c r="V1145" s="3">
        <f ca="1">IFERROR(__xludf.DUMMYFUNCTION("""COMPUTED_VALUE"""),4.2)</f>
        <v>4.2</v>
      </c>
      <c r="W1145" s="3">
        <f ca="1">IFERROR(__xludf.DUMMYFUNCTION("""COMPUTED_VALUE"""),850)</f>
        <v>850</v>
      </c>
      <c r="X1145" s="3">
        <f ca="1">IFERROR(__xludf.DUMMYFUNCTION("""COMPUTED_VALUE"""),3826)</f>
        <v>3826</v>
      </c>
      <c r="Y1145" s="3">
        <f ca="1">IFERROR(__xludf.DUMMYFUNCTION("""COMPUTED_VALUE"""),1465)</f>
        <v>1465</v>
      </c>
      <c r="Z1145" s="3">
        <f ca="1">IFERROR(__xludf.DUMMYFUNCTION("""COMPUTED_VALUE"""),1497)</f>
        <v>1497</v>
      </c>
      <c r="AA1145" s="3">
        <f ca="1">IFERROR(__xludf.DUMMYFUNCTION("""COMPUTED_VALUE"""),864)</f>
        <v>864</v>
      </c>
      <c r="AB1145" s="3">
        <f ca="1">IFERROR(__xludf.DUMMYFUNCTION("""COMPUTED_VALUE"""),0)</f>
        <v>0</v>
      </c>
      <c r="AC1145" s="3">
        <f ca="1">IFERROR(__xludf.DUMMYFUNCTION("""COMPUTED_VALUE"""),1)</f>
        <v>1</v>
      </c>
      <c r="AD1145" s="3" t="str">
        <f ca="1">IFERROR(__xludf.DUMMYFUNCTION("""COMPUTED_VALUE"""),"early")</f>
        <v>early</v>
      </c>
      <c r="AE1145" s="3" t="str">
        <f ca="1">IFERROR(__xludf.DUMMYFUNCTION("""COMPUTED_VALUE"""),"2055-06-02T12:54:45.613655Z")</f>
        <v>2055-06-02T12:54:45.613655Z</v>
      </c>
      <c r="AF1145" s="3" t="str">
        <f ca="1">IFERROR(__xludf.DUMMYFUNCTION("""COMPUTED_VALUE"""),"2055-06-02T13:09:09.471048Z")</f>
        <v>2055-06-02T13:09:09.471048Z</v>
      </c>
      <c r="AG1145" s="3" t="str">
        <f ca="1">IFERROR(__xludf.DUMMYFUNCTION("""COMPUTED_VALUE"""),"2055-06-02T12:05:14.870306Z")</f>
        <v>2055-06-02T12:05:14.870306Z</v>
      </c>
      <c r="AH1145" s="3" t="str">
        <f ca="1">IFERROR(__xludf.DUMMYFUNCTION("""COMPUTED_VALUE"""),"2055-06-02T12:29:48.186655Z")</f>
        <v>2055-06-02T12:29:48.186655Z</v>
      </c>
      <c r="AI1145" s="3">
        <f ca="1">IFERROR(__xludf.DUMMYFUNCTION("""COMPUTED_VALUE"""),4.7)</f>
        <v>4.7</v>
      </c>
      <c r="AJ1145" s="3">
        <f ca="1">IFERROR(__xludf.DUMMYFUNCTION("""COMPUTED_VALUE"""),443)</f>
        <v>443</v>
      </c>
      <c r="AK1145" s="3">
        <f ca="1">IFERROR(__xludf.DUMMYFUNCTION("""COMPUTED_VALUE"""),1579)</f>
        <v>1579</v>
      </c>
      <c r="AL1145" s="3"/>
      <c r="AM1145" s="3">
        <f>IFERROR(Raw_Data!AL1145 / Raw_Data!AK1145, "")</f>
        <v>0</v>
      </c>
      <c r="AN1145" s="3" t="str">
        <f>IF(ISBLANK(Raw_Data!AL1145), "No", "Yes")</f>
        <v>No</v>
      </c>
      <c r="AO1145" s="3">
        <f>IFERROR(Raw_Data!Z1145/60, "")</f>
        <v>24.95</v>
      </c>
    </row>
    <row r="1146" spans="1:41" ht="13">
      <c r="A1146" s="3">
        <f ca="1">IFERROR(__xludf.DUMMYFUNCTION("""COMPUTED_VALUE"""),410)</f>
        <v>410</v>
      </c>
      <c r="B1146" s="3">
        <f ca="1">IFERROR(__xludf.DUMMYFUNCTION("""COMPUTED_VALUE"""),5)</f>
        <v>5</v>
      </c>
      <c r="C1146" s="3">
        <f ca="1">IFERROR(__xludf.DUMMYFUNCTION("""COMPUTED_VALUE"""),4050)</f>
        <v>4050</v>
      </c>
      <c r="D1146" s="3" t="str">
        <f ca="1">IFERROR(__xludf.DUMMYFUNCTION("""COMPUTED_VALUE"""),"Doorlanta")</f>
        <v>Doorlanta</v>
      </c>
      <c r="E1146" s="3" t="str">
        <f ca="1">IFERROR(__xludf.DUMMYFUNCTION("""COMPUTED_VALUE"""),"Galaxy A")</f>
        <v>Galaxy A</v>
      </c>
      <c r="F1146" s="3" t="str">
        <f ca="1">IFERROR(__xludf.DUMMYFUNCTION("""COMPUTED_VALUE"""),"Matt")</f>
        <v>Matt</v>
      </c>
      <c r="G1146" s="3">
        <f ca="1">IFERROR(__xludf.DUMMYFUNCTION("""COMPUTED_VALUE"""),0)</f>
        <v>0</v>
      </c>
      <c r="H1146" s="3" t="str">
        <f ca="1">IFERROR(__xludf.DUMMYFUNCTION("""COMPUTED_VALUE"""),"car")</f>
        <v>car</v>
      </c>
      <c r="I1146" s="3" t="str">
        <f ca="1">IFERROR(__xludf.DUMMYFUNCTION("""COMPUTED_VALUE"""),"2055-06-04T15:55:00.617434Z")</f>
        <v>2055-06-04T15:55:00.617434Z</v>
      </c>
      <c r="J1146" s="3" t="str">
        <f ca="1">IFERROR(__xludf.DUMMYFUNCTION("""COMPUTED_VALUE"""),"2055-06-04T16:50:14.693Z")</f>
        <v>2055-06-04T16:50:14.693Z</v>
      </c>
      <c r="K1146" s="3" t="str">
        <f ca="1">IFERROR(__xludf.DUMMYFUNCTION("""COMPUTED_VALUE"""),"2055-06-04T16:34:35.693Z")</f>
        <v>2055-06-04T16:34:35.693Z</v>
      </c>
      <c r="L1146" s="3">
        <f ca="1">IFERROR(__xludf.DUMMYFUNCTION("""COMPUTED_VALUE"""),1)</f>
        <v>1</v>
      </c>
      <c r="M1146" s="3">
        <f ca="1">IFERROR(__xludf.DUMMYFUNCTION("""COMPUTED_VALUE"""),0)</f>
        <v>0</v>
      </c>
      <c r="N1146" s="3" t="str">
        <f ca="1">IFERROR(__xludf.DUMMYFUNCTION("""COMPUTED_VALUE"""),"2055-06-04T16:54:52.651638Z")</f>
        <v>2055-06-04T16:54:52.651638Z</v>
      </c>
      <c r="O1146" s="3" t="str">
        <f ca="1">IFERROR(__xludf.DUMMYFUNCTION("""COMPUTED_VALUE"""),"2055-06-04T17:05:21.894426Z")</f>
        <v>2055-06-04T17:05:21.894426Z</v>
      </c>
      <c r="P1146" s="3" t="str">
        <f ca="1">IFERROR(__xludf.DUMMYFUNCTION("""COMPUTED_VALUE"""),"2055-06-04T15:55:07.289041Z")</f>
        <v>2055-06-04T15:55:07.289041Z</v>
      </c>
      <c r="Q1146" s="3">
        <f ca="1">IFERROR(__xludf.DUMMYFUNCTION("""COMPUTED_VALUE"""),0)</f>
        <v>0</v>
      </c>
      <c r="R1146" s="3" t="str">
        <f ca="1">IFERROR(__xludf.DUMMYFUNCTION("""COMPUTED_VALUE"""),"2055-06-04T15:55:56.80755Z")</f>
        <v>2055-06-04T15:55:56.80755Z</v>
      </c>
      <c r="S1146" s="3" t="str">
        <f ca="1">IFERROR(__xludf.DUMMYFUNCTION("""COMPUTED_VALUE"""),"2055-06-04T16:47:32.484477Z")</f>
        <v>2055-06-04T16:47:32.484477Z</v>
      </c>
      <c r="T1146" s="3"/>
      <c r="U1146" s="4">
        <f ca="1">IFERROR(__xludf.DUMMYFUNCTION("""COMPUTED_VALUE"""),56769)</f>
        <v>56769</v>
      </c>
      <c r="V1146" s="3">
        <f ca="1">IFERROR(__xludf.DUMMYFUNCTION("""COMPUTED_VALUE"""),4.3)</f>
        <v>4.3</v>
      </c>
      <c r="W1146" s="3">
        <f ca="1">IFERROR(__xludf.DUMMYFUNCTION("""COMPUTED_VALUE"""),850)</f>
        <v>850</v>
      </c>
      <c r="X1146" s="3">
        <f ca="1">IFERROR(__xludf.DUMMYFUNCTION("""COMPUTED_VALUE"""),4165)</f>
        <v>4165</v>
      </c>
      <c r="Y1146" s="3">
        <f ca="1">IFERROR(__xludf.DUMMYFUNCTION("""COMPUTED_VALUE"""),3096)</f>
        <v>3096</v>
      </c>
      <c r="Z1146" s="3">
        <f ca="1">IFERROR(__xludf.DUMMYFUNCTION("""COMPUTED_VALUE"""),440)</f>
        <v>440</v>
      </c>
      <c r="AA1146" s="3">
        <f ca="1">IFERROR(__xludf.DUMMYFUNCTION("""COMPUTED_VALUE"""),629)</f>
        <v>629</v>
      </c>
      <c r="AB1146" s="3">
        <f ca="1">IFERROR(__xludf.DUMMYFUNCTION("""COMPUTED_VALUE"""),0)</f>
        <v>0</v>
      </c>
      <c r="AC1146" s="3">
        <f ca="1">IFERROR(__xludf.DUMMYFUNCTION("""COMPUTED_VALUE"""),2)</f>
        <v>2</v>
      </c>
      <c r="AD1146" s="3" t="str">
        <f ca="1">IFERROR(__xludf.DUMMYFUNCTION("""COMPUTED_VALUE"""),"late")</f>
        <v>late</v>
      </c>
      <c r="AE1146" s="3" t="str">
        <f ca="1">IFERROR(__xludf.DUMMYFUNCTION("""COMPUTED_VALUE"""),"2055-06-04T12:54:52.651638Z")</f>
        <v>2055-06-04T12:54:52.651638Z</v>
      </c>
      <c r="AF1146" s="3" t="str">
        <f ca="1">IFERROR(__xludf.DUMMYFUNCTION("""COMPUTED_VALUE"""),"2055-06-04T13:05:21.894426Z")</f>
        <v>2055-06-04T13:05:21.894426Z</v>
      </c>
      <c r="AG1146" s="3" t="str">
        <f ca="1">IFERROR(__xludf.DUMMYFUNCTION("""COMPUTED_VALUE"""),"2055-06-04T11:55:07.289041Z")</f>
        <v>2055-06-04T11:55:07.289041Z</v>
      </c>
      <c r="AH1146" s="3" t="str">
        <f ca="1">IFERROR(__xludf.DUMMYFUNCTION("""COMPUTED_VALUE"""),"2055-06-04T12:47:32.484477Z")</f>
        <v>2055-06-04T12:47:32.484477Z</v>
      </c>
      <c r="AI1146" s="3">
        <f ca="1">IFERROR(__xludf.DUMMYFUNCTION("""COMPUTED_VALUE"""),4.22)</f>
        <v>4.22</v>
      </c>
      <c r="AJ1146" s="3">
        <f ca="1">IFERROR(__xludf.DUMMYFUNCTION("""COMPUTED_VALUE"""),1551)</f>
        <v>1551</v>
      </c>
      <c r="AK1146" s="3">
        <f ca="1">IFERROR(__xludf.DUMMYFUNCTION("""COMPUTED_VALUE"""),4625)</f>
        <v>4625</v>
      </c>
      <c r="AL1146" s="3"/>
      <c r="AM1146" s="3">
        <f>IFERROR(Raw_Data!AL1146 / Raw_Data!AK1146, "")</f>
        <v>0</v>
      </c>
      <c r="AN1146" s="3" t="str">
        <f>IF(ISBLANK(Raw_Data!AL1146), "No", "Yes")</f>
        <v>No</v>
      </c>
      <c r="AO1146" s="3">
        <f>IFERROR(Raw_Data!Z1146/60, "")</f>
        <v>7.333333333333333</v>
      </c>
    </row>
    <row r="1147" spans="1:41" ht="13">
      <c r="A1147" s="3">
        <f ca="1">IFERROR(__xludf.DUMMYFUNCTION("""COMPUTED_VALUE"""),775)</f>
        <v>775</v>
      </c>
      <c r="B1147" s="3"/>
      <c r="C1147" s="3">
        <f ca="1">IFERROR(__xludf.DUMMYFUNCTION("""COMPUTED_VALUE"""),4001)</f>
        <v>4001</v>
      </c>
      <c r="D1147" s="3" t="str">
        <f ca="1">IFERROR(__xludf.DUMMYFUNCTION("""COMPUTED_VALUE"""),"Dashattan")</f>
        <v>Dashattan</v>
      </c>
      <c r="E1147" s="3" t="str">
        <f ca="1">IFERROR(__xludf.DUMMYFUNCTION("""COMPUTED_VALUE"""),"Galaxy A")</f>
        <v>Galaxy A</v>
      </c>
      <c r="F1147" s="3" t="str">
        <f ca="1">IFERROR(__xludf.DUMMYFUNCTION("""COMPUTED_VALUE"""),"Sean")</f>
        <v>Sean</v>
      </c>
      <c r="G1147" s="3">
        <f ca="1">IFERROR(__xludf.DUMMYFUNCTION("""COMPUTED_VALUE"""),0)</f>
        <v>0</v>
      </c>
      <c r="H1147" s="3" t="str">
        <f ca="1">IFERROR(__xludf.DUMMYFUNCTION("""COMPUTED_VALUE"""),"bicycle")</f>
        <v>bicycle</v>
      </c>
      <c r="I1147" s="3" t="str">
        <f ca="1">IFERROR(__xludf.DUMMYFUNCTION("""COMPUTED_VALUE"""),"2055-06-06T22:21:19.041184Z")</f>
        <v>2055-06-06T22:21:19.041184Z</v>
      </c>
      <c r="J1147" s="3" t="str">
        <f ca="1">IFERROR(__xludf.DUMMYFUNCTION("""COMPUTED_VALUE"""),"2055-06-06T23:13:30.096Z")</f>
        <v>2055-06-06T23:13:30.096Z</v>
      </c>
      <c r="K1147" s="3" t="str">
        <f ca="1">IFERROR(__xludf.DUMMYFUNCTION("""COMPUTED_VALUE"""),"2055-06-06T22:54:37.096Z")</f>
        <v>2055-06-06T22:54:37.096Z</v>
      </c>
      <c r="L1147" s="3">
        <f ca="1">IFERROR(__xludf.DUMMYFUNCTION("""COMPUTED_VALUE"""),1)</f>
        <v>1</v>
      </c>
      <c r="M1147" s="3">
        <f ca="1">IFERROR(__xludf.DUMMYFUNCTION("""COMPUTED_VALUE"""),0)</f>
        <v>0</v>
      </c>
      <c r="N1147" s="3" t="str">
        <f ca="1">IFERROR(__xludf.DUMMYFUNCTION("""COMPUTED_VALUE"""),"2055-06-06T22:51:37.504777Z")</f>
        <v>2055-06-06T22:51:37.504777Z</v>
      </c>
      <c r="O1147" s="3" t="str">
        <f ca="1">IFERROR(__xludf.DUMMYFUNCTION("""COMPUTED_VALUE"""),"2055-06-06T22:59:52.07148Z")</f>
        <v>2055-06-06T22:59:52.07148Z</v>
      </c>
      <c r="P1147" s="3" t="str">
        <f ca="1">IFERROR(__xludf.DUMMYFUNCTION("""COMPUTED_VALUE"""),"2055-06-06T22:26:14.327051Z")</f>
        <v>2055-06-06T22:26:14.327051Z</v>
      </c>
      <c r="Q1147" s="3">
        <f ca="1">IFERROR(__xludf.DUMMYFUNCTION("""COMPUTED_VALUE"""),0)</f>
        <v>0</v>
      </c>
      <c r="R1147" s="3" t="str">
        <f ca="1">IFERROR(__xludf.DUMMYFUNCTION("""COMPUTED_VALUE"""),"2055-06-06T22:26:31.271929Z")</f>
        <v>2055-06-06T22:26:31.271929Z</v>
      </c>
      <c r="S1147" s="3" t="str">
        <f ca="1">IFERROR(__xludf.DUMMYFUNCTION("""COMPUTED_VALUE"""),"2055-06-06T22:37:38.504844Z")</f>
        <v>2055-06-06T22:37:38.504844Z</v>
      </c>
      <c r="T1147" s="3"/>
      <c r="U1147" s="4">
        <f ca="1">IFERROR(__xludf.DUMMYFUNCTION("""COMPUTED_VALUE"""),56771)</f>
        <v>56771</v>
      </c>
      <c r="V1147" s="3">
        <f ca="1">IFERROR(__xludf.DUMMYFUNCTION("""COMPUTED_VALUE"""),3.31619978)</f>
        <v>3.3161997799999998</v>
      </c>
      <c r="W1147" s="3">
        <f ca="1">IFERROR(__xludf.DUMMYFUNCTION("""COMPUTED_VALUE"""),850)</f>
        <v>850</v>
      </c>
      <c r="X1147" s="3">
        <f ca="1">IFERROR(__xludf.DUMMYFUNCTION("""COMPUTED_VALUE"""),2001)</f>
        <v>2001</v>
      </c>
      <c r="Y1147" s="3">
        <f ca="1">IFERROR(__xludf.DUMMYFUNCTION("""COMPUTED_VALUE"""),667)</f>
        <v>667</v>
      </c>
      <c r="Z1147" s="3">
        <f ca="1">IFERROR(__xludf.DUMMYFUNCTION("""COMPUTED_VALUE"""),839)</f>
        <v>839</v>
      </c>
      <c r="AA1147" s="3">
        <f ca="1">IFERROR(__xludf.DUMMYFUNCTION("""COMPUTED_VALUE"""),495)</f>
        <v>495</v>
      </c>
      <c r="AB1147" s="3">
        <f ca="1">IFERROR(__xludf.DUMMYFUNCTION("""COMPUTED_VALUE"""),0)</f>
        <v>0</v>
      </c>
      <c r="AC1147" s="3">
        <f ca="1">IFERROR(__xludf.DUMMYFUNCTION("""COMPUTED_VALUE"""),2)</f>
        <v>2</v>
      </c>
      <c r="AD1147" s="3" t="str">
        <f ca="1">IFERROR(__xludf.DUMMYFUNCTION("""COMPUTED_VALUE"""),"on time")</f>
        <v>on time</v>
      </c>
      <c r="AE1147" s="3" t="str">
        <f ca="1">IFERROR(__xludf.DUMMYFUNCTION("""COMPUTED_VALUE"""),"2055-06-06T18:51:37.504777Z")</f>
        <v>2055-06-06T18:51:37.504777Z</v>
      </c>
      <c r="AF1147" s="3" t="str">
        <f ca="1">IFERROR(__xludf.DUMMYFUNCTION("""COMPUTED_VALUE"""),"2055-06-06T18:59:52.07148Z")</f>
        <v>2055-06-06T18:59:52.07148Z</v>
      </c>
      <c r="AG1147" s="3" t="str">
        <f ca="1">IFERROR(__xludf.DUMMYFUNCTION("""COMPUTED_VALUE"""),"2055-06-06T18:26:14.327051Z")</f>
        <v>2055-06-06T18:26:14.327051Z</v>
      </c>
      <c r="AH1147" s="3" t="str">
        <f ca="1">IFERROR(__xludf.DUMMYFUNCTION("""COMPUTED_VALUE"""),"2055-06-06T18:37:38.504844Z")</f>
        <v>2055-06-06T18:37:38.504844Z</v>
      </c>
      <c r="AI1147" s="3">
        <f ca="1">IFERROR(__xludf.DUMMYFUNCTION("""COMPUTED_VALUE"""),4.52)</f>
        <v>4.5199999999999996</v>
      </c>
      <c r="AJ1147" s="3">
        <f ca="1">IFERROR(__xludf.DUMMYFUNCTION("""COMPUTED_VALUE"""),183)</f>
        <v>183</v>
      </c>
      <c r="AK1147" s="3">
        <f ca="1">IFERROR(__xludf.DUMMYFUNCTION("""COMPUTED_VALUE"""),522)</f>
        <v>522</v>
      </c>
      <c r="AL1147" s="3"/>
      <c r="AM1147" s="3">
        <f>IFERROR(Raw_Data!AL1147 / Raw_Data!AK1147, "")</f>
        <v>0</v>
      </c>
      <c r="AN1147" s="3" t="str">
        <f>IF(ISBLANK(Raw_Data!AL1147), "No", "Yes")</f>
        <v>No</v>
      </c>
      <c r="AO1147" s="3">
        <f>IFERROR(Raw_Data!Z1147/60, "")</f>
        <v>13.983333333333333</v>
      </c>
    </row>
    <row r="1148" spans="1:41" ht="13">
      <c r="A1148" s="3">
        <f ca="1">IFERROR(__xludf.DUMMYFUNCTION("""COMPUTED_VALUE"""),1475)</f>
        <v>1475</v>
      </c>
      <c r="B1148" s="3"/>
      <c r="C1148" s="3">
        <f ca="1">IFERROR(__xludf.DUMMYFUNCTION("""COMPUTED_VALUE"""),4001)</f>
        <v>4001</v>
      </c>
      <c r="D1148" s="3" t="str">
        <f ca="1">IFERROR(__xludf.DUMMYFUNCTION("""COMPUTED_VALUE"""),"Dashattan")</f>
        <v>Dashattan</v>
      </c>
      <c r="E1148" s="3" t="str">
        <f ca="1">IFERROR(__xludf.DUMMYFUNCTION("""COMPUTED_VALUE"""),"Galaxy A")</f>
        <v>Galaxy A</v>
      </c>
      <c r="F1148" s="3" t="str">
        <f ca="1">IFERROR(__xludf.DUMMYFUNCTION("""COMPUTED_VALUE"""),"Mike")</f>
        <v>Mike</v>
      </c>
      <c r="G1148" s="3">
        <f ca="1">IFERROR(__xludf.DUMMYFUNCTION("""COMPUTED_VALUE"""),0)</f>
        <v>0</v>
      </c>
      <c r="H1148" s="3" t="str">
        <f ca="1">IFERROR(__xludf.DUMMYFUNCTION("""COMPUTED_VALUE"""),"bicycle")</f>
        <v>bicycle</v>
      </c>
      <c r="I1148" s="3" t="str">
        <f ca="1">IFERROR(__xludf.DUMMYFUNCTION("""COMPUTED_VALUE"""),"2055-06-12T22:26:54.808311Z")</f>
        <v>2055-06-12T22:26:54.808311Z</v>
      </c>
      <c r="J1148" s="3" t="str">
        <f ca="1">IFERROR(__xludf.DUMMYFUNCTION("""COMPUTED_VALUE"""),"2055-06-12T23:27:16.868Z")</f>
        <v>2055-06-12T23:27:16.868Z</v>
      </c>
      <c r="K1148" s="3" t="str">
        <f ca="1">IFERROR(__xludf.DUMMYFUNCTION("""COMPUTED_VALUE"""),"2055-06-12T23:07:37.868Z")</f>
        <v>2055-06-12T23:07:37.868Z</v>
      </c>
      <c r="L1148" s="3">
        <f ca="1">IFERROR(__xludf.DUMMYFUNCTION("""COMPUTED_VALUE"""),1)</f>
        <v>1</v>
      </c>
      <c r="M1148" s="3">
        <f ca="1">IFERROR(__xludf.DUMMYFUNCTION("""COMPUTED_VALUE"""),0)</f>
        <v>0</v>
      </c>
      <c r="N1148" s="3" t="str">
        <f ca="1">IFERROR(__xludf.DUMMYFUNCTION("""COMPUTED_VALUE"""),"2055-06-12T23:08:32.901291Z")</f>
        <v>2055-06-12T23:08:32.901291Z</v>
      </c>
      <c r="O1148" s="3" t="str">
        <f ca="1">IFERROR(__xludf.DUMMYFUNCTION("""COMPUTED_VALUE"""),"2055-06-12T23:08:46.470371Z")</f>
        <v>2055-06-12T23:08:46.470371Z</v>
      </c>
      <c r="P1148" s="3" t="str">
        <f ca="1">IFERROR(__xludf.DUMMYFUNCTION("""COMPUTED_VALUE"""),"2055-06-12T22:27:14.606425Z")</f>
        <v>2055-06-12T22:27:14.606425Z</v>
      </c>
      <c r="Q1148" s="3">
        <f ca="1">IFERROR(__xludf.DUMMYFUNCTION("""COMPUTED_VALUE"""),0)</f>
        <v>0</v>
      </c>
      <c r="R1148" s="3" t="str">
        <f ca="1">IFERROR(__xludf.DUMMYFUNCTION("""COMPUTED_VALUE"""),"2055-06-12T22:27:24.118838Z")</f>
        <v>2055-06-12T22:27:24.118838Z</v>
      </c>
      <c r="S1148" s="3"/>
      <c r="T1148" s="3"/>
      <c r="U1148" s="4">
        <f ca="1">IFERROR(__xludf.DUMMYFUNCTION("""COMPUTED_VALUE"""),56777)</f>
        <v>56777</v>
      </c>
      <c r="V1148" s="3">
        <f ca="1">IFERROR(__xludf.DUMMYFUNCTION("""COMPUTED_VALUE"""),3.896959729)</f>
        <v>3.8969597290000002</v>
      </c>
      <c r="W1148" s="3">
        <f ca="1">IFERROR(__xludf.DUMMYFUNCTION("""COMPUTED_VALUE"""),850)</f>
        <v>850</v>
      </c>
      <c r="X1148" s="3">
        <f ca="1">IFERROR(__xludf.DUMMYFUNCTION("""COMPUTED_VALUE"""),2482)</f>
        <v>2482</v>
      </c>
      <c r="Y1148" s="3"/>
      <c r="Z1148" s="3"/>
      <c r="AA1148" s="3">
        <f ca="1">IFERROR(__xludf.DUMMYFUNCTION("""COMPUTED_VALUE"""),14)</f>
        <v>14</v>
      </c>
      <c r="AB1148" s="3">
        <f ca="1">IFERROR(__xludf.DUMMYFUNCTION("""COMPUTED_VALUE"""),0)</f>
        <v>0</v>
      </c>
      <c r="AC1148" s="3">
        <f ca="1">IFERROR(__xludf.DUMMYFUNCTION("""COMPUTED_VALUE"""),2)</f>
        <v>2</v>
      </c>
      <c r="AD1148" s="3"/>
      <c r="AE1148" s="3" t="str">
        <f ca="1">IFERROR(__xludf.DUMMYFUNCTION("""COMPUTED_VALUE"""),"2055-06-12T19:08:32.901291Z")</f>
        <v>2055-06-12T19:08:32.901291Z</v>
      </c>
      <c r="AF1148" s="3" t="str">
        <f ca="1">IFERROR(__xludf.DUMMYFUNCTION("""COMPUTED_VALUE"""),"2055-06-12T19:08:46.470371Z")</f>
        <v>2055-06-12T19:08:46.470371Z</v>
      </c>
      <c r="AG1148" s="3" t="str">
        <f ca="1">IFERROR(__xludf.DUMMYFUNCTION("""COMPUTED_VALUE"""),"2055-06-12T18:27:14.606425Z")</f>
        <v>2055-06-12T18:27:14.606425Z</v>
      </c>
      <c r="AH1148" s="3"/>
      <c r="AI1148" s="3">
        <f ca="1">IFERROR(__xludf.DUMMYFUNCTION("""COMPUTED_VALUE"""),4.63)</f>
        <v>4.63</v>
      </c>
      <c r="AJ1148" s="3">
        <f ca="1">IFERROR(__xludf.DUMMYFUNCTION("""COMPUTED_VALUE"""),242)</f>
        <v>242</v>
      </c>
      <c r="AK1148" s="3">
        <f ca="1">IFERROR(__xludf.DUMMYFUNCTION("""COMPUTED_VALUE"""),736)</f>
        <v>736</v>
      </c>
      <c r="AL1148" s="3"/>
      <c r="AM1148" s="3">
        <f>IFERROR(Raw_Data!AL1148 / Raw_Data!AK1148, "")</f>
        <v>0</v>
      </c>
      <c r="AN1148" s="3" t="str">
        <f>IF(ISBLANK(Raw_Data!AL1148), "No", "Yes")</f>
        <v>No</v>
      </c>
      <c r="AO1148" s="3">
        <f>IFERROR(Raw_Data!Z1148/60, "")</f>
        <v>0</v>
      </c>
    </row>
    <row r="1149" spans="1:41" ht="13">
      <c r="A1149" s="3">
        <f ca="1">IFERROR(__xludf.DUMMYFUNCTION("""COMPUTED_VALUE"""),149)</f>
        <v>149</v>
      </c>
      <c r="B1149" s="3">
        <f ca="1">IFERROR(__xludf.DUMMYFUNCTION("""COMPUTED_VALUE"""),5)</f>
        <v>5</v>
      </c>
      <c r="C1149" s="3">
        <f ca="1">IFERROR(__xludf.DUMMYFUNCTION("""COMPUTED_VALUE"""),4050)</f>
        <v>4050</v>
      </c>
      <c r="D1149" s="3" t="str">
        <f ca="1">IFERROR(__xludf.DUMMYFUNCTION("""COMPUTED_VALUE"""),"Doorlanta")</f>
        <v>Doorlanta</v>
      </c>
      <c r="E1149" s="3" t="str">
        <f ca="1">IFERROR(__xludf.DUMMYFUNCTION("""COMPUTED_VALUE"""),"Galaxy A")</f>
        <v>Galaxy A</v>
      </c>
      <c r="F1149" s="3" t="str">
        <f ca="1">IFERROR(__xludf.DUMMYFUNCTION("""COMPUTED_VALUE"""),"Ash")</f>
        <v>Ash</v>
      </c>
      <c r="G1149" s="3">
        <f ca="1">IFERROR(__xludf.DUMMYFUNCTION("""COMPUTED_VALUE"""),0)</f>
        <v>0</v>
      </c>
      <c r="H1149" s="3" t="str">
        <f ca="1">IFERROR(__xludf.DUMMYFUNCTION("""COMPUTED_VALUE"""),"car")</f>
        <v>car</v>
      </c>
      <c r="I1149" s="3" t="str">
        <f ca="1">IFERROR(__xludf.DUMMYFUNCTION("""COMPUTED_VALUE"""),"2055-06-02T17:54:07.21742Z")</f>
        <v>2055-06-02T17:54:07.21742Z</v>
      </c>
      <c r="J1149" s="3" t="str">
        <f ca="1">IFERROR(__xludf.DUMMYFUNCTION("""COMPUTED_VALUE"""),"2055-06-02T18:49:07.288Z")</f>
        <v>2055-06-02T18:49:07.288Z</v>
      </c>
      <c r="K1149" s="3" t="str">
        <f ca="1">IFERROR(__xludf.DUMMYFUNCTION("""COMPUTED_VALUE"""),"2055-06-02T18:28:19.288Z")</f>
        <v>2055-06-02T18:28:19.288Z</v>
      </c>
      <c r="L1149" s="3">
        <f ca="1">IFERROR(__xludf.DUMMYFUNCTION("""COMPUTED_VALUE"""),1)</f>
        <v>1</v>
      </c>
      <c r="M1149" s="3">
        <f ca="1">IFERROR(__xludf.DUMMYFUNCTION("""COMPUTED_VALUE"""),0)</f>
        <v>0</v>
      </c>
      <c r="N1149" s="3" t="str">
        <f ca="1">IFERROR(__xludf.DUMMYFUNCTION("""COMPUTED_VALUE"""),"2055-06-02T18:20:58.804667Z")</f>
        <v>2055-06-02T18:20:58.804667Z</v>
      </c>
      <c r="O1149" s="3" t="str">
        <f ca="1">IFERROR(__xludf.DUMMYFUNCTION("""COMPUTED_VALUE"""),"2055-06-02T18:21:06.675587Z")</f>
        <v>2055-06-02T18:21:06.675587Z</v>
      </c>
      <c r="P1149" s="3" t="str">
        <f ca="1">IFERROR(__xludf.DUMMYFUNCTION("""COMPUTED_VALUE"""),"2055-06-02T17:54:27.285469Z")</f>
        <v>2055-06-02T17:54:27.285469Z</v>
      </c>
      <c r="Q1149" s="3">
        <f ca="1">IFERROR(__xludf.DUMMYFUNCTION("""COMPUTED_VALUE"""),0)</f>
        <v>0</v>
      </c>
      <c r="R1149" s="3" t="str">
        <f ca="1">IFERROR(__xludf.DUMMYFUNCTION("""COMPUTED_VALUE"""),"2055-06-02T17:54:48.438868Z")</f>
        <v>2055-06-02T17:54:48.438868Z</v>
      </c>
      <c r="S1149" s="3"/>
      <c r="T1149" s="3"/>
      <c r="U1149" s="4">
        <f ca="1">IFERROR(__xludf.DUMMYFUNCTION("""COMPUTED_VALUE"""),56767)</f>
        <v>56767</v>
      </c>
      <c r="V1149" s="3">
        <f ca="1">IFERROR(__xludf.DUMMYFUNCTION("""COMPUTED_VALUE"""),4.6)</f>
        <v>4.5999999999999996</v>
      </c>
      <c r="W1149" s="3">
        <f ca="1">IFERROR(__xludf.DUMMYFUNCTION("""COMPUTED_VALUE"""),850)</f>
        <v>850</v>
      </c>
      <c r="X1149" s="3">
        <f ca="1">IFERROR(__xludf.DUMMYFUNCTION("""COMPUTED_VALUE"""),1578)</f>
        <v>1578</v>
      </c>
      <c r="Y1149" s="3"/>
      <c r="Z1149" s="3"/>
      <c r="AA1149" s="3">
        <f ca="1">IFERROR(__xludf.DUMMYFUNCTION("""COMPUTED_VALUE"""),8)</f>
        <v>8</v>
      </c>
      <c r="AB1149" s="3">
        <f ca="1">IFERROR(__xludf.DUMMYFUNCTION("""COMPUTED_VALUE"""),0)</f>
        <v>0</v>
      </c>
      <c r="AC1149" s="3">
        <f ca="1">IFERROR(__xludf.DUMMYFUNCTION("""COMPUTED_VALUE"""),1)</f>
        <v>1</v>
      </c>
      <c r="AD1149" s="3"/>
      <c r="AE1149" s="3" t="str">
        <f ca="1">IFERROR(__xludf.DUMMYFUNCTION("""COMPUTED_VALUE"""),"2055-06-02T14:20:58.804667Z")</f>
        <v>2055-06-02T14:20:58.804667Z</v>
      </c>
      <c r="AF1149" s="3" t="str">
        <f ca="1">IFERROR(__xludf.DUMMYFUNCTION("""COMPUTED_VALUE"""),"2055-06-02T14:21:06.675587Z")</f>
        <v>2055-06-02T14:21:06.675587Z</v>
      </c>
      <c r="AG1149" s="3" t="str">
        <f ca="1">IFERROR(__xludf.DUMMYFUNCTION("""COMPUTED_VALUE"""),"2055-06-02T13:54:27.285469Z")</f>
        <v>2055-06-02T13:54:27.285469Z</v>
      </c>
      <c r="AH1149" s="3"/>
      <c r="AI1149" s="3">
        <f ca="1">IFERROR(__xludf.DUMMYFUNCTION("""COMPUTED_VALUE"""),4.66)</f>
        <v>4.66</v>
      </c>
      <c r="AJ1149" s="3">
        <f ca="1">IFERROR(__xludf.DUMMYFUNCTION("""COMPUTED_VALUE"""),161)</f>
        <v>161</v>
      </c>
      <c r="AK1149" s="3">
        <f ca="1">IFERROR(__xludf.DUMMYFUNCTION("""COMPUTED_VALUE"""),398)</f>
        <v>398</v>
      </c>
      <c r="AL1149" s="3"/>
      <c r="AM1149" s="3">
        <f>IFERROR(Raw_Data!AL1149 / Raw_Data!AK1149, "")</f>
        <v>0</v>
      </c>
      <c r="AN1149" s="3" t="str">
        <f>IF(ISBLANK(Raw_Data!AL1149), "No", "Yes")</f>
        <v>No</v>
      </c>
      <c r="AO1149" s="3">
        <f>IFERROR(Raw_Data!Z1149/60, "")</f>
        <v>0</v>
      </c>
    </row>
    <row r="1150" spans="1:41" ht="13">
      <c r="A1150" s="3">
        <f ca="1">IFERROR(__xludf.DUMMYFUNCTION("""COMPUTED_VALUE"""),303)</f>
        <v>303</v>
      </c>
      <c r="B1150" s="3">
        <f ca="1">IFERROR(__xludf.DUMMYFUNCTION("""COMPUTED_VALUE"""),5)</f>
        <v>5</v>
      </c>
      <c r="C1150" s="3">
        <f ca="1">IFERROR(__xludf.DUMMYFUNCTION("""COMPUTED_VALUE"""),4050)</f>
        <v>4050</v>
      </c>
      <c r="D1150" s="3" t="str">
        <f ca="1">IFERROR(__xludf.DUMMYFUNCTION("""COMPUTED_VALUE"""),"Doorlanta")</f>
        <v>Doorlanta</v>
      </c>
      <c r="E1150" s="3" t="str">
        <f ca="1">IFERROR(__xludf.DUMMYFUNCTION("""COMPUTED_VALUE"""),"Galaxy A")</f>
        <v>Galaxy A</v>
      </c>
      <c r="F1150" s="3" t="str">
        <f ca="1">IFERROR(__xludf.DUMMYFUNCTION("""COMPUTED_VALUE"""),"Elon")</f>
        <v>Elon</v>
      </c>
      <c r="G1150" s="3">
        <f ca="1">IFERROR(__xludf.DUMMYFUNCTION("""COMPUTED_VALUE"""),0)</f>
        <v>0</v>
      </c>
      <c r="H1150" s="3" t="str">
        <f ca="1">IFERROR(__xludf.DUMMYFUNCTION("""COMPUTED_VALUE"""),"car")</f>
        <v>car</v>
      </c>
      <c r="I1150" s="3" t="str">
        <f ca="1">IFERROR(__xludf.DUMMYFUNCTION("""COMPUTED_VALUE"""),"2055-06-03T17:56:15.228547Z")</f>
        <v>2055-06-03T17:56:15.228547Z</v>
      </c>
      <c r="J1150" s="3" t="str">
        <f ca="1">IFERROR(__xludf.DUMMYFUNCTION("""COMPUTED_VALUE"""),"2055-06-03T18:46:15.291Z")</f>
        <v>2055-06-03T18:46:15.291Z</v>
      </c>
      <c r="K1150" s="3" t="str">
        <f ca="1">IFERROR(__xludf.DUMMYFUNCTION("""COMPUTED_VALUE"""),"2055-06-03T18:21:31.291Z")</f>
        <v>2055-06-03T18:21:31.291Z</v>
      </c>
      <c r="L1150" s="3">
        <f ca="1">IFERROR(__xludf.DUMMYFUNCTION("""COMPUTED_VALUE"""),1)</f>
        <v>1</v>
      </c>
      <c r="M1150" s="3">
        <f ca="1">IFERROR(__xludf.DUMMYFUNCTION("""COMPUTED_VALUE"""),0)</f>
        <v>0</v>
      </c>
      <c r="N1150" s="3" t="str">
        <f ca="1">IFERROR(__xludf.DUMMYFUNCTION("""COMPUTED_VALUE"""),"2055-06-03T18:01:41.229466Z")</f>
        <v>2055-06-03T18:01:41.229466Z</v>
      </c>
      <c r="O1150" s="3" t="str">
        <f ca="1">IFERROR(__xludf.DUMMYFUNCTION("""COMPUTED_VALUE"""),"2055-06-03T18:10:07.781731Z")</f>
        <v>2055-06-03T18:10:07.781731Z</v>
      </c>
      <c r="P1150" s="3" t="str">
        <f ca="1">IFERROR(__xludf.DUMMYFUNCTION("""COMPUTED_VALUE"""),"2055-06-03T17:56:27.368516Z")</f>
        <v>2055-06-03T17:56:27.368516Z</v>
      </c>
      <c r="Q1150" s="3">
        <f ca="1">IFERROR(__xludf.DUMMYFUNCTION("""COMPUTED_VALUE"""),0)</f>
        <v>0</v>
      </c>
      <c r="R1150" s="3" t="str">
        <f ca="1">IFERROR(__xludf.DUMMYFUNCTION("""COMPUTED_VALUE"""),"2055-06-03T17:56:36.220705Z")</f>
        <v>2055-06-03T17:56:36.220705Z</v>
      </c>
      <c r="S1150" s="3"/>
      <c r="T1150" s="3"/>
      <c r="U1150" s="4">
        <f ca="1">IFERROR(__xludf.DUMMYFUNCTION("""COMPUTED_VALUE"""),56768)</f>
        <v>56768</v>
      </c>
      <c r="V1150" s="3">
        <f ca="1">IFERROR(__xludf.DUMMYFUNCTION("""COMPUTED_VALUE"""),4.6)</f>
        <v>4.5999999999999996</v>
      </c>
      <c r="W1150" s="3">
        <f ca="1">IFERROR(__xludf.DUMMYFUNCTION("""COMPUTED_VALUE"""),850)</f>
        <v>850</v>
      </c>
      <c r="X1150" s="3">
        <f ca="1">IFERROR(__xludf.DUMMYFUNCTION("""COMPUTED_VALUE"""),811)</f>
        <v>811</v>
      </c>
      <c r="Y1150" s="3"/>
      <c r="Z1150" s="3"/>
      <c r="AA1150" s="3">
        <f ca="1">IFERROR(__xludf.DUMMYFUNCTION("""COMPUTED_VALUE"""),506)</f>
        <v>506</v>
      </c>
      <c r="AB1150" s="3">
        <f ca="1">IFERROR(__xludf.DUMMYFUNCTION("""COMPUTED_VALUE"""),0)</f>
        <v>0</v>
      </c>
      <c r="AC1150" s="3">
        <f ca="1">IFERROR(__xludf.DUMMYFUNCTION("""COMPUTED_VALUE"""),1)</f>
        <v>1</v>
      </c>
      <c r="AD1150" s="3"/>
      <c r="AE1150" s="3" t="str">
        <f ca="1">IFERROR(__xludf.DUMMYFUNCTION("""COMPUTED_VALUE"""),"2055-06-03T14:01:41.229466Z")</f>
        <v>2055-06-03T14:01:41.229466Z</v>
      </c>
      <c r="AF1150" s="3" t="str">
        <f ca="1">IFERROR(__xludf.DUMMYFUNCTION("""COMPUTED_VALUE"""),"2055-06-03T14:10:07.781731Z")</f>
        <v>2055-06-03T14:10:07.781731Z</v>
      </c>
      <c r="AG1150" s="3" t="str">
        <f ca="1">IFERROR(__xludf.DUMMYFUNCTION("""COMPUTED_VALUE"""),"2055-06-03T13:56:27.368516Z")</f>
        <v>2055-06-03T13:56:27.368516Z</v>
      </c>
      <c r="AH1150" s="3"/>
      <c r="AI1150" s="3">
        <f ca="1">IFERROR(__xludf.DUMMYFUNCTION("""COMPUTED_VALUE"""),4.62)</f>
        <v>4.62</v>
      </c>
      <c r="AJ1150" s="3">
        <f ca="1">IFERROR(__xludf.DUMMYFUNCTION("""COMPUTED_VALUE"""),259)</f>
        <v>259</v>
      </c>
      <c r="AK1150" s="3">
        <f ca="1">IFERROR(__xludf.DUMMYFUNCTION("""COMPUTED_VALUE"""),604)</f>
        <v>604</v>
      </c>
      <c r="AL1150" s="3">
        <f ca="1">IFERROR(__xludf.DUMMYFUNCTION("""COMPUTED_VALUE"""),21)</f>
        <v>21</v>
      </c>
      <c r="AM1150" s="3">
        <f>IFERROR(Raw_Data!AL1150 / Raw_Data!AK1150, "")</f>
        <v>3.4768211920529798E-2</v>
      </c>
      <c r="AN1150" s="3" t="str">
        <f>IF(ISBLANK(Raw_Data!AL1150), "No", "Yes")</f>
        <v>Yes</v>
      </c>
      <c r="AO1150" s="3">
        <f>IFERROR(Raw_Data!Z1150/60, "")</f>
        <v>0</v>
      </c>
    </row>
    <row r="1151" spans="1:41" ht="13">
      <c r="A1151" s="3">
        <f ca="1">IFERROR(__xludf.DUMMYFUNCTION("""COMPUTED_VALUE"""),91)</f>
        <v>91</v>
      </c>
      <c r="B1151" s="3">
        <f ca="1">IFERROR(__xludf.DUMMYFUNCTION("""COMPUTED_VALUE"""),3)</f>
        <v>3</v>
      </c>
      <c r="C1151" s="3">
        <f ca="1">IFERROR(__xludf.DUMMYFUNCTION("""COMPUTED_VALUE"""),4050)</f>
        <v>4050</v>
      </c>
      <c r="D1151" s="3" t="str">
        <f ca="1">IFERROR(__xludf.DUMMYFUNCTION("""COMPUTED_VALUE"""),"Doorlanta")</f>
        <v>Doorlanta</v>
      </c>
      <c r="E1151" s="3" t="str">
        <f ca="1">IFERROR(__xludf.DUMMYFUNCTION("""COMPUTED_VALUE"""),"Galaxy A")</f>
        <v>Galaxy A</v>
      </c>
      <c r="F1151" s="3" t="str">
        <f ca="1">IFERROR(__xludf.DUMMYFUNCTION("""COMPUTED_VALUE"""),"Josh")</f>
        <v>Josh</v>
      </c>
      <c r="G1151" s="3">
        <f ca="1">IFERROR(__xludf.DUMMYFUNCTION("""COMPUTED_VALUE"""),0)</f>
        <v>0</v>
      </c>
      <c r="H1151" s="3" t="str">
        <f ca="1">IFERROR(__xludf.DUMMYFUNCTION("""COMPUTED_VALUE"""),"car")</f>
        <v>car</v>
      </c>
      <c r="I1151" s="3" t="str">
        <f ca="1">IFERROR(__xludf.DUMMYFUNCTION("""COMPUTED_VALUE"""),"2055-06-02T00:09:38.204062Z")</f>
        <v>2055-06-02T00:09:38.204062Z</v>
      </c>
      <c r="J1151" s="3" t="str">
        <f ca="1">IFERROR(__xludf.DUMMYFUNCTION("""COMPUTED_VALUE"""),"2055-06-02T00:49:38.277Z")</f>
        <v>2055-06-02T00:49:38.277Z</v>
      </c>
      <c r="K1151" s="3" t="str">
        <f ca="1">IFERROR(__xludf.DUMMYFUNCTION("""COMPUTED_VALUE"""),"2055-06-02T00:47:00.277Z")</f>
        <v>2055-06-02T00:47:00.277Z</v>
      </c>
      <c r="L1151" s="3">
        <f ca="1">IFERROR(__xludf.DUMMYFUNCTION("""COMPUTED_VALUE"""),1)</f>
        <v>1</v>
      </c>
      <c r="M1151" s="3">
        <f ca="1">IFERROR(__xludf.DUMMYFUNCTION("""COMPUTED_VALUE"""),0)</f>
        <v>0</v>
      </c>
      <c r="N1151" s="3" t="str">
        <f ca="1">IFERROR(__xludf.DUMMYFUNCTION("""COMPUTED_VALUE"""),"2055-06-02T00:27:58.228988Z")</f>
        <v>2055-06-02T00:27:58.228988Z</v>
      </c>
      <c r="O1151" s="3" t="str">
        <f ca="1">IFERROR(__xludf.DUMMYFUNCTION("""COMPUTED_VALUE"""),"2055-06-02T00:45:50.128975Z")</f>
        <v>2055-06-02T00:45:50.128975Z</v>
      </c>
      <c r="P1151" s="3" t="str">
        <f ca="1">IFERROR(__xludf.DUMMYFUNCTION("""COMPUTED_VALUE"""),"2055-06-02T00:09:47.371289Z")</f>
        <v>2055-06-02T00:09:47.371289Z</v>
      </c>
      <c r="Q1151" s="3">
        <f ca="1">IFERROR(__xludf.DUMMYFUNCTION("""COMPUTED_VALUE"""),0)</f>
        <v>0</v>
      </c>
      <c r="R1151" s="3" t="str">
        <f ca="1">IFERROR(__xludf.DUMMYFUNCTION("""COMPUTED_VALUE"""),"2055-06-02T00:10:03.771841Z")</f>
        <v>2055-06-02T00:10:03.771841Z</v>
      </c>
      <c r="S1151" s="3" t="str">
        <f ca="1">IFERROR(__xludf.DUMMYFUNCTION("""COMPUTED_VALUE"""),"2055-06-02T00:27:11.705448Z")</f>
        <v>2055-06-02T00:27:11.705448Z</v>
      </c>
      <c r="T1151" s="3"/>
      <c r="U1151" s="4">
        <f ca="1">IFERROR(__xludf.DUMMYFUNCTION("""COMPUTED_VALUE"""),56766)</f>
        <v>56766</v>
      </c>
      <c r="V1151" s="3">
        <f ca="1">IFERROR(__xludf.DUMMYFUNCTION("""COMPUTED_VALUE"""),4.8)</f>
        <v>4.8</v>
      </c>
      <c r="W1151" s="3">
        <f ca="1">IFERROR(__xludf.DUMMYFUNCTION("""COMPUTED_VALUE"""),800)</f>
        <v>800</v>
      </c>
      <c r="X1151" s="3">
        <f ca="1">IFERROR(__xludf.DUMMYFUNCTION("""COMPUTED_VALUE"""),2147)</f>
        <v>2147</v>
      </c>
      <c r="Y1151" s="3">
        <f ca="1">IFERROR(__xludf.DUMMYFUNCTION("""COMPUTED_VALUE"""),1028)</f>
        <v>1028</v>
      </c>
      <c r="Z1151" s="3">
        <f ca="1">IFERROR(__xludf.DUMMYFUNCTION("""COMPUTED_VALUE"""),47)</f>
        <v>47</v>
      </c>
      <c r="AA1151" s="3">
        <f ca="1">IFERROR(__xludf.DUMMYFUNCTION("""COMPUTED_VALUE"""),1072)</f>
        <v>1072</v>
      </c>
      <c r="AB1151" s="3">
        <f ca="1">IFERROR(__xludf.DUMMYFUNCTION("""COMPUTED_VALUE"""),0)</f>
        <v>0</v>
      </c>
      <c r="AC1151" s="3">
        <f ca="1">IFERROR(__xludf.DUMMYFUNCTION("""COMPUTED_VALUE"""),1)</f>
        <v>1</v>
      </c>
      <c r="AD1151" s="3" t="str">
        <f ca="1">IFERROR(__xludf.DUMMYFUNCTION("""COMPUTED_VALUE"""),"late")</f>
        <v>late</v>
      </c>
      <c r="AE1151" s="3" t="str">
        <f ca="1">IFERROR(__xludf.DUMMYFUNCTION("""COMPUTED_VALUE"""),"2055-06-01T20:27:58.228988Z")</f>
        <v>2055-06-01T20:27:58.228988Z</v>
      </c>
      <c r="AF1151" s="3" t="str">
        <f ca="1">IFERROR(__xludf.DUMMYFUNCTION("""COMPUTED_VALUE"""),"2055-06-01T20:45:50.128975Z")</f>
        <v>2055-06-01T20:45:50.128975Z</v>
      </c>
      <c r="AG1151" s="3" t="str">
        <f ca="1">IFERROR(__xludf.DUMMYFUNCTION("""COMPUTED_VALUE"""),"2055-06-01T20:09:47.371289Z")</f>
        <v>2055-06-01T20:09:47.371289Z</v>
      </c>
      <c r="AH1151" s="3" t="str">
        <f ca="1">IFERROR(__xludf.DUMMYFUNCTION("""COMPUTED_VALUE"""),"2055-06-01T20:27:11.705448Z")</f>
        <v>2055-06-01T20:27:11.705448Z</v>
      </c>
      <c r="AI1151" s="3">
        <f ca="1">IFERROR(__xludf.DUMMYFUNCTION("""COMPUTED_VALUE"""),4.77)</f>
        <v>4.7699999999999996</v>
      </c>
      <c r="AJ1151" s="3">
        <f ca="1">IFERROR(__xludf.DUMMYFUNCTION("""COMPUTED_VALUE"""),426)</f>
        <v>426</v>
      </c>
      <c r="AK1151" s="3">
        <f ca="1">IFERROR(__xludf.DUMMYFUNCTION("""COMPUTED_VALUE"""),1226)</f>
        <v>1226</v>
      </c>
      <c r="AL1151" s="3">
        <f ca="1">IFERROR(__xludf.DUMMYFUNCTION("""COMPUTED_VALUE"""),85)</f>
        <v>85</v>
      </c>
      <c r="AM1151" s="3">
        <f>IFERROR(Raw_Data!AL1151 / Raw_Data!AK1151, "")</f>
        <v>6.9331158238172916E-2</v>
      </c>
      <c r="AN1151" s="3" t="str">
        <f>IF(ISBLANK(Raw_Data!AL1151), "No", "Yes")</f>
        <v>Yes</v>
      </c>
      <c r="AO1151" s="3">
        <f>IFERROR(Raw_Data!Z1151/60, "")</f>
        <v>0.78333333333333333</v>
      </c>
    </row>
    <row r="1152" spans="1:41" ht="13">
      <c r="A1152" s="3">
        <f ca="1">IFERROR(__xludf.DUMMYFUNCTION("""COMPUTED_VALUE"""),173)</f>
        <v>173</v>
      </c>
      <c r="B1152" s="3">
        <f ca="1">IFERROR(__xludf.DUMMYFUNCTION("""COMPUTED_VALUE"""),5)</f>
        <v>5</v>
      </c>
      <c r="C1152" s="3">
        <f ca="1">IFERROR(__xludf.DUMMYFUNCTION("""COMPUTED_VALUE"""),4050)</f>
        <v>4050</v>
      </c>
      <c r="D1152" s="3" t="str">
        <f ca="1">IFERROR(__xludf.DUMMYFUNCTION("""COMPUTED_VALUE"""),"Doorlanta")</f>
        <v>Doorlanta</v>
      </c>
      <c r="E1152" s="3" t="str">
        <f ca="1">IFERROR(__xludf.DUMMYFUNCTION("""COMPUTED_VALUE"""),"Galaxy A")</f>
        <v>Galaxy A</v>
      </c>
      <c r="F1152" s="3" t="str">
        <f ca="1">IFERROR(__xludf.DUMMYFUNCTION("""COMPUTED_VALUE"""),"Cate")</f>
        <v>Cate</v>
      </c>
      <c r="G1152" s="3">
        <f ca="1">IFERROR(__xludf.DUMMYFUNCTION("""COMPUTED_VALUE"""),0)</f>
        <v>0</v>
      </c>
      <c r="H1152" s="3" t="str">
        <f ca="1">IFERROR(__xludf.DUMMYFUNCTION("""COMPUTED_VALUE"""),"car")</f>
        <v>car</v>
      </c>
      <c r="I1152" s="3" t="str">
        <f ca="1">IFERROR(__xludf.DUMMYFUNCTION("""COMPUTED_VALUE"""),"2055-06-02T21:35:29.651638Z")</f>
        <v>2055-06-02T21:35:29.651638Z</v>
      </c>
      <c r="J1152" s="3" t="str">
        <f ca="1">IFERROR(__xludf.DUMMYFUNCTION("""COMPUTED_VALUE"""),"2055-06-02T22:30:29.737Z")</f>
        <v>2055-06-02T22:30:29.737Z</v>
      </c>
      <c r="K1152" s="3" t="str">
        <f ca="1">IFERROR(__xludf.DUMMYFUNCTION("""COMPUTED_VALUE"""),"2055-06-02T22:03:35.737Z")</f>
        <v>2055-06-02T22:03:35.737Z</v>
      </c>
      <c r="L1152" s="3">
        <f ca="1">IFERROR(__xludf.DUMMYFUNCTION("""COMPUTED_VALUE"""),1)</f>
        <v>1</v>
      </c>
      <c r="M1152" s="3">
        <f ca="1">IFERROR(__xludf.DUMMYFUNCTION("""COMPUTED_VALUE"""),0)</f>
        <v>0</v>
      </c>
      <c r="N1152" s="3" t="str">
        <f ca="1">IFERROR(__xludf.DUMMYFUNCTION("""COMPUTED_VALUE"""),"2055-06-02T21:48:22.417625Z")</f>
        <v>2055-06-02T21:48:22.417625Z</v>
      </c>
      <c r="O1152" s="3" t="str">
        <f ca="1">IFERROR(__xludf.DUMMYFUNCTION("""COMPUTED_VALUE"""),"2055-06-02T21:51:46.330613Z")</f>
        <v>2055-06-02T21:51:46.330613Z</v>
      </c>
      <c r="P1152" s="3" t="str">
        <f ca="1">IFERROR(__xludf.DUMMYFUNCTION("""COMPUTED_VALUE"""),"2055-06-02T21:35:47.306201Z")</f>
        <v>2055-06-02T21:35:47.306201Z</v>
      </c>
      <c r="Q1152" s="3">
        <f ca="1">IFERROR(__xludf.DUMMYFUNCTION("""COMPUTED_VALUE"""),0)</f>
        <v>0</v>
      </c>
      <c r="R1152" s="3" t="str">
        <f ca="1">IFERROR(__xludf.DUMMYFUNCTION("""COMPUTED_VALUE"""),"2055-06-02T21:35:54.050356Z")</f>
        <v>2055-06-02T21:35:54.050356Z</v>
      </c>
      <c r="S1152" s="3" t="str">
        <f ca="1">IFERROR(__xludf.DUMMYFUNCTION("""COMPUTED_VALUE"""),"2055-06-02T21:45:32.496Z")</f>
        <v>2055-06-02T21:45:32.496Z</v>
      </c>
      <c r="T1152" s="3"/>
      <c r="U1152" s="4">
        <f ca="1">IFERROR(__xludf.DUMMYFUNCTION("""COMPUTED_VALUE"""),56767)</f>
        <v>56767</v>
      </c>
      <c r="V1152" s="3">
        <f ca="1">IFERROR(__xludf.DUMMYFUNCTION("""COMPUTED_VALUE"""),4.8)</f>
        <v>4.8</v>
      </c>
      <c r="W1152" s="3">
        <f ca="1">IFERROR(__xludf.DUMMYFUNCTION("""COMPUTED_VALUE"""),800)</f>
        <v>800</v>
      </c>
      <c r="X1152" s="3">
        <f ca="1">IFERROR(__xludf.DUMMYFUNCTION("""COMPUTED_VALUE"""),952)</f>
        <v>952</v>
      </c>
      <c r="Y1152" s="3">
        <f ca="1">IFERROR(__xludf.DUMMYFUNCTION("""COMPUTED_VALUE"""),578)</f>
        <v>578</v>
      </c>
      <c r="Z1152" s="3">
        <f ca="1">IFERROR(__xludf.DUMMYFUNCTION("""COMPUTED_VALUE"""),170)</f>
        <v>170</v>
      </c>
      <c r="AA1152" s="3">
        <f ca="1">IFERROR(__xludf.DUMMYFUNCTION("""COMPUTED_VALUE"""),204)</f>
        <v>204</v>
      </c>
      <c r="AB1152" s="3">
        <f ca="1">IFERROR(__xludf.DUMMYFUNCTION("""COMPUTED_VALUE"""),0)</f>
        <v>0</v>
      </c>
      <c r="AC1152" s="3">
        <f ca="1">IFERROR(__xludf.DUMMYFUNCTION("""COMPUTED_VALUE"""),2)</f>
        <v>2</v>
      </c>
      <c r="AD1152" s="3" t="str">
        <f ca="1">IFERROR(__xludf.DUMMYFUNCTION("""COMPUTED_VALUE"""),"on time")</f>
        <v>on time</v>
      </c>
      <c r="AE1152" s="3" t="str">
        <f ca="1">IFERROR(__xludf.DUMMYFUNCTION("""COMPUTED_VALUE"""),"2055-06-02T17:48:22.417625Z")</f>
        <v>2055-06-02T17:48:22.417625Z</v>
      </c>
      <c r="AF1152" s="3" t="str">
        <f ca="1">IFERROR(__xludf.DUMMYFUNCTION("""COMPUTED_VALUE"""),"2055-06-02T17:51:46.330613Z")</f>
        <v>2055-06-02T17:51:46.330613Z</v>
      </c>
      <c r="AG1152" s="3" t="str">
        <f ca="1">IFERROR(__xludf.DUMMYFUNCTION("""COMPUTED_VALUE"""),"2055-06-02T17:35:47.306201Z")</f>
        <v>2055-06-02T17:35:47.306201Z</v>
      </c>
      <c r="AH1152" s="3" t="str">
        <f ca="1">IFERROR(__xludf.DUMMYFUNCTION("""COMPUTED_VALUE"""),"2055-06-02T17:45:32.496Z")</f>
        <v>2055-06-02T17:45:32.496Z</v>
      </c>
      <c r="AI1152" s="3">
        <f ca="1">IFERROR(__xludf.DUMMYFUNCTION("""COMPUTED_VALUE"""),4.49)</f>
        <v>4.49</v>
      </c>
      <c r="AJ1152" s="3">
        <f ca="1">IFERROR(__xludf.DUMMYFUNCTION("""COMPUTED_VALUE"""),2315)</f>
        <v>2315</v>
      </c>
      <c r="AK1152" s="3">
        <f ca="1">IFERROR(__xludf.DUMMYFUNCTION("""COMPUTED_VALUE"""),7039)</f>
        <v>7039</v>
      </c>
      <c r="AL1152" s="3">
        <f ca="1">IFERROR(__xludf.DUMMYFUNCTION("""COMPUTED_VALUE"""),763)</f>
        <v>763</v>
      </c>
      <c r="AM1152" s="3">
        <f>IFERROR(Raw_Data!AL1152 / Raw_Data!AK1152, "")</f>
        <v>0.10839607898849268</v>
      </c>
      <c r="AN1152" s="3" t="str">
        <f>IF(ISBLANK(Raw_Data!AL1152), "No", "Yes")</f>
        <v>Yes</v>
      </c>
      <c r="AO1152" s="3">
        <f>IFERROR(Raw_Data!Z1152/60, "")</f>
        <v>2.8333333333333335</v>
      </c>
    </row>
    <row r="1153" spans="1:41" ht="13">
      <c r="A1153" s="3">
        <f ca="1">IFERROR(__xludf.DUMMYFUNCTION("""COMPUTED_VALUE"""),712)</f>
        <v>712</v>
      </c>
      <c r="B1153" s="3"/>
      <c r="C1153" s="3">
        <f ca="1">IFERROR(__xludf.DUMMYFUNCTION("""COMPUTED_VALUE"""),4001)</f>
        <v>4001</v>
      </c>
      <c r="D1153" s="3" t="str">
        <f ca="1">IFERROR(__xludf.DUMMYFUNCTION("""COMPUTED_VALUE"""),"Dashattan")</f>
        <v>Dashattan</v>
      </c>
      <c r="E1153" s="3" t="str">
        <f ca="1">IFERROR(__xludf.DUMMYFUNCTION("""COMPUTED_VALUE"""),"Galaxy A")</f>
        <v>Galaxy A</v>
      </c>
      <c r="F1153" s="3" t="str">
        <f ca="1">IFERROR(__xludf.DUMMYFUNCTION("""COMPUTED_VALUE"""),"Bill")</f>
        <v>Bill</v>
      </c>
      <c r="G1153" s="3">
        <f ca="1">IFERROR(__xludf.DUMMYFUNCTION("""COMPUTED_VALUE"""),0)</f>
        <v>0</v>
      </c>
      <c r="H1153" s="3" t="str">
        <f ca="1">IFERROR(__xludf.DUMMYFUNCTION("""COMPUTED_VALUE"""),"car")</f>
        <v>car</v>
      </c>
      <c r="I1153" s="3" t="str">
        <f ca="1">IFERROR(__xludf.DUMMYFUNCTION("""COMPUTED_VALUE"""),"2055-06-06T01:04:33.398902Z")</f>
        <v>2055-06-06T01:04:33.398902Z</v>
      </c>
      <c r="J1153" s="3" t="str">
        <f ca="1">IFERROR(__xludf.DUMMYFUNCTION("""COMPUTED_VALUE"""),"2055-06-06T02:15:19.48Z")</f>
        <v>2055-06-06T02:15:19.48Z</v>
      </c>
      <c r="K1153" s="3" t="str">
        <f ca="1">IFERROR(__xludf.DUMMYFUNCTION("""COMPUTED_VALUE"""),"2055-06-06T02:02:06.48Z")</f>
        <v>2055-06-06T02:02:06.48Z</v>
      </c>
      <c r="L1153" s="3">
        <f ca="1">IFERROR(__xludf.DUMMYFUNCTION("""COMPUTED_VALUE"""),1)</f>
        <v>1</v>
      </c>
      <c r="M1153" s="3">
        <f ca="1">IFERROR(__xludf.DUMMYFUNCTION("""COMPUTED_VALUE"""),0)</f>
        <v>0</v>
      </c>
      <c r="N1153" s="3" t="str">
        <f ca="1">IFERROR(__xludf.DUMMYFUNCTION("""COMPUTED_VALUE"""),"2055-06-06T01:42:51.426547Z")</f>
        <v>2055-06-06T01:42:51.426547Z</v>
      </c>
      <c r="O1153" s="3" t="str">
        <f ca="1">IFERROR(__xludf.DUMMYFUNCTION("""COMPUTED_VALUE"""),"2055-06-06T02:06:53.015392Z")</f>
        <v>2055-06-06T02:06:53.015392Z</v>
      </c>
      <c r="P1153" s="3" t="str">
        <f ca="1">IFERROR(__xludf.DUMMYFUNCTION("""COMPUTED_VALUE"""),"2055-06-06T01:13:54.522441Z")</f>
        <v>2055-06-06T01:13:54.522441Z</v>
      </c>
      <c r="Q1153" s="3">
        <f ca="1">IFERROR(__xludf.DUMMYFUNCTION("""COMPUTED_VALUE"""),0)</f>
        <v>0</v>
      </c>
      <c r="R1153" s="3" t="str">
        <f ca="1">IFERROR(__xludf.DUMMYFUNCTION("""COMPUTED_VALUE"""),"2055-06-06T01:13:58.193538Z")</f>
        <v>2055-06-06T01:13:58.193538Z</v>
      </c>
      <c r="S1153" s="3" t="str">
        <f ca="1">IFERROR(__xludf.DUMMYFUNCTION("""COMPUTED_VALUE"""),"2055-06-06T01:40:39.820784Z")</f>
        <v>2055-06-06T01:40:39.820784Z</v>
      </c>
      <c r="T1153" s="3"/>
      <c r="U1153" s="4">
        <f ca="1">IFERROR(__xludf.DUMMYFUNCTION("""COMPUTED_VALUE"""),56770)</f>
        <v>56770</v>
      </c>
      <c r="V1153" s="3">
        <f ca="1">IFERROR(__xludf.DUMMYFUNCTION("""COMPUTED_VALUE"""),4.5)</f>
        <v>4.5</v>
      </c>
      <c r="W1153" s="3">
        <f ca="1">IFERROR(__xludf.DUMMYFUNCTION("""COMPUTED_VALUE"""),800)</f>
        <v>800</v>
      </c>
      <c r="X1153" s="3">
        <f ca="1">IFERROR(__xludf.DUMMYFUNCTION("""COMPUTED_VALUE"""),3175)</f>
        <v>3175</v>
      </c>
      <c r="Y1153" s="3">
        <f ca="1">IFERROR(__xludf.DUMMYFUNCTION("""COMPUTED_VALUE"""),1601)</f>
        <v>1601</v>
      </c>
      <c r="Z1153" s="3">
        <f ca="1">IFERROR(__xludf.DUMMYFUNCTION("""COMPUTED_VALUE"""),132)</f>
        <v>132</v>
      </c>
      <c r="AA1153" s="3">
        <f ca="1">IFERROR(__xludf.DUMMYFUNCTION("""COMPUTED_VALUE"""),1442)</f>
        <v>1442</v>
      </c>
      <c r="AB1153" s="3">
        <f ca="1">IFERROR(__xludf.DUMMYFUNCTION("""COMPUTED_VALUE"""),0)</f>
        <v>0</v>
      </c>
      <c r="AC1153" s="3">
        <f ca="1">IFERROR(__xludf.DUMMYFUNCTION("""COMPUTED_VALUE"""),1)</f>
        <v>1</v>
      </c>
      <c r="AD1153" s="3" t="str">
        <f ca="1">IFERROR(__xludf.DUMMYFUNCTION("""COMPUTED_VALUE"""),"late")</f>
        <v>late</v>
      </c>
      <c r="AE1153" s="3" t="str">
        <f ca="1">IFERROR(__xludf.DUMMYFUNCTION("""COMPUTED_VALUE"""),"2055-06-05T21:42:51.426547Z")</f>
        <v>2055-06-05T21:42:51.426547Z</v>
      </c>
      <c r="AF1153" s="3" t="str">
        <f ca="1">IFERROR(__xludf.DUMMYFUNCTION("""COMPUTED_VALUE"""),"2055-06-05T22:06:53.015392Z")</f>
        <v>2055-06-05T22:06:53.015392Z</v>
      </c>
      <c r="AG1153" s="3" t="str">
        <f ca="1">IFERROR(__xludf.DUMMYFUNCTION("""COMPUTED_VALUE"""),"2055-06-05T21:13:54.522441Z")</f>
        <v>2055-06-05T21:13:54.522441Z</v>
      </c>
      <c r="AH1153" s="3" t="str">
        <f ca="1">IFERROR(__xludf.DUMMYFUNCTION("""COMPUTED_VALUE"""),"2055-06-05T21:40:39.820784Z")</f>
        <v>2055-06-05T21:40:39.820784Z</v>
      </c>
      <c r="AI1153" s="3">
        <f ca="1">IFERROR(__xludf.DUMMYFUNCTION("""COMPUTED_VALUE"""),4.46)</f>
        <v>4.46</v>
      </c>
      <c r="AJ1153" s="3">
        <f ca="1">IFERROR(__xludf.DUMMYFUNCTION("""COMPUTED_VALUE"""),148)</f>
        <v>148</v>
      </c>
      <c r="AK1153" s="3">
        <f ca="1">IFERROR(__xludf.DUMMYFUNCTION("""COMPUTED_VALUE"""),435)</f>
        <v>435</v>
      </c>
      <c r="AL1153" s="3"/>
      <c r="AM1153" s="3">
        <f>IFERROR(Raw_Data!AL1153 / Raw_Data!AK1153, "")</f>
        <v>0</v>
      </c>
      <c r="AN1153" s="3" t="str">
        <f>IF(ISBLANK(Raw_Data!AL1153), "No", "Yes")</f>
        <v>No</v>
      </c>
      <c r="AO1153" s="3">
        <f>IFERROR(Raw_Data!Z1153/60, "")</f>
        <v>2.2000000000000002</v>
      </c>
    </row>
    <row r="1154" spans="1:41" ht="13">
      <c r="A1154" s="3">
        <f ca="1">IFERROR(__xludf.DUMMYFUNCTION("""COMPUTED_VALUE"""),868)</f>
        <v>868</v>
      </c>
      <c r="B1154" s="3">
        <f ca="1">IFERROR(__xludf.DUMMYFUNCTION("""COMPUTED_VALUE"""),5)</f>
        <v>5</v>
      </c>
      <c r="C1154" s="3">
        <f ca="1">IFERROR(__xludf.DUMMYFUNCTION("""COMPUTED_VALUE"""),4050)</f>
        <v>4050</v>
      </c>
      <c r="D1154" s="3" t="str">
        <f ca="1">IFERROR(__xludf.DUMMYFUNCTION("""COMPUTED_VALUE"""),"Doorlanta")</f>
        <v>Doorlanta</v>
      </c>
      <c r="E1154" s="3" t="str">
        <f ca="1">IFERROR(__xludf.DUMMYFUNCTION("""COMPUTED_VALUE"""),"Galaxy A")</f>
        <v>Galaxy A</v>
      </c>
      <c r="F1154" s="3" t="str">
        <f ca="1">IFERROR(__xludf.DUMMYFUNCTION("""COMPUTED_VALUE"""),"Abhai")</f>
        <v>Abhai</v>
      </c>
      <c r="G1154" s="3">
        <f ca="1">IFERROR(__xludf.DUMMYFUNCTION("""COMPUTED_VALUE"""),0)</f>
        <v>0</v>
      </c>
      <c r="H1154" s="3" t="str">
        <f ca="1">IFERROR(__xludf.DUMMYFUNCTION("""COMPUTED_VALUE"""),"car")</f>
        <v>car</v>
      </c>
      <c r="I1154" s="3" t="str">
        <f ca="1">IFERROR(__xludf.DUMMYFUNCTION("""COMPUTED_VALUE"""),"2055-06-07T19:40:53.231365Z")</f>
        <v>2055-06-07T19:40:53.231365Z</v>
      </c>
      <c r="J1154" s="3" t="str">
        <f ca="1">IFERROR(__xludf.DUMMYFUNCTION("""COMPUTED_VALUE"""),"2055-06-07T20:50:52.307Z")</f>
        <v>2055-06-07T20:50:52.307Z</v>
      </c>
      <c r="K1154" s="3" t="str">
        <f ca="1">IFERROR(__xludf.DUMMYFUNCTION("""COMPUTED_VALUE"""),"2055-06-07T20:27:34.307Z")</f>
        <v>2055-06-07T20:27:34.307Z</v>
      </c>
      <c r="L1154" s="3">
        <f ca="1">IFERROR(__xludf.DUMMYFUNCTION("""COMPUTED_VALUE"""),1)</f>
        <v>1</v>
      </c>
      <c r="M1154" s="3">
        <f ca="1">IFERROR(__xludf.DUMMYFUNCTION("""COMPUTED_VALUE"""),0)</f>
        <v>0</v>
      </c>
      <c r="N1154" s="3" t="str">
        <f ca="1">IFERROR(__xludf.DUMMYFUNCTION("""COMPUTED_VALUE"""),"2055-06-07T19:53:17.294916Z")</f>
        <v>2055-06-07T19:53:17.294916Z</v>
      </c>
      <c r="O1154" s="3" t="str">
        <f ca="1">IFERROR(__xludf.DUMMYFUNCTION("""COMPUTED_VALUE"""),"2055-06-07T20:20:30.604639Z")</f>
        <v>2055-06-07T20:20:30.604639Z</v>
      </c>
      <c r="P1154" s="3" t="str">
        <f ca="1">IFERROR(__xludf.DUMMYFUNCTION("""COMPUTED_VALUE"""),"2055-06-07T19:49:27.234598Z")</f>
        <v>2055-06-07T19:49:27.234598Z</v>
      </c>
      <c r="Q1154" s="3">
        <f ca="1">IFERROR(__xludf.DUMMYFUNCTION("""COMPUTED_VALUE"""),0)</f>
        <v>0</v>
      </c>
      <c r="R1154" s="3" t="str">
        <f ca="1">IFERROR(__xludf.DUMMYFUNCTION("""COMPUTED_VALUE"""),"2055-06-07T19:49:34.126257Z")</f>
        <v>2055-06-07T19:49:34.126257Z</v>
      </c>
      <c r="S1154" s="3" t="str">
        <f ca="1">IFERROR(__xludf.DUMMYFUNCTION("""COMPUTED_VALUE"""),"2055-06-07T19:54:20.289431Z")</f>
        <v>2055-06-07T19:54:20.289431Z</v>
      </c>
      <c r="T1154" s="3"/>
      <c r="U1154" s="4">
        <f ca="1">IFERROR(__xludf.DUMMYFUNCTION("""COMPUTED_VALUE"""),56772)</f>
        <v>56772</v>
      </c>
      <c r="V1154" s="3">
        <f ca="1">IFERROR(__xludf.DUMMYFUNCTION("""COMPUTED_VALUE"""),4.6)</f>
        <v>4.5999999999999996</v>
      </c>
      <c r="W1154" s="3">
        <f ca="1">IFERROR(__xludf.DUMMYFUNCTION("""COMPUTED_VALUE"""),800)</f>
        <v>800</v>
      </c>
      <c r="X1154" s="3">
        <f ca="1">IFERROR(__xludf.DUMMYFUNCTION("""COMPUTED_VALUE"""),1856)</f>
        <v>1856</v>
      </c>
      <c r="Y1154" s="3">
        <f ca="1">IFERROR(__xludf.DUMMYFUNCTION("""COMPUTED_VALUE"""),286)</f>
        <v>286</v>
      </c>
      <c r="Z1154" s="3"/>
      <c r="AA1154" s="3">
        <f ca="1">IFERROR(__xludf.DUMMYFUNCTION("""COMPUTED_VALUE"""),1633)</f>
        <v>1633</v>
      </c>
      <c r="AB1154" s="3">
        <f ca="1">IFERROR(__xludf.DUMMYFUNCTION("""COMPUTED_VALUE"""),0)</f>
        <v>0</v>
      </c>
      <c r="AC1154" s="3">
        <f ca="1">IFERROR(__xludf.DUMMYFUNCTION("""COMPUTED_VALUE"""),1)</f>
        <v>1</v>
      </c>
      <c r="AD1154" s="3" t="str">
        <f ca="1">IFERROR(__xludf.DUMMYFUNCTION("""COMPUTED_VALUE"""),"late")</f>
        <v>late</v>
      </c>
      <c r="AE1154" s="3" t="str">
        <f ca="1">IFERROR(__xludf.DUMMYFUNCTION("""COMPUTED_VALUE"""),"2055-06-07T15:53:17.294916Z")</f>
        <v>2055-06-07T15:53:17.294916Z</v>
      </c>
      <c r="AF1154" s="3" t="str">
        <f ca="1">IFERROR(__xludf.DUMMYFUNCTION("""COMPUTED_VALUE"""),"2055-06-07T16:20:30.604639Z")</f>
        <v>2055-06-07T16:20:30.604639Z</v>
      </c>
      <c r="AG1154" s="3" t="str">
        <f ca="1">IFERROR(__xludf.DUMMYFUNCTION("""COMPUTED_VALUE"""),"2055-06-07T15:49:27.234598Z")</f>
        <v>2055-06-07T15:49:27.234598Z</v>
      </c>
      <c r="AH1154" s="3" t="str">
        <f ca="1">IFERROR(__xludf.DUMMYFUNCTION("""COMPUTED_VALUE"""),"2055-06-07T15:54:20.289431Z")</f>
        <v>2055-06-07T15:54:20.289431Z</v>
      </c>
      <c r="AI1154" s="3">
        <f ca="1">IFERROR(__xludf.DUMMYFUNCTION("""COMPUTED_VALUE"""),4.56)</f>
        <v>4.5599999999999996</v>
      </c>
      <c r="AJ1154" s="3">
        <f ca="1">IFERROR(__xludf.DUMMYFUNCTION("""COMPUTED_VALUE"""),344)</f>
        <v>344</v>
      </c>
      <c r="AK1154" s="3">
        <f ca="1">IFERROR(__xludf.DUMMYFUNCTION("""COMPUTED_VALUE"""),947)</f>
        <v>947</v>
      </c>
      <c r="AL1154" s="3">
        <f ca="1">IFERROR(__xludf.DUMMYFUNCTION("""COMPUTED_VALUE"""),22)</f>
        <v>22</v>
      </c>
      <c r="AM1154" s="3">
        <f>IFERROR(Raw_Data!AL1154 / Raw_Data!AK1154, "")</f>
        <v>2.3231256599788808E-2</v>
      </c>
      <c r="AN1154" s="3" t="str">
        <f>IF(ISBLANK(Raw_Data!AL1154), "No", "Yes")</f>
        <v>Yes</v>
      </c>
      <c r="AO1154" s="3">
        <f>IFERROR(Raw_Data!Z1154/60, "")</f>
        <v>0</v>
      </c>
    </row>
    <row r="1155" spans="1:41" ht="13">
      <c r="A1155" s="3">
        <f ca="1">IFERROR(__xludf.DUMMYFUNCTION("""COMPUTED_VALUE"""),915)</f>
        <v>915</v>
      </c>
      <c r="B1155" s="3">
        <f ca="1">IFERROR(__xludf.DUMMYFUNCTION("""COMPUTED_VALUE"""),3)</f>
        <v>3</v>
      </c>
      <c r="C1155" s="3">
        <f ca="1">IFERROR(__xludf.DUMMYFUNCTION("""COMPUTED_VALUE"""),4050)</f>
        <v>4050</v>
      </c>
      <c r="D1155" s="3" t="str">
        <f ca="1">IFERROR(__xludf.DUMMYFUNCTION("""COMPUTED_VALUE"""),"Doorlanta")</f>
        <v>Doorlanta</v>
      </c>
      <c r="E1155" s="3" t="str">
        <f ca="1">IFERROR(__xludf.DUMMYFUNCTION("""COMPUTED_VALUE"""),"Galaxy A")</f>
        <v>Galaxy A</v>
      </c>
      <c r="F1155" s="3" t="str">
        <f ca="1">IFERROR(__xludf.DUMMYFUNCTION("""COMPUTED_VALUE"""),"Mary")</f>
        <v>Mary</v>
      </c>
      <c r="G1155" s="3">
        <f ca="1">IFERROR(__xludf.DUMMYFUNCTION("""COMPUTED_VALUE"""),0)</f>
        <v>0</v>
      </c>
      <c r="H1155" s="3" t="str">
        <f ca="1">IFERROR(__xludf.DUMMYFUNCTION("""COMPUTED_VALUE"""),"car")</f>
        <v>car</v>
      </c>
      <c r="I1155" s="3" t="str">
        <f ca="1">IFERROR(__xludf.DUMMYFUNCTION("""COMPUTED_VALUE"""),"2055-06-08T02:00:42.996001Z")</f>
        <v>2055-06-08T02:00:42.996001Z</v>
      </c>
      <c r="J1155" s="3" t="str">
        <f ca="1">IFERROR(__xludf.DUMMYFUNCTION("""COMPUTED_VALUE"""),"2055-06-08T02:55:43.117Z")</f>
        <v>2055-06-08T02:55:43.117Z</v>
      </c>
      <c r="K1155" s="3" t="str">
        <f ca="1">IFERROR(__xludf.DUMMYFUNCTION("""COMPUTED_VALUE"""),"2055-06-08T02:36:29.117Z")</f>
        <v>2055-06-08T02:36:29.117Z</v>
      </c>
      <c r="L1155" s="3">
        <f ca="1">IFERROR(__xludf.DUMMYFUNCTION("""COMPUTED_VALUE"""),1)</f>
        <v>1</v>
      </c>
      <c r="M1155" s="3">
        <f ca="1">IFERROR(__xludf.DUMMYFUNCTION("""COMPUTED_VALUE"""),0)</f>
        <v>0</v>
      </c>
      <c r="N1155" s="3" t="str">
        <f ca="1">IFERROR(__xludf.DUMMYFUNCTION("""COMPUTED_VALUE"""),"2055-06-08T02:26:34.271719Z")</f>
        <v>2055-06-08T02:26:34.271719Z</v>
      </c>
      <c r="O1155" s="3" t="str">
        <f ca="1">IFERROR(__xludf.DUMMYFUNCTION("""COMPUTED_VALUE"""),"2055-06-08T02:36:48.281376Z")</f>
        <v>2055-06-08T02:36:48.281376Z</v>
      </c>
      <c r="P1155" s="3" t="str">
        <f ca="1">IFERROR(__xludf.DUMMYFUNCTION("""COMPUTED_VALUE"""),"2055-06-08T02:00:47.277893Z")</f>
        <v>2055-06-08T02:00:47.277893Z</v>
      </c>
      <c r="Q1155" s="3">
        <f ca="1">IFERROR(__xludf.DUMMYFUNCTION("""COMPUTED_VALUE"""),0)</f>
        <v>0</v>
      </c>
      <c r="R1155" s="3" t="str">
        <f ca="1">IFERROR(__xludf.DUMMYFUNCTION("""COMPUTED_VALUE"""),"2055-06-08T02:01:06.831507Z")</f>
        <v>2055-06-08T02:01:06.831507Z</v>
      </c>
      <c r="S1155" s="3" t="str">
        <f ca="1">IFERROR(__xludf.DUMMYFUNCTION("""COMPUTED_VALUE"""),"2055-06-08T02:16:12.316335Z")</f>
        <v>2055-06-08T02:16:12.316335Z</v>
      </c>
      <c r="T1155" s="3"/>
      <c r="U1155" s="4">
        <f ca="1">IFERROR(__xludf.DUMMYFUNCTION("""COMPUTED_VALUE"""),56772)</f>
        <v>56772</v>
      </c>
      <c r="V1155" s="3">
        <f ca="1">IFERROR(__xludf.DUMMYFUNCTION("""COMPUTED_VALUE"""),3.163223525)</f>
        <v>3.1632235249999998</v>
      </c>
      <c r="W1155" s="3">
        <f ca="1">IFERROR(__xludf.DUMMYFUNCTION("""COMPUTED_VALUE"""),800)</f>
        <v>800</v>
      </c>
      <c r="X1155" s="3">
        <f ca="1">IFERROR(__xludf.DUMMYFUNCTION("""COMPUTED_VALUE"""),2142)</f>
        <v>2142</v>
      </c>
      <c r="Y1155" s="3">
        <f ca="1">IFERROR(__xludf.DUMMYFUNCTION("""COMPUTED_VALUE"""),906)</f>
        <v>906</v>
      </c>
      <c r="Z1155" s="3">
        <f ca="1">IFERROR(__xludf.DUMMYFUNCTION("""COMPUTED_VALUE"""),622)</f>
        <v>622</v>
      </c>
      <c r="AA1155" s="3">
        <f ca="1">IFERROR(__xludf.DUMMYFUNCTION("""COMPUTED_VALUE"""),614)</f>
        <v>614</v>
      </c>
      <c r="AB1155" s="3">
        <f ca="1">IFERROR(__xludf.DUMMYFUNCTION("""COMPUTED_VALUE"""),0)</f>
        <v>0</v>
      </c>
      <c r="AC1155" s="3">
        <f ca="1">IFERROR(__xludf.DUMMYFUNCTION("""COMPUTED_VALUE"""),1)</f>
        <v>1</v>
      </c>
      <c r="AD1155" s="3" t="str">
        <f ca="1">IFERROR(__xludf.DUMMYFUNCTION("""COMPUTED_VALUE"""),"late")</f>
        <v>late</v>
      </c>
      <c r="AE1155" s="3" t="str">
        <f ca="1">IFERROR(__xludf.DUMMYFUNCTION("""COMPUTED_VALUE"""),"2055-06-07T22:26:34.271719Z")</f>
        <v>2055-06-07T22:26:34.271719Z</v>
      </c>
      <c r="AF1155" s="3" t="str">
        <f ca="1">IFERROR(__xludf.DUMMYFUNCTION("""COMPUTED_VALUE"""),"2055-06-07T22:36:48.281376Z")</f>
        <v>2055-06-07T22:36:48.281376Z</v>
      </c>
      <c r="AG1155" s="3" t="str">
        <f ca="1">IFERROR(__xludf.DUMMYFUNCTION("""COMPUTED_VALUE"""),"2055-06-07T22:00:47.277893Z")</f>
        <v>2055-06-07T22:00:47.277893Z</v>
      </c>
      <c r="AH1155" s="3" t="str">
        <f ca="1">IFERROR(__xludf.DUMMYFUNCTION("""COMPUTED_VALUE"""),"2055-06-07T22:16:12.316335Z")</f>
        <v>2055-06-07T22:16:12.316335Z</v>
      </c>
      <c r="AI1155" s="3">
        <f ca="1">IFERROR(__xludf.DUMMYFUNCTION("""COMPUTED_VALUE"""),4.388888889)</f>
        <v>4.3888888890000004</v>
      </c>
      <c r="AJ1155" s="3">
        <f ca="1">IFERROR(__xludf.DUMMYFUNCTION("""COMPUTED_VALUE"""),14)</f>
        <v>14</v>
      </c>
      <c r="AK1155" s="3">
        <f ca="1">IFERROR(__xludf.DUMMYFUNCTION("""COMPUTED_VALUE"""),32)</f>
        <v>32</v>
      </c>
      <c r="AL1155" s="3"/>
      <c r="AM1155" s="3">
        <f>IFERROR(Raw_Data!AL1155 / Raw_Data!AK1155, "")</f>
        <v>0</v>
      </c>
      <c r="AN1155" s="3" t="str">
        <f>IF(ISBLANK(Raw_Data!AL1155), "No", "Yes")</f>
        <v>No</v>
      </c>
      <c r="AO1155" s="3">
        <f>IFERROR(Raw_Data!Z1155/60, "")</f>
        <v>10.366666666666667</v>
      </c>
    </row>
    <row r="1156" spans="1:41" ht="13">
      <c r="A1156" s="3">
        <f ca="1">IFERROR(__xludf.DUMMYFUNCTION("""COMPUTED_VALUE"""),1141)</f>
        <v>1141</v>
      </c>
      <c r="B1156" s="3">
        <f ca="1">IFERROR(__xludf.DUMMYFUNCTION("""COMPUTED_VALUE"""),5)</f>
        <v>5</v>
      </c>
      <c r="C1156" s="3">
        <f ca="1">IFERROR(__xludf.DUMMYFUNCTION("""COMPUTED_VALUE"""),4001)</f>
        <v>4001</v>
      </c>
      <c r="D1156" s="3" t="str">
        <f ca="1">IFERROR(__xludf.DUMMYFUNCTION("""COMPUTED_VALUE"""),"Dashattan")</f>
        <v>Dashattan</v>
      </c>
      <c r="E1156" s="3" t="str">
        <f ca="1">IFERROR(__xludf.DUMMYFUNCTION("""COMPUTED_VALUE"""),"Galaxy A")</f>
        <v>Galaxy A</v>
      </c>
      <c r="F1156" s="3" t="str">
        <f ca="1">IFERROR(__xludf.DUMMYFUNCTION("""COMPUTED_VALUE"""),"Barry")</f>
        <v>Barry</v>
      </c>
      <c r="G1156" s="3">
        <f ca="1">IFERROR(__xludf.DUMMYFUNCTION("""COMPUTED_VALUE"""),1)</f>
        <v>1</v>
      </c>
      <c r="H1156" s="3" t="str">
        <f ca="1">IFERROR(__xludf.DUMMYFUNCTION("""COMPUTED_VALUE"""),"bicycle")</f>
        <v>bicycle</v>
      </c>
      <c r="I1156" s="3" t="str">
        <f ca="1">IFERROR(__xludf.DUMMYFUNCTION("""COMPUTED_VALUE"""),"2055-06-10T16:54:12.449226Z")</f>
        <v>2055-06-10T16:54:12.449226Z</v>
      </c>
      <c r="J1156" s="3" t="str">
        <f ca="1">IFERROR(__xludf.DUMMYFUNCTION("""COMPUTED_VALUE"""),"2055-06-10T18:00:11.503Z")</f>
        <v>2055-06-10T18:00:11.503Z</v>
      </c>
      <c r="K1156" s="3" t="str">
        <f ca="1">IFERROR(__xludf.DUMMYFUNCTION("""COMPUTED_VALUE"""),"2055-06-10T17:41:18.503Z")</f>
        <v>2055-06-10T17:41:18.503Z</v>
      </c>
      <c r="L1156" s="3">
        <f ca="1">IFERROR(__xludf.DUMMYFUNCTION("""COMPUTED_VALUE"""),1)</f>
        <v>1</v>
      </c>
      <c r="M1156" s="3">
        <f ca="1">IFERROR(__xludf.DUMMYFUNCTION("""COMPUTED_VALUE"""),0)</f>
        <v>0</v>
      </c>
      <c r="N1156" s="3" t="str">
        <f ca="1">IFERROR(__xludf.DUMMYFUNCTION("""COMPUTED_VALUE"""),"2055-06-10T17:28:11.989671Z")</f>
        <v>2055-06-10T17:28:11.989671Z</v>
      </c>
      <c r="O1156" s="3" t="str">
        <f ca="1">IFERROR(__xludf.DUMMYFUNCTION("""COMPUTED_VALUE"""),"2055-06-10T17:28:21.376436Z")</f>
        <v>2055-06-10T17:28:21.376436Z</v>
      </c>
      <c r="P1156" s="3" t="str">
        <f ca="1">IFERROR(__xludf.DUMMYFUNCTION("""COMPUTED_VALUE"""),"2055-06-10T16:54:34.24123Z")</f>
        <v>2055-06-10T16:54:34.24123Z</v>
      </c>
      <c r="Q1156" s="3">
        <f ca="1">IFERROR(__xludf.DUMMYFUNCTION("""COMPUTED_VALUE"""),0)</f>
        <v>0</v>
      </c>
      <c r="R1156" s="3" t="str">
        <f ca="1">IFERROR(__xludf.DUMMYFUNCTION("""COMPUTED_VALUE"""),"2055-06-10T16:54:47.606249Z")</f>
        <v>2055-06-10T16:54:47.606249Z</v>
      </c>
      <c r="S1156" s="3" t="str">
        <f ca="1">IFERROR(__xludf.DUMMYFUNCTION("""COMPUTED_VALUE"""),"2055-06-10T17:11:27.659616Z")</f>
        <v>2055-06-10T17:11:27.659616Z</v>
      </c>
      <c r="T1156" s="3"/>
      <c r="U1156" s="4">
        <f ca="1">IFERROR(__xludf.DUMMYFUNCTION("""COMPUTED_VALUE"""),56775)</f>
        <v>56775</v>
      </c>
      <c r="V1156" s="3">
        <f ca="1">IFERROR(__xludf.DUMMYFUNCTION("""COMPUTED_VALUE"""),3.216463628)</f>
        <v>3.2164636280000001</v>
      </c>
      <c r="W1156" s="3">
        <f ca="1">IFERROR(__xludf.DUMMYFUNCTION("""COMPUTED_VALUE"""),800)</f>
        <v>800</v>
      </c>
      <c r="X1156" s="3">
        <f ca="1">IFERROR(__xludf.DUMMYFUNCTION("""COMPUTED_VALUE"""),2014)</f>
        <v>2014</v>
      </c>
      <c r="Y1156" s="3">
        <f ca="1">IFERROR(__xludf.DUMMYFUNCTION("""COMPUTED_VALUE"""),1000)</f>
        <v>1000</v>
      </c>
      <c r="Z1156" s="3">
        <f ca="1">IFERROR(__xludf.DUMMYFUNCTION("""COMPUTED_VALUE"""),1004)</f>
        <v>1004</v>
      </c>
      <c r="AA1156" s="3">
        <f ca="1">IFERROR(__xludf.DUMMYFUNCTION("""COMPUTED_VALUE"""),10)</f>
        <v>10</v>
      </c>
      <c r="AB1156" s="3">
        <f ca="1">IFERROR(__xludf.DUMMYFUNCTION("""COMPUTED_VALUE"""),0)</f>
        <v>0</v>
      </c>
      <c r="AC1156" s="3">
        <f ca="1">IFERROR(__xludf.DUMMYFUNCTION("""COMPUTED_VALUE"""),1)</f>
        <v>1</v>
      </c>
      <c r="AD1156" s="3" t="str">
        <f ca="1">IFERROR(__xludf.DUMMYFUNCTION("""COMPUTED_VALUE"""),"early")</f>
        <v>early</v>
      </c>
      <c r="AE1156" s="3" t="str">
        <f ca="1">IFERROR(__xludf.DUMMYFUNCTION("""COMPUTED_VALUE"""),"2055-06-10T13:28:11.989671Z")</f>
        <v>2055-06-10T13:28:11.989671Z</v>
      </c>
      <c r="AF1156" s="3" t="str">
        <f ca="1">IFERROR(__xludf.DUMMYFUNCTION("""COMPUTED_VALUE"""),"2055-06-10T13:28:21.376436Z")</f>
        <v>2055-06-10T13:28:21.376436Z</v>
      </c>
      <c r="AG1156" s="3" t="str">
        <f ca="1">IFERROR(__xludf.DUMMYFUNCTION("""COMPUTED_VALUE"""),"2055-06-10T12:54:34.24123Z")</f>
        <v>2055-06-10T12:54:34.24123Z</v>
      </c>
      <c r="AH1156" s="3" t="str">
        <f ca="1">IFERROR(__xludf.DUMMYFUNCTION("""COMPUTED_VALUE"""),"2055-06-10T13:11:27.659616Z")</f>
        <v>2055-06-10T13:11:27.659616Z</v>
      </c>
      <c r="AI1156" s="3">
        <f ca="1">IFERROR(__xludf.DUMMYFUNCTION("""COMPUTED_VALUE"""),4.72)</f>
        <v>4.72</v>
      </c>
      <c r="AJ1156" s="3">
        <f ca="1">IFERROR(__xludf.DUMMYFUNCTION("""COMPUTED_VALUE"""),141)</f>
        <v>141</v>
      </c>
      <c r="AK1156" s="3">
        <f ca="1">IFERROR(__xludf.DUMMYFUNCTION("""COMPUTED_VALUE"""),418)</f>
        <v>418</v>
      </c>
      <c r="AL1156" s="3">
        <f ca="1">IFERROR(__xludf.DUMMYFUNCTION("""COMPUTED_VALUE"""),90)</f>
        <v>90</v>
      </c>
      <c r="AM1156" s="3">
        <f>IFERROR(Raw_Data!AL1156 / Raw_Data!AK1156, "")</f>
        <v>0.21531100478468901</v>
      </c>
      <c r="AN1156" s="3" t="str">
        <f>IF(ISBLANK(Raw_Data!AL1156), "No", "Yes")</f>
        <v>Yes</v>
      </c>
      <c r="AO1156" s="3">
        <f>IFERROR(Raw_Data!Z1156/60, "")</f>
        <v>16.733333333333334</v>
      </c>
    </row>
    <row r="1157" spans="1:41" ht="13">
      <c r="A1157" s="3">
        <f ca="1">IFERROR(__xludf.DUMMYFUNCTION("""COMPUTED_VALUE"""),848)</f>
        <v>848</v>
      </c>
      <c r="B1157" s="3">
        <f ca="1">IFERROR(__xludf.DUMMYFUNCTION("""COMPUTED_VALUE"""),5)</f>
        <v>5</v>
      </c>
      <c r="C1157" s="3">
        <f ca="1">IFERROR(__xludf.DUMMYFUNCTION("""COMPUTED_VALUE"""),4001)</f>
        <v>4001</v>
      </c>
      <c r="D1157" s="3" t="str">
        <f ca="1">IFERROR(__xludf.DUMMYFUNCTION("""COMPUTED_VALUE"""),"Dashattan")</f>
        <v>Dashattan</v>
      </c>
      <c r="E1157" s="3" t="str">
        <f ca="1">IFERROR(__xludf.DUMMYFUNCTION("""COMPUTED_VALUE"""),"Galaxy A")</f>
        <v>Galaxy A</v>
      </c>
      <c r="F1157" s="3" t="str">
        <f ca="1">IFERROR(__xludf.DUMMYFUNCTION("""COMPUTED_VALUE"""),"KC")</f>
        <v>KC</v>
      </c>
      <c r="G1157" s="3">
        <f ca="1">IFERROR(__xludf.DUMMYFUNCTION("""COMPUTED_VALUE"""),0)</f>
        <v>0</v>
      </c>
      <c r="H1157" s="3" t="str">
        <f ca="1">IFERROR(__xludf.DUMMYFUNCTION("""COMPUTED_VALUE"""),"car")</f>
        <v>car</v>
      </c>
      <c r="I1157" s="3" t="str">
        <f ca="1">IFERROR(__xludf.DUMMYFUNCTION("""COMPUTED_VALUE"""),"2055-06-07T16:45:19.581874Z")</f>
        <v>2055-06-07T16:45:19.581874Z</v>
      </c>
      <c r="J1157" s="3" t="str">
        <f ca="1">IFERROR(__xludf.DUMMYFUNCTION("""COMPUTED_VALUE"""),"2055-06-07T17:50:23.643Z")</f>
        <v>2055-06-07T17:50:23.643Z</v>
      </c>
      <c r="K1157" s="3" t="str">
        <f ca="1">IFERROR(__xludf.DUMMYFUNCTION("""COMPUTED_VALUE"""),"2055-06-07T17:30:16.643Z")</f>
        <v>2055-06-07T17:30:16.643Z</v>
      </c>
      <c r="L1157" s="3">
        <f ca="1">IFERROR(__xludf.DUMMYFUNCTION("""COMPUTED_VALUE"""),1)</f>
        <v>1</v>
      </c>
      <c r="M1157" s="3">
        <f ca="1">IFERROR(__xludf.DUMMYFUNCTION("""COMPUTED_VALUE"""),0)</f>
        <v>0</v>
      </c>
      <c r="N1157" s="3" t="str">
        <f ca="1">IFERROR(__xludf.DUMMYFUNCTION("""COMPUTED_VALUE"""),"2055-06-07T17:02:39.465308Z")</f>
        <v>2055-06-07T17:02:39.465308Z</v>
      </c>
      <c r="O1157" s="3" t="str">
        <f ca="1">IFERROR(__xludf.DUMMYFUNCTION("""COMPUTED_VALUE"""),"2055-06-07T17:12:32.781973Z")</f>
        <v>2055-06-07T17:12:32.781973Z</v>
      </c>
      <c r="P1157" s="3" t="str">
        <f ca="1">IFERROR(__xludf.DUMMYFUNCTION("""COMPUTED_VALUE"""),"2055-06-07T16:48:14.577524Z")</f>
        <v>2055-06-07T16:48:14.577524Z</v>
      </c>
      <c r="Q1157" s="3">
        <f ca="1">IFERROR(__xludf.DUMMYFUNCTION("""COMPUTED_VALUE"""),0)</f>
        <v>0</v>
      </c>
      <c r="R1157" s="3" t="str">
        <f ca="1">IFERROR(__xludf.DUMMYFUNCTION("""COMPUTED_VALUE"""),"2055-06-07T16:48:47.249281Z")</f>
        <v>2055-06-07T16:48:47.249281Z</v>
      </c>
      <c r="S1157" s="3" t="str">
        <f ca="1">IFERROR(__xludf.DUMMYFUNCTION("""COMPUTED_VALUE"""),"2055-06-07T16:56:53.96536Z")</f>
        <v>2055-06-07T16:56:53.96536Z</v>
      </c>
      <c r="T1157" s="3"/>
      <c r="U1157" s="4">
        <f ca="1">IFERROR(__xludf.DUMMYFUNCTION("""COMPUTED_VALUE"""),56772)</f>
        <v>56772</v>
      </c>
      <c r="V1157" s="3">
        <f ca="1">IFERROR(__xludf.DUMMYFUNCTION("""COMPUTED_VALUE"""),4.5)</f>
        <v>4.5</v>
      </c>
      <c r="W1157" s="3">
        <f ca="1">IFERROR(__xludf.DUMMYFUNCTION("""COMPUTED_VALUE"""),800)</f>
        <v>800</v>
      </c>
      <c r="X1157" s="3">
        <f ca="1">IFERROR(__xludf.DUMMYFUNCTION("""COMPUTED_VALUE"""),1425)</f>
        <v>1425</v>
      </c>
      <c r="Y1157" s="3">
        <f ca="1">IFERROR(__xludf.DUMMYFUNCTION("""COMPUTED_VALUE"""),486)</f>
        <v>486</v>
      </c>
      <c r="Z1157" s="3">
        <f ca="1">IFERROR(__xludf.DUMMYFUNCTION("""COMPUTED_VALUE"""),346)</f>
        <v>346</v>
      </c>
      <c r="AA1157" s="3">
        <f ca="1">IFERROR(__xludf.DUMMYFUNCTION("""COMPUTED_VALUE"""),593)</f>
        <v>593</v>
      </c>
      <c r="AB1157" s="3">
        <f ca="1">IFERROR(__xludf.DUMMYFUNCTION("""COMPUTED_VALUE"""),0)</f>
        <v>0</v>
      </c>
      <c r="AC1157" s="3">
        <f ca="1">IFERROR(__xludf.DUMMYFUNCTION("""COMPUTED_VALUE"""),1)</f>
        <v>1</v>
      </c>
      <c r="AD1157" s="3" t="str">
        <f ca="1">IFERROR(__xludf.DUMMYFUNCTION("""COMPUTED_VALUE"""),"on time")</f>
        <v>on time</v>
      </c>
      <c r="AE1157" s="3" t="str">
        <f ca="1">IFERROR(__xludf.DUMMYFUNCTION("""COMPUTED_VALUE"""),"2055-06-07T13:02:39.465308Z")</f>
        <v>2055-06-07T13:02:39.465308Z</v>
      </c>
      <c r="AF1157" s="3" t="str">
        <f ca="1">IFERROR(__xludf.DUMMYFUNCTION("""COMPUTED_VALUE"""),"2055-06-07T13:12:32.781973Z")</f>
        <v>2055-06-07T13:12:32.781973Z</v>
      </c>
      <c r="AG1157" s="3" t="str">
        <f ca="1">IFERROR(__xludf.DUMMYFUNCTION("""COMPUTED_VALUE"""),"2055-06-07T12:48:14.577524Z")</f>
        <v>2055-06-07T12:48:14.577524Z</v>
      </c>
      <c r="AH1157" s="3" t="str">
        <f ca="1">IFERROR(__xludf.DUMMYFUNCTION("""COMPUTED_VALUE"""),"2055-06-07T12:56:53.96536Z")</f>
        <v>2055-06-07T12:56:53.96536Z</v>
      </c>
      <c r="AI1157" s="3">
        <f ca="1">IFERROR(__xludf.DUMMYFUNCTION("""COMPUTED_VALUE"""),4.54)</f>
        <v>4.54</v>
      </c>
      <c r="AJ1157" s="3">
        <f ca="1">IFERROR(__xludf.DUMMYFUNCTION("""COMPUTED_VALUE"""),2229)</f>
        <v>2229</v>
      </c>
      <c r="AK1157" s="3">
        <f ca="1">IFERROR(__xludf.DUMMYFUNCTION("""COMPUTED_VALUE"""),6580)</f>
        <v>6580</v>
      </c>
      <c r="AL1157" s="3"/>
      <c r="AM1157" s="3">
        <f>IFERROR(Raw_Data!AL1157 / Raw_Data!AK1157, "")</f>
        <v>0</v>
      </c>
      <c r="AN1157" s="3" t="str">
        <f>IF(ISBLANK(Raw_Data!AL1157), "No", "Yes")</f>
        <v>No</v>
      </c>
      <c r="AO1157" s="3">
        <f>IFERROR(Raw_Data!Z1157/60, "")</f>
        <v>5.7666666666666666</v>
      </c>
    </row>
    <row r="1158" spans="1:41" ht="13">
      <c r="A1158" s="3">
        <f ca="1">IFERROR(__xludf.DUMMYFUNCTION("""COMPUTED_VALUE"""),213)</f>
        <v>213</v>
      </c>
      <c r="B1158" s="3"/>
      <c r="C1158" s="3">
        <f ca="1">IFERROR(__xludf.DUMMYFUNCTION("""COMPUTED_VALUE"""),4050)</f>
        <v>4050</v>
      </c>
      <c r="D1158" s="3" t="str">
        <f ca="1">IFERROR(__xludf.DUMMYFUNCTION("""COMPUTED_VALUE"""),"Doorlanta")</f>
        <v>Doorlanta</v>
      </c>
      <c r="E1158" s="3" t="str">
        <f ca="1">IFERROR(__xludf.DUMMYFUNCTION("""COMPUTED_VALUE"""),"Galaxy A")</f>
        <v>Galaxy A</v>
      </c>
      <c r="F1158" s="3" t="str">
        <f ca="1">IFERROR(__xludf.DUMMYFUNCTION("""COMPUTED_VALUE"""),"Abhai")</f>
        <v>Abhai</v>
      </c>
      <c r="G1158" s="3">
        <f ca="1">IFERROR(__xludf.DUMMYFUNCTION("""COMPUTED_VALUE"""),0)</f>
        <v>0</v>
      </c>
      <c r="H1158" s="3" t="str">
        <f ca="1">IFERROR(__xludf.DUMMYFUNCTION("""COMPUTED_VALUE"""),"car")</f>
        <v>car</v>
      </c>
      <c r="I1158" s="3" t="str">
        <f ca="1">IFERROR(__xludf.DUMMYFUNCTION("""COMPUTED_VALUE"""),"2055-06-02T23:48:07.099226Z")</f>
        <v>2055-06-02T23:48:07.099226Z</v>
      </c>
      <c r="J1158" s="3" t="str">
        <f ca="1">IFERROR(__xludf.DUMMYFUNCTION("""COMPUTED_VALUE"""),"2055-06-03T00:38:58.168Z")</f>
        <v>2055-06-03T00:38:58.168Z</v>
      </c>
      <c r="K1158" s="3" t="str">
        <f ca="1">IFERROR(__xludf.DUMMYFUNCTION("""COMPUTED_VALUE"""),"2055-06-03T00:29:19.168Z")</f>
        <v>2055-06-03T00:29:19.168Z</v>
      </c>
      <c r="L1158" s="3">
        <f ca="1">IFERROR(__xludf.DUMMYFUNCTION("""COMPUTED_VALUE"""),1)</f>
        <v>1</v>
      </c>
      <c r="M1158" s="3">
        <f ca="1">IFERROR(__xludf.DUMMYFUNCTION("""COMPUTED_VALUE"""),0)</f>
        <v>0</v>
      </c>
      <c r="N1158" s="3" t="str">
        <f ca="1">IFERROR(__xludf.DUMMYFUNCTION("""COMPUTED_VALUE"""),"2055-06-03T00:04:46.047582Z")</f>
        <v>2055-06-03T00:04:46.047582Z</v>
      </c>
      <c r="O1158" s="3" t="str">
        <f ca="1">IFERROR(__xludf.DUMMYFUNCTION("""COMPUTED_VALUE"""),"2055-06-03T00:24:00.524567Z")</f>
        <v>2055-06-03T00:24:00.524567Z</v>
      </c>
      <c r="P1158" s="3" t="str">
        <f ca="1">IFERROR(__xludf.DUMMYFUNCTION("""COMPUTED_VALUE"""),"2055-06-02T23:51:07.383097Z")</f>
        <v>2055-06-02T23:51:07.383097Z</v>
      </c>
      <c r="Q1158" s="3">
        <f ca="1">IFERROR(__xludf.DUMMYFUNCTION("""COMPUTED_VALUE"""),0)</f>
        <v>0</v>
      </c>
      <c r="R1158" s="3" t="str">
        <f ca="1">IFERROR(__xludf.DUMMYFUNCTION("""COMPUTED_VALUE"""),"2055-06-02T23:51:18.488768Z")</f>
        <v>2055-06-02T23:51:18.488768Z</v>
      </c>
      <c r="S1158" s="3"/>
      <c r="T1158" s="3"/>
      <c r="U1158" s="4">
        <f ca="1">IFERROR(__xludf.DUMMYFUNCTION("""COMPUTED_VALUE"""),56767)</f>
        <v>56767</v>
      </c>
      <c r="V1158" s="3">
        <f ca="1">IFERROR(__xludf.DUMMYFUNCTION("""COMPUTED_VALUE"""),4.4)</f>
        <v>4.4000000000000004</v>
      </c>
      <c r="W1158" s="3">
        <f ca="1">IFERROR(__xludf.DUMMYFUNCTION("""COMPUTED_VALUE"""),800)</f>
        <v>800</v>
      </c>
      <c r="X1158" s="3">
        <f ca="1">IFERROR(__xludf.DUMMYFUNCTION("""COMPUTED_VALUE"""),1962)</f>
        <v>1962</v>
      </c>
      <c r="Y1158" s="3"/>
      <c r="Z1158" s="3"/>
      <c r="AA1158" s="3">
        <f ca="1">IFERROR(__xludf.DUMMYFUNCTION("""COMPUTED_VALUE"""),1154)</f>
        <v>1154</v>
      </c>
      <c r="AB1158" s="3">
        <f ca="1">IFERROR(__xludf.DUMMYFUNCTION("""COMPUTED_VALUE"""),0)</f>
        <v>0</v>
      </c>
      <c r="AC1158" s="3">
        <f ca="1">IFERROR(__xludf.DUMMYFUNCTION("""COMPUTED_VALUE"""),1)</f>
        <v>1</v>
      </c>
      <c r="AD1158" s="3"/>
      <c r="AE1158" s="3" t="str">
        <f ca="1">IFERROR(__xludf.DUMMYFUNCTION("""COMPUTED_VALUE"""),"2055-06-02T20:04:46.047582Z")</f>
        <v>2055-06-02T20:04:46.047582Z</v>
      </c>
      <c r="AF1158" s="3" t="str">
        <f ca="1">IFERROR(__xludf.DUMMYFUNCTION("""COMPUTED_VALUE"""),"2055-06-02T20:24:00.524567Z")</f>
        <v>2055-06-02T20:24:00.524567Z</v>
      </c>
      <c r="AG1158" s="3" t="str">
        <f ca="1">IFERROR(__xludf.DUMMYFUNCTION("""COMPUTED_VALUE"""),"2055-06-02T19:51:07.383097Z")</f>
        <v>2055-06-02T19:51:07.383097Z</v>
      </c>
      <c r="AH1158" s="3"/>
      <c r="AI1158" s="3">
        <f ca="1">IFERROR(__xludf.DUMMYFUNCTION("""COMPUTED_VALUE"""),4.56)</f>
        <v>4.5599999999999996</v>
      </c>
      <c r="AJ1158" s="3">
        <f ca="1">IFERROR(__xludf.DUMMYFUNCTION("""COMPUTED_VALUE"""),344)</f>
        <v>344</v>
      </c>
      <c r="AK1158" s="3">
        <f ca="1">IFERROR(__xludf.DUMMYFUNCTION("""COMPUTED_VALUE"""),947)</f>
        <v>947</v>
      </c>
      <c r="AL1158" s="3">
        <f ca="1">IFERROR(__xludf.DUMMYFUNCTION("""COMPUTED_VALUE"""),22)</f>
        <v>22</v>
      </c>
      <c r="AM1158" s="3">
        <f>IFERROR(Raw_Data!AL1158 / Raw_Data!AK1158, "")</f>
        <v>2.3231256599788808E-2</v>
      </c>
      <c r="AN1158" s="3" t="str">
        <f>IF(ISBLANK(Raw_Data!AL1158), "No", "Yes")</f>
        <v>Yes</v>
      </c>
      <c r="AO1158" s="3">
        <f>IFERROR(Raw_Data!Z1158/60, "")</f>
        <v>0</v>
      </c>
    </row>
    <row r="1159" spans="1:41" ht="13">
      <c r="A1159" s="3">
        <f ca="1">IFERROR(__xludf.DUMMYFUNCTION("""COMPUTED_VALUE"""),431)</f>
        <v>431</v>
      </c>
      <c r="B1159" s="3"/>
      <c r="C1159" s="3">
        <f ca="1">IFERROR(__xludf.DUMMYFUNCTION("""COMPUTED_VALUE"""),4050)</f>
        <v>4050</v>
      </c>
      <c r="D1159" s="3" t="str">
        <f ca="1">IFERROR(__xludf.DUMMYFUNCTION("""COMPUTED_VALUE"""),"Doorlanta")</f>
        <v>Doorlanta</v>
      </c>
      <c r="E1159" s="3" t="str">
        <f ca="1">IFERROR(__xludf.DUMMYFUNCTION("""COMPUTED_VALUE"""),"Galaxy A")</f>
        <v>Galaxy A</v>
      </c>
      <c r="F1159" s="3" t="str">
        <f ca="1">IFERROR(__xludf.DUMMYFUNCTION("""COMPUTED_VALUE"""),"Elon")</f>
        <v>Elon</v>
      </c>
      <c r="G1159" s="3">
        <f ca="1">IFERROR(__xludf.DUMMYFUNCTION("""COMPUTED_VALUE"""),0)</f>
        <v>0</v>
      </c>
      <c r="H1159" s="3" t="str">
        <f ca="1">IFERROR(__xludf.DUMMYFUNCTION("""COMPUTED_VALUE"""),"car")</f>
        <v>car</v>
      </c>
      <c r="I1159" s="3" t="str">
        <f ca="1">IFERROR(__xludf.DUMMYFUNCTION("""COMPUTED_VALUE"""),"2055-06-04T19:15:14.760567Z")</f>
        <v>2055-06-04T19:15:14.760567Z</v>
      </c>
      <c r="J1159" s="3" t="str">
        <f ca="1">IFERROR(__xludf.DUMMYFUNCTION("""COMPUTED_VALUE"""),"2055-06-04T20:21:16.858Z")</f>
        <v>2055-06-04T20:21:16.858Z</v>
      </c>
      <c r="K1159" s="3" t="str">
        <f ca="1">IFERROR(__xludf.DUMMYFUNCTION("""COMPUTED_VALUE"""),"2055-06-04T19:57:58.858Z")</f>
        <v>2055-06-04T19:57:58.858Z</v>
      </c>
      <c r="L1159" s="3">
        <f ca="1">IFERROR(__xludf.DUMMYFUNCTION("""COMPUTED_VALUE"""),1)</f>
        <v>1</v>
      </c>
      <c r="M1159" s="3">
        <f ca="1">IFERROR(__xludf.DUMMYFUNCTION("""COMPUTED_VALUE"""),0)</f>
        <v>0</v>
      </c>
      <c r="N1159" s="3" t="str">
        <f ca="1">IFERROR(__xludf.DUMMYFUNCTION("""COMPUTED_VALUE"""),"2055-06-04T20:00:52.417435Z")</f>
        <v>2055-06-04T20:00:52.417435Z</v>
      </c>
      <c r="O1159" s="3" t="str">
        <f ca="1">IFERROR(__xludf.DUMMYFUNCTION("""COMPUTED_VALUE"""),"2055-06-04T20:16:19.285721Z")</f>
        <v>2055-06-04T20:16:19.285721Z</v>
      </c>
      <c r="P1159" s="3" t="str">
        <f ca="1">IFERROR(__xludf.DUMMYFUNCTION("""COMPUTED_VALUE"""),"2055-06-04T19:24:07.330327Z")</f>
        <v>2055-06-04T19:24:07.330327Z</v>
      </c>
      <c r="Q1159" s="3">
        <f ca="1">IFERROR(__xludf.DUMMYFUNCTION("""COMPUTED_VALUE"""),0)</f>
        <v>0</v>
      </c>
      <c r="R1159" s="3" t="str">
        <f ca="1">IFERROR(__xludf.DUMMYFUNCTION("""COMPUTED_VALUE"""),"2055-06-04T19:24:10.959389Z")</f>
        <v>2055-06-04T19:24:10.959389Z</v>
      </c>
      <c r="S1159" s="3" t="str">
        <f ca="1">IFERROR(__xludf.DUMMYFUNCTION("""COMPUTED_VALUE"""),"2055-06-04T19:52:45.900857Z")</f>
        <v>2055-06-04T19:52:45.900857Z</v>
      </c>
      <c r="T1159" s="3"/>
      <c r="U1159" s="4">
        <f ca="1">IFERROR(__xludf.DUMMYFUNCTION("""COMPUTED_VALUE"""),56769)</f>
        <v>56769</v>
      </c>
      <c r="V1159" s="3">
        <f ca="1">IFERROR(__xludf.DUMMYFUNCTION("""COMPUTED_VALUE"""),4.7)</f>
        <v>4.7</v>
      </c>
      <c r="W1159" s="3">
        <f ca="1">IFERROR(__xludf.DUMMYFUNCTION("""COMPUTED_VALUE"""),800)</f>
        <v>800</v>
      </c>
      <c r="X1159" s="3">
        <f ca="1">IFERROR(__xludf.DUMMYFUNCTION("""COMPUTED_VALUE"""),3129)</f>
        <v>3129</v>
      </c>
      <c r="Y1159" s="3">
        <f ca="1">IFERROR(__xludf.DUMMYFUNCTION("""COMPUTED_VALUE"""),1715)</f>
        <v>1715</v>
      </c>
      <c r="Z1159" s="3">
        <f ca="1">IFERROR(__xludf.DUMMYFUNCTION("""COMPUTED_VALUE"""),487)</f>
        <v>487</v>
      </c>
      <c r="AA1159" s="3">
        <f ca="1">IFERROR(__xludf.DUMMYFUNCTION("""COMPUTED_VALUE"""),927)</f>
        <v>927</v>
      </c>
      <c r="AB1159" s="3">
        <f ca="1">IFERROR(__xludf.DUMMYFUNCTION("""COMPUTED_VALUE"""),0)</f>
        <v>0</v>
      </c>
      <c r="AC1159" s="3">
        <f ca="1">IFERROR(__xludf.DUMMYFUNCTION("""COMPUTED_VALUE"""),1)</f>
        <v>1</v>
      </c>
      <c r="AD1159" s="3" t="str">
        <f ca="1">IFERROR(__xludf.DUMMYFUNCTION("""COMPUTED_VALUE"""),"late")</f>
        <v>late</v>
      </c>
      <c r="AE1159" s="3" t="str">
        <f ca="1">IFERROR(__xludf.DUMMYFUNCTION("""COMPUTED_VALUE"""),"2055-06-04T16:00:52.417435Z")</f>
        <v>2055-06-04T16:00:52.417435Z</v>
      </c>
      <c r="AF1159" s="3" t="str">
        <f ca="1">IFERROR(__xludf.DUMMYFUNCTION("""COMPUTED_VALUE"""),"2055-06-04T16:16:19.285721Z")</f>
        <v>2055-06-04T16:16:19.285721Z</v>
      </c>
      <c r="AG1159" s="3" t="str">
        <f ca="1">IFERROR(__xludf.DUMMYFUNCTION("""COMPUTED_VALUE"""),"2055-06-04T15:24:07.330327Z")</f>
        <v>2055-06-04T15:24:07.330327Z</v>
      </c>
      <c r="AH1159" s="3" t="str">
        <f ca="1">IFERROR(__xludf.DUMMYFUNCTION("""COMPUTED_VALUE"""),"2055-06-04T15:52:45.900857Z")</f>
        <v>2055-06-04T15:52:45.900857Z</v>
      </c>
      <c r="AI1159" s="3">
        <f ca="1">IFERROR(__xludf.DUMMYFUNCTION("""COMPUTED_VALUE"""),4.62)</f>
        <v>4.62</v>
      </c>
      <c r="AJ1159" s="3">
        <f ca="1">IFERROR(__xludf.DUMMYFUNCTION("""COMPUTED_VALUE"""),259)</f>
        <v>259</v>
      </c>
      <c r="AK1159" s="3">
        <f ca="1">IFERROR(__xludf.DUMMYFUNCTION("""COMPUTED_VALUE"""),604)</f>
        <v>604</v>
      </c>
      <c r="AL1159" s="3">
        <f ca="1">IFERROR(__xludf.DUMMYFUNCTION("""COMPUTED_VALUE"""),21)</f>
        <v>21</v>
      </c>
      <c r="AM1159" s="3">
        <f>IFERROR(Raw_Data!AL1159 / Raw_Data!AK1159, "")</f>
        <v>3.4768211920529798E-2</v>
      </c>
      <c r="AN1159" s="3" t="str">
        <f>IF(ISBLANK(Raw_Data!AL1159), "No", "Yes")</f>
        <v>Yes</v>
      </c>
      <c r="AO1159" s="3">
        <f>IFERROR(Raw_Data!Z1159/60, "")</f>
        <v>8.1166666666666671</v>
      </c>
    </row>
    <row r="1160" spans="1:41" ht="13">
      <c r="A1160" s="3">
        <f ca="1">IFERROR(__xludf.DUMMYFUNCTION("""COMPUTED_VALUE"""),1476)</f>
        <v>1476</v>
      </c>
      <c r="B1160" s="3">
        <f ca="1">IFERROR(__xludf.DUMMYFUNCTION("""COMPUTED_VALUE"""),5)</f>
        <v>5</v>
      </c>
      <c r="C1160" s="3">
        <f ca="1">IFERROR(__xludf.DUMMYFUNCTION("""COMPUTED_VALUE"""),4001)</f>
        <v>4001</v>
      </c>
      <c r="D1160" s="3" t="str">
        <f ca="1">IFERROR(__xludf.DUMMYFUNCTION("""COMPUTED_VALUE"""),"Dashattan")</f>
        <v>Dashattan</v>
      </c>
      <c r="E1160" s="3" t="str">
        <f ca="1">IFERROR(__xludf.DUMMYFUNCTION("""COMPUTED_VALUE"""),"Galaxy A")</f>
        <v>Galaxy A</v>
      </c>
      <c r="F1160" s="3" t="str">
        <f ca="1">IFERROR(__xludf.DUMMYFUNCTION("""COMPUTED_VALUE"""),"Etan")</f>
        <v>Etan</v>
      </c>
      <c r="G1160" s="3">
        <f ca="1">IFERROR(__xludf.DUMMYFUNCTION("""COMPUTED_VALUE"""),0)</f>
        <v>0</v>
      </c>
      <c r="H1160" s="3" t="str">
        <f ca="1">IFERROR(__xludf.DUMMYFUNCTION("""COMPUTED_VALUE"""),"bicycle")</f>
        <v>bicycle</v>
      </c>
      <c r="I1160" s="3" t="str">
        <f ca="1">IFERROR(__xludf.DUMMYFUNCTION("""COMPUTED_VALUE"""),"2055-06-12T22:29:49.674433Z")</f>
        <v>2055-06-12T22:29:49.674433Z</v>
      </c>
      <c r="J1160" s="3" t="str">
        <f ca="1">IFERROR(__xludf.DUMMYFUNCTION("""COMPUTED_VALUE"""),"2055-06-12T23:11:15.738Z")</f>
        <v>2055-06-12T23:11:15.738Z</v>
      </c>
      <c r="K1160" s="3" t="str">
        <f ca="1">IFERROR(__xludf.DUMMYFUNCTION("""COMPUTED_VALUE"""),"2055-06-12T23:06:36.738Z")</f>
        <v>2055-06-12T23:06:36.738Z</v>
      </c>
      <c r="L1160" s="3">
        <f ca="1">IFERROR(__xludf.DUMMYFUNCTION("""COMPUTED_VALUE"""),1)</f>
        <v>1</v>
      </c>
      <c r="M1160" s="3">
        <f ca="1">IFERROR(__xludf.DUMMYFUNCTION("""COMPUTED_VALUE"""),0)</f>
        <v>0</v>
      </c>
      <c r="N1160" s="3" t="str">
        <f ca="1">IFERROR(__xludf.DUMMYFUNCTION("""COMPUTED_VALUE"""),"2055-06-12T22:46:14.392783Z")</f>
        <v>2055-06-12T22:46:14.392783Z</v>
      </c>
      <c r="O1160" s="3" t="str">
        <f ca="1">IFERROR(__xludf.DUMMYFUNCTION("""COMPUTED_VALUE"""),"2055-06-12T23:23:48.567904Z")</f>
        <v>2055-06-12T23:23:48.567904Z</v>
      </c>
      <c r="P1160" s="3" t="str">
        <f ca="1">IFERROR(__xludf.DUMMYFUNCTION("""COMPUTED_VALUE"""),"2055-06-12T22:33:35.277385Z")</f>
        <v>2055-06-12T22:33:35.277385Z</v>
      </c>
      <c r="Q1160" s="3">
        <f ca="1">IFERROR(__xludf.DUMMYFUNCTION("""COMPUTED_VALUE"""),0)</f>
        <v>0</v>
      </c>
      <c r="R1160" s="3" t="str">
        <f ca="1">IFERROR(__xludf.DUMMYFUNCTION("""COMPUTED_VALUE"""),"2055-06-12T22:33:43.749751Z")</f>
        <v>2055-06-12T22:33:43.749751Z</v>
      </c>
      <c r="S1160" s="3" t="str">
        <f ca="1">IFERROR(__xludf.DUMMYFUNCTION("""COMPUTED_VALUE"""),"2055-06-12T22:40:48.395663Z")</f>
        <v>2055-06-12T22:40:48.395663Z</v>
      </c>
      <c r="T1160" s="3"/>
      <c r="U1160" s="4">
        <f ca="1">IFERROR(__xludf.DUMMYFUNCTION("""COMPUTED_VALUE"""),56777)</f>
        <v>56777</v>
      </c>
      <c r="V1160" s="3">
        <f ca="1">IFERROR(__xludf.DUMMYFUNCTION("""COMPUTED_VALUE"""),2.969143873)</f>
        <v>2.9691438730000002</v>
      </c>
      <c r="W1160" s="3">
        <f ca="1">IFERROR(__xludf.DUMMYFUNCTION("""COMPUTED_VALUE"""),800)</f>
        <v>800</v>
      </c>
      <c r="X1160" s="3">
        <f ca="1">IFERROR(__xludf.DUMMYFUNCTION("""COMPUTED_VALUE"""),3005)</f>
        <v>3005</v>
      </c>
      <c r="Y1160" s="3">
        <f ca="1">IFERROR(__xludf.DUMMYFUNCTION("""COMPUTED_VALUE"""),425)</f>
        <v>425</v>
      </c>
      <c r="Z1160" s="3">
        <f ca="1">IFERROR(__xludf.DUMMYFUNCTION("""COMPUTED_VALUE"""),326)</f>
        <v>326</v>
      </c>
      <c r="AA1160" s="3">
        <f ca="1">IFERROR(__xludf.DUMMYFUNCTION("""COMPUTED_VALUE"""),2254)</f>
        <v>2254</v>
      </c>
      <c r="AB1160" s="3">
        <f ca="1">IFERROR(__xludf.DUMMYFUNCTION("""COMPUTED_VALUE"""),0)</f>
        <v>0</v>
      </c>
      <c r="AC1160" s="3">
        <f ca="1">IFERROR(__xludf.DUMMYFUNCTION("""COMPUTED_VALUE"""),1)</f>
        <v>1</v>
      </c>
      <c r="AD1160" s="3" t="str">
        <f ca="1">IFERROR(__xludf.DUMMYFUNCTION("""COMPUTED_VALUE"""),"early")</f>
        <v>early</v>
      </c>
      <c r="AE1160" s="3" t="str">
        <f ca="1">IFERROR(__xludf.DUMMYFUNCTION("""COMPUTED_VALUE"""),"2055-06-12T18:46:14.392783Z")</f>
        <v>2055-06-12T18:46:14.392783Z</v>
      </c>
      <c r="AF1160" s="3" t="str">
        <f ca="1">IFERROR(__xludf.DUMMYFUNCTION("""COMPUTED_VALUE"""),"2055-06-12T19:23:48.567904Z")</f>
        <v>2055-06-12T19:23:48.567904Z</v>
      </c>
      <c r="AG1160" s="3" t="str">
        <f ca="1">IFERROR(__xludf.DUMMYFUNCTION("""COMPUTED_VALUE"""),"2055-06-12T18:33:35.277385Z")</f>
        <v>2055-06-12T18:33:35.277385Z</v>
      </c>
      <c r="AH1160" s="3" t="str">
        <f ca="1">IFERROR(__xludf.DUMMYFUNCTION("""COMPUTED_VALUE"""),"2055-06-12T18:40:48.395663Z")</f>
        <v>2055-06-12T18:40:48.395663Z</v>
      </c>
      <c r="AI1160" s="3">
        <f ca="1">IFERROR(__xludf.DUMMYFUNCTION("""COMPUTED_VALUE"""),4.35106383)</f>
        <v>4.3510638300000002</v>
      </c>
      <c r="AJ1160" s="3">
        <f ca="1">IFERROR(__xludf.DUMMYFUNCTION("""COMPUTED_VALUE"""),62)</f>
        <v>62</v>
      </c>
      <c r="AK1160" s="3">
        <f ca="1">IFERROR(__xludf.DUMMYFUNCTION("""COMPUTED_VALUE"""),228)</f>
        <v>228</v>
      </c>
      <c r="AL1160" s="3"/>
      <c r="AM1160" s="3">
        <f>IFERROR(Raw_Data!AL1160 / Raw_Data!AK1160, "")</f>
        <v>0</v>
      </c>
      <c r="AN1160" s="3" t="str">
        <f>IF(ISBLANK(Raw_Data!AL1160), "No", "Yes")</f>
        <v>No</v>
      </c>
      <c r="AO1160" s="3">
        <f>IFERROR(Raw_Data!Z1160/60, "")</f>
        <v>5.4333333333333336</v>
      </c>
    </row>
    <row r="1161" spans="1:41" ht="13">
      <c r="A1161" s="3">
        <f ca="1">IFERROR(__xludf.DUMMYFUNCTION("""COMPUTED_VALUE"""),516)</f>
        <v>516</v>
      </c>
      <c r="B1161" s="3">
        <f ca="1">IFERROR(__xludf.DUMMYFUNCTION("""COMPUTED_VALUE"""),5)</f>
        <v>5</v>
      </c>
      <c r="C1161" s="3">
        <f ca="1">IFERROR(__xludf.DUMMYFUNCTION("""COMPUTED_VALUE"""),4050)</f>
        <v>4050</v>
      </c>
      <c r="D1161" s="3" t="str">
        <f ca="1">IFERROR(__xludf.DUMMYFUNCTION("""COMPUTED_VALUE"""),"Doorlanta")</f>
        <v>Doorlanta</v>
      </c>
      <c r="E1161" s="3" t="str">
        <f ca="1">IFERROR(__xludf.DUMMYFUNCTION("""COMPUTED_VALUE"""),"Galaxy A")</f>
        <v>Galaxy A</v>
      </c>
      <c r="F1161" s="3" t="str">
        <f ca="1">IFERROR(__xludf.DUMMYFUNCTION("""COMPUTED_VALUE"""),"Katelynn")</f>
        <v>Katelynn</v>
      </c>
      <c r="G1161" s="3">
        <f ca="1">IFERROR(__xludf.DUMMYFUNCTION("""COMPUTED_VALUE"""),0)</f>
        <v>0</v>
      </c>
      <c r="H1161" s="3" t="str">
        <f ca="1">IFERROR(__xludf.DUMMYFUNCTION("""COMPUTED_VALUE"""),"car")</f>
        <v>car</v>
      </c>
      <c r="I1161" s="3" t="str">
        <f ca="1">IFERROR(__xludf.DUMMYFUNCTION("""COMPUTED_VALUE"""),"2055-06-05T00:46:35.234038Z")</f>
        <v>2055-06-05T00:46:35.234038Z</v>
      </c>
      <c r="J1161" s="3" t="str">
        <f ca="1">IFERROR(__xludf.DUMMYFUNCTION("""COMPUTED_VALUE"""),"2055-06-05T01:41:35.291Z")</f>
        <v>2055-06-05T01:41:35.291Z</v>
      </c>
      <c r="K1161" s="3" t="str">
        <f ca="1">IFERROR(__xludf.DUMMYFUNCTION("""COMPUTED_VALUE"""),"2055-06-05T01:22:36.291Z")</f>
        <v>2055-06-05T01:22:36.291Z</v>
      </c>
      <c r="L1161" s="3">
        <f ca="1">IFERROR(__xludf.DUMMYFUNCTION("""COMPUTED_VALUE"""),1)</f>
        <v>1</v>
      </c>
      <c r="M1161" s="3">
        <f ca="1">IFERROR(__xludf.DUMMYFUNCTION("""COMPUTED_VALUE"""),0)</f>
        <v>0</v>
      </c>
      <c r="N1161" s="3" t="str">
        <f ca="1">IFERROR(__xludf.DUMMYFUNCTION("""COMPUTED_VALUE"""),"2055-06-05T01:12:05.479665Z")</f>
        <v>2055-06-05T01:12:05.479665Z</v>
      </c>
      <c r="O1161" s="3" t="str">
        <f ca="1">IFERROR(__xludf.DUMMYFUNCTION("""COMPUTED_VALUE"""),"2055-06-05T01:24:30.675984Z")</f>
        <v>2055-06-05T01:24:30.675984Z</v>
      </c>
      <c r="P1161" s="3" t="str">
        <f ca="1">IFERROR(__xludf.DUMMYFUNCTION("""COMPUTED_VALUE"""),"2055-06-05T00:46:48.456993Z")</f>
        <v>2055-06-05T00:46:48.456993Z</v>
      </c>
      <c r="Q1161" s="3">
        <f ca="1">IFERROR(__xludf.DUMMYFUNCTION("""COMPUTED_VALUE"""),0)</f>
        <v>0</v>
      </c>
      <c r="R1161" s="3" t="str">
        <f ca="1">IFERROR(__xludf.DUMMYFUNCTION("""COMPUTED_VALUE"""),"2055-06-05T00:47:18.822672Z")</f>
        <v>2055-06-05T00:47:18.822672Z</v>
      </c>
      <c r="S1161" s="3" t="str">
        <f ca="1">IFERROR(__xludf.DUMMYFUNCTION("""COMPUTED_VALUE"""),"2055-06-05T00:54:47.585562Z")</f>
        <v>2055-06-05T00:54:47.585562Z</v>
      </c>
      <c r="T1161" s="3"/>
      <c r="U1161" s="4">
        <f ca="1">IFERROR(__xludf.DUMMYFUNCTION("""COMPUTED_VALUE"""),56769)</f>
        <v>56769</v>
      </c>
      <c r="V1161" s="3">
        <f ca="1">IFERROR(__xludf.DUMMYFUNCTION("""COMPUTED_VALUE"""),4.4)</f>
        <v>4.4000000000000004</v>
      </c>
      <c r="W1161" s="3">
        <f ca="1">IFERROR(__xludf.DUMMYFUNCTION("""COMPUTED_VALUE"""),800)</f>
        <v>800</v>
      </c>
      <c r="X1161" s="3">
        <f ca="1">IFERROR(__xludf.DUMMYFUNCTION("""COMPUTED_VALUE"""),2232)</f>
        <v>2232</v>
      </c>
      <c r="Y1161" s="3">
        <f ca="1">IFERROR(__xludf.DUMMYFUNCTION("""COMPUTED_VALUE"""),449)</f>
        <v>449</v>
      </c>
      <c r="Z1161" s="3">
        <f ca="1">IFERROR(__xludf.DUMMYFUNCTION("""COMPUTED_VALUE"""),1038)</f>
        <v>1038</v>
      </c>
      <c r="AA1161" s="3">
        <f ca="1">IFERROR(__xludf.DUMMYFUNCTION("""COMPUTED_VALUE"""),745)</f>
        <v>745</v>
      </c>
      <c r="AB1161" s="3">
        <f ca="1">IFERROR(__xludf.DUMMYFUNCTION("""COMPUTED_VALUE"""),0)</f>
        <v>0</v>
      </c>
      <c r="AC1161" s="3">
        <f ca="1">IFERROR(__xludf.DUMMYFUNCTION("""COMPUTED_VALUE"""),1)</f>
        <v>1</v>
      </c>
      <c r="AD1161" s="3" t="str">
        <f ca="1">IFERROR(__xludf.DUMMYFUNCTION("""COMPUTED_VALUE"""),"early")</f>
        <v>early</v>
      </c>
      <c r="AE1161" s="3" t="str">
        <f ca="1">IFERROR(__xludf.DUMMYFUNCTION("""COMPUTED_VALUE"""),"2055-06-04T21:12:05.479665Z")</f>
        <v>2055-06-04T21:12:05.479665Z</v>
      </c>
      <c r="AF1161" s="3" t="str">
        <f ca="1">IFERROR(__xludf.DUMMYFUNCTION("""COMPUTED_VALUE"""),"2055-06-04T21:24:30.675984Z")</f>
        <v>2055-06-04T21:24:30.675984Z</v>
      </c>
      <c r="AG1161" s="3" t="str">
        <f ca="1">IFERROR(__xludf.DUMMYFUNCTION("""COMPUTED_VALUE"""),"2055-06-04T20:46:48.456993Z")</f>
        <v>2055-06-04T20:46:48.456993Z</v>
      </c>
      <c r="AH1161" s="3" t="str">
        <f ca="1">IFERROR(__xludf.DUMMYFUNCTION("""COMPUTED_VALUE"""),"2055-06-04T20:54:47.585562Z")</f>
        <v>2055-06-04T20:54:47.585562Z</v>
      </c>
      <c r="AI1161" s="3">
        <f ca="1">IFERROR(__xludf.DUMMYFUNCTION("""COMPUTED_VALUE"""),4.7)</f>
        <v>4.7</v>
      </c>
      <c r="AJ1161" s="3">
        <f ca="1">IFERROR(__xludf.DUMMYFUNCTION("""COMPUTED_VALUE"""),1261)</f>
        <v>1261</v>
      </c>
      <c r="AK1161" s="3">
        <f ca="1">IFERROR(__xludf.DUMMYFUNCTION("""COMPUTED_VALUE"""),3264)</f>
        <v>3264</v>
      </c>
      <c r="AL1161" s="3">
        <f ca="1">IFERROR(__xludf.DUMMYFUNCTION("""COMPUTED_VALUE"""),232)</f>
        <v>232</v>
      </c>
      <c r="AM1161" s="3">
        <f>IFERROR(Raw_Data!AL1161 / Raw_Data!AK1161, "")</f>
        <v>7.1078431372549017E-2</v>
      </c>
      <c r="AN1161" s="3" t="str">
        <f>IF(ISBLANK(Raw_Data!AL1161), "No", "Yes")</f>
        <v>Yes</v>
      </c>
      <c r="AO1161" s="3">
        <f>IFERROR(Raw_Data!Z1161/60, "")</f>
        <v>17.3</v>
      </c>
    </row>
    <row r="1162" spans="1:41" ht="13">
      <c r="A1162" s="3">
        <f ca="1">IFERROR(__xludf.DUMMYFUNCTION("""COMPUTED_VALUE"""),214)</f>
        <v>214</v>
      </c>
      <c r="B1162" s="3">
        <f ca="1">IFERROR(__xludf.DUMMYFUNCTION("""COMPUTED_VALUE"""),5)</f>
        <v>5</v>
      </c>
      <c r="C1162" s="3">
        <f ca="1">IFERROR(__xludf.DUMMYFUNCTION("""COMPUTED_VALUE"""),4050)</f>
        <v>4050</v>
      </c>
      <c r="D1162" s="3" t="str">
        <f ca="1">IFERROR(__xludf.DUMMYFUNCTION("""COMPUTED_VALUE"""),"Doorlanta")</f>
        <v>Doorlanta</v>
      </c>
      <c r="E1162" s="3" t="str">
        <f ca="1">IFERROR(__xludf.DUMMYFUNCTION("""COMPUTED_VALUE"""),"Galaxy A")</f>
        <v>Galaxy A</v>
      </c>
      <c r="F1162" s="3" t="str">
        <f ca="1">IFERROR(__xludf.DUMMYFUNCTION("""COMPUTED_VALUE"""),"Matt")</f>
        <v>Matt</v>
      </c>
      <c r="G1162" s="3">
        <f ca="1">IFERROR(__xludf.DUMMYFUNCTION("""COMPUTED_VALUE"""),0)</f>
        <v>0</v>
      </c>
      <c r="H1162" s="3" t="str">
        <f ca="1">IFERROR(__xludf.DUMMYFUNCTION("""COMPUTED_VALUE"""),"car")</f>
        <v>car</v>
      </c>
      <c r="I1162" s="3" t="str">
        <f ca="1">IFERROR(__xludf.DUMMYFUNCTION("""COMPUTED_VALUE"""),"2055-06-02T23:48:25.081926Z")</f>
        <v>2055-06-02T23:48:25.081926Z</v>
      </c>
      <c r="J1162" s="3" t="str">
        <f ca="1">IFERROR(__xludf.DUMMYFUNCTION("""COMPUTED_VALUE"""),"2055-06-03T00:45:49.157Z")</f>
        <v>2055-06-03T00:45:49.157Z</v>
      </c>
      <c r="K1162" s="3" t="str">
        <f ca="1">IFERROR(__xludf.DUMMYFUNCTION("""COMPUTED_VALUE"""),"2055-06-03T00:25:42.157Z")</f>
        <v>2055-06-03T00:25:42.157Z</v>
      </c>
      <c r="L1162" s="3">
        <f ca="1">IFERROR(__xludf.DUMMYFUNCTION("""COMPUTED_VALUE"""),1)</f>
        <v>1</v>
      </c>
      <c r="M1162" s="3">
        <f ca="1">IFERROR(__xludf.DUMMYFUNCTION("""COMPUTED_VALUE"""),0)</f>
        <v>0</v>
      </c>
      <c r="N1162" s="3" t="str">
        <f ca="1">IFERROR(__xludf.DUMMYFUNCTION("""COMPUTED_VALUE"""),"2055-06-03T00:01:01.918465Z")</f>
        <v>2055-06-03T00:01:01.918465Z</v>
      </c>
      <c r="O1162" s="3" t="str">
        <f ca="1">IFERROR(__xludf.DUMMYFUNCTION("""COMPUTED_VALUE"""),"2055-06-03T00:22:56.279313Z")</f>
        <v>2055-06-03T00:22:56.279313Z</v>
      </c>
      <c r="P1162" s="3" t="str">
        <f ca="1">IFERROR(__xludf.DUMMYFUNCTION("""COMPUTED_VALUE"""),"2055-06-02T23:48:47.34632Z")</f>
        <v>2055-06-02T23:48:47.34632Z</v>
      </c>
      <c r="Q1162" s="3">
        <f ca="1">IFERROR(__xludf.DUMMYFUNCTION("""COMPUTED_VALUE"""),0)</f>
        <v>0</v>
      </c>
      <c r="R1162" s="3" t="str">
        <f ca="1">IFERROR(__xludf.DUMMYFUNCTION("""COMPUTED_VALUE"""),"2055-06-02T23:48:56.101115Z")</f>
        <v>2055-06-02T23:48:56.101115Z</v>
      </c>
      <c r="S1162" s="3"/>
      <c r="T1162" s="3"/>
      <c r="U1162" s="4">
        <f ca="1">IFERROR(__xludf.DUMMYFUNCTION("""COMPUTED_VALUE"""),56767)</f>
        <v>56767</v>
      </c>
      <c r="V1162" s="3">
        <f ca="1">IFERROR(__xludf.DUMMYFUNCTION("""COMPUTED_VALUE"""),4.6)</f>
        <v>4.5999999999999996</v>
      </c>
      <c r="W1162" s="3">
        <f ca="1">IFERROR(__xludf.DUMMYFUNCTION("""COMPUTED_VALUE"""),800)</f>
        <v>800</v>
      </c>
      <c r="X1162" s="3">
        <f ca="1">IFERROR(__xludf.DUMMYFUNCTION("""COMPUTED_VALUE"""),2040)</f>
        <v>2040</v>
      </c>
      <c r="Y1162" s="3"/>
      <c r="Z1162" s="3"/>
      <c r="AA1162" s="3">
        <f ca="1">IFERROR(__xludf.DUMMYFUNCTION("""COMPUTED_VALUE"""),1315)</f>
        <v>1315</v>
      </c>
      <c r="AB1162" s="3">
        <f ca="1">IFERROR(__xludf.DUMMYFUNCTION("""COMPUTED_VALUE"""),0)</f>
        <v>0</v>
      </c>
      <c r="AC1162" s="3">
        <f ca="1">IFERROR(__xludf.DUMMYFUNCTION("""COMPUTED_VALUE"""),2)</f>
        <v>2</v>
      </c>
      <c r="AD1162" s="3"/>
      <c r="AE1162" s="3" t="str">
        <f ca="1">IFERROR(__xludf.DUMMYFUNCTION("""COMPUTED_VALUE"""),"2055-06-02T20:01:01.918465Z")</f>
        <v>2055-06-02T20:01:01.918465Z</v>
      </c>
      <c r="AF1162" s="3" t="str">
        <f ca="1">IFERROR(__xludf.DUMMYFUNCTION("""COMPUTED_VALUE"""),"2055-06-02T20:22:56.279313Z")</f>
        <v>2055-06-02T20:22:56.279313Z</v>
      </c>
      <c r="AG1162" s="3" t="str">
        <f ca="1">IFERROR(__xludf.DUMMYFUNCTION("""COMPUTED_VALUE"""),"2055-06-02T19:48:47.34632Z")</f>
        <v>2055-06-02T19:48:47.34632Z</v>
      </c>
      <c r="AH1162" s="3"/>
      <c r="AI1162" s="3">
        <f ca="1">IFERROR(__xludf.DUMMYFUNCTION("""COMPUTED_VALUE"""),4.22)</f>
        <v>4.22</v>
      </c>
      <c r="AJ1162" s="3">
        <f ca="1">IFERROR(__xludf.DUMMYFUNCTION("""COMPUTED_VALUE"""),1551)</f>
        <v>1551</v>
      </c>
      <c r="AK1162" s="3">
        <f ca="1">IFERROR(__xludf.DUMMYFUNCTION("""COMPUTED_VALUE"""),4625)</f>
        <v>4625</v>
      </c>
      <c r="AL1162" s="3"/>
      <c r="AM1162" s="3">
        <f>IFERROR(Raw_Data!AL1162 / Raw_Data!AK1162, "")</f>
        <v>0</v>
      </c>
      <c r="AN1162" s="3" t="str">
        <f>IF(ISBLANK(Raw_Data!AL1162), "No", "Yes")</f>
        <v>No</v>
      </c>
      <c r="AO1162" s="3">
        <f>IFERROR(Raw_Data!Z1162/60, "")</f>
        <v>0</v>
      </c>
    </row>
    <row r="1163" spans="1:41" ht="13">
      <c r="A1163" s="3">
        <f ca="1">IFERROR(__xludf.DUMMYFUNCTION("""COMPUTED_VALUE"""),414)</f>
        <v>414</v>
      </c>
      <c r="B1163" s="3"/>
      <c r="C1163" s="3">
        <f ca="1">IFERROR(__xludf.DUMMYFUNCTION("""COMPUTED_VALUE"""),4001)</f>
        <v>4001</v>
      </c>
      <c r="D1163" s="3" t="str">
        <f ca="1">IFERROR(__xludf.DUMMYFUNCTION("""COMPUTED_VALUE"""),"Dashattan")</f>
        <v>Dashattan</v>
      </c>
      <c r="E1163" s="3" t="str">
        <f ca="1">IFERROR(__xludf.DUMMYFUNCTION("""COMPUTED_VALUE"""),"Galaxy A")</f>
        <v>Galaxy A</v>
      </c>
      <c r="F1163" s="3" t="str">
        <f ca="1">IFERROR(__xludf.DUMMYFUNCTION("""COMPUTED_VALUE"""),"Samm")</f>
        <v>Samm</v>
      </c>
      <c r="G1163" s="3">
        <f ca="1">IFERROR(__xludf.DUMMYFUNCTION("""COMPUTED_VALUE"""),0)</f>
        <v>0</v>
      </c>
      <c r="H1163" s="3" t="str">
        <f ca="1">IFERROR(__xludf.DUMMYFUNCTION("""COMPUTED_VALUE"""),"car")</f>
        <v>car</v>
      </c>
      <c r="I1163" s="3" t="str">
        <f ca="1">IFERROR(__xludf.DUMMYFUNCTION("""COMPUTED_VALUE"""),"2055-06-04T16:19:38.903337Z")</f>
        <v>2055-06-04T16:19:38.903337Z</v>
      </c>
      <c r="J1163" s="3" t="str">
        <f ca="1">IFERROR(__xludf.DUMMYFUNCTION("""COMPUTED_VALUE"""),"2055-06-04T16:55:08.965Z")</f>
        <v>2055-06-04T16:55:08.965Z</v>
      </c>
      <c r="K1163" s="3" t="str">
        <f ca="1">IFERROR(__xludf.DUMMYFUNCTION("""COMPUTED_VALUE"""),"2055-06-04T16:36:15.965Z")</f>
        <v>2055-06-04T16:36:15.965Z</v>
      </c>
      <c r="L1163" s="3">
        <f ca="1">IFERROR(__xludf.DUMMYFUNCTION("""COMPUTED_VALUE"""),1)</f>
        <v>1</v>
      </c>
      <c r="M1163" s="3">
        <f ca="1">IFERROR(__xludf.DUMMYFUNCTION("""COMPUTED_VALUE"""),0)</f>
        <v>0</v>
      </c>
      <c r="N1163" s="3" t="str">
        <f ca="1">IFERROR(__xludf.DUMMYFUNCTION("""COMPUTED_VALUE"""),"2055-06-04T16:59:32.748573Z")</f>
        <v>2055-06-04T16:59:32.748573Z</v>
      </c>
      <c r="O1163" s="3" t="str">
        <f ca="1">IFERROR(__xludf.DUMMYFUNCTION("""COMPUTED_VALUE"""),"2055-06-04T17:05:25.818162Z")</f>
        <v>2055-06-04T17:05:25.818162Z</v>
      </c>
      <c r="P1163" s="3" t="str">
        <f ca="1">IFERROR(__xludf.DUMMYFUNCTION("""COMPUTED_VALUE"""),"2055-06-04T16:28:14.279376Z")</f>
        <v>2055-06-04T16:28:14.279376Z</v>
      </c>
      <c r="Q1163" s="3">
        <f ca="1">IFERROR(__xludf.DUMMYFUNCTION("""COMPUTED_VALUE"""),0)</f>
        <v>0</v>
      </c>
      <c r="R1163" s="3" t="str">
        <f ca="1">IFERROR(__xludf.DUMMYFUNCTION("""COMPUTED_VALUE"""),"2055-06-04T16:28:19.198451Z")</f>
        <v>2055-06-04T16:28:19.198451Z</v>
      </c>
      <c r="S1163" s="3" t="str">
        <f ca="1">IFERROR(__xludf.DUMMYFUNCTION("""COMPUTED_VALUE"""),"2055-06-04T16:44:52.305494Z")</f>
        <v>2055-06-04T16:44:52.305494Z</v>
      </c>
      <c r="T1163" s="3"/>
      <c r="U1163" s="4">
        <f ca="1">IFERROR(__xludf.DUMMYFUNCTION("""COMPUTED_VALUE"""),56769)</f>
        <v>56769</v>
      </c>
      <c r="V1163" s="3">
        <f ca="1">IFERROR(__xludf.DUMMYFUNCTION("""COMPUTED_VALUE"""),4.5)</f>
        <v>4.5</v>
      </c>
      <c r="W1163" s="3">
        <f ca="1">IFERROR(__xludf.DUMMYFUNCTION("""COMPUTED_VALUE"""),800)</f>
        <v>800</v>
      </c>
      <c r="X1163" s="3">
        <f ca="1">IFERROR(__xludf.DUMMYFUNCTION("""COMPUTED_VALUE"""),2226)</f>
        <v>2226</v>
      </c>
      <c r="Y1163" s="3">
        <f ca="1">IFERROR(__xludf.DUMMYFUNCTION("""COMPUTED_VALUE"""),993)</f>
        <v>993</v>
      </c>
      <c r="Z1163" s="3">
        <f ca="1">IFERROR(__xludf.DUMMYFUNCTION("""COMPUTED_VALUE"""),880)</f>
        <v>880</v>
      </c>
      <c r="AA1163" s="3">
        <f ca="1">IFERROR(__xludf.DUMMYFUNCTION("""COMPUTED_VALUE"""),353)</f>
        <v>353</v>
      </c>
      <c r="AB1163" s="3">
        <f ca="1">IFERROR(__xludf.DUMMYFUNCTION("""COMPUTED_VALUE"""),0)</f>
        <v>0</v>
      </c>
      <c r="AC1163" s="3">
        <f ca="1">IFERROR(__xludf.DUMMYFUNCTION("""COMPUTED_VALUE"""),2)</f>
        <v>2</v>
      </c>
      <c r="AD1163" s="3" t="str">
        <f ca="1">IFERROR(__xludf.DUMMYFUNCTION("""COMPUTED_VALUE"""),"early")</f>
        <v>early</v>
      </c>
      <c r="AE1163" s="3" t="str">
        <f ca="1">IFERROR(__xludf.DUMMYFUNCTION("""COMPUTED_VALUE"""),"2055-06-04T12:59:32.748573Z")</f>
        <v>2055-06-04T12:59:32.748573Z</v>
      </c>
      <c r="AF1163" s="3" t="str">
        <f ca="1">IFERROR(__xludf.DUMMYFUNCTION("""COMPUTED_VALUE"""),"2055-06-04T13:05:25.818162Z")</f>
        <v>2055-06-04T13:05:25.818162Z</v>
      </c>
      <c r="AG1163" s="3" t="str">
        <f ca="1">IFERROR(__xludf.DUMMYFUNCTION("""COMPUTED_VALUE"""),"2055-06-04T12:28:14.279376Z")</f>
        <v>2055-06-04T12:28:14.279376Z</v>
      </c>
      <c r="AH1163" s="3" t="str">
        <f ca="1">IFERROR(__xludf.DUMMYFUNCTION("""COMPUTED_VALUE"""),"2055-06-04T12:44:52.305494Z")</f>
        <v>2055-06-04T12:44:52.305494Z</v>
      </c>
      <c r="AI1163" s="3">
        <f ca="1">IFERROR(__xludf.DUMMYFUNCTION("""COMPUTED_VALUE"""),4.03)</f>
        <v>4.03</v>
      </c>
      <c r="AJ1163" s="3">
        <f ca="1">IFERROR(__xludf.DUMMYFUNCTION("""COMPUTED_VALUE"""),505)</f>
        <v>505</v>
      </c>
      <c r="AK1163" s="3">
        <f ca="1">IFERROR(__xludf.DUMMYFUNCTION("""COMPUTED_VALUE"""),1721)</f>
        <v>1721</v>
      </c>
      <c r="AL1163" s="3">
        <f ca="1">IFERROR(__xludf.DUMMYFUNCTION("""COMPUTED_VALUE"""),457)</f>
        <v>457</v>
      </c>
      <c r="AM1163" s="3">
        <f>IFERROR(Raw_Data!AL1163 / Raw_Data!AK1163, "")</f>
        <v>0.26554328878558975</v>
      </c>
      <c r="AN1163" s="3" t="str">
        <f>IF(ISBLANK(Raw_Data!AL1163), "No", "Yes")</f>
        <v>Yes</v>
      </c>
      <c r="AO1163" s="3">
        <f>IFERROR(Raw_Data!Z1163/60, "")</f>
        <v>14.666666666666666</v>
      </c>
    </row>
    <row r="1164" spans="1:41" ht="13">
      <c r="A1164" s="3">
        <f ca="1">IFERROR(__xludf.DUMMYFUNCTION("""COMPUTED_VALUE"""),490)</f>
        <v>490</v>
      </c>
      <c r="B1164" s="3"/>
      <c r="C1164" s="3">
        <f ca="1">IFERROR(__xludf.DUMMYFUNCTION("""COMPUTED_VALUE"""),4001)</f>
        <v>4001</v>
      </c>
      <c r="D1164" s="3" t="str">
        <f ca="1">IFERROR(__xludf.DUMMYFUNCTION("""COMPUTED_VALUE"""),"Dashattan")</f>
        <v>Dashattan</v>
      </c>
      <c r="E1164" s="3" t="str">
        <f ca="1">IFERROR(__xludf.DUMMYFUNCTION("""COMPUTED_VALUE"""),"Galaxy A")</f>
        <v>Galaxy A</v>
      </c>
      <c r="F1164" s="3" t="str">
        <f ca="1">IFERROR(__xludf.DUMMYFUNCTION("""COMPUTED_VALUE"""),"Arya")</f>
        <v>Arya</v>
      </c>
      <c r="G1164" s="3">
        <f ca="1">IFERROR(__xludf.DUMMYFUNCTION("""COMPUTED_VALUE"""),0)</f>
        <v>0</v>
      </c>
      <c r="H1164" s="3" t="str">
        <f ca="1">IFERROR(__xludf.DUMMYFUNCTION("""COMPUTED_VALUE"""),"bicycle")</f>
        <v>bicycle</v>
      </c>
      <c r="I1164" s="3" t="str">
        <f ca="1">IFERROR(__xludf.DUMMYFUNCTION("""COMPUTED_VALUE"""),"2055-06-04T23:34:25.385857Z")</f>
        <v>2055-06-04T23:34:25.385857Z</v>
      </c>
      <c r="J1164" s="3" t="str">
        <f ca="1">IFERROR(__xludf.DUMMYFUNCTION("""COMPUTED_VALUE"""),"2055-06-05T00:09:30.442Z")</f>
        <v>2055-06-05T00:09:30.442Z</v>
      </c>
      <c r="K1164" s="3" t="str">
        <f ca="1">IFERROR(__xludf.DUMMYFUNCTION("""COMPUTED_VALUE"""),"2055-06-05T00:04:51.442Z")</f>
        <v>2055-06-05T00:04:51.442Z</v>
      </c>
      <c r="L1164" s="3">
        <f ca="1">IFERROR(__xludf.DUMMYFUNCTION("""COMPUTED_VALUE"""),1)</f>
        <v>1</v>
      </c>
      <c r="M1164" s="3">
        <f ca="1">IFERROR(__xludf.DUMMYFUNCTION("""COMPUTED_VALUE"""),0)</f>
        <v>0</v>
      </c>
      <c r="N1164" s="3" t="str">
        <f ca="1">IFERROR(__xludf.DUMMYFUNCTION("""COMPUTED_VALUE"""),"2055-06-05T00:03:22.747363Z")</f>
        <v>2055-06-05T00:03:22.747363Z</v>
      </c>
      <c r="O1164" s="3" t="str">
        <f ca="1">IFERROR(__xludf.DUMMYFUNCTION("""COMPUTED_VALUE"""),"2055-06-05T00:17:26.843712Z")</f>
        <v>2055-06-05T00:17:26.843712Z</v>
      </c>
      <c r="P1164" s="3" t="str">
        <f ca="1">IFERROR(__xludf.DUMMYFUNCTION("""COMPUTED_VALUE"""),"2055-06-04T23:40:35.48711Z")</f>
        <v>2055-06-04T23:40:35.48711Z</v>
      </c>
      <c r="Q1164" s="3">
        <f ca="1">IFERROR(__xludf.DUMMYFUNCTION("""COMPUTED_VALUE"""),0)</f>
        <v>0</v>
      </c>
      <c r="R1164" s="3" t="str">
        <f ca="1">IFERROR(__xludf.DUMMYFUNCTION("""COMPUTED_VALUE"""),"2055-06-04T23:40:51.630025Z")</f>
        <v>2055-06-04T23:40:51.630025Z</v>
      </c>
      <c r="S1164" s="3" t="str">
        <f ca="1">IFERROR(__xludf.DUMMYFUNCTION("""COMPUTED_VALUE"""),"2055-06-05T00:03:15.410723Z")</f>
        <v>2055-06-05T00:03:15.410723Z</v>
      </c>
      <c r="T1164" s="3"/>
      <c r="U1164" s="4">
        <f ca="1">IFERROR(__xludf.DUMMYFUNCTION("""COMPUTED_VALUE"""),56769)</f>
        <v>56769</v>
      </c>
      <c r="V1164" s="3">
        <f ca="1">IFERROR(__xludf.DUMMYFUNCTION("""COMPUTED_VALUE"""),4.520385062)</f>
        <v>4.5203850619999999</v>
      </c>
      <c r="W1164" s="3">
        <f ca="1">IFERROR(__xludf.DUMMYFUNCTION("""COMPUTED_VALUE"""),800)</f>
        <v>800</v>
      </c>
      <c r="X1164" s="3">
        <f ca="1">IFERROR(__xludf.DUMMYFUNCTION("""COMPUTED_VALUE"""),2195)</f>
        <v>2195</v>
      </c>
      <c r="Y1164" s="3">
        <f ca="1">IFERROR(__xludf.DUMMYFUNCTION("""COMPUTED_VALUE"""),1344)</f>
        <v>1344</v>
      </c>
      <c r="Z1164" s="3">
        <f ca="1">IFERROR(__xludf.DUMMYFUNCTION("""COMPUTED_VALUE"""),7)</f>
        <v>7</v>
      </c>
      <c r="AA1164" s="3">
        <f ca="1">IFERROR(__xludf.DUMMYFUNCTION("""COMPUTED_VALUE"""),844)</f>
        <v>844</v>
      </c>
      <c r="AB1164" s="3">
        <f ca="1">IFERROR(__xludf.DUMMYFUNCTION("""COMPUTED_VALUE"""),0)</f>
        <v>0</v>
      </c>
      <c r="AC1164" s="3">
        <f ca="1">IFERROR(__xludf.DUMMYFUNCTION("""COMPUTED_VALUE"""),1)</f>
        <v>1</v>
      </c>
      <c r="AD1164" s="3"/>
      <c r="AE1164" s="3" t="str">
        <f ca="1">IFERROR(__xludf.DUMMYFUNCTION("""COMPUTED_VALUE"""),"2055-06-04T20:03:22.747363Z")</f>
        <v>2055-06-04T20:03:22.747363Z</v>
      </c>
      <c r="AF1164" s="3" t="str">
        <f ca="1">IFERROR(__xludf.DUMMYFUNCTION("""COMPUTED_VALUE"""),"2055-06-04T20:17:26.843712Z")</f>
        <v>2055-06-04T20:17:26.843712Z</v>
      </c>
      <c r="AG1164" s="3" t="str">
        <f ca="1">IFERROR(__xludf.DUMMYFUNCTION("""COMPUTED_VALUE"""),"2055-06-04T19:40:35.48711Z")</f>
        <v>2055-06-04T19:40:35.48711Z</v>
      </c>
      <c r="AH1164" s="3" t="str">
        <f ca="1">IFERROR(__xludf.DUMMYFUNCTION("""COMPUTED_VALUE"""),"2055-06-04T20:03:15.410723Z")</f>
        <v>2055-06-04T20:03:15.410723Z</v>
      </c>
      <c r="AI1164" s="3">
        <f ca="1">IFERROR(__xludf.DUMMYFUNCTION("""COMPUTED_VALUE"""),4.17)</f>
        <v>4.17</v>
      </c>
      <c r="AJ1164" s="3">
        <f ca="1">IFERROR(__xludf.DUMMYFUNCTION("""COMPUTED_VALUE"""),457)</f>
        <v>457</v>
      </c>
      <c r="AK1164" s="3">
        <f ca="1">IFERROR(__xludf.DUMMYFUNCTION("""COMPUTED_VALUE"""),1599)</f>
        <v>1599</v>
      </c>
      <c r="AL1164" s="3"/>
      <c r="AM1164" s="3">
        <f>IFERROR(Raw_Data!AL1164 / Raw_Data!AK1164, "")</f>
        <v>0</v>
      </c>
      <c r="AN1164" s="3" t="str">
        <f>IF(ISBLANK(Raw_Data!AL1164), "No", "Yes")</f>
        <v>No</v>
      </c>
      <c r="AO1164" s="3">
        <f>IFERROR(Raw_Data!Z1164/60, "")</f>
        <v>0.11666666666666667</v>
      </c>
    </row>
    <row r="1165" spans="1:41" ht="13">
      <c r="A1165" s="3">
        <f ca="1">IFERROR(__xludf.DUMMYFUNCTION("""COMPUTED_VALUE"""),1553)</f>
        <v>1553</v>
      </c>
      <c r="B1165" s="3"/>
      <c r="C1165" s="3">
        <f ca="1">IFERROR(__xludf.DUMMYFUNCTION("""COMPUTED_VALUE"""),4001)</f>
        <v>4001</v>
      </c>
      <c r="D1165" s="3" t="str">
        <f ca="1">IFERROR(__xludf.DUMMYFUNCTION("""COMPUTED_VALUE"""),"Dashattan")</f>
        <v>Dashattan</v>
      </c>
      <c r="E1165" s="3" t="str">
        <f ca="1">IFERROR(__xludf.DUMMYFUNCTION("""COMPUTED_VALUE"""),"Galaxy A")</f>
        <v>Galaxy A</v>
      </c>
      <c r="F1165" s="3" t="str">
        <f ca="1">IFERROR(__xludf.DUMMYFUNCTION("""COMPUTED_VALUE"""),"Mike")</f>
        <v>Mike</v>
      </c>
      <c r="G1165" s="3">
        <f ca="1">IFERROR(__xludf.DUMMYFUNCTION("""COMPUTED_VALUE"""),0)</f>
        <v>0</v>
      </c>
      <c r="H1165" s="3" t="str">
        <f ca="1">IFERROR(__xludf.DUMMYFUNCTION("""COMPUTED_VALUE"""),"bicycle")</f>
        <v>bicycle</v>
      </c>
      <c r="I1165" s="3" t="str">
        <f ca="1">IFERROR(__xludf.DUMMYFUNCTION("""COMPUTED_VALUE"""),"2055-06-13T14:52:22.662728Z")</f>
        <v>2055-06-13T14:52:22.662728Z</v>
      </c>
      <c r="J1165" s="3" t="str">
        <f ca="1">IFERROR(__xludf.DUMMYFUNCTION("""COMPUTED_VALUE"""),"2055-06-13T15:40:00.738Z")</f>
        <v>2055-06-13T15:40:00.738Z</v>
      </c>
      <c r="K1165" s="3" t="str">
        <f ca="1">IFERROR(__xludf.DUMMYFUNCTION("""COMPUTED_VALUE"""),"2055-06-13T15:20:21.738Z")</f>
        <v>2055-06-13T15:20:21.738Z</v>
      </c>
      <c r="L1165" s="3">
        <f ca="1">IFERROR(__xludf.DUMMYFUNCTION("""COMPUTED_VALUE"""),1)</f>
        <v>1</v>
      </c>
      <c r="M1165" s="3">
        <f ca="1">IFERROR(__xludf.DUMMYFUNCTION("""COMPUTED_VALUE"""),0)</f>
        <v>0</v>
      </c>
      <c r="N1165" s="3" t="str">
        <f ca="1">IFERROR(__xludf.DUMMYFUNCTION("""COMPUTED_VALUE"""),"2055-06-13T15:06:05.31363Z")</f>
        <v>2055-06-13T15:06:05.31363Z</v>
      </c>
      <c r="O1165" s="3" t="str">
        <f ca="1">IFERROR(__xludf.DUMMYFUNCTION("""COMPUTED_VALUE"""),"2055-06-13T15:13:58.49772Z")</f>
        <v>2055-06-13T15:13:58.49772Z</v>
      </c>
      <c r="P1165" s="3" t="str">
        <f ca="1">IFERROR(__xludf.DUMMYFUNCTION("""COMPUTED_VALUE"""),"2055-06-13T14:58:34.085629Z")</f>
        <v>2055-06-13T14:58:34.085629Z</v>
      </c>
      <c r="Q1165" s="3">
        <f ca="1">IFERROR(__xludf.DUMMYFUNCTION("""COMPUTED_VALUE"""),0)</f>
        <v>0</v>
      </c>
      <c r="R1165" s="3" t="str">
        <f ca="1">IFERROR(__xludf.DUMMYFUNCTION("""COMPUTED_VALUE"""),"2055-06-13T14:58:52.254977Z")</f>
        <v>2055-06-13T14:58:52.254977Z</v>
      </c>
      <c r="S1165" s="3" t="str">
        <f ca="1">IFERROR(__xludf.DUMMYFUNCTION("""COMPUTED_VALUE"""),"2055-06-13T15:00:28.379207Z")</f>
        <v>2055-06-13T15:00:28.379207Z</v>
      </c>
      <c r="T1165" s="3"/>
      <c r="U1165" s="4">
        <f ca="1">IFERROR(__xludf.DUMMYFUNCTION("""COMPUTED_VALUE"""),56778)</f>
        <v>56778</v>
      </c>
      <c r="V1165" s="3">
        <f ca="1">IFERROR(__xludf.DUMMYFUNCTION("""COMPUTED_VALUE"""),4.3)</f>
        <v>4.3</v>
      </c>
      <c r="W1165" s="3">
        <f ca="1">IFERROR(__xludf.DUMMYFUNCTION("""COMPUTED_VALUE"""),800)</f>
        <v>800</v>
      </c>
      <c r="X1165" s="3">
        <f ca="1">IFERROR(__xludf.DUMMYFUNCTION("""COMPUTED_VALUE"""),906)</f>
        <v>906</v>
      </c>
      <c r="Y1165" s="3">
        <f ca="1">IFERROR(__xludf.DUMMYFUNCTION("""COMPUTED_VALUE"""),96)</f>
        <v>96</v>
      </c>
      <c r="Z1165" s="3">
        <f ca="1">IFERROR(__xludf.DUMMYFUNCTION("""COMPUTED_VALUE"""),337)</f>
        <v>337</v>
      </c>
      <c r="AA1165" s="3">
        <f ca="1">IFERROR(__xludf.DUMMYFUNCTION("""COMPUTED_VALUE"""),473)</f>
        <v>473</v>
      </c>
      <c r="AB1165" s="3">
        <f ca="1">IFERROR(__xludf.DUMMYFUNCTION("""COMPUTED_VALUE"""),0)</f>
        <v>0</v>
      </c>
      <c r="AC1165" s="3">
        <f ca="1">IFERROR(__xludf.DUMMYFUNCTION("""COMPUTED_VALUE"""),2)</f>
        <v>2</v>
      </c>
      <c r="AD1165" s="3" t="str">
        <f ca="1">IFERROR(__xludf.DUMMYFUNCTION("""COMPUTED_VALUE"""),"on time")</f>
        <v>on time</v>
      </c>
      <c r="AE1165" s="3" t="str">
        <f ca="1">IFERROR(__xludf.DUMMYFUNCTION("""COMPUTED_VALUE"""),"2055-06-13T11:06:05.31363Z")</f>
        <v>2055-06-13T11:06:05.31363Z</v>
      </c>
      <c r="AF1165" s="3" t="str">
        <f ca="1">IFERROR(__xludf.DUMMYFUNCTION("""COMPUTED_VALUE"""),"2055-06-13T11:13:58.49772Z")</f>
        <v>2055-06-13T11:13:58.49772Z</v>
      </c>
      <c r="AG1165" s="3" t="str">
        <f ca="1">IFERROR(__xludf.DUMMYFUNCTION("""COMPUTED_VALUE"""),"2055-06-13T10:58:34.085629Z")</f>
        <v>2055-06-13T10:58:34.085629Z</v>
      </c>
      <c r="AH1165" s="3" t="str">
        <f ca="1">IFERROR(__xludf.DUMMYFUNCTION("""COMPUTED_VALUE"""),"2055-06-13T11:00:28.379207Z")</f>
        <v>2055-06-13T11:00:28.379207Z</v>
      </c>
      <c r="AI1165" s="3">
        <f ca="1">IFERROR(__xludf.DUMMYFUNCTION("""COMPUTED_VALUE"""),4.63)</f>
        <v>4.63</v>
      </c>
      <c r="AJ1165" s="3">
        <f ca="1">IFERROR(__xludf.DUMMYFUNCTION("""COMPUTED_VALUE"""),242)</f>
        <v>242</v>
      </c>
      <c r="AK1165" s="3">
        <f ca="1">IFERROR(__xludf.DUMMYFUNCTION("""COMPUTED_VALUE"""),736)</f>
        <v>736</v>
      </c>
      <c r="AL1165" s="3"/>
      <c r="AM1165" s="3">
        <f>IFERROR(Raw_Data!AL1165 / Raw_Data!AK1165, "")</f>
        <v>0</v>
      </c>
      <c r="AN1165" s="3" t="str">
        <f>IF(ISBLANK(Raw_Data!AL1165), "No", "Yes")</f>
        <v>No</v>
      </c>
      <c r="AO1165" s="3">
        <f>IFERROR(Raw_Data!Z1165/60, "")</f>
        <v>5.6166666666666663</v>
      </c>
    </row>
    <row r="1166" spans="1:41" ht="13">
      <c r="A1166" s="3">
        <f ca="1">IFERROR(__xludf.DUMMYFUNCTION("""COMPUTED_VALUE"""),1302)</f>
        <v>1302</v>
      </c>
      <c r="B1166" s="3">
        <f ca="1">IFERROR(__xludf.DUMMYFUNCTION("""COMPUTED_VALUE"""),5)</f>
        <v>5</v>
      </c>
      <c r="C1166" s="3">
        <f ca="1">IFERROR(__xludf.DUMMYFUNCTION("""COMPUTED_VALUE"""),4001)</f>
        <v>4001</v>
      </c>
      <c r="D1166" s="3" t="str">
        <f ca="1">IFERROR(__xludf.DUMMYFUNCTION("""COMPUTED_VALUE"""),"Dashattan")</f>
        <v>Dashattan</v>
      </c>
      <c r="E1166" s="3" t="str">
        <f ca="1">IFERROR(__xludf.DUMMYFUNCTION("""COMPUTED_VALUE"""),"Galaxy A")</f>
        <v>Galaxy A</v>
      </c>
      <c r="F1166" s="3" t="str">
        <f ca="1">IFERROR(__xludf.DUMMYFUNCTION("""COMPUTED_VALUE"""),"Arya")</f>
        <v>Arya</v>
      </c>
      <c r="G1166" s="3">
        <f ca="1">IFERROR(__xludf.DUMMYFUNCTION("""COMPUTED_VALUE"""),0)</f>
        <v>0</v>
      </c>
      <c r="H1166" s="3" t="str">
        <f ca="1">IFERROR(__xludf.DUMMYFUNCTION("""COMPUTED_VALUE"""),"bicycle")</f>
        <v>bicycle</v>
      </c>
      <c r="I1166" s="3" t="str">
        <f ca="1">IFERROR(__xludf.DUMMYFUNCTION("""COMPUTED_VALUE"""),"2055-06-11T21:03:08.48643Z")</f>
        <v>2055-06-11T21:03:08.48643Z</v>
      </c>
      <c r="J1166" s="3" t="str">
        <f ca="1">IFERROR(__xludf.DUMMYFUNCTION("""COMPUTED_VALUE"""),"2055-06-11T22:08:19.546Z")</f>
        <v>2055-06-11T22:08:19.546Z</v>
      </c>
      <c r="K1166" s="3" t="str">
        <f ca="1">IFERROR(__xludf.DUMMYFUNCTION("""COMPUTED_VALUE"""),"2055-06-11T21:53:12.546Z")</f>
        <v>2055-06-11T21:53:12.546Z</v>
      </c>
      <c r="L1166" s="3">
        <f ca="1">IFERROR(__xludf.DUMMYFUNCTION("""COMPUTED_VALUE"""),1)</f>
        <v>1</v>
      </c>
      <c r="M1166" s="3">
        <f ca="1">IFERROR(__xludf.DUMMYFUNCTION("""COMPUTED_VALUE"""),0)</f>
        <v>0</v>
      </c>
      <c r="N1166" s="3" t="str">
        <f ca="1">IFERROR(__xludf.DUMMYFUNCTION("""COMPUTED_VALUE"""),"2055-06-11T21:45:10.452347Z")</f>
        <v>2055-06-11T21:45:10.452347Z</v>
      </c>
      <c r="O1166" s="3" t="str">
        <f ca="1">IFERROR(__xludf.DUMMYFUNCTION("""COMPUTED_VALUE"""),"2055-06-11T21:54:44.644679Z")</f>
        <v>2055-06-11T21:54:44.644679Z</v>
      </c>
      <c r="P1166" s="3" t="str">
        <f ca="1">IFERROR(__xludf.DUMMYFUNCTION("""COMPUTED_VALUE"""),"2055-06-11T21:07:34.758839Z")</f>
        <v>2055-06-11T21:07:34.758839Z</v>
      </c>
      <c r="Q1166" s="3">
        <f ca="1">IFERROR(__xludf.DUMMYFUNCTION("""COMPUTED_VALUE"""),0)</f>
        <v>0</v>
      </c>
      <c r="R1166" s="3" t="str">
        <f ca="1">IFERROR(__xludf.DUMMYFUNCTION("""COMPUTED_VALUE"""),"2055-06-11T21:07:51.735662Z")</f>
        <v>2055-06-11T21:07:51.735662Z</v>
      </c>
      <c r="S1166" s="3"/>
      <c r="T1166" s="3"/>
      <c r="U1166" s="4">
        <f ca="1">IFERROR(__xludf.DUMMYFUNCTION("""COMPUTED_VALUE"""),56776)</f>
        <v>56776</v>
      </c>
      <c r="V1166" s="3">
        <f ca="1">IFERROR(__xludf.DUMMYFUNCTION("""COMPUTED_VALUE"""),2.856812235)</f>
        <v>2.856812235</v>
      </c>
      <c r="W1166" s="3">
        <f ca="1">IFERROR(__xludf.DUMMYFUNCTION("""COMPUTED_VALUE"""),800)</f>
        <v>800</v>
      </c>
      <c r="X1166" s="3">
        <f ca="1">IFERROR(__xludf.DUMMYFUNCTION("""COMPUTED_VALUE"""),2813)</f>
        <v>2813</v>
      </c>
      <c r="Y1166" s="3"/>
      <c r="Z1166" s="3"/>
      <c r="AA1166" s="3">
        <f ca="1">IFERROR(__xludf.DUMMYFUNCTION("""COMPUTED_VALUE"""),574)</f>
        <v>574</v>
      </c>
      <c r="AB1166" s="3">
        <f ca="1">IFERROR(__xludf.DUMMYFUNCTION("""COMPUTED_VALUE"""),0)</f>
        <v>0</v>
      </c>
      <c r="AC1166" s="3">
        <f ca="1">IFERROR(__xludf.DUMMYFUNCTION("""COMPUTED_VALUE"""),2)</f>
        <v>2</v>
      </c>
      <c r="AD1166" s="3"/>
      <c r="AE1166" s="3" t="str">
        <f ca="1">IFERROR(__xludf.DUMMYFUNCTION("""COMPUTED_VALUE"""),"2055-06-11T17:45:10.452347Z")</f>
        <v>2055-06-11T17:45:10.452347Z</v>
      </c>
      <c r="AF1166" s="3" t="str">
        <f ca="1">IFERROR(__xludf.DUMMYFUNCTION("""COMPUTED_VALUE"""),"2055-06-11T17:54:44.644679Z")</f>
        <v>2055-06-11T17:54:44.644679Z</v>
      </c>
      <c r="AG1166" s="3" t="str">
        <f ca="1">IFERROR(__xludf.DUMMYFUNCTION("""COMPUTED_VALUE"""),"2055-06-11T17:07:34.758839Z")</f>
        <v>2055-06-11T17:07:34.758839Z</v>
      </c>
      <c r="AH1166" s="3"/>
      <c r="AI1166" s="3">
        <f ca="1">IFERROR(__xludf.DUMMYFUNCTION("""COMPUTED_VALUE"""),4.17)</f>
        <v>4.17</v>
      </c>
      <c r="AJ1166" s="3">
        <f ca="1">IFERROR(__xludf.DUMMYFUNCTION("""COMPUTED_VALUE"""),457)</f>
        <v>457</v>
      </c>
      <c r="AK1166" s="3">
        <f ca="1">IFERROR(__xludf.DUMMYFUNCTION("""COMPUTED_VALUE"""),1599)</f>
        <v>1599</v>
      </c>
      <c r="AL1166" s="3"/>
      <c r="AM1166" s="3">
        <f>IFERROR(Raw_Data!AL1166 / Raw_Data!AK1166, "")</f>
        <v>0</v>
      </c>
      <c r="AN1166" s="3" t="str">
        <f>IF(ISBLANK(Raw_Data!AL1166), "No", "Yes")</f>
        <v>No</v>
      </c>
      <c r="AO1166" s="3">
        <f>IFERROR(Raw_Data!Z1166/60, "")</f>
        <v>0</v>
      </c>
    </row>
    <row r="1167" spans="1:41" ht="13">
      <c r="A1167" s="3">
        <f ca="1">IFERROR(__xludf.DUMMYFUNCTION("""COMPUTED_VALUE"""),762)</f>
        <v>762</v>
      </c>
      <c r="B1167" s="3">
        <f ca="1">IFERROR(__xludf.DUMMYFUNCTION("""COMPUTED_VALUE"""),4)</f>
        <v>4</v>
      </c>
      <c r="C1167" s="3">
        <f ca="1">IFERROR(__xludf.DUMMYFUNCTION("""COMPUTED_VALUE"""),4050)</f>
        <v>4050</v>
      </c>
      <c r="D1167" s="3" t="str">
        <f ca="1">IFERROR(__xludf.DUMMYFUNCTION("""COMPUTED_VALUE"""),"Doorlanta")</f>
        <v>Doorlanta</v>
      </c>
      <c r="E1167" s="3" t="str">
        <f ca="1">IFERROR(__xludf.DUMMYFUNCTION("""COMPUTED_VALUE"""),"Galaxy A")</f>
        <v>Galaxy A</v>
      </c>
      <c r="F1167" s="3" t="str">
        <f ca="1">IFERROR(__xludf.DUMMYFUNCTION("""COMPUTED_VALUE"""),"Matthew")</f>
        <v>Matthew</v>
      </c>
      <c r="G1167" s="3">
        <f ca="1">IFERROR(__xludf.DUMMYFUNCTION("""COMPUTED_VALUE"""),0)</f>
        <v>0</v>
      </c>
      <c r="H1167" s="3" t="str">
        <f ca="1">IFERROR(__xludf.DUMMYFUNCTION("""COMPUTED_VALUE"""),"car")</f>
        <v>car</v>
      </c>
      <c r="I1167" s="3" t="str">
        <f ca="1">IFERROR(__xludf.DUMMYFUNCTION("""COMPUTED_VALUE"""),"2055-06-06T20:40:59.650129Z")</f>
        <v>2055-06-06T20:40:59.650129Z</v>
      </c>
      <c r="J1167" s="3" t="str">
        <f ca="1">IFERROR(__xludf.DUMMYFUNCTION("""COMPUTED_VALUE"""),"2055-06-06T21:23:56.724Z")</f>
        <v>2055-06-06T21:23:56.724Z</v>
      </c>
      <c r="K1167" s="3" t="str">
        <f ca="1">IFERROR(__xludf.DUMMYFUNCTION("""COMPUTED_VALUE"""),"2055-06-06T21:18:49.724Z")</f>
        <v>2055-06-06T21:18:49.724Z</v>
      </c>
      <c r="L1167" s="3">
        <f ca="1">IFERROR(__xludf.DUMMYFUNCTION("""COMPUTED_VALUE"""),1)</f>
        <v>1</v>
      </c>
      <c r="M1167" s="3">
        <f ca="1">IFERROR(__xludf.DUMMYFUNCTION("""COMPUTED_VALUE"""),0)</f>
        <v>0</v>
      </c>
      <c r="N1167" s="3" t="str">
        <f ca="1">IFERROR(__xludf.DUMMYFUNCTION("""COMPUTED_VALUE"""),"2055-06-06T21:18:44.828478Z")</f>
        <v>2055-06-06T21:18:44.828478Z</v>
      </c>
      <c r="O1167" s="3" t="str">
        <f ca="1">IFERROR(__xludf.DUMMYFUNCTION("""COMPUTED_VALUE"""),"2055-06-06T21:59:52.247317Z")</f>
        <v>2055-06-06T21:59:52.247317Z</v>
      </c>
      <c r="P1167" s="3" t="str">
        <f ca="1">IFERROR(__xludf.DUMMYFUNCTION("""COMPUTED_VALUE"""),"2055-06-06T20:43:07.337733Z")</f>
        <v>2055-06-06T20:43:07.337733Z</v>
      </c>
      <c r="Q1167" s="3">
        <f ca="1">IFERROR(__xludf.DUMMYFUNCTION("""COMPUTED_VALUE"""),0)</f>
        <v>0</v>
      </c>
      <c r="R1167" s="3" t="str">
        <f ca="1">IFERROR(__xludf.DUMMYFUNCTION("""COMPUTED_VALUE"""),"2055-06-06T20:44:42.543199Z")</f>
        <v>2055-06-06T20:44:42.543199Z</v>
      </c>
      <c r="S1167" s="3" t="str">
        <f ca="1">IFERROR(__xludf.DUMMYFUNCTION("""COMPUTED_VALUE"""),"2055-06-06T21:04:50.346593Z")</f>
        <v>2055-06-06T21:04:50.346593Z</v>
      </c>
      <c r="T1167" s="3"/>
      <c r="U1167" s="4">
        <f ca="1">IFERROR(__xludf.DUMMYFUNCTION("""COMPUTED_VALUE"""),56771)</f>
        <v>56771</v>
      </c>
      <c r="V1167" s="3">
        <f ca="1">IFERROR(__xludf.DUMMYFUNCTION("""COMPUTED_VALUE"""),3.247089794)</f>
        <v>3.2470897939999999</v>
      </c>
      <c r="W1167" s="3">
        <f ca="1">IFERROR(__xludf.DUMMYFUNCTION("""COMPUTED_VALUE"""),800)</f>
        <v>800</v>
      </c>
      <c r="X1167" s="3">
        <f ca="1">IFERROR(__xludf.DUMMYFUNCTION("""COMPUTED_VALUE"""),4510)</f>
        <v>4510</v>
      </c>
      <c r="Y1167" s="3">
        <f ca="1">IFERROR(__xludf.DUMMYFUNCTION("""COMPUTED_VALUE"""),1208)</f>
        <v>1208</v>
      </c>
      <c r="Z1167" s="3">
        <f ca="1">IFERROR(__xludf.DUMMYFUNCTION("""COMPUTED_VALUE"""),834)</f>
        <v>834</v>
      </c>
      <c r="AA1167" s="3">
        <f ca="1">IFERROR(__xludf.DUMMYFUNCTION("""COMPUTED_VALUE"""),2468)</f>
        <v>2468</v>
      </c>
      <c r="AB1167" s="3">
        <f ca="1">IFERROR(__xludf.DUMMYFUNCTION("""COMPUTED_VALUE"""),0)</f>
        <v>0</v>
      </c>
      <c r="AC1167" s="3">
        <f ca="1">IFERROR(__xludf.DUMMYFUNCTION("""COMPUTED_VALUE"""),2)</f>
        <v>2</v>
      </c>
      <c r="AD1167" s="3" t="str">
        <f ca="1">IFERROR(__xludf.DUMMYFUNCTION("""COMPUTED_VALUE"""),"late")</f>
        <v>late</v>
      </c>
      <c r="AE1167" s="3" t="str">
        <f ca="1">IFERROR(__xludf.DUMMYFUNCTION("""COMPUTED_VALUE"""),"2055-06-06T17:18:44.828478Z")</f>
        <v>2055-06-06T17:18:44.828478Z</v>
      </c>
      <c r="AF1167" s="3" t="str">
        <f ca="1">IFERROR(__xludf.DUMMYFUNCTION("""COMPUTED_VALUE"""),"2055-06-06T17:59:52.247317Z")</f>
        <v>2055-06-06T17:59:52.247317Z</v>
      </c>
      <c r="AG1167" s="3" t="str">
        <f ca="1">IFERROR(__xludf.DUMMYFUNCTION("""COMPUTED_VALUE"""),"2055-06-06T16:43:07.337733Z")</f>
        <v>2055-06-06T16:43:07.337733Z</v>
      </c>
      <c r="AH1167" s="3" t="str">
        <f ca="1">IFERROR(__xludf.DUMMYFUNCTION("""COMPUTED_VALUE"""),"2055-06-06T17:04:50.346593Z")</f>
        <v>2055-06-06T17:04:50.346593Z</v>
      </c>
      <c r="AI1167" s="3">
        <f ca="1">IFERROR(__xludf.DUMMYFUNCTION("""COMPUTED_VALUE"""),4.411111111)</f>
        <v>4.4111111110000003</v>
      </c>
      <c r="AJ1167" s="3">
        <f ca="1">IFERROR(__xludf.DUMMYFUNCTION("""COMPUTED_VALUE"""),68)</f>
        <v>68</v>
      </c>
      <c r="AK1167" s="3">
        <f ca="1">IFERROR(__xludf.DUMMYFUNCTION("""COMPUTED_VALUE"""),223)</f>
        <v>223</v>
      </c>
      <c r="AL1167" s="3">
        <f ca="1">IFERROR(__xludf.DUMMYFUNCTION("""COMPUTED_VALUE"""),118)</f>
        <v>118</v>
      </c>
      <c r="AM1167" s="3">
        <f>IFERROR(Raw_Data!AL1167 / Raw_Data!AK1167, "")</f>
        <v>0.52914798206278024</v>
      </c>
      <c r="AN1167" s="3" t="str">
        <f>IF(ISBLANK(Raw_Data!AL1167), "No", "Yes")</f>
        <v>Yes</v>
      </c>
      <c r="AO1167" s="3">
        <f>IFERROR(Raw_Data!Z1167/60, "")</f>
        <v>13.9</v>
      </c>
    </row>
    <row r="1168" spans="1:41" ht="13">
      <c r="A1168" s="3">
        <f ca="1">IFERROR(__xludf.DUMMYFUNCTION("""COMPUTED_VALUE"""),814)</f>
        <v>814</v>
      </c>
      <c r="B1168" s="3"/>
      <c r="C1168" s="3">
        <f ca="1">IFERROR(__xludf.DUMMYFUNCTION("""COMPUTED_VALUE"""),4050)</f>
        <v>4050</v>
      </c>
      <c r="D1168" s="3" t="str">
        <f ca="1">IFERROR(__xludf.DUMMYFUNCTION("""COMPUTED_VALUE"""),"Doorlanta")</f>
        <v>Doorlanta</v>
      </c>
      <c r="E1168" s="3" t="str">
        <f ca="1">IFERROR(__xludf.DUMMYFUNCTION("""COMPUTED_VALUE"""),"Galaxy A")</f>
        <v>Galaxy A</v>
      </c>
      <c r="F1168" s="3" t="str">
        <f ca="1">IFERROR(__xludf.DUMMYFUNCTION("""COMPUTED_VALUE"""),"Hanna")</f>
        <v>Hanna</v>
      </c>
      <c r="G1168" s="3">
        <f ca="1">IFERROR(__xludf.DUMMYFUNCTION("""COMPUTED_VALUE"""),0)</f>
        <v>0</v>
      </c>
      <c r="H1168" s="3" t="str">
        <f ca="1">IFERROR(__xludf.DUMMYFUNCTION("""COMPUTED_VALUE"""),"car")</f>
        <v>car</v>
      </c>
      <c r="I1168" s="3" t="str">
        <f ca="1">IFERROR(__xludf.DUMMYFUNCTION("""COMPUTED_VALUE"""),"2055-06-07T01:15:51.944302Z")</f>
        <v>2055-06-07T01:15:51.944302Z</v>
      </c>
      <c r="J1168" s="3" t="str">
        <f ca="1">IFERROR(__xludf.DUMMYFUNCTION("""COMPUTED_VALUE"""),"2055-06-07T02:00:52.058Z")</f>
        <v>2055-06-07T02:00:52.058Z</v>
      </c>
      <c r="K1168" s="3" t="str">
        <f ca="1">IFERROR(__xludf.DUMMYFUNCTION("""COMPUTED_VALUE"""),"2055-06-07T01:46:34.058Z")</f>
        <v>2055-06-07T01:46:34.058Z</v>
      </c>
      <c r="L1168" s="3">
        <f ca="1">IFERROR(__xludf.DUMMYFUNCTION("""COMPUTED_VALUE"""),1)</f>
        <v>1</v>
      </c>
      <c r="M1168" s="3">
        <f ca="1">IFERROR(__xludf.DUMMYFUNCTION("""COMPUTED_VALUE"""),0)</f>
        <v>0</v>
      </c>
      <c r="N1168" s="3" t="str">
        <f ca="1">IFERROR(__xludf.DUMMYFUNCTION("""COMPUTED_VALUE"""),"2055-06-07T01:38:57.529217Z")</f>
        <v>2055-06-07T01:38:57.529217Z</v>
      </c>
      <c r="O1168" s="3" t="str">
        <f ca="1">IFERROR(__xludf.DUMMYFUNCTION("""COMPUTED_VALUE"""),"2055-06-07T01:49:46.145806Z")</f>
        <v>2055-06-07T01:49:46.145806Z</v>
      </c>
      <c r="P1168" s="3" t="str">
        <f ca="1">IFERROR(__xludf.DUMMYFUNCTION("""COMPUTED_VALUE"""),"2055-06-07T01:22:07.291611Z")</f>
        <v>2055-06-07T01:22:07.291611Z</v>
      </c>
      <c r="Q1168" s="3">
        <f ca="1">IFERROR(__xludf.DUMMYFUNCTION("""COMPUTED_VALUE"""),0)</f>
        <v>0</v>
      </c>
      <c r="R1168" s="3" t="str">
        <f ca="1">IFERROR(__xludf.DUMMYFUNCTION("""COMPUTED_VALUE"""),"2055-06-07T01:22:11.639444Z")</f>
        <v>2055-06-07T01:22:11.639444Z</v>
      </c>
      <c r="S1168" s="3"/>
      <c r="T1168" s="3"/>
      <c r="U1168" s="4">
        <f ca="1">IFERROR(__xludf.DUMMYFUNCTION("""COMPUTED_VALUE"""),56771)</f>
        <v>56771</v>
      </c>
      <c r="V1168" s="3">
        <f ca="1">IFERROR(__xludf.DUMMYFUNCTION("""COMPUTED_VALUE"""),4.6)</f>
        <v>4.5999999999999996</v>
      </c>
      <c r="W1168" s="3">
        <f ca="1">IFERROR(__xludf.DUMMYFUNCTION("""COMPUTED_VALUE"""),800)</f>
        <v>800</v>
      </c>
      <c r="X1168" s="3">
        <f ca="1">IFERROR(__xludf.DUMMYFUNCTION("""COMPUTED_VALUE"""),1655)</f>
        <v>1655</v>
      </c>
      <c r="Y1168" s="3"/>
      <c r="Z1168" s="3"/>
      <c r="AA1168" s="3">
        <f ca="1">IFERROR(__xludf.DUMMYFUNCTION("""COMPUTED_VALUE"""),649)</f>
        <v>649</v>
      </c>
      <c r="AB1168" s="3">
        <f ca="1">IFERROR(__xludf.DUMMYFUNCTION("""COMPUTED_VALUE"""),0)</f>
        <v>0</v>
      </c>
      <c r="AC1168" s="3">
        <f ca="1">IFERROR(__xludf.DUMMYFUNCTION("""COMPUTED_VALUE"""),6)</f>
        <v>6</v>
      </c>
      <c r="AD1168" s="3"/>
      <c r="AE1168" s="3" t="str">
        <f ca="1">IFERROR(__xludf.DUMMYFUNCTION("""COMPUTED_VALUE"""),"2055-06-06T21:38:57.529217Z")</f>
        <v>2055-06-06T21:38:57.529217Z</v>
      </c>
      <c r="AF1168" s="3" t="str">
        <f ca="1">IFERROR(__xludf.DUMMYFUNCTION("""COMPUTED_VALUE"""),"2055-06-06T21:49:46.145806Z")</f>
        <v>2055-06-06T21:49:46.145806Z</v>
      </c>
      <c r="AG1168" s="3" t="str">
        <f ca="1">IFERROR(__xludf.DUMMYFUNCTION("""COMPUTED_VALUE"""),"2055-06-06T21:22:07.291611Z")</f>
        <v>2055-06-06T21:22:07.291611Z</v>
      </c>
      <c r="AH1168" s="3"/>
      <c r="AI1168" s="3">
        <f ca="1">IFERROR(__xludf.DUMMYFUNCTION("""COMPUTED_VALUE"""),4.79)</f>
        <v>4.79</v>
      </c>
      <c r="AJ1168" s="3">
        <f ca="1">IFERROR(__xludf.DUMMYFUNCTION("""COMPUTED_VALUE"""),1007)</f>
        <v>1007</v>
      </c>
      <c r="AK1168" s="3">
        <f ca="1">IFERROR(__xludf.DUMMYFUNCTION("""COMPUTED_VALUE"""),2899)</f>
        <v>2899</v>
      </c>
      <c r="AL1168" s="3">
        <f ca="1">IFERROR(__xludf.DUMMYFUNCTION("""COMPUTED_VALUE"""),1301)</f>
        <v>1301</v>
      </c>
      <c r="AM1168" s="3">
        <f>IFERROR(Raw_Data!AL1168 / Raw_Data!AK1168, "")</f>
        <v>0.44877543980682993</v>
      </c>
      <c r="AN1168" s="3" t="str">
        <f>IF(ISBLANK(Raw_Data!AL1168), "No", "Yes")</f>
        <v>Yes</v>
      </c>
      <c r="AO1168" s="3">
        <f>IFERROR(Raw_Data!Z1168/60, "")</f>
        <v>0</v>
      </c>
    </row>
    <row r="1169" spans="1:41" ht="13">
      <c r="A1169" s="3">
        <f ca="1">IFERROR(__xludf.DUMMYFUNCTION("""COMPUTED_VALUE"""),424)</f>
        <v>424</v>
      </c>
      <c r="B1169" s="3">
        <f ca="1">IFERROR(__xludf.DUMMYFUNCTION("""COMPUTED_VALUE"""),5)</f>
        <v>5</v>
      </c>
      <c r="C1169" s="3">
        <f ca="1">IFERROR(__xludf.DUMMYFUNCTION("""COMPUTED_VALUE"""),4050)</f>
        <v>4050</v>
      </c>
      <c r="D1169" s="3" t="str">
        <f ca="1">IFERROR(__xludf.DUMMYFUNCTION("""COMPUTED_VALUE"""),"Doorlanta")</f>
        <v>Doorlanta</v>
      </c>
      <c r="E1169" s="3" t="str">
        <f ca="1">IFERROR(__xludf.DUMMYFUNCTION("""COMPUTED_VALUE"""),"Galaxy A")</f>
        <v>Galaxy A</v>
      </c>
      <c r="F1169" s="3" t="str">
        <f ca="1">IFERROR(__xludf.DUMMYFUNCTION("""COMPUTED_VALUE"""),"Josh")</f>
        <v>Josh</v>
      </c>
      <c r="G1169" s="3">
        <f ca="1">IFERROR(__xludf.DUMMYFUNCTION("""COMPUTED_VALUE"""),0)</f>
        <v>0</v>
      </c>
      <c r="H1169" s="3" t="str">
        <f ca="1">IFERROR(__xludf.DUMMYFUNCTION("""COMPUTED_VALUE"""),"car")</f>
        <v>car</v>
      </c>
      <c r="I1169" s="3" t="str">
        <f ca="1">IFERROR(__xludf.DUMMYFUNCTION("""COMPUTED_VALUE"""),"2055-06-04T17:32:42.757422Z")</f>
        <v>2055-06-04T17:32:42.757422Z</v>
      </c>
      <c r="J1169" s="3" t="str">
        <f ca="1">IFERROR(__xludf.DUMMYFUNCTION("""COMPUTED_VALUE"""),"2055-06-04T18:30:22.923Z")</f>
        <v>2055-06-04T18:30:22.923Z</v>
      </c>
      <c r="K1169" s="3" t="str">
        <f ca="1">IFERROR(__xludf.DUMMYFUNCTION("""COMPUTED_VALUE"""),"2055-06-04T18:26:29.923Z")</f>
        <v>2055-06-04T18:26:29.923Z</v>
      </c>
      <c r="L1169" s="3">
        <f ca="1">IFERROR(__xludf.DUMMYFUNCTION("""COMPUTED_VALUE"""),1)</f>
        <v>1</v>
      </c>
      <c r="M1169" s="3">
        <f ca="1">IFERROR(__xludf.DUMMYFUNCTION("""COMPUTED_VALUE"""),0)</f>
        <v>0</v>
      </c>
      <c r="N1169" s="3" t="str">
        <f ca="1">IFERROR(__xludf.DUMMYFUNCTION("""COMPUTED_VALUE"""),"2055-06-04T18:07:05.163382Z")</f>
        <v>2055-06-04T18:07:05.163382Z</v>
      </c>
      <c r="O1169" s="3" t="str">
        <f ca="1">IFERROR(__xludf.DUMMYFUNCTION("""COMPUTED_VALUE"""),"2055-06-04T18:26:49.006776Z")</f>
        <v>2055-06-04T18:26:49.006776Z</v>
      </c>
      <c r="P1169" s="3" t="str">
        <f ca="1">IFERROR(__xludf.DUMMYFUNCTION("""COMPUTED_VALUE"""),"2055-06-04T17:32:47.291236Z")</f>
        <v>2055-06-04T17:32:47.291236Z</v>
      </c>
      <c r="Q1169" s="3">
        <f ca="1">IFERROR(__xludf.DUMMYFUNCTION("""COMPUTED_VALUE"""),0)</f>
        <v>0</v>
      </c>
      <c r="R1169" s="3" t="str">
        <f ca="1">IFERROR(__xludf.DUMMYFUNCTION("""COMPUTED_VALUE"""),"2055-06-04T17:33:02.293692Z")</f>
        <v>2055-06-04T17:33:02.293692Z</v>
      </c>
      <c r="S1169" s="3" t="str">
        <f ca="1">IFERROR(__xludf.DUMMYFUNCTION("""COMPUTED_VALUE"""),"2055-06-04T18:04:42.510192Z")</f>
        <v>2055-06-04T18:04:42.510192Z</v>
      </c>
      <c r="T1169" s="3"/>
      <c r="U1169" s="4">
        <f ca="1">IFERROR(__xludf.DUMMYFUNCTION("""COMPUTED_VALUE"""),56769)</f>
        <v>56769</v>
      </c>
      <c r="V1169" s="3">
        <f ca="1">IFERROR(__xludf.DUMMYFUNCTION("""COMPUTED_VALUE"""),4.5)</f>
        <v>4.5</v>
      </c>
      <c r="W1169" s="3">
        <f ca="1">IFERROR(__xludf.DUMMYFUNCTION("""COMPUTED_VALUE"""),800)</f>
        <v>800</v>
      </c>
      <c r="X1169" s="3">
        <f ca="1">IFERROR(__xludf.DUMMYFUNCTION("""COMPUTED_VALUE"""),3227)</f>
        <v>3227</v>
      </c>
      <c r="Y1169" s="3">
        <f ca="1">IFERROR(__xludf.DUMMYFUNCTION("""COMPUTED_VALUE"""),1900)</f>
        <v>1900</v>
      </c>
      <c r="Z1169" s="3">
        <f ca="1">IFERROR(__xludf.DUMMYFUNCTION("""COMPUTED_VALUE"""),143)</f>
        <v>143</v>
      </c>
      <c r="AA1169" s="3">
        <f ca="1">IFERROR(__xludf.DUMMYFUNCTION("""COMPUTED_VALUE"""),1184)</f>
        <v>1184</v>
      </c>
      <c r="AB1169" s="3">
        <f ca="1">IFERROR(__xludf.DUMMYFUNCTION("""COMPUTED_VALUE"""),0)</f>
        <v>0</v>
      </c>
      <c r="AC1169" s="3">
        <f ca="1">IFERROR(__xludf.DUMMYFUNCTION("""COMPUTED_VALUE"""),2)</f>
        <v>2</v>
      </c>
      <c r="AD1169" s="3" t="str">
        <f ca="1">IFERROR(__xludf.DUMMYFUNCTION("""COMPUTED_VALUE"""),"early")</f>
        <v>early</v>
      </c>
      <c r="AE1169" s="3" t="str">
        <f ca="1">IFERROR(__xludf.DUMMYFUNCTION("""COMPUTED_VALUE"""),"2055-06-04T14:07:05.163382Z")</f>
        <v>2055-06-04T14:07:05.163382Z</v>
      </c>
      <c r="AF1169" s="3" t="str">
        <f ca="1">IFERROR(__xludf.DUMMYFUNCTION("""COMPUTED_VALUE"""),"2055-06-04T14:26:49.006776Z")</f>
        <v>2055-06-04T14:26:49.006776Z</v>
      </c>
      <c r="AG1169" s="3" t="str">
        <f ca="1">IFERROR(__xludf.DUMMYFUNCTION("""COMPUTED_VALUE"""),"2055-06-04T13:32:47.291236Z")</f>
        <v>2055-06-04T13:32:47.291236Z</v>
      </c>
      <c r="AH1169" s="3" t="str">
        <f ca="1">IFERROR(__xludf.DUMMYFUNCTION("""COMPUTED_VALUE"""),"2055-06-04T14:04:42.510192Z")</f>
        <v>2055-06-04T14:04:42.510192Z</v>
      </c>
      <c r="AI1169" s="3">
        <f ca="1">IFERROR(__xludf.DUMMYFUNCTION("""COMPUTED_VALUE"""),4.77)</f>
        <v>4.7699999999999996</v>
      </c>
      <c r="AJ1169" s="3">
        <f ca="1">IFERROR(__xludf.DUMMYFUNCTION("""COMPUTED_VALUE"""),426)</f>
        <v>426</v>
      </c>
      <c r="AK1169" s="3">
        <f ca="1">IFERROR(__xludf.DUMMYFUNCTION("""COMPUTED_VALUE"""),1226)</f>
        <v>1226</v>
      </c>
      <c r="AL1169" s="3">
        <f ca="1">IFERROR(__xludf.DUMMYFUNCTION("""COMPUTED_VALUE"""),85)</f>
        <v>85</v>
      </c>
      <c r="AM1169" s="3">
        <f>IFERROR(Raw_Data!AL1169 / Raw_Data!AK1169, "")</f>
        <v>6.9331158238172916E-2</v>
      </c>
      <c r="AN1169" s="3" t="str">
        <f>IF(ISBLANK(Raw_Data!AL1169), "No", "Yes")</f>
        <v>Yes</v>
      </c>
      <c r="AO1169" s="3">
        <f>IFERROR(Raw_Data!Z1169/60, "")</f>
        <v>2.3833333333333333</v>
      </c>
    </row>
    <row r="1170" spans="1:41" ht="13">
      <c r="A1170" s="3">
        <f ca="1">IFERROR(__xludf.DUMMYFUNCTION("""COMPUTED_VALUE"""),533)</f>
        <v>533</v>
      </c>
      <c r="B1170" s="3">
        <f ca="1">IFERROR(__xludf.DUMMYFUNCTION("""COMPUTED_VALUE"""),5)</f>
        <v>5</v>
      </c>
      <c r="C1170" s="3">
        <f ca="1">IFERROR(__xludf.DUMMYFUNCTION("""COMPUTED_VALUE"""),4001)</f>
        <v>4001</v>
      </c>
      <c r="D1170" s="3" t="str">
        <f ca="1">IFERROR(__xludf.DUMMYFUNCTION("""COMPUTED_VALUE"""),"Dashattan")</f>
        <v>Dashattan</v>
      </c>
      <c r="E1170" s="3" t="str">
        <f ca="1">IFERROR(__xludf.DUMMYFUNCTION("""COMPUTED_VALUE"""),"Galaxy A")</f>
        <v>Galaxy A</v>
      </c>
      <c r="F1170" s="3" t="str">
        <f ca="1">IFERROR(__xludf.DUMMYFUNCTION("""COMPUTED_VALUE"""),"Arya")</f>
        <v>Arya</v>
      </c>
      <c r="G1170" s="3">
        <f ca="1">IFERROR(__xludf.DUMMYFUNCTION("""COMPUTED_VALUE"""),0)</f>
        <v>0</v>
      </c>
      <c r="H1170" s="3" t="str">
        <f ca="1">IFERROR(__xludf.DUMMYFUNCTION("""COMPUTED_VALUE"""),"bicycle")</f>
        <v>bicycle</v>
      </c>
      <c r="I1170" s="3" t="str">
        <f ca="1">IFERROR(__xludf.DUMMYFUNCTION("""COMPUTED_VALUE"""),"2055-06-05T01:56:27.901856Z")</f>
        <v>2055-06-05T01:56:27.901856Z</v>
      </c>
      <c r="J1170" s="3" t="str">
        <f ca="1">IFERROR(__xludf.DUMMYFUNCTION("""COMPUTED_VALUE"""),"2055-06-05T02:31:00.959Z")</f>
        <v>2055-06-05T02:31:00.959Z</v>
      </c>
      <c r="K1170" s="3" t="str">
        <f ca="1">IFERROR(__xludf.DUMMYFUNCTION("""COMPUTED_VALUE"""),"2055-06-05T02:20:53.959Z")</f>
        <v>2055-06-05T02:20:53.959Z</v>
      </c>
      <c r="L1170" s="3">
        <f ca="1">IFERROR(__xludf.DUMMYFUNCTION("""COMPUTED_VALUE"""),1)</f>
        <v>1</v>
      </c>
      <c r="M1170" s="3">
        <f ca="1">IFERROR(__xludf.DUMMYFUNCTION("""COMPUTED_VALUE"""),0)</f>
        <v>0</v>
      </c>
      <c r="N1170" s="3" t="str">
        <f ca="1">IFERROR(__xludf.DUMMYFUNCTION("""COMPUTED_VALUE"""),"2055-06-05T02:13:19.221883Z")</f>
        <v>2055-06-05T02:13:19.221883Z</v>
      </c>
      <c r="O1170" s="3" t="str">
        <f ca="1">IFERROR(__xludf.DUMMYFUNCTION("""COMPUTED_VALUE"""),"2055-06-05T02:17:56.104195Z")</f>
        <v>2055-06-05T02:17:56.104195Z</v>
      </c>
      <c r="P1170" s="3" t="str">
        <f ca="1">IFERROR(__xludf.DUMMYFUNCTION("""COMPUTED_VALUE"""),"2055-06-05T02:01:34.35924Z")</f>
        <v>2055-06-05T02:01:34.35924Z</v>
      </c>
      <c r="Q1170" s="3">
        <f ca="1">IFERROR(__xludf.DUMMYFUNCTION("""COMPUTED_VALUE"""),0)</f>
        <v>0</v>
      </c>
      <c r="R1170" s="3" t="str">
        <f ca="1">IFERROR(__xludf.DUMMYFUNCTION("""COMPUTED_VALUE"""),"2055-06-05T02:02:03.728151Z")</f>
        <v>2055-06-05T02:02:03.728151Z</v>
      </c>
      <c r="S1170" s="3" t="str">
        <f ca="1">IFERROR(__xludf.DUMMYFUNCTION("""COMPUTED_VALUE"""),"2055-06-05T02:12:56.074909Z")</f>
        <v>2055-06-05T02:12:56.074909Z</v>
      </c>
      <c r="T1170" s="3"/>
      <c r="U1170" s="4">
        <f ca="1">IFERROR(__xludf.DUMMYFUNCTION("""COMPUTED_VALUE"""),56769)</f>
        <v>56769</v>
      </c>
      <c r="V1170" s="3">
        <f ca="1">IFERROR(__xludf.DUMMYFUNCTION("""COMPUTED_VALUE"""),4.6)</f>
        <v>4.5999999999999996</v>
      </c>
      <c r="W1170" s="3">
        <f ca="1">IFERROR(__xludf.DUMMYFUNCTION("""COMPUTED_VALUE"""),800)</f>
        <v>800</v>
      </c>
      <c r="X1170" s="3">
        <f ca="1">IFERROR(__xludf.DUMMYFUNCTION("""COMPUTED_VALUE"""),953)</f>
        <v>953</v>
      </c>
      <c r="Y1170" s="3">
        <f ca="1">IFERROR(__xludf.DUMMYFUNCTION("""COMPUTED_VALUE"""),653)</f>
        <v>653</v>
      </c>
      <c r="Z1170" s="3">
        <f ca="1">IFERROR(__xludf.DUMMYFUNCTION("""COMPUTED_VALUE"""),23)</f>
        <v>23</v>
      </c>
      <c r="AA1170" s="3">
        <f ca="1">IFERROR(__xludf.DUMMYFUNCTION("""COMPUTED_VALUE"""),277)</f>
        <v>277</v>
      </c>
      <c r="AB1170" s="3">
        <f ca="1">IFERROR(__xludf.DUMMYFUNCTION("""COMPUTED_VALUE"""),0)</f>
        <v>0</v>
      </c>
      <c r="AC1170" s="3">
        <f ca="1">IFERROR(__xludf.DUMMYFUNCTION("""COMPUTED_VALUE"""),1)</f>
        <v>1</v>
      </c>
      <c r="AD1170" s="3" t="str">
        <f ca="1">IFERROR(__xludf.DUMMYFUNCTION("""COMPUTED_VALUE"""),"late")</f>
        <v>late</v>
      </c>
      <c r="AE1170" s="3" t="str">
        <f ca="1">IFERROR(__xludf.DUMMYFUNCTION("""COMPUTED_VALUE"""),"2055-06-04T22:13:19.221883Z")</f>
        <v>2055-06-04T22:13:19.221883Z</v>
      </c>
      <c r="AF1170" s="3" t="str">
        <f ca="1">IFERROR(__xludf.DUMMYFUNCTION("""COMPUTED_VALUE"""),"2055-06-04T22:17:56.104195Z")</f>
        <v>2055-06-04T22:17:56.104195Z</v>
      </c>
      <c r="AG1170" s="3" t="str">
        <f ca="1">IFERROR(__xludf.DUMMYFUNCTION("""COMPUTED_VALUE"""),"2055-06-04T22:01:34.35924Z")</f>
        <v>2055-06-04T22:01:34.35924Z</v>
      </c>
      <c r="AH1170" s="3" t="str">
        <f ca="1">IFERROR(__xludf.DUMMYFUNCTION("""COMPUTED_VALUE"""),"2055-06-04T22:12:56.074909Z")</f>
        <v>2055-06-04T22:12:56.074909Z</v>
      </c>
      <c r="AI1170" s="3">
        <f ca="1">IFERROR(__xludf.DUMMYFUNCTION("""COMPUTED_VALUE"""),4.17)</f>
        <v>4.17</v>
      </c>
      <c r="AJ1170" s="3">
        <f ca="1">IFERROR(__xludf.DUMMYFUNCTION("""COMPUTED_VALUE"""),457)</f>
        <v>457</v>
      </c>
      <c r="AK1170" s="3">
        <f ca="1">IFERROR(__xludf.DUMMYFUNCTION("""COMPUTED_VALUE"""),1599)</f>
        <v>1599</v>
      </c>
      <c r="AL1170" s="3"/>
      <c r="AM1170" s="3">
        <f>IFERROR(Raw_Data!AL1170 / Raw_Data!AK1170, "")</f>
        <v>0</v>
      </c>
      <c r="AN1170" s="3" t="str">
        <f>IF(ISBLANK(Raw_Data!AL1170), "No", "Yes")</f>
        <v>No</v>
      </c>
      <c r="AO1170" s="3">
        <f>IFERROR(Raw_Data!Z1170/60, "")</f>
        <v>0.38333333333333336</v>
      </c>
    </row>
    <row r="1171" spans="1:41" ht="13">
      <c r="A1171" s="3">
        <f ca="1">IFERROR(__xludf.DUMMYFUNCTION("""COMPUTED_VALUE"""),218)</f>
        <v>218</v>
      </c>
      <c r="B1171" s="3"/>
      <c r="C1171" s="3">
        <f ca="1">IFERROR(__xludf.DUMMYFUNCTION("""COMPUTED_VALUE"""),4001)</f>
        <v>4001</v>
      </c>
      <c r="D1171" s="3" t="str">
        <f ca="1">IFERROR(__xludf.DUMMYFUNCTION("""COMPUTED_VALUE"""),"Dashattan")</f>
        <v>Dashattan</v>
      </c>
      <c r="E1171" s="3" t="str">
        <f ca="1">IFERROR(__xludf.DUMMYFUNCTION("""COMPUTED_VALUE"""),"Galaxy A")</f>
        <v>Galaxy A</v>
      </c>
      <c r="F1171" s="3" t="str">
        <f ca="1">IFERROR(__xludf.DUMMYFUNCTION("""COMPUTED_VALUE"""),"Bunje")</f>
        <v>Bunje</v>
      </c>
      <c r="G1171" s="3">
        <f ca="1">IFERROR(__xludf.DUMMYFUNCTION("""COMPUTED_VALUE"""),0)</f>
        <v>0</v>
      </c>
      <c r="H1171" s="3" t="str">
        <f ca="1">IFERROR(__xludf.DUMMYFUNCTION("""COMPUTED_VALUE"""),"bicycle")</f>
        <v>bicycle</v>
      </c>
      <c r="I1171" s="3" t="str">
        <f ca="1">IFERROR(__xludf.DUMMYFUNCTION("""COMPUTED_VALUE"""),"2055-06-03T00:08:56.030685Z")</f>
        <v>2055-06-03T00:08:56.030685Z</v>
      </c>
      <c r="J1171" s="3" t="str">
        <f ca="1">IFERROR(__xludf.DUMMYFUNCTION("""COMPUTED_VALUE"""),"2055-06-03T00:53:02.107Z")</f>
        <v>2055-06-03T00:53:02.107Z</v>
      </c>
      <c r="K1171" s="3" t="str">
        <f ca="1">IFERROR(__xludf.DUMMYFUNCTION("""COMPUTED_VALUE"""),"2055-06-03T00:42:55.107Z")</f>
        <v>2055-06-03T00:42:55.107Z</v>
      </c>
      <c r="L1171" s="3">
        <f ca="1">IFERROR(__xludf.DUMMYFUNCTION("""COMPUTED_VALUE"""),1)</f>
        <v>1</v>
      </c>
      <c r="M1171" s="3">
        <f ca="1">IFERROR(__xludf.DUMMYFUNCTION("""COMPUTED_VALUE"""),0)</f>
        <v>0</v>
      </c>
      <c r="N1171" s="3" t="str">
        <f ca="1">IFERROR(__xludf.DUMMYFUNCTION("""COMPUTED_VALUE"""),"2055-06-03T00:16:58.081174Z")</f>
        <v>2055-06-03T00:16:58.081174Z</v>
      </c>
      <c r="O1171" s="3" t="str">
        <f ca="1">IFERROR(__xludf.DUMMYFUNCTION("""COMPUTED_VALUE"""),"2055-06-03T00:25:26.922599Z")</f>
        <v>2055-06-03T00:25:26.922599Z</v>
      </c>
      <c r="P1171" s="3" t="str">
        <f ca="1">IFERROR(__xludf.DUMMYFUNCTION("""COMPUTED_VALUE"""),"2055-06-03T00:11:55.439772Z")</f>
        <v>2055-06-03T00:11:55.439772Z</v>
      </c>
      <c r="Q1171" s="3">
        <f ca="1">IFERROR(__xludf.DUMMYFUNCTION("""COMPUTED_VALUE"""),0)</f>
        <v>0</v>
      </c>
      <c r="R1171" s="3" t="str">
        <f ca="1">IFERROR(__xludf.DUMMYFUNCTION("""COMPUTED_VALUE"""),"2055-06-03T00:12:04.064989Z")</f>
        <v>2055-06-03T00:12:04.064989Z</v>
      </c>
      <c r="S1171" s="3" t="str">
        <f ca="1">IFERROR(__xludf.DUMMYFUNCTION("""COMPUTED_VALUE"""),"2055-06-03T00:14:58.772435Z")</f>
        <v>2055-06-03T00:14:58.772435Z</v>
      </c>
      <c r="T1171" s="3"/>
      <c r="U1171" s="4">
        <f ca="1">IFERROR(__xludf.DUMMYFUNCTION("""COMPUTED_VALUE"""),56767)</f>
        <v>56767</v>
      </c>
      <c r="V1171" s="3">
        <f ca="1">IFERROR(__xludf.DUMMYFUNCTION("""COMPUTED_VALUE"""),3.49339893)</f>
        <v>3.4933989300000001</v>
      </c>
      <c r="W1171" s="3">
        <f ca="1">IFERROR(__xludf.DUMMYFUNCTION("""COMPUTED_VALUE"""),800)</f>
        <v>800</v>
      </c>
      <c r="X1171" s="3">
        <f ca="1">IFERROR(__xludf.DUMMYFUNCTION("""COMPUTED_VALUE"""),802)</f>
        <v>802</v>
      </c>
      <c r="Y1171" s="3">
        <f ca="1">IFERROR(__xludf.DUMMYFUNCTION("""COMPUTED_VALUE"""),174)</f>
        <v>174</v>
      </c>
      <c r="Z1171" s="3">
        <f ca="1">IFERROR(__xludf.DUMMYFUNCTION("""COMPUTED_VALUE"""),120)</f>
        <v>120</v>
      </c>
      <c r="AA1171" s="3">
        <f ca="1">IFERROR(__xludf.DUMMYFUNCTION("""COMPUTED_VALUE"""),508)</f>
        <v>508</v>
      </c>
      <c r="AB1171" s="3">
        <f ca="1">IFERROR(__xludf.DUMMYFUNCTION("""COMPUTED_VALUE"""),0)</f>
        <v>0</v>
      </c>
      <c r="AC1171" s="3">
        <f ca="1">IFERROR(__xludf.DUMMYFUNCTION("""COMPUTED_VALUE"""),1)</f>
        <v>1</v>
      </c>
      <c r="AD1171" s="3" t="str">
        <f ca="1">IFERROR(__xludf.DUMMYFUNCTION("""COMPUTED_VALUE"""),"on time")</f>
        <v>on time</v>
      </c>
      <c r="AE1171" s="3" t="str">
        <f ca="1">IFERROR(__xludf.DUMMYFUNCTION("""COMPUTED_VALUE"""),"2055-06-02T20:16:58.081174Z")</f>
        <v>2055-06-02T20:16:58.081174Z</v>
      </c>
      <c r="AF1171" s="3" t="str">
        <f ca="1">IFERROR(__xludf.DUMMYFUNCTION("""COMPUTED_VALUE"""),"2055-06-02T20:25:26.922599Z")</f>
        <v>2055-06-02T20:25:26.922599Z</v>
      </c>
      <c r="AG1171" s="3" t="str">
        <f ca="1">IFERROR(__xludf.DUMMYFUNCTION("""COMPUTED_VALUE"""),"2055-06-02T20:11:55.439772Z")</f>
        <v>2055-06-02T20:11:55.439772Z</v>
      </c>
      <c r="AH1171" s="3" t="str">
        <f ca="1">IFERROR(__xludf.DUMMYFUNCTION("""COMPUTED_VALUE"""),"2055-06-02T20:14:58.772435Z")</f>
        <v>2055-06-02T20:14:58.772435Z</v>
      </c>
      <c r="AI1171" s="3">
        <f ca="1">IFERROR(__xludf.DUMMYFUNCTION("""COMPUTED_VALUE"""),4.7)</f>
        <v>4.7</v>
      </c>
      <c r="AJ1171" s="3">
        <f ca="1">IFERROR(__xludf.DUMMYFUNCTION("""COMPUTED_VALUE"""),443)</f>
        <v>443</v>
      </c>
      <c r="AK1171" s="3">
        <f ca="1">IFERROR(__xludf.DUMMYFUNCTION("""COMPUTED_VALUE"""),1579)</f>
        <v>1579</v>
      </c>
      <c r="AL1171" s="3"/>
      <c r="AM1171" s="3">
        <f>IFERROR(Raw_Data!AL1171 / Raw_Data!AK1171, "")</f>
        <v>0</v>
      </c>
      <c r="AN1171" s="3" t="str">
        <f>IF(ISBLANK(Raw_Data!AL1171), "No", "Yes")</f>
        <v>No</v>
      </c>
      <c r="AO1171" s="3">
        <f>IFERROR(Raw_Data!Z1171/60, "")</f>
        <v>2</v>
      </c>
    </row>
    <row r="1172" spans="1:41" ht="13">
      <c r="A1172" s="3">
        <f ca="1">IFERROR(__xludf.DUMMYFUNCTION("""COMPUTED_VALUE"""),745)</f>
        <v>745</v>
      </c>
      <c r="B1172" s="3">
        <f ca="1">IFERROR(__xludf.DUMMYFUNCTION("""COMPUTED_VALUE"""),5)</f>
        <v>5</v>
      </c>
      <c r="C1172" s="3">
        <f ca="1">IFERROR(__xludf.DUMMYFUNCTION("""COMPUTED_VALUE"""),4050)</f>
        <v>4050</v>
      </c>
      <c r="D1172" s="3" t="str">
        <f ca="1">IFERROR(__xludf.DUMMYFUNCTION("""COMPUTED_VALUE"""),"Doorlanta")</f>
        <v>Doorlanta</v>
      </c>
      <c r="E1172" s="3" t="str">
        <f ca="1">IFERROR(__xludf.DUMMYFUNCTION("""COMPUTED_VALUE"""),"Galaxy A")</f>
        <v>Galaxy A</v>
      </c>
      <c r="F1172" s="3" t="str">
        <f ca="1">IFERROR(__xludf.DUMMYFUNCTION("""COMPUTED_VALUE"""),"Codee")</f>
        <v>Codee</v>
      </c>
      <c r="G1172" s="3">
        <f ca="1">IFERROR(__xludf.DUMMYFUNCTION("""COMPUTED_VALUE"""),0)</f>
        <v>0</v>
      </c>
      <c r="H1172" s="3" t="str">
        <f ca="1">IFERROR(__xludf.DUMMYFUNCTION("""COMPUTED_VALUE"""),"car")</f>
        <v>car</v>
      </c>
      <c r="I1172" s="3" t="str">
        <f ca="1">IFERROR(__xludf.DUMMYFUNCTION("""COMPUTED_VALUE"""),"2055-06-06T16:51:41.396859Z")</f>
        <v>2055-06-06T16:51:41.396859Z</v>
      </c>
      <c r="J1172" s="3" t="str">
        <f ca="1">IFERROR(__xludf.DUMMYFUNCTION("""COMPUTED_VALUE"""),"2055-06-06T17:46:41.482Z")</f>
        <v>2055-06-06T17:46:41.482Z</v>
      </c>
      <c r="K1172" s="3" t="str">
        <f ca="1">IFERROR(__xludf.DUMMYFUNCTION("""COMPUTED_VALUE"""),"2055-06-06T17:19:32.482Z")</f>
        <v>2055-06-06T17:19:32.482Z</v>
      </c>
      <c r="L1172" s="3">
        <f ca="1">IFERROR(__xludf.DUMMYFUNCTION("""COMPUTED_VALUE"""),1)</f>
        <v>1</v>
      </c>
      <c r="M1172" s="3">
        <f ca="1">IFERROR(__xludf.DUMMYFUNCTION("""COMPUTED_VALUE"""),0)</f>
        <v>0</v>
      </c>
      <c r="N1172" s="3" t="str">
        <f ca="1">IFERROR(__xludf.DUMMYFUNCTION("""COMPUTED_VALUE"""),"2055-06-06T17:13:03.358435Z")</f>
        <v>2055-06-06T17:13:03.358435Z</v>
      </c>
      <c r="O1172" s="3" t="str">
        <f ca="1">IFERROR(__xludf.DUMMYFUNCTION("""COMPUTED_VALUE"""),"2055-06-06T17:27:54.629356Z")</f>
        <v>2055-06-06T17:27:54.629356Z</v>
      </c>
      <c r="P1172" s="3" t="str">
        <f ca="1">IFERROR(__xludf.DUMMYFUNCTION("""COMPUTED_VALUE"""),"2055-06-06T16:51:47.385402Z")</f>
        <v>2055-06-06T16:51:47.385402Z</v>
      </c>
      <c r="Q1172" s="3">
        <f ca="1">IFERROR(__xludf.DUMMYFUNCTION("""COMPUTED_VALUE"""),0)</f>
        <v>0</v>
      </c>
      <c r="R1172" s="3" t="str">
        <f ca="1">IFERROR(__xludf.DUMMYFUNCTION("""COMPUTED_VALUE"""),"2055-06-06T16:52:02.140314Z")</f>
        <v>2055-06-06T16:52:02.140314Z</v>
      </c>
      <c r="S1172" s="3" t="str">
        <f ca="1">IFERROR(__xludf.DUMMYFUNCTION("""COMPUTED_VALUE"""),"2055-06-06T17:02:32.605634Z")</f>
        <v>2055-06-06T17:02:32.605634Z</v>
      </c>
      <c r="T1172" s="3"/>
      <c r="U1172" s="4">
        <f ca="1">IFERROR(__xludf.DUMMYFUNCTION("""COMPUTED_VALUE"""),56771)</f>
        <v>56771</v>
      </c>
      <c r="V1172" s="3">
        <f ca="1">IFERROR(__xludf.DUMMYFUNCTION("""COMPUTED_VALUE"""),4.6)</f>
        <v>4.5999999999999996</v>
      </c>
      <c r="W1172" s="3">
        <f ca="1">IFERROR(__xludf.DUMMYFUNCTION("""COMPUTED_VALUE"""),800)</f>
        <v>800</v>
      </c>
      <c r="X1172" s="3">
        <f ca="1">IFERROR(__xludf.DUMMYFUNCTION("""COMPUTED_VALUE"""),2152)</f>
        <v>2152</v>
      </c>
      <c r="Y1172" s="3">
        <f ca="1">IFERROR(__xludf.DUMMYFUNCTION("""COMPUTED_VALUE"""),630)</f>
        <v>630</v>
      </c>
      <c r="Z1172" s="3">
        <f ca="1">IFERROR(__xludf.DUMMYFUNCTION("""COMPUTED_VALUE"""),631)</f>
        <v>631</v>
      </c>
      <c r="AA1172" s="3">
        <f ca="1">IFERROR(__xludf.DUMMYFUNCTION("""COMPUTED_VALUE"""),891)</f>
        <v>891</v>
      </c>
      <c r="AB1172" s="3">
        <f ca="1">IFERROR(__xludf.DUMMYFUNCTION("""COMPUTED_VALUE"""),0)</f>
        <v>0</v>
      </c>
      <c r="AC1172" s="3">
        <f ca="1">IFERROR(__xludf.DUMMYFUNCTION("""COMPUTED_VALUE"""),2)</f>
        <v>2</v>
      </c>
      <c r="AD1172" s="3" t="str">
        <f ca="1">IFERROR(__xludf.DUMMYFUNCTION("""COMPUTED_VALUE"""),"on time")</f>
        <v>on time</v>
      </c>
      <c r="AE1172" s="3" t="str">
        <f ca="1">IFERROR(__xludf.DUMMYFUNCTION("""COMPUTED_VALUE"""),"2055-06-06T13:13:03.358435Z")</f>
        <v>2055-06-06T13:13:03.358435Z</v>
      </c>
      <c r="AF1172" s="3" t="str">
        <f ca="1">IFERROR(__xludf.DUMMYFUNCTION("""COMPUTED_VALUE"""),"2055-06-06T13:27:54.629356Z")</f>
        <v>2055-06-06T13:27:54.629356Z</v>
      </c>
      <c r="AG1172" s="3" t="str">
        <f ca="1">IFERROR(__xludf.DUMMYFUNCTION("""COMPUTED_VALUE"""),"2055-06-06T12:51:47.385402Z")</f>
        <v>2055-06-06T12:51:47.385402Z</v>
      </c>
      <c r="AH1172" s="3" t="str">
        <f ca="1">IFERROR(__xludf.DUMMYFUNCTION("""COMPUTED_VALUE"""),"2055-06-06T13:02:32.605634Z")</f>
        <v>2055-06-06T13:02:32.605634Z</v>
      </c>
      <c r="AI1172" s="3">
        <f ca="1">IFERROR(__xludf.DUMMYFUNCTION("""COMPUTED_VALUE"""),4.367088608)</f>
        <v>4.3670886080000004</v>
      </c>
      <c r="AJ1172" s="3">
        <f ca="1">IFERROR(__xludf.DUMMYFUNCTION("""COMPUTED_VALUE"""),59)</f>
        <v>59</v>
      </c>
      <c r="AK1172" s="3">
        <f ca="1">IFERROR(__xludf.DUMMYFUNCTION("""COMPUTED_VALUE"""),198)</f>
        <v>198</v>
      </c>
      <c r="AL1172" s="3">
        <f ca="1">IFERROR(__xludf.DUMMYFUNCTION("""COMPUTED_VALUE"""),42)</f>
        <v>42</v>
      </c>
      <c r="AM1172" s="3">
        <f>IFERROR(Raw_Data!AL1172 / Raw_Data!AK1172, "")</f>
        <v>0.21212121212121213</v>
      </c>
      <c r="AN1172" s="3" t="str">
        <f>IF(ISBLANK(Raw_Data!AL1172), "No", "Yes")</f>
        <v>Yes</v>
      </c>
      <c r="AO1172" s="3">
        <f>IFERROR(Raw_Data!Z1172/60, "")</f>
        <v>10.516666666666667</v>
      </c>
    </row>
    <row r="1173" spans="1:41" ht="13">
      <c r="A1173" s="3">
        <f ca="1">IFERROR(__xludf.DUMMYFUNCTION("""COMPUTED_VALUE"""),1251)</f>
        <v>1251</v>
      </c>
      <c r="B1173" s="3">
        <f ca="1">IFERROR(__xludf.DUMMYFUNCTION("""COMPUTED_VALUE"""),5)</f>
        <v>5</v>
      </c>
      <c r="C1173" s="3">
        <f ca="1">IFERROR(__xludf.DUMMYFUNCTION("""COMPUTED_VALUE"""),4001)</f>
        <v>4001</v>
      </c>
      <c r="D1173" s="3" t="str">
        <f ca="1">IFERROR(__xludf.DUMMYFUNCTION("""COMPUTED_VALUE"""),"Dashattan")</f>
        <v>Dashattan</v>
      </c>
      <c r="E1173" s="3" t="str">
        <f ca="1">IFERROR(__xludf.DUMMYFUNCTION("""COMPUTED_VALUE"""),"Galaxy A")</f>
        <v>Galaxy A</v>
      </c>
      <c r="F1173" s="3" t="str">
        <f ca="1">IFERROR(__xludf.DUMMYFUNCTION("""COMPUTED_VALUE"""),"Rojan")</f>
        <v>Rojan</v>
      </c>
      <c r="G1173" s="3">
        <f ca="1">IFERROR(__xludf.DUMMYFUNCTION("""COMPUTED_VALUE"""),0)</f>
        <v>0</v>
      </c>
      <c r="H1173" s="3" t="str">
        <f ca="1">IFERROR(__xludf.DUMMYFUNCTION("""COMPUTED_VALUE"""),"bicycle")</f>
        <v>bicycle</v>
      </c>
      <c r="I1173" s="3" t="str">
        <f ca="1">IFERROR(__xludf.DUMMYFUNCTION("""COMPUTED_VALUE"""),"2055-06-11T16:11:29.049691Z")</f>
        <v>2055-06-11T16:11:29.049691Z</v>
      </c>
      <c r="J1173" s="3" t="str">
        <f ca="1">IFERROR(__xludf.DUMMYFUNCTION("""COMPUTED_VALUE"""),"2055-06-11T17:06:00.104Z")</f>
        <v>2055-06-11T17:06:00.104Z</v>
      </c>
      <c r="K1173" s="3" t="str">
        <f ca="1">IFERROR(__xludf.DUMMYFUNCTION("""COMPUTED_VALUE"""),"2055-06-11T16:45:53.104Z")</f>
        <v>2055-06-11T16:45:53.104Z</v>
      </c>
      <c r="L1173" s="3">
        <f ca="1">IFERROR(__xludf.DUMMYFUNCTION("""COMPUTED_VALUE"""),1)</f>
        <v>1</v>
      </c>
      <c r="M1173" s="3">
        <f ca="1">IFERROR(__xludf.DUMMYFUNCTION("""COMPUTED_VALUE"""),0)</f>
        <v>0</v>
      </c>
      <c r="N1173" s="3" t="str">
        <f ca="1">IFERROR(__xludf.DUMMYFUNCTION("""COMPUTED_VALUE"""),"2055-06-11T16:46:11.944211Z")</f>
        <v>2055-06-11T16:46:11.944211Z</v>
      </c>
      <c r="O1173" s="3" t="str">
        <f ca="1">IFERROR(__xludf.DUMMYFUNCTION("""COMPUTED_VALUE"""),"2055-06-11T16:51:45.317818Z")</f>
        <v>2055-06-11T16:51:45.317818Z</v>
      </c>
      <c r="P1173" s="3" t="str">
        <f ca="1">IFERROR(__xludf.DUMMYFUNCTION("""COMPUTED_VALUE"""),"2055-06-11T16:37:54.41486Z")</f>
        <v>2055-06-11T16:37:54.41486Z</v>
      </c>
      <c r="Q1173" s="3">
        <f ca="1">IFERROR(__xludf.DUMMYFUNCTION("""COMPUTED_VALUE"""),0)</f>
        <v>0</v>
      </c>
      <c r="R1173" s="3" t="str">
        <f ca="1">IFERROR(__xludf.DUMMYFUNCTION("""COMPUTED_VALUE"""),"2055-06-11T16:38:06.765929Z")</f>
        <v>2055-06-11T16:38:06.765929Z</v>
      </c>
      <c r="S1173" s="3"/>
      <c r="T1173" s="3"/>
      <c r="U1173" s="4">
        <f ca="1">IFERROR(__xludf.DUMMYFUNCTION("""COMPUTED_VALUE"""),56776)</f>
        <v>56776</v>
      </c>
      <c r="V1173" s="3">
        <f ca="1">IFERROR(__xludf.DUMMYFUNCTION("""COMPUTED_VALUE"""),3.415063711)</f>
        <v>3.4150637110000002</v>
      </c>
      <c r="W1173" s="3">
        <f ca="1">IFERROR(__xludf.DUMMYFUNCTION("""COMPUTED_VALUE"""),800)</f>
        <v>800</v>
      </c>
      <c r="X1173" s="3">
        <f ca="1">IFERROR(__xludf.DUMMYFUNCTION("""COMPUTED_VALUE"""),819)</f>
        <v>819</v>
      </c>
      <c r="Y1173" s="3"/>
      <c r="Z1173" s="3"/>
      <c r="AA1173" s="3">
        <f ca="1">IFERROR(__xludf.DUMMYFUNCTION("""COMPUTED_VALUE"""),334)</f>
        <v>334</v>
      </c>
      <c r="AB1173" s="3">
        <f ca="1">IFERROR(__xludf.DUMMYFUNCTION("""COMPUTED_VALUE"""),0)</f>
        <v>0</v>
      </c>
      <c r="AC1173" s="3">
        <f ca="1">IFERROR(__xludf.DUMMYFUNCTION("""COMPUTED_VALUE"""),1)</f>
        <v>1</v>
      </c>
      <c r="AD1173" s="3"/>
      <c r="AE1173" s="3" t="str">
        <f ca="1">IFERROR(__xludf.DUMMYFUNCTION("""COMPUTED_VALUE"""),"2055-06-11T12:46:11.944211Z")</f>
        <v>2055-06-11T12:46:11.944211Z</v>
      </c>
      <c r="AF1173" s="3" t="str">
        <f ca="1">IFERROR(__xludf.DUMMYFUNCTION("""COMPUTED_VALUE"""),"2055-06-11T12:51:45.317818Z")</f>
        <v>2055-06-11T12:51:45.317818Z</v>
      </c>
      <c r="AG1173" s="3" t="str">
        <f ca="1">IFERROR(__xludf.DUMMYFUNCTION("""COMPUTED_VALUE"""),"2055-06-11T12:37:54.41486Z")</f>
        <v>2055-06-11T12:37:54.41486Z</v>
      </c>
      <c r="AH1173" s="3"/>
      <c r="AI1173" s="3">
        <f ca="1">IFERROR(__xludf.DUMMYFUNCTION("""COMPUTED_VALUE"""),4.58)</f>
        <v>4.58</v>
      </c>
      <c r="AJ1173" s="3">
        <f ca="1">IFERROR(__xludf.DUMMYFUNCTION("""COMPUTED_VALUE"""),254)</f>
        <v>254</v>
      </c>
      <c r="AK1173" s="3">
        <f ca="1">IFERROR(__xludf.DUMMYFUNCTION("""COMPUTED_VALUE"""),788)</f>
        <v>788</v>
      </c>
      <c r="AL1173" s="3">
        <f ca="1">IFERROR(__xludf.DUMMYFUNCTION("""COMPUTED_VALUE"""),9)</f>
        <v>9</v>
      </c>
      <c r="AM1173" s="3">
        <f>IFERROR(Raw_Data!AL1173 / Raw_Data!AK1173, "")</f>
        <v>1.1421319796954314E-2</v>
      </c>
      <c r="AN1173" s="3" t="str">
        <f>IF(ISBLANK(Raw_Data!AL1173), "No", "Yes")</f>
        <v>Yes</v>
      </c>
      <c r="AO1173" s="3">
        <f>IFERROR(Raw_Data!Z1173/60, "")</f>
        <v>0</v>
      </c>
    </row>
    <row r="1174" spans="1:41" ht="13">
      <c r="A1174" s="3">
        <f ca="1">IFERROR(__xludf.DUMMYFUNCTION("""COMPUTED_VALUE"""),872)</f>
        <v>872</v>
      </c>
      <c r="B1174" s="3"/>
      <c r="C1174" s="3">
        <f ca="1">IFERROR(__xludf.DUMMYFUNCTION("""COMPUTED_VALUE"""),4001)</f>
        <v>4001</v>
      </c>
      <c r="D1174" s="3" t="str">
        <f ca="1">IFERROR(__xludf.DUMMYFUNCTION("""COMPUTED_VALUE"""),"Dashattan")</f>
        <v>Dashattan</v>
      </c>
      <c r="E1174" s="3" t="str">
        <f ca="1">IFERROR(__xludf.DUMMYFUNCTION("""COMPUTED_VALUE"""),"Galaxy A")</f>
        <v>Galaxy A</v>
      </c>
      <c r="F1174" s="3" t="str">
        <f ca="1">IFERROR(__xludf.DUMMYFUNCTION("""COMPUTED_VALUE"""),"Samm")</f>
        <v>Samm</v>
      </c>
      <c r="G1174" s="3">
        <f ca="1">IFERROR(__xludf.DUMMYFUNCTION("""COMPUTED_VALUE"""),0)</f>
        <v>0</v>
      </c>
      <c r="H1174" s="3" t="str">
        <f ca="1">IFERROR(__xludf.DUMMYFUNCTION("""COMPUTED_VALUE"""),"car")</f>
        <v>car</v>
      </c>
      <c r="I1174" s="3" t="str">
        <f ca="1">IFERROR(__xludf.DUMMYFUNCTION("""COMPUTED_VALUE"""),"2055-06-07T20:51:18.096118Z")</f>
        <v>2055-06-07T20:51:18.096118Z</v>
      </c>
      <c r="J1174" s="3" t="str">
        <f ca="1">IFERROR(__xludf.DUMMYFUNCTION("""COMPUTED_VALUE"""),"2055-06-07T21:24:28.154Z")</f>
        <v>2055-06-07T21:24:28.154Z</v>
      </c>
      <c r="K1174" s="3" t="str">
        <f ca="1">IFERROR(__xludf.DUMMYFUNCTION("""COMPUTED_VALUE"""),"2055-06-07T21:19:49.154Z")</f>
        <v>2055-06-07T21:19:49.154Z</v>
      </c>
      <c r="L1174" s="3">
        <f ca="1">IFERROR(__xludf.DUMMYFUNCTION("""COMPUTED_VALUE"""),1)</f>
        <v>1</v>
      </c>
      <c r="M1174" s="3">
        <f ca="1">IFERROR(__xludf.DUMMYFUNCTION("""COMPUTED_VALUE"""),0)</f>
        <v>0</v>
      </c>
      <c r="N1174" s="3" t="str">
        <f ca="1">IFERROR(__xludf.DUMMYFUNCTION("""COMPUTED_VALUE"""),"2055-06-07T21:18:57.868965Z")</f>
        <v>2055-06-07T21:18:57.868965Z</v>
      </c>
      <c r="O1174" s="3" t="str">
        <f ca="1">IFERROR(__xludf.DUMMYFUNCTION("""COMPUTED_VALUE"""),"2055-06-07T21:27:01.35707Z")</f>
        <v>2055-06-07T21:27:01.35707Z</v>
      </c>
      <c r="P1174" s="3" t="str">
        <f ca="1">IFERROR(__xludf.DUMMYFUNCTION("""COMPUTED_VALUE"""),"2055-06-07T20:58:14.23429Z")</f>
        <v>2055-06-07T20:58:14.23429Z</v>
      </c>
      <c r="Q1174" s="3">
        <f ca="1">IFERROR(__xludf.DUMMYFUNCTION("""COMPUTED_VALUE"""),0)</f>
        <v>0</v>
      </c>
      <c r="R1174" s="3" t="str">
        <f ca="1">IFERROR(__xludf.DUMMYFUNCTION("""COMPUTED_VALUE"""),"2055-06-07T20:58:18.567069Z")</f>
        <v>2055-06-07T20:58:18.567069Z</v>
      </c>
      <c r="S1174" s="3" t="str">
        <f ca="1">IFERROR(__xludf.DUMMYFUNCTION("""COMPUTED_VALUE"""),"2055-06-07T21:09:00.25539Z")</f>
        <v>2055-06-07T21:09:00.25539Z</v>
      </c>
      <c r="T1174" s="3"/>
      <c r="U1174" s="4">
        <f ca="1">IFERROR(__xludf.DUMMYFUNCTION("""COMPUTED_VALUE"""),56772)</f>
        <v>56772</v>
      </c>
      <c r="V1174" s="3">
        <f ca="1">IFERROR(__xludf.DUMMYFUNCTION("""COMPUTED_VALUE"""),4.4)</f>
        <v>4.4000000000000004</v>
      </c>
      <c r="W1174" s="3">
        <f ca="1">IFERROR(__xludf.DUMMYFUNCTION("""COMPUTED_VALUE"""),800)</f>
        <v>800</v>
      </c>
      <c r="X1174" s="3">
        <f ca="1">IFERROR(__xludf.DUMMYFUNCTION("""COMPUTED_VALUE"""),1723)</f>
        <v>1723</v>
      </c>
      <c r="Y1174" s="3">
        <f ca="1">IFERROR(__xludf.DUMMYFUNCTION("""COMPUTED_VALUE"""),642)</f>
        <v>642</v>
      </c>
      <c r="Z1174" s="3">
        <f ca="1">IFERROR(__xludf.DUMMYFUNCTION("""COMPUTED_VALUE"""),597)</f>
        <v>597</v>
      </c>
      <c r="AA1174" s="3">
        <f ca="1">IFERROR(__xludf.DUMMYFUNCTION("""COMPUTED_VALUE"""),484)</f>
        <v>484</v>
      </c>
      <c r="AB1174" s="3">
        <f ca="1">IFERROR(__xludf.DUMMYFUNCTION("""COMPUTED_VALUE"""),0)</f>
        <v>0</v>
      </c>
      <c r="AC1174" s="3">
        <f ca="1">IFERROR(__xludf.DUMMYFUNCTION("""COMPUTED_VALUE"""),5)</f>
        <v>5</v>
      </c>
      <c r="AD1174" s="3" t="str">
        <f ca="1">IFERROR(__xludf.DUMMYFUNCTION("""COMPUTED_VALUE"""),"on time")</f>
        <v>on time</v>
      </c>
      <c r="AE1174" s="3" t="str">
        <f ca="1">IFERROR(__xludf.DUMMYFUNCTION("""COMPUTED_VALUE"""),"2055-06-07T17:18:57.868965Z")</f>
        <v>2055-06-07T17:18:57.868965Z</v>
      </c>
      <c r="AF1174" s="3" t="str">
        <f ca="1">IFERROR(__xludf.DUMMYFUNCTION("""COMPUTED_VALUE"""),"2055-06-07T17:27:01.35707Z")</f>
        <v>2055-06-07T17:27:01.35707Z</v>
      </c>
      <c r="AG1174" s="3" t="str">
        <f ca="1">IFERROR(__xludf.DUMMYFUNCTION("""COMPUTED_VALUE"""),"2055-06-07T16:58:14.23429Z")</f>
        <v>2055-06-07T16:58:14.23429Z</v>
      </c>
      <c r="AH1174" s="3" t="str">
        <f ca="1">IFERROR(__xludf.DUMMYFUNCTION("""COMPUTED_VALUE"""),"2055-06-07T17:09:00.25539Z")</f>
        <v>2055-06-07T17:09:00.25539Z</v>
      </c>
      <c r="AI1174" s="3">
        <f ca="1">IFERROR(__xludf.DUMMYFUNCTION("""COMPUTED_VALUE"""),4.03)</f>
        <v>4.03</v>
      </c>
      <c r="AJ1174" s="3">
        <f ca="1">IFERROR(__xludf.DUMMYFUNCTION("""COMPUTED_VALUE"""),505)</f>
        <v>505</v>
      </c>
      <c r="AK1174" s="3">
        <f ca="1">IFERROR(__xludf.DUMMYFUNCTION("""COMPUTED_VALUE"""),1721)</f>
        <v>1721</v>
      </c>
      <c r="AL1174" s="3">
        <f ca="1">IFERROR(__xludf.DUMMYFUNCTION("""COMPUTED_VALUE"""),457)</f>
        <v>457</v>
      </c>
      <c r="AM1174" s="3">
        <f>IFERROR(Raw_Data!AL1174 / Raw_Data!AK1174, "")</f>
        <v>0.26554328878558975</v>
      </c>
      <c r="AN1174" s="3" t="str">
        <f>IF(ISBLANK(Raw_Data!AL1174), "No", "Yes")</f>
        <v>Yes</v>
      </c>
      <c r="AO1174" s="3">
        <f>IFERROR(Raw_Data!Z1174/60, "")</f>
        <v>9.9499999999999993</v>
      </c>
    </row>
    <row r="1175" spans="1:41" ht="13">
      <c r="A1175" s="3">
        <f ca="1">IFERROR(__xludf.DUMMYFUNCTION("""COMPUTED_VALUE"""),747)</f>
        <v>747</v>
      </c>
      <c r="B1175" s="3">
        <f ca="1">IFERROR(__xludf.DUMMYFUNCTION("""COMPUTED_VALUE"""),2)</f>
        <v>2</v>
      </c>
      <c r="C1175" s="3">
        <f ca="1">IFERROR(__xludf.DUMMYFUNCTION("""COMPUTED_VALUE"""),4050)</f>
        <v>4050</v>
      </c>
      <c r="D1175" s="3" t="str">
        <f ca="1">IFERROR(__xludf.DUMMYFUNCTION("""COMPUTED_VALUE"""),"Doorlanta")</f>
        <v>Doorlanta</v>
      </c>
      <c r="E1175" s="3" t="str">
        <f ca="1">IFERROR(__xludf.DUMMYFUNCTION("""COMPUTED_VALUE"""),"Galaxy A")</f>
        <v>Galaxy A</v>
      </c>
      <c r="F1175" s="3" t="str">
        <f ca="1">IFERROR(__xludf.DUMMYFUNCTION("""COMPUTED_VALUE"""),"Merissa")</f>
        <v>Merissa</v>
      </c>
      <c r="G1175" s="3">
        <f ca="1">IFERROR(__xludf.DUMMYFUNCTION("""COMPUTED_VALUE"""),0)</f>
        <v>0</v>
      </c>
      <c r="H1175" s="3" t="str">
        <f ca="1">IFERROR(__xludf.DUMMYFUNCTION("""COMPUTED_VALUE"""),"car")</f>
        <v>car</v>
      </c>
      <c r="I1175" s="3" t="str">
        <f ca="1">IFERROR(__xludf.DUMMYFUNCTION("""COMPUTED_VALUE"""),"2055-06-06T17:14:09.365965Z")</f>
        <v>2055-06-06T17:14:09.365965Z</v>
      </c>
      <c r="J1175" s="3" t="str">
        <f ca="1">IFERROR(__xludf.DUMMYFUNCTION("""COMPUTED_VALUE"""),"2055-06-06T18:09:09.457Z")</f>
        <v>2055-06-06T18:09:09.457Z</v>
      </c>
      <c r="K1175" s="3" t="str">
        <f ca="1">IFERROR(__xludf.DUMMYFUNCTION("""COMPUTED_VALUE"""),"2055-06-06T17:45:12.457Z")</f>
        <v>2055-06-06T17:45:12.457Z</v>
      </c>
      <c r="L1175" s="3">
        <f ca="1">IFERROR(__xludf.DUMMYFUNCTION("""COMPUTED_VALUE"""),1)</f>
        <v>1</v>
      </c>
      <c r="M1175" s="3">
        <f ca="1">IFERROR(__xludf.DUMMYFUNCTION("""COMPUTED_VALUE"""),0)</f>
        <v>0</v>
      </c>
      <c r="N1175" s="3" t="str">
        <f ca="1">IFERROR(__xludf.DUMMYFUNCTION("""COMPUTED_VALUE"""),"2055-06-06T17:43:56.118424Z")</f>
        <v>2055-06-06T17:43:56.118424Z</v>
      </c>
      <c r="O1175" s="3" t="str">
        <f ca="1">IFERROR(__xludf.DUMMYFUNCTION("""COMPUTED_VALUE"""),"2055-06-06T18:12:36.939693Z")</f>
        <v>2055-06-06T18:12:36.939693Z</v>
      </c>
      <c r="P1175" s="3" t="str">
        <f ca="1">IFERROR(__xludf.DUMMYFUNCTION("""COMPUTED_VALUE"""),"2055-06-06T17:14:27.350332Z")</f>
        <v>2055-06-06T17:14:27.350332Z</v>
      </c>
      <c r="Q1175" s="3">
        <f ca="1">IFERROR(__xludf.DUMMYFUNCTION("""COMPUTED_VALUE"""),0)</f>
        <v>0</v>
      </c>
      <c r="R1175" s="3" t="str">
        <f ca="1">IFERROR(__xludf.DUMMYFUNCTION("""COMPUTED_VALUE"""),"2055-06-06T17:14:43.325468Z")</f>
        <v>2055-06-06T17:14:43.325468Z</v>
      </c>
      <c r="S1175" s="3" t="str">
        <f ca="1">IFERROR(__xludf.DUMMYFUNCTION("""COMPUTED_VALUE"""),"2055-06-06T17:18:56.943965Z")</f>
        <v>2055-06-06T17:18:56.943965Z</v>
      </c>
      <c r="T1175" s="3"/>
      <c r="U1175" s="4">
        <f ca="1">IFERROR(__xludf.DUMMYFUNCTION("""COMPUTED_VALUE"""),56771)</f>
        <v>56771</v>
      </c>
      <c r="V1175" s="3">
        <f ca="1">IFERROR(__xludf.DUMMYFUNCTION("""COMPUTED_VALUE"""),4.4)</f>
        <v>4.4000000000000004</v>
      </c>
      <c r="W1175" s="3">
        <f ca="1">IFERROR(__xludf.DUMMYFUNCTION("""COMPUTED_VALUE"""),800)</f>
        <v>800</v>
      </c>
      <c r="X1175" s="3">
        <f ca="1">IFERROR(__xludf.DUMMYFUNCTION("""COMPUTED_VALUE"""),3473)</f>
        <v>3473</v>
      </c>
      <c r="Y1175" s="3">
        <f ca="1">IFERROR(__xludf.DUMMYFUNCTION("""COMPUTED_VALUE"""),253)</f>
        <v>253</v>
      </c>
      <c r="Z1175" s="3">
        <f ca="1">IFERROR(__xludf.DUMMYFUNCTION("""COMPUTED_VALUE"""),1500)</f>
        <v>1500</v>
      </c>
      <c r="AA1175" s="3">
        <f ca="1">IFERROR(__xludf.DUMMYFUNCTION("""COMPUTED_VALUE"""),1720)</f>
        <v>1720</v>
      </c>
      <c r="AB1175" s="3">
        <f ca="1">IFERROR(__xludf.DUMMYFUNCTION("""COMPUTED_VALUE"""),0)</f>
        <v>0</v>
      </c>
      <c r="AC1175" s="3">
        <f ca="1">IFERROR(__xludf.DUMMYFUNCTION("""COMPUTED_VALUE"""),1)</f>
        <v>1</v>
      </c>
      <c r="AD1175" s="3" t="str">
        <f ca="1">IFERROR(__xludf.DUMMYFUNCTION("""COMPUTED_VALUE"""),"early")</f>
        <v>early</v>
      </c>
      <c r="AE1175" s="3" t="str">
        <f ca="1">IFERROR(__xludf.DUMMYFUNCTION("""COMPUTED_VALUE"""),"2055-06-06T13:43:56.118424Z")</f>
        <v>2055-06-06T13:43:56.118424Z</v>
      </c>
      <c r="AF1175" s="3" t="str">
        <f ca="1">IFERROR(__xludf.DUMMYFUNCTION("""COMPUTED_VALUE"""),"2055-06-06T14:12:36.939693Z")</f>
        <v>2055-06-06T14:12:36.939693Z</v>
      </c>
      <c r="AG1175" s="3" t="str">
        <f ca="1">IFERROR(__xludf.DUMMYFUNCTION("""COMPUTED_VALUE"""),"2055-06-06T13:14:27.350332Z")</f>
        <v>2055-06-06T13:14:27.350332Z</v>
      </c>
      <c r="AH1175" s="3" t="str">
        <f ca="1">IFERROR(__xludf.DUMMYFUNCTION("""COMPUTED_VALUE"""),"2055-06-06T13:18:56.943965Z")</f>
        <v>2055-06-06T13:18:56.943965Z</v>
      </c>
      <c r="AI1175" s="3">
        <f ca="1">IFERROR(__xludf.DUMMYFUNCTION("""COMPUTED_VALUE"""),4.58)</f>
        <v>4.58</v>
      </c>
      <c r="AJ1175" s="3">
        <f ca="1">IFERROR(__xludf.DUMMYFUNCTION("""COMPUTED_VALUE"""),679)</f>
        <v>679</v>
      </c>
      <c r="AK1175" s="3">
        <f ca="1">IFERROR(__xludf.DUMMYFUNCTION("""COMPUTED_VALUE"""),2371)</f>
        <v>2371</v>
      </c>
      <c r="AL1175" s="3">
        <f ca="1">IFERROR(__xludf.DUMMYFUNCTION("""COMPUTED_VALUE"""),1830)</f>
        <v>1830</v>
      </c>
      <c r="AM1175" s="3">
        <f>IFERROR(Raw_Data!AL1175 / Raw_Data!AK1175, "")</f>
        <v>0.7718262336566849</v>
      </c>
      <c r="AN1175" s="3" t="str">
        <f>IF(ISBLANK(Raw_Data!AL1175), "No", "Yes")</f>
        <v>Yes</v>
      </c>
      <c r="AO1175" s="3">
        <f>IFERROR(Raw_Data!Z1175/60, "")</f>
        <v>25</v>
      </c>
    </row>
    <row r="1176" spans="1:41" ht="13">
      <c r="A1176" s="3">
        <f ca="1">IFERROR(__xludf.DUMMYFUNCTION("""COMPUTED_VALUE"""),988)</f>
        <v>988</v>
      </c>
      <c r="B1176" s="3"/>
      <c r="C1176" s="3">
        <f ca="1">IFERROR(__xludf.DUMMYFUNCTION("""COMPUTED_VALUE"""),4001)</f>
        <v>4001</v>
      </c>
      <c r="D1176" s="3" t="str">
        <f ca="1">IFERROR(__xludf.DUMMYFUNCTION("""COMPUTED_VALUE"""),"Dashattan")</f>
        <v>Dashattan</v>
      </c>
      <c r="E1176" s="3" t="str">
        <f ca="1">IFERROR(__xludf.DUMMYFUNCTION("""COMPUTED_VALUE"""),"Galaxy A")</f>
        <v>Galaxy A</v>
      </c>
      <c r="F1176" s="3" t="str">
        <f ca="1">IFERROR(__xludf.DUMMYFUNCTION("""COMPUTED_VALUE"""),"Arya")</f>
        <v>Arya</v>
      </c>
      <c r="G1176" s="3">
        <f ca="1">IFERROR(__xludf.DUMMYFUNCTION("""COMPUTED_VALUE"""),0)</f>
        <v>0</v>
      </c>
      <c r="H1176" s="3" t="str">
        <f ca="1">IFERROR(__xludf.DUMMYFUNCTION("""COMPUTED_VALUE"""),"bicycle")</f>
        <v>bicycle</v>
      </c>
      <c r="I1176" s="3" t="str">
        <f ca="1">IFERROR(__xludf.DUMMYFUNCTION("""COMPUTED_VALUE"""),"2055-06-08T23:36:21.271142Z")</f>
        <v>2055-06-08T23:36:21.271142Z</v>
      </c>
      <c r="J1176" s="3" t="str">
        <f ca="1">IFERROR(__xludf.DUMMYFUNCTION("""COMPUTED_VALUE"""),"2055-06-09T00:11:23.339Z")</f>
        <v>2055-06-09T00:11:23.339Z</v>
      </c>
      <c r="K1176" s="3" t="str">
        <f ca="1">IFERROR(__xludf.DUMMYFUNCTION("""COMPUTED_VALUE"""),"2055-06-09T00:06:16.339Z")</f>
        <v>2055-06-09T00:06:16.339Z</v>
      </c>
      <c r="L1176" s="3">
        <f ca="1">IFERROR(__xludf.DUMMYFUNCTION("""COMPUTED_VALUE"""),1)</f>
        <v>1</v>
      </c>
      <c r="M1176" s="3">
        <f ca="1">IFERROR(__xludf.DUMMYFUNCTION("""COMPUTED_VALUE"""),0)</f>
        <v>0</v>
      </c>
      <c r="N1176" s="3" t="str">
        <f ca="1">IFERROR(__xludf.DUMMYFUNCTION("""COMPUTED_VALUE"""),"2055-06-08T23:50:29.215795Z")</f>
        <v>2055-06-08T23:50:29.215795Z</v>
      </c>
      <c r="O1176" s="3" t="str">
        <f ca="1">IFERROR(__xludf.DUMMYFUNCTION("""COMPUTED_VALUE"""),"2055-06-08T23:56:29.131438Z")</f>
        <v>2055-06-08T23:56:29.131438Z</v>
      </c>
      <c r="P1176" s="3" t="str">
        <f ca="1">IFERROR(__xludf.DUMMYFUNCTION("""COMPUTED_VALUE"""),"2055-06-08T23:37:34.736277Z")</f>
        <v>2055-06-08T23:37:34.736277Z</v>
      </c>
      <c r="Q1176" s="3">
        <f ca="1">IFERROR(__xludf.DUMMYFUNCTION("""COMPUTED_VALUE"""),0)</f>
        <v>0</v>
      </c>
      <c r="R1176" s="3" t="str">
        <f ca="1">IFERROR(__xludf.DUMMYFUNCTION("""COMPUTED_VALUE"""),"2055-06-08T23:37:39.291366Z")</f>
        <v>2055-06-08T23:37:39.291366Z</v>
      </c>
      <c r="S1176" s="3" t="str">
        <f ca="1">IFERROR(__xludf.DUMMYFUNCTION("""COMPUTED_VALUE"""),"2055-06-08T23:49:12.372682Z")</f>
        <v>2055-06-08T23:49:12.372682Z</v>
      </c>
      <c r="T1176" s="3"/>
      <c r="U1176" s="4">
        <f ca="1">IFERROR(__xludf.DUMMYFUNCTION("""COMPUTED_VALUE"""),56773)</f>
        <v>56773</v>
      </c>
      <c r="V1176" s="3">
        <f ca="1">IFERROR(__xludf.DUMMYFUNCTION("""COMPUTED_VALUE"""),4.4)</f>
        <v>4.4000000000000004</v>
      </c>
      <c r="W1176" s="3">
        <f ca="1">IFERROR(__xludf.DUMMYFUNCTION("""COMPUTED_VALUE"""),800)</f>
        <v>800</v>
      </c>
      <c r="X1176" s="3">
        <f ca="1">IFERROR(__xludf.DUMMYFUNCTION("""COMPUTED_VALUE"""),1130)</f>
        <v>1130</v>
      </c>
      <c r="Y1176" s="3">
        <f ca="1">IFERROR(__xludf.DUMMYFUNCTION("""COMPUTED_VALUE"""),693)</f>
        <v>693</v>
      </c>
      <c r="Z1176" s="3">
        <f ca="1">IFERROR(__xludf.DUMMYFUNCTION("""COMPUTED_VALUE"""),77)</f>
        <v>77</v>
      </c>
      <c r="AA1176" s="3">
        <f ca="1">IFERROR(__xludf.DUMMYFUNCTION("""COMPUTED_VALUE"""),360)</f>
        <v>360</v>
      </c>
      <c r="AB1176" s="3">
        <f ca="1">IFERROR(__xludf.DUMMYFUNCTION("""COMPUTED_VALUE"""),0)</f>
        <v>0</v>
      </c>
      <c r="AC1176" s="3">
        <f ca="1">IFERROR(__xludf.DUMMYFUNCTION("""COMPUTED_VALUE"""),1)</f>
        <v>1</v>
      </c>
      <c r="AD1176" s="3" t="str">
        <f ca="1">IFERROR(__xludf.DUMMYFUNCTION("""COMPUTED_VALUE"""),"late")</f>
        <v>late</v>
      </c>
      <c r="AE1176" s="3" t="str">
        <f ca="1">IFERROR(__xludf.DUMMYFUNCTION("""COMPUTED_VALUE"""),"2055-06-08T19:50:29.215795Z")</f>
        <v>2055-06-08T19:50:29.215795Z</v>
      </c>
      <c r="AF1176" s="3" t="str">
        <f ca="1">IFERROR(__xludf.DUMMYFUNCTION("""COMPUTED_VALUE"""),"2055-06-08T19:56:29.131438Z")</f>
        <v>2055-06-08T19:56:29.131438Z</v>
      </c>
      <c r="AG1176" s="3" t="str">
        <f ca="1">IFERROR(__xludf.DUMMYFUNCTION("""COMPUTED_VALUE"""),"2055-06-08T19:37:34.736277Z")</f>
        <v>2055-06-08T19:37:34.736277Z</v>
      </c>
      <c r="AH1176" s="3" t="str">
        <f ca="1">IFERROR(__xludf.DUMMYFUNCTION("""COMPUTED_VALUE"""),"2055-06-08T19:49:12.372682Z")</f>
        <v>2055-06-08T19:49:12.372682Z</v>
      </c>
      <c r="AI1176" s="3">
        <f ca="1">IFERROR(__xludf.DUMMYFUNCTION("""COMPUTED_VALUE"""),4.17)</f>
        <v>4.17</v>
      </c>
      <c r="AJ1176" s="3">
        <f ca="1">IFERROR(__xludf.DUMMYFUNCTION("""COMPUTED_VALUE"""),457)</f>
        <v>457</v>
      </c>
      <c r="AK1176" s="3">
        <f ca="1">IFERROR(__xludf.DUMMYFUNCTION("""COMPUTED_VALUE"""),1599)</f>
        <v>1599</v>
      </c>
      <c r="AL1176" s="3"/>
      <c r="AM1176" s="3">
        <f>IFERROR(Raw_Data!AL1176 / Raw_Data!AK1176, "")</f>
        <v>0</v>
      </c>
      <c r="AN1176" s="3" t="str">
        <f>IF(ISBLANK(Raw_Data!AL1176), "No", "Yes")</f>
        <v>No</v>
      </c>
      <c r="AO1176" s="3">
        <f>IFERROR(Raw_Data!Z1176/60, "")</f>
        <v>1.2833333333333334</v>
      </c>
    </row>
    <row r="1177" spans="1:41" ht="13">
      <c r="A1177" s="3">
        <f ca="1">IFERROR(__xludf.DUMMYFUNCTION("""COMPUTED_VALUE"""),345)</f>
        <v>345</v>
      </c>
      <c r="B1177" s="3">
        <f ca="1">IFERROR(__xludf.DUMMYFUNCTION("""COMPUTED_VALUE"""),5)</f>
        <v>5</v>
      </c>
      <c r="C1177" s="3">
        <f ca="1">IFERROR(__xludf.DUMMYFUNCTION("""COMPUTED_VALUE"""),4050)</f>
        <v>4050</v>
      </c>
      <c r="D1177" s="3" t="str">
        <f ca="1">IFERROR(__xludf.DUMMYFUNCTION("""COMPUTED_VALUE"""),"Doorlanta")</f>
        <v>Doorlanta</v>
      </c>
      <c r="E1177" s="3" t="str">
        <f ca="1">IFERROR(__xludf.DUMMYFUNCTION("""COMPUTED_VALUE"""),"Galaxy A")</f>
        <v>Galaxy A</v>
      </c>
      <c r="F1177" s="3" t="str">
        <f ca="1">IFERROR(__xludf.DUMMYFUNCTION("""COMPUTED_VALUE"""),"Hersh")</f>
        <v>Hersh</v>
      </c>
      <c r="G1177" s="3">
        <f ca="1">IFERROR(__xludf.DUMMYFUNCTION("""COMPUTED_VALUE"""),0)</f>
        <v>0</v>
      </c>
      <c r="H1177" s="3" t="str">
        <f ca="1">IFERROR(__xludf.DUMMYFUNCTION("""COMPUTED_VALUE"""),"car")</f>
        <v>car</v>
      </c>
      <c r="I1177" s="3" t="str">
        <f ca="1">IFERROR(__xludf.DUMMYFUNCTION("""COMPUTED_VALUE"""),"2055-06-03T22:14:42.023687Z")</f>
        <v>2055-06-03T22:14:42.023687Z</v>
      </c>
      <c r="J1177" s="3" t="str">
        <f ca="1">IFERROR(__xludf.DUMMYFUNCTION("""COMPUTED_VALUE"""),"2055-06-03T23:57:23.101Z")</f>
        <v>2055-06-03T23:57:23.101Z</v>
      </c>
      <c r="K1177" s="3" t="str">
        <f ca="1">IFERROR(__xludf.DUMMYFUNCTION("""COMPUTED_VALUE"""),"2055-06-03T23:39:10.101Z")</f>
        <v>2055-06-03T23:39:10.101Z</v>
      </c>
      <c r="L1177" s="3">
        <f ca="1">IFERROR(__xludf.DUMMYFUNCTION("""COMPUTED_VALUE"""),1)</f>
        <v>1</v>
      </c>
      <c r="M1177" s="3">
        <f ca="1">IFERROR(__xludf.DUMMYFUNCTION("""COMPUTED_VALUE"""),0)</f>
        <v>0</v>
      </c>
      <c r="N1177" s="3" t="str">
        <f ca="1">IFERROR(__xludf.DUMMYFUNCTION("""COMPUTED_VALUE"""),"2055-06-03T22:59:04.040106Z")</f>
        <v>2055-06-03T22:59:04.040106Z</v>
      </c>
      <c r="O1177" s="3" t="str">
        <f ca="1">IFERROR(__xludf.DUMMYFUNCTION("""COMPUTED_VALUE"""),"2055-06-03T23:10:24.269752Z")</f>
        <v>2055-06-03T23:10:24.269752Z</v>
      </c>
      <c r="P1177" s="3" t="str">
        <f ca="1">IFERROR(__xludf.DUMMYFUNCTION("""COMPUTED_VALUE"""),"2055-06-03T22:39:27.457085Z")</f>
        <v>2055-06-03T22:39:27.457085Z</v>
      </c>
      <c r="Q1177" s="3">
        <f ca="1">IFERROR(__xludf.DUMMYFUNCTION("""COMPUTED_VALUE"""),0)</f>
        <v>0</v>
      </c>
      <c r="R1177" s="3" t="str">
        <f ca="1">IFERROR(__xludf.DUMMYFUNCTION("""COMPUTED_VALUE"""),"2055-06-03T22:39:37.449494Z")</f>
        <v>2055-06-03T22:39:37.449494Z</v>
      </c>
      <c r="S1177" s="3" t="str">
        <f ca="1">IFERROR(__xludf.DUMMYFUNCTION("""COMPUTED_VALUE"""),"2055-06-03T22:52:43.28406Z")</f>
        <v>2055-06-03T22:52:43.28406Z</v>
      </c>
      <c r="T1177" s="3"/>
      <c r="U1177" s="4">
        <f ca="1">IFERROR(__xludf.DUMMYFUNCTION("""COMPUTED_VALUE"""),56768)</f>
        <v>56768</v>
      </c>
      <c r="V1177" s="3">
        <f ca="1">IFERROR(__xludf.DUMMYFUNCTION("""COMPUTED_VALUE"""),4.5)</f>
        <v>4.5</v>
      </c>
      <c r="W1177" s="3">
        <f ca="1">IFERROR(__xludf.DUMMYFUNCTION("""COMPUTED_VALUE"""),800)</f>
        <v>800</v>
      </c>
      <c r="X1177" s="3">
        <f ca="1">IFERROR(__xludf.DUMMYFUNCTION("""COMPUTED_VALUE"""),1847)</f>
        <v>1847</v>
      </c>
      <c r="Y1177" s="3">
        <f ca="1">IFERROR(__xludf.DUMMYFUNCTION("""COMPUTED_VALUE"""),786)</f>
        <v>786</v>
      </c>
      <c r="Z1177" s="3">
        <f ca="1">IFERROR(__xludf.DUMMYFUNCTION("""COMPUTED_VALUE"""),381)</f>
        <v>381</v>
      </c>
      <c r="AA1177" s="3">
        <f ca="1">IFERROR(__xludf.DUMMYFUNCTION("""COMPUTED_VALUE"""),680)</f>
        <v>680</v>
      </c>
      <c r="AB1177" s="3">
        <f ca="1">IFERROR(__xludf.DUMMYFUNCTION("""COMPUTED_VALUE"""),0)</f>
        <v>0</v>
      </c>
      <c r="AC1177" s="3">
        <f ca="1">IFERROR(__xludf.DUMMYFUNCTION("""COMPUTED_VALUE"""),2)</f>
        <v>2</v>
      </c>
      <c r="AD1177" s="3" t="str">
        <f ca="1">IFERROR(__xludf.DUMMYFUNCTION("""COMPUTED_VALUE"""),"early")</f>
        <v>early</v>
      </c>
      <c r="AE1177" s="3" t="str">
        <f ca="1">IFERROR(__xludf.DUMMYFUNCTION("""COMPUTED_VALUE"""),"2055-06-03T18:59:04.040106Z")</f>
        <v>2055-06-03T18:59:04.040106Z</v>
      </c>
      <c r="AF1177" s="3" t="str">
        <f ca="1">IFERROR(__xludf.DUMMYFUNCTION("""COMPUTED_VALUE"""),"2055-06-03T19:10:24.269752Z")</f>
        <v>2055-06-03T19:10:24.269752Z</v>
      </c>
      <c r="AG1177" s="3" t="str">
        <f ca="1">IFERROR(__xludf.DUMMYFUNCTION("""COMPUTED_VALUE"""),"2055-06-03T18:39:27.457085Z")</f>
        <v>2055-06-03T18:39:27.457085Z</v>
      </c>
      <c r="AH1177" s="3" t="str">
        <f ca="1">IFERROR(__xludf.DUMMYFUNCTION("""COMPUTED_VALUE"""),"2055-06-03T18:52:43.28406Z")</f>
        <v>2055-06-03T18:52:43.28406Z</v>
      </c>
      <c r="AI1177" s="3">
        <f ca="1">IFERROR(__xludf.DUMMYFUNCTION("""COMPUTED_VALUE"""),4.7)</f>
        <v>4.7</v>
      </c>
      <c r="AJ1177" s="3">
        <f ca="1">IFERROR(__xludf.DUMMYFUNCTION("""COMPUTED_VALUE"""),212)</f>
        <v>212</v>
      </c>
      <c r="AK1177" s="3">
        <f ca="1">IFERROR(__xludf.DUMMYFUNCTION("""COMPUTED_VALUE"""),624)</f>
        <v>624</v>
      </c>
      <c r="AL1177" s="3">
        <f ca="1">IFERROR(__xludf.DUMMYFUNCTION("""COMPUTED_VALUE"""),347)</f>
        <v>347</v>
      </c>
      <c r="AM1177" s="3">
        <f>IFERROR(Raw_Data!AL1177 / Raw_Data!AK1177, "")</f>
        <v>0.55608974358974361</v>
      </c>
      <c r="AN1177" s="3" t="str">
        <f>IF(ISBLANK(Raw_Data!AL1177), "No", "Yes")</f>
        <v>Yes</v>
      </c>
      <c r="AO1177" s="3">
        <f>IFERROR(Raw_Data!Z1177/60, "")</f>
        <v>6.35</v>
      </c>
    </row>
    <row r="1178" spans="1:41" ht="13">
      <c r="A1178" s="3">
        <f ca="1">IFERROR(__xludf.DUMMYFUNCTION("""COMPUTED_VALUE"""),1234)</f>
        <v>1234</v>
      </c>
      <c r="B1178" s="3"/>
      <c r="C1178" s="3">
        <f ca="1">IFERROR(__xludf.DUMMYFUNCTION("""COMPUTED_VALUE"""),4001)</f>
        <v>4001</v>
      </c>
      <c r="D1178" s="3" t="str">
        <f ca="1">IFERROR(__xludf.DUMMYFUNCTION("""COMPUTED_VALUE"""),"Dashattan")</f>
        <v>Dashattan</v>
      </c>
      <c r="E1178" s="3" t="str">
        <f ca="1">IFERROR(__xludf.DUMMYFUNCTION("""COMPUTED_VALUE"""),"Galaxy A")</f>
        <v>Galaxy A</v>
      </c>
      <c r="F1178" s="3" t="str">
        <f ca="1">IFERROR(__xludf.DUMMYFUNCTION("""COMPUTED_VALUE"""),"Rojan")</f>
        <v>Rojan</v>
      </c>
      <c r="G1178" s="3">
        <f ca="1">IFERROR(__xludf.DUMMYFUNCTION("""COMPUTED_VALUE"""),0)</f>
        <v>0</v>
      </c>
      <c r="H1178" s="3" t="str">
        <f ca="1">IFERROR(__xludf.DUMMYFUNCTION("""COMPUTED_VALUE"""),"bicycle")</f>
        <v>bicycle</v>
      </c>
      <c r="I1178" s="3" t="str">
        <f ca="1">IFERROR(__xludf.DUMMYFUNCTION("""COMPUTED_VALUE"""),"2055-06-11T13:35:07.584341Z")</f>
        <v>2055-06-11T13:35:07.584341Z</v>
      </c>
      <c r="J1178" s="3" t="str">
        <f ca="1">IFERROR(__xludf.DUMMYFUNCTION("""COMPUTED_VALUE"""),"2055-06-11T14:22:13.638Z")</f>
        <v>2055-06-11T14:22:13.638Z</v>
      </c>
      <c r="K1178" s="3" t="str">
        <f ca="1">IFERROR(__xludf.DUMMYFUNCTION("""COMPUTED_VALUE"""),"2055-06-11T14:03:20.638Z")</f>
        <v>2055-06-11T14:03:20.638Z</v>
      </c>
      <c r="L1178" s="3">
        <f ca="1">IFERROR(__xludf.DUMMYFUNCTION("""COMPUTED_VALUE"""),1)</f>
        <v>1</v>
      </c>
      <c r="M1178" s="3">
        <f ca="1">IFERROR(__xludf.DUMMYFUNCTION("""COMPUTED_VALUE"""),0)</f>
        <v>0</v>
      </c>
      <c r="N1178" s="3" t="str">
        <f ca="1">IFERROR(__xludf.DUMMYFUNCTION("""COMPUTED_VALUE"""),"2055-06-11T14:30:09.549409Z")</f>
        <v>2055-06-11T14:30:09.549409Z</v>
      </c>
      <c r="O1178" s="3" t="str">
        <f ca="1">IFERROR(__xludf.DUMMYFUNCTION("""COMPUTED_VALUE"""),"2055-06-11T14:30:21.567074Z")</f>
        <v>2055-06-11T14:30:21.567074Z</v>
      </c>
      <c r="P1178" s="3" t="str">
        <f ca="1">IFERROR(__xludf.DUMMYFUNCTION("""COMPUTED_VALUE"""),"2055-06-11T13:38:34.175392Z")</f>
        <v>2055-06-11T13:38:34.175392Z</v>
      </c>
      <c r="Q1178" s="3">
        <f ca="1">IFERROR(__xludf.DUMMYFUNCTION("""COMPUTED_VALUE"""),0)</f>
        <v>0</v>
      </c>
      <c r="R1178" s="3" t="str">
        <f ca="1">IFERROR(__xludf.DUMMYFUNCTION("""COMPUTED_VALUE"""),"2055-06-11T13:38:56.524925Z")</f>
        <v>2055-06-11T13:38:56.524925Z</v>
      </c>
      <c r="S1178" s="3" t="str">
        <f ca="1">IFERROR(__xludf.DUMMYFUNCTION("""COMPUTED_VALUE"""),"2055-06-11T13:49:58.65649Z")</f>
        <v>2055-06-11T13:49:58.65649Z</v>
      </c>
      <c r="T1178" s="3"/>
      <c r="U1178" s="4">
        <f ca="1">IFERROR(__xludf.DUMMYFUNCTION("""COMPUTED_VALUE"""),56776)</f>
        <v>56776</v>
      </c>
      <c r="V1178" s="3">
        <f ca="1">IFERROR(__xludf.DUMMYFUNCTION("""COMPUTED_VALUE"""),5)</f>
        <v>5</v>
      </c>
      <c r="W1178" s="3">
        <f ca="1">IFERROR(__xludf.DUMMYFUNCTION("""COMPUTED_VALUE"""),700)</f>
        <v>700</v>
      </c>
      <c r="X1178" s="3">
        <f ca="1">IFERROR(__xludf.DUMMYFUNCTION("""COMPUTED_VALUE"""),3085)</f>
        <v>3085</v>
      </c>
      <c r="Y1178" s="3">
        <f ca="1">IFERROR(__xludf.DUMMYFUNCTION("""COMPUTED_VALUE"""),662)</f>
        <v>662</v>
      </c>
      <c r="Z1178" s="3">
        <f ca="1">IFERROR(__xludf.DUMMYFUNCTION("""COMPUTED_VALUE"""),2411)</f>
        <v>2411</v>
      </c>
      <c r="AA1178" s="3">
        <f ca="1">IFERROR(__xludf.DUMMYFUNCTION("""COMPUTED_VALUE"""),12)</f>
        <v>12</v>
      </c>
      <c r="AB1178" s="3">
        <f ca="1">IFERROR(__xludf.DUMMYFUNCTION("""COMPUTED_VALUE"""),0)</f>
        <v>0</v>
      </c>
      <c r="AC1178" s="3">
        <f ca="1">IFERROR(__xludf.DUMMYFUNCTION("""COMPUTED_VALUE"""),2)</f>
        <v>2</v>
      </c>
      <c r="AD1178" s="3" t="str">
        <f ca="1">IFERROR(__xludf.DUMMYFUNCTION("""COMPUTED_VALUE"""),"late")</f>
        <v>late</v>
      </c>
      <c r="AE1178" s="3" t="str">
        <f ca="1">IFERROR(__xludf.DUMMYFUNCTION("""COMPUTED_VALUE"""),"2055-06-11T10:30:09.549409Z")</f>
        <v>2055-06-11T10:30:09.549409Z</v>
      </c>
      <c r="AF1178" s="3" t="str">
        <f ca="1">IFERROR(__xludf.DUMMYFUNCTION("""COMPUTED_VALUE"""),"2055-06-11T10:30:21.567074Z")</f>
        <v>2055-06-11T10:30:21.567074Z</v>
      </c>
      <c r="AG1178" s="3" t="str">
        <f ca="1">IFERROR(__xludf.DUMMYFUNCTION("""COMPUTED_VALUE"""),"2055-06-11T09:38:34.175392Z")</f>
        <v>2055-06-11T09:38:34.175392Z</v>
      </c>
      <c r="AH1178" s="3" t="str">
        <f ca="1">IFERROR(__xludf.DUMMYFUNCTION("""COMPUTED_VALUE"""),"2055-06-11T09:49:58.65649Z")</f>
        <v>2055-06-11T09:49:58.65649Z</v>
      </c>
      <c r="AI1178" s="3">
        <f ca="1">IFERROR(__xludf.DUMMYFUNCTION("""COMPUTED_VALUE"""),4.58)</f>
        <v>4.58</v>
      </c>
      <c r="AJ1178" s="3">
        <f ca="1">IFERROR(__xludf.DUMMYFUNCTION("""COMPUTED_VALUE"""),254)</f>
        <v>254</v>
      </c>
      <c r="AK1178" s="3">
        <f ca="1">IFERROR(__xludf.DUMMYFUNCTION("""COMPUTED_VALUE"""),788)</f>
        <v>788</v>
      </c>
      <c r="AL1178" s="3">
        <f ca="1">IFERROR(__xludf.DUMMYFUNCTION("""COMPUTED_VALUE"""),9)</f>
        <v>9</v>
      </c>
      <c r="AM1178" s="3">
        <f>IFERROR(Raw_Data!AL1178 / Raw_Data!AK1178, "")</f>
        <v>1.1421319796954314E-2</v>
      </c>
      <c r="AN1178" s="3" t="str">
        <f>IF(ISBLANK(Raw_Data!AL1178), "No", "Yes")</f>
        <v>Yes</v>
      </c>
      <c r="AO1178" s="3">
        <f>IFERROR(Raw_Data!Z1178/60, "")</f>
        <v>40.18333333333333</v>
      </c>
    </row>
    <row r="1179" spans="1:41" ht="13">
      <c r="A1179" s="3">
        <f ca="1">IFERROR(__xludf.DUMMYFUNCTION("""COMPUTED_VALUE"""),884)</f>
        <v>884</v>
      </c>
      <c r="B1179" s="3"/>
      <c r="C1179" s="3">
        <f ca="1">IFERROR(__xludf.DUMMYFUNCTION("""COMPUTED_VALUE"""),4050)</f>
        <v>4050</v>
      </c>
      <c r="D1179" s="3" t="str">
        <f ca="1">IFERROR(__xludf.DUMMYFUNCTION("""COMPUTED_VALUE"""),"Doorlanta")</f>
        <v>Doorlanta</v>
      </c>
      <c r="E1179" s="3" t="str">
        <f ca="1">IFERROR(__xludf.DUMMYFUNCTION("""COMPUTED_VALUE"""),"Galaxy A")</f>
        <v>Galaxy A</v>
      </c>
      <c r="F1179" s="3" t="str">
        <f ca="1">IFERROR(__xludf.DUMMYFUNCTION("""COMPUTED_VALUE"""),"Abhai")</f>
        <v>Abhai</v>
      </c>
      <c r="G1179" s="3">
        <f ca="1">IFERROR(__xludf.DUMMYFUNCTION("""COMPUTED_VALUE"""),0)</f>
        <v>0</v>
      </c>
      <c r="H1179" s="3" t="str">
        <f ca="1">IFERROR(__xludf.DUMMYFUNCTION("""COMPUTED_VALUE"""),"car")</f>
        <v>car</v>
      </c>
      <c r="I1179" s="3" t="str">
        <f ca="1">IFERROR(__xludf.DUMMYFUNCTION("""COMPUTED_VALUE"""),"2055-06-07T22:38:03.587508Z")</f>
        <v>2055-06-07T22:38:03.587508Z</v>
      </c>
      <c r="J1179" s="3" t="str">
        <f ca="1">IFERROR(__xludf.DUMMYFUNCTION("""COMPUTED_VALUE"""),"2055-06-07T23:42:25.68Z")</f>
        <v>2055-06-07T23:42:25.68Z</v>
      </c>
      <c r="K1179" s="3" t="str">
        <f ca="1">IFERROR(__xludf.DUMMYFUNCTION("""COMPUTED_VALUE"""),"2055-06-07T23:20:31.68Z")</f>
        <v>2055-06-07T23:20:31.68Z</v>
      </c>
      <c r="L1179" s="3">
        <f ca="1">IFERROR(__xludf.DUMMYFUNCTION("""COMPUTED_VALUE"""),1)</f>
        <v>1</v>
      </c>
      <c r="M1179" s="3">
        <f ca="1">IFERROR(__xludf.DUMMYFUNCTION("""COMPUTED_VALUE"""),0)</f>
        <v>0</v>
      </c>
      <c r="N1179" s="3" t="str">
        <f ca="1">IFERROR(__xludf.DUMMYFUNCTION("""COMPUTED_VALUE"""),"2055-06-07T22:59:21.094262Z")</f>
        <v>2055-06-07T22:59:21.094262Z</v>
      </c>
      <c r="O1179" s="3" t="str">
        <f ca="1">IFERROR(__xludf.DUMMYFUNCTION("""COMPUTED_VALUE"""),"2055-06-07T23:10:33.145598Z")</f>
        <v>2055-06-07T23:10:33.145598Z</v>
      </c>
      <c r="P1179" s="3" t="str">
        <f ca="1">IFERROR(__xludf.DUMMYFUNCTION("""COMPUTED_VALUE"""),"2055-06-07T22:44:47.408083Z")</f>
        <v>2055-06-07T22:44:47.408083Z</v>
      </c>
      <c r="Q1179" s="3">
        <f ca="1">IFERROR(__xludf.DUMMYFUNCTION("""COMPUTED_VALUE"""),0)</f>
        <v>0</v>
      </c>
      <c r="R1179" s="3" t="str">
        <f ca="1">IFERROR(__xludf.DUMMYFUNCTION("""COMPUTED_VALUE"""),"2055-06-07T22:44:54.617695Z")</f>
        <v>2055-06-07T22:44:54.617695Z</v>
      </c>
      <c r="S1179" s="3" t="str">
        <f ca="1">IFERROR(__xludf.DUMMYFUNCTION("""COMPUTED_VALUE"""),"2055-06-07T22:56:52.429118Z")</f>
        <v>2055-06-07T22:56:52.429118Z</v>
      </c>
      <c r="T1179" s="3"/>
      <c r="U1179" s="4">
        <f ca="1">IFERROR(__xludf.DUMMYFUNCTION("""COMPUTED_VALUE"""),56772)</f>
        <v>56772</v>
      </c>
      <c r="V1179" s="3">
        <f ca="1">IFERROR(__xludf.DUMMYFUNCTION("""COMPUTED_VALUE"""),4.5)</f>
        <v>4.5</v>
      </c>
      <c r="W1179" s="3">
        <f ca="1">IFERROR(__xludf.DUMMYFUNCTION("""COMPUTED_VALUE"""),700)</f>
        <v>700</v>
      </c>
      <c r="X1179" s="3">
        <f ca="1">IFERROR(__xludf.DUMMYFUNCTION("""COMPUTED_VALUE"""),1539)</f>
        <v>1539</v>
      </c>
      <c r="Y1179" s="3">
        <f ca="1">IFERROR(__xludf.DUMMYFUNCTION("""COMPUTED_VALUE"""),718)</f>
        <v>718</v>
      </c>
      <c r="Z1179" s="3">
        <f ca="1">IFERROR(__xludf.DUMMYFUNCTION("""COMPUTED_VALUE"""),149)</f>
        <v>149</v>
      </c>
      <c r="AA1179" s="3">
        <f ca="1">IFERROR(__xludf.DUMMYFUNCTION("""COMPUTED_VALUE"""),672)</f>
        <v>672</v>
      </c>
      <c r="AB1179" s="3">
        <f ca="1">IFERROR(__xludf.DUMMYFUNCTION("""COMPUTED_VALUE"""),0)</f>
        <v>0</v>
      </c>
      <c r="AC1179" s="3">
        <f ca="1">IFERROR(__xludf.DUMMYFUNCTION("""COMPUTED_VALUE"""),1)</f>
        <v>1</v>
      </c>
      <c r="AD1179" s="3" t="str">
        <f ca="1">IFERROR(__xludf.DUMMYFUNCTION("""COMPUTED_VALUE"""),"late")</f>
        <v>late</v>
      </c>
      <c r="AE1179" s="3" t="str">
        <f ca="1">IFERROR(__xludf.DUMMYFUNCTION("""COMPUTED_VALUE"""),"2055-06-07T18:59:21.094262Z")</f>
        <v>2055-06-07T18:59:21.094262Z</v>
      </c>
      <c r="AF1179" s="3" t="str">
        <f ca="1">IFERROR(__xludf.DUMMYFUNCTION("""COMPUTED_VALUE"""),"2055-06-07T19:10:33.145598Z")</f>
        <v>2055-06-07T19:10:33.145598Z</v>
      </c>
      <c r="AG1179" s="3" t="str">
        <f ca="1">IFERROR(__xludf.DUMMYFUNCTION("""COMPUTED_VALUE"""),"2055-06-07T18:44:47.408083Z")</f>
        <v>2055-06-07T18:44:47.408083Z</v>
      </c>
      <c r="AH1179" s="3" t="str">
        <f ca="1">IFERROR(__xludf.DUMMYFUNCTION("""COMPUTED_VALUE"""),"2055-06-07T18:56:52.429118Z")</f>
        <v>2055-06-07T18:56:52.429118Z</v>
      </c>
      <c r="AI1179" s="3">
        <f ca="1">IFERROR(__xludf.DUMMYFUNCTION("""COMPUTED_VALUE"""),4.56)</f>
        <v>4.5599999999999996</v>
      </c>
      <c r="AJ1179" s="3">
        <f ca="1">IFERROR(__xludf.DUMMYFUNCTION("""COMPUTED_VALUE"""),344)</f>
        <v>344</v>
      </c>
      <c r="AK1179" s="3">
        <f ca="1">IFERROR(__xludf.DUMMYFUNCTION("""COMPUTED_VALUE"""),947)</f>
        <v>947</v>
      </c>
      <c r="AL1179" s="3">
        <f ca="1">IFERROR(__xludf.DUMMYFUNCTION("""COMPUTED_VALUE"""),22)</f>
        <v>22</v>
      </c>
      <c r="AM1179" s="3">
        <f>IFERROR(Raw_Data!AL1179 / Raw_Data!AK1179, "")</f>
        <v>2.3231256599788808E-2</v>
      </c>
      <c r="AN1179" s="3" t="str">
        <f>IF(ISBLANK(Raw_Data!AL1179), "No", "Yes")</f>
        <v>Yes</v>
      </c>
      <c r="AO1179" s="3">
        <f>IFERROR(Raw_Data!Z1179/60, "")</f>
        <v>2.4833333333333334</v>
      </c>
    </row>
    <row r="1180" spans="1:41" ht="13">
      <c r="A1180" s="3">
        <f ca="1">IFERROR(__xludf.DUMMYFUNCTION("""COMPUTED_VALUE"""),1002)</f>
        <v>1002</v>
      </c>
      <c r="B1180" s="3">
        <f ca="1">IFERROR(__xludf.DUMMYFUNCTION("""COMPUTED_VALUE"""),1)</f>
        <v>1</v>
      </c>
      <c r="C1180" s="3">
        <f ca="1">IFERROR(__xludf.DUMMYFUNCTION("""COMPUTED_VALUE"""),4001)</f>
        <v>4001</v>
      </c>
      <c r="D1180" s="3" t="str">
        <f ca="1">IFERROR(__xludf.DUMMYFUNCTION("""COMPUTED_VALUE"""),"Dashattan")</f>
        <v>Dashattan</v>
      </c>
      <c r="E1180" s="3" t="str">
        <f ca="1">IFERROR(__xludf.DUMMYFUNCTION("""COMPUTED_VALUE"""),"Galaxy A")</f>
        <v>Galaxy A</v>
      </c>
      <c r="F1180" s="3" t="str">
        <f ca="1">IFERROR(__xludf.DUMMYFUNCTION("""COMPUTED_VALUE"""),"Arya")</f>
        <v>Arya</v>
      </c>
      <c r="G1180" s="3">
        <f ca="1">IFERROR(__xludf.DUMMYFUNCTION("""COMPUTED_VALUE"""),0)</f>
        <v>0</v>
      </c>
      <c r="H1180" s="3" t="str">
        <f ca="1">IFERROR(__xludf.DUMMYFUNCTION("""COMPUTED_VALUE"""),"bicycle")</f>
        <v>bicycle</v>
      </c>
      <c r="I1180" s="3" t="str">
        <f ca="1">IFERROR(__xludf.DUMMYFUNCTION("""COMPUTED_VALUE"""),"2055-06-09T01:22:10.064693Z")</f>
        <v>2055-06-09T01:22:10.064693Z</v>
      </c>
      <c r="J1180" s="3" t="str">
        <f ca="1">IFERROR(__xludf.DUMMYFUNCTION("""COMPUTED_VALUE"""),"2055-06-09T02:12:11.119Z")</f>
        <v>2055-06-09T02:12:11.119Z</v>
      </c>
      <c r="K1180" s="3" t="str">
        <f ca="1">IFERROR(__xludf.DUMMYFUNCTION("""COMPUTED_VALUE"""),"2055-06-09T01:58:18.119Z")</f>
        <v>2055-06-09T01:58:18.119Z</v>
      </c>
      <c r="L1180" s="3">
        <f ca="1">IFERROR(__xludf.DUMMYFUNCTION("""COMPUTED_VALUE"""),1)</f>
        <v>1</v>
      </c>
      <c r="M1180" s="3">
        <f ca="1">IFERROR(__xludf.DUMMYFUNCTION("""COMPUTED_VALUE"""),0)</f>
        <v>0</v>
      </c>
      <c r="N1180" s="3" t="str">
        <f ca="1">IFERROR(__xludf.DUMMYFUNCTION("""COMPUTED_VALUE"""),"2055-06-09T01:36:42.929042Z")</f>
        <v>2055-06-09T01:36:42.929042Z</v>
      </c>
      <c r="O1180" s="3" t="str">
        <f ca="1">IFERROR(__xludf.DUMMYFUNCTION("""COMPUTED_VALUE"""),"2055-06-09T01:50:04.498515Z")</f>
        <v>2055-06-09T01:50:04.498515Z</v>
      </c>
      <c r="P1180" s="3" t="str">
        <f ca="1">IFERROR(__xludf.DUMMYFUNCTION("""COMPUTED_VALUE"""),"2055-06-09T01:25:14.840275Z")</f>
        <v>2055-06-09T01:25:14.840275Z</v>
      </c>
      <c r="Q1180" s="3">
        <f ca="1">IFERROR(__xludf.DUMMYFUNCTION("""COMPUTED_VALUE"""),0)</f>
        <v>0</v>
      </c>
      <c r="R1180" s="3" t="str">
        <f ca="1">IFERROR(__xludf.DUMMYFUNCTION("""COMPUTED_VALUE"""),"2055-06-09T01:25:28.712228Z")</f>
        <v>2055-06-09T01:25:28.712228Z</v>
      </c>
      <c r="S1180" s="3" t="str">
        <f ca="1">IFERROR(__xludf.DUMMYFUNCTION("""COMPUTED_VALUE"""),"2055-06-09T01:36:16.376195Z")</f>
        <v>2055-06-09T01:36:16.376195Z</v>
      </c>
      <c r="T1180" s="3"/>
      <c r="U1180" s="4">
        <f ca="1">IFERROR(__xludf.DUMMYFUNCTION("""COMPUTED_VALUE"""),56773)</f>
        <v>56773</v>
      </c>
      <c r="V1180" s="3">
        <f ca="1">IFERROR(__xludf.DUMMYFUNCTION("""COMPUTED_VALUE"""),4.5)</f>
        <v>4.5</v>
      </c>
      <c r="W1180" s="3">
        <f ca="1">IFERROR(__xludf.DUMMYFUNCTION("""COMPUTED_VALUE"""),700)</f>
        <v>700</v>
      </c>
      <c r="X1180" s="3">
        <f ca="1">IFERROR(__xludf.DUMMYFUNCTION("""COMPUTED_VALUE"""),1476)</f>
        <v>1476</v>
      </c>
      <c r="Y1180" s="3">
        <f ca="1">IFERROR(__xludf.DUMMYFUNCTION("""COMPUTED_VALUE"""),648)</f>
        <v>648</v>
      </c>
      <c r="Z1180" s="3">
        <f ca="1">IFERROR(__xludf.DUMMYFUNCTION("""COMPUTED_VALUE"""),26)</f>
        <v>26</v>
      </c>
      <c r="AA1180" s="3">
        <f ca="1">IFERROR(__xludf.DUMMYFUNCTION("""COMPUTED_VALUE"""),802)</f>
        <v>802</v>
      </c>
      <c r="AB1180" s="3">
        <f ca="1">IFERROR(__xludf.DUMMYFUNCTION("""COMPUTED_VALUE"""),0)</f>
        <v>0</v>
      </c>
      <c r="AC1180" s="3">
        <f ca="1">IFERROR(__xludf.DUMMYFUNCTION("""COMPUTED_VALUE"""),1)</f>
        <v>1</v>
      </c>
      <c r="AD1180" s="3"/>
      <c r="AE1180" s="3" t="str">
        <f ca="1">IFERROR(__xludf.DUMMYFUNCTION("""COMPUTED_VALUE"""),"2055-06-08T21:36:42.929042Z")</f>
        <v>2055-06-08T21:36:42.929042Z</v>
      </c>
      <c r="AF1180" s="3" t="str">
        <f ca="1">IFERROR(__xludf.DUMMYFUNCTION("""COMPUTED_VALUE"""),"2055-06-08T21:50:04.498515Z")</f>
        <v>2055-06-08T21:50:04.498515Z</v>
      </c>
      <c r="AG1180" s="3" t="str">
        <f ca="1">IFERROR(__xludf.DUMMYFUNCTION("""COMPUTED_VALUE"""),"2055-06-08T21:25:14.840275Z")</f>
        <v>2055-06-08T21:25:14.840275Z</v>
      </c>
      <c r="AH1180" s="3" t="str">
        <f ca="1">IFERROR(__xludf.DUMMYFUNCTION("""COMPUTED_VALUE"""),"2055-06-08T21:36:16.376195Z")</f>
        <v>2055-06-08T21:36:16.376195Z</v>
      </c>
      <c r="AI1180" s="3">
        <f ca="1">IFERROR(__xludf.DUMMYFUNCTION("""COMPUTED_VALUE"""),4.17)</f>
        <v>4.17</v>
      </c>
      <c r="AJ1180" s="3">
        <f ca="1">IFERROR(__xludf.DUMMYFUNCTION("""COMPUTED_VALUE"""),457)</f>
        <v>457</v>
      </c>
      <c r="AK1180" s="3">
        <f ca="1">IFERROR(__xludf.DUMMYFUNCTION("""COMPUTED_VALUE"""),1599)</f>
        <v>1599</v>
      </c>
      <c r="AL1180" s="3"/>
      <c r="AM1180" s="3">
        <f>IFERROR(Raw_Data!AL1180 / Raw_Data!AK1180, "")</f>
        <v>0</v>
      </c>
      <c r="AN1180" s="3" t="str">
        <f>IF(ISBLANK(Raw_Data!AL1180), "No", "Yes")</f>
        <v>No</v>
      </c>
      <c r="AO1180" s="3">
        <f>IFERROR(Raw_Data!Z1180/60, "")</f>
        <v>0.43333333333333335</v>
      </c>
    </row>
    <row r="1181" spans="1:41" ht="13">
      <c r="A1181" s="3">
        <f ca="1">IFERROR(__xludf.DUMMYFUNCTION("""COMPUTED_VALUE"""),1135)</f>
        <v>1135</v>
      </c>
      <c r="B1181" s="3"/>
      <c r="C1181" s="3">
        <f ca="1">IFERROR(__xludf.DUMMYFUNCTION("""COMPUTED_VALUE"""),4001)</f>
        <v>4001</v>
      </c>
      <c r="D1181" s="3" t="str">
        <f ca="1">IFERROR(__xludf.DUMMYFUNCTION("""COMPUTED_VALUE"""),"Dashattan")</f>
        <v>Dashattan</v>
      </c>
      <c r="E1181" s="3" t="str">
        <f ca="1">IFERROR(__xludf.DUMMYFUNCTION("""COMPUTED_VALUE"""),"Galaxy A")</f>
        <v>Galaxy A</v>
      </c>
      <c r="F1181" s="3" t="str">
        <f ca="1">IFERROR(__xludf.DUMMYFUNCTION("""COMPUTED_VALUE"""),"Sean")</f>
        <v>Sean</v>
      </c>
      <c r="G1181" s="3">
        <f ca="1">IFERROR(__xludf.DUMMYFUNCTION("""COMPUTED_VALUE"""),0)</f>
        <v>0</v>
      </c>
      <c r="H1181" s="3" t="str">
        <f ca="1">IFERROR(__xludf.DUMMYFUNCTION("""COMPUTED_VALUE"""),"bicycle")</f>
        <v>bicycle</v>
      </c>
      <c r="I1181" s="3" t="str">
        <f ca="1">IFERROR(__xludf.DUMMYFUNCTION("""COMPUTED_VALUE"""),"2055-06-10T16:22:53.444335Z")</f>
        <v>2055-06-10T16:22:53.444335Z</v>
      </c>
      <c r="J1181" s="3" t="str">
        <f ca="1">IFERROR(__xludf.DUMMYFUNCTION("""COMPUTED_VALUE"""),"2055-06-10T17:17:43.507Z")</f>
        <v>2055-06-10T17:17:43.507Z</v>
      </c>
      <c r="K1181" s="3" t="str">
        <f ca="1">IFERROR(__xludf.DUMMYFUNCTION("""COMPUTED_VALUE"""),"2055-06-10T16:58:50.507Z")</f>
        <v>2055-06-10T16:58:50.507Z</v>
      </c>
      <c r="L1181" s="3">
        <f ca="1">IFERROR(__xludf.DUMMYFUNCTION("""COMPUTED_VALUE"""),1)</f>
        <v>1</v>
      </c>
      <c r="M1181" s="3">
        <f ca="1">IFERROR(__xludf.DUMMYFUNCTION("""COMPUTED_VALUE"""),0)</f>
        <v>0</v>
      </c>
      <c r="N1181" s="3" t="str">
        <f ca="1">IFERROR(__xludf.DUMMYFUNCTION("""COMPUTED_VALUE"""),"2055-06-10T16:31:54.074739Z")</f>
        <v>2055-06-10T16:31:54.074739Z</v>
      </c>
      <c r="O1181" s="3" t="str">
        <f ca="1">IFERROR(__xludf.DUMMYFUNCTION("""COMPUTED_VALUE"""),"2055-06-10T16:39:57.393127Z")</f>
        <v>2055-06-10T16:39:57.393127Z</v>
      </c>
      <c r="P1181" s="3" t="str">
        <f ca="1">IFERROR(__xludf.DUMMYFUNCTION("""COMPUTED_VALUE"""),"2055-06-10T16:23:14.644774Z")</f>
        <v>2055-06-10T16:23:14.644774Z</v>
      </c>
      <c r="Q1181" s="3">
        <f ca="1">IFERROR(__xludf.DUMMYFUNCTION("""COMPUTED_VALUE"""),0)</f>
        <v>0</v>
      </c>
      <c r="R1181" s="3" t="str">
        <f ca="1">IFERROR(__xludf.DUMMYFUNCTION("""COMPUTED_VALUE"""),"2055-06-10T16:23:31.730476Z")</f>
        <v>2055-06-10T16:23:31.730476Z</v>
      </c>
      <c r="S1181" s="3" t="str">
        <f ca="1">IFERROR(__xludf.DUMMYFUNCTION("""COMPUTED_VALUE"""),"2055-06-10T16:26:40.611316Z")</f>
        <v>2055-06-10T16:26:40.611316Z</v>
      </c>
      <c r="T1181" s="3"/>
      <c r="U1181" s="4">
        <f ca="1">IFERROR(__xludf.DUMMYFUNCTION("""COMPUTED_VALUE"""),56775)</f>
        <v>56775</v>
      </c>
      <c r="V1181" s="3">
        <f ca="1">IFERROR(__xludf.DUMMYFUNCTION("""COMPUTED_VALUE"""),4.4)</f>
        <v>4.4000000000000004</v>
      </c>
      <c r="W1181" s="3">
        <f ca="1">IFERROR(__xludf.DUMMYFUNCTION("""COMPUTED_VALUE"""),700)</f>
        <v>700</v>
      </c>
      <c r="X1181" s="3">
        <f ca="1">IFERROR(__xludf.DUMMYFUNCTION("""COMPUTED_VALUE"""),986)</f>
        <v>986</v>
      </c>
      <c r="Y1181" s="3">
        <f ca="1">IFERROR(__xludf.DUMMYFUNCTION("""COMPUTED_VALUE"""),189)</f>
        <v>189</v>
      </c>
      <c r="Z1181" s="3">
        <f ca="1">IFERROR(__xludf.DUMMYFUNCTION("""COMPUTED_VALUE"""),314)</f>
        <v>314</v>
      </c>
      <c r="AA1181" s="3">
        <f ca="1">IFERROR(__xludf.DUMMYFUNCTION("""COMPUTED_VALUE"""),483)</f>
        <v>483</v>
      </c>
      <c r="AB1181" s="3">
        <f ca="1">IFERROR(__xludf.DUMMYFUNCTION("""COMPUTED_VALUE"""),0)</f>
        <v>0</v>
      </c>
      <c r="AC1181" s="3">
        <f ca="1">IFERROR(__xludf.DUMMYFUNCTION("""COMPUTED_VALUE"""),7)</f>
        <v>7</v>
      </c>
      <c r="AD1181" s="3" t="str">
        <f ca="1">IFERROR(__xludf.DUMMYFUNCTION("""COMPUTED_VALUE"""),"on time")</f>
        <v>on time</v>
      </c>
      <c r="AE1181" s="3" t="str">
        <f ca="1">IFERROR(__xludf.DUMMYFUNCTION("""COMPUTED_VALUE"""),"2055-06-10T12:31:54.074739Z")</f>
        <v>2055-06-10T12:31:54.074739Z</v>
      </c>
      <c r="AF1181" s="3" t="str">
        <f ca="1">IFERROR(__xludf.DUMMYFUNCTION("""COMPUTED_VALUE"""),"2055-06-10T12:39:57.393127Z")</f>
        <v>2055-06-10T12:39:57.393127Z</v>
      </c>
      <c r="AG1181" s="3" t="str">
        <f ca="1">IFERROR(__xludf.DUMMYFUNCTION("""COMPUTED_VALUE"""),"2055-06-10T12:23:14.644774Z")</f>
        <v>2055-06-10T12:23:14.644774Z</v>
      </c>
      <c r="AH1181" s="3" t="str">
        <f ca="1">IFERROR(__xludf.DUMMYFUNCTION("""COMPUTED_VALUE"""),"2055-06-10T12:26:40.611316Z")</f>
        <v>2055-06-10T12:26:40.611316Z</v>
      </c>
      <c r="AI1181" s="3">
        <f ca="1">IFERROR(__xludf.DUMMYFUNCTION("""COMPUTED_VALUE"""),4.52)</f>
        <v>4.5199999999999996</v>
      </c>
      <c r="AJ1181" s="3">
        <f ca="1">IFERROR(__xludf.DUMMYFUNCTION("""COMPUTED_VALUE"""),183)</f>
        <v>183</v>
      </c>
      <c r="AK1181" s="3">
        <f ca="1">IFERROR(__xludf.DUMMYFUNCTION("""COMPUTED_VALUE"""),522)</f>
        <v>522</v>
      </c>
      <c r="AL1181" s="3"/>
      <c r="AM1181" s="3">
        <f>IFERROR(Raw_Data!AL1181 / Raw_Data!AK1181, "")</f>
        <v>0</v>
      </c>
      <c r="AN1181" s="3" t="str">
        <f>IF(ISBLANK(Raw_Data!AL1181), "No", "Yes")</f>
        <v>No</v>
      </c>
      <c r="AO1181" s="3">
        <f>IFERROR(Raw_Data!Z1181/60, "")</f>
        <v>5.2333333333333334</v>
      </c>
    </row>
    <row r="1182" spans="1:41" ht="13">
      <c r="A1182" s="3">
        <f ca="1">IFERROR(__xludf.DUMMYFUNCTION("""COMPUTED_VALUE"""),59)</f>
        <v>59</v>
      </c>
      <c r="B1182" s="3">
        <f ca="1">IFERROR(__xludf.DUMMYFUNCTION("""COMPUTED_VALUE"""),5)</f>
        <v>5</v>
      </c>
      <c r="C1182" s="3">
        <f ca="1">IFERROR(__xludf.DUMMYFUNCTION("""COMPUTED_VALUE"""),4001)</f>
        <v>4001</v>
      </c>
      <c r="D1182" s="3" t="str">
        <f ca="1">IFERROR(__xludf.DUMMYFUNCTION("""COMPUTED_VALUE"""),"Dashattan")</f>
        <v>Dashattan</v>
      </c>
      <c r="E1182" s="3" t="str">
        <f ca="1">IFERROR(__xludf.DUMMYFUNCTION("""COMPUTED_VALUE"""),"Galaxy A")</f>
        <v>Galaxy A</v>
      </c>
      <c r="F1182" s="3" t="str">
        <f ca="1">IFERROR(__xludf.DUMMYFUNCTION("""COMPUTED_VALUE"""),"KC")</f>
        <v>KC</v>
      </c>
      <c r="G1182" s="3">
        <f ca="1">IFERROR(__xludf.DUMMYFUNCTION("""COMPUTED_VALUE"""),0)</f>
        <v>0</v>
      </c>
      <c r="H1182" s="3" t="str">
        <f ca="1">IFERROR(__xludf.DUMMYFUNCTION("""COMPUTED_VALUE"""),"car")</f>
        <v>car</v>
      </c>
      <c r="I1182" s="3" t="str">
        <f ca="1">IFERROR(__xludf.DUMMYFUNCTION("""COMPUTED_VALUE"""),"2055-06-01T22:07:57.188318Z")</f>
        <v>2055-06-01T22:07:57.188318Z</v>
      </c>
      <c r="J1182" s="3" t="str">
        <f ca="1">IFERROR(__xludf.DUMMYFUNCTION("""COMPUTED_VALUE"""),"2055-06-01T22:58:47.278Z")</f>
        <v>2055-06-01T22:58:47.278Z</v>
      </c>
      <c r="K1182" s="3" t="str">
        <f ca="1">IFERROR(__xludf.DUMMYFUNCTION("""COMPUTED_VALUE"""),"2055-06-01T22:38:40.278Z")</f>
        <v>2055-06-01T22:38:40.278Z</v>
      </c>
      <c r="L1182" s="3">
        <f ca="1">IFERROR(__xludf.DUMMYFUNCTION("""COMPUTED_VALUE"""),1)</f>
        <v>1</v>
      </c>
      <c r="M1182" s="3">
        <f ca="1">IFERROR(__xludf.DUMMYFUNCTION("""COMPUTED_VALUE"""),0)</f>
        <v>0</v>
      </c>
      <c r="N1182" s="3" t="str">
        <f ca="1">IFERROR(__xludf.DUMMYFUNCTION("""COMPUTED_VALUE"""),"2055-06-01T22:21:10.663641Z")</f>
        <v>2055-06-01T22:21:10.663641Z</v>
      </c>
      <c r="O1182" s="3" t="str">
        <f ca="1">IFERROR(__xludf.DUMMYFUNCTION("""COMPUTED_VALUE"""),"2055-06-01T22:30:44.472945Z")</f>
        <v>2055-06-01T22:30:44.472945Z</v>
      </c>
      <c r="P1182" s="3" t="str">
        <f ca="1">IFERROR(__xludf.DUMMYFUNCTION("""COMPUTED_VALUE"""),"2055-06-01T22:11:14.14067Z")</f>
        <v>2055-06-01T22:11:14.14067Z</v>
      </c>
      <c r="Q1182" s="3">
        <f ca="1">IFERROR(__xludf.DUMMYFUNCTION("""COMPUTED_VALUE"""),0)</f>
        <v>0</v>
      </c>
      <c r="R1182" s="3" t="str">
        <f ca="1">IFERROR(__xludf.DUMMYFUNCTION("""COMPUTED_VALUE"""),"2055-06-01T22:11:20.153825Z")</f>
        <v>2055-06-01T22:11:20.153825Z</v>
      </c>
      <c r="S1182" s="3" t="str">
        <f ca="1">IFERROR(__xludf.DUMMYFUNCTION("""COMPUTED_VALUE"""),"2055-06-01T22:15:04.571582Z")</f>
        <v>2055-06-01T22:15:04.571582Z</v>
      </c>
      <c r="T1182" s="3"/>
      <c r="U1182" s="4">
        <f ca="1">IFERROR(__xludf.DUMMYFUNCTION("""COMPUTED_VALUE"""),56766)</f>
        <v>56766</v>
      </c>
      <c r="V1182" s="3">
        <f ca="1">IFERROR(__xludf.DUMMYFUNCTION("""COMPUTED_VALUE"""),4)</f>
        <v>4</v>
      </c>
      <c r="W1182" s="3">
        <f ca="1">IFERROR(__xludf.DUMMYFUNCTION("""COMPUTED_VALUE"""),700)</f>
        <v>700</v>
      </c>
      <c r="X1182" s="3">
        <f ca="1">IFERROR(__xludf.DUMMYFUNCTION("""COMPUTED_VALUE"""),1164)</f>
        <v>1164</v>
      </c>
      <c r="Y1182" s="3">
        <f ca="1">IFERROR(__xludf.DUMMYFUNCTION("""COMPUTED_VALUE"""),224)</f>
        <v>224</v>
      </c>
      <c r="Z1182" s="3">
        <f ca="1">IFERROR(__xludf.DUMMYFUNCTION("""COMPUTED_VALUE"""),366)</f>
        <v>366</v>
      </c>
      <c r="AA1182" s="3">
        <f ca="1">IFERROR(__xludf.DUMMYFUNCTION("""COMPUTED_VALUE"""),574)</f>
        <v>574</v>
      </c>
      <c r="AB1182" s="3">
        <f ca="1">IFERROR(__xludf.DUMMYFUNCTION("""COMPUTED_VALUE"""),1)</f>
        <v>1</v>
      </c>
      <c r="AC1182" s="3">
        <f ca="1">IFERROR(__xludf.DUMMYFUNCTION("""COMPUTED_VALUE"""),1)</f>
        <v>1</v>
      </c>
      <c r="AD1182" s="3"/>
      <c r="AE1182" s="3" t="str">
        <f ca="1">IFERROR(__xludf.DUMMYFUNCTION("""COMPUTED_VALUE"""),"2055-06-01T18:21:10.663641Z")</f>
        <v>2055-06-01T18:21:10.663641Z</v>
      </c>
      <c r="AF1182" s="3" t="str">
        <f ca="1">IFERROR(__xludf.DUMMYFUNCTION("""COMPUTED_VALUE"""),"2055-06-01T18:30:44.472945Z")</f>
        <v>2055-06-01T18:30:44.472945Z</v>
      </c>
      <c r="AG1182" s="3" t="str">
        <f ca="1">IFERROR(__xludf.DUMMYFUNCTION("""COMPUTED_VALUE"""),"2055-06-01T18:11:14.14067Z")</f>
        <v>2055-06-01T18:11:14.14067Z</v>
      </c>
      <c r="AH1182" s="3" t="str">
        <f ca="1">IFERROR(__xludf.DUMMYFUNCTION("""COMPUTED_VALUE"""),"2055-06-01T18:15:04.571582Z")</f>
        <v>2055-06-01T18:15:04.571582Z</v>
      </c>
      <c r="AI1182" s="3">
        <f ca="1">IFERROR(__xludf.DUMMYFUNCTION("""COMPUTED_VALUE"""),4.54)</f>
        <v>4.54</v>
      </c>
      <c r="AJ1182" s="3">
        <f ca="1">IFERROR(__xludf.DUMMYFUNCTION("""COMPUTED_VALUE"""),2229)</f>
        <v>2229</v>
      </c>
      <c r="AK1182" s="3">
        <f ca="1">IFERROR(__xludf.DUMMYFUNCTION("""COMPUTED_VALUE"""),6580)</f>
        <v>6580</v>
      </c>
      <c r="AL1182" s="3"/>
      <c r="AM1182" s="3">
        <f>IFERROR(Raw_Data!AL1182 / Raw_Data!AK1182, "")</f>
        <v>0</v>
      </c>
      <c r="AN1182" s="3" t="str">
        <f>IF(ISBLANK(Raw_Data!AL1182), "No", "Yes")</f>
        <v>No</v>
      </c>
      <c r="AO1182" s="3">
        <f>IFERROR(Raw_Data!Z1182/60, "")</f>
        <v>6.1</v>
      </c>
    </row>
    <row r="1183" spans="1:41" ht="13">
      <c r="A1183" s="3">
        <f ca="1">IFERROR(__xludf.DUMMYFUNCTION("""COMPUTED_VALUE"""),792)</f>
        <v>792</v>
      </c>
      <c r="B1183" s="3">
        <f ca="1">IFERROR(__xludf.DUMMYFUNCTION("""COMPUTED_VALUE"""),5)</f>
        <v>5</v>
      </c>
      <c r="C1183" s="3">
        <f ca="1">IFERROR(__xludf.DUMMYFUNCTION("""COMPUTED_VALUE"""),4001)</f>
        <v>4001</v>
      </c>
      <c r="D1183" s="3" t="str">
        <f ca="1">IFERROR(__xludf.DUMMYFUNCTION("""COMPUTED_VALUE"""),"Dashattan")</f>
        <v>Dashattan</v>
      </c>
      <c r="E1183" s="3" t="str">
        <f ca="1">IFERROR(__xludf.DUMMYFUNCTION("""COMPUTED_VALUE"""),"Galaxy A")</f>
        <v>Galaxy A</v>
      </c>
      <c r="F1183" s="3" t="str">
        <f ca="1">IFERROR(__xludf.DUMMYFUNCTION("""COMPUTED_VALUE"""),"Sean")</f>
        <v>Sean</v>
      </c>
      <c r="G1183" s="3">
        <f ca="1">IFERROR(__xludf.DUMMYFUNCTION("""COMPUTED_VALUE"""),0)</f>
        <v>0</v>
      </c>
      <c r="H1183" s="3" t="str">
        <f ca="1">IFERROR(__xludf.DUMMYFUNCTION("""COMPUTED_VALUE"""),"bicycle")</f>
        <v>bicycle</v>
      </c>
      <c r="I1183" s="3" t="str">
        <f ca="1">IFERROR(__xludf.DUMMYFUNCTION("""COMPUTED_VALUE"""),"2055-06-06T23:26:52.68651Z")</f>
        <v>2055-06-06T23:26:52.68651Z</v>
      </c>
      <c r="J1183" s="3" t="str">
        <f ca="1">IFERROR(__xludf.DUMMYFUNCTION("""COMPUTED_VALUE"""),"2055-06-07T00:17:41.76Z")</f>
        <v>2055-06-07T00:17:41.76Z</v>
      </c>
      <c r="K1183" s="3" t="str">
        <f ca="1">IFERROR(__xludf.DUMMYFUNCTION("""COMPUTED_VALUE"""),"2055-06-06T23:58:48.76Z")</f>
        <v>2055-06-06T23:58:48.76Z</v>
      </c>
      <c r="L1183" s="3">
        <f ca="1">IFERROR(__xludf.DUMMYFUNCTION("""COMPUTED_VALUE"""),1)</f>
        <v>1</v>
      </c>
      <c r="M1183" s="3">
        <f ca="1">IFERROR(__xludf.DUMMYFUNCTION("""COMPUTED_VALUE"""),0)</f>
        <v>0</v>
      </c>
      <c r="N1183" s="3" t="str">
        <f ca="1">IFERROR(__xludf.DUMMYFUNCTION("""COMPUTED_VALUE"""),"2055-06-06T23:47:17.969466Z")</f>
        <v>2055-06-06T23:47:17.969466Z</v>
      </c>
      <c r="O1183" s="3" t="str">
        <f ca="1">IFERROR(__xludf.DUMMYFUNCTION("""COMPUTED_VALUE"""),"2055-06-07T00:00:22.685174Z")</f>
        <v>2055-06-07T00:00:22.685174Z</v>
      </c>
      <c r="P1183" s="3" t="str">
        <f ca="1">IFERROR(__xludf.DUMMYFUNCTION("""COMPUTED_VALUE"""),"2055-06-06T23:29:35.029634Z")</f>
        <v>2055-06-06T23:29:35.029634Z</v>
      </c>
      <c r="Q1183" s="3">
        <f ca="1">IFERROR(__xludf.DUMMYFUNCTION("""COMPUTED_VALUE"""),0)</f>
        <v>0</v>
      </c>
      <c r="R1183" s="3" t="str">
        <f ca="1">IFERROR(__xludf.DUMMYFUNCTION("""COMPUTED_VALUE"""),"2055-06-06T23:29:56.920495Z")</f>
        <v>2055-06-06T23:29:56.920495Z</v>
      </c>
      <c r="S1183" s="3" t="str">
        <f ca="1">IFERROR(__xludf.DUMMYFUNCTION("""COMPUTED_VALUE"""),"2055-06-06T23:37:49.602156Z")</f>
        <v>2055-06-06T23:37:49.602156Z</v>
      </c>
      <c r="T1183" s="3"/>
      <c r="U1183" s="4">
        <f ca="1">IFERROR(__xludf.DUMMYFUNCTION("""COMPUTED_VALUE"""),56771)</f>
        <v>56771</v>
      </c>
      <c r="V1183" s="3">
        <f ca="1">IFERROR(__xludf.DUMMYFUNCTION("""COMPUTED_VALUE"""),4.3)</f>
        <v>4.3</v>
      </c>
      <c r="W1183" s="3">
        <f ca="1">IFERROR(__xludf.DUMMYFUNCTION("""COMPUTED_VALUE"""),700)</f>
        <v>700</v>
      </c>
      <c r="X1183" s="3">
        <f ca="1">IFERROR(__xludf.DUMMYFUNCTION("""COMPUTED_VALUE"""),1826)</f>
        <v>1826</v>
      </c>
      <c r="Y1183" s="3">
        <f ca="1">IFERROR(__xludf.DUMMYFUNCTION("""COMPUTED_VALUE"""),473)</f>
        <v>473</v>
      </c>
      <c r="Z1183" s="3">
        <f ca="1">IFERROR(__xludf.DUMMYFUNCTION("""COMPUTED_VALUE"""),568)</f>
        <v>568</v>
      </c>
      <c r="AA1183" s="3">
        <f ca="1">IFERROR(__xludf.DUMMYFUNCTION("""COMPUTED_VALUE"""),785)</f>
        <v>785</v>
      </c>
      <c r="AB1183" s="3">
        <f ca="1">IFERROR(__xludf.DUMMYFUNCTION("""COMPUTED_VALUE"""),0)</f>
        <v>0</v>
      </c>
      <c r="AC1183" s="3">
        <f ca="1">IFERROR(__xludf.DUMMYFUNCTION("""COMPUTED_VALUE"""),2)</f>
        <v>2</v>
      </c>
      <c r="AD1183" s="3" t="str">
        <f ca="1">IFERROR(__xludf.DUMMYFUNCTION("""COMPUTED_VALUE"""),"late")</f>
        <v>late</v>
      </c>
      <c r="AE1183" s="3" t="str">
        <f ca="1">IFERROR(__xludf.DUMMYFUNCTION("""COMPUTED_VALUE"""),"2055-06-06T19:47:17.969466Z")</f>
        <v>2055-06-06T19:47:17.969466Z</v>
      </c>
      <c r="AF1183" s="3" t="str">
        <f ca="1">IFERROR(__xludf.DUMMYFUNCTION("""COMPUTED_VALUE"""),"2055-06-06T20:00:22.685174Z")</f>
        <v>2055-06-06T20:00:22.685174Z</v>
      </c>
      <c r="AG1183" s="3" t="str">
        <f ca="1">IFERROR(__xludf.DUMMYFUNCTION("""COMPUTED_VALUE"""),"2055-06-06T19:29:35.029634Z")</f>
        <v>2055-06-06T19:29:35.029634Z</v>
      </c>
      <c r="AH1183" s="3" t="str">
        <f ca="1">IFERROR(__xludf.DUMMYFUNCTION("""COMPUTED_VALUE"""),"2055-06-06T19:37:49.602156Z")</f>
        <v>2055-06-06T19:37:49.602156Z</v>
      </c>
      <c r="AI1183" s="3">
        <f ca="1">IFERROR(__xludf.DUMMYFUNCTION("""COMPUTED_VALUE"""),4.52)</f>
        <v>4.5199999999999996</v>
      </c>
      <c r="AJ1183" s="3">
        <f ca="1">IFERROR(__xludf.DUMMYFUNCTION("""COMPUTED_VALUE"""),183)</f>
        <v>183</v>
      </c>
      <c r="AK1183" s="3">
        <f ca="1">IFERROR(__xludf.DUMMYFUNCTION("""COMPUTED_VALUE"""),522)</f>
        <v>522</v>
      </c>
      <c r="AL1183" s="3"/>
      <c r="AM1183" s="3">
        <f>IFERROR(Raw_Data!AL1183 / Raw_Data!AK1183, "")</f>
        <v>0</v>
      </c>
      <c r="AN1183" s="3" t="str">
        <f>IF(ISBLANK(Raw_Data!AL1183), "No", "Yes")</f>
        <v>No</v>
      </c>
      <c r="AO1183" s="3">
        <f>IFERROR(Raw_Data!Z1183/60, "")</f>
        <v>9.4666666666666668</v>
      </c>
    </row>
    <row r="1184" spans="1:41" ht="13">
      <c r="A1184" s="3">
        <f ca="1">IFERROR(__xludf.DUMMYFUNCTION("""COMPUTED_VALUE"""),100)</f>
        <v>100</v>
      </c>
      <c r="B1184" s="3"/>
      <c r="C1184" s="3">
        <f ca="1">IFERROR(__xludf.DUMMYFUNCTION("""COMPUTED_VALUE"""),4050)</f>
        <v>4050</v>
      </c>
      <c r="D1184" s="3" t="str">
        <f ca="1">IFERROR(__xludf.DUMMYFUNCTION("""COMPUTED_VALUE"""),"Doorlanta")</f>
        <v>Doorlanta</v>
      </c>
      <c r="E1184" s="3" t="str">
        <f ca="1">IFERROR(__xludf.DUMMYFUNCTION("""COMPUTED_VALUE"""),"Galaxy A")</f>
        <v>Galaxy A</v>
      </c>
      <c r="F1184" s="3" t="str">
        <f ca="1">IFERROR(__xludf.DUMMYFUNCTION("""COMPUTED_VALUE"""),"Hersh")</f>
        <v>Hersh</v>
      </c>
      <c r="G1184" s="3">
        <f ca="1">IFERROR(__xludf.DUMMYFUNCTION("""COMPUTED_VALUE"""),0)</f>
        <v>0</v>
      </c>
      <c r="H1184" s="3" t="str">
        <f ca="1">IFERROR(__xludf.DUMMYFUNCTION("""COMPUTED_VALUE"""),"car")</f>
        <v>car</v>
      </c>
      <c r="I1184" s="3" t="str">
        <f ca="1">IFERROR(__xludf.DUMMYFUNCTION("""COMPUTED_VALUE"""),"2055-06-02T00:46:59.605636Z")</f>
        <v>2055-06-02T00:46:59.605636Z</v>
      </c>
      <c r="J1184" s="3" t="str">
        <f ca="1">IFERROR(__xludf.DUMMYFUNCTION("""COMPUTED_VALUE"""),"2055-06-02T01:41:59.694Z")</f>
        <v>2055-06-02T01:41:59.694Z</v>
      </c>
      <c r="K1184" s="3" t="str">
        <f ca="1">IFERROR(__xludf.DUMMYFUNCTION("""COMPUTED_VALUE"""),"2055-06-02T01:15:49.694Z")</f>
        <v>2055-06-02T01:15:49.694Z</v>
      </c>
      <c r="L1184" s="3">
        <f ca="1">IFERROR(__xludf.DUMMYFUNCTION("""COMPUTED_VALUE"""),1)</f>
        <v>1</v>
      </c>
      <c r="M1184" s="3">
        <f ca="1">IFERROR(__xludf.DUMMYFUNCTION("""COMPUTED_VALUE"""),0)</f>
        <v>0</v>
      </c>
      <c r="N1184" s="3" t="str">
        <f ca="1">IFERROR(__xludf.DUMMYFUNCTION("""COMPUTED_VALUE"""),"2055-06-02T00:56:12.842474Z")</f>
        <v>2055-06-02T00:56:12.842474Z</v>
      </c>
      <c r="O1184" s="3" t="str">
        <f ca="1">IFERROR(__xludf.DUMMYFUNCTION("""COMPUTED_VALUE"""),"2055-06-02T01:21:42.01266Z")</f>
        <v>2055-06-02T01:21:42.01266Z</v>
      </c>
      <c r="P1184" s="3" t="str">
        <f ca="1">IFERROR(__xludf.DUMMYFUNCTION("""COMPUTED_VALUE"""),"2055-06-02T00:47:07.782605Z")</f>
        <v>2055-06-02T00:47:07.782605Z</v>
      </c>
      <c r="Q1184" s="3">
        <f ca="1">IFERROR(__xludf.DUMMYFUNCTION("""COMPUTED_VALUE"""),0)</f>
        <v>0</v>
      </c>
      <c r="R1184" s="3" t="str">
        <f ca="1">IFERROR(__xludf.DUMMYFUNCTION("""COMPUTED_VALUE"""),"2055-06-02T00:47:14.373875Z")</f>
        <v>2055-06-02T00:47:14.373875Z</v>
      </c>
      <c r="S1184" s="3" t="str">
        <f ca="1">IFERROR(__xludf.DUMMYFUNCTION("""COMPUTED_VALUE"""),"2055-06-02T00:51:49.510301Z")</f>
        <v>2055-06-02T00:51:49.510301Z</v>
      </c>
      <c r="T1184" s="3"/>
      <c r="U1184" s="4">
        <f ca="1">IFERROR(__xludf.DUMMYFUNCTION("""COMPUTED_VALUE"""),56766)</f>
        <v>56766</v>
      </c>
      <c r="V1184" s="3">
        <f ca="1">IFERROR(__xludf.DUMMYFUNCTION("""COMPUTED_VALUE"""),4.6)</f>
        <v>4.5999999999999996</v>
      </c>
      <c r="W1184" s="3">
        <f ca="1">IFERROR(__xludf.DUMMYFUNCTION("""COMPUTED_VALUE"""),700)</f>
        <v>700</v>
      </c>
      <c r="X1184" s="3">
        <f ca="1">IFERROR(__xludf.DUMMYFUNCTION("""COMPUTED_VALUE"""),2068)</f>
        <v>2068</v>
      </c>
      <c r="Y1184" s="3">
        <f ca="1">IFERROR(__xludf.DUMMYFUNCTION("""COMPUTED_VALUE"""),275)</f>
        <v>275</v>
      </c>
      <c r="Z1184" s="3">
        <f ca="1">IFERROR(__xludf.DUMMYFUNCTION("""COMPUTED_VALUE"""),263)</f>
        <v>263</v>
      </c>
      <c r="AA1184" s="3">
        <f ca="1">IFERROR(__xludf.DUMMYFUNCTION("""COMPUTED_VALUE"""),1530)</f>
        <v>1530</v>
      </c>
      <c r="AB1184" s="3">
        <f ca="1">IFERROR(__xludf.DUMMYFUNCTION("""COMPUTED_VALUE"""),0)</f>
        <v>0</v>
      </c>
      <c r="AC1184" s="3">
        <f ca="1">IFERROR(__xludf.DUMMYFUNCTION("""COMPUTED_VALUE"""),2)</f>
        <v>2</v>
      </c>
      <c r="AD1184" s="3" t="str">
        <f ca="1">IFERROR(__xludf.DUMMYFUNCTION("""COMPUTED_VALUE"""),"early")</f>
        <v>early</v>
      </c>
      <c r="AE1184" s="3" t="str">
        <f ca="1">IFERROR(__xludf.DUMMYFUNCTION("""COMPUTED_VALUE"""),"2055-06-01T20:56:12.842474Z")</f>
        <v>2055-06-01T20:56:12.842474Z</v>
      </c>
      <c r="AF1184" s="3" t="str">
        <f ca="1">IFERROR(__xludf.DUMMYFUNCTION("""COMPUTED_VALUE"""),"2055-06-01T21:21:42.01266Z")</f>
        <v>2055-06-01T21:21:42.01266Z</v>
      </c>
      <c r="AG1184" s="3" t="str">
        <f ca="1">IFERROR(__xludf.DUMMYFUNCTION("""COMPUTED_VALUE"""),"2055-06-01T20:47:07.782605Z")</f>
        <v>2055-06-01T20:47:07.782605Z</v>
      </c>
      <c r="AH1184" s="3" t="str">
        <f ca="1">IFERROR(__xludf.DUMMYFUNCTION("""COMPUTED_VALUE"""),"2055-06-01T20:51:49.510301Z")</f>
        <v>2055-06-01T20:51:49.510301Z</v>
      </c>
      <c r="AI1184" s="3">
        <f ca="1">IFERROR(__xludf.DUMMYFUNCTION("""COMPUTED_VALUE"""),4.7)</f>
        <v>4.7</v>
      </c>
      <c r="AJ1184" s="3">
        <f ca="1">IFERROR(__xludf.DUMMYFUNCTION("""COMPUTED_VALUE"""),212)</f>
        <v>212</v>
      </c>
      <c r="AK1184" s="3">
        <f ca="1">IFERROR(__xludf.DUMMYFUNCTION("""COMPUTED_VALUE"""),624)</f>
        <v>624</v>
      </c>
      <c r="AL1184" s="3">
        <f ca="1">IFERROR(__xludf.DUMMYFUNCTION("""COMPUTED_VALUE"""),347)</f>
        <v>347</v>
      </c>
      <c r="AM1184" s="3">
        <f>IFERROR(Raw_Data!AL1184 / Raw_Data!AK1184, "")</f>
        <v>0.55608974358974361</v>
      </c>
      <c r="AN1184" s="3" t="str">
        <f>IF(ISBLANK(Raw_Data!AL1184), "No", "Yes")</f>
        <v>Yes</v>
      </c>
      <c r="AO1184" s="3">
        <f>IFERROR(Raw_Data!Z1184/60, "")</f>
        <v>4.3833333333333337</v>
      </c>
    </row>
    <row r="1185" spans="1:41" ht="13">
      <c r="A1185" s="3">
        <f ca="1">IFERROR(__xludf.DUMMYFUNCTION("""COMPUTED_VALUE"""),737)</f>
        <v>737</v>
      </c>
      <c r="B1185" s="3">
        <f ca="1">IFERROR(__xludf.DUMMYFUNCTION("""COMPUTED_VALUE"""),5)</f>
        <v>5</v>
      </c>
      <c r="C1185" s="3">
        <f ca="1">IFERROR(__xludf.DUMMYFUNCTION("""COMPUTED_VALUE"""),4050)</f>
        <v>4050</v>
      </c>
      <c r="D1185" s="3" t="str">
        <f ca="1">IFERROR(__xludf.DUMMYFUNCTION("""COMPUTED_VALUE"""),"Doorlanta")</f>
        <v>Doorlanta</v>
      </c>
      <c r="E1185" s="3" t="str">
        <f ca="1">IFERROR(__xludf.DUMMYFUNCTION("""COMPUTED_VALUE"""),"Galaxy A")</f>
        <v>Galaxy A</v>
      </c>
      <c r="F1185" s="3" t="str">
        <f ca="1">IFERROR(__xludf.DUMMYFUNCTION("""COMPUTED_VALUE"""),"Katelynn")</f>
        <v>Katelynn</v>
      </c>
      <c r="G1185" s="3">
        <f ca="1">IFERROR(__xludf.DUMMYFUNCTION("""COMPUTED_VALUE"""),0)</f>
        <v>0</v>
      </c>
      <c r="H1185" s="3" t="str">
        <f ca="1">IFERROR(__xludf.DUMMYFUNCTION("""COMPUTED_VALUE"""),"car")</f>
        <v>car</v>
      </c>
      <c r="I1185" s="3" t="str">
        <f ca="1">IFERROR(__xludf.DUMMYFUNCTION("""COMPUTED_VALUE"""),"2055-06-06T16:11:05.062641Z")</f>
        <v>2055-06-06T16:11:05.062641Z</v>
      </c>
      <c r="J1185" s="3" t="str">
        <f ca="1">IFERROR(__xludf.DUMMYFUNCTION("""COMPUTED_VALUE"""),"2055-06-06T17:01:05.138Z")</f>
        <v>2055-06-06T17:01:05.138Z</v>
      </c>
      <c r="K1185" s="3" t="str">
        <f ca="1">IFERROR(__xludf.DUMMYFUNCTION("""COMPUTED_VALUE"""),"2055-06-06T16:42:39.138Z")</f>
        <v>2055-06-06T16:42:39.138Z</v>
      </c>
      <c r="L1185" s="3">
        <f ca="1">IFERROR(__xludf.DUMMYFUNCTION("""COMPUTED_VALUE"""),1)</f>
        <v>1</v>
      </c>
      <c r="M1185" s="3">
        <f ca="1">IFERROR(__xludf.DUMMYFUNCTION("""COMPUTED_VALUE"""),0)</f>
        <v>0</v>
      </c>
      <c r="N1185" s="3" t="str">
        <f ca="1">IFERROR(__xludf.DUMMYFUNCTION("""COMPUTED_VALUE"""),"2055-06-06T16:38:19.079663Z")</f>
        <v>2055-06-06T16:38:19.079663Z</v>
      </c>
      <c r="O1185" s="3" t="str">
        <f ca="1">IFERROR(__xludf.DUMMYFUNCTION("""COMPUTED_VALUE"""),"2055-06-06T16:51:01.67651Z")</f>
        <v>2055-06-06T16:51:01.67651Z</v>
      </c>
      <c r="P1185" s="3" t="str">
        <f ca="1">IFERROR(__xludf.DUMMYFUNCTION("""COMPUTED_VALUE"""),"2055-06-06T16:17:27.241506Z")</f>
        <v>2055-06-06T16:17:27.241506Z</v>
      </c>
      <c r="Q1185" s="3">
        <f ca="1">IFERROR(__xludf.DUMMYFUNCTION("""COMPUTED_VALUE"""),0)</f>
        <v>0</v>
      </c>
      <c r="R1185" s="3" t="str">
        <f ca="1">IFERROR(__xludf.DUMMYFUNCTION("""COMPUTED_VALUE"""),"2055-06-06T16:17:46.049395Z")</f>
        <v>2055-06-06T16:17:46.049395Z</v>
      </c>
      <c r="S1185" s="3" t="str">
        <f ca="1">IFERROR(__xludf.DUMMYFUNCTION("""COMPUTED_VALUE"""),"2055-06-06T16:23:32.544875Z")</f>
        <v>2055-06-06T16:23:32.544875Z</v>
      </c>
      <c r="T1185" s="3"/>
      <c r="U1185" s="4">
        <f ca="1">IFERROR(__xludf.DUMMYFUNCTION("""COMPUTED_VALUE"""),56771)</f>
        <v>56771</v>
      </c>
      <c r="V1185" s="3">
        <f ca="1">IFERROR(__xludf.DUMMYFUNCTION("""COMPUTED_VALUE"""),4.7)</f>
        <v>4.7</v>
      </c>
      <c r="W1185" s="3">
        <f ca="1">IFERROR(__xludf.DUMMYFUNCTION("""COMPUTED_VALUE"""),700)</f>
        <v>700</v>
      </c>
      <c r="X1185" s="3">
        <f ca="1">IFERROR(__xludf.DUMMYFUNCTION("""COMPUTED_VALUE"""),1995)</f>
        <v>1995</v>
      </c>
      <c r="Y1185" s="3">
        <f ca="1">IFERROR(__xludf.DUMMYFUNCTION("""COMPUTED_VALUE"""),346)</f>
        <v>346</v>
      </c>
      <c r="Z1185" s="3">
        <f ca="1">IFERROR(__xludf.DUMMYFUNCTION("""COMPUTED_VALUE"""),887)</f>
        <v>887</v>
      </c>
      <c r="AA1185" s="3">
        <f ca="1">IFERROR(__xludf.DUMMYFUNCTION("""COMPUTED_VALUE"""),762)</f>
        <v>762</v>
      </c>
      <c r="AB1185" s="3">
        <f ca="1">IFERROR(__xludf.DUMMYFUNCTION("""COMPUTED_VALUE"""),0)</f>
        <v>0</v>
      </c>
      <c r="AC1185" s="3">
        <f ca="1">IFERROR(__xludf.DUMMYFUNCTION("""COMPUTED_VALUE"""),5)</f>
        <v>5</v>
      </c>
      <c r="AD1185" s="3" t="str">
        <f ca="1">IFERROR(__xludf.DUMMYFUNCTION("""COMPUTED_VALUE"""),"on time")</f>
        <v>on time</v>
      </c>
      <c r="AE1185" s="3" t="str">
        <f ca="1">IFERROR(__xludf.DUMMYFUNCTION("""COMPUTED_VALUE"""),"2055-06-06T12:38:19.079663Z")</f>
        <v>2055-06-06T12:38:19.079663Z</v>
      </c>
      <c r="AF1185" s="3" t="str">
        <f ca="1">IFERROR(__xludf.DUMMYFUNCTION("""COMPUTED_VALUE"""),"2055-06-06T12:51:01.67651Z")</f>
        <v>2055-06-06T12:51:01.67651Z</v>
      </c>
      <c r="AG1185" s="3" t="str">
        <f ca="1">IFERROR(__xludf.DUMMYFUNCTION("""COMPUTED_VALUE"""),"2055-06-06T12:17:27.241506Z")</f>
        <v>2055-06-06T12:17:27.241506Z</v>
      </c>
      <c r="AH1185" s="3" t="str">
        <f ca="1">IFERROR(__xludf.DUMMYFUNCTION("""COMPUTED_VALUE"""),"2055-06-06T12:23:32.544875Z")</f>
        <v>2055-06-06T12:23:32.544875Z</v>
      </c>
      <c r="AI1185" s="3">
        <f ca="1">IFERROR(__xludf.DUMMYFUNCTION("""COMPUTED_VALUE"""),4.7)</f>
        <v>4.7</v>
      </c>
      <c r="AJ1185" s="3">
        <f ca="1">IFERROR(__xludf.DUMMYFUNCTION("""COMPUTED_VALUE"""),1261)</f>
        <v>1261</v>
      </c>
      <c r="AK1185" s="3">
        <f ca="1">IFERROR(__xludf.DUMMYFUNCTION("""COMPUTED_VALUE"""),3264)</f>
        <v>3264</v>
      </c>
      <c r="AL1185" s="3">
        <f ca="1">IFERROR(__xludf.DUMMYFUNCTION("""COMPUTED_VALUE"""),232)</f>
        <v>232</v>
      </c>
      <c r="AM1185" s="3">
        <f>IFERROR(Raw_Data!AL1185 / Raw_Data!AK1185, "")</f>
        <v>7.1078431372549017E-2</v>
      </c>
      <c r="AN1185" s="3" t="str">
        <f>IF(ISBLANK(Raw_Data!AL1185), "No", "Yes")</f>
        <v>Yes</v>
      </c>
      <c r="AO1185" s="3">
        <f>IFERROR(Raw_Data!Z1185/60, "")</f>
        <v>14.783333333333333</v>
      </c>
    </row>
    <row r="1186" spans="1:41" ht="13">
      <c r="A1186" s="3">
        <f ca="1">IFERROR(__xludf.DUMMYFUNCTION("""COMPUTED_VALUE"""),543)</f>
        <v>543</v>
      </c>
      <c r="B1186" s="3">
        <f ca="1">IFERROR(__xludf.DUMMYFUNCTION("""COMPUTED_VALUE"""),5)</f>
        <v>5</v>
      </c>
      <c r="C1186" s="3">
        <f ca="1">IFERROR(__xludf.DUMMYFUNCTION("""COMPUTED_VALUE"""),4050)</f>
        <v>4050</v>
      </c>
      <c r="D1186" s="3" t="str">
        <f ca="1">IFERROR(__xludf.DUMMYFUNCTION("""COMPUTED_VALUE"""),"Doorlanta")</f>
        <v>Doorlanta</v>
      </c>
      <c r="E1186" s="3" t="str">
        <f ca="1">IFERROR(__xludf.DUMMYFUNCTION("""COMPUTED_VALUE"""),"Galaxy A")</f>
        <v>Galaxy A</v>
      </c>
      <c r="F1186" s="3" t="str">
        <f ca="1">IFERROR(__xludf.DUMMYFUNCTION("""COMPUTED_VALUE"""),"Elon")</f>
        <v>Elon</v>
      </c>
      <c r="G1186" s="3">
        <f ca="1">IFERROR(__xludf.DUMMYFUNCTION("""COMPUTED_VALUE"""),0)</f>
        <v>0</v>
      </c>
      <c r="H1186" s="3" t="str">
        <f ca="1">IFERROR(__xludf.DUMMYFUNCTION("""COMPUTED_VALUE"""),"car")</f>
        <v>car</v>
      </c>
      <c r="I1186" s="3" t="str">
        <f ca="1">IFERROR(__xludf.DUMMYFUNCTION("""COMPUTED_VALUE"""),"2055-06-05T14:23:54.122867Z")</f>
        <v>2055-06-05T14:23:54.122867Z</v>
      </c>
      <c r="J1186" s="3" t="str">
        <f ca="1">IFERROR(__xludf.DUMMYFUNCTION("""COMPUTED_VALUE"""),"2055-06-05T17:15:00Z")</f>
        <v>2055-06-05T17:15:00Z</v>
      </c>
      <c r="K1186" s="3" t="str">
        <f ca="1">IFERROR(__xludf.DUMMYFUNCTION("""COMPUTED_VALUE"""),"2055-06-05T17:15:00Z")</f>
        <v>2055-06-05T17:15:00Z</v>
      </c>
      <c r="L1186" s="3">
        <f ca="1">IFERROR(__xludf.DUMMYFUNCTION("""COMPUTED_VALUE"""),0)</f>
        <v>0</v>
      </c>
      <c r="M1186" s="3">
        <f ca="1">IFERROR(__xludf.DUMMYFUNCTION("""COMPUTED_VALUE"""),0)</f>
        <v>0</v>
      </c>
      <c r="N1186" s="3" t="str">
        <f ca="1">IFERROR(__xludf.DUMMYFUNCTION("""COMPUTED_VALUE"""),"2055-06-05T16:44:59.171845Z")</f>
        <v>2055-06-05T16:44:59.171845Z</v>
      </c>
      <c r="O1186" s="3" t="str">
        <f ca="1">IFERROR(__xludf.DUMMYFUNCTION("""COMPUTED_VALUE"""),"2055-06-05T17:19:27.720457Z")</f>
        <v>2055-06-05T17:19:27.720457Z</v>
      </c>
      <c r="P1186" s="3" t="str">
        <f ca="1">IFERROR(__xludf.DUMMYFUNCTION("""COMPUTED_VALUE"""),"2055-06-05T16:23:27.358579Z")</f>
        <v>2055-06-05T16:23:27.358579Z</v>
      </c>
      <c r="Q1186" s="3">
        <f ca="1">IFERROR(__xludf.DUMMYFUNCTION("""COMPUTED_VALUE"""),0)</f>
        <v>0</v>
      </c>
      <c r="R1186" s="3" t="str">
        <f ca="1">IFERROR(__xludf.DUMMYFUNCTION("""COMPUTED_VALUE"""),"2055-06-05T16:23:38.743993Z")</f>
        <v>2055-06-05T16:23:38.743993Z</v>
      </c>
      <c r="S1186" s="3" t="str">
        <f ca="1">IFERROR(__xludf.DUMMYFUNCTION("""COMPUTED_VALUE"""),"2055-06-05T16:34:02.689372Z")</f>
        <v>2055-06-05T16:34:02.689372Z</v>
      </c>
      <c r="T1186" s="3"/>
      <c r="U1186" s="4">
        <f ca="1">IFERROR(__xludf.DUMMYFUNCTION("""COMPUTED_VALUE"""),56770)</f>
        <v>56770</v>
      </c>
      <c r="V1186" s="3">
        <f ca="1">IFERROR(__xludf.DUMMYFUNCTION("""COMPUTED_VALUE"""),4.4)</f>
        <v>4.4000000000000004</v>
      </c>
      <c r="W1186" s="3">
        <f ca="1">IFERROR(__xludf.DUMMYFUNCTION("""COMPUTED_VALUE"""),700)</f>
        <v>700</v>
      </c>
      <c r="X1186" s="3">
        <f ca="1">IFERROR(__xludf.DUMMYFUNCTION("""COMPUTED_VALUE"""),3349)</f>
        <v>3349</v>
      </c>
      <c r="Y1186" s="3">
        <f ca="1">IFERROR(__xludf.DUMMYFUNCTION("""COMPUTED_VALUE"""),624)</f>
        <v>624</v>
      </c>
      <c r="Z1186" s="3">
        <f ca="1">IFERROR(__xludf.DUMMYFUNCTION("""COMPUTED_VALUE"""),657)</f>
        <v>657</v>
      </c>
      <c r="AA1186" s="3">
        <f ca="1">IFERROR(__xludf.DUMMYFUNCTION("""COMPUTED_VALUE"""),2068)</f>
        <v>2068</v>
      </c>
      <c r="AB1186" s="3">
        <f ca="1">IFERROR(__xludf.DUMMYFUNCTION("""COMPUTED_VALUE"""),1)</f>
        <v>1</v>
      </c>
      <c r="AC1186" s="3">
        <f ca="1">IFERROR(__xludf.DUMMYFUNCTION("""COMPUTED_VALUE"""),6)</f>
        <v>6</v>
      </c>
      <c r="AD1186" s="3"/>
      <c r="AE1186" s="3" t="str">
        <f ca="1">IFERROR(__xludf.DUMMYFUNCTION("""COMPUTED_VALUE"""),"2055-06-05T12:44:59.171845Z")</f>
        <v>2055-06-05T12:44:59.171845Z</v>
      </c>
      <c r="AF1186" s="3" t="str">
        <f ca="1">IFERROR(__xludf.DUMMYFUNCTION("""COMPUTED_VALUE"""),"2055-06-05T13:19:27.720457Z")</f>
        <v>2055-06-05T13:19:27.720457Z</v>
      </c>
      <c r="AG1186" s="3" t="str">
        <f ca="1">IFERROR(__xludf.DUMMYFUNCTION("""COMPUTED_VALUE"""),"2055-06-05T12:23:27.358579Z")</f>
        <v>2055-06-05T12:23:27.358579Z</v>
      </c>
      <c r="AH1186" s="3" t="str">
        <f ca="1">IFERROR(__xludf.DUMMYFUNCTION("""COMPUTED_VALUE"""),"2055-06-05T12:34:02.689372Z")</f>
        <v>2055-06-05T12:34:02.689372Z</v>
      </c>
      <c r="AI1186" s="3">
        <f ca="1">IFERROR(__xludf.DUMMYFUNCTION("""COMPUTED_VALUE"""),4.62)</f>
        <v>4.62</v>
      </c>
      <c r="AJ1186" s="3">
        <f ca="1">IFERROR(__xludf.DUMMYFUNCTION("""COMPUTED_VALUE"""),259)</f>
        <v>259</v>
      </c>
      <c r="AK1186" s="3">
        <f ca="1">IFERROR(__xludf.DUMMYFUNCTION("""COMPUTED_VALUE"""),604)</f>
        <v>604</v>
      </c>
      <c r="AL1186" s="3">
        <f ca="1">IFERROR(__xludf.DUMMYFUNCTION("""COMPUTED_VALUE"""),21)</f>
        <v>21</v>
      </c>
      <c r="AM1186" s="3">
        <f>IFERROR(Raw_Data!AL1186 / Raw_Data!AK1186, "")</f>
        <v>3.4768211920529798E-2</v>
      </c>
      <c r="AN1186" s="3" t="str">
        <f>IF(ISBLANK(Raw_Data!AL1186), "No", "Yes")</f>
        <v>Yes</v>
      </c>
      <c r="AO1186" s="3">
        <f>IFERROR(Raw_Data!Z1186/60, "")</f>
        <v>10.95</v>
      </c>
    </row>
    <row r="1187" spans="1:41" ht="13">
      <c r="A1187" s="3">
        <f ca="1">IFERROR(__xludf.DUMMYFUNCTION("""COMPUTED_VALUE"""),903)</f>
        <v>903</v>
      </c>
      <c r="B1187" s="3">
        <f ca="1">IFERROR(__xludf.DUMMYFUNCTION("""COMPUTED_VALUE"""),5)</f>
        <v>5</v>
      </c>
      <c r="C1187" s="3">
        <f ca="1">IFERROR(__xludf.DUMMYFUNCTION("""COMPUTED_VALUE"""),4050)</f>
        <v>4050</v>
      </c>
      <c r="D1187" s="3" t="str">
        <f ca="1">IFERROR(__xludf.DUMMYFUNCTION("""COMPUTED_VALUE"""),"Doorlanta")</f>
        <v>Doorlanta</v>
      </c>
      <c r="E1187" s="3" t="str">
        <f ca="1">IFERROR(__xludf.DUMMYFUNCTION("""COMPUTED_VALUE"""),"Galaxy A")</f>
        <v>Galaxy A</v>
      </c>
      <c r="F1187" s="3" t="str">
        <f ca="1">IFERROR(__xludf.DUMMYFUNCTION("""COMPUTED_VALUE"""),"Elon")</f>
        <v>Elon</v>
      </c>
      <c r="G1187" s="3">
        <f ca="1">IFERROR(__xludf.DUMMYFUNCTION("""COMPUTED_VALUE"""),0)</f>
        <v>0</v>
      </c>
      <c r="H1187" s="3" t="str">
        <f ca="1">IFERROR(__xludf.DUMMYFUNCTION("""COMPUTED_VALUE"""),"car")</f>
        <v>car</v>
      </c>
      <c r="I1187" s="3" t="str">
        <f ca="1">IFERROR(__xludf.DUMMYFUNCTION("""COMPUTED_VALUE"""),"2055-06-08T00:23:39.14595Z")</f>
        <v>2055-06-08T00:23:39.14595Z</v>
      </c>
      <c r="J1187" s="3" t="str">
        <f ca="1">IFERROR(__xludf.DUMMYFUNCTION("""COMPUTED_VALUE"""),"2055-06-08T01:19:48.199Z")</f>
        <v>2055-06-08T01:19:48.199Z</v>
      </c>
      <c r="K1187" s="3" t="str">
        <f ca="1">IFERROR(__xludf.DUMMYFUNCTION("""COMPUTED_VALUE"""),"2055-06-08T01:00:55.199Z")</f>
        <v>2055-06-08T01:00:55.199Z</v>
      </c>
      <c r="L1187" s="3">
        <f ca="1">IFERROR(__xludf.DUMMYFUNCTION("""COMPUTED_VALUE"""),1)</f>
        <v>1</v>
      </c>
      <c r="M1187" s="3">
        <f ca="1">IFERROR(__xludf.DUMMYFUNCTION("""COMPUTED_VALUE"""),0)</f>
        <v>0</v>
      </c>
      <c r="N1187" s="3" t="str">
        <f ca="1">IFERROR(__xludf.DUMMYFUNCTION("""COMPUTED_VALUE"""),"2055-06-08T00:36:03.291256Z")</f>
        <v>2055-06-08T00:36:03.291256Z</v>
      </c>
      <c r="O1187" s="3" t="str">
        <f ca="1">IFERROR(__xludf.DUMMYFUNCTION("""COMPUTED_VALUE"""),"2055-06-08T00:48:23.405628Z")</f>
        <v>2055-06-08T00:48:23.405628Z</v>
      </c>
      <c r="P1187" s="3" t="str">
        <f ca="1">IFERROR(__xludf.DUMMYFUNCTION("""COMPUTED_VALUE"""),"2055-06-08T00:23:47.361671Z")</f>
        <v>2055-06-08T00:23:47.361671Z</v>
      </c>
      <c r="Q1187" s="3">
        <f ca="1">IFERROR(__xludf.DUMMYFUNCTION("""COMPUTED_VALUE"""),0)</f>
        <v>0</v>
      </c>
      <c r="R1187" s="3" t="str">
        <f ca="1">IFERROR(__xludf.DUMMYFUNCTION("""COMPUTED_VALUE"""),"2055-06-08T00:24:07.748762Z")</f>
        <v>2055-06-08T00:24:07.748762Z</v>
      </c>
      <c r="S1187" s="3" t="str">
        <f ca="1">IFERROR(__xludf.DUMMYFUNCTION("""COMPUTED_VALUE"""),"2055-06-08T00:31:14.347196Z")</f>
        <v>2055-06-08T00:31:14.347196Z</v>
      </c>
      <c r="T1187" s="3"/>
      <c r="U1187" s="4">
        <f ca="1">IFERROR(__xludf.DUMMYFUNCTION("""COMPUTED_VALUE"""),56772)</f>
        <v>56772</v>
      </c>
      <c r="V1187" s="3">
        <f ca="1">IFERROR(__xludf.DUMMYFUNCTION("""COMPUTED_VALUE"""),4.5)</f>
        <v>4.5</v>
      </c>
      <c r="W1187" s="3">
        <f ca="1">IFERROR(__xludf.DUMMYFUNCTION("""COMPUTED_VALUE"""),700)</f>
        <v>700</v>
      </c>
      <c r="X1187" s="3">
        <f ca="1">IFERROR(__xludf.DUMMYFUNCTION("""COMPUTED_VALUE"""),1456)</f>
        <v>1456</v>
      </c>
      <c r="Y1187" s="3">
        <f ca="1">IFERROR(__xludf.DUMMYFUNCTION("""COMPUTED_VALUE"""),427)</f>
        <v>427</v>
      </c>
      <c r="Z1187" s="3">
        <f ca="1">IFERROR(__xludf.DUMMYFUNCTION("""COMPUTED_VALUE"""),289)</f>
        <v>289</v>
      </c>
      <c r="AA1187" s="3">
        <f ca="1">IFERROR(__xludf.DUMMYFUNCTION("""COMPUTED_VALUE"""),740)</f>
        <v>740</v>
      </c>
      <c r="AB1187" s="3">
        <f ca="1">IFERROR(__xludf.DUMMYFUNCTION("""COMPUTED_VALUE"""),0)</f>
        <v>0</v>
      </c>
      <c r="AC1187" s="3">
        <f ca="1">IFERROR(__xludf.DUMMYFUNCTION("""COMPUTED_VALUE"""),2)</f>
        <v>2</v>
      </c>
      <c r="AD1187" s="3" t="str">
        <f ca="1">IFERROR(__xludf.DUMMYFUNCTION("""COMPUTED_VALUE"""),"on time")</f>
        <v>on time</v>
      </c>
      <c r="AE1187" s="3" t="str">
        <f ca="1">IFERROR(__xludf.DUMMYFUNCTION("""COMPUTED_VALUE"""),"2055-06-07T20:36:03.291256Z")</f>
        <v>2055-06-07T20:36:03.291256Z</v>
      </c>
      <c r="AF1187" s="3" t="str">
        <f ca="1">IFERROR(__xludf.DUMMYFUNCTION("""COMPUTED_VALUE"""),"2055-06-07T20:48:23.405628Z")</f>
        <v>2055-06-07T20:48:23.405628Z</v>
      </c>
      <c r="AG1187" s="3" t="str">
        <f ca="1">IFERROR(__xludf.DUMMYFUNCTION("""COMPUTED_VALUE"""),"2055-06-07T20:23:47.361671Z")</f>
        <v>2055-06-07T20:23:47.361671Z</v>
      </c>
      <c r="AH1187" s="3" t="str">
        <f ca="1">IFERROR(__xludf.DUMMYFUNCTION("""COMPUTED_VALUE"""),"2055-06-07T20:31:14.347196Z")</f>
        <v>2055-06-07T20:31:14.347196Z</v>
      </c>
      <c r="AI1187" s="3">
        <f ca="1">IFERROR(__xludf.DUMMYFUNCTION("""COMPUTED_VALUE"""),4.62)</f>
        <v>4.62</v>
      </c>
      <c r="AJ1187" s="3">
        <f ca="1">IFERROR(__xludf.DUMMYFUNCTION("""COMPUTED_VALUE"""),259)</f>
        <v>259</v>
      </c>
      <c r="AK1187" s="3">
        <f ca="1">IFERROR(__xludf.DUMMYFUNCTION("""COMPUTED_VALUE"""),604)</f>
        <v>604</v>
      </c>
      <c r="AL1187" s="3">
        <f ca="1">IFERROR(__xludf.DUMMYFUNCTION("""COMPUTED_VALUE"""),21)</f>
        <v>21</v>
      </c>
      <c r="AM1187" s="3">
        <f>IFERROR(Raw_Data!AL1187 / Raw_Data!AK1187, "")</f>
        <v>3.4768211920529798E-2</v>
      </c>
      <c r="AN1187" s="3" t="str">
        <f>IF(ISBLANK(Raw_Data!AL1187), "No", "Yes")</f>
        <v>Yes</v>
      </c>
      <c r="AO1187" s="3">
        <f>IFERROR(Raw_Data!Z1187/60, "")</f>
        <v>4.8166666666666664</v>
      </c>
    </row>
    <row r="1188" spans="1:41" ht="13">
      <c r="A1188" s="3">
        <f ca="1">IFERROR(__xludf.DUMMYFUNCTION("""COMPUTED_VALUE"""),954)</f>
        <v>954</v>
      </c>
      <c r="B1188" s="3">
        <f ca="1">IFERROR(__xludf.DUMMYFUNCTION("""COMPUTED_VALUE"""),5)</f>
        <v>5</v>
      </c>
      <c r="C1188" s="3">
        <f ca="1">IFERROR(__xludf.DUMMYFUNCTION("""COMPUTED_VALUE"""),4050)</f>
        <v>4050</v>
      </c>
      <c r="D1188" s="3" t="str">
        <f ca="1">IFERROR(__xludf.DUMMYFUNCTION("""COMPUTED_VALUE"""),"Doorlanta")</f>
        <v>Doorlanta</v>
      </c>
      <c r="E1188" s="3" t="str">
        <f ca="1">IFERROR(__xludf.DUMMYFUNCTION("""COMPUTED_VALUE"""),"Galaxy A")</f>
        <v>Galaxy A</v>
      </c>
      <c r="F1188" s="3" t="str">
        <f ca="1">IFERROR(__xludf.DUMMYFUNCTION("""COMPUTED_VALUE"""),"Lauran")</f>
        <v>Lauran</v>
      </c>
      <c r="G1188" s="3">
        <f ca="1">IFERROR(__xludf.DUMMYFUNCTION("""COMPUTED_VALUE"""),0)</f>
        <v>0</v>
      </c>
      <c r="H1188" s="3" t="str">
        <f ca="1">IFERROR(__xludf.DUMMYFUNCTION("""COMPUTED_VALUE"""),"car")</f>
        <v>car</v>
      </c>
      <c r="I1188" s="3" t="str">
        <f ca="1">IFERROR(__xludf.DUMMYFUNCTION("""COMPUTED_VALUE"""),"2055-06-08T18:08:15.508708Z")</f>
        <v>2055-06-08T18:08:15.508708Z</v>
      </c>
      <c r="J1188" s="3" t="str">
        <f ca="1">IFERROR(__xludf.DUMMYFUNCTION("""COMPUTED_VALUE"""),"2055-06-08T19:15:08.575Z")</f>
        <v>2055-06-08T19:15:08.575Z</v>
      </c>
      <c r="K1188" s="3" t="str">
        <f ca="1">IFERROR(__xludf.DUMMYFUNCTION("""COMPUTED_VALUE"""),"2055-06-08T19:00:01.575Z")</f>
        <v>2055-06-08T19:00:01.575Z</v>
      </c>
      <c r="L1188" s="3">
        <f ca="1">IFERROR(__xludf.DUMMYFUNCTION("""COMPUTED_VALUE"""),1)</f>
        <v>1</v>
      </c>
      <c r="M1188" s="3">
        <f ca="1">IFERROR(__xludf.DUMMYFUNCTION("""COMPUTED_VALUE"""),0)</f>
        <v>0</v>
      </c>
      <c r="N1188" s="3" t="str">
        <f ca="1">IFERROR(__xludf.DUMMYFUNCTION("""COMPUTED_VALUE"""),"2055-06-08T18:29:31.393947Z")</f>
        <v>2055-06-08T18:29:31.393947Z</v>
      </c>
      <c r="O1188" s="3" t="str">
        <f ca="1">IFERROR(__xludf.DUMMYFUNCTION("""COMPUTED_VALUE"""),"2055-06-08T18:41:29.494528Z")</f>
        <v>2055-06-08T18:41:29.494528Z</v>
      </c>
      <c r="P1188" s="3" t="str">
        <f ca="1">IFERROR(__xludf.DUMMYFUNCTION("""COMPUTED_VALUE"""),"2055-06-08T18:08:27.287731Z")</f>
        <v>2055-06-08T18:08:27.287731Z</v>
      </c>
      <c r="Q1188" s="3">
        <f ca="1">IFERROR(__xludf.DUMMYFUNCTION("""COMPUTED_VALUE"""),0)</f>
        <v>0</v>
      </c>
      <c r="R1188" s="3" t="str">
        <f ca="1">IFERROR(__xludf.DUMMYFUNCTION("""COMPUTED_VALUE"""),"2055-06-08T18:08:46.638738Z")</f>
        <v>2055-06-08T18:08:46.638738Z</v>
      </c>
      <c r="S1188" s="3" t="str">
        <f ca="1">IFERROR(__xludf.DUMMYFUNCTION("""COMPUTED_VALUE"""),"2055-06-08T18:25:50.940724Z")</f>
        <v>2055-06-08T18:25:50.940724Z</v>
      </c>
      <c r="T1188" s="3"/>
      <c r="U1188" s="4">
        <f ca="1">IFERROR(__xludf.DUMMYFUNCTION("""COMPUTED_VALUE"""),56773)</f>
        <v>56773</v>
      </c>
      <c r="V1188" s="3">
        <f ca="1">IFERROR(__xludf.DUMMYFUNCTION("""COMPUTED_VALUE"""),4.6)</f>
        <v>4.5999999999999996</v>
      </c>
      <c r="W1188" s="3">
        <f ca="1">IFERROR(__xludf.DUMMYFUNCTION("""COMPUTED_VALUE"""),700)</f>
        <v>700</v>
      </c>
      <c r="X1188" s="3">
        <f ca="1">IFERROR(__xludf.DUMMYFUNCTION("""COMPUTED_VALUE"""),1963)</f>
        <v>1963</v>
      </c>
      <c r="Y1188" s="3">
        <f ca="1">IFERROR(__xludf.DUMMYFUNCTION("""COMPUTED_VALUE"""),1024)</f>
        <v>1024</v>
      </c>
      <c r="Z1188" s="3">
        <f ca="1">IFERROR(__xludf.DUMMYFUNCTION("""COMPUTED_VALUE"""),221)</f>
        <v>221</v>
      </c>
      <c r="AA1188" s="3">
        <f ca="1">IFERROR(__xludf.DUMMYFUNCTION("""COMPUTED_VALUE"""),718)</f>
        <v>718</v>
      </c>
      <c r="AB1188" s="3">
        <f ca="1">IFERROR(__xludf.DUMMYFUNCTION("""COMPUTED_VALUE"""),0)</f>
        <v>0</v>
      </c>
      <c r="AC1188" s="3">
        <f ca="1">IFERROR(__xludf.DUMMYFUNCTION("""COMPUTED_VALUE"""),4)</f>
        <v>4</v>
      </c>
      <c r="AD1188" s="3" t="str">
        <f ca="1">IFERROR(__xludf.DUMMYFUNCTION("""COMPUTED_VALUE"""),"early")</f>
        <v>early</v>
      </c>
      <c r="AE1188" s="3" t="str">
        <f ca="1">IFERROR(__xludf.DUMMYFUNCTION("""COMPUTED_VALUE"""),"2055-06-08T14:29:31.393947Z")</f>
        <v>2055-06-08T14:29:31.393947Z</v>
      </c>
      <c r="AF1188" s="3" t="str">
        <f ca="1">IFERROR(__xludf.DUMMYFUNCTION("""COMPUTED_VALUE"""),"2055-06-08T14:41:29.494528Z")</f>
        <v>2055-06-08T14:41:29.494528Z</v>
      </c>
      <c r="AG1188" s="3" t="str">
        <f ca="1">IFERROR(__xludf.DUMMYFUNCTION("""COMPUTED_VALUE"""),"2055-06-08T14:08:27.287731Z")</f>
        <v>2055-06-08T14:08:27.287731Z</v>
      </c>
      <c r="AH1188" s="3" t="str">
        <f ca="1">IFERROR(__xludf.DUMMYFUNCTION("""COMPUTED_VALUE"""),"2055-06-08T14:25:50.940724Z")</f>
        <v>2055-06-08T14:25:50.940724Z</v>
      </c>
      <c r="AI1188" s="3">
        <f ca="1">IFERROR(__xludf.DUMMYFUNCTION("""COMPUTED_VALUE"""),4.42)</f>
        <v>4.42</v>
      </c>
      <c r="AJ1188" s="3">
        <f ca="1">IFERROR(__xludf.DUMMYFUNCTION("""COMPUTED_VALUE"""),1396)</f>
        <v>1396</v>
      </c>
      <c r="AK1188" s="3">
        <f ca="1">IFERROR(__xludf.DUMMYFUNCTION("""COMPUTED_VALUE"""),4836)</f>
        <v>4836</v>
      </c>
      <c r="AL1188" s="3">
        <f ca="1">IFERROR(__xludf.DUMMYFUNCTION("""COMPUTED_VALUE"""),1278)</f>
        <v>1278</v>
      </c>
      <c r="AM1188" s="3">
        <f>IFERROR(Raw_Data!AL1188 / Raw_Data!AK1188, "")</f>
        <v>0.26426799007444168</v>
      </c>
      <c r="AN1188" s="3" t="str">
        <f>IF(ISBLANK(Raw_Data!AL1188), "No", "Yes")</f>
        <v>Yes</v>
      </c>
      <c r="AO1188" s="3">
        <f>IFERROR(Raw_Data!Z1188/60, "")</f>
        <v>3.6833333333333331</v>
      </c>
    </row>
    <row r="1189" spans="1:41" ht="13">
      <c r="A1189" s="3">
        <f ca="1">IFERROR(__xludf.DUMMYFUNCTION("""COMPUTED_VALUE"""),862)</f>
        <v>862</v>
      </c>
      <c r="B1189" s="3"/>
      <c r="C1189" s="3">
        <f ca="1">IFERROR(__xludf.DUMMYFUNCTION("""COMPUTED_VALUE"""),4001)</f>
        <v>4001</v>
      </c>
      <c r="D1189" s="3" t="str">
        <f ca="1">IFERROR(__xludf.DUMMYFUNCTION("""COMPUTED_VALUE"""),"Dashattan")</f>
        <v>Dashattan</v>
      </c>
      <c r="E1189" s="3" t="str">
        <f ca="1">IFERROR(__xludf.DUMMYFUNCTION("""COMPUTED_VALUE"""),"Galaxy A")</f>
        <v>Galaxy A</v>
      </c>
      <c r="F1189" s="3" t="str">
        <f ca="1">IFERROR(__xludf.DUMMYFUNCTION("""COMPUTED_VALUE"""),"Bret")</f>
        <v>Bret</v>
      </c>
      <c r="G1189" s="3">
        <f ca="1">IFERROR(__xludf.DUMMYFUNCTION("""COMPUTED_VALUE"""),0)</f>
        <v>0</v>
      </c>
      <c r="H1189" s="3" t="str">
        <f ca="1">IFERROR(__xludf.DUMMYFUNCTION("""COMPUTED_VALUE"""),"car")</f>
        <v>car</v>
      </c>
      <c r="I1189" s="3" t="str">
        <f ca="1">IFERROR(__xludf.DUMMYFUNCTION("""COMPUTED_VALUE"""),"2055-06-07T18:46:32.582857Z")</f>
        <v>2055-06-07T18:46:32.582857Z</v>
      </c>
      <c r="J1189" s="3" t="str">
        <f ca="1">IFERROR(__xludf.DUMMYFUNCTION("""COMPUTED_VALUE"""),"2055-06-07T19:51:03.675Z")</f>
        <v>2055-06-07T19:51:03.675Z</v>
      </c>
      <c r="K1189" s="3" t="str">
        <f ca="1">IFERROR(__xludf.DUMMYFUNCTION("""COMPUTED_VALUE"""),"2055-06-07T19:27:45.675Z")</f>
        <v>2055-06-07T19:27:45.675Z</v>
      </c>
      <c r="L1189" s="3">
        <f ca="1">IFERROR(__xludf.DUMMYFUNCTION("""COMPUTED_VALUE"""),1)</f>
        <v>1</v>
      </c>
      <c r="M1189" s="3">
        <f ca="1">IFERROR(__xludf.DUMMYFUNCTION("""COMPUTED_VALUE"""),0)</f>
        <v>0</v>
      </c>
      <c r="N1189" s="3" t="str">
        <f ca="1">IFERROR(__xludf.DUMMYFUNCTION("""COMPUTED_VALUE"""),"2055-06-07T19:08:08.237975Z")</f>
        <v>2055-06-07T19:08:08.237975Z</v>
      </c>
      <c r="O1189" s="3" t="str">
        <f ca="1">IFERROR(__xludf.DUMMYFUNCTION("""COMPUTED_VALUE"""),"2055-06-07T19:32:54.612804Z")</f>
        <v>2055-06-07T19:32:54.612804Z</v>
      </c>
      <c r="P1189" s="3" t="str">
        <f ca="1">IFERROR(__xludf.DUMMYFUNCTION("""COMPUTED_VALUE"""),"2055-06-07T18:59:54.560922Z")</f>
        <v>2055-06-07T18:59:54.560922Z</v>
      </c>
      <c r="Q1189" s="3">
        <f ca="1">IFERROR(__xludf.DUMMYFUNCTION("""COMPUTED_VALUE"""),0)</f>
        <v>0</v>
      </c>
      <c r="R1189" s="3" t="str">
        <f ca="1">IFERROR(__xludf.DUMMYFUNCTION("""COMPUTED_VALUE"""),"2055-06-07T19:00:08.107414Z")</f>
        <v>2055-06-07T19:00:08.107414Z</v>
      </c>
      <c r="S1189" s="3" t="str">
        <f ca="1">IFERROR(__xludf.DUMMYFUNCTION("""COMPUTED_VALUE"""),"2055-06-07T19:01:07.055094Z")</f>
        <v>2055-06-07T19:01:07.055094Z</v>
      </c>
      <c r="T1189" s="3"/>
      <c r="U1189" s="4">
        <f ca="1">IFERROR(__xludf.DUMMYFUNCTION("""COMPUTED_VALUE"""),56772)</f>
        <v>56772</v>
      </c>
      <c r="V1189" s="3">
        <f ca="1">IFERROR(__xludf.DUMMYFUNCTION("""COMPUTED_VALUE"""),4.5)</f>
        <v>4.5</v>
      </c>
      <c r="W1189" s="3">
        <f ca="1">IFERROR(__xludf.DUMMYFUNCTION("""COMPUTED_VALUE"""),600)</f>
        <v>600</v>
      </c>
      <c r="X1189" s="3">
        <f ca="1">IFERROR(__xludf.DUMMYFUNCTION("""COMPUTED_VALUE"""),1966)</f>
        <v>1966</v>
      </c>
      <c r="Y1189" s="3">
        <f ca="1">IFERROR(__xludf.DUMMYFUNCTION("""COMPUTED_VALUE"""),59)</f>
        <v>59</v>
      </c>
      <c r="Z1189" s="3">
        <f ca="1">IFERROR(__xludf.DUMMYFUNCTION("""COMPUTED_VALUE"""),421)</f>
        <v>421</v>
      </c>
      <c r="AA1189" s="3">
        <f ca="1">IFERROR(__xludf.DUMMYFUNCTION("""COMPUTED_VALUE"""),1486)</f>
        <v>1486</v>
      </c>
      <c r="AB1189" s="3">
        <f ca="1">IFERROR(__xludf.DUMMYFUNCTION("""COMPUTED_VALUE"""),1)</f>
        <v>1</v>
      </c>
      <c r="AC1189" s="3">
        <f ca="1">IFERROR(__xludf.DUMMYFUNCTION("""COMPUTED_VALUE"""),1)</f>
        <v>1</v>
      </c>
      <c r="AD1189" s="3"/>
      <c r="AE1189" s="3" t="str">
        <f ca="1">IFERROR(__xludf.DUMMYFUNCTION("""COMPUTED_VALUE"""),"2055-06-07T15:08:08.237975Z")</f>
        <v>2055-06-07T15:08:08.237975Z</v>
      </c>
      <c r="AF1189" s="3" t="str">
        <f ca="1">IFERROR(__xludf.DUMMYFUNCTION("""COMPUTED_VALUE"""),"2055-06-07T15:32:54.612804Z")</f>
        <v>2055-06-07T15:32:54.612804Z</v>
      </c>
      <c r="AG1189" s="3" t="str">
        <f ca="1">IFERROR(__xludf.DUMMYFUNCTION("""COMPUTED_VALUE"""),"2055-06-07T14:59:54.560922Z")</f>
        <v>2055-06-07T14:59:54.560922Z</v>
      </c>
      <c r="AH1189" s="3" t="str">
        <f ca="1">IFERROR(__xludf.DUMMYFUNCTION("""COMPUTED_VALUE"""),"2055-06-07T15:01:07.055094Z")</f>
        <v>2055-06-07T15:01:07.055094Z</v>
      </c>
      <c r="AI1189" s="3">
        <f ca="1">IFERROR(__xludf.DUMMYFUNCTION("""COMPUTED_VALUE"""),3.82)</f>
        <v>3.82</v>
      </c>
      <c r="AJ1189" s="3">
        <f ca="1">IFERROR(__xludf.DUMMYFUNCTION("""COMPUTED_VALUE"""),174)</f>
        <v>174</v>
      </c>
      <c r="AK1189" s="3">
        <f ca="1">IFERROR(__xludf.DUMMYFUNCTION("""COMPUTED_VALUE"""),773)</f>
        <v>773</v>
      </c>
      <c r="AL1189" s="3"/>
      <c r="AM1189" s="3">
        <f>IFERROR(Raw_Data!AL1189 / Raw_Data!AK1189, "")</f>
        <v>0</v>
      </c>
      <c r="AN1189" s="3" t="str">
        <f>IF(ISBLANK(Raw_Data!AL1189), "No", "Yes")</f>
        <v>No</v>
      </c>
      <c r="AO1189" s="3">
        <f>IFERROR(Raw_Data!Z1189/60, "")</f>
        <v>7.0166666666666666</v>
      </c>
    </row>
    <row r="1190" spans="1:41" ht="13">
      <c r="A1190" s="3">
        <f ca="1">IFERROR(__xludf.DUMMYFUNCTION("""COMPUTED_VALUE"""),1387)</f>
        <v>1387</v>
      </c>
      <c r="B1190" s="3"/>
      <c r="C1190" s="3">
        <f ca="1">IFERROR(__xludf.DUMMYFUNCTION("""COMPUTED_VALUE"""),4001)</f>
        <v>4001</v>
      </c>
      <c r="D1190" s="3" t="str">
        <f ca="1">IFERROR(__xludf.DUMMYFUNCTION("""COMPUTED_VALUE"""),"Dashattan")</f>
        <v>Dashattan</v>
      </c>
      <c r="E1190" s="3" t="str">
        <f ca="1">IFERROR(__xludf.DUMMYFUNCTION("""COMPUTED_VALUE"""),"Galaxy A")</f>
        <v>Galaxy A</v>
      </c>
      <c r="F1190" s="3" t="str">
        <f ca="1">IFERROR(__xludf.DUMMYFUNCTION("""COMPUTED_VALUE"""),"KC")</f>
        <v>KC</v>
      </c>
      <c r="G1190" s="3">
        <f ca="1">IFERROR(__xludf.DUMMYFUNCTION("""COMPUTED_VALUE"""),0)</f>
        <v>0</v>
      </c>
      <c r="H1190" s="3" t="str">
        <f ca="1">IFERROR(__xludf.DUMMYFUNCTION("""COMPUTED_VALUE"""),"car")</f>
        <v>car</v>
      </c>
      <c r="I1190" s="3" t="str">
        <f ca="1">IFERROR(__xludf.DUMMYFUNCTION("""COMPUTED_VALUE"""),"2055-06-12T14:35:41.18583Z")</f>
        <v>2055-06-12T14:35:41.18583Z</v>
      </c>
      <c r="J1190" s="3" t="str">
        <f ca="1">IFERROR(__xludf.DUMMYFUNCTION("""COMPUTED_VALUE"""),"2055-06-12T15:16:53.24Z")</f>
        <v>2055-06-12T15:16:53.24Z</v>
      </c>
      <c r="K1190" s="3" t="str">
        <f ca="1">IFERROR(__xludf.DUMMYFUNCTION("""COMPUTED_VALUE"""),"2055-06-12T15:02:14.24Z")</f>
        <v>2055-06-12T15:02:14.24Z</v>
      </c>
      <c r="L1190" s="3">
        <f ca="1">IFERROR(__xludf.DUMMYFUNCTION("""COMPUTED_VALUE"""),1)</f>
        <v>1</v>
      </c>
      <c r="M1190" s="3">
        <f ca="1">IFERROR(__xludf.DUMMYFUNCTION("""COMPUTED_VALUE"""),0)</f>
        <v>0</v>
      </c>
      <c r="N1190" s="3" t="str">
        <f ca="1">IFERROR(__xludf.DUMMYFUNCTION("""COMPUTED_VALUE"""),"2055-06-12T14:49:37.363754Z")</f>
        <v>2055-06-12T14:49:37.363754Z</v>
      </c>
      <c r="O1190" s="3" t="str">
        <f ca="1">IFERROR(__xludf.DUMMYFUNCTION("""COMPUTED_VALUE"""),"2055-06-12T14:55:17.930915Z")</f>
        <v>2055-06-12T14:55:17.930915Z</v>
      </c>
      <c r="P1190" s="3" t="str">
        <f ca="1">IFERROR(__xludf.DUMMYFUNCTION("""COMPUTED_VALUE"""),"2055-06-12T14:35:54.069172Z")</f>
        <v>2055-06-12T14:35:54.069172Z</v>
      </c>
      <c r="Q1190" s="3">
        <f ca="1">IFERROR(__xludf.DUMMYFUNCTION("""COMPUTED_VALUE"""),0)</f>
        <v>0</v>
      </c>
      <c r="R1190" s="3" t="str">
        <f ca="1">IFERROR(__xludf.DUMMYFUNCTION("""COMPUTED_VALUE"""),"2055-06-12T14:36:08.124615Z")</f>
        <v>2055-06-12T14:36:08.124615Z</v>
      </c>
      <c r="S1190" s="3" t="str">
        <f ca="1">IFERROR(__xludf.DUMMYFUNCTION("""COMPUTED_VALUE"""),"2055-06-12T14:40:50.16792Z")</f>
        <v>2055-06-12T14:40:50.16792Z</v>
      </c>
      <c r="T1190" s="3"/>
      <c r="U1190" s="4">
        <f ca="1">IFERROR(__xludf.DUMMYFUNCTION("""COMPUTED_VALUE"""),56777)</f>
        <v>56777</v>
      </c>
      <c r="V1190" s="3">
        <f ca="1">IFERROR(__xludf.DUMMYFUNCTION("""COMPUTED_VALUE"""),4.6)</f>
        <v>4.5999999999999996</v>
      </c>
      <c r="W1190" s="3">
        <f ca="1">IFERROR(__xludf.DUMMYFUNCTION("""COMPUTED_VALUE"""),600)</f>
        <v>600</v>
      </c>
      <c r="X1190" s="3">
        <f ca="1">IFERROR(__xludf.DUMMYFUNCTION("""COMPUTED_VALUE"""),1149)</f>
        <v>1149</v>
      </c>
      <c r="Y1190" s="3">
        <f ca="1">IFERROR(__xludf.DUMMYFUNCTION("""COMPUTED_VALUE"""),282)</f>
        <v>282</v>
      </c>
      <c r="Z1190" s="3">
        <f ca="1">IFERROR(__xludf.DUMMYFUNCTION("""COMPUTED_VALUE"""),527)</f>
        <v>527</v>
      </c>
      <c r="AA1190" s="3">
        <f ca="1">IFERROR(__xludf.DUMMYFUNCTION("""COMPUTED_VALUE"""),340)</f>
        <v>340</v>
      </c>
      <c r="AB1190" s="3">
        <f ca="1">IFERROR(__xludf.DUMMYFUNCTION("""COMPUTED_VALUE"""),1)</f>
        <v>1</v>
      </c>
      <c r="AC1190" s="3">
        <f ca="1">IFERROR(__xludf.DUMMYFUNCTION("""COMPUTED_VALUE"""),2)</f>
        <v>2</v>
      </c>
      <c r="AD1190" s="3"/>
      <c r="AE1190" s="3" t="str">
        <f ca="1">IFERROR(__xludf.DUMMYFUNCTION("""COMPUTED_VALUE"""),"2055-06-12T10:49:37.363754Z")</f>
        <v>2055-06-12T10:49:37.363754Z</v>
      </c>
      <c r="AF1190" s="3" t="str">
        <f ca="1">IFERROR(__xludf.DUMMYFUNCTION("""COMPUTED_VALUE"""),"2055-06-12T10:55:17.930915Z")</f>
        <v>2055-06-12T10:55:17.930915Z</v>
      </c>
      <c r="AG1190" s="3" t="str">
        <f ca="1">IFERROR(__xludf.DUMMYFUNCTION("""COMPUTED_VALUE"""),"2055-06-12T10:35:54.069172Z")</f>
        <v>2055-06-12T10:35:54.069172Z</v>
      </c>
      <c r="AH1190" s="3" t="str">
        <f ca="1">IFERROR(__xludf.DUMMYFUNCTION("""COMPUTED_VALUE"""),"2055-06-12T10:40:50.16792Z")</f>
        <v>2055-06-12T10:40:50.16792Z</v>
      </c>
      <c r="AI1190" s="3">
        <f ca="1">IFERROR(__xludf.DUMMYFUNCTION("""COMPUTED_VALUE"""),4.54)</f>
        <v>4.54</v>
      </c>
      <c r="AJ1190" s="3">
        <f ca="1">IFERROR(__xludf.DUMMYFUNCTION("""COMPUTED_VALUE"""),2229)</f>
        <v>2229</v>
      </c>
      <c r="AK1190" s="3">
        <f ca="1">IFERROR(__xludf.DUMMYFUNCTION("""COMPUTED_VALUE"""),6580)</f>
        <v>6580</v>
      </c>
      <c r="AL1190" s="3"/>
      <c r="AM1190" s="3">
        <f>IFERROR(Raw_Data!AL1190 / Raw_Data!AK1190, "")</f>
        <v>0</v>
      </c>
      <c r="AN1190" s="3" t="str">
        <f>IF(ISBLANK(Raw_Data!AL1190), "No", "Yes")</f>
        <v>No</v>
      </c>
      <c r="AO1190" s="3">
        <f>IFERROR(Raw_Data!Z1190/60, "")</f>
        <v>8.7833333333333332</v>
      </c>
    </row>
    <row r="1191" spans="1:41" ht="13">
      <c r="A1191" s="3">
        <f ca="1">IFERROR(__xludf.DUMMYFUNCTION("""COMPUTED_VALUE"""),456)</f>
        <v>456</v>
      </c>
      <c r="B1191" s="3"/>
      <c r="C1191" s="3">
        <f ca="1">IFERROR(__xludf.DUMMYFUNCTION("""COMPUTED_VALUE"""),4001)</f>
        <v>4001</v>
      </c>
      <c r="D1191" s="3" t="str">
        <f ca="1">IFERROR(__xludf.DUMMYFUNCTION("""COMPUTED_VALUE"""),"Dashattan")</f>
        <v>Dashattan</v>
      </c>
      <c r="E1191" s="3" t="str">
        <f ca="1">IFERROR(__xludf.DUMMYFUNCTION("""COMPUTED_VALUE"""),"Galaxy A")</f>
        <v>Galaxy A</v>
      </c>
      <c r="F1191" s="3" t="str">
        <f ca="1">IFERROR(__xludf.DUMMYFUNCTION("""COMPUTED_VALUE"""),"Ron")</f>
        <v>Ron</v>
      </c>
      <c r="G1191" s="3">
        <f ca="1">IFERROR(__xludf.DUMMYFUNCTION("""COMPUTED_VALUE"""),0)</f>
        <v>0</v>
      </c>
      <c r="H1191" s="3" t="str">
        <f ca="1">IFERROR(__xludf.DUMMYFUNCTION("""COMPUTED_VALUE"""),"bicycle")</f>
        <v>bicycle</v>
      </c>
      <c r="I1191" s="3" t="str">
        <f ca="1">IFERROR(__xludf.DUMMYFUNCTION("""COMPUTED_VALUE"""),"2055-06-04T21:59:25.618422Z")</f>
        <v>2055-06-04T21:59:25.618422Z</v>
      </c>
      <c r="J1191" s="3" t="str">
        <f ca="1">IFERROR(__xludf.DUMMYFUNCTION("""COMPUTED_VALUE"""),"2055-06-04T22:31:32.678Z")</f>
        <v>2055-06-04T22:31:32.678Z</v>
      </c>
      <c r="K1191" s="3" t="str">
        <f ca="1">IFERROR(__xludf.DUMMYFUNCTION("""COMPUTED_VALUE"""),"2055-06-04T22:22:39.678Z")</f>
        <v>2055-06-04T22:22:39.678Z</v>
      </c>
      <c r="L1191" s="3">
        <f ca="1">IFERROR(__xludf.DUMMYFUNCTION("""COMPUTED_VALUE"""),1)</f>
        <v>1</v>
      </c>
      <c r="M1191" s="3">
        <f ca="1">IFERROR(__xludf.DUMMYFUNCTION("""COMPUTED_VALUE"""),0)</f>
        <v>0</v>
      </c>
      <c r="N1191" s="3" t="str">
        <f ca="1">IFERROR(__xludf.DUMMYFUNCTION("""COMPUTED_VALUE"""),"2055-06-04T22:10:49.463316Z")</f>
        <v>2055-06-04T22:10:49.463316Z</v>
      </c>
      <c r="O1191" s="3" t="str">
        <f ca="1">IFERROR(__xludf.DUMMYFUNCTION("""COMPUTED_VALUE"""),"2055-06-04T22:20:01.91182Z")</f>
        <v>2055-06-04T22:20:01.91182Z</v>
      </c>
      <c r="P1191" s="3" t="str">
        <f ca="1">IFERROR(__xludf.DUMMYFUNCTION("""COMPUTED_VALUE"""),"2055-06-04T22:03:14.232062Z")</f>
        <v>2055-06-04T22:03:14.232062Z</v>
      </c>
      <c r="Q1191" s="3">
        <f ca="1">IFERROR(__xludf.DUMMYFUNCTION("""COMPUTED_VALUE"""),0)</f>
        <v>0</v>
      </c>
      <c r="R1191" s="3" t="str">
        <f ca="1">IFERROR(__xludf.DUMMYFUNCTION("""COMPUTED_VALUE"""),"2055-06-04T22:03:28.029533Z")</f>
        <v>2055-06-04T22:03:28.029533Z</v>
      </c>
      <c r="S1191" s="3" t="str">
        <f ca="1">IFERROR(__xludf.DUMMYFUNCTION("""COMPUTED_VALUE"""),"2055-06-04T22:10:54.527607Z")</f>
        <v>2055-06-04T22:10:54.527607Z</v>
      </c>
      <c r="T1191" s="3"/>
      <c r="U1191" s="4">
        <f ca="1">IFERROR(__xludf.DUMMYFUNCTION("""COMPUTED_VALUE"""),56769)</f>
        <v>56769</v>
      </c>
      <c r="V1191" s="3">
        <f ca="1">IFERROR(__xludf.DUMMYFUNCTION("""COMPUTED_VALUE"""),4.061921099)</f>
        <v>4.0619210990000001</v>
      </c>
      <c r="W1191" s="3">
        <f ca="1">IFERROR(__xludf.DUMMYFUNCTION("""COMPUTED_VALUE"""),600)</f>
        <v>600</v>
      </c>
      <c r="X1191" s="3">
        <f ca="1">IFERROR(__xludf.DUMMYFUNCTION("""COMPUTED_VALUE"""),993)</f>
        <v>993</v>
      </c>
      <c r="Y1191" s="3">
        <f ca="1">IFERROR(__xludf.DUMMYFUNCTION("""COMPUTED_VALUE"""),446)</f>
        <v>446</v>
      </c>
      <c r="Z1191" s="3"/>
      <c r="AA1191" s="3">
        <f ca="1">IFERROR(__xludf.DUMMYFUNCTION("""COMPUTED_VALUE"""),552)</f>
        <v>552</v>
      </c>
      <c r="AB1191" s="3">
        <f ca="1">IFERROR(__xludf.DUMMYFUNCTION("""COMPUTED_VALUE"""),0)</f>
        <v>0</v>
      </c>
      <c r="AC1191" s="3">
        <f ca="1">IFERROR(__xludf.DUMMYFUNCTION("""COMPUTED_VALUE"""),1)</f>
        <v>1</v>
      </c>
      <c r="AD1191" s="3" t="str">
        <f ca="1">IFERROR(__xludf.DUMMYFUNCTION("""COMPUTED_VALUE"""),"on time")</f>
        <v>on time</v>
      </c>
      <c r="AE1191" s="3" t="str">
        <f ca="1">IFERROR(__xludf.DUMMYFUNCTION("""COMPUTED_VALUE"""),"2055-06-04T18:10:49.463316Z")</f>
        <v>2055-06-04T18:10:49.463316Z</v>
      </c>
      <c r="AF1191" s="3" t="str">
        <f ca="1">IFERROR(__xludf.DUMMYFUNCTION("""COMPUTED_VALUE"""),"2055-06-04T18:20:01.91182Z")</f>
        <v>2055-06-04T18:20:01.91182Z</v>
      </c>
      <c r="AG1191" s="3" t="str">
        <f ca="1">IFERROR(__xludf.DUMMYFUNCTION("""COMPUTED_VALUE"""),"2055-06-04T18:03:14.232062Z")</f>
        <v>2055-06-04T18:03:14.232062Z</v>
      </c>
      <c r="AH1191" s="3" t="str">
        <f ca="1">IFERROR(__xludf.DUMMYFUNCTION("""COMPUTED_VALUE"""),"2055-06-04T18:10:54.527607Z")</f>
        <v>2055-06-04T18:10:54.527607Z</v>
      </c>
      <c r="AI1191" s="3">
        <f ca="1">IFERROR(__xludf.DUMMYFUNCTION("""COMPUTED_VALUE"""),4.56)</f>
        <v>4.5599999999999996</v>
      </c>
      <c r="AJ1191" s="3">
        <f ca="1">IFERROR(__xludf.DUMMYFUNCTION("""COMPUTED_VALUE"""),765)</f>
        <v>765</v>
      </c>
      <c r="AK1191" s="3">
        <f ca="1">IFERROR(__xludf.DUMMYFUNCTION("""COMPUTED_VALUE"""),2618)</f>
        <v>2618</v>
      </c>
      <c r="AL1191" s="3"/>
      <c r="AM1191" s="3">
        <f>IFERROR(Raw_Data!AL1191 / Raw_Data!AK1191, "")</f>
        <v>0</v>
      </c>
      <c r="AN1191" s="3" t="str">
        <f>IF(ISBLANK(Raw_Data!AL1191), "No", "Yes")</f>
        <v>No</v>
      </c>
      <c r="AO1191" s="3">
        <f>IFERROR(Raw_Data!Z1191/60, "")</f>
        <v>0</v>
      </c>
    </row>
    <row r="1192" spans="1:41" ht="13">
      <c r="A1192" s="3">
        <f ca="1">IFERROR(__xludf.DUMMYFUNCTION("""COMPUTED_VALUE"""),867)</f>
        <v>867</v>
      </c>
      <c r="B1192" s="3">
        <f ca="1">IFERROR(__xludf.DUMMYFUNCTION("""COMPUTED_VALUE"""),5)</f>
        <v>5</v>
      </c>
      <c r="C1192" s="3">
        <f ca="1">IFERROR(__xludf.DUMMYFUNCTION("""COMPUTED_VALUE"""),4050)</f>
        <v>4050</v>
      </c>
      <c r="D1192" s="3" t="str">
        <f ca="1">IFERROR(__xludf.DUMMYFUNCTION("""COMPUTED_VALUE"""),"Doorlanta")</f>
        <v>Doorlanta</v>
      </c>
      <c r="E1192" s="3" t="str">
        <f ca="1">IFERROR(__xludf.DUMMYFUNCTION("""COMPUTED_VALUE"""),"Galaxy A")</f>
        <v>Galaxy A</v>
      </c>
      <c r="F1192" s="3" t="str">
        <f ca="1">IFERROR(__xludf.DUMMYFUNCTION("""COMPUTED_VALUE"""),"Hanna")</f>
        <v>Hanna</v>
      </c>
      <c r="G1192" s="3">
        <f ca="1">IFERROR(__xludf.DUMMYFUNCTION("""COMPUTED_VALUE"""),0)</f>
        <v>0</v>
      </c>
      <c r="H1192" s="3" t="str">
        <f ca="1">IFERROR(__xludf.DUMMYFUNCTION("""COMPUTED_VALUE"""),"car")</f>
        <v>car</v>
      </c>
      <c r="I1192" s="3" t="str">
        <f ca="1">IFERROR(__xludf.DUMMYFUNCTION("""COMPUTED_VALUE"""),"2055-06-07T19:17:36.38643Z")</f>
        <v>2055-06-07T19:17:36.38643Z</v>
      </c>
      <c r="J1192" s="3" t="str">
        <f ca="1">IFERROR(__xludf.DUMMYFUNCTION("""COMPUTED_VALUE"""),"2055-06-07T20:20:41.508Z")</f>
        <v>2055-06-07T20:20:41.508Z</v>
      </c>
      <c r="K1192" s="3" t="str">
        <f ca="1">IFERROR(__xludf.DUMMYFUNCTION("""COMPUTED_VALUE"""),"2055-06-07T20:06:48.508Z")</f>
        <v>2055-06-07T20:06:48.508Z</v>
      </c>
      <c r="L1192" s="3">
        <f ca="1">IFERROR(__xludf.DUMMYFUNCTION("""COMPUTED_VALUE"""),1)</f>
        <v>1</v>
      </c>
      <c r="M1192" s="3">
        <f ca="1">IFERROR(__xludf.DUMMYFUNCTION("""COMPUTED_VALUE"""),0)</f>
        <v>0</v>
      </c>
      <c r="N1192" s="3" t="str">
        <f ca="1">IFERROR(__xludf.DUMMYFUNCTION("""COMPUTED_VALUE"""),"2055-06-07T19:35:06.306194Z")</f>
        <v>2055-06-07T19:35:06.306194Z</v>
      </c>
      <c r="O1192" s="3" t="str">
        <f ca="1">IFERROR(__xludf.DUMMYFUNCTION("""COMPUTED_VALUE"""),"2055-06-07T19:46:44.715968Z")</f>
        <v>2055-06-07T19:46:44.715968Z</v>
      </c>
      <c r="P1192" s="3" t="str">
        <f ca="1">IFERROR(__xludf.DUMMYFUNCTION("""COMPUTED_VALUE"""),"2055-06-07T19:17:47.344265Z")</f>
        <v>2055-06-07T19:17:47.344265Z</v>
      </c>
      <c r="Q1192" s="3">
        <f ca="1">IFERROR(__xludf.DUMMYFUNCTION("""COMPUTED_VALUE"""),0)</f>
        <v>0</v>
      </c>
      <c r="R1192" s="3" t="str">
        <f ca="1">IFERROR(__xludf.DUMMYFUNCTION("""COMPUTED_VALUE"""),"2055-06-07T19:18:11.163831Z")</f>
        <v>2055-06-07T19:18:11.163831Z</v>
      </c>
      <c r="S1192" s="3" t="str">
        <f ca="1">IFERROR(__xludf.DUMMYFUNCTION("""COMPUTED_VALUE"""),"2055-06-07T19:32:56.67514Z")</f>
        <v>2055-06-07T19:32:56.67514Z</v>
      </c>
      <c r="T1192" s="3"/>
      <c r="U1192" s="4">
        <f ca="1">IFERROR(__xludf.DUMMYFUNCTION("""COMPUTED_VALUE"""),56772)</f>
        <v>56772</v>
      </c>
      <c r="V1192" s="3">
        <f ca="1">IFERROR(__xludf.DUMMYFUNCTION("""COMPUTED_VALUE"""),4.1)</f>
        <v>4.0999999999999996</v>
      </c>
      <c r="W1192" s="3">
        <f ca="1">IFERROR(__xludf.DUMMYFUNCTION("""COMPUTED_VALUE"""),600)</f>
        <v>600</v>
      </c>
      <c r="X1192" s="3">
        <f ca="1">IFERROR(__xludf.DUMMYFUNCTION("""COMPUTED_VALUE"""),1713)</f>
        <v>1713</v>
      </c>
      <c r="Y1192" s="3">
        <f ca="1">IFERROR(__xludf.DUMMYFUNCTION("""COMPUTED_VALUE"""),885)</f>
        <v>885</v>
      </c>
      <c r="Z1192" s="3">
        <f ca="1">IFERROR(__xludf.DUMMYFUNCTION("""COMPUTED_VALUE"""),130)</f>
        <v>130</v>
      </c>
      <c r="AA1192" s="3">
        <f ca="1">IFERROR(__xludf.DUMMYFUNCTION("""COMPUTED_VALUE"""),698)</f>
        <v>698</v>
      </c>
      <c r="AB1192" s="3">
        <f ca="1">IFERROR(__xludf.DUMMYFUNCTION("""COMPUTED_VALUE"""),0)</f>
        <v>0</v>
      </c>
      <c r="AC1192" s="3">
        <f ca="1">IFERROR(__xludf.DUMMYFUNCTION("""COMPUTED_VALUE"""),2)</f>
        <v>2</v>
      </c>
      <c r="AD1192" s="3" t="str">
        <f ca="1">IFERROR(__xludf.DUMMYFUNCTION("""COMPUTED_VALUE"""),"early")</f>
        <v>early</v>
      </c>
      <c r="AE1192" s="3" t="str">
        <f ca="1">IFERROR(__xludf.DUMMYFUNCTION("""COMPUTED_VALUE"""),"2055-06-07T15:35:06.306194Z")</f>
        <v>2055-06-07T15:35:06.306194Z</v>
      </c>
      <c r="AF1192" s="3" t="str">
        <f ca="1">IFERROR(__xludf.DUMMYFUNCTION("""COMPUTED_VALUE"""),"2055-06-07T15:46:44.715968Z")</f>
        <v>2055-06-07T15:46:44.715968Z</v>
      </c>
      <c r="AG1192" s="3" t="str">
        <f ca="1">IFERROR(__xludf.DUMMYFUNCTION("""COMPUTED_VALUE"""),"2055-06-07T15:17:47.344265Z")</f>
        <v>2055-06-07T15:17:47.344265Z</v>
      </c>
      <c r="AH1192" s="3" t="str">
        <f ca="1">IFERROR(__xludf.DUMMYFUNCTION("""COMPUTED_VALUE"""),"2055-06-07T15:32:56.67514Z")</f>
        <v>2055-06-07T15:32:56.67514Z</v>
      </c>
      <c r="AI1192" s="3">
        <f ca="1">IFERROR(__xludf.DUMMYFUNCTION("""COMPUTED_VALUE"""),4.79)</f>
        <v>4.79</v>
      </c>
      <c r="AJ1192" s="3">
        <f ca="1">IFERROR(__xludf.DUMMYFUNCTION("""COMPUTED_VALUE"""),1007)</f>
        <v>1007</v>
      </c>
      <c r="AK1192" s="3">
        <f ca="1">IFERROR(__xludf.DUMMYFUNCTION("""COMPUTED_VALUE"""),2899)</f>
        <v>2899</v>
      </c>
      <c r="AL1192" s="3">
        <f ca="1">IFERROR(__xludf.DUMMYFUNCTION("""COMPUTED_VALUE"""),1301)</f>
        <v>1301</v>
      </c>
      <c r="AM1192" s="3">
        <f>IFERROR(Raw_Data!AL1192 / Raw_Data!AK1192, "")</f>
        <v>0.44877543980682993</v>
      </c>
      <c r="AN1192" s="3" t="str">
        <f>IF(ISBLANK(Raw_Data!AL1192), "No", "Yes")</f>
        <v>Yes</v>
      </c>
      <c r="AO1192" s="3">
        <f>IFERROR(Raw_Data!Z1192/60, "")</f>
        <v>2.1666666666666665</v>
      </c>
    </row>
    <row r="1193" spans="1:41" ht="13">
      <c r="A1193" s="3">
        <f ca="1">IFERROR(__xludf.DUMMYFUNCTION("""COMPUTED_VALUE"""),707)</f>
        <v>707</v>
      </c>
      <c r="B1193" s="3"/>
      <c r="C1193" s="3">
        <f ca="1">IFERROR(__xludf.DUMMYFUNCTION("""COMPUTED_VALUE"""),4050)</f>
        <v>4050</v>
      </c>
      <c r="D1193" s="3" t="str">
        <f ca="1">IFERROR(__xludf.DUMMYFUNCTION("""COMPUTED_VALUE"""),"Doorlanta")</f>
        <v>Doorlanta</v>
      </c>
      <c r="E1193" s="3" t="str">
        <f ca="1">IFERROR(__xludf.DUMMYFUNCTION("""COMPUTED_VALUE"""),"Galaxy A")</f>
        <v>Galaxy A</v>
      </c>
      <c r="F1193" s="3" t="str">
        <f ca="1">IFERROR(__xludf.DUMMYFUNCTION("""COMPUTED_VALUE"""),"Elon")</f>
        <v>Elon</v>
      </c>
      <c r="G1193" s="3">
        <f ca="1">IFERROR(__xludf.DUMMYFUNCTION("""COMPUTED_VALUE"""),0)</f>
        <v>0</v>
      </c>
      <c r="H1193" s="3" t="str">
        <f ca="1">IFERROR(__xludf.DUMMYFUNCTION("""COMPUTED_VALUE"""),"car")</f>
        <v>car</v>
      </c>
      <c r="I1193" s="3" t="str">
        <f ca="1">IFERROR(__xludf.DUMMYFUNCTION("""COMPUTED_VALUE"""),"2055-06-06T00:41:57.24455Z")</f>
        <v>2055-06-06T00:41:57.24455Z</v>
      </c>
      <c r="J1193" s="3" t="str">
        <f ca="1">IFERROR(__xludf.DUMMYFUNCTION("""COMPUTED_VALUE"""),"2055-06-06T02:02:23.319Z")</f>
        <v>2055-06-06T02:02:23.319Z</v>
      </c>
      <c r="K1193" s="3" t="str">
        <f ca="1">IFERROR(__xludf.DUMMYFUNCTION("""COMPUTED_VALUE"""),"2055-06-06T01:40:29.319Z")</f>
        <v>2055-06-06T01:40:29.319Z</v>
      </c>
      <c r="L1193" s="3">
        <f ca="1">IFERROR(__xludf.DUMMYFUNCTION("""COMPUTED_VALUE"""),1)</f>
        <v>1</v>
      </c>
      <c r="M1193" s="3">
        <f ca="1">IFERROR(__xludf.DUMMYFUNCTION("""COMPUTED_VALUE"""),0)</f>
        <v>0</v>
      </c>
      <c r="N1193" s="3" t="str">
        <f ca="1">IFERROR(__xludf.DUMMYFUNCTION("""COMPUTED_VALUE"""),"2055-06-06T01:19:34.895775Z")</f>
        <v>2055-06-06T01:19:34.895775Z</v>
      </c>
      <c r="O1193" s="3" t="str">
        <f ca="1">IFERROR(__xludf.DUMMYFUNCTION("""COMPUTED_VALUE"""),"2055-06-06T01:36:16.140182Z")</f>
        <v>2055-06-06T01:36:16.140182Z</v>
      </c>
      <c r="P1193" s="3" t="str">
        <f ca="1">IFERROR(__xludf.DUMMYFUNCTION("""COMPUTED_VALUE"""),"2055-06-06T00:59:27.456603Z")</f>
        <v>2055-06-06T00:59:27.456603Z</v>
      </c>
      <c r="Q1193" s="3">
        <f ca="1">IFERROR(__xludf.DUMMYFUNCTION("""COMPUTED_VALUE"""),0)</f>
        <v>0</v>
      </c>
      <c r="R1193" s="3" t="str">
        <f ca="1">IFERROR(__xludf.DUMMYFUNCTION("""COMPUTED_VALUE"""),"2055-06-06T00:59:37.287305Z")</f>
        <v>2055-06-06T00:59:37.287305Z</v>
      </c>
      <c r="S1193" s="3" t="str">
        <f ca="1">IFERROR(__xludf.DUMMYFUNCTION("""COMPUTED_VALUE"""),"2055-06-06T01:07:16.92293Z")</f>
        <v>2055-06-06T01:07:16.92293Z</v>
      </c>
      <c r="T1193" s="3"/>
      <c r="U1193" s="4">
        <f ca="1">IFERROR(__xludf.DUMMYFUNCTION("""COMPUTED_VALUE"""),56770)</f>
        <v>56770</v>
      </c>
      <c r="V1193" s="3">
        <f ca="1">IFERROR(__xludf.DUMMYFUNCTION("""COMPUTED_VALUE"""),4.2)</f>
        <v>4.2</v>
      </c>
      <c r="W1193" s="3">
        <f ca="1">IFERROR(__xludf.DUMMYFUNCTION("""COMPUTED_VALUE"""),600)</f>
        <v>600</v>
      </c>
      <c r="X1193" s="3">
        <f ca="1">IFERROR(__xludf.DUMMYFUNCTION("""COMPUTED_VALUE"""),2199)</f>
        <v>2199</v>
      </c>
      <c r="Y1193" s="3">
        <f ca="1">IFERROR(__xludf.DUMMYFUNCTION("""COMPUTED_VALUE"""),459)</f>
        <v>459</v>
      </c>
      <c r="Z1193" s="3">
        <f ca="1">IFERROR(__xludf.DUMMYFUNCTION("""COMPUTED_VALUE"""),738)</f>
        <v>738</v>
      </c>
      <c r="AA1193" s="3">
        <f ca="1">IFERROR(__xludf.DUMMYFUNCTION("""COMPUTED_VALUE"""),1002)</f>
        <v>1002</v>
      </c>
      <c r="AB1193" s="3">
        <f ca="1">IFERROR(__xludf.DUMMYFUNCTION("""COMPUTED_VALUE"""),0)</f>
        <v>0</v>
      </c>
      <c r="AC1193" s="3">
        <f ca="1">IFERROR(__xludf.DUMMYFUNCTION("""COMPUTED_VALUE"""),5)</f>
        <v>5</v>
      </c>
      <c r="AD1193" s="3" t="str">
        <f ca="1">IFERROR(__xludf.DUMMYFUNCTION("""COMPUTED_VALUE"""),"on time")</f>
        <v>on time</v>
      </c>
      <c r="AE1193" s="3" t="str">
        <f ca="1">IFERROR(__xludf.DUMMYFUNCTION("""COMPUTED_VALUE"""),"2055-06-05T21:19:34.895775Z")</f>
        <v>2055-06-05T21:19:34.895775Z</v>
      </c>
      <c r="AF1193" s="3" t="str">
        <f ca="1">IFERROR(__xludf.DUMMYFUNCTION("""COMPUTED_VALUE"""),"2055-06-05T21:36:16.140182Z")</f>
        <v>2055-06-05T21:36:16.140182Z</v>
      </c>
      <c r="AG1193" s="3" t="str">
        <f ca="1">IFERROR(__xludf.DUMMYFUNCTION("""COMPUTED_VALUE"""),"2055-06-05T20:59:27.456603Z")</f>
        <v>2055-06-05T20:59:27.456603Z</v>
      </c>
      <c r="AH1193" s="3" t="str">
        <f ca="1">IFERROR(__xludf.DUMMYFUNCTION("""COMPUTED_VALUE"""),"2055-06-05T21:07:16.92293Z")</f>
        <v>2055-06-05T21:07:16.92293Z</v>
      </c>
      <c r="AI1193" s="3">
        <f ca="1">IFERROR(__xludf.DUMMYFUNCTION("""COMPUTED_VALUE"""),4.62)</f>
        <v>4.62</v>
      </c>
      <c r="AJ1193" s="3">
        <f ca="1">IFERROR(__xludf.DUMMYFUNCTION("""COMPUTED_VALUE"""),259)</f>
        <v>259</v>
      </c>
      <c r="AK1193" s="3">
        <f ca="1">IFERROR(__xludf.DUMMYFUNCTION("""COMPUTED_VALUE"""),604)</f>
        <v>604</v>
      </c>
      <c r="AL1193" s="3">
        <f ca="1">IFERROR(__xludf.DUMMYFUNCTION("""COMPUTED_VALUE"""),21)</f>
        <v>21</v>
      </c>
      <c r="AM1193" s="3">
        <f>IFERROR(Raw_Data!AL1193 / Raw_Data!AK1193, "")</f>
        <v>3.4768211920529798E-2</v>
      </c>
      <c r="AN1193" s="3" t="str">
        <f>IF(ISBLANK(Raw_Data!AL1193), "No", "Yes")</f>
        <v>Yes</v>
      </c>
      <c r="AO1193" s="3">
        <f>IFERROR(Raw_Data!Z1193/60, "")</f>
        <v>12.3</v>
      </c>
    </row>
    <row r="1194" spans="1:41" ht="13">
      <c r="A1194" s="3">
        <f ca="1">IFERROR(__xludf.DUMMYFUNCTION("""COMPUTED_VALUE"""),285)</f>
        <v>285</v>
      </c>
      <c r="B1194" s="3">
        <f ca="1">IFERROR(__xludf.DUMMYFUNCTION("""COMPUTED_VALUE"""),5)</f>
        <v>5</v>
      </c>
      <c r="C1194" s="3">
        <f ca="1">IFERROR(__xludf.DUMMYFUNCTION("""COMPUTED_VALUE"""),4050)</f>
        <v>4050</v>
      </c>
      <c r="D1194" s="3" t="str">
        <f ca="1">IFERROR(__xludf.DUMMYFUNCTION("""COMPUTED_VALUE"""),"Doorlanta")</f>
        <v>Doorlanta</v>
      </c>
      <c r="E1194" s="3" t="str">
        <f ca="1">IFERROR(__xludf.DUMMYFUNCTION("""COMPUTED_VALUE"""),"Galaxy A")</f>
        <v>Galaxy A</v>
      </c>
      <c r="F1194" s="3" t="str">
        <f ca="1">IFERROR(__xludf.DUMMYFUNCTION("""COMPUTED_VALUE"""),"Elon")</f>
        <v>Elon</v>
      </c>
      <c r="G1194" s="3">
        <f ca="1">IFERROR(__xludf.DUMMYFUNCTION("""COMPUTED_VALUE"""),0)</f>
        <v>0</v>
      </c>
      <c r="H1194" s="3" t="str">
        <f ca="1">IFERROR(__xludf.DUMMYFUNCTION("""COMPUTED_VALUE"""),"car")</f>
        <v>car</v>
      </c>
      <c r="I1194" s="3" t="str">
        <f ca="1">IFERROR(__xludf.DUMMYFUNCTION("""COMPUTED_VALUE"""),"2055-06-03T16:23:33.828316Z")</f>
        <v>2055-06-03T16:23:33.828316Z</v>
      </c>
      <c r="J1194" s="3" t="str">
        <f ca="1">IFERROR(__xludf.DUMMYFUNCTION("""COMPUTED_VALUE"""),"2055-06-03T17:23:21.903Z")</f>
        <v>2055-06-03T17:23:21.903Z</v>
      </c>
      <c r="K1194" s="3" t="str">
        <f ca="1">IFERROR(__xludf.DUMMYFUNCTION("""COMPUTED_VALUE"""),"2055-06-03T17:01:27.903Z")</f>
        <v>2055-06-03T17:01:27.903Z</v>
      </c>
      <c r="L1194" s="3">
        <f ca="1">IFERROR(__xludf.DUMMYFUNCTION("""COMPUTED_VALUE"""),1)</f>
        <v>1</v>
      </c>
      <c r="M1194" s="3">
        <f ca="1">IFERROR(__xludf.DUMMYFUNCTION("""COMPUTED_VALUE"""),0)</f>
        <v>0</v>
      </c>
      <c r="N1194" s="3" t="str">
        <f ca="1">IFERROR(__xludf.DUMMYFUNCTION("""COMPUTED_VALUE"""),"2055-06-03T16:53:08.03931Z")</f>
        <v>2055-06-03T16:53:08.03931Z</v>
      </c>
      <c r="O1194" s="3" t="str">
        <f ca="1">IFERROR(__xludf.DUMMYFUNCTION("""COMPUTED_VALUE"""),"2055-06-03T17:01:00.719568Z")</f>
        <v>2055-06-03T17:01:00.719568Z</v>
      </c>
      <c r="P1194" s="3" t="str">
        <f ca="1">IFERROR(__xludf.DUMMYFUNCTION("""COMPUTED_VALUE"""),"2055-06-03T16:28:47.391164Z")</f>
        <v>2055-06-03T16:28:47.391164Z</v>
      </c>
      <c r="Q1194" s="3">
        <f ca="1">IFERROR(__xludf.DUMMYFUNCTION("""COMPUTED_VALUE"""),0)</f>
        <v>0</v>
      </c>
      <c r="R1194" s="3" t="str">
        <f ca="1">IFERROR(__xludf.DUMMYFUNCTION("""COMPUTED_VALUE"""),"2055-06-03T16:28:57.128136Z")</f>
        <v>2055-06-03T16:28:57.128136Z</v>
      </c>
      <c r="S1194" s="3" t="str">
        <f ca="1">IFERROR(__xludf.DUMMYFUNCTION("""COMPUTED_VALUE"""),"2055-06-03T16:40:20.943929Z")</f>
        <v>2055-06-03T16:40:20.943929Z</v>
      </c>
      <c r="T1194" s="3"/>
      <c r="U1194" s="4">
        <f ca="1">IFERROR(__xludf.DUMMYFUNCTION("""COMPUTED_VALUE"""),56768)</f>
        <v>56768</v>
      </c>
      <c r="V1194" s="3">
        <f ca="1">IFERROR(__xludf.DUMMYFUNCTION("""COMPUTED_VALUE"""),4.4)</f>
        <v>4.4000000000000004</v>
      </c>
      <c r="W1194" s="3">
        <f ca="1">IFERROR(__xludf.DUMMYFUNCTION("""COMPUTED_VALUE"""),600)</f>
        <v>600</v>
      </c>
      <c r="X1194" s="3">
        <f ca="1">IFERROR(__xludf.DUMMYFUNCTION("""COMPUTED_VALUE"""),1923)</f>
        <v>1923</v>
      </c>
      <c r="Y1194" s="3">
        <f ca="1">IFERROR(__xludf.DUMMYFUNCTION("""COMPUTED_VALUE"""),683)</f>
        <v>683</v>
      </c>
      <c r="Z1194" s="3">
        <f ca="1">IFERROR(__xludf.DUMMYFUNCTION("""COMPUTED_VALUE"""),768)</f>
        <v>768</v>
      </c>
      <c r="AA1194" s="3">
        <f ca="1">IFERROR(__xludf.DUMMYFUNCTION("""COMPUTED_VALUE"""),472)</f>
        <v>472</v>
      </c>
      <c r="AB1194" s="3">
        <f ca="1">IFERROR(__xludf.DUMMYFUNCTION("""COMPUTED_VALUE"""),0)</f>
        <v>0</v>
      </c>
      <c r="AC1194" s="3">
        <f ca="1">IFERROR(__xludf.DUMMYFUNCTION("""COMPUTED_VALUE"""),3)</f>
        <v>3</v>
      </c>
      <c r="AD1194" s="3" t="str">
        <f ca="1">IFERROR(__xludf.DUMMYFUNCTION("""COMPUTED_VALUE"""),"early")</f>
        <v>early</v>
      </c>
      <c r="AE1194" s="3" t="str">
        <f ca="1">IFERROR(__xludf.DUMMYFUNCTION("""COMPUTED_VALUE"""),"2055-06-03T12:53:08.03931Z")</f>
        <v>2055-06-03T12:53:08.03931Z</v>
      </c>
      <c r="AF1194" s="3" t="str">
        <f ca="1">IFERROR(__xludf.DUMMYFUNCTION("""COMPUTED_VALUE"""),"2055-06-03T13:01:00.719568Z")</f>
        <v>2055-06-03T13:01:00.719568Z</v>
      </c>
      <c r="AG1194" s="3" t="str">
        <f ca="1">IFERROR(__xludf.DUMMYFUNCTION("""COMPUTED_VALUE"""),"2055-06-03T12:28:47.391164Z")</f>
        <v>2055-06-03T12:28:47.391164Z</v>
      </c>
      <c r="AH1194" s="3" t="str">
        <f ca="1">IFERROR(__xludf.DUMMYFUNCTION("""COMPUTED_VALUE"""),"2055-06-03T12:40:20.943929Z")</f>
        <v>2055-06-03T12:40:20.943929Z</v>
      </c>
      <c r="AI1194" s="3">
        <f ca="1">IFERROR(__xludf.DUMMYFUNCTION("""COMPUTED_VALUE"""),4.62)</f>
        <v>4.62</v>
      </c>
      <c r="AJ1194" s="3">
        <f ca="1">IFERROR(__xludf.DUMMYFUNCTION("""COMPUTED_VALUE"""),259)</f>
        <v>259</v>
      </c>
      <c r="AK1194" s="3">
        <f ca="1">IFERROR(__xludf.DUMMYFUNCTION("""COMPUTED_VALUE"""),604)</f>
        <v>604</v>
      </c>
      <c r="AL1194" s="3">
        <f ca="1">IFERROR(__xludf.DUMMYFUNCTION("""COMPUTED_VALUE"""),21)</f>
        <v>21</v>
      </c>
      <c r="AM1194" s="3">
        <f>IFERROR(Raw_Data!AL1194 / Raw_Data!AK1194, "")</f>
        <v>3.4768211920529798E-2</v>
      </c>
      <c r="AN1194" s="3" t="str">
        <f>IF(ISBLANK(Raw_Data!AL1194), "No", "Yes")</f>
        <v>Yes</v>
      </c>
      <c r="AO1194" s="3">
        <f>IFERROR(Raw_Data!Z1194/60, "")</f>
        <v>12.8</v>
      </c>
    </row>
    <row r="1195" spans="1:41" ht="13">
      <c r="A1195" s="3">
        <f ca="1">IFERROR(__xludf.DUMMYFUNCTION("""COMPUTED_VALUE"""),254)</f>
        <v>254</v>
      </c>
      <c r="B1195" s="3">
        <f ca="1">IFERROR(__xludf.DUMMYFUNCTION("""COMPUTED_VALUE"""),5)</f>
        <v>5</v>
      </c>
      <c r="C1195" s="3">
        <f ca="1">IFERROR(__xludf.DUMMYFUNCTION("""COMPUTED_VALUE"""),4001)</f>
        <v>4001</v>
      </c>
      <c r="D1195" s="3" t="str">
        <f ca="1">IFERROR(__xludf.DUMMYFUNCTION("""COMPUTED_VALUE"""),"Dashattan")</f>
        <v>Dashattan</v>
      </c>
      <c r="E1195" s="3" t="str">
        <f ca="1">IFERROR(__xludf.DUMMYFUNCTION("""COMPUTED_VALUE"""),"Galaxy A")</f>
        <v>Galaxy A</v>
      </c>
      <c r="F1195" s="3" t="str">
        <f ca="1">IFERROR(__xludf.DUMMYFUNCTION("""COMPUTED_VALUE"""),"KC")</f>
        <v>KC</v>
      </c>
      <c r="G1195" s="3">
        <f ca="1">IFERROR(__xludf.DUMMYFUNCTION("""COMPUTED_VALUE"""),0)</f>
        <v>0</v>
      </c>
      <c r="H1195" s="3" t="str">
        <f ca="1">IFERROR(__xludf.DUMMYFUNCTION("""COMPUTED_VALUE"""),"car")</f>
        <v>car</v>
      </c>
      <c r="I1195" s="3" t="str">
        <f ca="1">IFERROR(__xludf.DUMMYFUNCTION("""COMPUTED_VALUE"""),"2055-06-03T13:58:17.272437Z")</f>
        <v>2055-06-03T13:58:17.272437Z</v>
      </c>
      <c r="J1195" s="3" t="str">
        <f ca="1">IFERROR(__xludf.DUMMYFUNCTION("""COMPUTED_VALUE"""),"2055-06-03T14:43:37.348Z")</f>
        <v>2055-06-03T14:43:37.348Z</v>
      </c>
      <c r="K1195" s="3" t="str">
        <f ca="1">IFERROR(__xludf.DUMMYFUNCTION("""COMPUTED_VALUE"""),"2055-06-03T14:24:44.348Z")</f>
        <v>2055-06-03T14:24:44.348Z</v>
      </c>
      <c r="L1195" s="3">
        <f ca="1">IFERROR(__xludf.DUMMYFUNCTION("""COMPUTED_VALUE"""),1)</f>
        <v>1</v>
      </c>
      <c r="M1195" s="3">
        <f ca="1">IFERROR(__xludf.DUMMYFUNCTION("""COMPUTED_VALUE"""),0)</f>
        <v>0</v>
      </c>
      <c r="N1195" s="3" t="str">
        <f ca="1">IFERROR(__xludf.DUMMYFUNCTION("""COMPUTED_VALUE"""),"2055-06-03T14:24:31.598206Z")</f>
        <v>2055-06-03T14:24:31.598206Z</v>
      </c>
      <c r="O1195" s="3" t="str">
        <f ca="1">IFERROR(__xludf.DUMMYFUNCTION("""COMPUTED_VALUE"""),"2055-06-03T14:31:48.536901Z")</f>
        <v>2055-06-03T14:31:48.536901Z</v>
      </c>
      <c r="P1195" s="3" t="str">
        <f ca="1">IFERROR(__xludf.DUMMYFUNCTION("""COMPUTED_VALUE"""),"2055-06-03T14:00:34.066837Z")</f>
        <v>2055-06-03T14:00:34.066837Z</v>
      </c>
      <c r="Q1195" s="3">
        <f ca="1">IFERROR(__xludf.DUMMYFUNCTION("""COMPUTED_VALUE"""),0)</f>
        <v>0</v>
      </c>
      <c r="R1195" s="3" t="str">
        <f ca="1">IFERROR(__xludf.DUMMYFUNCTION("""COMPUTED_VALUE"""),"2055-06-03T14:00:39.590787Z")</f>
        <v>2055-06-03T14:00:39.590787Z</v>
      </c>
      <c r="S1195" s="3" t="str">
        <f ca="1">IFERROR(__xludf.DUMMYFUNCTION("""COMPUTED_VALUE"""),"2055-06-03T14:11:10.793665Z")</f>
        <v>2055-06-03T14:11:10.793665Z</v>
      </c>
      <c r="T1195" s="3"/>
      <c r="U1195" s="4">
        <f ca="1">IFERROR(__xludf.DUMMYFUNCTION("""COMPUTED_VALUE"""),56768)</f>
        <v>56768</v>
      </c>
      <c r="V1195" s="3">
        <f ca="1">IFERROR(__xludf.DUMMYFUNCTION("""COMPUTED_VALUE"""),4.5)</f>
        <v>4.5</v>
      </c>
      <c r="W1195" s="3">
        <f ca="1">IFERROR(__xludf.DUMMYFUNCTION("""COMPUTED_VALUE"""),600)</f>
        <v>600</v>
      </c>
      <c r="X1195" s="3">
        <f ca="1">IFERROR(__xludf.DUMMYFUNCTION("""COMPUTED_VALUE"""),1869)</f>
        <v>1869</v>
      </c>
      <c r="Y1195" s="3">
        <f ca="1">IFERROR(__xludf.DUMMYFUNCTION("""COMPUTED_VALUE"""),631)</f>
        <v>631</v>
      </c>
      <c r="Z1195" s="3">
        <f ca="1">IFERROR(__xludf.DUMMYFUNCTION("""COMPUTED_VALUE"""),801)</f>
        <v>801</v>
      </c>
      <c r="AA1195" s="3">
        <f ca="1">IFERROR(__xludf.DUMMYFUNCTION("""COMPUTED_VALUE"""),437)</f>
        <v>437</v>
      </c>
      <c r="AB1195" s="3">
        <f ca="1">IFERROR(__xludf.DUMMYFUNCTION("""COMPUTED_VALUE"""),1)</f>
        <v>1</v>
      </c>
      <c r="AC1195" s="3">
        <f ca="1">IFERROR(__xludf.DUMMYFUNCTION("""COMPUTED_VALUE"""),1)</f>
        <v>1</v>
      </c>
      <c r="AD1195" s="3"/>
      <c r="AE1195" s="3" t="str">
        <f ca="1">IFERROR(__xludf.DUMMYFUNCTION("""COMPUTED_VALUE"""),"2055-06-03T10:24:31.598206Z")</f>
        <v>2055-06-03T10:24:31.598206Z</v>
      </c>
      <c r="AF1195" s="3" t="str">
        <f ca="1">IFERROR(__xludf.DUMMYFUNCTION("""COMPUTED_VALUE"""),"2055-06-03T10:31:48.536901Z")</f>
        <v>2055-06-03T10:31:48.536901Z</v>
      </c>
      <c r="AG1195" s="3" t="str">
        <f ca="1">IFERROR(__xludf.DUMMYFUNCTION("""COMPUTED_VALUE"""),"2055-06-03T10:00:34.066837Z")</f>
        <v>2055-06-03T10:00:34.066837Z</v>
      </c>
      <c r="AH1195" s="3" t="str">
        <f ca="1">IFERROR(__xludf.DUMMYFUNCTION("""COMPUTED_VALUE"""),"2055-06-03T10:11:10.793665Z")</f>
        <v>2055-06-03T10:11:10.793665Z</v>
      </c>
      <c r="AI1195" s="3">
        <f ca="1">IFERROR(__xludf.DUMMYFUNCTION("""COMPUTED_VALUE"""),4.54)</f>
        <v>4.54</v>
      </c>
      <c r="AJ1195" s="3">
        <f ca="1">IFERROR(__xludf.DUMMYFUNCTION("""COMPUTED_VALUE"""),2229)</f>
        <v>2229</v>
      </c>
      <c r="AK1195" s="3">
        <f ca="1">IFERROR(__xludf.DUMMYFUNCTION("""COMPUTED_VALUE"""),6580)</f>
        <v>6580</v>
      </c>
      <c r="AL1195" s="3"/>
      <c r="AM1195" s="3">
        <f>IFERROR(Raw_Data!AL1195 / Raw_Data!AK1195, "")</f>
        <v>0</v>
      </c>
      <c r="AN1195" s="3" t="str">
        <f>IF(ISBLANK(Raw_Data!AL1195), "No", "Yes")</f>
        <v>No</v>
      </c>
      <c r="AO1195" s="3">
        <f>IFERROR(Raw_Data!Z1195/60, "")</f>
        <v>13.35</v>
      </c>
    </row>
    <row r="1196" spans="1:41" ht="13">
      <c r="A1196" s="3">
        <f ca="1">IFERROR(__xludf.DUMMYFUNCTION("""COMPUTED_VALUE"""),924)</f>
        <v>924</v>
      </c>
      <c r="B1196" s="3"/>
      <c r="C1196" s="3">
        <f ca="1">IFERROR(__xludf.DUMMYFUNCTION("""COMPUTED_VALUE"""),4001)</f>
        <v>4001</v>
      </c>
      <c r="D1196" s="3" t="str">
        <f ca="1">IFERROR(__xludf.DUMMYFUNCTION("""COMPUTED_VALUE"""),"Dashattan")</f>
        <v>Dashattan</v>
      </c>
      <c r="E1196" s="3" t="str">
        <f ca="1">IFERROR(__xludf.DUMMYFUNCTION("""COMPUTED_VALUE"""),"Galaxy A")</f>
        <v>Galaxy A</v>
      </c>
      <c r="F1196" s="3" t="str">
        <f ca="1">IFERROR(__xludf.DUMMYFUNCTION("""COMPUTED_VALUE"""),"Rojan")</f>
        <v>Rojan</v>
      </c>
      <c r="G1196" s="3">
        <f ca="1">IFERROR(__xludf.DUMMYFUNCTION("""COMPUTED_VALUE"""),0)</f>
        <v>0</v>
      </c>
      <c r="H1196" s="3" t="str">
        <f ca="1">IFERROR(__xludf.DUMMYFUNCTION("""COMPUTED_VALUE"""),"bicycle")</f>
        <v>bicycle</v>
      </c>
      <c r="I1196" s="3" t="str">
        <f ca="1">IFERROR(__xludf.DUMMYFUNCTION("""COMPUTED_VALUE"""),"2055-06-08T13:25:42.36592Z")</f>
        <v>2055-06-08T13:25:42.36592Z</v>
      </c>
      <c r="J1196" s="3" t="str">
        <f ca="1">IFERROR(__xludf.DUMMYFUNCTION("""COMPUTED_VALUE"""),"2055-06-08T14:11:40.499Z")</f>
        <v>2055-06-08T14:11:40.499Z</v>
      </c>
      <c r="K1196" s="3" t="str">
        <f ca="1">IFERROR(__xludf.DUMMYFUNCTION("""COMPUTED_VALUE"""),"2055-06-08T14:03:22.499Z")</f>
        <v>2055-06-08T14:03:22.499Z</v>
      </c>
      <c r="L1196" s="3">
        <f ca="1">IFERROR(__xludf.DUMMYFUNCTION("""COMPUTED_VALUE"""),1)</f>
        <v>1</v>
      </c>
      <c r="M1196" s="3">
        <f ca="1">IFERROR(__xludf.DUMMYFUNCTION("""COMPUTED_VALUE"""),0)</f>
        <v>0</v>
      </c>
      <c r="N1196" s="3" t="str">
        <f ca="1">IFERROR(__xludf.DUMMYFUNCTION("""COMPUTED_VALUE"""),"2055-06-08T14:06:24.342125Z")</f>
        <v>2055-06-08T14:06:24.342125Z</v>
      </c>
      <c r="O1196" s="3" t="str">
        <f ca="1">IFERROR(__xludf.DUMMYFUNCTION("""COMPUTED_VALUE"""),"2055-06-08T14:22:07.363469Z")</f>
        <v>2055-06-08T14:22:07.363469Z</v>
      </c>
      <c r="P1196" s="3" t="str">
        <f ca="1">IFERROR(__xludf.DUMMYFUNCTION("""COMPUTED_VALUE"""),"2055-06-08T13:50:34.054291Z")</f>
        <v>2055-06-08T13:50:34.054291Z</v>
      </c>
      <c r="Q1196" s="3">
        <f ca="1">IFERROR(__xludf.DUMMYFUNCTION("""COMPUTED_VALUE"""),0)</f>
        <v>0</v>
      </c>
      <c r="R1196" s="3" t="str">
        <f ca="1">IFERROR(__xludf.DUMMYFUNCTION("""COMPUTED_VALUE"""),"2055-06-08T13:50:53.556514Z")</f>
        <v>2055-06-08T13:50:53.556514Z</v>
      </c>
      <c r="S1196" s="3" t="str">
        <f ca="1">IFERROR(__xludf.DUMMYFUNCTION("""COMPUTED_VALUE"""),"2055-06-08T14:06:27.134238Z")</f>
        <v>2055-06-08T14:06:27.134238Z</v>
      </c>
      <c r="T1196" s="3"/>
      <c r="U1196" s="4">
        <f ca="1">IFERROR(__xludf.DUMMYFUNCTION("""COMPUTED_VALUE"""),56773)</f>
        <v>56773</v>
      </c>
      <c r="V1196" s="3">
        <f ca="1">IFERROR(__xludf.DUMMYFUNCTION("""COMPUTED_VALUE"""),3.979211633)</f>
        <v>3.9792116329999998</v>
      </c>
      <c r="W1196" s="3">
        <f ca="1">IFERROR(__xludf.DUMMYFUNCTION("""COMPUTED_VALUE"""),600)</f>
        <v>600</v>
      </c>
      <c r="X1196" s="3">
        <f ca="1">IFERROR(__xludf.DUMMYFUNCTION("""COMPUTED_VALUE"""),1874)</f>
        <v>1874</v>
      </c>
      <c r="Y1196" s="3">
        <f ca="1">IFERROR(__xludf.DUMMYFUNCTION("""COMPUTED_VALUE"""),934)</f>
        <v>934</v>
      </c>
      <c r="Z1196" s="3"/>
      <c r="AA1196" s="3">
        <f ca="1">IFERROR(__xludf.DUMMYFUNCTION("""COMPUTED_VALUE"""),943)</f>
        <v>943</v>
      </c>
      <c r="AB1196" s="3">
        <f ca="1">IFERROR(__xludf.DUMMYFUNCTION("""COMPUTED_VALUE"""),0)</f>
        <v>0</v>
      </c>
      <c r="AC1196" s="3">
        <f ca="1">IFERROR(__xludf.DUMMYFUNCTION("""COMPUTED_VALUE"""),1)</f>
        <v>1</v>
      </c>
      <c r="AD1196" s="3" t="str">
        <f ca="1">IFERROR(__xludf.DUMMYFUNCTION("""COMPUTED_VALUE"""),"late")</f>
        <v>late</v>
      </c>
      <c r="AE1196" s="3" t="str">
        <f ca="1">IFERROR(__xludf.DUMMYFUNCTION("""COMPUTED_VALUE"""),"2055-06-08T10:06:24.342125Z")</f>
        <v>2055-06-08T10:06:24.342125Z</v>
      </c>
      <c r="AF1196" s="3" t="str">
        <f ca="1">IFERROR(__xludf.DUMMYFUNCTION("""COMPUTED_VALUE"""),"2055-06-08T10:22:07.363469Z")</f>
        <v>2055-06-08T10:22:07.363469Z</v>
      </c>
      <c r="AG1196" s="3" t="str">
        <f ca="1">IFERROR(__xludf.DUMMYFUNCTION("""COMPUTED_VALUE"""),"2055-06-08T09:50:34.054291Z")</f>
        <v>2055-06-08T09:50:34.054291Z</v>
      </c>
      <c r="AH1196" s="3" t="str">
        <f ca="1">IFERROR(__xludf.DUMMYFUNCTION("""COMPUTED_VALUE"""),"2055-06-08T10:06:27.134238Z")</f>
        <v>2055-06-08T10:06:27.134238Z</v>
      </c>
      <c r="AI1196" s="3">
        <f ca="1">IFERROR(__xludf.DUMMYFUNCTION("""COMPUTED_VALUE"""),4.58)</f>
        <v>4.58</v>
      </c>
      <c r="AJ1196" s="3">
        <f ca="1">IFERROR(__xludf.DUMMYFUNCTION("""COMPUTED_VALUE"""),254)</f>
        <v>254</v>
      </c>
      <c r="AK1196" s="3">
        <f ca="1">IFERROR(__xludf.DUMMYFUNCTION("""COMPUTED_VALUE"""),788)</f>
        <v>788</v>
      </c>
      <c r="AL1196" s="3">
        <f ca="1">IFERROR(__xludf.DUMMYFUNCTION("""COMPUTED_VALUE"""),9)</f>
        <v>9</v>
      </c>
      <c r="AM1196" s="3">
        <f>IFERROR(Raw_Data!AL1196 / Raw_Data!AK1196, "")</f>
        <v>1.1421319796954314E-2</v>
      </c>
      <c r="AN1196" s="3" t="str">
        <f>IF(ISBLANK(Raw_Data!AL1196), "No", "Yes")</f>
        <v>Yes</v>
      </c>
      <c r="AO1196" s="3">
        <f>IFERROR(Raw_Data!Z1196/60, "")</f>
        <v>0</v>
      </c>
    </row>
    <row r="1197" spans="1:41" ht="13">
      <c r="A1197" s="3">
        <f ca="1">IFERROR(__xludf.DUMMYFUNCTION("""COMPUTED_VALUE"""),866)</f>
        <v>866</v>
      </c>
      <c r="B1197" s="3">
        <f ca="1">IFERROR(__xludf.DUMMYFUNCTION("""COMPUTED_VALUE"""),5)</f>
        <v>5</v>
      </c>
      <c r="C1197" s="3">
        <f ca="1">IFERROR(__xludf.DUMMYFUNCTION("""COMPUTED_VALUE"""),4050)</f>
        <v>4050</v>
      </c>
      <c r="D1197" s="3" t="str">
        <f ca="1">IFERROR(__xludf.DUMMYFUNCTION("""COMPUTED_VALUE"""),"Doorlanta")</f>
        <v>Doorlanta</v>
      </c>
      <c r="E1197" s="3" t="str">
        <f ca="1">IFERROR(__xludf.DUMMYFUNCTION("""COMPUTED_VALUE"""),"Galaxy A")</f>
        <v>Galaxy A</v>
      </c>
      <c r="F1197" s="3" t="str">
        <f ca="1">IFERROR(__xludf.DUMMYFUNCTION("""COMPUTED_VALUE"""),"Jagar")</f>
        <v>Jagar</v>
      </c>
      <c r="G1197" s="3">
        <f ca="1">IFERROR(__xludf.DUMMYFUNCTION("""COMPUTED_VALUE"""),0)</f>
        <v>0</v>
      </c>
      <c r="H1197" s="3" t="str">
        <f ca="1">IFERROR(__xludf.DUMMYFUNCTION("""COMPUTED_VALUE"""),"car")</f>
        <v>car</v>
      </c>
      <c r="I1197" s="3" t="str">
        <f ca="1">IFERROR(__xludf.DUMMYFUNCTION("""COMPUTED_VALUE"""),"2055-06-07T19:17:17.85693Z")</f>
        <v>2055-06-07T19:17:17.85693Z</v>
      </c>
      <c r="J1197" s="3" t="str">
        <f ca="1">IFERROR(__xludf.DUMMYFUNCTION("""COMPUTED_VALUE"""),"2055-06-07T19:57:17.928Z")</f>
        <v>2055-06-07T19:57:17.928Z</v>
      </c>
      <c r="K1197" s="3" t="str">
        <f ca="1">IFERROR(__xludf.DUMMYFUNCTION("""COMPUTED_VALUE"""),"2055-06-07T19:46:57.928Z")</f>
        <v>2055-06-07T19:46:57.928Z</v>
      </c>
      <c r="L1197" s="3">
        <f ca="1">IFERROR(__xludf.DUMMYFUNCTION("""COMPUTED_VALUE"""),1)</f>
        <v>1</v>
      </c>
      <c r="M1197" s="3">
        <f ca="1">IFERROR(__xludf.DUMMYFUNCTION("""COMPUTED_VALUE"""),0)</f>
        <v>0</v>
      </c>
      <c r="N1197" s="3" t="str">
        <f ca="1">IFERROR(__xludf.DUMMYFUNCTION("""COMPUTED_VALUE"""),"2055-06-07T19:57:40.315969Z")</f>
        <v>2055-06-07T19:57:40.315969Z</v>
      </c>
      <c r="O1197" s="3" t="str">
        <f ca="1">IFERROR(__xludf.DUMMYFUNCTION("""COMPUTED_VALUE"""),"2055-06-07T20:03:12.489268Z")</f>
        <v>2055-06-07T20:03:12.489268Z</v>
      </c>
      <c r="P1197" s="3" t="str">
        <f ca="1">IFERROR(__xludf.DUMMYFUNCTION("""COMPUTED_VALUE"""),"2055-06-07T19:35:27.275918Z")</f>
        <v>2055-06-07T19:35:27.275918Z</v>
      </c>
      <c r="Q1197" s="3">
        <f ca="1">IFERROR(__xludf.DUMMYFUNCTION("""COMPUTED_VALUE"""),0)</f>
        <v>0</v>
      </c>
      <c r="R1197" s="3" t="str">
        <f ca="1">IFERROR(__xludf.DUMMYFUNCTION("""COMPUTED_VALUE"""),"2055-06-07T19:36:16.185454Z")</f>
        <v>2055-06-07T19:36:16.185454Z</v>
      </c>
      <c r="S1197" s="3"/>
      <c r="T1197" s="3"/>
      <c r="U1197" s="4">
        <f ca="1">IFERROR(__xludf.DUMMYFUNCTION("""COMPUTED_VALUE"""),56772)</f>
        <v>56772</v>
      </c>
      <c r="V1197" s="3">
        <f ca="1">IFERROR(__xludf.DUMMYFUNCTION("""COMPUTED_VALUE"""),4.6)</f>
        <v>4.5999999999999996</v>
      </c>
      <c r="W1197" s="3">
        <f ca="1">IFERROR(__xludf.DUMMYFUNCTION("""COMPUTED_VALUE"""),400)</f>
        <v>400</v>
      </c>
      <c r="X1197" s="3">
        <f ca="1">IFERROR(__xludf.DUMMYFUNCTION("""COMPUTED_VALUE"""),1616)</f>
        <v>1616</v>
      </c>
      <c r="Y1197" s="3"/>
      <c r="Z1197" s="3"/>
      <c r="AA1197" s="3">
        <f ca="1">IFERROR(__xludf.DUMMYFUNCTION("""COMPUTED_VALUE"""),332)</f>
        <v>332</v>
      </c>
      <c r="AB1197" s="3">
        <f ca="1">IFERROR(__xludf.DUMMYFUNCTION("""COMPUTED_VALUE"""),0)</f>
        <v>0</v>
      </c>
      <c r="AC1197" s="3">
        <f ca="1">IFERROR(__xludf.DUMMYFUNCTION("""COMPUTED_VALUE"""),1)</f>
        <v>1</v>
      </c>
      <c r="AD1197" s="3"/>
      <c r="AE1197" s="3" t="str">
        <f ca="1">IFERROR(__xludf.DUMMYFUNCTION("""COMPUTED_VALUE"""),"2055-06-07T15:57:40.315969Z")</f>
        <v>2055-06-07T15:57:40.315969Z</v>
      </c>
      <c r="AF1197" s="3" t="str">
        <f ca="1">IFERROR(__xludf.DUMMYFUNCTION("""COMPUTED_VALUE"""),"2055-06-07T16:03:12.489268Z")</f>
        <v>2055-06-07T16:03:12.489268Z</v>
      </c>
      <c r="AG1197" s="3" t="str">
        <f ca="1">IFERROR(__xludf.DUMMYFUNCTION("""COMPUTED_VALUE"""),"2055-06-07T15:35:27.275918Z")</f>
        <v>2055-06-07T15:35:27.275918Z</v>
      </c>
      <c r="AH1197" s="3"/>
      <c r="AI1197" s="3">
        <f ca="1">IFERROR(__xludf.DUMMYFUNCTION("""COMPUTED_VALUE"""),4.89)</f>
        <v>4.8899999999999997</v>
      </c>
      <c r="AJ1197" s="3">
        <f ca="1">IFERROR(__xludf.DUMMYFUNCTION("""COMPUTED_VALUE"""),1778)</f>
        <v>1778</v>
      </c>
      <c r="AK1197" s="3">
        <f ca="1">IFERROR(__xludf.DUMMYFUNCTION("""COMPUTED_VALUE"""),5138)</f>
        <v>5138</v>
      </c>
      <c r="AL1197" s="3">
        <f ca="1">IFERROR(__xludf.DUMMYFUNCTION("""COMPUTED_VALUE"""),314)</f>
        <v>314</v>
      </c>
      <c r="AM1197" s="3">
        <f>IFERROR(Raw_Data!AL1197 / Raw_Data!AK1197, "")</f>
        <v>6.1113273647333592E-2</v>
      </c>
      <c r="AN1197" s="3" t="str">
        <f>IF(ISBLANK(Raw_Data!AL1197), "No", "Yes")</f>
        <v>Yes</v>
      </c>
      <c r="AO1197" s="3">
        <f>IFERROR(Raw_Data!Z1197/60, "")</f>
        <v>0</v>
      </c>
    </row>
    <row r="1198" spans="1:41" ht="13">
      <c r="A1198" s="3">
        <f ca="1">IFERROR(__xludf.DUMMYFUNCTION("""COMPUTED_VALUE"""),1527)</f>
        <v>1527</v>
      </c>
      <c r="B1198" s="3"/>
      <c r="C1198" s="3">
        <f ca="1">IFERROR(__xludf.DUMMYFUNCTION("""COMPUTED_VALUE"""),4001)</f>
        <v>4001</v>
      </c>
      <c r="D1198" s="3" t="str">
        <f ca="1">IFERROR(__xludf.DUMMYFUNCTION("""COMPUTED_VALUE"""),"Dashattan")</f>
        <v>Dashattan</v>
      </c>
      <c r="E1198" s="3" t="str">
        <f ca="1">IFERROR(__xludf.DUMMYFUNCTION("""COMPUTED_VALUE"""),"Galaxy A")</f>
        <v>Galaxy A</v>
      </c>
      <c r="F1198" s="3" t="str">
        <f ca="1">IFERROR(__xludf.DUMMYFUNCTION("""COMPUTED_VALUE"""),"Rojan")</f>
        <v>Rojan</v>
      </c>
      <c r="G1198" s="3">
        <f ca="1">IFERROR(__xludf.DUMMYFUNCTION("""COMPUTED_VALUE"""),0)</f>
        <v>0</v>
      </c>
      <c r="H1198" s="3" t="str">
        <f ca="1">IFERROR(__xludf.DUMMYFUNCTION("""COMPUTED_VALUE"""),"bicycle")</f>
        <v>bicycle</v>
      </c>
      <c r="I1198" s="3" t="str">
        <f ca="1">IFERROR(__xludf.DUMMYFUNCTION("""COMPUTED_VALUE"""),"2055-06-13T00:37:24.922566Z")</f>
        <v>2055-06-13T00:37:24.922566Z</v>
      </c>
      <c r="J1198" s="3" t="str">
        <f ca="1">IFERROR(__xludf.DUMMYFUNCTION("""COMPUTED_VALUE"""),"2055-06-13T01:33:12.976Z")</f>
        <v>2055-06-13T01:33:12.976Z</v>
      </c>
      <c r="K1198" s="3" t="str">
        <f ca="1">IFERROR(__xludf.DUMMYFUNCTION("""COMPUTED_VALUE"""),"2055-06-13T01:26:18.976Z")</f>
        <v>2055-06-13T01:26:18.976Z</v>
      </c>
      <c r="L1198" s="3">
        <f ca="1">IFERROR(__xludf.DUMMYFUNCTION("""COMPUTED_VALUE"""),1)</f>
        <v>1</v>
      </c>
      <c r="M1198" s="3">
        <f ca="1">IFERROR(__xludf.DUMMYFUNCTION("""COMPUTED_VALUE"""),0)</f>
        <v>0</v>
      </c>
      <c r="N1198" s="3" t="str">
        <f ca="1">IFERROR(__xludf.DUMMYFUNCTION("""COMPUTED_VALUE"""),"2055-06-13T00:56:54.026612Z")</f>
        <v>2055-06-13T00:56:54.026612Z</v>
      </c>
      <c r="O1198" s="3" t="str">
        <f ca="1">IFERROR(__xludf.DUMMYFUNCTION("""COMPUTED_VALUE"""),"2055-06-13T01:09:24.295264Z")</f>
        <v>2055-06-13T01:09:24.295264Z</v>
      </c>
      <c r="P1198" s="3" t="str">
        <f ca="1">IFERROR(__xludf.DUMMYFUNCTION("""COMPUTED_VALUE"""),"2055-06-13T00:39:35.564964Z")</f>
        <v>2055-06-13T00:39:35.564964Z</v>
      </c>
      <c r="Q1198" s="3">
        <f ca="1">IFERROR(__xludf.DUMMYFUNCTION("""COMPUTED_VALUE"""),0)</f>
        <v>0</v>
      </c>
      <c r="R1198" s="3" t="str">
        <f ca="1">IFERROR(__xludf.DUMMYFUNCTION("""COMPUTED_VALUE"""),"2055-06-13T00:39:47.260422Z")</f>
        <v>2055-06-13T00:39:47.260422Z</v>
      </c>
      <c r="S1198" s="3" t="str">
        <f ca="1">IFERROR(__xludf.DUMMYFUNCTION("""COMPUTED_VALUE"""),"2055-06-13T00:48:46.9942Z")</f>
        <v>2055-06-13T00:48:46.9942Z</v>
      </c>
      <c r="T1198" s="3"/>
      <c r="U1198" s="4">
        <f ca="1">IFERROR(__xludf.DUMMYFUNCTION("""COMPUTED_VALUE"""),56777)</f>
        <v>56777</v>
      </c>
      <c r="V1198" s="3">
        <f ca="1">IFERROR(__xludf.DUMMYFUNCTION("""COMPUTED_VALUE"""),3.371501608)</f>
        <v>3.371501608</v>
      </c>
      <c r="W1198" s="3">
        <f ca="1">IFERROR(__xludf.DUMMYFUNCTION("""COMPUTED_VALUE"""),400)</f>
        <v>400</v>
      </c>
      <c r="X1198" s="3">
        <f ca="1">IFERROR(__xludf.DUMMYFUNCTION("""COMPUTED_VALUE"""),1777)</f>
        <v>1777</v>
      </c>
      <c r="Y1198" s="3">
        <f ca="1">IFERROR(__xludf.DUMMYFUNCTION("""COMPUTED_VALUE"""),539)</f>
        <v>539</v>
      </c>
      <c r="Z1198" s="3">
        <f ca="1">IFERROR(__xludf.DUMMYFUNCTION("""COMPUTED_VALUE"""),488)</f>
        <v>488</v>
      </c>
      <c r="AA1198" s="3">
        <f ca="1">IFERROR(__xludf.DUMMYFUNCTION("""COMPUTED_VALUE"""),750)</f>
        <v>750</v>
      </c>
      <c r="AB1198" s="3">
        <f ca="1">IFERROR(__xludf.DUMMYFUNCTION("""COMPUTED_VALUE"""),0)</f>
        <v>0</v>
      </c>
      <c r="AC1198" s="3">
        <f ca="1">IFERROR(__xludf.DUMMYFUNCTION("""COMPUTED_VALUE"""),4)</f>
        <v>4</v>
      </c>
      <c r="AD1198" s="3" t="str">
        <f ca="1">IFERROR(__xludf.DUMMYFUNCTION("""COMPUTED_VALUE"""),"on time")</f>
        <v>on time</v>
      </c>
      <c r="AE1198" s="3" t="str">
        <f ca="1">IFERROR(__xludf.DUMMYFUNCTION("""COMPUTED_VALUE"""),"2055-06-12T20:56:54.026612Z")</f>
        <v>2055-06-12T20:56:54.026612Z</v>
      </c>
      <c r="AF1198" s="3" t="str">
        <f ca="1">IFERROR(__xludf.DUMMYFUNCTION("""COMPUTED_VALUE"""),"2055-06-12T21:09:24.295264Z")</f>
        <v>2055-06-12T21:09:24.295264Z</v>
      </c>
      <c r="AG1198" s="3" t="str">
        <f ca="1">IFERROR(__xludf.DUMMYFUNCTION("""COMPUTED_VALUE"""),"2055-06-12T20:39:35.564964Z")</f>
        <v>2055-06-12T20:39:35.564964Z</v>
      </c>
      <c r="AH1198" s="3" t="str">
        <f ca="1">IFERROR(__xludf.DUMMYFUNCTION("""COMPUTED_VALUE"""),"2055-06-12T20:48:46.9942Z")</f>
        <v>2055-06-12T20:48:46.9942Z</v>
      </c>
      <c r="AI1198" s="3">
        <f ca="1">IFERROR(__xludf.DUMMYFUNCTION("""COMPUTED_VALUE"""),4.58)</f>
        <v>4.58</v>
      </c>
      <c r="AJ1198" s="3">
        <f ca="1">IFERROR(__xludf.DUMMYFUNCTION("""COMPUTED_VALUE"""),254)</f>
        <v>254</v>
      </c>
      <c r="AK1198" s="3">
        <f ca="1">IFERROR(__xludf.DUMMYFUNCTION("""COMPUTED_VALUE"""),788)</f>
        <v>788</v>
      </c>
      <c r="AL1198" s="3">
        <f ca="1">IFERROR(__xludf.DUMMYFUNCTION("""COMPUTED_VALUE"""),9)</f>
        <v>9</v>
      </c>
      <c r="AM1198" s="3">
        <f>IFERROR(Raw_Data!AL1198 / Raw_Data!AK1198, "")</f>
        <v>1.1421319796954314E-2</v>
      </c>
      <c r="AN1198" s="3" t="str">
        <f>IF(ISBLANK(Raw_Data!AL1198), "No", "Yes")</f>
        <v>Yes</v>
      </c>
      <c r="AO1198" s="3">
        <f>IFERROR(Raw_Data!Z1198/60, "")</f>
        <v>8.1333333333333329</v>
      </c>
    </row>
    <row r="1199" spans="1:41" ht="13">
      <c r="A1199" s="3">
        <f ca="1">IFERROR(__xludf.DUMMYFUNCTION("""COMPUTED_VALUE"""),235)</f>
        <v>235</v>
      </c>
      <c r="B1199" s="3"/>
      <c r="C1199" s="3">
        <f ca="1">IFERROR(__xludf.DUMMYFUNCTION("""COMPUTED_VALUE"""),4001)</f>
        <v>4001</v>
      </c>
      <c r="D1199" s="3" t="str">
        <f ca="1">IFERROR(__xludf.DUMMYFUNCTION("""COMPUTED_VALUE"""),"Dashattan")</f>
        <v>Dashattan</v>
      </c>
      <c r="E1199" s="3" t="str">
        <f ca="1">IFERROR(__xludf.DUMMYFUNCTION("""COMPUTED_VALUE"""),"Galaxy A")</f>
        <v>Galaxy A</v>
      </c>
      <c r="F1199" s="3" t="str">
        <f ca="1">IFERROR(__xludf.DUMMYFUNCTION("""COMPUTED_VALUE"""),"KC")</f>
        <v>KC</v>
      </c>
      <c r="G1199" s="3">
        <f ca="1">IFERROR(__xludf.DUMMYFUNCTION("""COMPUTED_VALUE"""),0)</f>
        <v>0</v>
      </c>
      <c r="H1199" s="3" t="str">
        <f ca="1">IFERROR(__xludf.DUMMYFUNCTION("""COMPUTED_VALUE"""),"car")</f>
        <v>car</v>
      </c>
      <c r="I1199" s="3" t="str">
        <f ca="1">IFERROR(__xludf.DUMMYFUNCTION("""COMPUTED_VALUE"""),"2055-06-03T00:58:57.214579Z")</f>
        <v>2055-06-03T00:58:57.214579Z</v>
      </c>
      <c r="J1199" s="3" t="str">
        <f ca="1">IFERROR(__xludf.DUMMYFUNCTION("""COMPUTED_VALUE"""),"2055-06-03T02:14:53.285Z")</f>
        <v>2055-06-03T02:14:53.285Z</v>
      </c>
      <c r="K1199" s="3" t="str">
        <f ca="1">IFERROR(__xludf.DUMMYFUNCTION("""COMPUTED_VALUE"""),"2055-06-03T01:55:14.285Z")</f>
        <v>2055-06-03T01:55:14.285Z</v>
      </c>
      <c r="L1199" s="3">
        <f ca="1">IFERROR(__xludf.DUMMYFUNCTION("""COMPUTED_VALUE"""),1)</f>
        <v>1</v>
      </c>
      <c r="M1199" s="3">
        <f ca="1">IFERROR(__xludf.DUMMYFUNCTION("""COMPUTED_VALUE"""),0)</f>
        <v>0</v>
      </c>
      <c r="N1199" s="3" t="str">
        <f ca="1">IFERROR(__xludf.DUMMYFUNCTION("""COMPUTED_VALUE"""),"2055-06-03T01:29:59.356394Z")</f>
        <v>2055-06-03T01:29:59.356394Z</v>
      </c>
      <c r="O1199" s="3" t="str">
        <f ca="1">IFERROR(__xludf.DUMMYFUNCTION("""COMPUTED_VALUE"""),"2055-06-03T01:53:57.348312Z")</f>
        <v>2055-06-03T01:53:57.348312Z</v>
      </c>
      <c r="P1199" s="3" t="str">
        <f ca="1">IFERROR(__xludf.DUMMYFUNCTION("""COMPUTED_VALUE"""),"2055-06-03T01:12:29.805842Z")</f>
        <v>2055-06-03T01:12:29.805842Z</v>
      </c>
      <c r="Q1199" s="3">
        <f ca="1">IFERROR(__xludf.DUMMYFUNCTION("""COMPUTED_VALUE"""),1)</f>
        <v>1</v>
      </c>
      <c r="R1199" s="3" t="str">
        <f ca="1">IFERROR(__xludf.DUMMYFUNCTION("""COMPUTED_VALUE"""),"2055-06-03T01:12:36.644172Z")</f>
        <v>2055-06-03T01:12:36.644172Z</v>
      </c>
      <c r="S1199" s="3" t="str">
        <f ca="1">IFERROR(__xludf.DUMMYFUNCTION("""COMPUTED_VALUE"""),"2055-06-03T01:24:59.825791Z")</f>
        <v>2055-06-03T01:24:59.825791Z</v>
      </c>
      <c r="T1199" s="3"/>
      <c r="U1199" s="4">
        <f ca="1">IFERROR(__xludf.DUMMYFUNCTION("""COMPUTED_VALUE"""),56767)</f>
        <v>56767</v>
      </c>
      <c r="V1199" s="3">
        <f ca="1">IFERROR(__xludf.DUMMYFUNCTION("""COMPUTED_VALUE"""),3.347980688)</f>
        <v>3.3479806879999998</v>
      </c>
      <c r="W1199" s="3">
        <f ca="1">IFERROR(__xludf.DUMMYFUNCTION("""COMPUTED_VALUE"""),400)</f>
        <v>400</v>
      </c>
      <c r="X1199" s="3">
        <f ca="1">IFERROR(__xludf.DUMMYFUNCTION("""COMPUTED_VALUE"""),2481)</f>
        <v>2481</v>
      </c>
      <c r="Y1199" s="3">
        <f ca="1">IFERROR(__xludf.DUMMYFUNCTION("""COMPUTED_VALUE"""),743)</f>
        <v>743</v>
      </c>
      <c r="Z1199" s="3">
        <f ca="1">IFERROR(__xludf.DUMMYFUNCTION("""COMPUTED_VALUE"""),300)</f>
        <v>300</v>
      </c>
      <c r="AA1199" s="3">
        <f ca="1">IFERROR(__xludf.DUMMYFUNCTION("""COMPUTED_VALUE"""),1438)</f>
        <v>1438</v>
      </c>
      <c r="AB1199" s="3">
        <f ca="1">IFERROR(__xludf.DUMMYFUNCTION("""COMPUTED_VALUE"""),1)</f>
        <v>1</v>
      </c>
      <c r="AC1199" s="3">
        <f ca="1">IFERROR(__xludf.DUMMYFUNCTION("""COMPUTED_VALUE"""),2)</f>
        <v>2</v>
      </c>
      <c r="AD1199" s="3"/>
      <c r="AE1199" s="3" t="str">
        <f ca="1">IFERROR(__xludf.DUMMYFUNCTION("""COMPUTED_VALUE"""),"2055-06-02T21:29:59.356394Z")</f>
        <v>2055-06-02T21:29:59.356394Z</v>
      </c>
      <c r="AF1199" s="3" t="str">
        <f ca="1">IFERROR(__xludf.DUMMYFUNCTION("""COMPUTED_VALUE"""),"2055-06-02T21:53:57.348312Z")</f>
        <v>2055-06-02T21:53:57.348312Z</v>
      </c>
      <c r="AG1199" s="3" t="str">
        <f ca="1">IFERROR(__xludf.DUMMYFUNCTION("""COMPUTED_VALUE"""),"2055-06-02T21:12:29.805842Z")</f>
        <v>2055-06-02T21:12:29.805842Z</v>
      </c>
      <c r="AH1199" s="3" t="str">
        <f ca="1">IFERROR(__xludf.DUMMYFUNCTION("""COMPUTED_VALUE"""),"2055-06-02T21:24:59.825791Z")</f>
        <v>2055-06-02T21:24:59.825791Z</v>
      </c>
      <c r="AI1199" s="3">
        <f ca="1">IFERROR(__xludf.DUMMYFUNCTION("""COMPUTED_VALUE"""),4.54)</f>
        <v>4.54</v>
      </c>
      <c r="AJ1199" s="3">
        <f ca="1">IFERROR(__xludf.DUMMYFUNCTION("""COMPUTED_VALUE"""),2229)</f>
        <v>2229</v>
      </c>
      <c r="AK1199" s="3">
        <f ca="1">IFERROR(__xludf.DUMMYFUNCTION("""COMPUTED_VALUE"""),6580)</f>
        <v>6580</v>
      </c>
      <c r="AL1199" s="3"/>
      <c r="AM1199" s="3">
        <f>IFERROR(Raw_Data!AL1199 / Raw_Data!AK1199, "")</f>
        <v>0</v>
      </c>
      <c r="AN1199" s="3" t="str">
        <f>IF(ISBLANK(Raw_Data!AL1199), "No", "Yes")</f>
        <v>No</v>
      </c>
      <c r="AO1199" s="3">
        <f>IFERROR(Raw_Data!Z1199/60, "")</f>
        <v>5</v>
      </c>
    </row>
    <row r="1200" spans="1:41" ht="13">
      <c r="A1200" s="3">
        <f ca="1">IFERROR(__xludf.DUMMYFUNCTION("""COMPUTED_VALUE"""),821)</f>
        <v>821</v>
      </c>
      <c r="B1200" s="3"/>
      <c r="C1200" s="3">
        <f ca="1">IFERROR(__xludf.DUMMYFUNCTION("""COMPUTED_VALUE"""),4001)</f>
        <v>4001</v>
      </c>
      <c r="D1200" s="3" t="str">
        <f ca="1">IFERROR(__xludf.DUMMYFUNCTION("""COMPUTED_VALUE"""),"Dashattan")</f>
        <v>Dashattan</v>
      </c>
      <c r="E1200" s="3" t="str">
        <f ca="1">IFERROR(__xludf.DUMMYFUNCTION("""COMPUTED_VALUE"""),"Galaxy A")</f>
        <v>Galaxy A</v>
      </c>
      <c r="F1200" s="3" t="str">
        <f ca="1">IFERROR(__xludf.DUMMYFUNCTION("""COMPUTED_VALUE"""),"Bret")</f>
        <v>Bret</v>
      </c>
      <c r="G1200" s="3">
        <f ca="1">IFERROR(__xludf.DUMMYFUNCTION("""COMPUTED_VALUE"""),0)</f>
        <v>0</v>
      </c>
      <c r="H1200" s="3" t="str">
        <f ca="1">IFERROR(__xludf.DUMMYFUNCTION("""COMPUTED_VALUE"""),"car")</f>
        <v>car</v>
      </c>
      <c r="I1200" s="3" t="str">
        <f ca="1">IFERROR(__xludf.DUMMYFUNCTION("""COMPUTED_VALUE"""),"2055-06-07T11:51:10.897946Z")</f>
        <v>2055-06-07T11:51:10.897946Z</v>
      </c>
      <c r="J1200" s="3" t="str">
        <f ca="1">IFERROR(__xludf.DUMMYFUNCTION("""COMPUTED_VALUE"""),"2055-06-07T14:30:00Z")</f>
        <v>2055-06-07T14:30:00Z</v>
      </c>
      <c r="K1200" s="3" t="str">
        <f ca="1">IFERROR(__xludf.DUMMYFUNCTION("""COMPUTED_VALUE"""),"2055-06-07T14:30:00Z")</f>
        <v>2055-06-07T14:30:00Z</v>
      </c>
      <c r="L1200" s="3">
        <f ca="1">IFERROR(__xludf.DUMMYFUNCTION("""COMPUTED_VALUE"""),0)</f>
        <v>0</v>
      </c>
      <c r="M1200" s="3">
        <f ca="1">IFERROR(__xludf.DUMMYFUNCTION("""COMPUTED_VALUE"""),0)</f>
        <v>0</v>
      </c>
      <c r="N1200" s="3" t="str">
        <f ca="1">IFERROR(__xludf.DUMMYFUNCTION("""COMPUTED_VALUE"""),"2055-06-07T13:54:32.538104Z")</f>
        <v>2055-06-07T13:54:32.538104Z</v>
      </c>
      <c r="O1200" s="3" t="str">
        <f ca="1">IFERROR(__xludf.DUMMYFUNCTION("""COMPUTED_VALUE"""),"2055-06-07T14:15:41.621121Z")</f>
        <v>2055-06-07T14:15:41.621121Z</v>
      </c>
      <c r="P1200" s="3" t="str">
        <f ca="1">IFERROR(__xludf.DUMMYFUNCTION("""COMPUTED_VALUE"""),"2055-06-07T13:30:54.099175Z")</f>
        <v>2055-06-07T13:30:54.099175Z</v>
      </c>
      <c r="Q1200" s="3">
        <f ca="1">IFERROR(__xludf.DUMMYFUNCTION("""COMPUTED_VALUE"""),0)</f>
        <v>0</v>
      </c>
      <c r="R1200" s="3" t="str">
        <f ca="1">IFERROR(__xludf.DUMMYFUNCTION("""COMPUTED_VALUE"""),"2055-06-07T13:31:03.103562Z")</f>
        <v>2055-06-07T13:31:03.103562Z</v>
      </c>
      <c r="S1200" s="3" t="str">
        <f ca="1">IFERROR(__xludf.DUMMYFUNCTION("""COMPUTED_VALUE"""),"2055-06-07T13:45:57.315976Z")</f>
        <v>2055-06-07T13:45:57.315976Z</v>
      </c>
      <c r="T1200" s="3"/>
      <c r="U1200" s="4">
        <f ca="1">IFERROR(__xludf.DUMMYFUNCTION("""COMPUTED_VALUE"""),56772)</f>
        <v>56772</v>
      </c>
      <c r="V1200" s="3">
        <f ca="1">IFERROR(__xludf.DUMMYFUNCTION("""COMPUTED_VALUE"""),4.5)</f>
        <v>4.5</v>
      </c>
      <c r="W1200" s="3">
        <f ca="1">IFERROR(__xludf.DUMMYFUNCTION("""COMPUTED_VALUE"""),400)</f>
        <v>400</v>
      </c>
      <c r="X1200" s="3">
        <f ca="1">IFERROR(__xludf.DUMMYFUNCTION("""COMPUTED_VALUE"""),2678)</f>
        <v>2678</v>
      </c>
      <c r="Y1200" s="3">
        <f ca="1">IFERROR(__xludf.DUMMYFUNCTION("""COMPUTED_VALUE"""),894)</f>
        <v>894</v>
      </c>
      <c r="Z1200" s="3">
        <f ca="1">IFERROR(__xludf.DUMMYFUNCTION("""COMPUTED_VALUE"""),515)</f>
        <v>515</v>
      </c>
      <c r="AA1200" s="3">
        <f ca="1">IFERROR(__xludf.DUMMYFUNCTION("""COMPUTED_VALUE"""),1269)</f>
        <v>1269</v>
      </c>
      <c r="AB1200" s="3">
        <f ca="1">IFERROR(__xludf.DUMMYFUNCTION("""COMPUTED_VALUE"""),1)</f>
        <v>1</v>
      </c>
      <c r="AC1200" s="3">
        <f ca="1">IFERROR(__xludf.DUMMYFUNCTION("""COMPUTED_VALUE"""),1)</f>
        <v>1</v>
      </c>
      <c r="AD1200" s="3"/>
      <c r="AE1200" s="3" t="str">
        <f ca="1">IFERROR(__xludf.DUMMYFUNCTION("""COMPUTED_VALUE"""),"2055-06-07T09:54:32.538104Z")</f>
        <v>2055-06-07T09:54:32.538104Z</v>
      </c>
      <c r="AF1200" s="3" t="str">
        <f ca="1">IFERROR(__xludf.DUMMYFUNCTION("""COMPUTED_VALUE"""),"2055-06-07T10:15:41.621121Z")</f>
        <v>2055-06-07T10:15:41.621121Z</v>
      </c>
      <c r="AG1200" s="3" t="str">
        <f ca="1">IFERROR(__xludf.DUMMYFUNCTION("""COMPUTED_VALUE"""),"2055-06-07T09:30:54.099175Z")</f>
        <v>2055-06-07T09:30:54.099175Z</v>
      </c>
      <c r="AH1200" s="3" t="str">
        <f ca="1">IFERROR(__xludf.DUMMYFUNCTION("""COMPUTED_VALUE"""),"2055-06-07T09:45:57.315976Z")</f>
        <v>2055-06-07T09:45:57.315976Z</v>
      </c>
      <c r="AI1200" s="3">
        <f ca="1">IFERROR(__xludf.DUMMYFUNCTION("""COMPUTED_VALUE"""),3.82)</f>
        <v>3.82</v>
      </c>
      <c r="AJ1200" s="3">
        <f ca="1">IFERROR(__xludf.DUMMYFUNCTION("""COMPUTED_VALUE"""),174)</f>
        <v>174</v>
      </c>
      <c r="AK1200" s="3">
        <f ca="1">IFERROR(__xludf.DUMMYFUNCTION("""COMPUTED_VALUE"""),773)</f>
        <v>773</v>
      </c>
      <c r="AL1200" s="3"/>
      <c r="AM1200" s="3">
        <f>IFERROR(Raw_Data!AL1200 / Raw_Data!AK1200, "")</f>
        <v>0</v>
      </c>
      <c r="AN1200" s="3" t="str">
        <f>IF(ISBLANK(Raw_Data!AL1200), "No", "Yes")</f>
        <v>No</v>
      </c>
      <c r="AO1200" s="3">
        <f>IFERROR(Raw_Data!Z1200/60, "")</f>
        <v>8.5833333333333339</v>
      </c>
    </row>
    <row r="1201" spans="1:41" ht="13">
      <c r="A1201" s="3">
        <f ca="1">IFERROR(__xludf.DUMMYFUNCTION("""COMPUTED_VALUE"""),600)</f>
        <v>600</v>
      </c>
      <c r="B1201" s="3"/>
      <c r="C1201" s="3">
        <f ca="1">IFERROR(__xludf.DUMMYFUNCTION("""COMPUTED_VALUE"""),4050)</f>
        <v>4050</v>
      </c>
      <c r="D1201" s="3" t="str">
        <f ca="1">IFERROR(__xludf.DUMMYFUNCTION("""COMPUTED_VALUE"""),"Doorlanta")</f>
        <v>Doorlanta</v>
      </c>
      <c r="E1201" s="3" t="str">
        <f ca="1">IFERROR(__xludf.DUMMYFUNCTION("""COMPUTED_VALUE"""),"Galaxy A")</f>
        <v>Galaxy A</v>
      </c>
      <c r="F1201" s="3" t="str">
        <f ca="1">IFERROR(__xludf.DUMMYFUNCTION("""COMPUTED_VALUE"""),"Elon")</f>
        <v>Elon</v>
      </c>
      <c r="G1201" s="3">
        <f ca="1">IFERROR(__xludf.DUMMYFUNCTION("""COMPUTED_VALUE"""),0)</f>
        <v>0</v>
      </c>
      <c r="H1201" s="3" t="str">
        <f ca="1">IFERROR(__xludf.DUMMYFUNCTION("""COMPUTED_VALUE"""),"car")</f>
        <v>car</v>
      </c>
      <c r="I1201" s="3" t="str">
        <f ca="1">IFERROR(__xludf.DUMMYFUNCTION("""COMPUTED_VALUE"""),"2055-06-05T19:46:51.118493Z")</f>
        <v>2055-06-05T19:46:51.118493Z</v>
      </c>
      <c r="J1201" s="3" t="str">
        <f ca="1">IFERROR(__xludf.DUMMYFUNCTION("""COMPUTED_VALUE"""),"2055-06-05T20:44:46.192Z")</f>
        <v>2055-06-05T20:44:46.192Z</v>
      </c>
      <c r="K1201" s="3" t="str">
        <f ca="1">IFERROR(__xludf.DUMMYFUNCTION("""COMPUTED_VALUE"""),"2055-06-05T20:29:39.192Z")</f>
        <v>2055-06-05T20:29:39.192Z</v>
      </c>
      <c r="L1201" s="3">
        <f ca="1">IFERROR(__xludf.DUMMYFUNCTION("""COMPUTED_VALUE"""),1)</f>
        <v>1</v>
      </c>
      <c r="M1201" s="3">
        <f ca="1">IFERROR(__xludf.DUMMYFUNCTION("""COMPUTED_VALUE"""),0)</f>
        <v>0</v>
      </c>
      <c r="N1201" s="3" t="str">
        <f ca="1">IFERROR(__xludf.DUMMYFUNCTION("""COMPUTED_VALUE"""),"2055-06-05T20:16:58.245985Z")</f>
        <v>2055-06-05T20:16:58.245985Z</v>
      </c>
      <c r="O1201" s="3" t="str">
        <f ca="1">IFERROR(__xludf.DUMMYFUNCTION("""COMPUTED_VALUE"""),"2055-06-05T20:26:48.805173Z")</f>
        <v>2055-06-05T20:26:48.805173Z</v>
      </c>
      <c r="P1201" s="3" t="str">
        <f ca="1">IFERROR(__xludf.DUMMYFUNCTION("""COMPUTED_VALUE"""),"2055-06-05T20:00:07.396111Z")</f>
        <v>2055-06-05T20:00:07.396111Z</v>
      </c>
      <c r="Q1201" s="3">
        <f ca="1">IFERROR(__xludf.DUMMYFUNCTION("""COMPUTED_VALUE"""),0)</f>
        <v>0</v>
      </c>
      <c r="R1201" s="3" t="str">
        <f ca="1">IFERROR(__xludf.DUMMYFUNCTION("""COMPUTED_VALUE"""),"2055-06-05T20:00:14.138266Z")</f>
        <v>2055-06-05T20:00:14.138266Z</v>
      </c>
      <c r="S1201" s="3" t="str">
        <f ca="1">IFERROR(__xludf.DUMMYFUNCTION("""COMPUTED_VALUE"""),"2055-06-05T20:10:35.832429Z")</f>
        <v>2055-06-05T20:10:35.832429Z</v>
      </c>
      <c r="T1201" s="3"/>
      <c r="U1201" s="4">
        <f ca="1">IFERROR(__xludf.DUMMYFUNCTION("""COMPUTED_VALUE"""),56770)</f>
        <v>56770</v>
      </c>
      <c r="V1201" s="3">
        <f ca="1">IFERROR(__xludf.DUMMYFUNCTION("""COMPUTED_VALUE"""),4.4)</f>
        <v>4.4000000000000004</v>
      </c>
      <c r="W1201" s="3">
        <f ca="1">IFERROR(__xludf.DUMMYFUNCTION("""COMPUTED_VALUE"""),400)</f>
        <v>400</v>
      </c>
      <c r="X1201" s="3">
        <f ca="1">IFERROR(__xludf.DUMMYFUNCTION("""COMPUTED_VALUE"""),1594)</f>
        <v>1594</v>
      </c>
      <c r="Y1201" s="3">
        <f ca="1">IFERROR(__xludf.DUMMYFUNCTION("""COMPUTED_VALUE"""),621)</f>
        <v>621</v>
      </c>
      <c r="Z1201" s="3">
        <f ca="1">IFERROR(__xludf.DUMMYFUNCTION("""COMPUTED_VALUE"""),383)</f>
        <v>383</v>
      </c>
      <c r="AA1201" s="3">
        <f ca="1">IFERROR(__xludf.DUMMYFUNCTION("""COMPUTED_VALUE"""),590)</f>
        <v>590</v>
      </c>
      <c r="AB1201" s="3">
        <f ca="1">IFERROR(__xludf.DUMMYFUNCTION("""COMPUTED_VALUE"""),0)</f>
        <v>0</v>
      </c>
      <c r="AC1201" s="3">
        <f ca="1">IFERROR(__xludf.DUMMYFUNCTION("""COMPUTED_VALUE"""),1)</f>
        <v>1</v>
      </c>
      <c r="AD1201" s="3" t="str">
        <f ca="1">IFERROR(__xludf.DUMMYFUNCTION("""COMPUTED_VALUE"""),"on time")</f>
        <v>on time</v>
      </c>
      <c r="AE1201" s="3" t="str">
        <f ca="1">IFERROR(__xludf.DUMMYFUNCTION("""COMPUTED_VALUE"""),"2055-06-05T16:16:58.245985Z")</f>
        <v>2055-06-05T16:16:58.245985Z</v>
      </c>
      <c r="AF1201" s="3" t="str">
        <f ca="1">IFERROR(__xludf.DUMMYFUNCTION("""COMPUTED_VALUE"""),"2055-06-05T16:26:48.805173Z")</f>
        <v>2055-06-05T16:26:48.805173Z</v>
      </c>
      <c r="AG1201" s="3" t="str">
        <f ca="1">IFERROR(__xludf.DUMMYFUNCTION("""COMPUTED_VALUE"""),"2055-06-05T16:00:07.396111Z")</f>
        <v>2055-06-05T16:00:07.396111Z</v>
      </c>
      <c r="AH1201" s="3" t="str">
        <f ca="1">IFERROR(__xludf.DUMMYFUNCTION("""COMPUTED_VALUE"""),"2055-06-05T16:10:35.832429Z")</f>
        <v>2055-06-05T16:10:35.832429Z</v>
      </c>
      <c r="AI1201" s="3">
        <f ca="1">IFERROR(__xludf.DUMMYFUNCTION("""COMPUTED_VALUE"""),4.62)</f>
        <v>4.62</v>
      </c>
      <c r="AJ1201" s="3">
        <f ca="1">IFERROR(__xludf.DUMMYFUNCTION("""COMPUTED_VALUE"""),259)</f>
        <v>259</v>
      </c>
      <c r="AK1201" s="3">
        <f ca="1">IFERROR(__xludf.DUMMYFUNCTION("""COMPUTED_VALUE"""),604)</f>
        <v>604</v>
      </c>
      <c r="AL1201" s="3">
        <f ca="1">IFERROR(__xludf.DUMMYFUNCTION("""COMPUTED_VALUE"""),21)</f>
        <v>21</v>
      </c>
      <c r="AM1201" s="3">
        <f>IFERROR(Raw_Data!AL1201 / Raw_Data!AK1201, "")</f>
        <v>3.4768211920529798E-2</v>
      </c>
      <c r="AN1201" s="3" t="str">
        <f>IF(ISBLANK(Raw_Data!AL1201), "No", "Yes")</f>
        <v>Yes</v>
      </c>
      <c r="AO1201" s="3">
        <f>IFERROR(Raw_Data!Z1201/60, "")</f>
        <v>6.3833333333333337</v>
      </c>
    </row>
    <row r="1202" spans="1:41" ht="13">
      <c r="Z1202" s="3">
        <f ca="1">MAX(Z2:Z1201)</f>
        <v>4587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4:B25"/>
  <sheetViews>
    <sheetView workbookViewId="0"/>
  </sheetViews>
  <sheetFormatPr baseColWidth="10" defaultColWidth="12.6640625" defaultRowHeight="15" customHeight="1"/>
  <cols>
    <col min="1" max="1" width="29" customWidth="1"/>
    <col min="2" max="2" width="29.1640625" customWidth="1"/>
  </cols>
  <sheetData>
    <row r="4" spans="1:2" ht="15" customHeight="1">
      <c r="A4" s="6" t="s">
        <v>14167</v>
      </c>
      <c r="B4" s="6" t="s">
        <v>14168</v>
      </c>
    </row>
    <row r="5" spans="1:2" ht="15" customHeight="1">
      <c r="A5" s="7" t="s">
        <v>14169</v>
      </c>
      <c r="B5" s="7">
        <f>COUNTA(Raw_Data!A:A)-1</f>
        <v>1200</v>
      </c>
    </row>
    <row r="6" spans="1:2" ht="15" customHeight="1">
      <c r="A6" s="7" t="s">
        <v>14170</v>
      </c>
      <c r="B6" s="7">
        <f ca="1">IFERROR(__xludf.DUMMYFUNCTION("COUNTUNIQUE(Raw_Data!F2:F1000)"),54)</f>
        <v>54</v>
      </c>
    </row>
    <row r="7" spans="1:2" ht="15" customHeight="1">
      <c r="A7" s="7" t="s">
        <v>14171</v>
      </c>
      <c r="B7" s="7">
        <f>COUNTIF(Raw_Data!D:D, "Dashattan")</f>
        <v>600</v>
      </c>
    </row>
    <row r="8" spans="1:2" ht="15" customHeight="1">
      <c r="A8" s="7" t="s">
        <v>14172</v>
      </c>
      <c r="B8" s="7">
        <f>COUNTIF(Raw_Data!D:D, "Doorlanta")</f>
        <v>600</v>
      </c>
    </row>
    <row r="9" spans="1:2" ht="15" customHeight="1">
      <c r="A9" s="7" t="s">
        <v>14173</v>
      </c>
      <c r="B9" s="7">
        <f>AVERAGE(Raw_Data!V:V)</f>
        <v>4.2730315809328738</v>
      </c>
    </row>
    <row r="10" spans="1:2" ht="15" customHeight="1">
      <c r="A10" s="7" t="s">
        <v>14174</v>
      </c>
      <c r="B10" s="7">
        <f>MEDIAN(Raw_Data!V:V)</f>
        <v>4.5</v>
      </c>
    </row>
    <row r="11" spans="1:2" ht="15" customHeight="1">
      <c r="A11" s="7" t="s">
        <v>14175</v>
      </c>
      <c r="B11" s="7">
        <f>MIN(Raw_Data!V:V)</f>
        <v>0.53966504625000011</v>
      </c>
    </row>
    <row r="12" spans="1:2" ht="15" customHeight="1">
      <c r="A12" s="7" t="s">
        <v>14176</v>
      </c>
      <c r="B12" s="7">
        <f>MAX(Raw_Data!V:V)</f>
        <v>34.538562960000007</v>
      </c>
    </row>
    <row r="13" spans="1:2" ht="15" customHeight="1">
      <c r="A13" s="7" t="s">
        <v>14177</v>
      </c>
      <c r="B13" s="7">
        <f>AVERAGE(Raw_Data!Z:Z)/60</f>
        <v>10.036455236207466</v>
      </c>
    </row>
    <row r="14" spans="1:2" ht="15" customHeight="1">
      <c r="A14" s="7" t="s">
        <v>14178</v>
      </c>
      <c r="B14" s="7">
        <f>MEDIAN(Raw_Data!Z:Z)/60</f>
        <v>6.9666666666666668</v>
      </c>
    </row>
    <row r="15" spans="1:2" ht="15" customHeight="1">
      <c r="A15" s="7" t="s">
        <v>14179</v>
      </c>
      <c r="B15" s="7">
        <f>AVERAGE(Raw_Data!AA:AA)/60</f>
        <v>14.438309702529887</v>
      </c>
    </row>
    <row r="16" spans="1:2" ht="15" customHeight="1">
      <c r="A16" s="7" t="s">
        <v>14180</v>
      </c>
      <c r="B16" s="7">
        <f>MEDIAN(Raw_Data!AA:AA)/60</f>
        <v>13.133333333333333</v>
      </c>
    </row>
    <row r="17" spans="1:2" ht="15" customHeight="1">
      <c r="A17" s="7" t="s">
        <v>14181</v>
      </c>
      <c r="B17" s="7">
        <f>COUNTIF(Raw_Data!AL:AL, "&lt;&gt;")</f>
        <v>710</v>
      </c>
    </row>
    <row r="18" spans="1:2" ht="15" customHeight="1">
      <c r="A18" s="7" t="s">
        <v>14182</v>
      </c>
      <c r="B18" s="7">
        <f t="array" aca="1" ref="B18" ca="1">AVERAGE(IF(ISNUMBER(Data_Cleaning!AL:AL)*(Data_Cleaning!AL:AL&lt;&gt;0), Data_Cleaning!AK:AK / Data_Cleaning!AL:AL, ""))</f>
        <v>22.16189011933178</v>
      </c>
    </row>
    <row r="19" spans="1:2" ht="15" customHeight="1">
      <c r="A19" s="7" t="s">
        <v>14183</v>
      </c>
      <c r="B19" s="7">
        <f>AVERAGE(Raw_Data!M:M)*100</f>
        <v>0.75</v>
      </c>
    </row>
    <row r="20" spans="1:2" ht="15" customHeight="1">
      <c r="A20" s="7" t="s">
        <v>14184</v>
      </c>
      <c r="B20" s="7">
        <f>AVERAGE(Raw_Data!AB:AB)*100</f>
        <v>13.083333333333332</v>
      </c>
    </row>
    <row r="21" spans="1:2" ht="15" customHeight="1">
      <c r="A21" s="7" t="s">
        <v>14185</v>
      </c>
      <c r="B21" s="7">
        <f>AVERAGE(Raw_Data!AC:AC)</f>
        <v>3.3691666666666666</v>
      </c>
    </row>
    <row r="22" spans="1:2" ht="15" customHeight="1">
      <c r="A22" s="7" t="s">
        <v>14186</v>
      </c>
      <c r="B22" s="7">
        <f>COUNTIF(Raw_Data!V:V, "&gt;=4.5")</f>
        <v>607</v>
      </c>
    </row>
    <row r="23" spans="1:2" ht="15" customHeight="1">
      <c r="A23" s="7" t="s">
        <v>14187</v>
      </c>
      <c r="B23" s="7">
        <f>COUNTIFS(Raw_Data!V:V, "&gt;=4", Raw_Data!V:V, "&lt;4.5")</f>
        <v>337</v>
      </c>
    </row>
    <row r="24" spans="1:2" ht="15" customHeight="1">
      <c r="A24" s="7" t="s">
        <v>14188</v>
      </c>
      <c r="B24" s="7">
        <f>COUNTIFS(Raw_Data!V:V, "&gt;=3", Raw_Data!V:V, "&lt;4")</f>
        <v>206</v>
      </c>
    </row>
    <row r="25" spans="1:2" ht="15" customHeight="1">
      <c r="A25" s="7" t="s">
        <v>14189</v>
      </c>
      <c r="B25" s="7">
        <f>COUNTIF(Raw_Data!V:V, "&lt;3")</f>
        <v>53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D1000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" customHeight="1"/>
  <cols>
    <col min="1" max="1" width="15.1640625" customWidth="1"/>
    <col min="3" max="3" width="15.33203125" customWidth="1"/>
    <col min="4" max="4" width="23.33203125" customWidth="1"/>
    <col min="5" max="5" width="22.33203125" customWidth="1"/>
    <col min="6" max="6" width="29.6640625" customWidth="1"/>
    <col min="7" max="7" width="22" customWidth="1"/>
    <col min="8" max="8" width="24.6640625" customWidth="1"/>
    <col min="9" max="9" width="22.1640625" customWidth="1"/>
    <col min="10" max="10" width="25.1640625" customWidth="1"/>
    <col min="11" max="11" width="23.1640625" customWidth="1"/>
    <col min="12" max="12" width="18.5" customWidth="1"/>
    <col min="13" max="13" width="22.1640625" customWidth="1"/>
    <col min="14" max="14" width="23.5" customWidth="1"/>
    <col min="15" max="15" width="19" customWidth="1"/>
    <col min="16" max="16" width="33.83203125" customWidth="1"/>
    <col min="17" max="17" width="36.6640625" customWidth="1"/>
    <col min="18" max="18" width="27.6640625" customWidth="1"/>
    <col min="19" max="19" width="37.6640625" customWidth="1"/>
    <col min="20" max="20" width="22.1640625" customWidth="1"/>
    <col min="21" max="21" width="18" customWidth="1"/>
    <col min="22" max="22" width="17" customWidth="1"/>
    <col min="23" max="23" width="18.5" customWidth="1"/>
    <col min="24" max="24" width="14.83203125" customWidth="1"/>
    <col min="25" max="25" width="14.33203125" customWidth="1"/>
    <col min="26" max="26" width="15.5" customWidth="1"/>
    <col min="27" max="27" width="14.83203125" customWidth="1"/>
    <col min="28" max="28" width="14.6640625" customWidth="1"/>
    <col min="29" max="29" width="19.6640625" customWidth="1"/>
  </cols>
  <sheetData>
    <row r="1" spans="1:30" ht="22.5" customHeight="1">
      <c r="A1" s="6" t="s">
        <v>5</v>
      </c>
      <c r="B1" s="6" t="s">
        <v>14190</v>
      </c>
      <c r="C1" s="6" t="s">
        <v>7</v>
      </c>
      <c r="D1" s="6" t="s">
        <v>14191</v>
      </c>
      <c r="E1" s="6" t="s">
        <v>35</v>
      </c>
      <c r="F1" s="6" t="s">
        <v>37</v>
      </c>
      <c r="G1" s="6" t="s">
        <v>14192</v>
      </c>
      <c r="H1" s="6" t="s">
        <v>14193</v>
      </c>
      <c r="I1" s="6" t="s">
        <v>14194</v>
      </c>
      <c r="J1" s="6" t="s">
        <v>14195</v>
      </c>
      <c r="K1" s="6" t="s">
        <v>14196</v>
      </c>
      <c r="L1" s="6" t="s">
        <v>14197</v>
      </c>
      <c r="M1" s="6" t="s">
        <v>14198</v>
      </c>
      <c r="N1" s="6" t="s">
        <v>14199</v>
      </c>
      <c r="O1" s="6" t="s">
        <v>14200</v>
      </c>
      <c r="P1" s="6" t="s">
        <v>14201</v>
      </c>
      <c r="Q1" s="6" t="s">
        <v>14202</v>
      </c>
      <c r="R1" s="6" t="s">
        <v>14203</v>
      </c>
      <c r="S1" s="6" t="s">
        <v>14204</v>
      </c>
      <c r="T1" s="6" t="s">
        <v>14205</v>
      </c>
      <c r="U1" s="6" t="s">
        <v>14206</v>
      </c>
      <c r="V1" s="6" t="s">
        <v>14207</v>
      </c>
      <c r="W1" s="6" t="s">
        <v>14208</v>
      </c>
      <c r="X1" s="6" t="s">
        <v>14209</v>
      </c>
      <c r="Y1" s="6" t="s">
        <v>14210</v>
      </c>
      <c r="Z1" s="6" t="s">
        <v>14211</v>
      </c>
      <c r="AA1" s="6" t="s">
        <v>14212</v>
      </c>
      <c r="AB1" s="6" t="s">
        <v>14213</v>
      </c>
      <c r="AC1" s="6" t="s">
        <v>14214</v>
      </c>
      <c r="AD1" s="6" t="s">
        <v>14215</v>
      </c>
    </row>
    <row r="2" spans="1:30" ht="22.5" customHeight="1">
      <c r="A2" s="8" t="str">
        <f ca="1">IFERROR(__xludf.DUMMYFUNCTION("UNIQUE(FILTER(Data_Cleaning!F2:F1000, Data_Cleaning!F2:F1000 &lt;&gt; """"))"),"Katelynn")</f>
        <v>Katelynn</v>
      </c>
      <c r="B2" s="8" t="s">
        <v>38</v>
      </c>
      <c r="C2" s="8" t="s">
        <v>41</v>
      </c>
      <c r="D2" s="7">
        <v>3264</v>
      </c>
      <c r="E2" s="7">
        <v>1261</v>
      </c>
      <c r="F2" s="7">
        <v>232</v>
      </c>
      <c r="G2" s="7">
        <v>4.5</v>
      </c>
      <c r="H2" s="7">
        <f ca="1">COUNTIF(Data_Cleaning!F:F, A2)</f>
        <v>64</v>
      </c>
      <c r="I2" s="7">
        <f t="array" aca="1" ref="I2:I1000" ca="1">IF(A2:A1000="",,
      COUNTIFS(Data_Cleaning!F:F, A2:A1000, Data_Cleaning!AD:AD, "late")
   )</f>
        <v>15</v>
      </c>
      <c r="J2" s="7">
        <f t="array" aca="1" ref="J2:J1000" ca="1">IF(A2:A1000="",,
      COUNTIFS(Data_Cleaning!F:F, A2:A1000, Data_Cleaning!AD:AD, "on time")
   )</f>
        <v>12</v>
      </c>
      <c r="K2" s="7">
        <f t="array" aca="1" ref="K2:K1000" ca="1">IF(A2:A1000="",,
      COUNTIFS(Data_Cleaning!F:F, A2:A1000, Data_Cleaning!AD:AD, "early")
   )</f>
        <v>14</v>
      </c>
      <c r="L2" s="7">
        <f ca="1">IFERROR(AVERAGEIFS(Data_Cleaning!$B:$B, Data_Cleaning!$F:$F, $A2, Data_Cleaning!$B:$B, "&lt;&gt;"), 0)</f>
        <v>4.8235294117647056</v>
      </c>
      <c r="M2" s="7">
        <f t="array" aca="1" ref="M2:M1000" ca="1">IF(A2:A1000="",,
      COUNTIFS(Data_Cleaning!F:F, A2:A1000, Data_Cleaning!B:B, "&lt;&gt;")
   )</f>
        <v>34</v>
      </c>
      <c r="N2" s="7">
        <f t="array" aca="1" ref="N2:N1000" ca="1">IF(A2:A1000="",,
      SUMIF(Data_Cleaning!F:F, A2:A1000, Data_Cleaning!W:W)
   )</f>
        <v>173000</v>
      </c>
      <c r="O2" s="7">
        <f t="array" aca="1" ref="O2:O1000" ca="1">IF(A2:A1000="",,
      SUMIF(Data_Cleaning!F:F, A2:A1000, Data_Cleaning!AC:AC)
   )</f>
        <v>281</v>
      </c>
      <c r="P2" s="7">
        <f ca="1">IFERROR(AVERAGEIF(Data_Cleaning!$F:$F, $A2, Data_Cleaning!$X:$X) / 60, 0)</f>
        <v>36.215364583333333</v>
      </c>
      <c r="Q2" s="7">
        <f ca="1">IFERROR(AVERAGEIF(Data_Cleaning!$F:$F, $A2, Data_Cleaning!$Y:$Y) / 60, 0)</f>
        <v>12.265333333333333</v>
      </c>
      <c r="R2" s="7">
        <f ca="1">IFERROR(AVERAGEIF(Data_Cleaning!$F:$F, $A2, Data_Cleaning!$Z:$Z) / 60, 0)</f>
        <v>9.6586956521739129</v>
      </c>
      <c r="S2" s="7">
        <f ca="1">IFERROR(AVERAGEIF(Data_Cleaning!$F:$F, $A2, Data_Cleaning!$AA:$AA) / 60, 0)</f>
        <v>14.66796875</v>
      </c>
      <c r="T2" s="7">
        <f t="shared" ref="T2:T55" si="0">(D2 - MIN($D$2:$D$55)) / (MAX($D$2:$D$55) - MIN($D$2:$D$55))</f>
        <v>0.46217409887448352</v>
      </c>
      <c r="U2" s="7">
        <f t="shared" ref="U2:U55" si="1">(E2 - MIN($E$2:$E$55)) / (MAX($E$2:$E$55) - MIN($E$2:$E$55))</f>
        <v>0.54352533564313554</v>
      </c>
      <c r="V2" s="7">
        <f t="shared" ref="V2:V55" si="2">(F2 - MIN($F$2:$F$55)) / (MAX($F$2:$F$55) - MIN($F$2:$F$55))</f>
        <v>0.12582056892778992</v>
      </c>
      <c r="W2" s="7">
        <f t="shared" ref="W2:W55" si="3">(G2 - MIN($G$2:$G$55)) / (MAX($G$2:$G$55) - MIN($G$2:$G$55))</f>
        <v>0.78033267879471679</v>
      </c>
      <c r="X2" s="7">
        <f t="shared" ref="X2:X55" si="4">0.3*T2 + 0.25*U2 + 0.25*V2 + 0.2*W2</f>
        <v>0.46205524156401978</v>
      </c>
      <c r="Y2" s="7">
        <f t="shared" ref="Y2:Y55" si="5">RANK(X2, $X$2:$X$55, FALSE)</f>
        <v>8</v>
      </c>
      <c r="Z2" s="7">
        <f t="shared" ref="Z2:Z55" ca="1" si="6">IF(H2=0, 0, J2 / H2)</f>
        <v>0.1875</v>
      </c>
      <c r="AA2" s="7">
        <f t="shared" ref="AA2:AA55" ca="1" si="7">L2/5</f>
        <v>0.96470588235294108</v>
      </c>
      <c r="AB2" s="7">
        <f t="shared" ref="AB2:AB55" ca="1" si="8">1 - (P2 / MAX($P$2:$P$55))</f>
        <v>0.45690530492376913</v>
      </c>
      <c r="AC2" s="7">
        <f t="shared" ref="AC2:AC55" ca="1" si="9">0.5*Z2 + 0.3*AA2 + 0.2*AB2</f>
        <v>0.47454282569063616</v>
      </c>
      <c r="AD2" s="7">
        <f t="shared" ref="AD2:AD55" ca="1" si="10">RANK(AC2, $AC$2:$AC$55, FALSE)</f>
        <v>24</v>
      </c>
    </row>
    <row r="3" spans="1:30" ht="22.5" customHeight="1">
      <c r="A3" s="8" t="str">
        <f ca="1">IFERROR(__xludf.DUMMYFUNCTION("""COMPUTED_VALUE"""),"Arya")</f>
        <v>Arya</v>
      </c>
      <c r="B3" s="8" t="s">
        <v>51</v>
      </c>
      <c r="C3" s="8" t="s">
        <v>53</v>
      </c>
      <c r="D3" s="7">
        <v>1599</v>
      </c>
      <c r="E3" s="7">
        <v>457</v>
      </c>
      <c r="F3" s="7"/>
      <c r="G3" s="7">
        <v>3.1984045289999998</v>
      </c>
      <c r="H3" s="7">
        <f ca="1">COUNTIF(Data_Cleaning!F:F, A3)</f>
        <v>75</v>
      </c>
      <c r="I3" s="7">
        <f ca="1"/>
        <v>18</v>
      </c>
      <c r="J3" s="7">
        <f ca="1"/>
        <v>16</v>
      </c>
      <c r="K3" s="7">
        <f ca="1"/>
        <v>7</v>
      </c>
      <c r="L3" s="7">
        <f ca="1">IFERROR(AVERAGEIFS(Data_Cleaning!$B:$B, Data_Cleaning!$F:$F, $A3, Data_Cleaning!$B:$B, "&lt;&gt;"), 0)</f>
        <v>4.3793103448275863</v>
      </c>
      <c r="M3" s="7">
        <f ca="1"/>
        <v>29</v>
      </c>
      <c r="N3" s="7">
        <f ca="1"/>
        <v>185750</v>
      </c>
      <c r="O3" s="7">
        <f ca="1"/>
        <v>234</v>
      </c>
      <c r="P3" s="7">
        <f ca="1">IFERROR(AVERAGEIF(Data_Cleaning!$F:$F, $A3, Data_Cleaning!$X:$X) / 60, 0)</f>
        <v>41.014888888888891</v>
      </c>
      <c r="Q3" s="7">
        <f ca="1">IFERROR(AVERAGEIF(Data_Cleaning!$F:$F, $A3, Data_Cleaning!$Y:$Y) / 60, 0)</f>
        <v>19.798412698412697</v>
      </c>
      <c r="R3" s="7">
        <f ca="1">IFERROR(AVERAGEIF(Data_Cleaning!$F:$F, $A3, Data_Cleaning!$Z:$Z) / 60, 0)</f>
        <v>8.9596153846153843</v>
      </c>
      <c r="S3" s="7">
        <f ca="1">IFERROR(AVERAGEIF(Data_Cleaning!$F:$F, $A3, Data_Cleaning!$AA:$AA) / 60, 0)</f>
        <v>13.882444444444445</v>
      </c>
      <c r="T3" s="7">
        <f t="shared" si="0"/>
        <v>0.22496082062971934</v>
      </c>
      <c r="U3" s="7">
        <f t="shared" si="1"/>
        <v>0.19532265049805111</v>
      </c>
      <c r="V3" s="7">
        <f t="shared" si="2"/>
        <v>-1.0940919037199124E-3</v>
      </c>
      <c r="W3" s="7">
        <f t="shared" si="3"/>
        <v>0.20849669797971893</v>
      </c>
      <c r="X3" s="7">
        <f t="shared" si="4"/>
        <v>0.1577447254334424</v>
      </c>
      <c r="Y3" s="7">
        <f t="shared" si="5"/>
        <v>46</v>
      </c>
      <c r="Z3" s="7">
        <f t="shared" ca="1" si="6"/>
        <v>0.21333333333333335</v>
      </c>
      <c r="AA3" s="7">
        <f t="shared" ca="1" si="7"/>
        <v>0.87586206896551722</v>
      </c>
      <c r="AB3" s="7">
        <f t="shared" ca="1" si="8"/>
        <v>0.38493043405815219</v>
      </c>
      <c r="AC3" s="7">
        <f t="shared" ca="1" si="9"/>
        <v>0.44641137416795229</v>
      </c>
      <c r="AD3" s="7">
        <f t="shared" ca="1" si="10"/>
        <v>30</v>
      </c>
    </row>
    <row r="4" spans="1:30" ht="22.5" customHeight="1">
      <c r="A4" s="8" t="str">
        <f ca="1">IFERROR(__xludf.DUMMYFUNCTION("""COMPUTED_VALUE"""),"Bret")</f>
        <v>Bret</v>
      </c>
      <c r="B4" s="8" t="s">
        <v>51</v>
      </c>
      <c r="C4" s="8" t="s">
        <v>41</v>
      </c>
      <c r="D4" s="7">
        <v>773</v>
      </c>
      <c r="E4" s="7">
        <v>174</v>
      </c>
      <c r="F4" s="7"/>
      <c r="G4" s="7">
        <v>4.5</v>
      </c>
      <c r="H4" s="7">
        <f ca="1">COUNTIF(Data_Cleaning!F:F, A4)</f>
        <v>22</v>
      </c>
      <c r="I4" s="7">
        <f ca="1"/>
        <v>7</v>
      </c>
      <c r="J4" s="7">
        <f ca="1"/>
        <v>3</v>
      </c>
      <c r="K4" s="7">
        <f ca="1"/>
        <v>2</v>
      </c>
      <c r="L4" s="7">
        <f ca="1">IFERROR(AVERAGEIFS(Data_Cleaning!$B:$B, Data_Cleaning!$F:$F, $A4, Data_Cleaning!$B:$B, "&lt;&gt;"), 0)</f>
        <v>4</v>
      </c>
      <c r="M4" s="7">
        <f ca="1"/>
        <v>9</v>
      </c>
      <c r="N4" s="7">
        <f ca="1"/>
        <v>44500</v>
      </c>
      <c r="O4" s="7">
        <f ca="1"/>
        <v>135</v>
      </c>
      <c r="P4" s="7">
        <f ca="1">IFERROR(AVERAGEIF(Data_Cleaning!$F:$F, $A4, Data_Cleaning!$X:$X) / 60, 0)</f>
        <v>53.934090909090905</v>
      </c>
      <c r="Q4" s="7">
        <f ca="1">IFERROR(AVERAGEIF(Data_Cleaning!$F:$F, $A4, Data_Cleaning!$Y:$Y) / 60, 0)</f>
        <v>20.55530303030303</v>
      </c>
      <c r="R4" s="7">
        <f ca="1">IFERROR(AVERAGEIF(Data_Cleaning!$F:$F, $A4, Data_Cleaning!$Z:$Z) / 60, 0)</f>
        <v>11.359848484848486</v>
      </c>
      <c r="S4" s="7">
        <f ca="1">IFERROR(AVERAGEIF(Data_Cleaning!$F:$F, $A4, Data_Cleaning!$AA:$AA) / 60, 0)</f>
        <v>22.018939393939394</v>
      </c>
      <c r="T4" s="7">
        <f t="shared" si="0"/>
        <v>0.1072802393503348</v>
      </c>
      <c r="U4" s="7">
        <f t="shared" si="1"/>
        <v>7.2758770030316153E-2</v>
      </c>
      <c r="V4" s="7">
        <f t="shared" si="2"/>
        <v>-1.0940919037199124E-3</v>
      </c>
      <c r="W4" s="7">
        <f t="shared" si="3"/>
        <v>0.78033267879471679</v>
      </c>
      <c r="X4" s="7">
        <f t="shared" si="4"/>
        <v>0.20616677709569287</v>
      </c>
      <c r="Y4" s="7">
        <f t="shared" si="5"/>
        <v>23</v>
      </c>
      <c r="Z4" s="7">
        <f t="shared" ca="1" si="6"/>
        <v>0.13636363636363635</v>
      </c>
      <c r="AA4" s="7">
        <f t="shared" ca="1" si="7"/>
        <v>0.8</v>
      </c>
      <c r="AB4" s="7">
        <f t="shared" ca="1" si="8"/>
        <v>0.19119083865397302</v>
      </c>
      <c r="AC4" s="7">
        <f t="shared" ca="1" si="9"/>
        <v>0.3464199859126128</v>
      </c>
      <c r="AD4" s="7">
        <f t="shared" ca="1" si="10"/>
        <v>48</v>
      </c>
    </row>
    <row r="5" spans="1:30" ht="22.5" customHeight="1">
      <c r="A5" s="8" t="str">
        <f ca="1">IFERROR(__xludf.DUMMYFUNCTION("""COMPUTED_VALUE"""),"Samm")</f>
        <v>Samm</v>
      </c>
      <c r="B5" s="8" t="s">
        <v>51</v>
      </c>
      <c r="C5" s="8" t="s">
        <v>41</v>
      </c>
      <c r="D5" s="7">
        <v>1721</v>
      </c>
      <c r="E5" s="7">
        <v>505</v>
      </c>
      <c r="F5" s="7">
        <v>457</v>
      </c>
      <c r="G5" s="7">
        <v>4.3</v>
      </c>
      <c r="H5" s="7">
        <f ca="1">COUNTIF(Data_Cleaning!F:F, A5)</f>
        <v>48</v>
      </c>
      <c r="I5" s="7">
        <f ca="1"/>
        <v>15</v>
      </c>
      <c r="J5" s="7">
        <f ca="1"/>
        <v>14</v>
      </c>
      <c r="K5" s="7">
        <f ca="1"/>
        <v>12</v>
      </c>
      <c r="L5" s="7">
        <f ca="1">IFERROR(AVERAGEIFS(Data_Cleaning!$B:$B, Data_Cleaning!$F:$F, $A5, Data_Cleaning!$B:$B, "&lt;&gt;"), 0)</f>
        <v>4.3636363636363633</v>
      </c>
      <c r="M5" s="7">
        <f ca="1"/>
        <v>22</v>
      </c>
      <c r="N5" s="7">
        <f ca="1"/>
        <v>120100</v>
      </c>
      <c r="O5" s="7">
        <f ca="1"/>
        <v>193</v>
      </c>
      <c r="P5" s="7">
        <f ca="1">IFERROR(AVERAGEIF(Data_Cleaning!$F:$F, $A5, Data_Cleaning!$X:$X) / 60, 0)</f>
        <v>35.63506944444444</v>
      </c>
      <c r="Q5" s="7">
        <f ca="1">IFERROR(AVERAGEIF(Data_Cleaning!$F:$F, $A5, Data_Cleaning!$Y:$Y) / 60, 0)</f>
        <v>13.043703703703704</v>
      </c>
      <c r="R5" s="7">
        <f ca="1">IFERROR(AVERAGEIF(Data_Cleaning!$F:$F, $A5, Data_Cleaning!$Z:$Z) / 60, 0)</f>
        <v>9.9543478260869556</v>
      </c>
      <c r="S5" s="7">
        <f ca="1">IFERROR(AVERAGEIF(Data_Cleaning!$F:$F, $A5, Data_Cleaning!$AA:$AA) / 60, 0)</f>
        <v>12.935763888888889</v>
      </c>
      <c r="T5" s="7">
        <f t="shared" si="0"/>
        <v>0.24234221399059694</v>
      </c>
      <c r="U5" s="7">
        <f t="shared" si="1"/>
        <v>0.21611087050671288</v>
      </c>
      <c r="V5" s="7">
        <f t="shared" si="2"/>
        <v>0.24890590809628008</v>
      </c>
      <c r="W5" s="7">
        <f t="shared" si="3"/>
        <v>0.69246575031260338</v>
      </c>
      <c r="X5" s="7">
        <f t="shared" si="4"/>
        <v>0.32745000891044801</v>
      </c>
      <c r="Y5" s="7">
        <f t="shared" si="5"/>
        <v>11</v>
      </c>
      <c r="Z5" s="7">
        <f t="shared" ca="1" si="6"/>
        <v>0.29166666666666669</v>
      </c>
      <c r="AA5" s="7">
        <f t="shared" ca="1" si="7"/>
        <v>0.87272727272727268</v>
      </c>
      <c r="AB5" s="7">
        <f t="shared" ca="1" si="8"/>
        <v>0.46560755644422236</v>
      </c>
      <c r="AC5" s="7">
        <f t="shared" ca="1" si="9"/>
        <v>0.50077302644035959</v>
      </c>
      <c r="AD5" s="7">
        <f t="shared" ca="1" si="10"/>
        <v>17</v>
      </c>
    </row>
    <row r="6" spans="1:30" ht="22.5" customHeight="1">
      <c r="A6" s="8" t="str">
        <f ca="1">IFERROR(__xludf.DUMMYFUNCTION("""COMPUTED_VALUE"""),"Carlee")</f>
        <v>Carlee</v>
      </c>
      <c r="B6" s="8" t="s">
        <v>51</v>
      </c>
      <c r="C6" s="8" t="s">
        <v>41</v>
      </c>
      <c r="D6" s="7">
        <v>895</v>
      </c>
      <c r="E6" s="7">
        <v>269</v>
      </c>
      <c r="F6" s="7">
        <v>23</v>
      </c>
      <c r="G6" s="7">
        <v>4.5425217959999999</v>
      </c>
      <c r="H6" s="7">
        <f ca="1">COUNTIF(Data_Cleaning!F:F, A6)</f>
        <v>7</v>
      </c>
      <c r="I6" s="7">
        <f ca="1"/>
        <v>5</v>
      </c>
      <c r="J6" s="7">
        <f ca="1"/>
        <v>1</v>
      </c>
      <c r="K6" s="7">
        <f ca="1"/>
        <v>1</v>
      </c>
      <c r="L6" s="7">
        <f ca="1">IFERROR(AVERAGEIFS(Data_Cleaning!$B:$B, Data_Cleaning!$F:$F, $A6, Data_Cleaning!$B:$B, "&lt;&gt;"), 0)</f>
        <v>3.6666666666666665</v>
      </c>
      <c r="M6" s="7">
        <f ca="1"/>
        <v>3</v>
      </c>
      <c r="N6" s="7">
        <f ca="1"/>
        <v>25000</v>
      </c>
      <c r="O6" s="7">
        <f ca="1"/>
        <v>45</v>
      </c>
      <c r="P6" s="7">
        <f ca="1">IFERROR(AVERAGEIF(Data_Cleaning!$F:$F, $A6, Data_Cleaning!$X:$X) / 60, 0)</f>
        <v>40.878571428571426</v>
      </c>
      <c r="Q6" s="7">
        <f ca="1">IFERROR(AVERAGEIF(Data_Cleaning!$F:$F, $A6, Data_Cleaning!$Y:$Y) / 60, 0)</f>
        <v>20.80238095238095</v>
      </c>
      <c r="R6" s="7">
        <f ca="1">IFERROR(AVERAGEIF(Data_Cleaning!$F:$F, $A6, Data_Cleaning!$Z:$Z) / 60, 0)</f>
        <v>6.9595238095238097</v>
      </c>
      <c r="S6" s="7">
        <f ca="1">IFERROR(AVERAGEIF(Data_Cleaning!$F:$F, $A6, Data_Cleaning!$AA:$AA) / 60, 0)</f>
        <v>13.116666666666667</v>
      </c>
      <c r="T6" s="7">
        <f t="shared" si="0"/>
        <v>0.12466163271121242</v>
      </c>
      <c r="U6" s="7">
        <f t="shared" si="1"/>
        <v>0.11390212213079255</v>
      </c>
      <c r="V6" s="7">
        <f t="shared" si="2"/>
        <v>1.1487964989059081E-2</v>
      </c>
      <c r="W6" s="7">
        <f t="shared" si="3"/>
        <v>0.79901397683503184</v>
      </c>
      <c r="X6" s="7">
        <f t="shared" si="4"/>
        <v>0.228548806960333</v>
      </c>
      <c r="Y6" s="7">
        <f t="shared" si="5"/>
        <v>19</v>
      </c>
      <c r="Z6" s="7">
        <f t="shared" ca="1" si="6"/>
        <v>0.14285714285714285</v>
      </c>
      <c r="AA6" s="7">
        <f t="shared" ca="1" si="7"/>
        <v>0.73333333333333328</v>
      </c>
      <c r="AB6" s="7">
        <f t="shared" ca="1" si="8"/>
        <v>0.38697468490020359</v>
      </c>
      <c r="AC6" s="7">
        <f t="shared" ca="1" si="9"/>
        <v>0.36882350840861211</v>
      </c>
      <c r="AD6" s="7">
        <f t="shared" ca="1" si="10"/>
        <v>44</v>
      </c>
    </row>
    <row r="7" spans="1:30" ht="22.5" customHeight="1">
      <c r="A7" s="8" t="str">
        <f ca="1">IFERROR(__xludf.DUMMYFUNCTION("""COMPUTED_VALUE"""),"Jagar")</f>
        <v>Jagar</v>
      </c>
      <c r="B7" s="8" t="s">
        <v>38</v>
      </c>
      <c r="C7" s="8" t="s">
        <v>41</v>
      </c>
      <c r="D7" s="7">
        <v>5138</v>
      </c>
      <c r="E7" s="7">
        <v>1778</v>
      </c>
      <c r="F7" s="7">
        <v>314</v>
      </c>
      <c r="G7" s="7">
        <v>4.5999999999999996</v>
      </c>
      <c r="H7" s="7">
        <f ca="1">COUNTIF(Data_Cleaning!F:F, A7)</f>
        <v>50</v>
      </c>
      <c r="I7" s="7">
        <f ca="1"/>
        <v>14</v>
      </c>
      <c r="J7" s="7">
        <f ca="1"/>
        <v>9</v>
      </c>
      <c r="K7" s="7">
        <f ca="1"/>
        <v>16</v>
      </c>
      <c r="L7" s="7">
        <f ca="1">IFERROR(AVERAGEIFS(Data_Cleaning!$B:$B, Data_Cleaning!$F:$F, $A7, Data_Cleaning!$B:$B, "&lt;&gt;"), 0)</f>
        <v>4.5199999999999996</v>
      </c>
      <c r="M7" s="7">
        <f ca="1"/>
        <v>25</v>
      </c>
      <c r="N7" s="7">
        <f ca="1"/>
        <v>134600</v>
      </c>
      <c r="O7" s="7">
        <f ca="1"/>
        <v>198</v>
      </c>
      <c r="P7" s="7">
        <f ca="1">IFERROR(AVERAGEIF(Data_Cleaning!$F:$F, $A7, Data_Cleaning!$X:$X) / 60, 0)</f>
        <v>35.107333333333337</v>
      </c>
      <c r="Q7" s="7">
        <f ca="1">IFERROR(AVERAGEIF(Data_Cleaning!$F:$F, $A7, Data_Cleaning!$Y:$Y) / 60, 0)</f>
        <v>11.237500000000001</v>
      </c>
      <c r="R7" s="7">
        <f ca="1">IFERROR(AVERAGEIF(Data_Cleaning!$F:$F, $A7, Data_Cleaning!$Z:$Z) / 60, 0)</f>
        <v>12.834108527131782</v>
      </c>
      <c r="S7" s="7">
        <f ca="1">IFERROR(AVERAGEIF(Data_Cleaning!$F:$F, $A7, Data_Cleaning!$AA:$AA) / 60, 0)</f>
        <v>10.074999999999999</v>
      </c>
      <c r="T7" s="7">
        <f t="shared" si="0"/>
        <v>0.72916369853255447</v>
      </c>
      <c r="U7" s="7">
        <f t="shared" si="1"/>
        <v>0.76743178865309658</v>
      </c>
      <c r="V7" s="7">
        <f t="shared" si="2"/>
        <v>0.17067833698030635</v>
      </c>
      <c r="W7" s="7">
        <f t="shared" si="3"/>
        <v>0.82426614303577328</v>
      </c>
      <c r="X7" s="7">
        <f t="shared" si="4"/>
        <v>0.61812986957527172</v>
      </c>
      <c r="Y7" s="7">
        <f t="shared" si="5"/>
        <v>4</v>
      </c>
      <c r="Z7" s="7">
        <f t="shared" ca="1" si="6"/>
        <v>0.18</v>
      </c>
      <c r="AA7" s="7">
        <f t="shared" ca="1" si="7"/>
        <v>0.90399999999999991</v>
      </c>
      <c r="AB7" s="7">
        <f t="shared" ca="1" si="8"/>
        <v>0.4735216195951012</v>
      </c>
      <c r="AC7" s="7">
        <f t="shared" ca="1" si="9"/>
        <v>0.45590432391902019</v>
      </c>
      <c r="AD7" s="7">
        <f t="shared" ca="1" si="10"/>
        <v>29</v>
      </c>
    </row>
    <row r="8" spans="1:30" ht="22.5" customHeight="1">
      <c r="A8" s="8" t="str">
        <f ca="1">IFERROR(__xludf.DUMMYFUNCTION("""COMPUTED_VALUE"""),"Sal")</f>
        <v>Sal</v>
      </c>
      <c r="B8" s="8" t="s">
        <v>38</v>
      </c>
      <c r="C8" s="8" t="s">
        <v>41</v>
      </c>
      <c r="D8" s="7">
        <v>779</v>
      </c>
      <c r="E8" s="7">
        <v>349</v>
      </c>
      <c r="F8" s="7"/>
      <c r="G8" s="7">
        <v>2.7238307580000001</v>
      </c>
      <c r="H8" s="7">
        <f ca="1">COUNTIF(Data_Cleaning!F:F, A8)</f>
        <v>6</v>
      </c>
      <c r="I8" s="7">
        <f ca="1"/>
        <v>3</v>
      </c>
      <c r="J8" s="7">
        <f ca="1"/>
        <v>1</v>
      </c>
      <c r="K8" s="7">
        <f ca="1"/>
        <v>1</v>
      </c>
      <c r="L8" s="7">
        <f ca="1">IFERROR(AVERAGEIFS(Data_Cleaning!$B:$B, Data_Cleaning!$F:$F, $A8, Data_Cleaning!$B:$B, "&lt;&gt;"), 0)</f>
        <v>3.5</v>
      </c>
      <c r="M8" s="7">
        <f ca="1"/>
        <v>2</v>
      </c>
      <c r="N8" s="7">
        <f ca="1"/>
        <v>12500</v>
      </c>
      <c r="O8" s="7">
        <f ca="1"/>
        <v>21</v>
      </c>
      <c r="P8" s="7">
        <f ca="1">IFERROR(AVERAGEIF(Data_Cleaning!$F:$F, $A8, Data_Cleaning!$X:$X) / 60, 0)</f>
        <v>65.266666666666666</v>
      </c>
      <c r="Q8" s="7">
        <f ca="1">IFERROR(AVERAGEIF(Data_Cleaning!$F:$F, $A8, Data_Cleaning!$Y:$Y) / 60, 0)</f>
        <v>38.856666666666669</v>
      </c>
      <c r="R8" s="7">
        <f ca="1">IFERROR(AVERAGEIF(Data_Cleaning!$F:$F, $A8, Data_Cleaning!$Z:$Z) / 60, 0)</f>
        <v>4.7600000000000007</v>
      </c>
      <c r="S8" s="7">
        <f ca="1">IFERROR(AVERAGEIF(Data_Cleaning!$F:$F, $A8, Data_Cleaning!$AA:$AA) / 60, 0)</f>
        <v>19.850000000000001</v>
      </c>
      <c r="T8" s="7">
        <f t="shared" si="0"/>
        <v>0.10813506197464026</v>
      </c>
      <c r="U8" s="7">
        <f t="shared" si="1"/>
        <v>0.14854915547856215</v>
      </c>
      <c r="V8" s="7">
        <f t="shared" si="2"/>
        <v>-1.0940919037199124E-3</v>
      </c>
      <c r="W8" s="7">
        <f t="shared" si="3"/>
        <v>0</v>
      </c>
      <c r="X8" s="7">
        <f t="shared" si="4"/>
        <v>6.9304284486102638E-2</v>
      </c>
      <c r="Y8" s="7">
        <f t="shared" si="5"/>
        <v>52</v>
      </c>
      <c r="Z8" s="7">
        <f t="shared" ca="1" si="6"/>
        <v>0.16666666666666666</v>
      </c>
      <c r="AA8" s="7">
        <f t="shared" ca="1" si="7"/>
        <v>0.7</v>
      </c>
      <c r="AB8" s="7">
        <f t="shared" ca="1" si="8"/>
        <v>2.1244688827793068E-2</v>
      </c>
      <c r="AC8" s="7">
        <f t="shared" ca="1" si="9"/>
        <v>0.29758227109889196</v>
      </c>
      <c r="AD8" s="7">
        <f t="shared" ca="1" si="10"/>
        <v>52</v>
      </c>
    </row>
    <row r="9" spans="1:30" ht="22.5" customHeight="1">
      <c r="A9" s="8" t="str">
        <f ca="1">IFERROR(__xludf.DUMMYFUNCTION("""COMPUTED_VALUE"""),"Kev")</f>
        <v>Kev</v>
      </c>
      <c r="B9" s="8" t="s">
        <v>38</v>
      </c>
      <c r="C9" s="8" t="s">
        <v>41</v>
      </c>
      <c r="D9" s="7">
        <v>144</v>
      </c>
      <c r="E9" s="7">
        <v>43</v>
      </c>
      <c r="F9" s="7">
        <v>80</v>
      </c>
      <c r="G9" s="7">
        <v>4.7</v>
      </c>
      <c r="H9" s="7">
        <f ca="1">COUNTIF(Data_Cleaning!F:F, A9)</f>
        <v>3</v>
      </c>
      <c r="I9" s="7">
        <f ca="1"/>
        <v>2</v>
      </c>
      <c r="J9" s="7">
        <f ca="1"/>
        <v>1</v>
      </c>
      <c r="K9" s="7">
        <f ca="1"/>
        <v>0</v>
      </c>
      <c r="L9" s="7">
        <f ca="1">IFERROR(AVERAGEIFS(Data_Cleaning!$B:$B, Data_Cleaning!$F:$F, $A9, Data_Cleaning!$B:$B, "&lt;&gt;"), 0)</f>
        <v>5</v>
      </c>
      <c r="M9" s="7">
        <f ca="1"/>
        <v>2</v>
      </c>
      <c r="N9" s="7">
        <f ca="1"/>
        <v>8000</v>
      </c>
      <c r="O9" s="7">
        <f ca="1"/>
        <v>30</v>
      </c>
      <c r="P9" s="7">
        <f ca="1">IFERROR(AVERAGEIF(Data_Cleaning!$F:$F, $A9, Data_Cleaning!$X:$X) / 60, 0)</f>
        <v>38.627777777777773</v>
      </c>
      <c r="Q9" s="7">
        <f ca="1">IFERROR(AVERAGEIF(Data_Cleaning!$F:$F, $A9, Data_Cleaning!$Y:$Y) / 60, 0)</f>
        <v>14.733333333333333</v>
      </c>
      <c r="R9" s="7">
        <f ca="1">IFERROR(AVERAGEIF(Data_Cleaning!$F:$F, $A9, Data_Cleaning!$Z:$Z) / 60, 0)</f>
        <v>12.125</v>
      </c>
      <c r="S9" s="7">
        <f ca="1">IFERROR(AVERAGEIF(Data_Cleaning!$F:$F, $A9, Data_Cleaning!$AA:$AA) / 60, 0)</f>
        <v>16.633333333333333</v>
      </c>
      <c r="T9" s="7">
        <f t="shared" si="0"/>
        <v>1.7666334235646102E-2</v>
      </c>
      <c r="U9" s="7">
        <f t="shared" si="1"/>
        <v>1.6024252923343439E-2</v>
      </c>
      <c r="V9" s="7">
        <f t="shared" si="2"/>
        <v>4.2669584245076587E-2</v>
      </c>
      <c r="W9" s="7">
        <f t="shared" si="3"/>
        <v>0.8681996072768301</v>
      </c>
      <c r="X9" s="7">
        <f t="shared" si="4"/>
        <v>0.19361328101816486</v>
      </c>
      <c r="Y9" s="7">
        <f t="shared" si="5"/>
        <v>28</v>
      </c>
      <c r="Z9" s="7">
        <f t="shared" ca="1" si="6"/>
        <v>0.33333333333333331</v>
      </c>
      <c r="AA9" s="7">
        <f t="shared" ca="1" si="7"/>
        <v>1</v>
      </c>
      <c r="AB9" s="7">
        <f t="shared" ca="1" si="8"/>
        <v>0.42072815129550956</v>
      </c>
      <c r="AC9" s="7">
        <f t="shared" ca="1" si="9"/>
        <v>0.55081229692576861</v>
      </c>
      <c r="AD9" s="7">
        <f t="shared" ca="1" si="10"/>
        <v>12</v>
      </c>
    </row>
    <row r="10" spans="1:30" ht="22.5" customHeight="1">
      <c r="A10" s="8" t="str">
        <f ca="1">IFERROR(__xludf.DUMMYFUNCTION("""COMPUTED_VALUE"""),"Matt")</f>
        <v>Matt</v>
      </c>
      <c r="B10" s="8" t="s">
        <v>38</v>
      </c>
      <c r="C10" s="8" t="s">
        <v>41</v>
      </c>
      <c r="D10" s="7">
        <v>4625</v>
      </c>
      <c r="E10" s="7">
        <v>1551</v>
      </c>
      <c r="F10" s="7"/>
      <c r="G10" s="7">
        <v>4.5</v>
      </c>
      <c r="H10" s="7">
        <f ca="1">COUNTIF(Data_Cleaning!F:F, A10)</f>
        <v>19</v>
      </c>
      <c r="I10" s="7">
        <f ca="1"/>
        <v>12</v>
      </c>
      <c r="J10" s="7">
        <f ca="1"/>
        <v>0</v>
      </c>
      <c r="K10" s="7">
        <f ca="1"/>
        <v>3</v>
      </c>
      <c r="L10" s="7">
        <f ca="1">IFERROR(AVERAGEIFS(Data_Cleaning!$B:$B, Data_Cleaning!$F:$F, $A10, Data_Cleaning!$B:$B, "&lt;&gt;"), 0)</f>
        <v>4.6363636363636367</v>
      </c>
      <c r="M10" s="7">
        <f ca="1"/>
        <v>11</v>
      </c>
      <c r="N10" s="7">
        <f ca="1"/>
        <v>36350</v>
      </c>
      <c r="O10" s="7">
        <f ca="1"/>
        <v>64</v>
      </c>
      <c r="P10" s="7">
        <f ca="1">IFERROR(AVERAGEIF(Data_Cleaning!$F:$F, $A10, Data_Cleaning!$X:$X) / 60, 0)</f>
        <v>48.519298245614031</v>
      </c>
      <c r="Q10" s="7">
        <f ca="1">IFERROR(AVERAGEIF(Data_Cleaning!$F:$F, $A10, Data_Cleaning!$Y:$Y) / 60, 0)</f>
        <v>26.532291666666666</v>
      </c>
      <c r="R10" s="7">
        <f ca="1">IFERROR(AVERAGEIF(Data_Cleaning!$F:$F, $A10, Data_Cleaning!$Z:$Z) / 60, 0)</f>
        <v>9.3820512820512825</v>
      </c>
      <c r="S10" s="7">
        <f ca="1">IFERROR(AVERAGEIF(Data_Cleaning!$F:$F, $A10, Data_Cleaning!$AA:$AA) / 60, 0)</f>
        <v>16.600877192982455</v>
      </c>
      <c r="T10" s="7">
        <f t="shared" si="0"/>
        <v>0.65607636415443793</v>
      </c>
      <c r="U10" s="7">
        <f t="shared" si="1"/>
        <v>0.66912083152880031</v>
      </c>
      <c r="V10" s="7">
        <f t="shared" si="2"/>
        <v>-1.0940919037199124E-3</v>
      </c>
      <c r="W10" s="7">
        <f t="shared" si="3"/>
        <v>0.78033267879471679</v>
      </c>
      <c r="X10" s="7">
        <f t="shared" si="4"/>
        <v>0.51989612991154477</v>
      </c>
      <c r="Y10" s="7">
        <f t="shared" si="5"/>
        <v>7</v>
      </c>
      <c r="Z10" s="7">
        <f t="shared" ca="1" si="6"/>
        <v>0</v>
      </c>
      <c r="AA10" s="7">
        <f t="shared" ca="1" si="7"/>
        <v>0.92727272727272736</v>
      </c>
      <c r="AB10" s="7">
        <f t="shared" ca="1" si="8"/>
        <v>0.27239242820873744</v>
      </c>
      <c r="AC10" s="7">
        <f t="shared" ca="1" si="9"/>
        <v>0.33266030382356571</v>
      </c>
      <c r="AD10" s="7">
        <f t="shared" ca="1" si="10"/>
        <v>49</v>
      </c>
    </row>
    <row r="11" spans="1:30" ht="22.5" customHeight="1">
      <c r="A11" s="8" t="str">
        <f ca="1">IFERROR(__xludf.DUMMYFUNCTION("""COMPUTED_VALUE"""),"Ash")</f>
        <v>Ash</v>
      </c>
      <c r="B11" s="8" t="s">
        <v>38</v>
      </c>
      <c r="C11" s="8" t="s">
        <v>41</v>
      </c>
      <c r="D11" s="7">
        <v>398</v>
      </c>
      <c r="E11" s="7">
        <v>161</v>
      </c>
      <c r="F11" s="7"/>
      <c r="G11" s="7">
        <v>4.5</v>
      </c>
      <c r="H11" s="7">
        <f ca="1">COUNTIF(Data_Cleaning!F:F, A11)</f>
        <v>16</v>
      </c>
      <c r="I11" s="7">
        <f ca="1"/>
        <v>4</v>
      </c>
      <c r="J11" s="7">
        <f ca="1"/>
        <v>4</v>
      </c>
      <c r="K11" s="7">
        <f ca="1"/>
        <v>5</v>
      </c>
      <c r="L11" s="7">
        <f ca="1">IFERROR(AVERAGEIFS(Data_Cleaning!$B:$B, Data_Cleaning!$F:$F, $A11, Data_Cleaning!$B:$B, "&lt;&gt;"), 0)</f>
        <v>4.7</v>
      </c>
      <c r="M11" s="7">
        <f ca="1"/>
        <v>10</v>
      </c>
      <c r="N11" s="7">
        <f ca="1"/>
        <v>42850</v>
      </c>
      <c r="O11" s="7">
        <f ca="1"/>
        <v>55</v>
      </c>
      <c r="P11" s="7">
        <f ca="1">IFERROR(AVERAGEIF(Data_Cleaning!$F:$F, $A11, Data_Cleaning!$X:$X) / 60, 0)</f>
        <v>41.086458333333333</v>
      </c>
      <c r="Q11" s="7">
        <f ca="1">IFERROR(AVERAGEIF(Data_Cleaning!$F:$F, $A11, Data_Cleaning!$Y:$Y) / 60, 0)</f>
        <v>12.996428571428572</v>
      </c>
      <c r="R11" s="7">
        <f ca="1">IFERROR(AVERAGEIF(Data_Cleaning!$F:$F, $A11, Data_Cleaning!$Z:$Z) / 60, 0)</f>
        <v>12.278571428571428</v>
      </c>
      <c r="S11" s="7">
        <f ca="1">IFERROR(AVERAGEIF(Data_Cleaning!$F:$F, $A11, Data_Cleaning!$AA:$AA) / 60, 0)</f>
        <v>15.617708333333333</v>
      </c>
      <c r="T11" s="7">
        <f t="shared" si="0"/>
        <v>5.385382533124377E-2</v>
      </c>
      <c r="U11" s="7">
        <f t="shared" si="1"/>
        <v>6.7128627111303601E-2</v>
      </c>
      <c r="V11" s="7">
        <f t="shared" si="2"/>
        <v>-1.0940919037199124E-3</v>
      </c>
      <c r="W11" s="7">
        <f t="shared" si="3"/>
        <v>0.78033267879471679</v>
      </c>
      <c r="X11" s="7">
        <f t="shared" si="4"/>
        <v>0.18873131716021241</v>
      </c>
      <c r="Y11" s="7">
        <f t="shared" si="5"/>
        <v>31</v>
      </c>
      <c r="Z11" s="7">
        <f t="shared" ca="1" si="6"/>
        <v>0.25</v>
      </c>
      <c r="AA11" s="7">
        <f t="shared" ca="1" si="7"/>
        <v>0.94000000000000006</v>
      </c>
      <c r="AB11" s="7">
        <f t="shared" ca="1" si="8"/>
        <v>0.38385716070982256</v>
      </c>
      <c r="AC11" s="7">
        <f t="shared" ca="1" si="9"/>
        <v>0.48377143214196455</v>
      </c>
      <c r="AD11" s="7">
        <f t="shared" ca="1" si="10"/>
        <v>20</v>
      </c>
    </row>
    <row r="12" spans="1:30" ht="22.5" customHeight="1">
      <c r="A12" s="8" t="str">
        <f ca="1">IFERROR(__xludf.DUMMYFUNCTION("""COMPUTED_VALUE"""),"Codee")</f>
        <v>Codee</v>
      </c>
      <c r="B12" s="8" t="s">
        <v>38</v>
      </c>
      <c r="C12" s="8" t="s">
        <v>41</v>
      </c>
      <c r="D12" s="7">
        <v>198</v>
      </c>
      <c r="E12" s="7">
        <v>59</v>
      </c>
      <c r="F12" s="7">
        <v>42</v>
      </c>
      <c r="G12" s="7">
        <v>4.8</v>
      </c>
      <c r="H12" s="7">
        <f ca="1">COUNTIF(Data_Cleaning!F:F, A12)</f>
        <v>5</v>
      </c>
      <c r="I12" s="7">
        <f ca="1"/>
        <v>2</v>
      </c>
      <c r="J12" s="7">
        <f ca="1"/>
        <v>2</v>
      </c>
      <c r="K12" s="7">
        <f ca="1"/>
        <v>1</v>
      </c>
      <c r="L12" s="7">
        <f ca="1">IFERROR(AVERAGEIFS(Data_Cleaning!$B:$B, Data_Cleaning!$F:$F, $A12, Data_Cleaning!$B:$B, "&lt;&gt;"), 0)</f>
        <v>5</v>
      </c>
      <c r="M12" s="7">
        <f ca="1"/>
        <v>4</v>
      </c>
      <c r="N12" s="7">
        <f ca="1"/>
        <v>9300</v>
      </c>
      <c r="O12" s="7">
        <f ca="1"/>
        <v>19</v>
      </c>
      <c r="P12" s="7">
        <f ca="1">IFERROR(AVERAGEIF(Data_Cleaning!$F:$F, $A12, Data_Cleaning!$X:$X) / 60, 0)</f>
        <v>34.956666666666671</v>
      </c>
      <c r="Q12" s="7">
        <f ca="1">IFERROR(AVERAGEIF(Data_Cleaning!$F:$F, $A12, Data_Cleaning!$Y:$Y) / 60, 0)</f>
        <v>12.76</v>
      </c>
      <c r="R12" s="7">
        <f ca="1">IFERROR(AVERAGEIF(Data_Cleaning!$F:$F, $A12, Data_Cleaning!$Z:$Z) / 60, 0)</f>
        <v>8.3233333333333324</v>
      </c>
      <c r="S12" s="7">
        <f ca="1">IFERROR(AVERAGEIF(Data_Cleaning!$F:$F, $A12, Data_Cleaning!$AA:$AA) / 60, 0)</f>
        <v>13.873333333333333</v>
      </c>
      <c r="T12" s="7">
        <f t="shared" si="0"/>
        <v>2.5359737854395215E-2</v>
      </c>
      <c r="U12" s="7">
        <f t="shared" si="1"/>
        <v>2.2953659592897357E-2</v>
      </c>
      <c r="V12" s="7">
        <f t="shared" si="2"/>
        <v>2.1881838074398249E-2</v>
      </c>
      <c r="W12" s="7">
        <f t="shared" si="3"/>
        <v>0.91213307151788658</v>
      </c>
      <c r="X12" s="7">
        <f t="shared" si="4"/>
        <v>0.20124341007671978</v>
      </c>
      <c r="Y12" s="7">
        <f t="shared" si="5"/>
        <v>26</v>
      </c>
      <c r="Z12" s="7">
        <f t="shared" ca="1" si="6"/>
        <v>0.4</v>
      </c>
      <c r="AA12" s="7">
        <f t="shared" ca="1" si="7"/>
        <v>1</v>
      </c>
      <c r="AB12" s="7">
        <f t="shared" ca="1" si="8"/>
        <v>0.47578105473631593</v>
      </c>
      <c r="AC12" s="7">
        <f t="shared" ca="1" si="9"/>
        <v>0.59515621094726323</v>
      </c>
      <c r="AD12" s="7">
        <f t="shared" ca="1" si="10"/>
        <v>4</v>
      </c>
    </row>
    <row r="13" spans="1:30" ht="22.5" customHeight="1">
      <c r="A13" s="8" t="str">
        <f ca="1">IFERROR(__xludf.DUMMYFUNCTION("""COMPUTED_VALUE"""),"Lauran")</f>
        <v>Lauran</v>
      </c>
      <c r="B13" s="8" t="s">
        <v>38</v>
      </c>
      <c r="C13" s="8" t="s">
        <v>41</v>
      </c>
      <c r="D13" s="7">
        <v>4836</v>
      </c>
      <c r="E13" s="7">
        <v>1396</v>
      </c>
      <c r="F13" s="7">
        <v>1278</v>
      </c>
      <c r="G13" s="7">
        <v>4.5</v>
      </c>
      <c r="H13" s="7">
        <f ca="1">COUNTIF(Data_Cleaning!F:F, A13)</f>
        <v>17</v>
      </c>
      <c r="I13" s="7">
        <f ca="1"/>
        <v>5</v>
      </c>
      <c r="J13" s="7">
        <f ca="1"/>
        <v>1</v>
      </c>
      <c r="K13" s="7">
        <f ca="1"/>
        <v>4</v>
      </c>
      <c r="L13" s="7">
        <f ca="1">IFERROR(AVERAGEIFS(Data_Cleaning!$B:$B, Data_Cleaning!$F:$F, $A13, Data_Cleaning!$B:$B, "&lt;&gt;"), 0)</f>
        <v>4.416666666666667</v>
      </c>
      <c r="M13" s="7">
        <f ca="1"/>
        <v>12</v>
      </c>
      <c r="N13" s="7">
        <f ca="1"/>
        <v>44700</v>
      </c>
      <c r="O13" s="7">
        <f ca="1"/>
        <v>57</v>
      </c>
      <c r="P13" s="7">
        <f ca="1">IFERROR(AVERAGEIF(Data_Cleaning!$F:$F, $A13, Data_Cleaning!$X:$X) / 60, 0)</f>
        <v>44.923529411764704</v>
      </c>
      <c r="Q13" s="7">
        <f ca="1">IFERROR(AVERAGEIF(Data_Cleaning!$F:$F, $A13, Data_Cleaning!$Y:$Y) / 60, 0)</f>
        <v>16.274999999999999</v>
      </c>
      <c r="R13" s="7">
        <f ca="1">IFERROR(AVERAGEIF(Data_Cleaning!$F:$F, $A13, Data_Cleaning!$Z:$Z) / 60, 0)</f>
        <v>12.947222222222223</v>
      </c>
      <c r="S13" s="7">
        <f ca="1">IFERROR(AVERAGEIF(Data_Cleaning!$F:$F, $A13, Data_Cleaning!$AA:$AA) / 60, 0)</f>
        <v>17.100000000000001</v>
      </c>
      <c r="T13" s="7">
        <f t="shared" si="0"/>
        <v>0.68613762644251319</v>
      </c>
      <c r="U13" s="7">
        <f t="shared" si="1"/>
        <v>0.60199220441749679</v>
      </c>
      <c r="V13" s="7">
        <f t="shared" si="2"/>
        <v>0.69803063457330417</v>
      </c>
      <c r="W13" s="7">
        <f t="shared" si="3"/>
        <v>0.78033267879471679</v>
      </c>
      <c r="X13" s="7">
        <f t="shared" si="4"/>
        <v>0.68691353343939754</v>
      </c>
      <c r="Y13" s="7">
        <f t="shared" si="5"/>
        <v>2</v>
      </c>
      <c r="Z13" s="7">
        <f t="shared" ca="1" si="6"/>
        <v>5.8823529411764705E-2</v>
      </c>
      <c r="AA13" s="7">
        <f t="shared" ca="1" si="7"/>
        <v>0.88333333333333341</v>
      </c>
      <c r="AB13" s="7">
        <f t="shared" ca="1" si="8"/>
        <v>0.32631547995354104</v>
      </c>
      <c r="AC13" s="7">
        <f t="shared" ca="1" si="9"/>
        <v>0.3596748606965906</v>
      </c>
      <c r="AD13" s="7">
        <f t="shared" ca="1" si="10"/>
        <v>45</v>
      </c>
    </row>
    <row r="14" spans="1:30" ht="22.5" customHeight="1">
      <c r="A14" s="8" t="str">
        <f ca="1">IFERROR(__xludf.DUMMYFUNCTION("""COMPUTED_VALUE"""),"Ron")</f>
        <v>Ron</v>
      </c>
      <c r="B14" s="8" t="s">
        <v>51</v>
      </c>
      <c r="C14" s="8" t="s">
        <v>53</v>
      </c>
      <c r="D14" s="7">
        <v>2618</v>
      </c>
      <c r="E14" s="7">
        <v>765</v>
      </c>
      <c r="F14" s="7"/>
      <c r="G14" s="7">
        <v>4.4000000000000004</v>
      </c>
      <c r="H14" s="7">
        <f ca="1">COUNTIF(Data_Cleaning!F:F, A14)</f>
        <v>26</v>
      </c>
      <c r="I14" s="7">
        <f ca="1"/>
        <v>11</v>
      </c>
      <c r="J14" s="7">
        <f ca="1"/>
        <v>6</v>
      </c>
      <c r="K14" s="7">
        <f ca="1"/>
        <v>3</v>
      </c>
      <c r="L14" s="7">
        <f ca="1">IFERROR(AVERAGEIFS(Data_Cleaning!$B:$B, Data_Cleaning!$F:$F, $A14, Data_Cleaning!$B:$B, "&lt;&gt;"), 0)</f>
        <v>4.25</v>
      </c>
      <c r="M14" s="7">
        <f ca="1"/>
        <v>8</v>
      </c>
      <c r="N14" s="7">
        <f ca="1"/>
        <v>57600</v>
      </c>
      <c r="O14" s="7">
        <f ca="1"/>
        <v>81</v>
      </c>
      <c r="P14" s="7">
        <f ca="1">IFERROR(AVERAGEIF(Data_Cleaning!$F:$F, $A14, Data_Cleaning!$X:$X) / 60, 0)</f>
        <v>37.050641025641021</v>
      </c>
      <c r="Q14" s="7">
        <f ca="1">IFERROR(AVERAGEIF(Data_Cleaning!$F:$F, $A14, Data_Cleaning!$Y:$Y) / 60, 0)</f>
        <v>15.677999999999999</v>
      </c>
      <c r="R14" s="7">
        <f ca="1">IFERROR(AVERAGEIF(Data_Cleaning!$F:$F, $A14, Data_Cleaning!$Z:$Z) / 60, 0)</f>
        <v>14.62820512820513</v>
      </c>
      <c r="S14" s="7">
        <f ca="1">IFERROR(AVERAGEIF(Data_Cleaning!$F:$F, $A14, Data_Cleaning!$AA:$AA) / 60, 0)</f>
        <v>15.459615384615384</v>
      </c>
      <c r="T14" s="7">
        <f t="shared" si="0"/>
        <v>0.3701381963242627</v>
      </c>
      <c r="U14" s="7">
        <f t="shared" si="1"/>
        <v>0.32871372888696404</v>
      </c>
      <c r="V14" s="7">
        <f t="shared" si="2"/>
        <v>-1.0940919037199124E-3</v>
      </c>
      <c r="W14" s="7">
        <f t="shared" si="3"/>
        <v>0.73639921455366031</v>
      </c>
      <c r="X14" s="7">
        <f t="shared" si="4"/>
        <v>0.34022621105382189</v>
      </c>
      <c r="Y14" s="7">
        <f t="shared" si="5"/>
        <v>10</v>
      </c>
      <c r="Z14" s="7">
        <f t="shared" ca="1" si="6"/>
        <v>0.23076923076923078</v>
      </c>
      <c r="AA14" s="7">
        <f t="shared" ca="1" si="7"/>
        <v>0.85</v>
      </c>
      <c r="AB14" s="7">
        <f t="shared" ca="1" si="8"/>
        <v>0.4443792897929365</v>
      </c>
      <c r="AC14" s="7">
        <f t="shared" ca="1" si="9"/>
        <v>0.45926047334320275</v>
      </c>
      <c r="AD14" s="7">
        <f t="shared" ca="1" si="10"/>
        <v>28</v>
      </c>
    </row>
    <row r="15" spans="1:30" ht="22.5" customHeight="1">
      <c r="A15" s="8" t="str">
        <f ca="1">IFERROR(__xludf.DUMMYFUNCTION("""COMPUTED_VALUE"""),"Cate")</f>
        <v>Cate</v>
      </c>
      <c r="B15" s="8" t="s">
        <v>38</v>
      </c>
      <c r="C15" s="8" t="s">
        <v>41</v>
      </c>
      <c r="D15" s="7">
        <v>7039</v>
      </c>
      <c r="E15" s="7">
        <v>2315</v>
      </c>
      <c r="F15" s="7">
        <v>763</v>
      </c>
      <c r="G15" s="7">
        <v>4.5999999999999996</v>
      </c>
      <c r="H15" s="7">
        <f ca="1">COUNTIF(Data_Cleaning!F:F, A15)</f>
        <v>72</v>
      </c>
      <c r="I15" s="7">
        <f ca="1"/>
        <v>12</v>
      </c>
      <c r="J15" s="7">
        <f ca="1"/>
        <v>11</v>
      </c>
      <c r="K15" s="7">
        <f ca="1"/>
        <v>16</v>
      </c>
      <c r="L15" s="7">
        <f ca="1">IFERROR(AVERAGEIFS(Data_Cleaning!$B:$B, Data_Cleaning!$F:$F, $A15, Data_Cleaning!$B:$B, "&lt;&gt;"), 0)</f>
        <v>4.4634146341463419</v>
      </c>
      <c r="M15" s="7">
        <f ca="1"/>
        <v>41</v>
      </c>
      <c r="N15" s="7">
        <f ca="1"/>
        <v>210300</v>
      </c>
      <c r="O15" s="7">
        <f ca="1"/>
        <v>260</v>
      </c>
      <c r="P15" s="7">
        <f ca="1">IFERROR(AVERAGEIF(Data_Cleaning!$F:$F, $A15, Data_Cleaning!$X:$X) / 60, 0)</f>
        <v>37.241666666666667</v>
      </c>
      <c r="Q15" s="7">
        <f ca="1">IFERROR(AVERAGEIF(Data_Cleaning!$F:$F, $A15, Data_Cleaning!$Y:$Y) / 60, 0)</f>
        <v>13.118027210884353</v>
      </c>
      <c r="R15" s="7">
        <f ca="1">IFERROR(AVERAGEIF(Data_Cleaning!$F:$F, $A15, Data_Cleaning!$Z:$Z) / 60, 0)</f>
        <v>10.464583333333334</v>
      </c>
      <c r="S15" s="7">
        <f ca="1">IFERROR(AVERAGEIF(Data_Cleaning!$F:$F, $A15, Data_Cleaning!$AA:$AA) / 60, 0)</f>
        <v>14.296990740740741</v>
      </c>
      <c r="T15" s="7">
        <f t="shared" si="0"/>
        <v>1</v>
      </c>
      <c r="U15" s="7">
        <f t="shared" si="1"/>
        <v>1</v>
      </c>
      <c r="V15" s="7">
        <f t="shared" si="2"/>
        <v>0.41630196936542668</v>
      </c>
      <c r="W15" s="7">
        <f t="shared" si="3"/>
        <v>0.82426614303577328</v>
      </c>
      <c r="X15" s="7">
        <f t="shared" si="4"/>
        <v>0.81892872094851143</v>
      </c>
      <c r="Y15" s="7">
        <f t="shared" si="5"/>
        <v>1</v>
      </c>
      <c r="Z15" s="7">
        <f t="shared" ca="1" si="6"/>
        <v>0.15277777777777779</v>
      </c>
      <c r="AA15" s="7">
        <f t="shared" ca="1" si="7"/>
        <v>0.89268292682926842</v>
      </c>
      <c r="AB15" s="7">
        <f t="shared" ca="1" si="8"/>
        <v>0.4415146213446639</v>
      </c>
      <c r="AC15" s="7">
        <f t="shared" ca="1" si="9"/>
        <v>0.43249669120660217</v>
      </c>
      <c r="AD15" s="7">
        <f t="shared" ca="1" si="10"/>
        <v>34</v>
      </c>
    </row>
    <row r="16" spans="1:30" ht="22.5" customHeight="1">
      <c r="A16" s="8" t="str">
        <f ca="1">IFERROR(__xludf.DUMMYFUNCTION("""COMPUTED_VALUE"""),"Sean")</f>
        <v>Sean</v>
      </c>
      <c r="B16" s="8" t="s">
        <v>51</v>
      </c>
      <c r="C16" s="8" t="s">
        <v>53</v>
      </c>
      <c r="D16" s="7">
        <v>522</v>
      </c>
      <c r="E16" s="7">
        <v>183</v>
      </c>
      <c r="F16" s="7"/>
      <c r="G16" s="7">
        <v>4.4000000000000004</v>
      </c>
      <c r="H16" s="7">
        <f ca="1">COUNTIF(Data_Cleaning!F:F, A16)</f>
        <v>49</v>
      </c>
      <c r="I16" s="7">
        <f ca="1"/>
        <v>5</v>
      </c>
      <c r="J16" s="7">
        <f ca="1"/>
        <v>17</v>
      </c>
      <c r="K16" s="7">
        <f ca="1"/>
        <v>10</v>
      </c>
      <c r="L16" s="7">
        <f ca="1">IFERROR(AVERAGEIFS(Data_Cleaning!$B:$B, Data_Cleaning!$F:$F, $A16, Data_Cleaning!$B:$B, "&lt;&gt;"), 0)</f>
        <v>4.5454545454545459</v>
      </c>
      <c r="M16" s="7">
        <f ca="1"/>
        <v>22</v>
      </c>
      <c r="N16" s="7">
        <f ca="1"/>
        <v>110450</v>
      </c>
      <c r="O16" s="7">
        <f ca="1"/>
        <v>156</v>
      </c>
      <c r="P16" s="7">
        <f ca="1">IFERROR(AVERAGEIF(Data_Cleaning!$F:$F, $A16, Data_Cleaning!$X:$X) / 60, 0)</f>
        <v>28.633333333333333</v>
      </c>
      <c r="Q16" s="7">
        <f ca="1">IFERROR(AVERAGEIF(Data_Cleaning!$F:$F, $A16, Data_Cleaning!$Y:$Y) / 60, 0)</f>
        <v>7.5536231884057967</v>
      </c>
      <c r="R16" s="7">
        <f ca="1">IFERROR(AVERAGEIF(Data_Cleaning!$F:$F, $A16, Data_Cleaning!$Z:$Z) / 60, 0)</f>
        <v>11.214074074074073</v>
      </c>
      <c r="S16" s="7">
        <f ca="1">IFERROR(AVERAGEIF(Data_Cleaning!$F:$F, $A16, Data_Cleaning!$AA:$AA) / 60, 0)</f>
        <v>10.443877551020408</v>
      </c>
      <c r="T16" s="7">
        <f t="shared" si="0"/>
        <v>7.1520159566889868E-2</v>
      </c>
      <c r="U16" s="7">
        <f t="shared" si="1"/>
        <v>7.6656561281940233E-2</v>
      </c>
      <c r="V16" s="7">
        <f t="shared" si="2"/>
        <v>-1.0940919037199124E-3</v>
      </c>
      <c r="W16" s="7">
        <f t="shared" si="3"/>
        <v>0.73639921455366031</v>
      </c>
      <c r="X16" s="7">
        <f t="shared" si="4"/>
        <v>0.18762650812535411</v>
      </c>
      <c r="Y16" s="7">
        <f t="shared" si="5"/>
        <v>32</v>
      </c>
      <c r="Z16" s="7">
        <f t="shared" ca="1" si="6"/>
        <v>0.34693877551020408</v>
      </c>
      <c r="AA16" s="7">
        <f t="shared" ca="1" si="7"/>
        <v>0.90909090909090917</v>
      </c>
      <c r="AB16" s="7">
        <f t="shared" ca="1" si="8"/>
        <v>0.57060734816295922</v>
      </c>
      <c r="AC16" s="7">
        <f t="shared" ca="1" si="9"/>
        <v>0.56031813011496667</v>
      </c>
      <c r="AD16" s="7">
        <f t="shared" ca="1" si="10"/>
        <v>9</v>
      </c>
    </row>
    <row r="17" spans="1:30" ht="22.5" customHeight="1">
      <c r="A17" s="8" t="str">
        <f ca="1">IFERROR(__xludf.DUMMYFUNCTION("""COMPUTED_VALUE"""),"KC")</f>
        <v>KC</v>
      </c>
      <c r="B17" s="8" t="s">
        <v>51</v>
      </c>
      <c r="C17" s="8" t="s">
        <v>41</v>
      </c>
      <c r="D17" s="7">
        <v>6580</v>
      </c>
      <c r="E17" s="7">
        <v>2229</v>
      </c>
      <c r="F17" s="7"/>
      <c r="G17" s="7">
        <v>4.4000000000000004</v>
      </c>
      <c r="H17" s="7">
        <f ca="1">COUNTIF(Data_Cleaning!F:F, A17)</f>
        <v>143</v>
      </c>
      <c r="I17" s="7">
        <f ca="1"/>
        <v>12</v>
      </c>
      <c r="J17" s="7">
        <f ca="1"/>
        <v>49</v>
      </c>
      <c r="K17" s="7">
        <f ca="1"/>
        <v>36</v>
      </c>
      <c r="L17" s="7">
        <f ca="1">IFERROR(AVERAGEIFS(Data_Cleaning!$B:$B, Data_Cleaning!$F:$F, $A17, Data_Cleaning!$B:$B, "&lt;&gt;"), 0)</f>
        <v>4.6607142857142856</v>
      </c>
      <c r="M17" s="7">
        <f ca="1"/>
        <v>56</v>
      </c>
      <c r="N17" s="7">
        <f ca="1"/>
        <v>339150</v>
      </c>
      <c r="O17" s="7">
        <f ca="1"/>
        <v>488</v>
      </c>
      <c r="P17" s="7">
        <f ca="1">IFERROR(AVERAGEIF(Data_Cleaning!$F:$F, $A17, Data_Cleaning!$X:$X) / 60, 0)</f>
        <v>30.515384615384615</v>
      </c>
      <c r="Q17" s="7">
        <f ca="1">IFERROR(AVERAGEIF(Data_Cleaning!$F:$F, $A17, Data_Cleaning!$Y:$Y) / 60, 0)</f>
        <v>8.6768170426065172</v>
      </c>
      <c r="R17" s="7">
        <f ca="1">IFERROR(AVERAGEIF(Data_Cleaning!$F:$F, $A17, Data_Cleaning!$Z:$Z) / 60, 0)</f>
        <v>9.6274875621890548</v>
      </c>
      <c r="S17" s="7">
        <f ca="1">IFERROR(AVERAGEIF(Data_Cleaning!$F:$F, $A17, Data_Cleaning!$AA:$AA) / 60, 0)</f>
        <v>12.183449883449883</v>
      </c>
      <c r="T17" s="7">
        <f t="shared" si="0"/>
        <v>0.93460606924063261</v>
      </c>
      <c r="U17" s="7">
        <f t="shared" si="1"/>
        <v>0.96275443915114767</v>
      </c>
      <c r="V17" s="7">
        <f t="shared" si="2"/>
        <v>-1.0940919037199124E-3</v>
      </c>
      <c r="W17" s="7">
        <f t="shared" si="3"/>
        <v>0.73639921455366031</v>
      </c>
      <c r="X17" s="7">
        <f t="shared" si="4"/>
        <v>0.66807675049477877</v>
      </c>
      <c r="Y17" s="7">
        <f t="shared" si="5"/>
        <v>3</v>
      </c>
      <c r="Z17" s="7">
        <f t="shared" ca="1" si="6"/>
        <v>0.34265734265734266</v>
      </c>
      <c r="AA17" s="7">
        <f t="shared" ca="1" si="7"/>
        <v>0.93214285714285716</v>
      </c>
      <c r="AB17" s="7">
        <f t="shared" ca="1" si="8"/>
        <v>0.54238363486051566</v>
      </c>
      <c r="AC17" s="7">
        <f t="shared" ca="1" si="9"/>
        <v>0.55944825544363153</v>
      </c>
      <c r="AD17" s="7">
        <f t="shared" ca="1" si="10"/>
        <v>10</v>
      </c>
    </row>
    <row r="18" spans="1:30" ht="22.5" customHeight="1">
      <c r="A18" s="8" t="str">
        <f ca="1">IFERROR(__xludf.DUMMYFUNCTION("""COMPUTED_VALUE"""),"Josh")</f>
        <v>Josh</v>
      </c>
      <c r="B18" s="8" t="s">
        <v>38</v>
      </c>
      <c r="C18" s="8" t="s">
        <v>41</v>
      </c>
      <c r="D18" s="7">
        <v>1226</v>
      </c>
      <c r="E18" s="7">
        <v>426</v>
      </c>
      <c r="F18" s="7">
        <v>85</v>
      </c>
      <c r="G18" s="7">
        <v>3.4317832890000002</v>
      </c>
      <c r="H18" s="7">
        <f ca="1">COUNTIF(Data_Cleaning!F:F, A18)</f>
        <v>21</v>
      </c>
      <c r="I18" s="7">
        <f ca="1"/>
        <v>7</v>
      </c>
      <c r="J18" s="7">
        <f ca="1"/>
        <v>6</v>
      </c>
      <c r="K18" s="7">
        <f ca="1"/>
        <v>4</v>
      </c>
      <c r="L18" s="7">
        <f ca="1">IFERROR(AVERAGEIFS(Data_Cleaning!$B:$B, Data_Cleaning!$F:$F, $A18, Data_Cleaning!$B:$B, "&lt;&gt;"), 0)</f>
        <v>4.2307692307692308</v>
      </c>
      <c r="M18" s="7">
        <f ca="1"/>
        <v>13</v>
      </c>
      <c r="N18" s="7">
        <f ca="1"/>
        <v>61950</v>
      </c>
      <c r="O18" s="7">
        <f ca="1"/>
        <v>62</v>
      </c>
      <c r="P18" s="7">
        <f ca="1">IFERROR(AVERAGEIF(Data_Cleaning!$F:$F, $A18, Data_Cleaning!$X:$X) / 60, 0)</f>
        <v>41.25555555555556</v>
      </c>
      <c r="Q18" s="7">
        <f ca="1">IFERROR(AVERAGEIF(Data_Cleaning!$F:$F, $A18, Data_Cleaning!$Y:$Y) / 60, 0)</f>
        <v>13.808333333333334</v>
      </c>
      <c r="R18" s="7">
        <f ca="1">IFERROR(AVERAGEIF(Data_Cleaning!$F:$F, $A18, Data_Cleaning!$Z:$Z) / 60, 0)</f>
        <v>11.248333333333333</v>
      </c>
      <c r="S18" s="7">
        <f ca="1">IFERROR(AVERAGEIF(Data_Cleaning!$F:$F, $A18, Data_Cleaning!$AA:$AA) / 60, 0)</f>
        <v>16.623809523809523</v>
      </c>
      <c r="T18" s="7">
        <f t="shared" si="0"/>
        <v>0.17181934748539679</v>
      </c>
      <c r="U18" s="7">
        <f t="shared" si="1"/>
        <v>0.18189692507579039</v>
      </c>
      <c r="V18" s="7">
        <f t="shared" si="2"/>
        <v>4.5404814004376369E-2</v>
      </c>
      <c r="W18" s="7">
        <f t="shared" si="3"/>
        <v>0.3110280720505405</v>
      </c>
      <c r="X18" s="7">
        <f t="shared" si="4"/>
        <v>0.17057685342576884</v>
      </c>
      <c r="Y18" s="7">
        <f t="shared" si="5"/>
        <v>40</v>
      </c>
      <c r="Z18" s="7">
        <f t="shared" ca="1" si="6"/>
        <v>0.2857142857142857</v>
      </c>
      <c r="AA18" s="7">
        <f t="shared" ca="1" si="7"/>
        <v>0.84615384615384615</v>
      </c>
      <c r="AB18" s="7">
        <f t="shared" ca="1" si="8"/>
        <v>0.38132133633258347</v>
      </c>
      <c r="AC18" s="7">
        <f t="shared" ca="1" si="9"/>
        <v>0.47296756396981338</v>
      </c>
      <c r="AD18" s="7">
        <f t="shared" ca="1" si="10"/>
        <v>26</v>
      </c>
    </row>
    <row r="19" spans="1:30" ht="22.5" customHeight="1">
      <c r="A19" s="8" t="str">
        <f ca="1">IFERROR(__xludf.DUMMYFUNCTION("""COMPUTED_VALUE"""),"Abhai")</f>
        <v>Abhai</v>
      </c>
      <c r="B19" s="8" t="s">
        <v>38</v>
      </c>
      <c r="C19" s="8" t="s">
        <v>41</v>
      </c>
      <c r="D19" s="7">
        <v>947</v>
      </c>
      <c r="E19" s="7">
        <v>344</v>
      </c>
      <c r="F19" s="7">
        <v>22</v>
      </c>
      <c r="G19" s="7">
        <v>4.7</v>
      </c>
      <c r="H19" s="7">
        <f ca="1">COUNTIF(Data_Cleaning!F:F, A19)</f>
        <v>34</v>
      </c>
      <c r="I19" s="7">
        <f ca="1"/>
        <v>9</v>
      </c>
      <c r="J19" s="7">
        <f ca="1"/>
        <v>9</v>
      </c>
      <c r="K19" s="7">
        <f ca="1"/>
        <v>8</v>
      </c>
      <c r="L19" s="7">
        <f ca="1">IFERROR(AVERAGEIFS(Data_Cleaning!$B:$B, Data_Cleaning!$F:$F, $A19, Data_Cleaning!$B:$B, "&lt;&gt;"), 0)</f>
        <v>4.7857142857142856</v>
      </c>
      <c r="M19" s="7">
        <f ca="1"/>
        <v>14</v>
      </c>
      <c r="N19" s="7">
        <f ca="1"/>
        <v>90800</v>
      </c>
      <c r="O19" s="7">
        <f ca="1"/>
        <v>104</v>
      </c>
      <c r="P19" s="7">
        <f ca="1">IFERROR(AVERAGEIF(Data_Cleaning!$F:$F, $A19, Data_Cleaning!$X:$X) / 60, 0)</f>
        <v>34.420588235294112</v>
      </c>
      <c r="Q19" s="7">
        <f ca="1">IFERROR(AVERAGEIF(Data_Cleaning!$F:$F, $A19, Data_Cleaning!$Y:$Y) / 60, 0)</f>
        <v>9.5785714285714274</v>
      </c>
      <c r="R19" s="7">
        <f ca="1">IFERROR(AVERAGEIF(Data_Cleaning!$F:$F, $A19, Data_Cleaning!$Z:$Z) / 60, 0)</f>
        <v>8.7473333333333336</v>
      </c>
      <c r="S19" s="7">
        <f ca="1">IFERROR(AVERAGEIF(Data_Cleaning!$F:$F, $A19, Data_Cleaning!$AA:$AA) / 60, 0)</f>
        <v>15.589705882352941</v>
      </c>
      <c r="T19" s="7">
        <f t="shared" si="0"/>
        <v>0.13207009545519305</v>
      </c>
      <c r="U19" s="7">
        <f t="shared" si="1"/>
        <v>0.14638371589432655</v>
      </c>
      <c r="V19" s="7">
        <f t="shared" si="2"/>
        <v>1.0940919037199124E-2</v>
      </c>
      <c r="W19" s="7">
        <f t="shared" si="3"/>
        <v>0.8681996072768301</v>
      </c>
      <c r="X19" s="7">
        <f t="shared" si="4"/>
        <v>0.25259210882480537</v>
      </c>
      <c r="Y19" s="7">
        <f t="shared" si="5"/>
        <v>16</v>
      </c>
      <c r="Z19" s="7">
        <f t="shared" ca="1" si="6"/>
        <v>0.26470588235294118</v>
      </c>
      <c r="AA19" s="7">
        <f t="shared" ca="1" si="7"/>
        <v>0.95714285714285707</v>
      </c>
      <c r="AB19" s="7">
        <f t="shared" ca="1" si="8"/>
        <v>0.48382022141523451</v>
      </c>
      <c r="AC19" s="7">
        <f t="shared" ca="1" si="9"/>
        <v>0.51625984260237456</v>
      </c>
      <c r="AD19" s="7">
        <f t="shared" ca="1" si="10"/>
        <v>14</v>
      </c>
    </row>
    <row r="20" spans="1:30" ht="22.5" customHeight="1">
      <c r="A20" s="8" t="str">
        <f ca="1">IFERROR(__xludf.DUMMYFUNCTION("""COMPUTED_VALUE"""),"Rojan")</f>
        <v>Rojan</v>
      </c>
      <c r="B20" s="8" t="s">
        <v>51</v>
      </c>
      <c r="C20" s="8" t="s">
        <v>53</v>
      </c>
      <c r="D20" s="7">
        <v>788</v>
      </c>
      <c r="E20" s="7">
        <v>254</v>
      </c>
      <c r="F20" s="7">
        <v>9</v>
      </c>
      <c r="G20" s="7">
        <v>4.6781930059999999</v>
      </c>
      <c r="H20" s="7">
        <f ca="1">COUNTIF(Data_Cleaning!F:F, A20)</f>
        <v>68</v>
      </c>
      <c r="I20" s="7">
        <f ca="1"/>
        <v>14</v>
      </c>
      <c r="J20" s="7">
        <f ca="1"/>
        <v>26</v>
      </c>
      <c r="K20" s="7">
        <f ca="1"/>
        <v>15</v>
      </c>
      <c r="L20" s="7">
        <f ca="1">IFERROR(AVERAGEIFS(Data_Cleaning!$B:$B, Data_Cleaning!$F:$F, $A20, Data_Cleaning!$B:$B, "&lt;&gt;"), 0)</f>
        <v>4.6470588235294121</v>
      </c>
      <c r="M20" s="7">
        <f ca="1"/>
        <v>34</v>
      </c>
      <c r="N20" s="7">
        <f ca="1"/>
        <v>165200</v>
      </c>
      <c r="O20" s="7">
        <f ca="1"/>
        <v>190</v>
      </c>
      <c r="P20" s="7">
        <f ca="1">IFERROR(AVERAGEIF(Data_Cleaning!$F:$F, $A20, Data_Cleaning!$X:$X) / 60, 0)</f>
        <v>29.731372549019611</v>
      </c>
      <c r="Q20" s="7">
        <f ca="1">IFERROR(AVERAGEIF(Data_Cleaning!$F:$F, $A20, Data_Cleaning!$Y:$Y) / 60, 0)</f>
        <v>10.198333333333332</v>
      </c>
      <c r="R20" s="7">
        <f ca="1">IFERROR(AVERAGEIF(Data_Cleaning!$F:$F, $A20, Data_Cleaning!$Z:$Z) / 60, 0)</f>
        <v>10.122955974842768</v>
      </c>
      <c r="S20" s="7">
        <f ca="1">IFERROR(AVERAGEIF(Data_Cleaning!$F:$F, $A20, Data_Cleaning!$AA:$AA) / 60, 0)</f>
        <v>10.765196078431371</v>
      </c>
      <c r="T20" s="7">
        <f t="shared" si="0"/>
        <v>0.10941729591109844</v>
      </c>
      <c r="U20" s="7">
        <f t="shared" si="1"/>
        <v>0.10740580337808575</v>
      </c>
      <c r="V20" s="7">
        <f t="shared" si="2"/>
        <v>3.8293216630196935E-3</v>
      </c>
      <c r="W20" s="7">
        <f t="shared" si="3"/>
        <v>0.85861903936579065</v>
      </c>
      <c r="X20" s="7">
        <f t="shared" si="4"/>
        <v>0.23235777790676404</v>
      </c>
      <c r="Y20" s="7">
        <f t="shared" si="5"/>
        <v>17</v>
      </c>
      <c r="Z20" s="7">
        <f t="shared" ca="1" si="6"/>
        <v>0.38235294117647056</v>
      </c>
      <c r="AA20" s="7">
        <f t="shared" ca="1" si="7"/>
        <v>0.92941176470588238</v>
      </c>
      <c r="AB20" s="7">
        <f t="shared" ca="1" si="8"/>
        <v>0.55414087654556954</v>
      </c>
      <c r="AC20" s="7">
        <f t="shared" ca="1" si="9"/>
        <v>0.5808281753091139</v>
      </c>
      <c r="AD20" s="7">
        <f t="shared" ca="1" si="10"/>
        <v>6</v>
      </c>
    </row>
    <row r="21" spans="1:30" ht="22.5" customHeight="1">
      <c r="A21" s="8" t="str">
        <f ca="1">IFERROR(__xludf.DUMMYFUNCTION("""COMPUTED_VALUE"""),"Anisha")</f>
        <v>Anisha</v>
      </c>
      <c r="B21" s="8" t="s">
        <v>38</v>
      </c>
      <c r="C21" s="8" t="s">
        <v>41</v>
      </c>
      <c r="D21" s="7">
        <v>931</v>
      </c>
      <c r="E21" s="7">
        <v>272</v>
      </c>
      <c r="F21" s="7">
        <v>144</v>
      </c>
      <c r="G21" s="7">
        <v>4.8</v>
      </c>
      <c r="H21" s="7">
        <f ca="1">COUNTIF(Data_Cleaning!F:F, A21)</f>
        <v>13</v>
      </c>
      <c r="I21" s="7">
        <f ca="1"/>
        <v>3</v>
      </c>
      <c r="J21" s="7">
        <f ca="1"/>
        <v>3</v>
      </c>
      <c r="K21" s="7">
        <f ca="1"/>
        <v>3</v>
      </c>
      <c r="L21" s="7">
        <f ca="1">IFERROR(AVERAGEIFS(Data_Cleaning!$B:$B, Data_Cleaning!$F:$F, $A21, Data_Cleaning!$B:$B, "&lt;&gt;"), 0)</f>
        <v>4.5714285714285712</v>
      </c>
      <c r="M21" s="7">
        <f ca="1"/>
        <v>7</v>
      </c>
      <c r="N21" s="7">
        <f ca="1"/>
        <v>36000</v>
      </c>
      <c r="O21" s="7">
        <f ca="1"/>
        <v>50</v>
      </c>
      <c r="P21" s="7">
        <f ca="1">IFERROR(AVERAGEIF(Data_Cleaning!$F:$F, $A21, Data_Cleaning!$X:$X) / 60, 0)</f>
        <v>38.515384615384619</v>
      </c>
      <c r="Q21" s="7">
        <f ca="1">IFERROR(AVERAGEIF(Data_Cleaning!$F:$F, $A21, Data_Cleaning!$Y:$Y) / 60, 0)</f>
        <v>14.325757575757574</v>
      </c>
      <c r="R21" s="7">
        <f ca="1">IFERROR(AVERAGEIF(Data_Cleaning!$F:$F, $A21, Data_Cleaning!$Z:$Z) / 60, 0)</f>
        <v>7.5772727272727272</v>
      </c>
      <c r="S21" s="7">
        <f ca="1">IFERROR(AVERAGEIF(Data_Cleaning!$F:$F, $A21, Data_Cleaning!$AA:$AA) / 60, 0)</f>
        <v>16.442307692307693</v>
      </c>
      <c r="T21" s="7">
        <f t="shared" si="0"/>
        <v>0.12979056845704517</v>
      </c>
      <c r="U21" s="7">
        <f t="shared" si="1"/>
        <v>0.11520138588133391</v>
      </c>
      <c r="V21" s="7">
        <f t="shared" si="2"/>
        <v>7.7680525164113792E-2</v>
      </c>
      <c r="W21" s="7">
        <f t="shared" si="3"/>
        <v>0.91213307151788658</v>
      </c>
      <c r="X21" s="7">
        <f t="shared" si="4"/>
        <v>0.26958426260205282</v>
      </c>
      <c r="Y21" s="7">
        <f t="shared" si="5"/>
        <v>13</v>
      </c>
      <c r="Z21" s="7">
        <f t="shared" ca="1" si="6"/>
        <v>0.23076923076923078</v>
      </c>
      <c r="AA21" s="7">
        <f t="shared" ca="1" si="7"/>
        <v>0.91428571428571426</v>
      </c>
      <c r="AB21" s="7">
        <f t="shared" ca="1" si="8"/>
        <v>0.42241362736239019</v>
      </c>
      <c r="AC21" s="7">
        <f t="shared" ca="1" si="9"/>
        <v>0.4741530551428077</v>
      </c>
      <c r="AD21" s="7">
        <f t="shared" ca="1" si="10"/>
        <v>25</v>
      </c>
    </row>
    <row r="22" spans="1:30" ht="22.5" customHeight="1">
      <c r="A22" s="8" t="str">
        <f ca="1">IFERROR(__xludf.DUMMYFUNCTION("""COMPUTED_VALUE"""),"Hersh")</f>
        <v>Hersh</v>
      </c>
      <c r="B22" s="8" t="s">
        <v>38</v>
      </c>
      <c r="C22" s="8" t="s">
        <v>41</v>
      </c>
      <c r="D22" s="7">
        <v>624</v>
      </c>
      <c r="E22" s="7">
        <v>212</v>
      </c>
      <c r="F22" s="7">
        <v>347</v>
      </c>
      <c r="G22" s="7">
        <v>4.7</v>
      </c>
      <c r="H22" s="7">
        <f ca="1">COUNTIF(Data_Cleaning!F:F, A22)</f>
        <v>26</v>
      </c>
      <c r="I22" s="7">
        <f ca="1"/>
        <v>5</v>
      </c>
      <c r="J22" s="7">
        <f ca="1"/>
        <v>5</v>
      </c>
      <c r="K22" s="7">
        <f ca="1"/>
        <v>12</v>
      </c>
      <c r="L22" s="7">
        <f ca="1">IFERROR(AVERAGEIFS(Data_Cleaning!$B:$B, Data_Cleaning!$F:$F, $A22, Data_Cleaning!$B:$B, "&lt;&gt;"), 0)</f>
        <v>4.7142857142857144</v>
      </c>
      <c r="M22" s="7">
        <f ca="1"/>
        <v>14</v>
      </c>
      <c r="N22" s="7">
        <f ca="1"/>
        <v>71850</v>
      </c>
      <c r="O22" s="7">
        <f ca="1"/>
        <v>80</v>
      </c>
      <c r="P22" s="7">
        <f ca="1">IFERROR(AVERAGEIF(Data_Cleaning!$F:$F, $A22, Data_Cleaning!$X:$X) / 60, 0)</f>
        <v>39.664743589743587</v>
      </c>
      <c r="Q22" s="7">
        <f ca="1">IFERROR(AVERAGEIF(Data_Cleaning!$F:$F, $A22, Data_Cleaning!$Y:$Y) / 60, 0)</f>
        <v>11.604166666666666</v>
      </c>
      <c r="R22" s="7">
        <f ca="1">IFERROR(AVERAGEIF(Data_Cleaning!$F:$F, $A22, Data_Cleaning!$Z:$Z) / 60, 0)</f>
        <v>13.227777777777778</v>
      </c>
      <c r="S22" s="7">
        <f ca="1">IFERROR(AVERAGEIF(Data_Cleaning!$F:$F, $A22, Data_Cleaning!$AA:$AA) / 60, 0)</f>
        <v>15.734615384615385</v>
      </c>
      <c r="T22" s="7">
        <f t="shared" si="0"/>
        <v>8.6052144180082626E-2</v>
      </c>
      <c r="U22" s="7">
        <f t="shared" si="1"/>
        <v>8.921611087050671E-2</v>
      </c>
      <c r="V22" s="7">
        <f t="shared" si="2"/>
        <v>0.18873085339168491</v>
      </c>
      <c r="W22" s="7">
        <f t="shared" si="3"/>
        <v>0.8681996072768301</v>
      </c>
      <c r="X22" s="7">
        <f t="shared" si="4"/>
        <v>0.26894230577493872</v>
      </c>
      <c r="Y22" s="7">
        <f t="shared" si="5"/>
        <v>14</v>
      </c>
      <c r="Z22" s="7">
        <f t="shared" ca="1" si="6"/>
        <v>0.19230769230769232</v>
      </c>
      <c r="AA22" s="7">
        <f t="shared" ca="1" si="7"/>
        <v>0.94285714285714284</v>
      </c>
      <c r="AB22" s="7">
        <f t="shared" ca="1" si="8"/>
        <v>0.40517755176590475</v>
      </c>
      <c r="AC22" s="7">
        <f t="shared" ca="1" si="9"/>
        <v>0.46004649936416997</v>
      </c>
      <c r="AD22" s="7">
        <f t="shared" ca="1" si="10"/>
        <v>27</v>
      </c>
    </row>
    <row r="23" spans="1:30" ht="22.5" customHeight="1">
      <c r="A23" s="8" t="str">
        <f ca="1">IFERROR(__xludf.DUMMYFUNCTION("""COMPUTED_VALUE"""),"Elon")</f>
        <v>Elon</v>
      </c>
      <c r="B23" s="8" t="s">
        <v>38</v>
      </c>
      <c r="C23" s="8" t="s">
        <v>41</v>
      </c>
      <c r="D23" s="7">
        <v>604</v>
      </c>
      <c r="E23" s="7">
        <v>259</v>
      </c>
      <c r="F23" s="7">
        <v>21</v>
      </c>
      <c r="G23" s="7">
        <v>4</v>
      </c>
      <c r="H23" s="7">
        <f ca="1">COUNTIF(Data_Cleaning!F:F, A23)</f>
        <v>82</v>
      </c>
      <c r="I23" s="7">
        <f ca="1"/>
        <v>18</v>
      </c>
      <c r="J23" s="7">
        <f ca="1"/>
        <v>23</v>
      </c>
      <c r="K23" s="7">
        <f ca="1"/>
        <v>17</v>
      </c>
      <c r="L23" s="7">
        <f ca="1">IFERROR(AVERAGEIFS(Data_Cleaning!$B:$B, Data_Cleaning!$F:$F, $A23, Data_Cleaning!$B:$B, "&lt;&gt;"), 0)</f>
        <v>4.6136363636363633</v>
      </c>
      <c r="M23" s="7">
        <f ca="1"/>
        <v>44</v>
      </c>
      <c r="N23" s="7">
        <f ca="1"/>
        <v>177850</v>
      </c>
      <c r="O23" s="7">
        <f ca="1"/>
        <v>235</v>
      </c>
      <c r="P23" s="7">
        <f ca="1">IFERROR(AVERAGEIF(Data_Cleaning!$F:$F, $A23, Data_Cleaning!$X:$X) / 60, 0)</f>
        <v>33.773577235772358</v>
      </c>
      <c r="Q23" s="7">
        <f ca="1">IFERROR(AVERAGEIF(Data_Cleaning!$F:$F, $A23, Data_Cleaning!$Y:$Y) / 60, 0)</f>
        <v>12.080238095238094</v>
      </c>
      <c r="R23" s="7">
        <f ca="1">IFERROR(AVERAGEIF(Data_Cleaning!$F:$F, $A23, Data_Cleaning!$Z:$Z) / 60, 0)</f>
        <v>9.0142156862745093</v>
      </c>
      <c r="S23" s="7">
        <f ca="1">IFERROR(AVERAGEIF(Data_Cleaning!$F:$F, $A23, Data_Cleaning!$AA:$AA) / 60, 0)</f>
        <v>14.3320987654321</v>
      </c>
      <c r="T23" s="7">
        <f t="shared" si="0"/>
        <v>8.3202735432397784E-2</v>
      </c>
      <c r="U23" s="7">
        <f t="shared" si="1"/>
        <v>0.10957124296232135</v>
      </c>
      <c r="V23" s="7">
        <f t="shared" si="2"/>
        <v>1.0393873085339168E-2</v>
      </c>
      <c r="W23" s="7">
        <f t="shared" si="3"/>
        <v>0.56066535758943359</v>
      </c>
      <c r="X23" s="7">
        <f t="shared" si="4"/>
        <v>0.16708517115952118</v>
      </c>
      <c r="Y23" s="7">
        <f t="shared" si="5"/>
        <v>44</v>
      </c>
      <c r="Z23" s="7">
        <f t="shared" ca="1" si="6"/>
        <v>0.28048780487804881</v>
      </c>
      <c r="AA23" s="7">
        <f t="shared" ca="1" si="7"/>
        <v>0.92272727272727262</v>
      </c>
      <c r="AB23" s="7">
        <f t="shared" ca="1" si="8"/>
        <v>0.49352296072323387</v>
      </c>
      <c r="AC23" s="7">
        <f t="shared" ca="1" si="9"/>
        <v>0.51576667640185292</v>
      </c>
      <c r="AD23" s="7">
        <f t="shared" ca="1" si="10"/>
        <v>15</v>
      </c>
    </row>
    <row r="24" spans="1:30" ht="22.5" customHeight="1">
      <c r="A24" s="8" t="str">
        <f ca="1">IFERROR(__xludf.DUMMYFUNCTION("""COMPUTED_VALUE"""),"Benn")</f>
        <v>Benn</v>
      </c>
      <c r="B24" s="8" t="s">
        <v>38</v>
      </c>
      <c r="C24" s="8" t="s">
        <v>41</v>
      </c>
      <c r="D24" s="7">
        <v>995</v>
      </c>
      <c r="E24" s="7">
        <v>241</v>
      </c>
      <c r="F24" s="7">
        <v>626</v>
      </c>
      <c r="G24" s="7">
        <v>4.7</v>
      </c>
      <c r="H24" s="7">
        <f ca="1">COUNTIF(Data_Cleaning!F:F, A24)</f>
        <v>9</v>
      </c>
      <c r="I24" s="7">
        <f ca="1"/>
        <v>3</v>
      </c>
      <c r="J24" s="7">
        <f ca="1"/>
        <v>2</v>
      </c>
      <c r="K24" s="7">
        <f ca="1"/>
        <v>3</v>
      </c>
      <c r="L24" s="7">
        <f ca="1">IFERROR(AVERAGEIFS(Data_Cleaning!$B:$B, Data_Cleaning!$F:$F, $A24, Data_Cleaning!$B:$B, "&lt;&gt;"), 0)</f>
        <v>4.8571428571428568</v>
      </c>
      <c r="M24" s="7">
        <f ca="1"/>
        <v>7</v>
      </c>
      <c r="N24" s="7">
        <f ca="1"/>
        <v>26000</v>
      </c>
      <c r="O24" s="7">
        <f ca="1"/>
        <v>25</v>
      </c>
      <c r="P24" s="7">
        <f ca="1">IFERROR(AVERAGEIF(Data_Cleaning!$F:$F, $A24, Data_Cleaning!$X:$X) / 60, 0)</f>
        <v>37.888888888888893</v>
      </c>
      <c r="Q24" s="7">
        <f ca="1">IFERROR(AVERAGEIF(Data_Cleaning!$F:$F, $A24, Data_Cleaning!$Y:$Y) / 60, 0)</f>
        <v>10.308333333333334</v>
      </c>
      <c r="R24" s="7">
        <f ca="1">IFERROR(AVERAGEIF(Data_Cleaning!$F:$F, $A24, Data_Cleaning!$Z:$Z) / 60, 0)</f>
        <v>11.720833333333333</v>
      </c>
      <c r="S24" s="7">
        <f ca="1">IFERROR(AVERAGEIF(Data_Cleaning!$F:$F, $A24, Data_Cleaning!$AA:$AA) / 60, 0)</f>
        <v>15.962962962962964</v>
      </c>
      <c r="T24" s="7">
        <f t="shared" si="0"/>
        <v>0.1389086764496367</v>
      </c>
      <c r="U24" s="7">
        <f t="shared" si="1"/>
        <v>0.10177566045907319</v>
      </c>
      <c r="V24" s="7">
        <f t="shared" si="2"/>
        <v>0.3413566739606127</v>
      </c>
      <c r="W24" s="7">
        <f t="shared" si="3"/>
        <v>0.8681996072768301</v>
      </c>
      <c r="X24" s="7">
        <f t="shared" si="4"/>
        <v>0.3260956079951785</v>
      </c>
      <c r="Y24" s="7">
        <f t="shared" si="5"/>
        <v>12</v>
      </c>
      <c r="Z24" s="7">
        <f t="shared" ca="1" si="6"/>
        <v>0.22222222222222221</v>
      </c>
      <c r="AA24" s="7">
        <f t="shared" ca="1" si="7"/>
        <v>0.97142857142857131</v>
      </c>
      <c r="AB24" s="7">
        <f t="shared" ca="1" si="8"/>
        <v>0.43180871448804459</v>
      </c>
      <c r="AC24" s="7">
        <f t="shared" ca="1" si="9"/>
        <v>0.48890142543729143</v>
      </c>
      <c r="AD24" s="7">
        <f t="shared" ca="1" si="10"/>
        <v>18</v>
      </c>
    </row>
    <row r="25" spans="1:30" ht="22.5" customHeight="1">
      <c r="A25" s="8" t="str">
        <f ca="1">IFERROR(__xludf.DUMMYFUNCTION("""COMPUTED_VALUE"""),"Bunje")</f>
        <v>Bunje</v>
      </c>
      <c r="B25" s="8" t="s">
        <v>51</v>
      </c>
      <c r="C25" s="8" t="s">
        <v>53</v>
      </c>
      <c r="D25" s="7">
        <v>1579</v>
      </c>
      <c r="E25" s="7">
        <v>443</v>
      </c>
      <c r="F25" s="7"/>
      <c r="G25" s="7">
        <v>3.8</v>
      </c>
      <c r="H25" s="7">
        <f ca="1">COUNTIF(Data_Cleaning!F:F, A25)</f>
        <v>43</v>
      </c>
      <c r="I25" s="7">
        <f ca="1"/>
        <v>8</v>
      </c>
      <c r="J25" s="7">
        <f ca="1"/>
        <v>16</v>
      </c>
      <c r="K25" s="7">
        <f ca="1"/>
        <v>13</v>
      </c>
      <c r="L25" s="7">
        <f ca="1">IFERROR(AVERAGEIFS(Data_Cleaning!$B:$B, Data_Cleaning!$F:$F, $A25, Data_Cleaning!$B:$B, "&lt;&gt;"), 0)</f>
        <v>4.3913043478260869</v>
      </c>
      <c r="M25" s="7">
        <f ca="1"/>
        <v>23</v>
      </c>
      <c r="N25" s="7">
        <f ca="1"/>
        <v>106350</v>
      </c>
      <c r="O25" s="7">
        <f ca="1"/>
        <v>143</v>
      </c>
      <c r="P25" s="7">
        <f ca="1">IFERROR(AVERAGEIF(Data_Cleaning!$F:$F, $A25, Data_Cleaning!$X:$X) / 60, 0)</f>
        <v>35.140697674418604</v>
      </c>
      <c r="Q25" s="7">
        <f ca="1">IFERROR(AVERAGEIF(Data_Cleaning!$F:$F, $A25, Data_Cleaning!$Y:$Y) / 60, 0)</f>
        <v>9.8273809523809526</v>
      </c>
      <c r="R25" s="7">
        <f ca="1">IFERROR(AVERAGEIF(Data_Cleaning!$F:$F, $A25, Data_Cleaning!$Z:$Z) / 60, 0)</f>
        <v>10.168253968253968</v>
      </c>
      <c r="S25" s="7">
        <f ca="1">IFERROR(AVERAGEIF(Data_Cleaning!$F:$F, $A25, Data_Cleaning!$AA:$AA) / 60, 0)</f>
        <v>15.673643410852714</v>
      </c>
      <c r="T25" s="7">
        <f t="shared" si="0"/>
        <v>0.22211141188203448</v>
      </c>
      <c r="U25" s="7">
        <f t="shared" si="1"/>
        <v>0.18925941966219142</v>
      </c>
      <c r="V25" s="7">
        <f t="shared" si="2"/>
        <v>-1.0940919037199124E-3</v>
      </c>
      <c r="W25" s="7">
        <f t="shared" si="3"/>
        <v>0.47279842910732023</v>
      </c>
      <c r="X25" s="7">
        <f t="shared" si="4"/>
        <v>0.2082344413256923</v>
      </c>
      <c r="Y25" s="7">
        <f t="shared" si="5"/>
        <v>22</v>
      </c>
      <c r="Z25" s="7">
        <f t="shared" ca="1" si="6"/>
        <v>0.37209302325581395</v>
      </c>
      <c r="AA25" s="7">
        <f t="shared" ca="1" si="7"/>
        <v>0.87826086956521743</v>
      </c>
      <c r="AB25" s="7">
        <f t="shared" ca="1" si="8"/>
        <v>0.47302127956383</v>
      </c>
      <c r="AC25" s="7">
        <f t="shared" ca="1" si="9"/>
        <v>0.54412902841023825</v>
      </c>
      <c r="AD25" s="7">
        <f t="shared" ca="1" si="10"/>
        <v>13</v>
      </c>
    </row>
    <row r="26" spans="1:30" ht="22.5" customHeight="1">
      <c r="A26" s="8" t="str">
        <f ca="1">IFERROR(__xludf.DUMMYFUNCTION("""COMPUTED_VALUE"""),"Joe")</f>
        <v>Joe</v>
      </c>
      <c r="B26" s="8" t="s">
        <v>38</v>
      </c>
      <c r="C26" s="8" t="s">
        <v>41</v>
      </c>
      <c r="D26" s="7">
        <v>626</v>
      </c>
      <c r="E26" s="7">
        <v>196</v>
      </c>
      <c r="F26" s="7"/>
      <c r="G26" s="7">
        <v>4.7</v>
      </c>
      <c r="H26" s="7">
        <f ca="1">COUNTIF(Data_Cleaning!F:F, A26)</f>
        <v>34</v>
      </c>
      <c r="I26" s="7">
        <f ca="1"/>
        <v>26</v>
      </c>
      <c r="J26" s="7">
        <f ca="1"/>
        <v>2</v>
      </c>
      <c r="K26" s="7">
        <f ca="1"/>
        <v>4</v>
      </c>
      <c r="L26" s="7">
        <f ca="1">IFERROR(AVERAGEIFS(Data_Cleaning!$B:$B, Data_Cleaning!$F:$F, $A26, Data_Cleaning!$B:$B, "&lt;&gt;"), 0)</f>
        <v>4.2307692307692308</v>
      </c>
      <c r="M26" s="7">
        <f ca="1"/>
        <v>13</v>
      </c>
      <c r="N26" s="7">
        <f ca="1"/>
        <v>93000</v>
      </c>
      <c r="O26" s="7">
        <f ca="1"/>
        <v>87</v>
      </c>
      <c r="P26" s="7">
        <f ca="1">IFERROR(AVERAGEIF(Data_Cleaning!$F:$F, $A26, Data_Cleaning!$X:$X) / 60, 0)</f>
        <v>44.850490196078432</v>
      </c>
      <c r="Q26" s="7">
        <f ca="1">IFERROR(AVERAGEIF(Data_Cleaning!$F:$F, $A26, Data_Cleaning!$Y:$Y) / 60, 0)</f>
        <v>23.882843137254902</v>
      </c>
      <c r="R26" s="7">
        <f ca="1">IFERROR(AVERAGEIF(Data_Cleaning!$F:$F, $A26, Data_Cleaning!$Z:$Z) / 60, 0)</f>
        <v>7.0734374999999998</v>
      </c>
      <c r="S26" s="7">
        <f ca="1">IFERROR(AVERAGEIF(Data_Cleaning!$F:$F, $A26, Data_Cleaning!$AA:$AA) / 60, 0)</f>
        <v>14.328921568627452</v>
      </c>
      <c r="T26" s="7">
        <f t="shared" si="0"/>
        <v>8.6337085054851118E-2</v>
      </c>
      <c r="U26" s="7">
        <f t="shared" si="1"/>
        <v>8.2286704200952798E-2</v>
      </c>
      <c r="V26" s="7">
        <f t="shared" si="2"/>
        <v>-1.0940919037199124E-3</v>
      </c>
      <c r="W26" s="7">
        <f t="shared" si="3"/>
        <v>0.8681996072768301</v>
      </c>
      <c r="X26" s="7">
        <f t="shared" si="4"/>
        <v>0.21983920004612958</v>
      </c>
      <c r="Y26" s="7">
        <f t="shared" si="5"/>
        <v>21</v>
      </c>
      <c r="Z26" s="7">
        <f t="shared" ca="1" si="6"/>
        <v>5.8823529411764705E-2</v>
      </c>
      <c r="AA26" s="7">
        <f t="shared" ca="1" si="7"/>
        <v>0.84615384615384615</v>
      </c>
      <c r="AB26" s="7">
        <f t="shared" ca="1" si="8"/>
        <v>0.32741079436023346</v>
      </c>
      <c r="AC26" s="7">
        <f t="shared" ca="1" si="9"/>
        <v>0.34874007742408286</v>
      </c>
      <c r="AD26" s="7">
        <f t="shared" ca="1" si="10"/>
        <v>47</v>
      </c>
    </row>
    <row r="27" spans="1:30" ht="22.5" customHeight="1">
      <c r="A27" s="8" t="str">
        <f ca="1">IFERROR(__xludf.DUMMYFUNCTION("""COMPUTED_VALUE"""),"J")</f>
        <v>J</v>
      </c>
      <c r="B27" s="8" t="s">
        <v>51</v>
      </c>
      <c r="C27" s="8" t="s">
        <v>53</v>
      </c>
      <c r="D27" s="7">
        <v>1027</v>
      </c>
      <c r="E27" s="7">
        <v>292</v>
      </c>
      <c r="F27" s="7">
        <v>26</v>
      </c>
      <c r="G27" s="7">
        <v>4.0183339780000003</v>
      </c>
      <c r="H27" s="7">
        <f ca="1">COUNTIF(Data_Cleaning!F:F, A27)</f>
        <v>32</v>
      </c>
      <c r="I27" s="7">
        <f ca="1"/>
        <v>11</v>
      </c>
      <c r="J27" s="7">
        <f ca="1"/>
        <v>7</v>
      </c>
      <c r="K27" s="7">
        <f ca="1"/>
        <v>3</v>
      </c>
      <c r="L27" s="7">
        <f ca="1">IFERROR(AVERAGEIFS(Data_Cleaning!$B:$B, Data_Cleaning!$F:$F, $A27, Data_Cleaning!$B:$B, "&lt;&gt;"), 0)</f>
        <v>4.8461538461538458</v>
      </c>
      <c r="M27" s="7">
        <f ca="1"/>
        <v>13</v>
      </c>
      <c r="N27" s="7">
        <f ca="1"/>
        <v>78850</v>
      </c>
      <c r="O27" s="7">
        <f ca="1"/>
        <v>87</v>
      </c>
      <c r="P27" s="7">
        <f ca="1">IFERROR(AVERAGEIF(Data_Cleaning!$F:$F, $A27, Data_Cleaning!$X:$X) / 60, 0)</f>
        <v>39.981250000000003</v>
      </c>
      <c r="Q27" s="7">
        <f ca="1">IFERROR(AVERAGEIF(Data_Cleaning!$F:$F, $A27, Data_Cleaning!$Y:$Y) / 60, 0)</f>
        <v>14.693888888888889</v>
      </c>
      <c r="R27" s="7">
        <f ca="1">IFERROR(AVERAGEIF(Data_Cleaning!$F:$F, $A27, Data_Cleaning!$Z:$Z) / 60, 0)</f>
        <v>13.148550724637682</v>
      </c>
      <c r="S27" s="7">
        <f ca="1">IFERROR(AVERAGEIF(Data_Cleaning!$F:$F, $A27, Data_Cleaning!$AA:$AA) / 60, 0)</f>
        <v>16.018750000000001</v>
      </c>
      <c r="T27" s="7">
        <f t="shared" si="0"/>
        <v>0.14346773044593247</v>
      </c>
      <c r="U27" s="7">
        <f t="shared" si="1"/>
        <v>0.12386314421827631</v>
      </c>
      <c r="V27" s="7">
        <f t="shared" si="2"/>
        <v>1.3129102844638949E-2</v>
      </c>
      <c r="W27" s="7">
        <f t="shared" si="3"/>
        <v>0.56872010925802685</v>
      </c>
      <c r="X27" s="7">
        <f t="shared" si="4"/>
        <v>0.19103240275111394</v>
      </c>
      <c r="Y27" s="7">
        <f t="shared" si="5"/>
        <v>30</v>
      </c>
      <c r="Z27" s="7">
        <f t="shared" ca="1" si="6"/>
        <v>0.21875</v>
      </c>
      <c r="AA27" s="7">
        <f t="shared" ca="1" si="7"/>
        <v>0.96923076923076912</v>
      </c>
      <c r="AB27" s="7">
        <f t="shared" ca="1" si="8"/>
        <v>0.40043114221444642</v>
      </c>
      <c r="AC27" s="7">
        <f t="shared" ca="1" si="9"/>
        <v>0.48023045921212004</v>
      </c>
      <c r="AD27" s="7">
        <f t="shared" ca="1" si="10"/>
        <v>21</v>
      </c>
    </row>
    <row r="28" spans="1:30" ht="22.5" customHeight="1">
      <c r="A28" s="8" t="str">
        <f ca="1">IFERROR(__xludf.DUMMYFUNCTION("""COMPUTED_VALUE"""),"Barry")</f>
        <v>Barry</v>
      </c>
      <c r="B28" s="8" t="s">
        <v>51</v>
      </c>
      <c r="C28" s="8" t="s">
        <v>53</v>
      </c>
      <c r="D28" s="7">
        <v>418</v>
      </c>
      <c r="E28" s="7">
        <v>141</v>
      </c>
      <c r="F28" s="7">
        <v>90</v>
      </c>
      <c r="G28" s="7">
        <v>4.3</v>
      </c>
      <c r="H28" s="7">
        <f ca="1">COUNTIF(Data_Cleaning!F:F, A28)</f>
        <v>3</v>
      </c>
      <c r="I28" s="7">
        <f ca="1"/>
        <v>0</v>
      </c>
      <c r="J28" s="7">
        <f ca="1"/>
        <v>0</v>
      </c>
      <c r="K28" s="7">
        <f ca="1"/>
        <v>3</v>
      </c>
      <c r="L28" s="7">
        <f ca="1">IFERROR(AVERAGEIFS(Data_Cleaning!$B:$B, Data_Cleaning!$F:$F, $A28, Data_Cleaning!$B:$B, "&lt;&gt;"), 0)</f>
        <v>5</v>
      </c>
      <c r="M28" s="7">
        <f ca="1"/>
        <v>2</v>
      </c>
      <c r="N28" s="7">
        <f ca="1"/>
        <v>8800</v>
      </c>
      <c r="O28" s="7">
        <f ca="1"/>
        <v>17</v>
      </c>
      <c r="P28" s="7">
        <f ca="1">IFERROR(AVERAGEIF(Data_Cleaning!$F:$F, $A28, Data_Cleaning!$X:$X) / 60, 0)</f>
        <v>38.35</v>
      </c>
      <c r="Q28" s="7">
        <f ca="1">IFERROR(AVERAGEIF(Data_Cleaning!$F:$F, $A28, Data_Cleaning!$Y:$Y) / 60, 0)</f>
        <v>16.344444444444445</v>
      </c>
      <c r="R28" s="7">
        <f ca="1">IFERROR(AVERAGEIF(Data_Cleaning!$F:$F, $A28, Data_Cleaning!$Z:$Z) / 60, 0)</f>
        <v>16.399999999999999</v>
      </c>
      <c r="S28" s="7">
        <f ca="1">IFERROR(AVERAGEIF(Data_Cleaning!$F:$F, $A28, Data_Cleaning!$AA:$AA) / 60, 0)</f>
        <v>5.6055555555555552</v>
      </c>
      <c r="T28" s="7">
        <f t="shared" si="0"/>
        <v>5.6703234078928626E-2</v>
      </c>
      <c r="U28" s="7">
        <f t="shared" si="1"/>
        <v>5.8466868774361198E-2</v>
      </c>
      <c r="V28" s="7">
        <f t="shared" si="2"/>
        <v>4.8140043763676151E-2</v>
      </c>
      <c r="W28" s="7">
        <f t="shared" si="3"/>
        <v>0.69246575031260338</v>
      </c>
      <c r="X28" s="7">
        <f t="shared" si="4"/>
        <v>0.18215584842070862</v>
      </c>
      <c r="Y28" s="7">
        <f t="shared" si="5"/>
        <v>34</v>
      </c>
      <c r="Z28" s="7">
        <f t="shared" ca="1" si="6"/>
        <v>0</v>
      </c>
      <c r="AA28" s="7">
        <f t="shared" ca="1" si="7"/>
        <v>1</v>
      </c>
      <c r="AB28" s="7">
        <f t="shared" ca="1" si="8"/>
        <v>0.42489377655586102</v>
      </c>
      <c r="AC28" s="7">
        <f t="shared" ca="1" si="9"/>
        <v>0.3849787553111722</v>
      </c>
      <c r="AD28" s="7">
        <f t="shared" ca="1" si="10"/>
        <v>41</v>
      </c>
    </row>
    <row r="29" spans="1:30" ht="22.5" customHeight="1">
      <c r="A29" s="8" t="str">
        <f ca="1">IFERROR(__xludf.DUMMYFUNCTION("""COMPUTED_VALUE"""),"Faud")</f>
        <v>Faud</v>
      </c>
      <c r="B29" s="8" t="s">
        <v>38</v>
      </c>
      <c r="C29" s="8" t="s">
        <v>41</v>
      </c>
      <c r="D29" s="7">
        <v>258</v>
      </c>
      <c r="E29" s="7">
        <v>89</v>
      </c>
      <c r="F29" s="7">
        <v>154</v>
      </c>
      <c r="G29" s="7">
        <v>3.1396871439999998</v>
      </c>
      <c r="H29" s="7">
        <f ca="1">COUNTIF(Data_Cleaning!F:F, A29)</f>
        <v>6</v>
      </c>
      <c r="I29" s="7">
        <f ca="1"/>
        <v>2</v>
      </c>
      <c r="J29" s="7">
        <f ca="1"/>
        <v>1</v>
      </c>
      <c r="K29" s="7">
        <f ca="1"/>
        <v>3</v>
      </c>
      <c r="L29" s="7">
        <f ca="1">IFERROR(AVERAGEIFS(Data_Cleaning!$B:$B, Data_Cleaning!$F:$F, $A29, Data_Cleaning!$B:$B, "&lt;&gt;"), 0)</f>
        <v>4</v>
      </c>
      <c r="M29" s="7">
        <f ca="1"/>
        <v>3</v>
      </c>
      <c r="N29" s="7">
        <f ca="1"/>
        <v>13000</v>
      </c>
      <c r="O29" s="7">
        <f ca="1"/>
        <v>13</v>
      </c>
      <c r="P29" s="7">
        <f ca="1">IFERROR(AVERAGEIF(Data_Cleaning!$F:$F, $A29, Data_Cleaning!$X:$X) / 60, 0)</f>
        <v>30.072222222222219</v>
      </c>
      <c r="Q29" s="7">
        <f ca="1">IFERROR(AVERAGEIF(Data_Cleaning!$F:$F, $A29, Data_Cleaning!$Y:$Y) / 60, 0)</f>
        <v>8.8444444444444432</v>
      </c>
      <c r="R29" s="7">
        <f ca="1">IFERROR(AVERAGEIF(Data_Cleaning!$F:$F, $A29, Data_Cleaning!$Z:$Z) / 60, 0)</f>
        <v>6.4444444444444446</v>
      </c>
      <c r="S29" s="7">
        <f ca="1">IFERROR(AVERAGEIF(Data_Cleaning!$F:$F, $A29, Data_Cleaning!$AA:$AA) / 60, 0)</f>
        <v>14.783333333333333</v>
      </c>
      <c r="T29" s="7">
        <f t="shared" si="0"/>
        <v>3.3907964097449776E-2</v>
      </c>
      <c r="U29" s="7">
        <f t="shared" si="1"/>
        <v>3.5946297098310959E-2</v>
      </c>
      <c r="V29" s="7">
        <f t="shared" si="2"/>
        <v>8.3150984682713341E-2</v>
      </c>
      <c r="W29" s="7">
        <f t="shared" si="3"/>
        <v>0.18270011663746036</v>
      </c>
      <c r="X29" s="7">
        <f t="shared" si="4"/>
        <v>7.6486733001983082E-2</v>
      </c>
      <c r="Y29" s="7">
        <f t="shared" si="5"/>
        <v>51</v>
      </c>
      <c r="Z29" s="7">
        <f t="shared" ca="1" si="6"/>
        <v>0.16666666666666666</v>
      </c>
      <c r="AA29" s="7">
        <f t="shared" ca="1" si="7"/>
        <v>0.8</v>
      </c>
      <c r="AB29" s="7">
        <f t="shared" ca="1" si="8"/>
        <v>0.54902940931433819</v>
      </c>
      <c r="AC29" s="7">
        <f t="shared" ca="1" si="9"/>
        <v>0.43313921519620097</v>
      </c>
      <c r="AD29" s="7">
        <f t="shared" ca="1" si="10"/>
        <v>33</v>
      </c>
    </row>
    <row r="30" spans="1:30" ht="22.5" customHeight="1">
      <c r="A30" s="8" t="str">
        <f ca="1">IFERROR(__xludf.DUMMYFUNCTION("""COMPUTED_VALUE"""),"Erinn")</f>
        <v>Erinn</v>
      </c>
      <c r="B30" s="8" t="s">
        <v>38</v>
      </c>
      <c r="C30" s="8" t="s">
        <v>41</v>
      </c>
      <c r="D30" s="7">
        <v>219</v>
      </c>
      <c r="E30" s="7">
        <v>62</v>
      </c>
      <c r="F30" s="7">
        <v>113</v>
      </c>
      <c r="G30" s="7">
        <v>5</v>
      </c>
      <c r="H30" s="7">
        <f ca="1">COUNTIF(Data_Cleaning!F:F, A30)</f>
        <v>3</v>
      </c>
      <c r="I30" s="7">
        <f ca="1"/>
        <v>2</v>
      </c>
      <c r="J30" s="7">
        <f ca="1"/>
        <v>0</v>
      </c>
      <c r="K30" s="7">
        <f ca="1"/>
        <v>1</v>
      </c>
      <c r="L30" s="7">
        <f ca="1">IFERROR(AVERAGEIFS(Data_Cleaning!$B:$B, Data_Cleaning!$F:$F, $A30, Data_Cleaning!$B:$B, "&lt;&gt;"), 0)</f>
        <v>5</v>
      </c>
      <c r="M30" s="7">
        <f ca="1"/>
        <v>1</v>
      </c>
      <c r="N30" s="7">
        <f ca="1"/>
        <v>9500</v>
      </c>
      <c r="O30" s="7">
        <f ca="1"/>
        <v>11</v>
      </c>
      <c r="P30" s="7">
        <f ca="1">IFERROR(AVERAGEIF(Data_Cleaning!$F:$F, $A30, Data_Cleaning!$X:$X) / 60, 0)</f>
        <v>34.961111111111109</v>
      </c>
      <c r="Q30" s="7">
        <f ca="1">IFERROR(AVERAGEIF(Data_Cleaning!$F:$F, $A30, Data_Cleaning!$Y:$Y) / 60, 0)</f>
        <v>13.694444444444445</v>
      </c>
      <c r="R30" s="7">
        <f ca="1">IFERROR(AVERAGEIF(Data_Cleaning!$F:$F, $A30, Data_Cleaning!$Z:$Z) / 60, 0)</f>
        <v>9.4</v>
      </c>
      <c r="S30" s="7">
        <f ca="1">IFERROR(AVERAGEIF(Data_Cleaning!$F:$F, $A30, Data_Cleaning!$AA:$AA) / 60, 0)</f>
        <v>11.866666666666667</v>
      </c>
      <c r="T30" s="7">
        <f t="shared" si="0"/>
        <v>2.8351617039464313E-2</v>
      </c>
      <c r="U30" s="7">
        <f t="shared" si="1"/>
        <v>2.4252923343438718E-2</v>
      </c>
      <c r="V30" s="7">
        <f t="shared" si="2"/>
        <v>6.0722100656455141E-2</v>
      </c>
      <c r="W30" s="7">
        <f t="shared" si="3"/>
        <v>1</v>
      </c>
      <c r="X30" s="7">
        <f t="shared" si="4"/>
        <v>0.22974924111181277</v>
      </c>
      <c r="Y30" s="7">
        <f t="shared" si="5"/>
        <v>18</v>
      </c>
      <c r="Z30" s="7">
        <f t="shared" ca="1" si="6"/>
        <v>0</v>
      </c>
      <c r="AA30" s="7">
        <f t="shared" ca="1" si="7"/>
        <v>1</v>
      </c>
      <c r="AB30" s="7">
        <f t="shared" ca="1" si="8"/>
        <v>0.47571440473215032</v>
      </c>
      <c r="AC30" s="7">
        <f t="shared" ca="1" si="9"/>
        <v>0.39514288094643008</v>
      </c>
      <c r="AD30" s="7">
        <f t="shared" ca="1" si="10"/>
        <v>40</v>
      </c>
    </row>
    <row r="31" spans="1:30" ht="22.5" customHeight="1">
      <c r="A31" s="8" t="str">
        <f ca="1">IFERROR(__xludf.DUMMYFUNCTION("""COMPUTED_VALUE"""),"Bill")</f>
        <v>Bill</v>
      </c>
      <c r="B31" s="8" t="s">
        <v>51</v>
      </c>
      <c r="C31" s="8" t="s">
        <v>41</v>
      </c>
      <c r="D31" s="7">
        <v>435</v>
      </c>
      <c r="E31" s="7">
        <v>148</v>
      </c>
      <c r="F31" s="7"/>
      <c r="G31" s="7">
        <v>4.4000000000000004</v>
      </c>
      <c r="H31" s="7">
        <f ca="1">COUNTIF(Data_Cleaning!F:F, A31)</f>
        <v>8</v>
      </c>
      <c r="I31" s="7">
        <f ca="1"/>
        <v>5</v>
      </c>
      <c r="J31" s="7">
        <f ca="1"/>
        <v>1</v>
      </c>
      <c r="K31" s="7">
        <f ca="1"/>
        <v>0</v>
      </c>
      <c r="L31" s="7">
        <f ca="1">IFERROR(AVERAGEIFS(Data_Cleaning!$B:$B, Data_Cleaning!$F:$F, $A31, Data_Cleaning!$B:$B, "&lt;&gt;"), 0)</f>
        <v>5</v>
      </c>
      <c r="M31" s="7">
        <f ca="1"/>
        <v>3</v>
      </c>
      <c r="N31" s="7">
        <f ca="1"/>
        <v>25800</v>
      </c>
      <c r="O31" s="7">
        <f ca="1"/>
        <v>26</v>
      </c>
      <c r="P31" s="7">
        <f ca="1">IFERROR(AVERAGEIF(Data_Cleaning!$F:$F, $A31, Data_Cleaning!$X:$X) / 60, 0)</f>
        <v>47.583333333333336</v>
      </c>
      <c r="Q31" s="7">
        <f ca="1">IFERROR(AVERAGEIF(Data_Cleaning!$F:$F, $A31, Data_Cleaning!$Y:$Y) / 60, 0)</f>
        <v>18.868749999999999</v>
      </c>
      <c r="R31" s="7">
        <f ca="1">IFERROR(AVERAGEIF(Data_Cleaning!$F:$F, $A31, Data_Cleaning!$Z:$Z) / 60, 0)</f>
        <v>11.495833333333334</v>
      </c>
      <c r="S31" s="7">
        <f ca="1">IFERROR(AVERAGEIF(Data_Cleaning!$F:$F, $A31, Data_Cleaning!$AA:$AA) / 60, 0)</f>
        <v>17.21875</v>
      </c>
      <c r="T31" s="7">
        <f t="shared" si="0"/>
        <v>5.9125231514460752E-2</v>
      </c>
      <c r="U31" s="7">
        <f t="shared" si="1"/>
        <v>6.1498484192291036E-2</v>
      </c>
      <c r="V31" s="7">
        <f t="shared" si="2"/>
        <v>-1.0940919037199124E-3</v>
      </c>
      <c r="W31" s="7">
        <f t="shared" si="3"/>
        <v>0.73639921455366031</v>
      </c>
      <c r="X31" s="7">
        <f t="shared" si="4"/>
        <v>0.18011851043721308</v>
      </c>
      <c r="Y31" s="7">
        <f t="shared" si="5"/>
        <v>35</v>
      </c>
      <c r="Z31" s="7">
        <f t="shared" ca="1" si="6"/>
        <v>0.125</v>
      </c>
      <c r="AA31" s="7">
        <f t="shared" ca="1" si="7"/>
        <v>1</v>
      </c>
      <c r="AB31" s="7">
        <f t="shared" ca="1" si="8"/>
        <v>0.28642839290177458</v>
      </c>
      <c r="AC31" s="7">
        <f t="shared" ca="1" si="9"/>
        <v>0.41978567858035493</v>
      </c>
      <c r="AD31" s="7">
        <f t="shared" ca="1" si="10"/>
        <v>38</v>
      </c>
    </row>
    <row r="32" spans="1:30" ht="22.5" customHeight="1">
      <c r="A32" s="8" t="str">
        <f ca="1">IFERROR(__xludf.DUMMYFUNCTION("""COMPUTED_VALUE"""),"Merissa")</f>
        <v>Merissa</v>
      </c>
      <c r="B32" s="8" t="s">
        <v>38</v>
      </c>
      <c r="C32" s="8" t="s">
        <v>41</v>
      </c>
      <c r="D32" s="7">
        <v>2371</v>
      </c>
      <c r="E32" s="7">
        <v>679</v>
      </c>
      <c r="F32" s="7">
        <v>1830</v>
      </c>
      <c r="G32" s="7">
        <v>4.2</v>
      </c>
      <c r="H32" s="7">
        <f ca="1">COUNTIF(Data_Cleaning!F:F, A32)</f>
        <v>19</v>
      </c>
      <c r="I32" s="7">
        <f ca="1"/>
        <v>9</v>
      </c>
      <c r="J32" s="7">
        <f ca="1"/>
        <v>4</v>
      </c>
      <c r="K32" s="7">
        <f ca="1"/>
        <v>3</v>
      </c>
      <c r="L32" s="7">
        <f ca="1">IFERROR(AVERAGEIFS(Data_Cleaning!$B:$B, Data_Cleaning!$F:$F, $A32, Data_Cleaning!$B:$B, "&lt;&gt;"), 0)</f>
        <v>4.4000000000000004</v>
      </c>
      <c r="M32" s="7">
        <f ca="1"/>
        <v>10</v>
      </c>
      <c r="N32" s="7">
        <f ca="1"/>
        <v>41150</v>
      </c>
      <c r="O32" s="7">
        <f ca="1"/>
        <v>46</v>
      </c>
      <c r="P32" s="7">
        <f ca="1">IFERROR(AVERAGEIF(Data_Cleaning!$F:$F, $A32, Data_Cleaning!$X:$X) / 60, 0)</f>
        <v>48.721052631578942</v>
      </c>
      <c r="Q32" s="7">
        <f ca="1">IFERROR(AVERAGEIF(Data_Cleaning!$F:$F, $A32, Data_Cleaning!$Y:$Y) / 60, 0)</f>
        <v>12.32037037037037</v>
      </c>
      <c r="R32" s="7">
        <f ca="1">IFERROR(AVERAGEIF(Data_Cleaning!$F:$F, $A32, Data_Cleaning!$Z:$Z) / 60, 0)</f>
        <v>14.633333333333333</v>
      </c>
      <c r="S32" s="7">
        <f ca="1">IFERROR(AVERAGEIF(Data_Cleaning!$F:$F, $A32, Data_Cleaning!$AA:$AA) / 60, 0)</f>
        <v>22.592982456140351</v>
      </c>
      <c r="T32" s="7">
        <f t="shared" si="0"/>
        <v>0.33494799829035476</v>
      </c>
      <c r="U32" s="7">
        <f t="shared" si="1"/>
        <v>0.29146816803811176</v>
      </c>
      <c r="V32" s="7">
        <f t="shared" si="2"/>
        <v>1</v>
      </c>
      <c r="W32" s="7">
        <f t="shared" si="3"/>
        <v>0.64853228607154689</v>
      </c>
      <c r="X32" s="7">
        <f t="shared" si="4"/>
        <v>0.5530578987109438</v>
      </c>
      <c r="Y32" s="7">
        <f t="shared" si="5"/>
        <v>6</v>
      </c>
      <c r="Z32" s="7">
        <f t="shared" ca="1" si="6"/>
        <v>0.21052631578947367</v>
      </c>
      <c r="AA32" s="7">
        <f t="shared" ca="1" si="7"/>
        <v>0.88000000000000012</v>
      </c>
      <c r="AB32" s="7">
        <f t="shared" ca="1" si="8"/>
        <v>0.26936686880911365</v>
      </c>
      <c r="AC32" s="7">
        <f t="shared" ca="1" si="9"/>
        <v>0.42313653165655957</v>
      </c>
      <c r="AD32" s="7">
        <f t="shared" ca="1" si="10"/>
        <v>37</v>
      </c>
    </row>
    <row r="33" spans="1:30" ht="22.5" customHeight="1">
      <c r="A33" s="8" t="str">
        <f ca="1">IFERROR(__xludf.DUMMYFUNCTION("""COMPUTED_VALUE"""),"Andy")</f>
        <v>Andy</v>
      </c>
      <c r="B33" s="8" t="s">
        <v>38</v>
      </c>
      <c r="C33" s="8" t="s">
        <v>41</v>
      </c>
      <c r="D33" s="7">
        <v>211</v>
      </c>
      <c r="E33" s="7">
        <v>55</v>
      </c>
      <c r="F33" s="7">
        <v>6</v>
      </c>
      <c r="G33" s="7">
        <v>4.5</v>
      </c>
      <c r="H33" s="7">
        <f ca="1">COUNTIF(Data_Cleaning!F:F, A33)</f>
        <v>8</v>
      </c>
      <c r="I33" s="7">
        <f ca="1"/>
        <v>0</v>
      </c>
      <c r="J33" s="7">
        <f ca="1"/>
        <v>5</v>
      </c>
      <c r="K33" s="7">
        <f ca="1"/>
        <v>1</v>
      </c>
      <c r="L33" s="7">
        <f ca="1">IFERROR(AVERAGEIFS(Data_Cleaning!$B:$B, Data_Cleaning!$F:$F, $A33, Data_Cleaning!$B:$B, "&lt;&gt;"), 0)</f>
        <v>5</v>
      </c>
      <c r="M33" s="7">
        <f ca="1"/>
        <v>5</v>
      </c>
      <c r="N33" s="7">
        <f ca="1"/>
        <v>24000</v>
      </c>
      <c r="O33" s="7">
        <f ca="1"/>
        <v>32</v>
      </c>
      <c r="P33" s="7">
        <f ca="1">IFERROR(AVERAGEIF(Data_Cleaning!$F:$F, $A33, Data_Cleaning!$X:$X) / 60, 0)</f>
        <v>33.31666666666667</v>
      </c>
      <c r="Q33" s="7">
        <f ca="1">IFERROR(AVERAGEIF(Data_Cleaning!$F:$F, $A33, Data_Cleaning!$Y:$Y) / 60, 0)</f>
        <v>9.7645833333333325</v>
      </c>
      <c r="R33" s="7">
        <f ca="1">IFERROR(AVERAGEIF(Data_Cleaning!$F:$F, $A33, Data_Cleaning!$Z:$Z) / 60, 0)</f>
        <v>8.7145833333333336</v>
      </c>
      <c r="S33" s="7">
        <f ca="1">IFERROR(AVERAGEIF(Data_Cleaning!$F:$F, $A33, Data_Cleaning!$AA:$AA) / 60, 0)</f>
        <v>14.8375</v>
      </c>
      <c r="T33" s="7">
        <f t="shared" si="0"/>
        <v>2.7211853540390369E-2</v>
      </c>
      <c r="U33" s="7">
        <f t="shared" si="1"/>
        <v>2.122130792550888E-2</v>
      </c>
      <c r="V33" s="7">
        <f t="shared" si="2"/>
        <v>2.1881838074398249E-3</v>
      </c>
      <c r="W33" s="7">
        <f t="shared" si="3"/>
        <v>0.78033267879471679</v>
      </c>
      <c r="X33" s="7">
        <f t="shared" si="4"/>
        <v>0.17008246475429764</v>
      </c>
      <c r="Y33" s="7">
        <f t="shared" si="5"/>
        <v>41</v>
      </c>
      <c r="Z33" s="7">
        <f t="shared" ca="1" si="6"/>
        <v>0.625</v>
      </c>
      <c r="AA33" s="7">
        <f t="shared" ca="1" si="7"/>
        <v>1</v>
      </c>
      <c r="AB33" s="7">
        <f t="shared" ca="1" si="8"/>
        <v>0.50037490627343162</v>
      </c>
      <c r="AC33" s="7">
        <f t="shared" ca="1" si="9"/>
        <v>0.71257498125468643</v>
      </c>
      <c r="AD33" s="7">
        <f t="shared" ca="1" si="10"/>
        <v>3</v>
      </c>
    </row>
    <row r="34" spans="1:30" ht="22.5" customHeight="1">
      <c r="A34" s="8" t="str">
        <f ca="1">IFERROR(__xludf.DUMMYFUNCTION("""COMPUTED_VALUE"""),"Ajay")</f>
        <v>Ajay</v>
      </c>
      <c r="B34" s="8" t="s">
        <v>38</v>
      </c>
      <c r="C34" s="8" t="s">
        <v>41</v>
      </c>
      <c r="D34" s="7">
        <v>726</v>
      </c>
      <c r="E34" s="7">
        <v>234</v>
      </c>
      <c r="F34" s="7">
        <v>99</v>
      </c>
      <c r="G34" s="7">
        <v>4.5</v>
      </c>
      <c r="H34" s="7">
        <f ca="1">COUNTIF(Data_Cleaning!F:F, A34)</f>
        <v>11</v>
      </c>
      <c r="I34" s="7">
        <f ca="1"/>
        <v>6</v>
      </c>
      <c r="J34" s="7">
        <f ca="1"/>
        <v>1</v>
      </c>
      <c r="K34" s="7">
        <f ca="1"/>
        <v>4</v>
      </c>
      <c r="L34" s="7">
        <f ca="1">IFERROR(AVERAGEIFS(Data_Cleaning!$B:$B, Data_Cleaning!$F:$F, $A34, Data_Cleaning!$B:$B, "&lt;&gt;"), 0)</f>
        <v>5</v>
      </c>
      <c r="M34" s="7">
        <f ca="1"/>
        <v>7</v>
      </c>
      <c r="N34" s="7">
        <f ca="1"/>
        <v>30500</v>
      </c>
      <c r="O34" s="7">
        <f ca="1"/>
        <v>38</v>
      </c>
      <c r="P34" s="7">
        <f ca="1">IFERROR(AVERAGEIF(Data_Cleaning!$F:$F, $A34, Data_Cleaning!$X:$X) / 60, 0)</f>
        <v>33.045454545454547</v>
      </c>
      <c r="Q34" s="7">
        <f ca="1">IFERROR(AVERAGEIF(Data_Cleaning!$F:$F, $A34, Data_Cleaning!$Y:$Y) / 60, 0)</f>
        <v>10.868181818181819</v>
      </c>
      <c r="R34" s="7">
        <f ca="1">IFERROR(AVERAGEIF(Data_Cleaning!$F:$F, $A34, Data_Cleaning!$Z:$Z) / 60, 0)</f>
        <v>10.301515151515153</v>
      </c>
      <c r="S34" s="7">
        <f ca="1">IFERROR(AVERAGEIF(Data_Cleaning!$F:$F, $A34, Data_Cleaning!$AA:$AA) / 60, 0)</f>
        <v>11.875757575757575</v>
      </c>
      <c r="T34" s="7">
        <f t="shared" si="0"/>
        <v>0.1005841287932754</v>
      </c>
      <c r="U34" s="7">
        <f t="shared" si="1"/>
        <v>9.8744045041143355E-2</v>
      </c>
      <c r="V34" s="7">
        <f t="shared" si="2"/>
        <v>5.3063457330415752E-2</v>
      </c>
      <c r="W34" s="7">
        <f t="shared" si="3"/>
        <v>0.78033267879471679</v>
      </c>
      <c r="X34" s="7">
        <f t="shared" si="4"/>
        <v>0.22419364998981575</v>
      </c>
      <c r="Y34" s="7">
        <f t="shared" si="5"/>
        <v>20</v>
      </c>
      <c r="Z34" s="7">
        <f t="shared" ca="1" si="6"/>
        <v>9.0909090909090912E-2</v>
      </c>
      <c r="AA34" s="7">
        <f t="shared" ca="1" si="7"/>
        <v>1</v>
      </c>
      <c r="AB34" s="7">
        <f t="shared" ca="1" si="8"/>
        <v>0.50444207130035679</v>
      </c>
      <c r="AC34" s="7">
        <f t="shared" ca="1" si="9"/>
        <v>0.44634295971461679</v>
      </c>
      <c r="AD34" s="7">
        <f t="shared" ca="1" si="10"/>
        <v>31</v>
      </c>
    </row>
    <row r="35" spans="1:30" ht="22.5" customHeight="1">
      <c r="A35" s="8" t="str">
        <f ca="1">IFERROR(__xludf.DUMMYFUNCTION("""COMPUTED_VALUE"""),"Hanna")</f>
        <v>Hanna</v>
      </c>
      <c r="B35" s="8" t="s">
        <v>38</v>
      </c>
      <c r="C35" s="8" t="s">
        <v>41</v>
      </c>
      <c r="D35" s="7">
        <v>2899</v>
      </c>
      <c r="E35" s="7">
        <v>1007</v>
      </c>
      <c r="F35" s="7">
        <v>1301</v>
      </c>
      <c r="G35" s="7">
        <v>4.5999999999999996</v>
      </c>
      <c r="H35" s="7">
        <f ca="1">COUNTIF(Data_Cleaning!F:F, A35)</f>
        <v>42</v>
      </c>
      <c r="I35" s="7">
        <f ca="1"/>
        <v>13</v>
      </c>
      <c r="J35" s="7">
        <f ca="1"/>
        <v>8</v>
      </c>
      <c r="K35" s="7">
        <f ca="1"/>
        <v>11</v>
      </c>
      <c r="L35" s="7">
        <f ca="1">IFERROR(AVERAGEIFS(Data_Cleaning!$B:$B, Data_Cleaning!$F:$F, $A35, Data_Cleaning!$B:$B, "&lt;&gt;"), 0)</f>
        <v>4.0625</v>
      </c>
      <c r="M35" s="7">
        <f ca="1"/>
        <v>16</v>
      </c>
      <c r="N35" s="7">
        <f ca="1"/>
        <v>97250</v>
      </c>
      <c r="O35" s="7">
        <f ca="1"/>
        <v>143</v>
      </c>
      <c r="P35" s="7">
        <f ca="1">IFERROR(AVERAGEIF(Data_Cleaning!$F:$F, $A35, Data_Cleaning!$X:$X) / 60, 0)</f>
        <v>37.249206349206347</v>
      </c>
      <c r="Q35" s="7">
        <f ca="1">IFERROR(AVERAGEIF(Data_Cleaning!$F:$F, $A35, Data_Cleaning!$Y:$Y) / 60, 0)</f>
        <v>14.702991452991453</v>
      </c>
      <c r="R35" s="7">
        <f ca="1">IFERROR(AVERAGEIF(Data_Cleaning!$F:$F, $A35, Data_Cleaning!$Z:$Z) / 60, 0)</f>
        <v>9.0780701754385973</v>
      </c>
      <c r="S35" s="7">
        <f ca="1">IFERROR(AVERAGEIF(Data_Cleaning!$F:$F, $A35, Data_Cleaning!$AA:$AA) / 60, 0)</f>
        <v>13.394841269841269</v>
      </c>
      <c r="T35" s="7">
        <f t="shared" si="0"/>
        <v>0.41017238922923493</v>
      </c>
      <c r="U35" s="7">
        <f t="shared" si="1"/>
        <v>0.4335210047639671</v>
      </c>
      <c r="V35" s="7">
        <f t="shared" si="2"/>
        <v>0.71061269146608319</v>
      </c>
      <c r="W35" s="7">
        <f t="shared" si="3"/>
        <v>0.82426614303577328</v>
      </c>
      <c r="X35" s="7">
        <f t="shared" si="4"/>
        <v>0.57393836943343768</v>
      </c>
      <c r="Y35" s="7">
        <f t="shared" si="5"/>
        <v>5</v>
      </c>
      <c r="Z35" s="7">
        <f t="shared" ca="1" si="6"/>
        <v>0.19047619047619047</v>
      </c>
      <c r="AA35" s="7">
        <f t="shared" ca="1" si="7"/>
        <v>0.8125</v>
      </c>
      <c r="AB35" s="7">
        <f t="shared" ca="1" si="8"/>
        <v>0.44140155437331152</v>
      </c>
      <c r="AC35" s="7">
        <f t="shared" ca="1" si="9"/>
        <v>0.42726840611275757</v>
      </c>
      <c r="AD35" s="7">
        <f t="shared" ca="1" si="10"/>
        <v>36</v>
      </c>
    </row>
    <row r="36" spans="1:30" ht="22.5" customHeight="1">
      <c r="A36" s="8" t="str">
        <f ca="1">IFERROR(__xludf.DUMMYFUNCTION("""COMPUTED_VALUE"""),"Matthew")</f>
        <v>Matthew</v>
      </c>
      <c r="B36" s="8" t="s">
        <v>38</v>
      </c>
      <c r="C36" s="8" t="s">
        <v>41</v>
      </c>
      <c r="D36" s="7">
        <v>223</v>
      </c>
      <c r="E36" s="7">
        <v>68</v>
      </c>
      <c r="F36" s="7">
        <v>118</v>
      </c>
      <c r="G36" s="7">
        <v>4.7</v>
      </c>
      <c r="H36" s="7">
        <f ca="1">COUNTIF(Data_Cleaning!F:F, A36)</f>
        <v>20</v>
      </c>
      <c r="I36" s="7">
        <f ca="1"/>
        <v>11</v>
      </c>
      <c r="J36" s="7">
        <f ca="1"/>
        <v>5</v>
      </c>
      <c r="K36" s="7">
        <f ca="1"/>
        <v>2</v>
      </c>
      <c r="L36" s="7">
        <f ca="1">IFERROR(AVERAGEIFS(Data_Cleaning!$B:$B, Data_Cleaning!$F:$F, $A36, Data_Cleaning!$B:$B, "&lt;&gt;"), 0)</f>
        <v>4.5454545454545459</v>
      </c>
      <c r="M36" s="7">
        <f ca="1"/>
        <v>11</v>
      </c>
      <c r="N36" s="7">
        <f ca="1"/>
        <v>48800</v>
      </c>
      <c r="O36" s="7">
        <f ca="1"/>
        <v>64</v>
      </c>
      <c r="P36" s="7">
        <f ca="1">IFERROR(AVERAGEIF(Data_Cleaning!$F:$F, $A36, Data_Cleaning!$X:$X) / 60, 0)</f>
        <v>40.346666666666671</v>
      </c>
      <c r="Q36" s="7">
        <f ca="1">IFERROR(AVERAGEIF(Data_Cleaning!$F:$F, $A36, Data_Cleaning!$Y:$Y) / 60, 0)</f>
        <v>15.305555555555555</v>
      </c>
      <c r="R36" s="7">
        <f ca="1">IFERROR(AVERAGEIF(Data_Cleaning!$F:$F, $A36, Data_Cleaning!$Z:$Z) / 60, 0)</f>
        <v>6.844444444444445</v>
      </c>
      <c r="S36" s="7">
        <f ca="1">IFERROR(AVERAGEIF(Data_Cleaning!$F:$F, $A36, Data_Cleaning!$AA:$AA) / 60, 0)</f>
        <v>18.615000000000002</v>
      </c>
      <c r="T36" s="7">
        <f t="shared" si="0"/>
        <v>2.8921498789001281E-2</v>
      </c>
      <c r="U36" s="7">
        <f t="shared" si="1"/>
        <v>2.6851450844521438E-2</v>
      </c>
      <c r="V36" s="7">
        <f t="shared" si="2"/>
        <v>6.3457330415754923E-2</v>
      </c>
      <c r="W36" s="7">
        <f t="shared" si="3"/>
        <v>0.8681996072768301</v>
      </c>
      <c r="X36" s="7">
        <f t="shared" si="4"/>
        <v>0.20489356640713549</v>
      </c>
      <c r="Y36" s="7">
        <f t="shared" si="5"/>
        <v>24</v>
      </c>
      <c r="Z36" s="7">
        <f t="shared" ca="1" si="6"/>
        <v>0.25</v>
      </c>
      <c r="AA36" s="7">
        <f t="shared" ca="1" si="7"/>
        <v>0.90909090909090917</v>
      </c>
      <c r="AB36" s="7">
        <f t="shared" ca="1" si="8"/>
        <v>0.39495126218445387</v>
      </c>
      <c r="AC36" s="7">
        <f t="shared" ca="1" si="9"/>
        <v>0.47671752516416355</v>
      </c>
      <c r="AD36" s="7">
        <f t="shared" ca="1" si="10"/>
        <v>22</v>
      </c>
    </row>
    <row r="37" spans="1:30" ht="22.5" customHeight="1">
      <c r="A37" s="8" t="str">
        <f ca="1">IFERROR(__xludf.DUMMYFUNCTION("""COMPUTED_VALUE"""),"Awstin")</f>
        <v>Awstin</v>
      </c>
      <c r="B37" s="8" t="s">
        <v>51</v>
      </c>
      <c r="C37" s="8" t="s">
        <v>53</v>
      </c>
      <c r="D37" s="7">
        <v>1403</v>
      </c>
      <c r="E37" s="7">
        <v>394</v>
      </c>
      <c r="F37" s="7"/>
      <c r="G37" s="7">
        <v>4.5</v>
      </c>
      <c r="H37" s="7">
        <f ca="1">COUNTIF(Data_Cleaning!F:F, A37)</f>
        <v>8</v>
      </c>
      <c r="I37" s="7">
        <f ca="1"/>
        <v>4</v>
      </c>
      <c r="J37" s="7">
        <f ca="1"/>
        <v>2</v>
      </c>
      <c r="K37" s="7">
        <f ca="1"/>
        <v>0</v>
      </c>
      <c r="L37" s="7">
        <f ca="1">IFERROR(AVERAGEIFS(Data_Cleaning!$B:$B, Data_Cleaning!$F:$F, $A37, Data_Cleaning!$B:$B, "&lt;&gt;"), 0)</f>
        <v>4</v>
      </c>
      <c r="M37" s="7">
        <f ca="1"/>
        <v>5</v>
      </c>
      <c r="N37" s="7">
        <f ca="1"/>
        <v>23500</v>
      </c>
      <c r="O37" s="7">
        <f ca="1"/>
        <v>49</v>
      </c>
      <c r="P37" s="7">
        <f ca="1">IFERROR(AVERAGEIF(Data_Cleaning!$F:$F, $A37, Data_Cleaning!$X:$X) / 60, 0)</f>
        <v>40.452083333333334</v>
      </c>
      <c r="Q37" s="7">
        <f ca="1">IFERROR(AVERAGEIF(Data_Cleaning!$F:$F, $A37, Data_Cleaning!$Y:$Y) / 60, 0)</f>
        <v>15.785714285714285</v>
      </c>
      <c r="R37" s="7">
        <f ca="1">IFERROR(AVERAGEIF(Data_Cleaning!$F:$F, $A37, Data_Cleaning!$Z:$Z) / 60, 0)</f>
        <v>12.571428571428573</v>
      </c>
      <c r="S37" s="7">
        <f ca="1">IFERROR(AVERAGEIF(Data_Cleaning!$F:$F, $A37, Data_Cleaning!$AA:$AA) / 60, 0)</f>
        <v>12.033333333333333</v>
      </c>
      <c r="T37" s="7">
        <f t="shared" si="0"/>
        <v>0.19703661490240776</v>
      </c>
      <c r="U37" s="7">
        <f t="shared" si="1"/>
        <v>0.16803811173668254</v>
      </c>
      <c r="V37" s="7">
        <f t="shared" si="2"/>
        <v>-1.0940919037199124E-3</v>
      </c>
      <c r="W37" s="7">
        <f t="shared" si="3"/>
        <v>0.78033267879471679</v>
      </c>
      <c r="X37" s="7">
        <f t="shared" si="4"/>
        <v>0.25691352518790633</v>
      </c>
      <c r="Y37" s="7">
        <f t="shared" si="5"/>
        <v>15</v>
      </c>
      <c r="Z37" s="7">
        <f t="shared" ca="1" si="6"/>
        <v>0.25</v>
      </c>
      <c r="AA37" s="7">
        <f t="shared" ca="1" si="7"/>
        <v>0.8</v>
      </c>
      <c r="AB37" s="7">
        <f t="shared" ca="1" si="8"/>
        <v>0.39337040739815043</v>
      </c>
      <c r="AC37" s="7">
        <f t="shared" ca="1" si="9"/>
        <v>0.44367408147963006</v>
      </c>
      <c r="AD37" s="7">
        <f t="shared" ca="1" si="10"/>
        <v>32</v>
      </c>
    </row>
    <row r="38" spans="1:30" ht="22.5" customHeight="1">
      <c r="A38" s="8" t="str">
        <f ca="1">IFERROR(__xludf.DUMMYFUNCTION("""COMPUTED_VALUE"""),"Carol")</f>
        <v>Carol</v>
      </c>
      <c r="B38" s="8" t="s">
        <v>38</v>
      </c>
      <c r="C38" s="8" t="s">
        <v>41</v>
      </c>
      <c r="D38" s="7">
        <v>171</v>
      </c>
      <c r="E38" s="7">
        <v>59</v>
      </c>
      <c r="F38" s="7">
        <v>52</v>
      </c>
      <c r="G38" s="7">
        <v>4.7</v>
      </c>
      <c r="H38" s="7">
        <f ca="1">COUNTIF(Data_Cleaning!F:F, A38)</f>
        <v>5</v>
      </c>
      <c r="I38" s="7">
        <f ca="1"/>
        <v>2</v>
      </c>
      <c r="J38" s="7">
        <f ca="1"/>
        <v>1</v>
      </c>
      <c r="K38" s="7">
        <f ca="1"/>
        <v>0</v>
      </c>
      <c r="L38" s="7">
        <f ca="1">IFERROR(AVERAGEIFS(Data_Cleaning!$B:$B, Data_Cleaning!$F:$F, $A38, Data_Cleaning!$B:$B, "&lt;&gt;"), 0)</f>
        <v>4</v>
      </c>
      <c r="M38" s="7">
        <f ca="1"/>
        <v>4</v>
      </c>
      <c r="N38" s="7">
        <f ca="1"/>
        <v>13500</v>
      </c>
      <c r="O38" s="7">
        <f ca="1"/>
        <v>14</v>
      </c>
      <c r="P38" s="7">
        <f ca="1">IFERROR(AVERAGEIF(Data_Cleaning!$F:$F, $A38, Data_Cleaning!$X:$X) / 60, 0)</f>
        <v>53.233333333333334</v>
      </c>
      <c r="Q38" s="7">
        <f ca="1">IFERROR(AVERAGEIF(Data_Cleaning!$F:$F, $A38, Data_Cleaning!$Y:$Y) / 60, 0)</f>
        <v>27.773333333333333</v>
      </c>
      <c r="R38" s="7">
        <f ca="1">IFERROR(AVERAGEIF(Data_Cleaning!$F:$F, $A38, Data_Cleaning!$Z:$Z) / 60, 0)</f>
        <v>4.6866666666666665</v>
      </c>
      <c r="S38" s="7">
        <f ca="1">IFERROR(AVERAGEIF(Data_Cleaning!$F:$F, $A38, Data_Cleaning!$AA:$AA) / 60, 0)</f>
        <v>20.773333333333333</v>
      </c>
      <c r="T38" s="7">
        <f t="shared" si="0"/>
        <v>2.1513036045020657E-2</v>
      </c>
      <c r="U38" s="7">
        <f t="shared" si="1"/>
        <v>2.2953659592897357E-2</v>
      </c>
      <c r="V38" s="7">
        <f t="shared" si="2"/>
        <v>2.7352297592997812E-2</v>
      </c>
      <c r="W38" s="7">
        <f t="shared" si="3"/>
        <v>0.8681996072768301</v>
      </c>
      <c r="X38" s="7">
        <f t="shared" si="4"/>
        <v>0.19267032156534603</v>
      </c>
      <c r="Y38" s="7">
        <f t="shared" si="5"/>
        <v>29</v>
      </c>
      <c r="Z38" s="7">
        <f t="shared" ca="1" si="6"/>
        <v>0.2</v>
      </c>
      <c r="AA38" s="7">
        <f t="shared" ca="1" si="7"/>
        <v>0.8</v>
      </c>
      <c r="AB38" s="7">
        <f t="shared" ca="1" si="8"/>
        <v>0.20169957510622349</v>
      </c>
      <c r="AC38" s="7">
        <f t="shared" ca="1" si="9"/>
        <v>0.38033991502124465</v>
      </c>
      <c r="AD38" s="7">
        <f t="shared" ca="1" si="10"/>
        <v>42</v>
      </c>
    </row>
    <row r="39" spans="1:30" ht="22.5" customHeight="1">
      <c r="A39" s="8" t="str">
        <f ca="1">IFERROR(__xludf.DUMMYFUNCTION("""COMPUTED_VALUE"""),"Jennifer")</f>
        <v>Jennifer</v>
      </c>
      <c r="B39" s="8" t="s">
        <v>51</v>
      </c>
      <c r="C39" s="8" t="s">
        <v>41</v>
      </c>
      <c r="D39" s="7">
        <v>435</v>
      </c>
      <c r="E39" s="7">
        <v>148</v>
      </c>
      <c r="F39" s="7"/>
      <c r="G39" s="7">
        <v>4.2</v>
      </c>
      <c r="H39" s="7">
        <f ca="1">COUNTIF(Data_Cleaning!F:F, A39)</f>
        <v>1</v>
      </c>
      <c r="I39" s="7">
        <f ca="1"/>
        <v>0</v>
      </c>
      <c r="J39" s="7">
        <f ca="1"/>
        <v>0</v>
      </c>
      <c r="K39" s="7">
        <f ca="1"/>
        <v>0</v>
      </c>
      <c r="L39" s="7">
        <f ca="1">IFERROR(AVERAGEIFS(Data_Cleaning!$B:$B, Data_Cleaning!$F:$F, $A39, Data_Cleaning!$B:$B, "&lt;&gt;"), 0)</f>
        <v>5</v>
      </c>
      <c r="M39" s="7">
        <f ca="1"/>
        <v>1</v>
      </c>
      <c r="N39" s="7">
        <f ca="1"/>
        <v>4500</v>
      </c>
      <c r="O39" s="7">
        <f ca="1"/>
        <v>9</v>
      </c>
      <c r="P39" s="7">
        <f ca="1">IFERROR(AVERAGEIF(Data_Cleaning!$F:$F, $A39, Data_Cleaning!$X:$X) / 60, 0)</f>
        <v>50.116666666666667</v>
      </c>
      <c r="Q39" s="7">
        <f ca="1">IFERROR(AVERAGEIF(Data_Cleaning!$F:$F, $A39, Data_Cleaning!$Y:$Y) / 60, 0)</f>
        <v>0</v>
      </c>
      <c r="R39" s="7">
        <f ca="1">IFERROR(AVERAGEIF(Data_Cleaning!$F:$F, $A39, Data_Cleaning!$Z:$Z) / 60, 0)</f>
        <v>0</v>
      </c>
      <c r="S39" s="7">
        <f ca="1">IFERROR(AVERAGEIF(Data_Cleaning!$F:$F, $A39, Data_Cleaning!$AA:$AA) / 60, 0)</f>
        <v>34.833333333333336</v>
      </c>
      <c r="T39" s="7">
        <f t="shared" si="0"/>
        <v>5.9125231514460752E-2</v>
      </c>
      <c r="U39" s="7">
        <f t="shared" si="1"/>
        <v>6.1498484192291036E-2</v>
      </c>
      <c r="V39" s="7">
        <f t="shared" si="2"/>
        <v>-1.0940919037199124E-3</v>
      </c>
      <c r="W39" s="7">
        <f t="shared" si="3"/>
        <v>0.64853228607154689</v>
      </c>
      <c r="X39" s="7">
        <f t="shared" si="4"/>
        <v>0.16254512474079039</v>
      </c>
      <c r="Y39" s="7">
        <f t="shared" si="5"/>
        <v>45</v>
      </c>
      <c r="Z39" s="7">
        <f t="shared" ca="1" si="6"/>
        <v>0</v>
      </c>
      <c r="AA39" s="7">
        <f t="shared" ca="1" si="7"/>
        <v>1</v>
      </c>
      <c r="AB39" s="7">
        <f t="shared" ca="1" si="8"/>
        <v>0.2484378905273682</v>
      </c>
      <c r="AC39" s="7">
        <f t="shared" ca="1" si="9"/>
        <v>0.34968757810547363</v>
      </c>
      <c r="AD39" s="7">
        <f t="shared" ca="1" si="10"/>
        <v>46</v>
      </c>
    </row>
    <row r="40" spans="1:30" ht="22.5" customHeight="1">
      <c r="A40" s="8" t="str">
        <f ca="1">IFERROR(__xludf.DUMMYFUNCTION("""COMPUTED_VALUE"""),"Mike")</f>
        <v>Mike</v>
      </c>
      <c r="B40" s="8" t="s">
        <v>51</v>
      </c>
      <c r="C40" s="8" t="s">
        <v>53</v>
      </c>
      <c r="D40" s="7">
        <v>736</v>
      </c>
      <c r="E40" s="7">
        <v>242</v>
      </c>
      <c r="F40" s="7"/>
      <c r="G40" s="7">
        <v>4.4000000000000004</v>
      </c>
      <c r="H40" s="7">
        <f ca="1">COUNTIF(Data_Cleaning!F:F, A40)</f>
        <v>27</v>
      </c>
      <c r="I40" s="7">
        <f ca="1"/>
        <v>3</v>
      </c>
      <c r="J40" s="7">
        <f ca="1"/>
        <v>6</v>
      </c>
      <c r="K40" s="7">
        <f ca="1"/>
        <v>6</v>
      </c>
      <c r="L40" s="7">
        <f ca="1">IFERROR(AVERAGEIFS(Data_Cleaning!$B:$B, Data_Cleaning!$F:$F, $A40, Data_Cleaning!$B:$B, "&lt;&gt;"), 0)</f>
        <v>4.882352941176471</v>
      </c>
      <c r="M40" s="7">
        <f ca="1"/>
        <v>17</v>
      </c>
      <c r="N40" s="7">
        <f ca="1"/>
        <v>51150</v>
      </c>
      <c r="O40" s="7">
        <f ca="1"/>
        <v>58</v>
      </c>
      <c r="P40" s="7">
        <f ca="1">IFERROR(AVERAGEIF(Data_Cleaning!$F:$F, $A40, Data_Cleaning!$X:$X) / 60, 0)</f>
        <v>39.069135802469141</v>
      </c>
      <c r="Q40" s="7">
        <f ca="1">IFERROR(AVERAGEIF(Data_Cleaning!$F:$F, $A40, Data_Cleaning!$Y:$Y) / 60, 0)</f>
        <v>12.213768115942029</v>
      </c>
      <c r="R40" s="7">
        <f ca="1">IFERROR(AVERAGEIF(Data_Cleaning!$F:$F, $A40, Data_Cleaning!$Z:$Z) / 60, 0)</f>
        <v>6.7444444444444445</v>
      </c>
      <c r="S40" s="7">
        <f ca="1">IFERROR(AVERAGEIF(Data_Cleaning!$F:$F, $A40, Data_Cleaning!$AA:$AA) / 60, 0)</f>
        <v>18.541358024691359</v>
      </c>
      <c r="T40" s="7">
        <f t="shared" si="0"/>
        <v>0.10200883316711783</v>
      </c>
      <c r="U40" s="7">
        <f t="shared" si="1"/>
        <v>0.10220874837592031</v>
      </c>
      <c r="V40" s="7">
        <f t="shared" si="2"/>
        <v>-1.0940919037199124E-3</v>
      </c>
      <c r="W40" s="7">
        <f t="shared" si="3"/>
        <v>0.73639921455366031</v>
      </c>
      <c r="X40" s="7">
        <f t="shared" si="4"/>
        <v>0.20316115697891751</v>
      </c>
      <c r="Y40" s="7">
        <f t="shared" si="5"/>
        <v>25</v>
      </c>
      <c r="Z40" s="7">
        <f t="shared" ca="1" si="6"/>
        <v>0.22222222222222221</v>
      </c>
      <c r="AA40" s="7">
        <f t="shared" ca="1" si="7"/>
        <v>0.9764705882352942</v>
      </c>
      <c r="AB40" s="7">
        <f t="shared" ca="1" si="8"/>
        <v>0.41410943560406188</v>
      </c>
      <c r="AC40" s="7">
        <f t="shared" ca="1" si="9"/>
        <v>0.48687417470251176</v>
      </c>
      <c r="AD40" s="7">
        <f t="shared" ca="1" si="10"/>
        <v>19</v>
      </c>
    </row>
    <row r="41" spans="1:30" ht="22.5" customHeight="1">
      <c r="A41" s="8" t="str">
        <f ca="1">IFERROR(__xludf.DUMMYFUNCTION("""COMPUTED_VALUE"""),"Brian")</f>
        <v>Brian</v>
      </c>
      <c r="B41" s="8" t="s">
        <v>51</v>
      </c>
      <c r="C41" s="8" t="s">
        <v>53</v>
      </c>
      <c r="D41" s="7">
        <v>2902</v>
      </c>
      <c r="E41" s="7">
        <v>747</v>
      </c>
      <c r="F41" s="7">
        <v>484</v>
      </c>
      <c r="G41" s="7">
        <v>4.4000000000000004</v>
      </c>
      <c r="H41" s="7">
        <f ca="1">COUNTIF(Data_Cleaning!F:F, A41)</f>
        <v>3</v>
      </c>
      <c r="I41" s="7">
        <f ca="1"/>
        <v>0</v>
      </c>
      <c r="J41" s="7">
        <f ca="1"/>
        <v>2</v>
      </c>
      <c r="K41" s="7">
        <f ca="1"/>
        <v>0</v>
      </c>
      <c r="L41" s="7">
        <f ca="1">IFERROR(AVERAGEIFS(Data_Cleaning!$B:$B, Data_Cleaning!$F:$F, $A41, Data_Cleaning!$B:$B, "&lt;&gt;"), 0)</f>
        <v>5</v>
      </c>
      <c r="M41" s="7">
        <f ca="1"/>
        <v>2</v>
      </c>
      <c r="N41" s="7">
        <f ca="1"/>
        <v>8500</v>
      </c>
      <c r="O41" s="7">
        <f ca="1"/>
        <v>17</v>
      </c>
      <c r="P41" s="7">
        <f ca="1">IFERROR(AVERAGEIF(Data_Cleaning!$F:$F, $A41, Data_Cleaning!$X:$X) / 60, 0)</f>
        <v>30.05</v>
      </c>
      <c r="Q41" s="7">
        <f ca="1">IFERROR(AVERAGEIF(Data_Cleaning!$F:$F, $A41, Data_Cleaning!$Y:$Y) / 60, 0)</f>
        <v>13.2</v>
      </c>
      <c r="R41" s="7">
        <f ca="1">IFERROR(AVERAGEIF(Data_Cleaning!$F:$F, $A41, Data_Cleaning!$Z:$Z) / 60, 0)</f>
        <v>4.9083333333333332</v>
      </c>
      <c r="S41" s="7">
        <f ca="1">IFERROR(AVERAGEIF(Data_Cleaning!$F:$F, $A41, Data_Cleaning!$AA:$AA) / 60, 0)</f>
        <v>16.366666666666667</v>
      </c>
      <c r="T41" s="7">
        <f t="shared" si="0"/>
        <v>0.41059980054138767</v>
      </c>
      <c r="U41" s="7">
        <f t="shared" si="1"/>
        <v>0.32091814638371591</v>
      </c>
      <c r="V41" s="7">
        <f t="shared" si="2"/>
        <v>0.26367614879649892</v>
      </c>
      <c r="W41" s="7">
        <f t="shared" si="3"/>
        <v>0.73639921455366031</v>
      </c>
      <c r="X41" s="7">
        <f t="shared" si="4"/>
        <v>0.41660835686820208</v>
      </c>
      <c r="Y41" s="7">
        <f t="shared" si="5"/>
        <v>9</v>
      </c>
      <c r="Z41" s="7">
        <f t="shared" ca="1" si="6"/>
        <v>0.66666666666666663</v>
      </c>
      <c r="AA41" s="7">
        <f t="shared" ca="1" si="7"/>
        <v>1</v>
      </c>
      <c r="AB41" s="7">
        <f t="shared" ca="1" si="8"/>
        <v>0.54936265933516615</v>
      </c>
      <c r="AC41" s="7">
        <f t="shared" ca="1" si="9"/>
        <v>0.74320586520036658</v>
      </c>
      <c r="AD41" s="7">
        <f t="shared" ca="1" si="10"/>
        <v>2</v>
      </c>
    </row>
    <row r="42" spans="1:30" ht="22.5" customHeight="1">
      <c r="A42" s="8" t="str">
        <f ca="1">IFERROR(__xludf.DUMMYFUNCTION("""COMPUTED_VALUE"""),"Zak")</f>
        <v>Zak</v>
      </c>
      <c r="B42" s="8" t="s">
        <v>51</v>
      </c>
      <c r="C42" s="8" t="s">
        <v>53</v>
      </c>
      <c r="D42" s="7">
        <v>905</v>
      </c>
      <c r="E42" s="7">
        <v>265</v>
      </c>
      <c r="F42" s="7">
        <v>77</v>
      </c>
      <c r="G42" s="7">
        <v>3.522353683</v>
      </c>
      <c r="H42" s="7">
        <f ca="1">COUNTIF(Data_Cleaning!F:F, A42)</f>
        <v>6</v>
      </c>
      <c r="I42" s="7">
        <f ca="1"/>
        <v>2</v>
      </c>
      <c r="J42" s="7">
        <f ca="1"/>
        <v>2</v>
      </c>
      <c r="K42" s="7">
        <f ca="1"/>
        <v>1</v>
      </c>
      <c r="L42" s="7">
        <f ca="1">IFERROR(AVERAGEIFS(Data_Cleaning!$B:$B, Data_Cleaning!$F:$F, $A42, Data_Cleaning!$B:$B, "&lt;&gt;"), 0)</f>
        <v>5</v>
      </c>
      <c r="M42" s="7">
        <f ca="1"/>
        <v>4</v>
      </c>
      <c r="N42" s="7">
        <f ca="1"/>
        <v>16500</v>
      </c>
      <c r="O42" s="7">
        <f ca="1"/>
        <v>16</v>
      </c>
      <c r="P42" s="7">
        <f ca="1">IFERROR(AVERAGEIF(Data_Cleaning!$F:$F, $A42, Data_Cleaning!$X:$X) / 60, 0)</f>
        <v>28.286111111111111</v>
      </c>
      <c r="Q42" s="7">
        <f ca="1">IFERROR(AVERAGEIF(Data_Cleaning!$F:$F, $A42, Data_Cleaning!$Y:$Y) / 60, 0)</f>
        <v>11.68</v>
      </c>
      <c r="R42" s="7">
        <f ca="1">IFERROR(AVERAGEIF(Data_Cleaning!$F:$F, $A42, Data_Cleaning!$Z:$Z) / 60, 0)</f>
        <v>9.5458333333333325</v>
      </c>
      <c r="S42" s="7">
        <f ca="1">IFERROR(AVERAGEIF(Data_Cleaning!$F:$F, $A42, Data_Cleaning!$AA:$AA) / 60, 0)</f>
        <v>11.280555555555557</v>
      </c>
      <c r="T42" s="7">
        <f t="shared" si="0"/>
        <v>0.12608633708505484</v>
      </c>
      <c r="U42" s="7">
        <f t="shared" si="1"/>
        <v>0.11216977046340407</v>
      </c>
      <c r="V42" s="7">
        <f t="shared" si="2"/>
        <v>4.1028446389496716E-2</v>
      </c>
      <c r="W42" s="7">
        <f t="shared" si="3"/>
        <v>0.35081878371151448</v>
      </c>
      <c r="X42" s="7">
        <f t="shared" si="4"/>
        <v>0.14628921208104453</v>
      </c>
      <c r="Y42" s="7">
        <f t="shared" si="5"/>
        <v>48</v>
      </c>
      <c r="Z42" s="7">
        <f t="shared" ca="1" si="6"/>
        <v>0.33333333333333331</v>
      </c>
      <c r="AA42" s="7">
        <f t="shared" ca="1" si="7"/>
        <v>1</v>
      </c>
      <c r="AB42" s="7">
        <f t="shared" ca="1" si="8"/>
        <v>0.57581437973839877</v>
      </c>
      <c r="AC42" s="7">
        <f t="shared" ca="1" si="9"/>
        <v>0.5818295426143465</v>
      </c>
      <c r="AD42" s="7">
        <f t="shared" ca="1" si="10"/>
        <v>5</v>
      </c>
    </row>
    <row r="43" spans="1:30" ht="22.5" customHeight="1">
      <c r="A43" s="8" t="str">
        <f ca="1">IFERROR(__xludf.DUMMYFUNCTION("""COMPUTED_VALUE"""),"Etan")</f>
        <v>Etan</v>
      </c>
      <c r="B43" s="8" t="s">
        <v>51</v>
      </c>
      <c r="C43" s="8" t="s">
        <v>53</v>
      </c>
      <c r="D43" s="7">
        <v>228</v>
      </c>
      <c r="E43" s="7">
        <v>62</v>
      </c>
      <c r="F43" s="7"/>
      <c r="G43" s="7">
        <v>4.5</v>
      </c>
      <c r="H43" s="7">
        <f ca="1">COUNTIF(Data_Cleaning!F:F, A43)</f>
        <v>10</v>
      </c>
      <c r="I43" s="7">
        <f ca="1"/>
        <v>2</v>
      </c>
      <c r="J43" s="7">
        <f ca="1"/>
        <v>2</v>
      </c>
      <c r="K43" s="7">
        <f ca="1"/>
        <v>4</v>
      </c>
      <c r="L43" s="7">
        <f ca="1">IFERROR(AVERAGEIFS(Data_Cleaning!$B:$B, Data_Cleaning!$F:$F, $A43, Data_Cleaning!$B:$B, "&lt;&gt;"), 0)</f>
        <v>5</v>
      </c>
      <c r="M43" s="7">
        <f ca="1"/>
        <v>6</v>
      </c>
      <c r="N43" s="7">
        <f ca="1"/>
        <v>21300</v>
      </c>
      <c r="O43" s="7">
        <f ca="1"/>
        <v>31</v>
      </c>
      <c r="P43" s="7">
        <f ca="1">IFERROR(AVERAGEIF(Data_Cleaning!$F:$F, $A43, Data_Cleaning!$X:$X) / 60, 0)</f>
        <v>41.211666666666666</v>
      </c>
      <c r="Q43" s="7">
        <f ca="1">IFERROR(AVERAGEIF(Data_Cleaning!$F:$F, $A43, Data_Cleaning!$Y:$Y) / 60, 0)</f>
        <v>13.848333333333333</v>
      </c>
      <c r="R43" s="7">
        <f ca="1">IFERROR(AVERAGEIF(Data_Cleaning!$F:$F, $A43, Data_Cleaning!$Z:$Z) / 60, 0)</f>
        <v>10.688333333333333</v>
      </c>
      <c r="S43" s="7">
        <f ca="1">IFERROR(AVERAGEIF(Data_Cleaning!$F:$F, $A43, Data_Cleaning!$AA:$AA) / 60, 0)</f>
        <v>16.675000000000001</v>
      </c>
      <c r="T43" s="7">
        <f t="shared" si="0"/>
        <v>2.9633850975922495E-2</v>
      </c>
      <c r="U43" s="7">
        <f t="shared" si="1"/>
        <v>2.4252923343438718E-2</v>
      </c>
      <c r="V43" s="7">
        <f t="shared" si="2"/>
        <v>-1.0940919037199124E-3</v>
      </c>
      <c r="W43" s="7">
        <f t="shared" si="3"/>
        <v>0.78033267879471679</v>
      </c>
      <c r="X43" s="7">
        <f t="shared" si="4"/>
        <v>0.1707463989116498</v>
      </c>
      <c r="Y43" s="7">
        <f t="shared" si="5"/>
        <v>39</v>
      </c>
      <c r="Z43" s="7">
        <f t="shared" ca="1" si="6"/>
        <v>0.2</v>
      </c>
      <c r="AA43" s="7">
        <f t="shared" ca="1" si="7"/>
        <v>1</v>
      </c>
      <c r="AB43" s="7">
        <f t="shared" ca="1" si="8"/>
        <v>0.38197950512371914</v>
      </c>
      <c r="AC43" s="7">
        <f t="shared" ca="1" si="9"/>
        <v>0.47639590102474383</v>
      </c>
      <c r="AD43" s="7">
        <f t="shared" ca="1" si="10"/>
        <v>23</v>
      </c>
    </row>
    <row r="44" spans="1:30" ht="22.5" customHeight="1">
      <c r="A44" s="8" t="str">
        <f ca="1">IFERROR(__xludf.DUMMYFUNCTION("""COMPUTED_VALUE"""),"Jhordan")</f>
        <v>Jhordan</v>
      </c>
      <c r="B44" s="8" t="s">
        <v>38</v>
      </c>
      <c r="C44" s="8" t="s">
        <v>41</v>
      </c>
      <c r="D44" s="7">
        <v>20</v>
      </c>
      <c r="E44" s="7">
        <v>6</v>
      </c>
      <c r="F44" s="7">
        <v>5</v>
      </c>
      <c r="G44" s="7">
        <v>3.4317832890000002</v>
      </c>
      <c r="H44" s="7">
        <f ca="1">COUNTIF(Data_Cleaning!F:F, A44)</f>
        <v>3</v>
      </c>
      <c r="I44" s="7">
        <f ca="1"/>
        <v>1</v>
      </c>
      <c r="J44" s="7">
        <f ca="1"/>
        <v>1</v>
      </c>
      <c r="K44" s="7">
        <f ca="1"/>
        <v>1</v>
      </c>
      <c r="L44" s="7">
        <f ca="1">IFERROR(AVERAGEIFS(Data_Cleaning!$B:$B, Data_Cleaning!$F:$F, $A44, Data_Cleaning!$B:$B, "&lt;&gt;"), 0)</f>
        <v>5</v>
      </c>
      <c r="M44" s="7">
        <f ca="1"/>
        <v>1</v>
      </c>
      <c r="N44" s="7">
        <f ca="1"/>
        <v>6500</v>
      </c>
      <c r="O44" s="7">
        <f ca="1"/>
        <v>6</v>
      </c>
      <c r="P44" s="7">
        <f ca="1">IFERROR(AVERAGEIF(Data_Cleaning!$F:$F, $A44, Data_Cleaning!$X:$X) / 60, 0)</f>
        <v>36.588888888888889</v>
      </c>
      <c r="Q44" s="7">
        <f ca="1">IFERROR(AVERAGEIF(Data_Cleaning!$F:$F, $A44, Data_Cleaning!$Y:$Y) / 60, 0)</f>
        <v>9.4833333333333325</v>
      </c>
      <c r="R44" s="7">
        <f ca="1">IFERROR(AVERAGEIF(Data_Cleaning!$F:$F, $A44, Data_Cleaning!$Z:$Z) / 60, 0)</f>
        <v>8.6999999999999993</v>
      </c>
      <c r="S44" s="7">
        <f ca="1">IFERROR(AVERAGEIF(Data_Cleaning!$F:$F, $A44, Data_Cleaning!$AA:$AA) / 60, 0)</f>
        <v>18.405555555555555</v>
      </c>
      <c r="T44" s="7">
        <f t="shared" si="0"/>
        <v>0</v>
      </c>
      <c r="U44" s="7">
        <f t="shared" si="1"/>
        <v>0</v>
      </c>
      <c r="V44" s="7">
        <f t="shared" si="2"/>
        <v>1.6411378555798686E-3</v>
      </c>
      <c r="W44" s="7">
        <f t="shared" si="3"/>
        <v>0.3110280720505405</v>
      </c>
      <c r="X44" s="7">
        <f t="shared" si="4"/>
        <v>6.2615898874003068E-2</v>
      </c>
      <c r="Y44" s="7">
        <f t="shared" si="5"/>
        <v>53</v>
      </c>
      <c r="Z44" s="7">
        <f t="shared" ca="1" si="6"/>
        <v>0.33333333333333331</v>
      </c>
      <c r="AA44" s="7">
        <f t="shared" ca="1" si="7"/>
        <v>1</v>
      </c>
      <c r="AB44" s="7">
        <f t="shared" ca="1" si="8"/>
        <v>0.4513038407064901</v>
      </c>
      <c r="AC44" s="7">
        <f t="shared" ca="1" si="9"/>
        <v>0.55692743480796469</v>
      </c>
      <c r="AD44" s="7">
        <f t="shared" ca="1" si="10"/>
        <v>11</v>
      </c>
    </row>
    <row r="45" spans="1:30" ht="22.5" customHeight="1">
      <c r="A45" s="8" t="str">
        <f ca="1">IFERROR(__xludf.DUMMYFUNCTION("""COMPUTED_VALUE"""),"Rachael")</f>
        <v>Rachael</v>
      </c>
      <c r="B45" s="8" t="s">
        <v>51</v>
      </c>
      <c r="C45" s="8" t="s">
        <v>53</v>
      </c>
      <c r="D45" s="7">
        <v>278</v>
      </c>
      <c r="E45" s="7">
        <v>78</v>
      </c>
      <c r="F45" s="7">
        <v>26</v>
      </c>
      <c r="G45" s="7">
        <v>4.4000000000000004</v>
      </c>
      <c r="H45" s="7">
        <f ca="1">COUNTIF(Data_Cleaning!F:F, A45)</f>
        <v>10</v>
      </c>
      <c r="I45" s="7">
        <f ca="1"/>
        <v>4</v>
      </c>
      <c r="J45" s="7">
        <f ca="1"/>
        <v>2</v>
      </c>
      <c r="K45" s="7">
        <f ca="1"/>
        <v>2</v>
      </c>
      <c r="L45" s="7">
        <f ca="1">IFERROR(AVERAGEIFS(Data_Cleaning!$B:$B, Data_Cleaning!$F:$F, $A45, Data_Cleaning!$B:$B, "&lt;&gt;"), 0)</f>
        <v>4.2</v>
      </c>
      <c r="M45" s="7">
        <f ca="1"/>
        <v>5</v>
      </c>
      <c r="N45" s="7">
        <f ca="1"/>
        <v>25500</v>
      </c>
      <c r="O45" s="7">
        <f ca="1"/>
        <v>26</v>
      </c>
      <c r="P45" s="7">
        <f ca="1">IFERROR(AVERAGEIF(Data_Cleaning!$F:$F, $A45, Data_Cleaning!$X:$X) / 60, 0)</f>
        <v>57.62833333333333</v>
      </c>
      <c r="Q45" s="7">
        <f ca="1">IFERROR(AVERAGEIF(Data_Cleaning!$F:$F, $A45, Data_Cleaning!$Y:$Y) / 60, 0)</f>
        <v>19.654999999999998</v>
      </c>
      <c r="R45" s="7">
        <f ca="1">IFERROR(AVERAGEIF(Data_Cleaning!$F:$F, $A45, Data_Cleaning!$Z:$Z) / 60, 0)</f>
        <v>9.0305555555555568</v>
      </c>
      <c r="S45" s="7">
        <f ca="1">IFERROR(AVERAGEIF(Data_Cleaning!$F:$F, $A45, Data_Cleaning!$AA:$AA) / 60, 0)</f>
        <v>32.716666666666669</v>
      </c>
      <c r="T45" s="7">
        <f t="shared" si="0"/>
        <v>3.6757372845134632E-2</v>
      </c>
      <c r="U45" s="7">
        <f t="shared" si="1"/>
        <v>3.1182330012992636E-2</v>
      </c>
      <c r="V45" s="7">
        <f t="shared" si="2"/>
        <v>1.3129102844638949E-2</v>
      </c>
      <c r="W45" s="7">
        <f t="shared" si="3"/>
        <v>0.73639921455366031</v>
      </c>
      <c r="X45" s="7">
        <f t="shared" si="4"/>
        <v>0.16938491297868036</v>
      </c>
      <c r="Y45" s="7">
        <f t="shared" si="5"/>
        <v>42</v>
      </c>
      <c r="Z45" s="7">
        <f t="shared" ca="1" si="6"/>
        <v>0.2</v>
      </c>
      <c r="AA45" s="7">
        <f t="shared" ca="1" si="7"/>
        <v>0.84000000000000008</v>
      </c>
      <c r="AB45" s="7">
        <f t="shared" ca="1" si="8"/>
        <v>0.13579105223694088</v>
      </c>
      <c r="AC45" s="7">
        <f t="shared" ca="1" si="9"/>
        <v>0.37915821044738818</v>
      </c>
      <c r="AD45" s="7">
        <f t="shared" ca="1" si="10"/>
        <v>43</v>
      </c>
    </row>
    <row r="46" spans="1:30" ht="22.5" customHeight="1">
      <c r="A46" s="8" t="str">
        <f ca="1">IFERROR(__xludf.DUMMYFUNCTION("""COMPUTED_VALUE"""),"Cass")</f>
        <v>Cass</v>
      </c>
      <c r="B46" s="8" t="s">
        <v>51</v>
      </c>
      <c r="C46" s="8" t="s">
        <v>53</v>
      </c>
      <c r="D46" s="7">
        <v>248</v>
      </c>
      <c r="E46" s="7">
        <v>79</v>
      </c>
      <c r="F46" s="7">
        <v>2</v>
      </c>
      <c r="G46" s="7">
        <v>4.5999999999999996</v>
      </c>
      <c r="H46" s="7">
        <f ca="1">COUNTIF(Data_Cleaning!F:F, A46)</f>
        <v>3</v>
      </c>
      <c r="I46" s="7">
        <f ca="1"/>
        <v>2</v>
      </c>
      <c r="J46" s="7">
        <f ca="1"/>
        <v>1</v>
      </c>
      <c r="K46" s="7">
        <f ca="1"/>
        <v>0</v>
      </c>
      <c r="L46" s="7">
        <f ca="1">IFERROR(AVERAGEIFS(Data_Cleaning!$B:$B, Data_Cleaning!$F:$F, $A46, Data_Cleaning!$B:$B, "&lt;&gt;"), 0)</f>
        <v>5</v>
      </c>
      <c r="M46" s="7">
        <f ca="1"/>
        <v>2</v>
      </c>
      <c r="N46" s="7">
        <f ca="1"/>
        <v>6350</v>
      </c>
      <c r="O46" s="7">
        <f ca="1"/>
        <v>5</v>
      </c>
      <c r="P46" s="7">
        <f ca="1">IFERROR(AVERAGEIF(Data_Cleaning!$F:$F, $A46, Data_Cleaning!$X:$X) / 60, 0)</f>
        <v>30.37222222222222</v>
      </c>
      <c r="Q46" s="7">
        <f ca="1">IFERROR(AVERAGEIF(Data_Cleaning!$F:$F, $A46, Data_Cleaning!$Y:$Y) / 60, 0)</f>
        <v>15.716666666666667</v>
      </c>
      <c r="R46" s="7">
        <f ca="1">IFERROR(AVERAGEIF(Data_Cleaning!$F:$F, $A46, Data_Cleaning!$Z:$Z) / 60, 0)</f>
        <v>2.9444444444444442</v>
      </c>
      <c r="S46" s="7">
        <f ca="1">IFERROR(AVERAGEIF(Data_Cleaning!$F:$F, $A46, Data_Cleaning!$AA:$AA) / 60, 0)</f>
        <v>11.71111111111111</v>
      </c>
      <c r="T46" s="7">
        <f t="shared" si="0"/>
        <v>3.2483259723607348E-2</v>
      </c>
      <c r="U46" s="7">
        <f t="shared" si="1"/>
        <v>3.1615417929839761E-2</v>
      </c>
      <c r="V46" s="7">
        <f t="shared" si="2"/>
        <v>0</v>
      </c>
      <c r="W46" s="7">
        <f t="shared" si="3"/>
        <v>0.82426614303577328</v>
      </c>
      <c r="X46" s="7">
        <f t="shared" si="4"/>
        <v>0.18250206100669683</v>
      </c>
      <c r="Y46" s="7">
        <f t="shared" si="5"/>
        <v>33</v>
      </c>
      <c r="Z46" s="7">
        <f t="shared" ca="1" si="6"/>
        <v>0.33333333333333331</v>
      </c>
      <c r="AA46" s="7">
        <f t="shared" ca="1" si="7"/>
        <v>1</v>
      </c>
      <c r="AB46" s="7">
        <f t="shared" ca="1" si="8"/>
        <v>0.54453053403315843</v>
      </c>
      <c r="AC46" s="7">
        <f t="shared" ca="1" si="9"/>
        <v>0.57557277347329838</v>
      </c>
      <c r="AD46" s="7">
        <f t="shared" ca="1" si="10"/>
        <v>7</v>
      </c>
    </row>
    <row r="47" spans="1:30" ht="22.5" customHeight="1">
      <c r="A47" s="8" t="str">
        <f ca="1">IFERROR(__xludf.DUMMYFUNCTION("""COMPUTED_VALUE"""),"Gabby")</f>
        <v>Gabby</v>
      </c>
      <c r="B47" s="8" t="s">
        <v>38</v>
      </c>
      <c r="C47" s="8" t="s">
        <v>41</v>
      </c>
      <c r="D47" s="7">
        <v>56</v>
      </c>
      <c r="E47" s="7">
        <v>17</v>
      </c>
      <c r="F47" s="7">
        <v>8</v>
      </c>
      <c r="G47" s="7">
        <v>4.7</v>
      </c>
      <c r="H47" s="7">
        <f ca="1">COUNTIF(Data_Cleaning!F:F, A47)</f>
        <v>1</v>
      </c>
      <c r="I47" s="7">
        <f ca="1"/>
        <v>0</v>
      </c>
      <c r="J47" s="7">
        <f ca="1"/>
        <v>0</v>
      </c>
      <c r="K47" s="7">
        <f ca="1"/>
        <v>1</v>
      </c>
      <c r="L47" s="7">
        <f ca="1">IFERROR(AVERAGEIFS(Data_Cleaning!$B:$B, Data_Cleaning!$F:$F, $A47, Data_Cleaning!$B:$B, "&lt;&gt;"), 0)</f>
        <v>5</v>
      </c>
      <c r="M47" s="7">
        <f ca="1"/>
        <v>1</v>
      </c>
      <c r="N47" s="7">
        <f ca="1"/>
        <v>3500</v>
      </c>
      <c r="O47" s="7">
        <f ca="1"/>
        <v>2</v>
      </c>
      <c r="P47" s="7">
        <f ca="1">IFERROR(AVERAGEIF(Data_Cleaning!$F:$F, $A47, Data_Cleaning!$X:$X) / 60, 0)</f>
        <v>31.266666666666666</v>
      </c>
      <c r="Q47" s="7">
        <f ca="1">IFERROR(AVERAGEIF(Data_Cleaning!$F:$F, $A47, Data_Cleaning!$Y:$Y) / 60, 0)</f>
        <v>6.1333333333333337</v>
      </c>
      <c r="R47" s="7">
        <f ca="1">IFERROR(AVERAGEIF(Data_Cleaning!$F:$F, $A47, Data_Cleaning!$Z:$Z) / 60, 0)</f>
        <v>11.166666666666666</v>
      </c>
      <c r="S47" s="7">
        <f ca="1">IFERROR(AVERAGEIF(Data_Cleaning!$F:$F, $A47, Data_Cleaning!$AA:$AA) / 60, 0)</f>
        <v>13.966666666666667</v>
      </c>
      <c r="T47" s="7">
        <f t="shared" si="0"/>
        <v>5.1289357458327396E-3</v>
      </c>
      <c r="U47" s="7">
        <f t="shared" si="1"/>
        <v>4.7639670853183193E-3</v>
      </c>
      <c r="V47" s="7">
        <f t="shared" si="2"/>
        <v>3.2822757111597373E-3</v>
      </c>
      <c r="W47" s="7">
        <f t="shared" si="3"/>
        <v>0.8681996072768301</v>
      </c>
      <c r="X47" s="7">
        <f t="shared" si="4"/>
        <v>0.17719016287823536</v>
      </c>
      <c r="Y47" s="7">
        <f t="shared" si="5"/>
        <v>36</v>
      </c>
      <c r="Z47" s="7">
        <f t="shared" ca="1" si="6"/>
        <v>0</v>
      </c>
      <c r="AA47" s="7">
        <f t="shared" ca="1" si="7"/>
        <v>1</v>
      </c>
      <c r="AB47" s="7">
        <f t="shared" ca="1" si="8"/>
        <v>0.53111722069482625</v>
      </c>
      <c r="AC47" s="7">
        <f t="shared" ca="1" si="9"/>
        <v>0.40622344413896527</v>
      </c>
      <c r="AD47" s="7">
        <f t="shared" ca="1" si="10"/>
        <v>39</v>
      </c>
    </row>
    <row r="48" spans="1:30" ht="22.5" customHeight="1">
      <c r="A48" s="8" t="str">
        <f ca="1">IFERROR(__xludf.DUMMYFUNCTION("""COMPUTED_VALUE"""),"Rich")</f>
        <v>Rich</v>
      </c>
      <c r="B48" s="8" t="s">
        <v>51</v>
      </c>
      <c r="C48" s="8" t="s">
        <v>41</v>
      </c>
      <c r="D48" s="7">
        <v>500</v>
      </c>
      <c r="E48" s="7">
        <v>141</v>
      </c>
      <c r="F48" s="7">
        <v>37</v>
      </c>
      <c r="G48" s="7">
        <v>4.5</v>
      </c>
      <c r="H48" s="7">
        <f ca="1">COUNTIF(Data_Cleaning!F:F, A48)</f>
        <v>1</v>
      </c>
      <c r="I48" s="7">
        <f ca="1"/>
        <v>1</v>
      </c>
      <c r="J48" s="7">
        <f ca="1"/>
        <v>0</v>
      </c>
      <c r="K48" s="7">
        <f ca="1"/>
        <v>0</v>
      </c>
      <c r="L48" s="7">
        <f ca="1">IFERROR(AVERAGEIFS(Data_Cleaning!$B:$B, Data_Cleaning!$F:$F, $A48, Data_Cleaning!$B:$B, "&lt;&gt;"), 0)</f>
        <v>5</v>
      </c>
      <c r="M48" s="7">
        <f ca="1"/>
        <v>1</v>
      </c>
      <c r="N48" s="7">
        <f ca="1"/>
        <v>3500</v>
      </c>
      <c r="O48" s="7">
        <f ca="1"/>
        <v>2</v>
      </c>
      <c r="P48" s="7">
        <f ca="1">IFERROR(AVERAGEIF(Data_Cleaning!$F:$F, $A48, Data_Cleaning!$X:$X) / 60, 0)</f>
        <v>66.683333333333337</v>
      </c>
      <c r="Q48" s="7">
        <f ca="1">IFERROR(AVERAGEIF(Data_Cleaning!$F:$F, $A48, Data_Cleaning!$Y:$Y) / 60, 0)</f>
        <v>48.3</v>
      </c>
      <c r="R48" s="7">
        <f ca="1">IFERROR(AVERAGEIF(Data_Cleaning!$F:$F, $A48, Data_Cleaning!$Z:$Z) / 60, 0)</f>
        <v>4.6833333333333336</v>
      </c>
      <c r="S48" s="7">
        <f ca="1">IFERROR(AVERAGEIF(Data_Cleaning!$F:$F, $A48, Data_Cleaning!$AA:$AA) / 60, 0)</f>
        <v>13.7</v>
      </c>
      <c r="T48" s="7">
        <f t="shared" si="0"/>
        <v>6.8385809944436535E-2</v>
      </c>
      <c r="U48" s="7">
        <f t="shared" si="1"/>
        <v>5.8466868774361198E-2</v>
      </c>
      <c r="V48" s="7">
        <f t="shared" si="2"/>
        <v>1.9146608315098467E-2</v>
      </c>
      <c r="W48" s="7">
        <f t="shared" si="3"/>
        <v>0.78033267879471679</v>
      </c>
      <c r="X48" s="7">
        <f t="shared" si="4"/>
        <v>0.19598564801463925</v>
      </c>
      <c r="Y48" s="7">
        <f t="shared" si="5"/>
        <v>27</v>
      </c>
      <c r="Z48" s="7">
        <f t="shared" ca="1" si="6"/>
        <v>0</v>
      </c>
      <c r="AA48" s="7">
        <f t="shared" ca="1" si="7"/>
        <v>1</v>
      </c>
      <c r="AB48" s="7">
        <f t="shared" ca="1" si="8"/>
        <v>0</v>
      </c>
      <c r="AC48" s="7">
        <f t="shared" ca="1" si="9"/>
        <v>0.3</v>
      </c>
      <c r="AD48" s="7">
        <f t="shared" ca="1" si="10"/>
        <v>50</v>
      </c>
    </row>
    <row r="49" spans="1:30" ht="22.5" customHeight="1">
      <c r="A49" s="8" t="str">
        <f ca="1">IFERROR(__xludf.DUMMYFUNCTION("""COMPUTED_VALUE"""),"Eddy")</f>
        <v>Eddy</v>
      </c>
      <c r="B49" s="8" t="s">
        <v>51</v>
      </c>
      <c r="C49" s="8" t="s">
        <v>41</v>
      </c>
      <c r="D49" s="7">
        <v>290</v>
      </c>
      <c r="E49" s="7">
        <v>80</v>
      </c>
      <c r="F49" s="7">
        <v>31</v>
      </c>
      <c r="G49" s="7">
        <v>3.6497971109999998</v>
      </c>
      <c r="H49" s="7">
        <f ca="1">COUNTIF(Data_Cleaning!F:F, A49)</f>
        <v>1</v>
      </c>
      <c r="I49" s="7">
        <f ca="1"/>
        <v>0</v>
      </c>
      <c r="J49" s="7">
        <f ca="1"/>
        <v>1</v>
      </c>
      <c r="K49" s="7">
        <f ca="1"/>
        <v>0</v>
      </c>
      <c r="L49" s="7">
        <f ca="1">IFERROR(AVERAGEIFS(Data_Cleaning!$B:$B, Data_Cleaning!$F:$F, $A49, Data_Cleaning!$B:$B, "&lt;&gt;"), 0)</f>
        <v>0</v>
      </c>
      <c r="M49" s="7">
        <f ca="1"/>
        <v>0</v>
      </c>
      <c r="N49" s="7">
        <f ca="1"/>
        <v>3000</v>
      </c>
      <c r="O49" s="7">
        <f ca="1"/>
        <v>2</v>
      </c>
      <c r="P49" s="7">
        <f ca="1">IFERROR(AVERAGEIF(Data_Cleaning!$F:$F, $A49, Data_Cleaning!$X:$X) / 60, 0)</f>
        <v>62.81666666666667</v>
      </c>
      <c r="Q49" s="7">
        <f ca="1">IFERROR(AVERAGEIF(Data_Cleaning!$F:$F, $A49, Data_Cleaning!$Y:$Y) / 60, 0)</f>
        <v>10.4</v>
      </c>
      <c r="R49" s="7">
        <f ca="1">IFERROR(AVERAGEIF(Data_Cleaning!$F:$F, $A49, Data_Cleaning!$Z:$Z) / 60, 0)</f>
        <v>2.6333333333333333</v>
      </c>
      <c r="S49" s="7">
        <f ca="1">IFERROR(AVERAGEIF(Data_Cleaning!$F:$F, $A49, Data_Cleaning!$AA:$AA) / 60, 0)</f>
        <v>49.783333333333331</v>
      </c>
      <c r="T49" s="7">
        <f t="shared" si="0"/>
        <v>3.8467018093745545E-2</v>
      </c>
      <c r="U49" s="7">
        <f t="shared" si="1"/>
        <v>3.2048505846686878E-2</v>
      </c>
      <c r="V49" s="7">
        <f t="shared" si="2"/>
        <v>1.5864332603938731E-2</v>
      </c>
      <c r="W49" s="7">
        <f t="shared" si="3"/>
        <v>0.40680909657947123</v>
      </c>
      <c r="X49" s="7">
        <f t="shared" si="4"/>
        <v>0.10488013435667431</v>
      </c>
      <c r="Y49" s="7">
        <f t="shared" si="5"/>
        <v>50</v>
      </c>
      <c r="Z49" s="7">
        <f t="shared" ca="1" si="6"/>
        <v>1</v>
      </c>
      <c r="AA49" s="7">
        <f t="shared" ca="1" si="7"/>
        <v>0</v>
      </c>
      <c r="AB49" s="7">
        <f t="shared" ca="1" si="8"/>
        <v>5.7985503624093937E-2</v>
      </c>
      <c r="AC49" s="7">
        <f t="shared" ca="1" si="9"/>
        <v>0.51159710072481879</v>
      </c>
      <c r="AD49" s="7">
        <f t="shared" ca="1" si="10"/>
        <v>16</v>
      </c>
    </row>
    <row r="50" spans="1:30" ht="22.5" customHeight="1">
      <c r="A50" s="8" t="str">
        <f ca="1">IFERROR(__xludf.DUMMYFUNCTION("""COMPUTED_VALUE"""),"Jim")</f>
        <v>Jim</v>
      </c>
      <c r="B50" s="8" t="s">
        <v>51</v>
      </c>
      <c r="C50" s="8" t="s">
        <v>53</v>
      </c>
      <c r="D50" s="7">
        <v>65</v>
      </c>
      <c r="E50" s="7">
        <v>24</v>
      </c>
      <c r="F50" s="7"/>
      <c r="G50" s="7">
        <v>4.5999999999999996</v>
      </c>
      <c r="H50" s="7">
        <f ca="1">COUNTIF(Data_Cleaning!F:F, A50)</f>
        <v>3</v>
      </c>
      <c r="I50" s="7">
        <f ca="1"/>
        <v>0</v>
      </c>
      <c r="J50" s="7">
        <f ca="1"/>
        <v>2</v>
      </c>
      <c r="K50" s="7">
        <f ca="1"/>
        <v>1</v>
      </c>
      <c r="L50" s="7">
        <f ca="1">IFERROR(AVERAGEIFS(Data_Cleaning!$B:$B, Data_Cleaning!$F:$F, $A50, Data_Cleaning!$B:$B, "&lt;&gt;"), 0)</f>
        <v>0</v>
      </c>
      <c r="M50" s="7">
        <f ca="1"/>
        <v>0</v>
      </c>
      <c r="N50" s="7">
        <f ca="1"/>
        <v>6500</v>
      </c>
      <c r="O50" s="7">
        <f ca="1"/>
        <v>7</v>
      </c>
      <c r="P50" s="7">
        <f ca="1">IFERROR(AVERAGEIF(Data_Cleaning!$F:$F, $A50, Data_Cleaning!$X:$X) / 60, 0)</f>
        <v>34.950000000000003</v>
      </c>
      <c r="Q50" s="7">
        <f ca="1">IFERROR(AVERAGEIF(Data_Cleaning!$F:$F, $A50, Data_Cleaning!$Y:$Y) / 60, 0)</f>
        <v>8.1611111111111114</v>
      </c>
      <c r="R50" s="7">
        <f ca="1">IFERROR(AVERAGEIF(Data_Cleaning!$F:$F, $A50, Data_Cleaning!$Z:$Z) / 60, 0)</f>
        <v>14.766666666666667</v>
      </c>
      <c r="S50" s="7">
        <f ca="1">IFERROR(AVERAGEIF(Data_Cleaning!$F:$F, $A50, Data_Cleaning!$AA:$AA) / 60, 0)</f>
        <v>12.022222222222222</v>
      </c>
      <c r="T50" s="7">
        <f t="shared" si="0"/>
        <v>6.4111696822909247E-3</v>
      </c>
      <c r="U50" s="7">
        <f t="shared" si="1"/>
        <v>7.795582503248159E-3</v>
      </c>
      <c r="V50" s="7">
        <f t="shared" si="2"/>
        <v>-1.0940919037199124E-3</v>
      </c>
      <c r="W50" s="7">
        <f t="shared" si="3"/>
        <v>0.82426614303577328</v>
      </c>
      <c r="X50" s="7">
        <f t="shared" si="4"/>
        <v>0.16845195216172401</v>
      </c>
      <c r="Y50" s="7">
        <f t="shared" si="5"/>
        <v>43</v>
      </c>
      <c r="Z50" s="7">
        <f t="shared" ca="1" si="6"/>
        <v>0.66666666666666663</v>
      </c>
      <c r="AA50" s="7">
        <f t="shared" ca="1" si="7"/>
        <v>0</v>
      </c>
      <c r="AB50" s="7">
        <f t="shared" ca="1" si="8"/>
        <v>0.4758810297425643</v>
      </c>
      <c r="AC50" s="7">
        <f t="shared" ca="1" si="9"/>
        <v>0.42850953928184621</v>
      </c>
      <c r="AD50" s="7">
        <f t="shared" ca="1" si="10"/>
        <v>35</v>
      </c>
    </row>
    <row r="51" spans="1:30" ht="22.5" customHeight="1">
      <c r="A51" s="8" t="str">
        <f ca="1">IFERROR(__xludf.DUMMYFUNCTION("""COMPUTED_VALUE"""),"Drew")</f>
        <v>Drew</v>
      </c>
      <c r="B51" s="8" t="s">
        <v>38</v>
      </c>
      <c r="C51" s="8" t="s">
        <v>41</v>
      </c>
      <c r="D51" s="7">
        <v>611</v>
      </c>
      <c r="E51" s="7">
        <v>213</v>
      </c>
      <c r="F51" s="7">
        <v>122</v>
      </c>
      <c r="G51" s="7">
        <v>3.5995547229999998</v>
      </c>
      <c r="H51" s="7">
        <f ca="1">COUNTIF(Data_Cleaning!F:F, A51)</f>
        <v>4</v>
      </c>
      <c r="I51" s="7">
        <f ca="1"/>
        <v>0</v>
      </c>
      <c r="J51" s="7">
        <f ca="1"/>
        <v>4</v>
      </c>
      <c r="K51" s="7">
        <f ca="1"/>
        <v>0</v>
      </c>
      <c r="L51" s="7">
        <f ca="1">IFERROR(AVERAGEIFS(Data_Cleaning!$B:$B, Data_Cleaning!$F:$F, $A51, Data_Cleaning!$B:$B, "&lt;&gt;"), 0)</f>
        <v>5</v>
      </c>
      <c r="M51" s="7">
        <f ca="1"/>
        <v>2</v>
      </c>
      <c r="N51" s="7">
        <f ca="1"/>
        <v>8000</v>
      </c>
      <c r="O51" s="7">
        <f ca="1"/>
        <v>11</v>
      </c>
      <c r="P51" s="7">
        <f ca="1">IFERROR(AVERAGEIF(Data_Cleaning!$F:$F, $A51, Data_Cleaning!$X:$X) / 60, 0)</f>
        <v>28.5</v>
      </c>
      <c r="Q51" s="7">
        <f ca="1">IFERROR(AVERAGEIF(Data_Cleaning!$F:$F, $A51, Data_Cleaning!$Y:$Y) / 60, 0)</f>
        <v>9.7291666666666661</v>
      </c>
      <c r="R51" s="7">
        <f ca="1">IFERROR(AVERAGEIF(Data_Cleaning!$F:$F, $A51, Data_Cleaning!$Z:$Z) / 60, 0)</f>
        <v>5.8708333333333336</v>
      </c>
      <c r="S51" s="7">
        <f ca="1">IFERROR(AVERAGEIF(Data_Cleaning!$F:$F, $A51, Data_Cleaning!$AA:$AA) / 60, 0)</f>
        <v>12.9</v>
      </c>
      <c r="T51" s="7">
        <f t="shared" si="0"/>
        <v>8.4200028494087475E-2</v>
      </c>
      <c r="U51" s="7">
        <f t="shared" si="1"/>
        <v>8.9649198787353834E-2</v>
      </c>
      <c r="V51" s="7">
        <f t="shared" si="2"/>
        <v>6.5645514223194742E-2</v>
      </c>
      <c r="W51" s="7">
        <f t="shared" si="3"/>
        <v>0.38473587501363826</v>
      </c>
      <c r="X51" s="7">
        <f t="shared" si="4"/>
        <v>0.14103086180359103</v>
      </c>
      <c r="Y51" s="7">
        <f t="shared" si="5"/>
        <v>49</v>
      </c>
      <c r="Z51" s="7">
        <f t="shared" ca="1" si="6"/>
        <v>1</v>
      </c>
      <c r="AA51" s="7">
        <f t="shared" ca="1" si="7"/>
        <v>1</v>
      </c>
      <c r="AB51" s="7">
        <f t="shared" ca="1" si="8"/>
        <v>0.57260684828792807</v>
      </c>
      <c r="AC51" s="7">
        <f t="shared" ca="1" si="9"/>
        <v>0.91452136965758568</v>
      </c>
      <c r="AD51" s="7">
        <f t="shared" ca="1" si="10"/>
        <v>1</v>
      </c>
    </row>
    <row r="52" spans="1:30" ht="22.5" customHeight="1">
      <c r="A52" s="8" t="str">
        <f ca="1">IFERROR(__xludf.DUMMYFUNCTION("""COMPUTED_VALUE"""),"Jarry")</f>
        <v>Jarry</v>
      </c>
      <c r="B52" s="8" t="s">
        <v>38</v>
      </c>
      <c r="C52" s="8" t="s">
        <v>41</v>
      </c>
      <c r="D52" s="7">
        <v>198</v>
      </c>
      <c r="E52" s="7">
        <v>59</v>
      </c>
      <c r="F52" s="7">
        <v>82</v>
      </c>
      <c r="G52" s="7">
        <v>4.4000000000000004</v>
      </c>
      <c r="H52" s="7">
        <f ca="1">COUNTIF(Data_Cleaning!F:F, A52)</f>
        <v>3</v>
      </c>
      <c r="I52" s="7">
        <f ca="1"/>
        <v>1</v>
      </c>
      <c r="J52" s="7">
        <f ca="1"/>
        <v>0</v>
      </c>
      <c r="K52" s="7">
        <f ca="1"/>
        <v>2</v>
      </c>
      <c r="L52" s="7">
        <f ca="1">IFERROR(AVERAGEIFS(Data_Cleaning!$B:$B, Data_Cleaning!$F:$F, $A52, Data_Cleaning!$B:$B, "&lt;&gt;"), 0)</f>
        <v>4</v>
      </c>
      <c r="M52" s="7">
        <f ca="1"/>
        <v>1</v>
      </c>
      <c r="N52" s="7">
        <f ca="1"/>
        <v>5850</v>
      </c>
      <c r="O52" s="7">
        <f ca="1"/>
        <v>5</v>
      </c>
      <c r="P52" s="7">
        <f ca="1">IFERROR(AVERAGEIF(Data_Cleaning!$F:$F, $A52, Data_Cleaning!$X:$X) / 60, 0)</f>
        <v>46.733333333333334</v>
      </c>
      <c r="Q52" s="7">
        <f ca="1">IFERROR(AVERAGEIF(Data_Cleaning!$F:$F, $A52, Data_Cleaning!$Y:$Y) / 60, 0)</f>
        <v>12.155555555555557</v>
      </c>
      <c r="R52" s="7">
        <f ca="1">IFERROR(AVERAGEIF(Data_Cleaning!$F:$F, $A52, Data_Cleaning!$Z:$Z) / 60, 0)</f>
        <v>18.62777777777778</v>
      </c>
      <c r="S52" s="7">
        <f ca="1">IFERROR(AVERAGEIF(Data_Cleaning!$F:$F, $A52, Data_Cleaning!$AA:$AA) / 60, 0)</f>
        <v>15.95</v>
      </c>
      <c r="T52" s="7">
        <f t="shared" si="0"/>
        <v>2.5359737854395215E-2</v>
      </c>
      <c r="U52" s="7">
        <f t="shared" si="1"/>
        <v>2.2953659592897357E-2</v>
      </c>
      <c r="V52" s="7">
        <f t="shared" si="2"/>
        <v>4.3763676148796497E-2</v>
      </c>
      <c r="W52" s="7">
        <f t="shared" si="3"/>
        <v>0.73639921455366031</v>
      </c>
      <c r="X52" s="7">
        <f t="shared" si="4"/>
        <v>0.17156709820247409</v>
      </c>
      <c r="Y52" s="7">
        <f t="shared" si="5"/>
        <v>38</v>
      </c>
      <c r="Z52" s="7">
        <f t="shared" ca="1" si="6"/>
        <v>0</v>
      </c>
      <c r="AA52" s="7">
        <f t="shared" ca="1" si="7"/>
        <v>0.8</v>
      </c>
      <c r="AB52" s="7">
        <f t="shared" ca="1" si="8"/>
        <v>0.29917520619845039</v>
      </c>
      <c r="AC52" s="7">
        <f t="shared" ca="1" si="9"/>
        <v>0.29983504123969007</v>
      </c>
      <c r="AD52" s="7">
        <f t="shared" ca="1" si="10"/>
        <v>51</v>
      </c>
    </row>
    <row r="53" spans="1:30" ht="22.5" customHeight="1">
      <c r="A53" s="8" t="str">
        <f ca="1">IFERROR(__xludf.DUMMYFUNCTION("""COMPUTED_VALUE"""),"Dave")</f>
        <v>Dave</v>
      </c>
      <c r="B53" s="8" t="s">
        <v>51</v>
      </c>
      <c r="C53" s="8" t="s">
        <v>53</v>
      </c>
      <c r="D53" s="7">
        <v>142</v>
      </c>
      <c r="E53" s="7">
        <v>43</v>
      </c>
      <c r="F53" s="7">
        <v>11</v>
      </c>
      <c r="G53" s="7">
        <v>4.4000000000000004</v>
      </c>
      <c r="H53" s="7">
        <f ca="1">COUNTIF(Data_Cleaning!F:F, A53)</f>
        <v>3</v>
      </c>
      <c r="I53" s="7">
        <f ca="1"/>
        <v>2</v>
      </c>
      <c r="J53" s="7">
        <f ca="1"/>
        <v>0</v>
      </c>
      <c r="K53" s="7">
        <f ca="1"/>
        <v>1</v>
      </c>
      <c r="L53" s="7">
        <f ca="1">IFERROR(AVERAGEIFS(Data_Cleaning!$B:$B, Data_Cleaning!$F:$F, $A53, Data_Cleaning!$B:$B, "&lt;&gt;"), 0)</f>
        <v>0</v>
      </c>
      <c r="M53" s="7">
        <f ca="1"/>
        <v>0</v>
      </c>
      <c r="N53" s="7">
        <f ca="1"/>
        <v>5000</v>
      </c>
      <c r="O53" s="7">
        <f ca="1"/>
        <v>7</v>
      </c>
      <c r="P53" s="7">
        <f ca="1">IFERROR(AVERAGEIF(Data_Cleaning!$F:$F, $A53, Data_Cleaning!$X:$X) / 60, 0)</f>
        <v>45.50555555555556</v>
      </c>
      <c r="Q53" s="7">
        <f ca="1">IFERROR(AVERAGEIF(Data_Cleaning!$F:$F, $A53, Data_Cleaning!$Y:$Y) / 60, 0)</f>
        <v>13.583333333333334</v>
      </c>
      <c r="R53" s="7">
        <f ca="1">IFERROR(AVERAGEIF(Data_Cleaning!$F:$F, $A53, Data_Cleaning!$Z:$Z) / 60, 0)</f>
        <v>11.433333333333334</v>
      </c>
      <c r="S53" s="7">
        <f ca="1">IFERROR(AVERAGEIF(Data_Cleaning!$F:$F, $A53, Data_Cleaning!$AA:$AA) / 60, 0)</f>
        <v>20.488888888888887</v>
      </c>
      <c r="T53" s="7">
        <f t="shared" si="0"/>
        <v>1.7381393360877618E-2</v>
      </c>
      <c r="U53" s="7">
        <f t="shared" si="1"/>
        <v>1.6024252923343439E-2</v>
      </c>
      <c r="V53" s="7">
        <f t="shared" si="2"/>
        <v>4.9234135667396064E-3</v>
      </c>
      <c r="W53" s="7">
        <f t="shared" si="3"/>
        <v>0.73639921455366031</v>
      </c>
      <c r="X53" s="7">
        <f t="shared" si="4"/>
        <v>0.15773117754151611</v>
      </c>
      <c r="Y53" s="7">
        <f t="shared" si="5"/>
        <v>47</v>
      </c>
      <c r="Z53" s="7">
        <f t="shared" ca="1" si="6"/>
        <v>0</v>
      </c>
      <c r="AA53" s="7">
        <f t="shared" ca="1" si="7"/>
        <v>0</v>
      </c>
      <c r="AB53" s="7">
        <f t="shared" ca="1" si="8"/>
        <v>0.31758726984920438</v>
      </c>
      <c r="AC53" s="7">
        <f t="shared" ca="1" si="9"/>
        <v>6.3517453969840876E-2</v>
      </c>
      <c r="AD53" s="7">
        <f t="shared" ca="1" si="10"/>
        <v>54</v>
      </c>
    </row>
    <row r="54" spans="1:30" ht="22.5" customHeight="1">
      <c r="A54" s="8" t="str">
        <f ca="1">IFERROR(__xludf.DUMMYFUNCTION("""COMPUTED_VALUE"""),"Eliot")</f>
        <v>Eliot</v>
      </c>
      <c r="B54" s="8" t="s">
        <v>38</v>
      </c>
      <c r="C54" s="8" t="s">
        <v>41</v>
      </c>
      <c r="D54" s="7">
        <v>206</v>
      </c>
      <c r="E54" s="7">
        <v>77</v>
      </c>
      <c r="F54" s="7">
        <v>11</v>
      </c>
      <c r="G54" s="7">
        <v>4.5</v>
      </c>
      <c r="H54" s="7">
        <f ca="1">COUNTIF(Data_Cleaning!F:F, A54)</f>
        <v>3</v>
      </c>
      <c r="I54" s="7">
        <f ca="1"/>
        <v>1</v>
      </c>
      <c r="J54" s="7">
        <f ca="1"/>
        <v>1</v>
      </c>
      <c r="K54" s="7">
        <f ca="1"/>
        <v>1</v>
      </c>
      <c r="L54" s="7">
        <f ca="1">IFERROR(AVERAGEIFS(Data_Cleaning!$B:$B, Data_Cleaning!$F:$F, $A54, Data_Cleaning!$B:$B, "&lt;&gt;"), 0)</f>
        <v>5</v>
      </c>
      <c r="M54" s="7">
        <f ca="1"/>
        <v>1</v>
      </c>
      <c r="N54" s="7">
        <f ca="1"/>
        <v>5500</v>
      </c>
      <c r="O54" s="7">
        <f ca="1"/>
        <v>5</v>
      </c>
      <c r="P54" s="7">
        <f ca="1">IFERROR(AVERAGEIF(Data_Cleaning!$F:$F, $A54, Data_Cleaning!$X:$X) / 60, 0)</f>
        <v>31.755555555555553</v>
      </c>
      <c r="Q54" s="7">
        <f ca="1">IFERROR(AVERAGEIF(Data_Cleaning!$F:$F, $A54, Data_Cleaning!$Y:$Y) / 60, 0)</f>
        <v>14.605555555555556</v>
      </c>
      <c r="R54" s="7">
        <f ca="1">IFERROR(AVERAGEIF(Data_Cleaning!$F:$F, $A54, Data_Cleaning!$Z:$Z) / 60, 0)</f>
        <v>8.81111111111111</v>
      </c>
      <c r="S54" s="7">
        <f ca="1">IFERROR(AVERAGEIF(Data_Cleaning!$F:$F, $A54, Data_Cleaning!$AA:$AA) / 60, 0)</f>
        <v>8.3388888888888886</v>
      </c>
      <c r="T54" s="7">
        <f t="shared" si="0"/>
        <v>2.6499501353469155E-2</v>
      </c>
      <c r="U54" s="7">
        <f t="shared" si="1"/>
        <v>3.0749242096145518E-2</v>
      </c>
      <c r="V54" s="7">
        <f t="shared" si="2"/>
        <v>4.9234135667396064E-3</v>
      </c>
      <c r="W54" s="7">
        <f t="shared" si="3"/>
        <v>0.78033267879471679</v>
      </c>
      <c r="X54" s="7">
        <f t="shared" si="4"/>
        <v>0.17293455008070538</v>
      </c>
      <c r="Y54" s="7">
        <f t="shared" si="5"/>
        <v>37</v>
      </c>
      <c r="Z54" s="7">
        <f t="shared" ca="1" si="6"/>
        <v>0.33333333333333331</v>
      </c>
      <c r="AA54" s="7">
        <f t="shared" ca="1" si="7"/>
        <v>1</v>
      </c>
      <c r="AB54" s="7">
        <f t="shared" ca="1" si="8"/>
        <v>0.52378572023660763</v>
      </c>
      <c r="AC54" s="7">
        <f t="shared" ca="1" si="9"/>
        <v>0.57142381071398818</v>
      </c>
      <c r="AD54" s="7">
        <f t="shared" ca="1" si="10"/>
        <v>8</v>
      </c>
    </row>
    <row r="55" spans="1:30" ht="22.5" customHeight="1">
      <c r="A55" s="8" t="str">
        <f ca="1">IFERROR(__xludf.DUMMYFUNCTION("""COMPUTED_VALUE"""),"Mary")</f>
        <v>Mary</v>
      </c>
      <c r="B55" s="8" t="s">
        <v>38</v>
      </c>
      <c r="C55" s="8" t="s">
        <v>41</v>
      </c>
      <c r="D55" s="7">
        <v>32</v>
      </c>
      <c r="E55" s="7">
        <v>14</v>
      </c>
      <c r="F55" s="7"/>
      <c r="G55" s="7">
        <v>3.1632235249999998</v>
      </c>
      <c r="H55" s="7">
        <f ca="1">COUNTIF(Data_Cleaning!F:F, A55)</f>
        <v>1</v>
      </c>
      <c r="I55" s="7">
        <f ca="1"/>
        <v>1</v>
      </c>
      <c r="J55" s="7">
        <f ca="1"/>
        <v>0</v>
      </c>
      <c r="K55" s="7">
        <f ca="1"/>
        <v>0</v>
      </c>
      <c r="L55" s="7">
        <f ca="1">IFERROR(AVERAGEIFS(Data_Cleaning!$B:$B, Data_Cleaning!$F:$F, $A55, Data_Cleaning!$B:$B, "&lt;&gt;"), 0)</f>
        <v>3</v>
      </c>
      <c r="M55" s="7">
        <f ca="1"/>
        <v>1</v>
      </c>
      <c r="N55" s="7">
        <f ca="1"/>
        <v>800</v>
      </c>
      <c r="O55" s="7">
        <f ca="1"/>
        <v>1</v>
      </c>
      <c r="P55" s="7">
        <f ca="1">IFERROR(AVERAGEIF(Data_Cleaning!$F:$F, $A55, Data_Cleaning!$X:$X) / 60, 0)</f>
        <v>35.700000000000003</v>
      </c>
      <c r="Q55" s="7">
        <f ca="1">IFERROR(AVERAGEIF(Data_Cleaning!$F:$F, $A55, Data_Cleaning!$Y:$Y) / 60, 0)</f>
        <v>15.1</v>
      </c>
      <c r="R55" s="7">
        <f ca="1">IFERROR(AVERAGEIF(Data_Cleaning!$F:$F, $A55, Data_Cleaning!$Z:$Z) / 60, 0)</f>
        <v>10.366666666666667</v>
      </c>
      <c r="S55" s="7">
        <f ca="1">IFERROR(AVERAGEIF(Data_Cleaning!$F:$F, $A55, Data_Cleaning!$AA:$AA) / 60, 0)</f>
        <v>10.233333333333333</v>
      </c>
      <c r="T55" s="7">
        <f t="shared" si="0"/>
        <v>1.7096452486109132E-3</v>
      </c>
      <c r="U55" s="7">
        <f t="shared" si="1"/>
        <v>3.4647033347769596E-3</v>
      </c>
      <c r="V55" s="7">
        <f t="shared" si="2"/>
        <v>-1.0940919037199124E-3</v>
      </c>
      <c r="W55" s="7">
        <f t="shared" si="3"/>
        <v>0.19304046416773421</v>
      </c>
      <c r="X55" s="7">
        <f t="shared" si="4"/>
        <v>3.9713639265894385E-2</v>
      </c>
      <c r="Y55" s="7">
        <f t="shared" si="5"/>
        <v>54</v>
      </c>
      <c r="Z55" s="7">
        <f t="shared" ca="1" si="6"/>
        <v>0</v>
      </c>
      <c r="AA55" s="7">
        <f t="shared" ca="1" si="7"/>
        <v>0.6</v>
      </c>
      <c r="AB55" s="7">
        <f t="shared" ca="1" si="8"/>
        <v>0.46463384153961507</v>
      </c>
      <c r="AC55" s="7">
        <f t="shared" ca="1" si="9"/>
        <v>0.27292676830792301</v>
      </c>
      <c r="AD55" s="7">
        <f t="shared" ca="1" si="10"/>
        <v>53</v>
      </c>
    </row>
    <row r="56" spans="1:30" ht="22.5" customHeight="1">
      <c r="A56" s="7"/>
      <c r="B56" s="7"/>
      <c r="C56" s="7"/>
      <c r="D56" s="7"/>
      <c r="E56" s="7"/>
      <c r="F56" s="7"/>
      <c r="G56" s="7"/>
      <c r="H56" s="7"/>
      <c r="I56" s="7">
        <f ca="1"/>
        <v>0</v>
      </c>
      <c r="J56" s="7">
        <f ca="1"/>
        <v>0</v>
      </c>
      <c r="K56" s="7">
        <f ca="1"/>
        <v>0</v>
      </c>
      <c r="L56" s="7"/>
      <c r="M56" s="7">
        <f ca="1"/>
        <v>0</v>
      </c>
      <c r="N56" s="7">
        <f ca="1"/>
        <v>0</v>
      </c>
      <c r="O56" s="7">
        <f ca="1"/>
        <v>0</v>
      </c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</row>
    <row r="57" spans="1:30" ht="13">
      <c r="B57" s="3"/>
      <c r="C57" s="3"/>
      <c r="D57" s="3"/>
      <c r="E57" s="3"/>
      <c r="F57" s="3"/>
      <c r="G57" s="3"/>
      <c r="I57" s="3">
        <f ca="1"/>
        <v>0</v>
      </c>
      <c r="J57" s="3">
        <f ca="1"/>
        <v>0</v>
      </c>
      <c r="K57" s="3">
        <f ca="1"/>
        <v>0</v>
      </c>
      <c r="M57" s="3">
        <f ca="1"/>
        <v>0</v>
      </c>
      <c r="N57" s="3">
        <f ca="1"/>
        <v>0</v>
      </c>
      <c r="O57" s="3">
        <f ca="1"/>
        <v>0</v>
      </c>
    </row>
    <row r="58" spans="1:30" ht="13">
      <c r="B58" s="3"/>
      <c r="C58" s="3"/>
      <c r="D58" s="3"/>
      <c r="E58" s="3"/>
      <c r="F58" s="3"/>
      <c r="G58" s="3"/>
      <c r="I58" s="3">
        <f ca="1"/>
        <v>0</v>
      </c>
      <c r="J58" s="3">
        <f ca="1"/>
        <v>0</v>
      </c>
      <c r="K58" s="3">
        <f ca="1"/>
        <v>0</v>
      </c>
      <c r="M58" s="3">
        <f ca="1"/>
        <v>0</v>
      </c>
      <c r="N58" s="3">
        <f ca="1"/>
        <v>0</v>
      </c>
      <c r="O58" s="3">
        <f ca="1"/>
        <v>0</v>
      </c>
    </row>
    <row r="59" spans="1:30" ht="13">
      <c r="B59" s="3"/>
      <c r="C59" s="3"/>
      <c r="D59" s="3"/>
      <c r="E59" s="3"/>
      <c r="F59" s="3"/>
      <c r="G59" s="3"/>
      <c r="I59" s="3">
        <f ca="1"/>
        <v>0</v>
      </c>
      <c r="J59" s="3">
        <f ca="1"/>
        <v>0</v>
      </c>
      <c r="K59" s="3">
        <f ca="1"/>
        <v>0</v>
      </c>
      <c r="M59" s="3">
        <f ca="1"/>
        <v>0</v>
      </c>
      <c r="N59" s="3">
        <f ca="1"/>
        <v>0</v>
      </c>
      <c r="O59" s="3">
        <f ca="1"/>
        <v>0</v>
      </c>
    </row>
    <row r="60" spans="1:30" ht="13">
      <c r="B60" s="3"/>
      <c r="C60" s="3"/>
      <c r="D60" s="3"/>
      <c r="E60" s="3"/>
      <c r="F60" s="3"/>
      <c r="G60" s="3"/>
      <c r="I60" s="3">
        <f ca="1"/>
        <v>0</v>
      </c>
      <c r="J60" s="3">
        <f ca="1"/>
        <v>0</v>
      </c>
      <c r="K60" s="3">
        <f ca="1"/>
        <v>0</v>
      </c>
      <c r="M60" s="3">
        <f ca="1"/>
        <v>0</v>
      </c>
      <c r="N60" s="3">
        <f ca="1"/>
        <v>0</v>
      </c>
      <c r="O60" s="3">
        <f ca="1"/>
        <v>0</v>
      </c>
    </row>
    <row r="61" spans="1:30" ht="13">
      <c r="B61" s="3"/>
      <c r="C61" s="3"/>
      <c r="D61" s="3"/>
      <c r="E61" s="3"/>
      <c r="F61" s="3"/>
      <c r="G61" s="3"/>
      <c r="I61" s="3">
        <f ca="1"/>
        <v>0</v>
      </c>
      <c r="J61" s="3">
        <f ca="1"/>
        <v>0</v>
      </c>
      <c r="K61" s="3">
        <f ca="1"/>
        <v>0</v>
      </c>
      <c r="M61" s="3">
        <f ca="1"/>
        <v>0</v>
      </c>
      <c r="N61" s="3">
        <f ca="1"/>
        <v>0</v>
      </c>
      <c r="O61" s="3">
        <f ca="1"/>
        <v>0</v>
      </c>
    </row>
    <row r="62" spans="1:30" ht="13">
      <c r="B62" s="3"/>
      <c r="C62" s="3"/>
      <c r="D62" s="3"/>
      <c r="E62" s="3"/>
      <c r="F62" s="3"/>
      <c r="G62" s="3"/>
      <c r="I62" s="3">
        <f ca="1"/>
        <v>0</v>
      </c>
      <c r="J62" s="3">
        <f ca="1"/>
        <v>0</v>
      </c>
      <c r="K62" s="3">
        <f ca="1"/>
        <v>0</v>
      </c>
      <c r="M62" s="3">
        <f ca="1"/>
        <v>0</v>
      </c>
      <c r="N62" s="3">
        <f ca="1"/>
        <v>0</v>
      </c>
      <c r="O62" s="3">
        <f ca="1"/>
        <v>0</v>
      </c>
    </row>
    <row r="63" spans="1:30" ht="13">
      <c r="B63" s="3"/>
      <c r="C63" s="3"/>
      <c r="D63" s="3"/>
      <c r="E63" s="3"/>
      <c r="F63" s="3"/>
      <c r="G63" s="3"/>
      <c r="I63" s="3">
        <f ca="1"/>
        <v>0</v>
      </c>
      <c r="J63" s="3">
        <f ca="1"/>
        <v>0</v>
      </c>
      <c r="K63" s="3">
        <f ca="1"/>
        <v>0</v>
      </c>
      <c r="M63" s="3">
        <f ca="1"/>
        <v>0</v>
      </c>
      <c r="N63" s="3">
        <f ca="1"/>
        <v>0</v>
      </c>
      <c r="O63" s="3">
        <f ca="1"/>
        <v>0</v>
      </c>
    </row>
    <row r="64" spans="1:30" ht="13">
      <c r="B64" s="3"/>
      <c r="C64" s="3"/>
      <c r="D64" s="3"/>
      <c r="E64" s="3"/>
      <c r="F64" s="3"/>
      <c r="G64" s="3"/>
      <c r="I64" s="3">
        <f ca="1"/>
        <v>0</v>
      </c>
      <c r="J64" s="3">
        <f ca="1"/>
        <v>0</v>
      </c>
      <c r="K64" s="3">
        <f ca="1"/>
        <v>0</v>
      </c>
      <c r="M64" s="3">
        <f ca="1"/>
        <v>0</v>
      </c>
      <c r="N64" s="3">
        <f ca="1"/>
        <v>0</v>
      </c>
      <c r="O64" s="3">
        <f ca="1"/>
        <v>0</v>
      </c>
    </row>
    <row r="65" spans="2:15" ht="13">
      <c r="B65" s="3"/>
      <c r="C65" s="3"/>
      <c r="D65" s="3"/>
      <c r="E65" s="3"/>
      <c r="F65" s="3"/>
      <c r="G65" s="3"/>
      <c r="I65" s="3">
        <f ca="1"/>
        <v>0</v>
      </c>
      <c r="J65" s="3">
        <f ca="1"/>
        <v>0</v>
      </c>
      <c r="K65" s="3">
        <f ca="1"/>
        <v>0</v>
      </c>
      <c r="M65" s="3">
        <f ca="1"/>
        <v>0</v>
      </c>
      <c r="N65" s="3">
        <f ca="1"/>
        <v>0</v>
      </c>
      <c r="O65" s="3">
        <f ca="1"/>
        <v>0</v>
      </c>
    </row>
    <row r="66" spans="2:15" ht="13">
      <c r="B66" s="3"/>
      <c r="C66" s="3"/>
      <c r="D66" s="3"/>
      <c r="E66" s="3"/>
      <c r="F66" s="3"/>
      <c r="G66" s="3"/>
      <c r="I66" s="3">
        <f ca="1"/>
        <v>0</v>
      </c>
      <c r="J66" s="3">
        <f ca="1"/>
        <v>0</v>
      </c>
      <c r="K66" s="3">
        <f ca="1"/>
        <v>0</v>
      </c>
      <c r="M66" s="3">
        <f ca="1"/>
        <v>0</v>
      </c>
      <c r="N66" s="3">
        <f ca="1"/>
        <v>0</v>
      </c>
      <c r="O66" s="3">
        <f ca="1"/>
        <v>0</v>
      </c>
    </row>
    <row r="67" spans="2:15" ht="13">
      <c r="B67" s="3"/>
      <c r="C67" s="3"/>
      <c r="D67" s="3"/>
      <c r="E67" s="3"/>
      <c r="F67" s="3"/>
      <c r="G67" s="3"/>
      <c r="I67" s="3">
        <f ca="1"/>
        <v>0</v>
      </c>
      <c r="J67" s="3">
        <f ca="1"/>
        <v>0</v>
      </c>
      <c r="K67" s="3">
        <f ca="1"/>
        <v>0</v>
      </c>
      <c r="M67" s="3">
        <f ca="1"/>
        <v>0</v>
      </c>
      <c r="N67" s="3">
        <f ca="1"/>
        <v>0</v>
      </c>
      <c r="O67" s="3">
        <f ca="1"/>
        <v>0</v>
      </c>
    </row>
    <row r="68" spans="2:15" ht="13">
      <c r="B68" s="3"/>
      <c r="C68" s="3"/>
      <c r="D68" s="3"/>
      <c r="E68" s="3"/>
      <c r="F68" s="3"/>
      <c r="G68" s="3"/>
      <c r="I68" s="3">
        <f ca="1"/>
        <v>0</v>
      </c>
      <c r="J68" s="3">
        <f ca="1"/>
        <v>0</v>
      </c>
      <c r="K68" s="3">
        <f ca="1"/>
        <v>0</v>
      </c>
      <c r="M68" s="3">
        <f ca="1"/>
        <v>0</v>
      </c>
      <c r="N68" s="3">
        <f ca="1"/>
        <v>0</v>
      </c>
      <c r="O68" s="3">
        <f ca="1"/>
        <v>0</v>
      </c>
    </row>
    <row r="69" spans="2:15" ht="13">
      <c r="B69" s="3"/>
      <c r="C69" s="3"/>
      <c r="D69" s="3"/>
      <c r="E69" s="3"/>
      <c r="F69" s="3"/>
      <c r="G69" s="3"/>
      <c r="I69" s="3">
        <f ca="1"/>
        <v>0</v>
      </c>
      <c r="J69" s="3">
        <f ca="1"/>
        <v>0</v>
      </c>
      <c r="K69" s="3">
        <f ca="1"/>
        <v>0</v>
      </c>
      <c r="M69" s="3">
        <f ca="1"/>
        <v>0</v>
      </c>
      <c r="N69" s="3">
        <f ca="1"/>
        <v>0</v>
      </c>
      <c r="O69" s="3">
        <f ca="1"/>
        <v>0</v>
      </c>
    </row>
    <row r="70" spans="2:15" ht="13">
      <c r="B70" s="3"/>
      <c r="C70" s="3"/>
      <c r="D70" s="3"/>
      <c r="E70" s="3"/>
      <c r="F70" s="3"/>
      <c r="G70" s="3"/>
      <c r="I70" s="3">
        <f ca="1"/>
        <v>0</v>
      </c>
      <c r="J70" s="3">
        <f ca="1"/>
        <v>0</v>
      </c>
      <c r="K70" s="3">
        <f ca="1"/>
        <v>0</v>
      </c>
      <c r="M70" s="3">
        <f ca="1"/>
        <v>0</v>
      </c>
      <c r="N70" s="3">
        <f ca="1"/>
        <v>0</v>
      </c>
      <c r="O70" s="3">
        <f ca="1"/>
        <v>0</v>
      </c>
    </row>
    <row r="71" spans="2:15" ht="13">
      <c r="B71" s="3"/>
      <c r="C71" s="3"/>
      <c r="D71" s="3"/>
      <c r="E71" s="3"/>
      <c r="F71" s="3"/>
      <c r="G71" s="3"/>
      <c r="I71" s="3">
        <f ca="1"/>
        <v>0</v>
      </c>
      <c r="J71" s="3">
        <f ca="1"/>
        <v>0</v>
      </c>
      <c r="K71" s="3">
        <f ca="1"/>
        <v>0</v>
      </c>
      <c r="M71" s="3">
        <f ca="1"/>
        <v>0</v>
      </c>
      <c r="N71" s="3">
        <f ca="1"/>
        <v>0</v>
      </c>
      <c r="O71" s="3">
        <f ca="1"/>
        <v>0</v>
      </c>
    </row>
    <row r="72" spans="2:15" ht="13">
      <c r="B72" s="3"/>
      <c r="C72" s="3"/>
      <c r="D72" s="3"/>
      <c r="E72" s="3"/>
      <c r="F72" s="3"/>
      <c r="G72" s="3"/>
      <c r="I72" s="3">
        <f ca="1"/>
        <v>0</v>
      </c>
      <c r="J72" s="3">
        <f ca="1"/>
        <v>0</v>
      </c>
      <c r="K72" s="3">
        <f ca="1"/>
        <v>0</v>
      </c>
      <c r="M72" s="3">
        <f ca="1"/>
        <v>0</v>
      </c>
      <c r="N72" s="3">
        <f ca="1"/>
        <v>0</v>
      </c>
      <c r="O72" s="3">
        <f ca="1"/>
        <v>0</v>
      </c>
    </row>
    <row r="73" spans="2:15" ht="13">
      <c r="B73" s="3"/>
      <c r="C73" s="3"/>
      <c r="D73" s="3"/>
      <c r="E73" s="3"/>
      <c r="F73" s="3"/>
      <c r="G73" s="3"/>
      <c r="I73" s="3">
        <f ca="1"/>
        <v>0</v>
      </c>
      <c r="J73" s="3">
        <f ca="1"/>
        <v>0</v>
      </c>
      <c r="K73" s="3">
        <f ca="1"/>
        <v>0</v>
      </c>
      <c r="M73" s="3">
        <f ca="1"/>
        <v>0</v>
      </c>
      <c r="N73" s="3">
        <f ca="1"/>
        <v>0</v>
      </c>
      <c r="O73" s="3">
        <f ca="1"/>
        <v>0</v>
      </c>
    </row>
    <row r="74" spans="2:15" ht="13">
      <c r="B74" s="3"/>
      <c r="C74" s="3"/>
      <c r="D74" s="3"/>
      <c r="E74" s="3"/>
      <c r="F74" s="3"/>
      <c r="G74" s="3"/>
      <c r="I74" s="3">
        <f ca="1"/>
        <v>0</v>
      </c>
      <c r="J74" s="3">
        <f ca="1"/>
        <v>0</v>
      </c>
      <c r="K74" s="3">
        <f ca="1"/>
        <v>0</v>
      </c>
      <c r="M74" s="3">
        <f ca="1"/>
        <v>0</v>
      </c>
      <c r="N74" s="3">
        <f ca="1"/>
        <v>0</v>
      </c>
      <c r="O74" s="3">
        <f ca="1"/>
        <v>0</v>
      </c>
    </row>
    <row r="75" spans="2:15" ht="13">
      <c r="B75" s="3"/>
      <c r="C75" s="3"/>
      <c r="D75" s="3"/>
      <c r="E75" s="3"/>
      <c r="F75" s="3"/>
      <c r="G75" s="3"/>
      <c r="I75" s="3">
        <f ca="1"/>
        <v>0</v>
      </c>
      <c r="J75" s="3">
        <f ca="1"/>
        <v>0</v>
      </c>
      <c r="K75" s="3">
        <f ca="1"/>
        <v>0</v>
      </c>
      <c r="M75" s="3">
        <f ca="1"/>
        <v>0</v>
      </c>
      <c r="N75" s="3">
        <f ca="1"/>
        <v>0</v>
      </c>
      <c r="O75" s="3">
        <f ca="1"/>
        <v>0</v>
      </c>
    </row>
    <row r="76" spans="2:15" ht="13">
      <c r="B76" s="3"/>
      <c r="C76" s="3"/>
      <c r="D76" s="3"/>
      <c r="E76" s="3"/>
      <c r="F76" s="3"/>
      <c r="G76" s="3"/>
      <c r="I76" s="3">
        <f ca="1"/>
        <v>0</v>
      </c>
      <c r="J76" s="3">
        <f ca="1"/>
        <v>0</v>
      </c>
      <c r="K76" s="3">
        <f ca="1"/>
        <v>0</v>
      </c>
      <c r="M76" s="3">
        <f ca="1"/>
        <v>0</v>
      </c>
      <c r="N76" s="3">
        <f ca="1"/>
        <v>0</v>
      </c>
      <c r="O76" s="3">
        <f ca="1"/>
        <v>0</v>
      </c>
    </row>
    <row r="77" spans="2:15" ht="13">
      <c r="B77" s="3"/>
      <c r="C77" s="3"/>
      <c r="D77" s="3"/>
      <c r="E77" s="3"/>
      <c r="F77" s="3"/>
      <c r="G77" s="3"/>
      <c r="I77" s="3">
        <f ca="1"/>
        <v>0</v>
      </c>
      <c r="J77" s="3">
        <f ca="1"/>
        <v>0</v>
      </c>
      <c r="K77" s="3">
        <f ca="1"/>
        <v>0</v>
      </c>
      <c r="M77" s="3">
        <f ca="1"/>
        <v>0</v>
      </c>
      <c r="N77" s="3">
        <f ca="1"/>
        <v>0</v>
      </c>
      <c r="O77" s="3">
        <f ca="1"/>
        <v>0</v>
      </c>
    </row>
    <row r="78" spans="2:15" ht="13">
      <c r="B78" s="3"/>
      <c r="C78" s="3"/>
      <c r="D78" s="3"/>
      <c r="E78" s="3"/>
      <c r="F78" s="3"/>
      <c r="G78" s="3"/>
      <c r="I78" s="3">
        <f ca="1"/>
        <v>0</v>
      </c>
      <c r="J78" s="3">
        <f ca="1"/>
        <v>0</v>
      </c>
      <c r="K78" s="3">
        <f ca="1"/>
        <v>0</v>
      </c>
      <c r="M78" s="3">
        <f ca="1"/>
        <v>0</v>
      </c>
      <c r="N78" s="3">
        <f ca="1"/>
        <v>0</v>
      </c>
      <c r="O78" s="3">
        <f ca="1"/>
        <v>0</v>
      </c>
    </row>
    <row r="79" spans="2:15" ht="13">
      <c r="B79" s="3"/>
      <c r="C79" s="3"/>
      <c r="D79" s="3"/>
      <c r="E79" s="3"/>
      <c r="F79" s="3"/>
      <c r="G79" s="3"/>
      <c r="I79" s="3">
        <f ca="1"/>
        <v>0</v>
      </c>
      <c r="J79" s="3">
        <f ca="1"/>
        <v>0</v>
      </c>
      <c r="K79" s="3">
        <f ca="1"/>
        <v>0</v>
      </c>
      <c r="M79" s="3">
        <f ca="1"/>
        <v>0</v>
      </c>
      <c r="N79" s="3">
        <f ca="1"/>
        <v>0</v>
      </c>
      <c r="O79" s="3">
        <f ca="1"/>
        <v>0</v>
      </c>
    </row>
    <row r="80" spans="2:15" ht="13">
      <c r="B80" s="3"/>
      <c r="C80" s="3"/>
      <c r="D80" s="3"/>
      <c r="E80" s="3"/>
      <c r="F80" s="3"/>
      <c r="G80" s="3"/>
      <c r="I80" s="3">
        <f ca="1"/>
        <v>0</v>
      </c>
      <c r="J80" s="3">
        <f ca="1"/>
        <v>0</v>
      </c>
      <c r="K80" s="3">
        <f ca="1"/>
        <v>0</v>
      </c>
      <c r="M80" s="3">
        <f ca="1"/>
        <v>0</v>
      </c>
      <c r="N80" s="3">
        <f ca="1"/>
        <v>0</v>
      </c>
      <c r="O80" s="3">
        <f ca="1"/>
        <v>0</v>
      </c>
    </row>
    <row r="81" spans="2:15" ht="13">
      <c r="B81" s="3"/>
      <c r="C81" s="3"/>
      <c r="D81" s="3"/>
      <c r="E81" s="3"/>
      <c r="F81" s="3"/>
      <c r="G81" s="3"/>
      <c r="I81" s="3">
        <f ca="1"/>
        <v>0</v>
      </c>
      <c r="J81" s="3">
        <f ca="1"/>
        <v>0</v>
      </c>
      <c r="K81" s="3">
        <f ca="1"/>
        <v>0</v>
      </c>
      <c r="M81" s="3">
        <f ca="1"/>
        <v>0</v>
      </c>
      <c r="N81" s="3">
        <f ca="1"/>
        <v>0</v>
      </c>
      <c r="O81" s="3">
        <f ca="1"/>
        <v>0</v>
      </c>
    </row>
    <row r="82" spans="2:15" ht="13">
      <c r="B82" s="3"/>
      <c r="C82" s="3"/>
      <c r="D82" s="3"/>
      <c r="E82" s="3"/>
      <c r="F82" s="3"/>
      <c r="G82" s="3"/>
      <c r="I82" s="3">
        <f ca="1"/>
        <v>0</v>
      </c>
      <c r="J82" s="3">
        <f ca="1"/>
        <v>0</v>
      </c>
      <c r="K82" s="3">
        <f ca="1"/>
        <v>0</v>
      </c>
      <c r="M82" s="3">
        <f ca="1"/>
        <v>0</v>
      </c>
      <c r="N82" s="3">
        <f ca="1"/>
        <v>0</v>
      </c>
      <c r="O82" s="3">
        <f ca="1"/>
        <v>0</v>
      </c>
    </row>
    <row r="83" spans="2:15" ht="13">
      <c r="B83" s="3"/>
      <c r="C83" s="3"/>
      <c r="D83" s="3"/>
      <c r="E83" s="3"/>
      <c r="F83" s="3"/>
      <c r="G83" s="3"/>
      <c r="I83" s="3">
        <f ca="1"/>
        <v>0</v>
      </c>
      <c r="J83" s="3">
        <f ca="1"/>
        <v>0</v>
      </c>
      <c r="K83" s="3">
        <f ca="1"/>
        <v>0</v>
      </c>
      <c r="M83" s="3">
        <f ca="1"/>
        <v>0</v>
      </c>
      <c r="N83" s="3">
        <f ca="1"/>
        <v>0</v>
      </c>
      <c r="O83" s="3">
        <f ca="1"/>
        <v>0</v>
      </c>
    </row>
    <row r="84" spans="2:15" ht="13">
      <c r="B84" s="3"/>
      <c r="C84" s="3"/>
      <c r="D84" s="3"/>
      <c r="E84" s="3"/>
      <c r="F84" s="3"/>
      <c r="G84" s="3"/>
      <c r="I84" s="3">
        <f ca="1"/>
        <v>0</v>
      </c>
      <c r="J84" s="3">
        <f ca="1"/>
        <v>0</v>
      </c>
      <c r="K84" s="3">
        <f ca="1"/>
        <v>0</v>
      </c>
      <c r="M84" s="3">
        <f ca="1"/>
        <v>0</v>
      </c>
      <c r="N84" s="3">
        <f ca="1"/>
        <v>0</v>
      </c>
      <c r="O84" s="3">
        <f ca="1"/>
        <v>0</v>
      </c>
    </row>
    <row r="85" spans="2:15" ht="13">
      <c r="B85" s="3"/>
      <c r="C85" s="3"/>
      <c r="D85" s="3"/>
      <c r="E85" s="3"/>
      <c r="F85" s="3"/>
      <c r="G85" s="3"/>
      <c r="I85" s="3">
        <f ca="1"/>
        <v>0</v>
      </c>
      <c r="J85" s="3">
        <f ca="1"/>
        <v>0</v>
      </c>
      <c r="K85" s="3">
        <f ca="1"/>
        <v>0</v>
      </c>
      <c r="M85" s="3">
        <f ca="1"/>
        <v>0</v>
      </c>
      <c r="N85" s="3">
        <f ca="1"/>
        <v>0</v>
      </c>
      <c r="O85" s="3">
        <f ca="1"/>
        <v>0</v>
      </c>
    </row>
    <row r="86" spans="2:15" ht="13">
      <c r="B86" s="3"/>
      <c r="C86" s="3"/>
      <c r="D86" s="3"/>
      <c r="E86" s="3"/>
      <c r="F86" s="3"/>
      <c r="G86" s="3"/>
      <c r="I86" s="3">
        <f ca="1"/>
        <v>0</v>
      </c>
      <c r="J86" s="3">
        <f ca="1"/>
        <v>0</v>
      </c>
      <c r="K86" s="3">
        <f ca="1"/>
        <v>0</v>
      </c>
      <c r="M86" s="3">
        <f ca="1"/>
        <v>0</v>
      </c>
      <c r="N86" s="3">
        <f ca="1"/>
        <v>0</v>
      </c>
      <c r="O86" s="3">
        <f ca="1"/>
        <v>0</v>
      </c>
    </row>
    <row r="87" spans="2:15" ht="13">
      <c r="B87" s="3"/>
      <c r="C87" s="3"/>
      <c r="D87" s="3"/>
      <c r="E87" s="3"/>
      <c r="F87" s="3"/>
      <c r="G87" s="3"/>
      <c r="I87" s="3">
        <f ca="1"/>
        <v>0</v>
      </c>
      <c r="J87" s="3">
        <f ca="1"/>
        <v>0</v>
      </c>
      <c r="K87" s="3">
        <f ca="1"/>
        <v>0</v>
      </c>
      <c r="M87" s="3">
        <f ca="1"/>
        <v>0</v>
      </c>
      <c r="N87" s="3">
        <f ca="1"/>
        <v>0</v>
      </c>
      <c r="O87" s="3">
        <f ca="1"/>
        <v>0</v>
      </c>
    </row>
    <row r="88" spans="2:15" ht="13">
      <c r="B88" s="3"/>
      <c r="C88" s="3"/>
      <c r="D88" s="3"/>
      <c r="E88" s="3"/>
      <c r="F88" s="3"/>
      <c r="G88" s="3"/>
      <c r="I88" s="3">
        <f ca="1"/>
        <v>0</v>
      </c>
      <c r="J88" s="3">
        <f ca="1"/>
        <v>0</v>
      </c>
      <c r="K88" s="3">
        <f ca="1"/>
        <v>0</v>
      </c>
      <c r="M88" s="3">
        <f ca="1"/>
        <v>0</v>
      </c>
      <c r="N88" s="3">
        <f ca="1"/>
        <v>0</v>
      </c>
      <c r="O88" s="3">
        <f ca="1"/>
        <v>0</v>
      </c>
    </row>
    <row r="89" spans="2:15" ht="13">
      <c r="B89" s="3"/>
      <c r="C89" s="3"/>
      <c r="D89" s="3"/>
      <c r="E89" s="3"/>
      <c r="F89" s="3"/>
      <c r="G89" s="3"/>
      <c r="I89" s="3">
        <f ca="1"/>
        <v>0</v>
      </c>
      <c r="J89" s="3">
        <f ca="1"/>
        <v>0</v>
      </c>
      <c r="K89" s="3">
        <f ca="1"/>
        <v>0</v>
      </c>
      <c r="M89" s="3">
        <f ca="1"/>
        <v>0</v>
      </c>
      <c r="N89" s="3">
        <f ca="1"/>
        <v>0</v>
      </c>
      <c r="O89" s="3">
        <f ca="1"/>
        <v>0</v>
      </c>
    </row>
    <row r="90" spans="2:15" ht="13">
      <c r="B90" s="3"/>
      <c r="C90" s="3"/>
      <c r="D90" s="3"/>
      <c r="E90" s="3"/>
      <c r="F90" s="3"/>
      <c r="G90" s="3"/>
      <c r="I90" s="3">
        <f ca="1"/>
        <v>0</v>
      </c>
      <c r="J90" s="3">
        <f ca="1"/>
        <v>0</v>
      </c>
      <c r="K90" s="3">
        <f ca="1"/>
        <v>0</v>
      </c>
      <c r="M90" s="3">
        <f ca="1"/>
        <v>0</v>
      </c>
      <c r="N90" s="3">
        <f ca="1"/>
        <v>0</v>
      </c>
      <c r="O90" s="3">
        <f ca="1"/>
        <v>0</v>
      </c>
    </row>
    <row r="91" spans="2:15" ht="13">
      <c r="B91" s="3"/>
      <c r="C91" s="3"/>
      <c r="D91" s="3"/>
      <c r="E91" s="3"/>
      <c r="F91" s="3"/>
      <c r="G91" s="3"/>
      <c r="I91" s="3">
        <f ca="1"/>
        <v>0</v>
      </c>
      <c r="J91" s="3">
        <f ca="1"/>
        <v>0</v>
      </c>
      <c r="K91" s="3">
        <f ca="1"/>
        <v>0</v>
      </c>
      <c r="M91" s="3">
        <f ca="1"/>
        <v>0</v>
      </c>
      <c r="N91" s="3">
        <f ca="1"/>
        <v>0</v>
      </c>
      <c r="O91" s="3">
        <f ca="1"/>
        <v>0</v>
      </c>
    </row>
    <row r="92" spans="2:15" ht="13">
      <c r="B92" s="3"/>
      <c r="C92" s="3"/>
      <c r="D92" s="3"/>
      <c r="E92" s="3"/>
      <c r="F92" s="3"/>
      <c r="G92" s="3"/>
      <c r="I92" s="3">
        <f ca="1"/>
        <v>0</v>
      </c>
      <c r="J92" s="3">
        <f ca="1"/>
        <v>0</v>
      </c>
      <c r="K92" s="3">
        <f ca="1"/>
        <v>0</v>
      </c>
      <c r="M92" s="3">
        <f ca="1"/>
        <v>0</v>
      </c>
      <c r="N92" s="3">
        <f ca="1"/>
        <v>0</v>
      </c>
      <c r="O92" s="3">
        <f ca="1"/>
        <v>0</v>
      </c>
    </row>
    <row r="93" spans="2:15" ht="13">
      <c r="B93" s="3"/>
      <c r="C93" s="3"/>
      <c r="D93" s="3"/>
      <c r="E93" s="3"/>
      <c r="F93" s="3"/>
      <c r="G93" s="3"/>
      <c r="I93" s="3">
        <f ca="1"/>
        <v>0</v>
      </c>
      <c r="J93" s="3">
        <f ca="1"/>
        <v>0</v>
      </c>
      <c r="K93" s="3">
        <f ca="1"/>
        <v>0</v>
      </c>
      <c r="M93" s="3">
        <f ca="1"/>
        <v>0</v>
      </c>
      <c r="N93" s="3">
        <f ca="1"/>
        <v>0</v>
      </c>
      <c r="O93" s="3">
        <f ca="1"/>
        <v>0</v>
      </c>
    </row>
    <row r="94" spans="2:15" ht="13">
      <c r="B94" s="3"/>
      <c r="C94" s="3"/>
      <c r="D94" s="3"/>
      <c r="E94" s="3"/>
      <c r="F94" s="3"/>
      <c r="G94" s="3"/>
      <c r="I94" s="3">
        <f ca="1"/>
        <v>0</v>
      </c>
      <c r="J94" s="3">
        <f ca="1"/>
        <v>0</v>
      </c>
      <c r="K94" s="3">
        <f ca="1"/>
        <v>0</v>
      </c>
      <c r="M94" s="3">
        <f ca="1"/>
        <v>0</v>
      </c>
      <c r="N94" s="3">
        <f ca="1"/>
        <v>0</v>
      </c>
      <c r="O94" s="3">
        <f ca="1"/>
        <v>0</v>
      </c>
    </row>
    <row r="95" spans="2:15" ht="13">
      <c r="B95" s="3"/>
      <c r="C95" s="3"/>
      <c r="D95" s="3"/>
      <c r="E95" s="3"/>
      <c r="F95" s="3"/>
      <c r="G95" s="3"/>
      <c r="I95" s="3">
        <f ca="1"/>
        <v>0</v>
      </c>
      <c r="J95" s="3">
        <f ca="1"/>
        <v>0</v>
      </c>
      <c r="K95" s="3">
        <f ca="1"/>
        <v>0</v>
      </c>
      <c r="M95" s="3">
        <f ca="1"/>
        <v>0</v>
      </c>
      <c r="N95" s="3">
        <f ca="1"/>
        <v>0</v>
      </c>
      <c r="O95" s="3">
        <f ca="1"/>
        <v>0</v>
      </c>
    </row>
    <row r="96" spans="2:15" ht="13">
      <c r="B96" s="3"/>
      <c r="C96" s="3"/>
      <c r="D96" s="3"/>
      <c r="E96" s="3"/>
      <c r="F96" s="3"/>
      <c r="G96" s="3"/>
      <c r="I96" s="3">
        <f ca="1"/>
        <v>0</v>
      </c>
      <c r="J96" s="3">
        <f ca="1"/>
        <v>0</v>
      </c>
      <c r="K96" s="3">
        <f ca="1"/>
        <v>0</v>
      </c>
      <c r="M96" s="3">
        <f ca="1"/>
        <v>0</v>
      </c>
      <c r="N96" s="3">
        <f ca="1"/>
        <v>0</v>
      </c>
      <c r="O96" s="3">
        <f ca="1"/>
        <v>0</v>
      </c>
    </row>
    <row r="97" spans="2:15" ht="13">
      <c r="B97" s="3"/>
      <c r="C97" s="3"/>
      <c r="D97" s="3"/>
      <c r="E97" s="3"/>
      <c r="F97" s="3"/>
      <c r="G97" s="3"/>
      <c r="I97" s="3">
        <f ca="1"/>
        <v>0</v>
      </c>
      <c r="J97" s="3">
        <f ca="1"/>
        <v>0</v>
      </c>
      <c r="K97" s="3">
        <f ca="1"/>
        <v>0</v>
      </c>
      <c r="M97" s="3">
        <f ca="1"/>
        <v>0</v>
      </c>
      <c r="N97" s="3">
        <f ca="1"/>
        <v>0</v>
      </c>
      <c r="O97" s="3">
        <f ca="1"/>
        <v>0</v>
      </c>
    </row>
    <row r="98" spans="2:15" ht="13">
      <c r="B98" s="3"/>
      <c r="C98" s="3"/>
      <c r="D98" s="3"/>
      <c r="E98" s="3"/>
      <c r="F98" s="3"/>
      <c r="G98" s="3"/>
      <c r="I98" s="3">
        <f ca="1"/>
        <v>0</v>
      </c>
      <c r="J98" s="3">
        <f ca="1"/>
        <v>0</v>
      </c>
      <c r="K98" s="3">
        <f ca="1"/>
        <v>0</v>
      </c>
      <c r="M98" s="3">
        <f ca="1"/>
        <v>0</v>
      </c>
      <c r="N98" s="3">
        <f ca="1"/>
        <v>0</v>
      </c>
      <c r="O98" s="3">
        <f ca="1"/>
        <v>0</v>
      </c>
    </row>
    <row r="99" spans="2:15" ht="13">
      <c r="B99" s="3"/>
      <c r="C99" s="3"/>
      <c r="D99" s="3"/>
      <c r="E99" s="3"/>
      <c r="F99" s="3"/>
      <c r="G99" s="3"/>
      <c r="I99" s="3">
        <f ca="1"/>
        <v>0</v>
      </c>
      <c r="J99" s="3">
        <f ca="1"/>
        <v>0</v>
      </c>
      <c r="K99" s="3">
        <f ca="1"/>
        <v>0</v>
      </c>
      <c r="M99" s="3">
        <f ca="1"/>
        <v>0</v>
      </c>
      <c r="N99" s="3">
        <f ca="1"/>
        <v>0</v>
      </c>
      <c r="O99" s="3">
        <f ca="1"/>
        <v>0</v>
      </c>
    </row>
    <row r="100" spans="2:15" ht="13">
      <c r="B100" s="3"/>
      <c r="C100" s="3"/>
      <c r="D100" s="3"/>
      <c r="E100" s="3"/>
      <c r="F100" s="3"/>
      <c r="G100" s="3"/>
      <c r="I100" s="3">
        <f ca="1"/>
        <v>0</v>
      </c>
      <c r="J100" s="3">
        <f ca="1"/>
        <v>0</v>
      </c>
      <c r="K100" s="3">
        <f ca="1"/>
        <v>0</v>
      </c>
      <c r="M100" s="3">
        <f ca="1"/>
        <v>0</v>
      </c>
      <c r="N100" s="3">
        <f ca="1"/>
        <v>0</v>
      </c>
      <c r="O100" s="3">
        <f ca="1"/>
        <v>0</v>
      </c>
    </row>
    <row r="101" spans="2:15" ht="13">
      <c r="B101" s="3"/>
      <c r="C101" s="3"/>
      <c r="D101" s="3"/>
      <c r="E101" s="3"/>
      <c r="F101" s="3"/>
      <c r="G101" s="3"/>
      <c r="I101" s="3">
        <f ca="1"/>
        <v>0</v>
      </c>
      <c r="J101" s="3">
        <f ca="1"/>
        <v>0</v>
      </c>
      <c r="K101" s="3">
        <f ca="1"/>
        <v>0</v>
      </c>
      <c r="M101" s="3">
        <f ca="1"/>
        <v>0</v>
      </c>
      <c r="N101" s="3">
        <f ca="1"/>
        <v>0</v>
      </c>
      <c r="O101" s="3">
        <f ca="1"/>
        <v>0</v>
      </c>
    </row>
    <row r="102" spans="2:15" ht="13">
      <c r="B102" s="3"/>
      <c r="C102" s="3"/>
      <c r="D102" s="3"/>
      <c r="E102" s="3"/>
      <c r="F102" s="3"/>
      <c r="G102" s="3"/>
      <c r="I102" s="3">
        <f ca="1"/>
        <v>0</v>
      </c>
      <c r="J102" s="3">
        <f ca="1"/>
        <v>0</v>
      </c>
      <c r="K102" s="3">
        <f ca="1"/>
        <v>0</v>
      </c>
      <c r="M102" s="3">
        <f ca="1"/>
        <v>0</v>
      </c>
      <c r="N102" s="3">
        <f ca="1"/>
        <v>0</v>
      </c>
      <c r="O102" s="3">
        <f ca="1"/>
        <v>0</v>
      </c>
    </row>
    <row r="103" spans="2:15" ht="13">
      <c r="B103" s="3"/>
      <c r="C103" s="3"/>
      <c r="D103" s="3"/>
      <c r="E103" s="3"/>
      <c r="F103" s="3"/>
      <c r="G103" s="3"/>
      <c r="I103" s="3">
        <f ca="1"/>
        <v>0</v>
      </c>
      <c r="J103" s="3">
        <f ca="1"/>
        <v>0</v>
      </c>
      <c r="K103" s="3">
        <f ca="1"/>
        <v>0</v>
      </c>
      <c r="M103" s="3">
        <f ca="1"/>
        <v>0</v>
      </c>
      <c r="N103" s="3">
        <f ca="1"/>
        <v>0</v>
      </c>
      <c r="O103" s="3">
        <f ca="1"/>
        <v>0</v>
      </c>
    </row>
    <row r="104" spans="2:15" ht="13">
      <c r="B104" s="3"/>
      <c r="C104" s="3"/>
      <c r="D104" s="3"/>
      <c r="E104" s="3"/>
      <c r="F104" s="3"/>
      <c r="G104" s="3"/>
      <c r="I104" s="3">
        <f ca="1"/>
        <v>0</v>
      </c>
      <c r="J104" s="3">
        <f ca="1"/>
        <v>0</v>
      </c>
      <c r="K104" s="3">
        <f ca="1"/>
        <v>0</v>
      </c>
      <c r="M104" s="3">
        <f ca="1"/>
        <v>0</v>
      </c>
      <c r="N104" s="3">
        <f ca="1"/>
        <v>0</v>
      </c>
      <c r="O104" s="3">
        <f ca="1"/>
        <v>0</v>
      </c>
    </row>
    <row r="105" spans="2:15" ht="13">
      <c r="B105" s="3"/>
      <c r="C105" s="3"/>
      <c r="D105" s="3"/>
      <c r="E105" s="3"/>
      <c r="F105" s="3"/>
      <c r="G105" s="3"/>
      <c r="I105" s="3">
        <f ca="1"/>
        <v>0</v>
      </c>
      <c r="J105" s="3">
        <f ca="1"/>
        <v>0</v>
      </c>
      <c r="K105" s="3">
        <f ca="1"/>
        <v>0</v>
      </c>
      <c r="M105" s="3">
        <f ca="1"/>
        <v>0</v>
      </c>
      <c r="N105" s="3">
        <f ca="1"/>
        <v>0</v>
      </c>
      <c r="O105" s="3">
        <f ca="1"/>
        <v>0</v>
      </c>
    </row>
    <row r="106" spans="2:15" ht="13">
      <c r="B106" s="3"/>
      <c r="C106" s="3"/>
      <c r="D106" s="3"/>
      <c r="E106" s="3"/>
      <c r="F106" s="3"/>
      <c r="G106" s="3"/>
      <c r="I106" s="3">
        <f ca="1"/>
        <v>0</v>
      </c>
      <c r="J106" s="3">
        <f ca="1"/>
        <v>0</v>
      </c>
      <c r="K106" s="3">
        <f ca="1"/>
        <v>0</v>
      </c>
      <c r="M106" s="3">
        <f ca="1"/>
        <v>0</v>
      </c>
      <c r="N106" s="3">
        <f ca="1"/>
        <v>0</v>
      </c>
      <c r="O106" s="3">
        <f ca="1"/>
        <v>0</v>
      </c>
    </row>
    <row r="107" spans="2:15" ht="13">
      <c r="B107" s="3"/>
      <c r="C107" s="3"/>
      <c r="D107" s="3"/>
      <c r="E107" s="3"/>
      <c r="F107" s="3"/>
      <c r="G107" s="3"/>
      <c r="I107" s="3">
        <f ca="1"/>
        <v>0</v>
      </c>
      <c r="J107" s="3">
        <f ca="1"/>
        <v>0</v>
      </c>
      <c r="K107" s="3">
        <f ca="1"/>
        <v>0</v>
      </c>
      <c r="M107" s="3">
        <f ca="1"/>
        <v>0</v>
      </c>
      <c r="N107" s="3">
        <f ca="1"/>
        <v>0</v>
      </c>
      <c r="O107" s="3">
        <f ca="1"/>
        <v>0</v>
      </c>
    </row>
    <row r="108" spans="2:15" ht="13">
      <c r="B108" s="3"/>
      <c r="C108" s="3"/>
      <c r="D108" s="3"/>
      <c r="E108" s="3"/>
      <c r="F108" s="3"/>
      <c r="G108" s="3"/>
      <c r="I108" s="3">
        <f ca="1"/>
        <v>0</v>
      </c>
      <c r="J108" s="3">
        <f ca="1"/>
        <v>0</v>
      </c>
      <c r="K108" s="3">
        <f ca="1"/>
        <v>0</v>
      </c>
      <c r="M108" s="3">
        <f ca="1"/>
        <v>0</v>
      </c>
      <c r="N108" s="3">
        <f ca="1"/>
        <v>0</v>
      </c>
      <c r="O108" s="3">
        <f ca="1"/>
        <v>0</v>
      </c>
    </row>
    <row r="109" spans="2:15" ht="13">
      <c r="B109" s="3"/>
      <c r="C109" s="3"/>
      <c r="D109" s="3"/>
      <c r="E109" s="3"/>
      <c r="F109" s="3"/>
      <c r="G109" s="3"/>
      <c r="I109" s="3">
        <f ca="1"/>
        <v>0</v>
      </c>
      <c r="J109" s="3">
        <f ca="1"/>
        <v>0</v>
      </c>
      <c r="K109" s="3">
        <f ca="1"/>
        <v>0</v>
      </c>
      <c r="M109" s="3">
        <f ca="1"/>
        <v>0</v>
      </c>
      <c r="N109" s="3">
        <f ca="1"/>
        <v>0</v>
      </c>
      <c r="O109" s="3">
        <f ca="1"/>
        <v>0</v>
      </c>
    </row>
    <row r="110" spans="2:15" ht="13">
      <c r="B110" s="3"/>
      <c r="C110" s="3"/>
      <c r="D110" s="3"/>
      <c r="E110" s="3"/>
      <c r="F110" s="3"/>
      <c r="G110" s="3"/>
      <c r="I110" s="3">
        <f ca="1"/>
        <v>0</v>
      </c>
      <c r="J110" s="3">
        <f ca="1"/>
        <v>0</v>
      </c>
      <c r="K110" s="3">
        <f ca="1"/>
        <v>0</v>
      </c>
      <c r="M110" s="3">
        <f ca="1"/>
        <v>0</v>
      </c>
      <c r="N110" s="3">
        <f ca="1"/>
        <v>0</v>
      </c>
      <c r="O110" s="3">
        <f ca="1"/>
        <v>0</v>
      </c>
    </row>
    <row r="111" spans="2:15" ht="13">
      <c r="B111" s="3"/>
      <c r="C111" s="3"/>
      <c r="D111" s="3"/>
      <c r="E111" s="3"/>
      <c r="F111" s="3"/>
      <c r="G111" s="3"/>
      <c r="I111" s="3">
        <f ca="1"/>
        <v>0</v>
      </c>
      <c r="J111" s="3">
        <f ca="1"/>
        <v>0</v>
      </c>
      <c r="K111" s="3">
        <f ca="1"/>
        <v>0</v>
      </c>
      <c r="M111" s="3">
        <f ca="1"/>
        <v>0</v>
      </c>
      <c r="N111" s="3">
        <f ca="1"/>
        <v>0</v>
      </c>
      <c r="O111" s="3">
        <f ca="1"/>
        <v>0</v>
      </c>
    </row>
    <row r="112" spans="2:15" ht="13">
      <c r="B112" s="3"/>
      <c r="C112" s="3"/>
      <c r="D112" s="3"/>
      <c r="E112" s="3"/>
      <c r="F112" s="3"/>
      <c r="G112" s="3"/>
      <c r="I112" s="3">
        <f ca="1"/>
        <v>0</v>
      </c>
      <c r="J112" s="3">
        <f ca="1"/>
        <v>0</v>
      </c>
      <c r="K112" s="3">
        <f ca="1"/>
        <v>0</v>
      </c>
      <c r="M112" s="3">
        <f ca="1"/>
        <v>0</v>
      </c>
      <c r="N112" s="3">
        <f ca="1"/>
        <v>0</v>
      </c>
      <c r="O112" s="3">
        <f ca="1"/>
        <v>0</v>
      </c>
    </row>
    <row r="113" spans="2:15" ht="13">
      <c r="B113" s="3"/>
      <c r="C113" s="3"/>
      <c r="D113" s="3"/>
      <c r="E113" s="3"/>
      <c r="F113" s="3"/>
      <c r="G113" s="3"/>
      <c r="I113" s="3">
        <f ca="1"/>
        <v>0</v>
      </c>
      <c r="J113" s="3">
        <f ca="1"/>
        <v>0</v>
      </c>
      <c r="K113" s="3">
        <f ca="1"/>
        <v>0</v>
      </c>
      <c r="M113" s="3">
        <f ca="1"/>
        <v>0</v>
      </c>
      <c r="N113" s="3">
        <f ca="1"/>
        <v>0</v>
      </c>
      <c r="O113" s="3">
        <f ca="1"/>
        <v>0</v>
      </c>
    </row>
    <row r="114" spans="2:15" ht="13">
      <c r="B114" s="3"/>
      <c r="C114" s="3"/>
      <c r="D114" s="3"/>
      <c r="E114" s="3"/>
      <c r="F114" s="3"/>
      <c r="G114" s="3"/>
      <c r="I114" s="3">
        <f ca="1"/>
        <v>0</v>
      </c>
      <c r="J114" s="3">
        <f ca="1"/>
        <v>0</v>
      </c>
      <c r="K114" s="3">
        <f ca="1"/>
        <v>0</v>
      </c>
      <c r="M114" s="3">
        <f ca="1"/>
        <v>0</v>
      </c>
      <c r="N114" s="3">
        <f ca="1"/>
        <v>0</v>
      </c>
      <c r="O114" s="3">
        <f ca="1"/>
        <v>0</v>
      </c>
    </row>
    <row r="115" spans="2:15" ht="13">
      <c r="B115" s="3"/>
      <c r="C115" s="3"/>
      <c r="D115" s="3"/>
      <c r="E115" s="3"/>
      <c r="F115" s="3"/>
      <c r="G115" s="3"/>
      <c r="I115" s="3">
        <f ca="1"/>
        <v>0</v>
      </c>
      <c r="J115" s="3">
        <f ca="1"/>
        <v>0</v>
      </c>
      <c r="K115" s="3">
        <f ca="1"/>
        <v>0</v>
      </c>
      <c r="M115" s="3">
        <f ca="1"/>
        <v>0</v>
      </c>
      <c r="N115" s="3">
        <f ca="1"/>
        <v>0</v>
      </c>
      <c r="O115" s="3">
        <f ca="1"/>
        <v>0</v>
      </c>
    </row>
    <row r="116" spans="2:15" ht="13">
      <c r="B116" s="3"/>
      <c r="C116" s="3"/>
      <c r="D116" s="3"/>
      <c r="E116" s="3"/>
      <c r="F116" s="3"/>
      <c r="G116" s="3"/>
      <c r="I116" s="3">
        <f ca="1"/>
        <v>0</v>
      </c>
      <c r="J116" s="3">
        <f ca="1"/>
        <v>0</v>
      </c>
      <c r="K116" s="3">
        <f ca="1"/>
        <v>0</v>
      </c>
      <c r="M116" s="3">
        <f ca="1"/>
        <v>0</v>
      </c>
      <c r="N116" s="3">
        <f ca="1"/>
        <v>0</v>
      </c>
      <c r="O116" s="3">
        <f ca="1"/>
        <v>0</v>
      </c>
    </row>
    <row r="117" spans="2:15" ht="13">
      <c r="B117" s="3"/>
      <c r="C117" s="3"/>
      <c r="D117" s="3"/>
      <c r="E117" s="3"/>
      <c r="F117" s="3"/>
      <c r="G117" s="3"/>
      <c r="I117" s="3">
        <f ca="1"/>
        <v>0</v>
      </c>
      <c r="J117" s="3">
        <f ca="1"/>
        <v>0</v>
      </c>
      <c r="K117" s="3">
        <f ca="1"/>
        <v>0</v>
      </c>
      <c r="M117" s="3">
        <f ca="1"/>
        <v>0</v>
      </c>
      <c r="N117" s="3">
        <f ca="1"/>
        <v>0</v>
      </c>
      <c r="O117" s="3">
        <f ca="1"/>
        <v>0</v>
      </c>
    </row>
    <row r="118" spans="2:15" ht="13">
      <c r="B118" s="3"/>
      <c r="C118" s="3"/>
      <c r="D118" s="3"/>
      <c r="E118" s="3"/>
      <c r="F118" s="3"/>
      <c r="G118" s="3"/>
      <c r="I118" s="3">
        <f ca="1"/>
        <v>0</v>
      </c>
      <c r="J118" s="3">
        <f ca="1"/>
        <v>0</v>
      </c>
      <c r="K118" s="3">
        <f ca="1"/>
        <v>0</v>
      </c>
      <c r="M118" s="3">
        <f ca="1"/>
        <v>0</v>
      </c>
      <c r="N118" s="3">
        <f ca="1"/>
        <v>0</v>
      </c>
      <c r="O118" s="3">
        <f ca="1"/>
        <v>0</v>
      </c>
    </row>
    <row r="119" spans="2:15" ht="13">
      <c r="B119" s="3"/>
      <c r="C119" s="3"/>
      <c r="D119" s="3"/>
      <c r="E119" s="3"/>
      <c r="F119" s="3"/>
      <c r="G119" s="3"/>
      <c r="I119" s="3">
        <f ca="1"/>
        <v>0</v>
      </c>
      <c r="J119" s="3">
        <f ca="1"/>
        <v>0</v>
      </c>
      <c r="K119" s="3">
        <f ca="1"/>
        <v>0</v>
      </c>
      <c r="M119" s="3">
        <f ca="1"/>
        <v>0</v>
      </c>
      <c r="N119" s="3">
        <f ca="1"/>
        <v>0</v>
      </c>
      <c r="O119" s="3">
        <f ca="1"/>
        <v>0</v>
      </c>
    </row>
    <row r="120" spans="2:15" ht="13">
      <c r="B120" s="3"/>
      <c r="C120" s="3"/>
      <c r="D120" s="3"/>
      <c r="E120" s="3"/>
      <c r="F120" s="3"/>
      <c r="G120" s="3"/>
      <c r="I120" s="3">
        <f ca="1"/>
        <v>0</v>
      </c>
      <c r="J120" s="3">
        <f ca="1"/>
        <v>0</v>
      </c>
      <c r="K120" s="3">
        <f ca="1"/>
        <v>0</v>
      </c>
      <c r="M120" s="3">
        <f ca="1"/>
        <v>0</v>
      </c>
      <c r="N120" s="3">
        <f ca="1"/>
        <v>0</v>
      </c>
      <c r="O120" s="3">
        <f ca="1"/>
        <v>0</v>
      </c>
    </row>
    <row r="121" spans="2:15" ht="13">
      <c r="B121" s="3"/>
      <c r="C121" s="3"/>
      <c r="D121" s="3"/>
      <c r="E121" s="3"/>
      <c r="F121" s="3"/>
      <c r="G121" s="3"/>
      <c r="I121" s="3">
        <f ca="1"/>
        <v>0</v>
      </c>
      <c r="J121" s="3">
        <f ca="1"/>
        <v>0</v>
      </c>
      <c r="K121" s="3">
        <f ca="1"/>
        <v>0</v>
      </c>
      <c r="M121" s="3">
        <f ca="1"/>
        <v>0</v>
      </c>
      <c r="N121" s="3">
        <f ca="1"/>
        <v>0</v>
      </c>
      <c r="O121" s="3">
        <f ca="1"/>
        <v>0</v>
      </c>
    </row>
    <row r="122" spans="2:15" ht="13">
      <c r="B122" s="3"/>
      <c r="C122" s="3"/>
      <c r="D122" s="3"/>
      <c r="E122" s="3"/>
      <c r="F122" s="3"/>
      <c r="G122" s="3"/>
      <c r="I122" s="3">
        <f ca="1"/>
        <v>0</v>
      </c>
      <c r="J122" s="3">
        <f ca="1"/>
        <v>0</v>
      </c>
      <c r="K122" s="3">
        <f ca="1"/>
        <v>0</v>
      </c>
      <c r="M122" s="3">
        <f ca="1"/>
        <v>0</v>
      </c>
      <c r="N122" s="3">
        <f ca="1"/>
        <v>0</v>
      </c>
      <c r="O122" s="3">
        <f ca="1"/>
        <v>0</v>
      </c>
    </row>
    <row r="123" spans="2:15" ht="13">
      <c r="B123" s="3"/>
      <c r="C123" s="3"/>
      <c r="D123" s="3"/>
      <c r="E123" s="3"/>
      <c r="F123" s="3"/>
      <c r="G123" s="3"/>
      <c r="I123" s="3">
        <f ca="1"/>
        <v>0</v>
      </c>
      <c r="J123" s="3">
        <f ca="1"/>
        <v>0</v>
      </c>
      <c r="K123" s="3">
        <f ca="1"/>
        <v>0</v>
      </c>
      <c r="M123" s="3">
        <f ca="1"/>
        <v>0</v>
      </c>
      <c r="N123" s="3">
        <f ca="1"/>
        <v>0</v>
      </c>
      <c r="O123" s="3">
        <f ca="1"/>
        <v>0</v>
      </c>
    </row>
    <row r="124" spans="2:15" ht="13">
      <c r="B124" s="3"/>
      <c r="C124" s="3"/>
      <c r="D124" s="3"/>
      <c r="E124" s="3"/>
      <c r="F124" s="3"/>
      <c r="G124" s="3"/>
      <c r="I124" s="3">
        <f ca="1"/>
        <v>0</v>
      </c>
      <c r="J124" s="3">
        <f ca="1"/>
        <v>0</v>
      </c>
      <c r="K124" s="3">
        <f ca="1"/>
        <v>0</v>
      </c>
      <c r="M124" s="3">
        <f ca="1"/>
        <v>0</v>
      </c>
      <c r="N124" s="3">
        <f ca="1"/>
        <v>0</v>
      </c>
      <c r="O124" s="3">
        <f ca="1"/>
        <v>0</v>
      </c>
    </row>
    <row r="125" spans="2:15" ht="13">
      <c r="B125" s="3"/>
      <c r="C125" s="3"/>
      <c r="D125" s="3"/>
      <c r="E125" s="3"/>
      <c r="F125" s="3"/>
      <c r="G125" s="3"/>
      <c r="I125" s="3">
        <f ca="1"/>
        <v>0</v>
      </c>
      <c r="J125" s="3">
        <f ca="1"/>
        <v>0</v>
      </c>
      <c r="K125" s="3">
        <f ca="1"/>
        <v>0</v>
      </c>
      <c r="M125" s="3">
        <f ca="1"/>
        <v>0</v>
      </c>
      <c r="N125" s="3">
        <f ca="1"/>
        <v>0</v>
      </c>
      <c r="O125" s="3">
        <f ca="1"/>
        <v>0</v>
      </c>
    </row>
    <row r="126" spans="2:15" ht="13">
      <c r="B126" s="3"/>
      <c r="C126" s="3"/>
      <c r="D126" s="3"/>
      <c r="E126" s="3"/>
      <c r="F126" s="3"/>
      <c r="G126" s="3"/>
      <c r="I126" s="3">
        <f ca="1"/>
        <v>0</v>
      </c>
      <c r="J126" s="3">
        <f ca="1"/>
        <v>0</v>
      </c>
      <c r="K126" s="3">
        <f ca="1"/>
        <v>0</v>
      </c>
      <c r="M126" s="3">
        <f ca="1"/>
        <v>0</v>
      </c>
      <c r="N126" s="3">
        <f ca="1"/>
        <v>0</v>
      </c>
      <c r="O126" s="3">
        <f ca="1"/>
        <v>0</v>
      </c>
    </row>
    <row r="127" spans="2:15" ht="13">
      <c r="B127" s="3"/>
      <c r="C127" s="3"/>
      <c r="D127" s="3"/>
      <c r="E127" s="3"/>
      <c r="F127" s="3"/>
      <c r="G127" s="3"/>
      <c r="I127" s="3">
        <f ca="1"/>
        <v>0</v>
      </c>
      <c r="J127" s="3">
        <f ca="1"/>
        <v>0</v>
      </c>
      <c r="K127" s="3">
        <f ca="1"/>
        <v>0</v>
      </c>
      <c r="M127" s="3">
        <f ca="1"/>
        <v>0</v>
      </c>
      <c r="N127" s="3">
        <f ca="1"/>
        <v>0</v>
      </c>
      <c r="O127" s="3">
        <f ca="1"/>
        <v>0</v>
      </c>
    </row>
    <row r="128" spans="2:15" ht="13">
      <c r="B128" s="3"/>
      <c r="C128" s="3"/>
      <c r="D128" s="3"/>
      <c r="E128" s="3"/>
      <c r="F128" s="3"/>
      <c r="G128" s="3"/>
      <c r="I128" s="3">
        <f ca="1"/>
        <v>0</v>
      </c>
      <c r="J128" s="3">
        <f ca="1"/>
        <v>0</v>
      </c>
      <c r="K128" s="3">
        <f ca="1"/>
        <v>0</v>
      </c>
      <c r="M128" s="3">
        <f ca="1"/>
        <v>0</v>
      </c>
      <c r="N128" s="3">
        <f ca="1"/>
        <v>0</v>
      </c>
      <c r="O128" s="3">
        <f ca="1"/>
        <v>0</v>
      </c>
    </row>
    <row r="129" spans="2:15" ht="13">
      <c r="B129" s="3"/>
      <c r="C129" s="3"/>
      <c r="D129" s="3"/>
      <c r="E129" s="3"/>
      <c r="F129" s="3"/>
      <c r="G129" s="3"/>
      <c r="I129" s="3">
        <f ca="1"/>
        <v>0</v>
      </c>
      <c r="J129" s="3">
        <f ca="1"/>
        <v>0</v>
      </c>
      <c r="K129" s="3">
        <f ca="1"/>
        <v>0</v>
      </c>
      <c r="M129" s="3">
        <f ca="1"/>
        <v>0</v>
      </c>
      <c r="N129" s="3">
        <f ca="1"/>
        <v>0</v>
      </c>
      <c r="O129" s="3">
        <f ca="1"/>
        <v>0</v>
      </c>
    </row>
    <row r="130" spans="2:15" ht="13">
      <c r="B130" s="3"/>
      <c r="C130" s="3"/>
      <c r="D130" s="3"/>
      <c r="E130" s="3"/>
      <c r="F130" s="3"/>
      <c r="G130" s="3"/>
      <c r="I130" s="3">
        <f ca="1"/>
        <v>0</v>
      </c>
      <c r="J130" s="3">
        <f ca="1"/>
        <v>0</v>
      </c>
      <c r="K130" s="3">
        <f ca="1"/>
        <v>0</v>
      </c>
      <c r="M130" s="3">
        <f ca="1"/>
        <v>0</v>
      </c>
      <c r="N130" s="3">
        <f ca="1"/>
        <v>0</v>
      </c>
      <c r="O130" s="3">
        <f ca="1"/>
        <v>0</v>
      </c>
    </row>
    <row r="131" spans="2:15" ht="13">
      <c r="B131" s="3"/>
      <c r="C131" s="3"/>
      <c r="D131" s="3"/>
      <c r="E131" s="3"/>
      <c r="F131" s="3"/>
      <c r="G131" s="3"/>
      <c r="I131" s="3">
        <f ca="1"/>
        <v>0</v>
      </c>
      <c r="J131" s="3">
        <f ca="1"/>
        <v>0</v>
      </c>
      <c r="K131" s="3">
        <f ca="1"/>
        <v>0</v>
      </c>
      <c r="M131" s="3">
        <f ca="1"/>
        <v>0</v>
      </c>
      <c r="N131" s="3">
        <f ca="1"/>
        <v>0</v>
      </c>
      <c r="O131" s="3">
        <f ca="1"/>
        <v>0</v>
      </c>
    </row>
    <row r="132" spans="2:15" ht="13">
      <c r="B132" s="3"/>
      <c r="C132" s="3"/>
      <c r="D132" s="3"/>
      <c r="E132" s="3"/>
      <c r="F132" s="3"/>
      <c r="G132" s="3"/>
      <c r="I132" s="3">
        <f ca="1"/>
        <v>0</v>
      </c>
      <c r="J132" s="3">
        <f ca="1"/>
        <v>0</v>
      </c>
      <c r="K132" s="3">
        <f ca="1"/>
        <v>0</v>
      </c>
      <c r="M132" s="3">
        <f ca="1"/>
        <v>0</v>
      </c>
      <c r="N132" s="3">
        <f ca="1"/>
        <v>0</v>
      </c>
      <c r="O132" s="3">
        <f ca="1"/>
        <v>0</v>
      </c>
    </row>
    <row r="133" spans="2:15" ht="13">
      <c r="B133" s="3"/>
      <c r="C133" s="3"/>
      <c r="D133" s="3"/>
      <c r="E133" s="3"/>
      <c r="F133" s="3"/>
      <c r="G133" s="3"/>
      <c r="I133" s="3">
        <f ca="1"/>
        <v>0</v>
      </c>
      <c r="J133" s="3">
        <f ca="1"/>
        <v>0</v>
      </c>
      <c r="K133" s="3">
        <f ca="1"/>
        <v>0</v>
      </c>
      <c r="M133" s="3">
        <f ca="1"/>
        <v>0</v>
      </c>
      <c r="N133" s="3">
        <f ca="1"/>
        <v>0</v>
      </c>
      <c r="O133" s="3">
        <f ca="1"/>
        <v>0</v>
      </c>
    </row>
    <row r="134" spans="2:15" ht="13">
      <c r="B134" s="3"/>
      <c r="C134" s="3"/>
      <c r="D134" s="3"/>
      <c r="E134" s="3"/>
      <c r="F134" s="3"/>
      <c r="G134" s="3"/>
      <c r="I134" s="3">
        <f ca="1"/>
        <v>0</v>
      </c>
      <c r="J134" s="3">
        <f ca="1"/>
        <v>0</v>
      </c>
      <c r="K134" s="3">
        <f ca="1"/>
        <v>0</v>
      </c>
      <c r="M134" s="3">
        <f ca="1"/>
        <v>0</v>
      </c>
      <c r="N134" s="3">
        <f ca="1"/>
        <v>0</v>
      </c>
      <c r="O134" s="3">
        <f ca="1"/>
        <v>0</v>
      </c>
    </row>
    <row r="135" spans="2:15" ht="13">
      <c r="B135" s="3"/>
      <c r="C135" s="3"/>
      <c r="D135" s="3"/>
      <c r="E135" s="3"/>
      <c r="F135" s="3"/>
      <c r="G135" s="3"/>
      <c r="I135" s="3">
        <f ca="1"/>
        <v>0</v>
      </c>
      <c r="J135" s="3">
        <f ca="1"/>
        <v>0</v>
      </c>
      <c r="K135" s="3">
        <f ca="1"/>
        <v>0</v>
      </c>
      <c r="M135" s="3">
        <f ca="1"/>
        <v>0</v>
      </c>
      <c r="N135" s="3">
        <f ca="1"/>
        <v>0</v>
      </c>
      <c r="O135" s="3">
        <f ca="1"/>
        <v>0</v>
      </c>
    </row>
    <row r="136" spans="2:15" ht="13">
      <c r="B136" s="3"/>
      <c r="C136" s="3"/>
      <c r="D136" s="3"/>
      <c r="E136" s="3"/>
      <c r="F136" s="3"/>
      <c r="G136" s="3"/>
      <c r="I136" s="3">
        <f ca="1"/>
        <v>0</v>
      </c>
      <c r="J136" s="3">
        <f ca="1"/>
        <v>0</v>
      </c>
      <c r="K136" s="3">
        <f ca="1"/>
        <v>0</v>
      </c>
      <c r="M136" s="3">
        <f ca="1"/>
        <v>0</v>
      </c>
      <c r="N136" s="3">
        <f ca="1"/>
        <v>0</v>
      </c>
      <c r="O136" s="3">
        <f ca="1"/>
        <v>0</v>
      </c>
    </row>
    <row r="137" spans="2:15" ht="13">
      <c r="B137" s="3"/>
      <c r="C137" s="3"/>
      <c r="D137" s="3"/>
      <c r="E137" s="3"/>
      <c r="F137" s="3"/>
      <c r="G137" s="3"/>
      <c r="I137" s="3">
        <f ca="1"/>
        <v>0</v>
      </c>
      <c r="J137" s="3">
        <f ca="1"/>
        <v>0</v>
      </c>
      <c r="K137" s="3">
        <f ca="1"/>
        <v>0</v>
      </c>
      <c r="M137" s="3">
        <f ca="1"/>
        <v>0</v>
      </c>
      <c r="N137" s="3">
        <f ca="1"/>
        <v>0</v>
      </c>
      <c r="O137" s="3">
        <f ca="1"/>
        <v>0</v>
      </c>
    </row>
    <row r="138" spans="2:15" ht="13">
      <c r="B138" s="3"/>
      <c r="C138" s="3"/>
      <c r="D138" s="3"/>
      <c r="E138" s="3"/>
      <c r="F138" s="3"/>
      <c r="G138" s="3"/>
      <c r="I138" s="3">
        <f ca="1"/>
        <v>0</v>
      </c>
      <c r="J138" s="3">
        <f ca="1"/>
        <v>0</v>
      </c>
      <c r="K138" s="3">
        <f ca="1"/>
        <v>0</v>
      </c>
      <c r="M138" s="3">
        <f ca="1"/>
        <v>0</v>
      </c>
      <c r="N138" s="3">
        <f ca="1"/>
        <v>0</v>
      </c>
      <c r="O138" s="3">
        <f ca="1"/>
        <v>0</v>
      </c>
    </row>
    <row r="139" spans="2:15" ht="13">
      <c r="B139" s="3"/>
      <c r="C139" s="3"/>
      <c r="D139" s="3"/>
      <c r="E139" s="3"/>
      <c r="F139" s="3"/>
      <c r="G139" s="3"/>
      <c r="I139" s="3">
        <f ca="1"/>
        <v>0</v>
      </c>
      <c r="J139" s="3">
        <f ca="1"/>
        <v>0</v>
      </c>
      <c r="K139" s="3">
        <f ca="1"/>
        <v>0</v>
      </c>
      <c r="M139" s="3">
        <f ca="1"/>
        <v>0</v>
      </c>
      <c r="N139" s="3">
        <f ca="1"/>
        <v>0</v>
      </c>
      <c r="O139" s="3">
        <f ca="1"/>
        <v>0</v>
      </c>
    </row>
    <row r="140" spans="2:15" ht="13">
      <c r="B140" s="3"/>
      <c r="C140" s="3"/>
      <c r="D140" s="3"/>
      <c r="E140" s="3"/>
      <c r="F140" s="3"/>
      <c r="G140" s="3"/>
      <c r="I140" s="3">
        <f ca="1"/>
        <v>0</v>
      </c>
      <c r="J140" s="3">
        <f ca="1"/>
        <v>0</v>
      </c>
      <c r="K140" s="3">
        <f ca="1"/>
        <v>0</v>
      </c>
      <c r="M140" s="3">
        <f ca="1"/>
        <v>0</v>
      </c>
      <c r="N140" s="3">
        <f ca="1"/>
        <v>0</v>
      </c>
      <c r="O140" s="3">
        <f ca="1"/>
        <v>0</v>
      </c>
    </row>
    <row r="141" spans="2:15" ht="13">
      <c r="B141" s="3"/>
      <c r="C141" s="3"/>
      <c r="D141" s="3"/>
      <c r="E141" s="3"/>
      <c r="F141" s="3"/>
      <c r="G141" s="3"/>
      <c r="I141" s="3">
        <f ca="1"/>
        <v>0</v>
      </c>
      <c r="J141" s="3">
        <f ca="1"/>
        <v>0</v>
      </c>
      <c r="K141" s="3">
        <f ca="1"/>
        <v>0</v>
      </c>
      <c r="M141" s="3">
        <f ca="1"/>
        <v>0</v>
      </c>
      <c r="N141" s="3">
        <f ca="1"/>
        <v>0</v>
      </c>
      <c r="O141" s="3">
        <f ca="1"/>
        <v>0</v>
      </c>
    </row>
    <row r="142" spans="2:15" ht="13">
      <c r="B142" s="3"/>
      <c r="C142" s="3"/>
      <c r="D142" s="3"/>
      <c r="E142" s="3"/>
      <c r="F142" s="3"/>
      <c r="G142" s="3"/>
      <c r="I142" s="3">
        <f ca="1"/>
        <v>0</v>
      </c>
      <c r="J142" s="3">
        <f ca="1"/>
        <v>0</v>
      </c>
      <c r="K142" s="3">
        <f ca="1"/>
        <v>0</v>
      </c>
      <c r="M142" s="3">
        <f ca="1"/>
        <v>0</v>
      </c>
      <c r="N142" s="3">
        <f ca="1"/>
        <v>0</v>
      </c>
      <c r="O142" s="3">
        <f ca="1"/>
        <v>0</v>
      </c>
    </row>
    <row r="143" spans="2:15" ht="13">
      <c r="B143" s="3"/>
      <c r="C143" s="3"/>
      <c r="D143" s="3"/>
      <c r="E143" s="3"/>
      <c r="F143" s="3"/>
      <c r="G143" s="3"/>
      <c r="I143" s="3">
        <f ca="1"/>
        <v>0</v>
      </c>
      <c r="J143" s="3">
        <f ca="1"/>
        <v>0</v>
      </c>
      <c r="K143" s="3">
        <f ca="1"/>
        <v>0</v>
      </c>
      <c r="M143" s="3">
        <f ca="1"/>
        <v>0</v>
      </c>
      <c r="N143" s="3">
        <f ca="1"/>
        <v>0</v>
      </c>
      <c r="O143" s="3">
        <f ca="1"/>
        <v>0</v>
      </c>
    </row>
    <row r="144" spans="2:15" ht="13">
      <c r="B144" s="3"/>
      <c r="C144" s="3"/>
      <c r="D144" s="3"/>
      <c r="E144" s="3"/>
      <c r="F144" s="3"/>
      <c r="G144" s="3"/>
      <c r="I144" s="3">
        <f ca="1"/>
        <v>0</v>
      </c>
      <c r="J144" s="3">
        <f ca="1"/>
        <v>0</v>
      </c>
      <c r="K144" s="3">
        <f ca="1"/>
        <v>0</v>
      </c>
      <c r="M144" s="3">
        <f ca="1"/>
        <v>0</v>
      </c>
      <c r="N144" s="3">
        <f ca="1"/>
        <v>0</v>
      </c>
      <c r="O144" s="3">
        <f ca="1"/>
        <v>0</v>
      </c>
    </row>
    <row r="145" spans="2:15" ht="13">
      <c r="B145" s="3"/>
      <c r="C145" s="3"/>
      <c r="D145" s="3"/>
      <c r="E145" s="3"/>
      <c r="F145" s="3"/>
      <c r="G145" s="3"/>
      <c r="I145" s="3">
        <f ca="1"/>
        <v>0</v>
      </c>
      <c r="J145" s="3">
        <f ca="1"/>
        <v>0</v>
      </c>
      <c r="K145" s="3">
        <f ca="1"/>
        <v>0</v>
      </c>
      <c r="M145" s="3">
        <f ca="1"/>
        <v>0</v>
      </c>
      <c r="N145" s="3">
        <f ca="1"/>
        <v>0</v>
      </c>
      <c r="O145" s="3">
        <f ca="1"/>
        <v>0</v>
      </c>
    </row>
    <row r="146" spans="2:15" ht="13">
      <c r="B146" s="3"/>
      <c r="C146" s="3"/>
      <c r="D146" s="3"/>
      <c r="E146" s="3"/>
      <c r="F146" s="3"/>
      <c r="G146" s="3"/>
      <c r="I146" s="3">
        <f ca="1"/>
        <v>0</v>
      </c>
      <c r="J146" s="3">
        <f ca="1"/>
        <v>0</v>
      </c>
      <c r="K146" s="3">
        <f ca="1"/>
        <v>0</v>
      </c>
      <c r="M146" s="3">
        <f ca="1"/>
        <v>0</v>
      </c>
      <c r="N146" s="3">
        <f ca="1"/>
        <v>0</v>
      </c>
      <c r="O146" s="3">
        <f ca="1"/>
        <v>0</v>
      </c>
    </row>
    <row r="147" spans="2:15" ht="13">
      <c r="B147" s="3"/>
      <c r="C147" s="3"/>
      <c r="D147" s="3"/>
      <c r="E147" s="3"/>
      <c r="F147" s="3"/>
      <c r="G147" s="3"/>
      <c r="I147" s="3">
        <f ca="1"/>
        <v>0</v>
      </c>
      <c r="J147" s="3">
        <f ca="1"/>
        <v>0</v>
      </c>
      <c r="K147" s="3">
        <f ca="1"/>
        <v>0</v>
      </c>
      <c r="M147" s="3">
        <f ca="1"/>
        <v>0</v>
      </c>
      <c r="N147" s="3">
        <f ca="1"/>
        <v>0</v>
      </c>
      <c r="O147" s="3">
        <f ca="1"/>
        <v>0</v>
      </c>
    </row>
    <row r="148" spans="2:15" ht="13">
      <c r="B148" s="3"/>
      <c r="C148" s="3"/>
      <c r="D148" s="3"/>
      <c r="E148" s="3"/>
      <c r="F148" s="3"/>
      <c r="G148" s="3"/>
      <c r="I148" s="3">
        <f ca="1"/>
        <v>0</v>
      </c>
      <c r="J148" s="3">
        <f ca="1"/>
        <v>0</v>
      </c>
      <c r="K148" s="3">
        <f ca="1"/>
        <v>0</v>
      </c>
      <c r="M148" s="3">
        <f ca="1"/>
        <v>0</v>
      </c>
      <c r="N148" s="3">
        <f ca="1"/>
        <v>0</v>
      </c>
      <c r="O148" s="3">
        <f ca="1"/>
        <v>0</v>
      </c>
    </row>
    <row r="149" spans="2:15" ht="13">
      <c r="B149" s="3"/>
      <c r="C149" s="3"/>
      <c r="D149" s="3"/>
      <c r="E149" s="3"/>
      <c r="F149" s="3"/>
      <c r="G149" s="3"/>
      <c r="I149" s="3">
        <f ca="1"/>
        <v>0</v>
      </c>
      <c r="J149" s="3">
        <f ca="1"/>
        <v>0</v>
      </c>
      <c r="K149" s="3">
        <f ca="1"/>
        <v>0</v>
      </c>
      <c r="M149" s="3">
        <f ca="1"/>
        <v>0</v>
      </c>
      <c r="N149" s="3">
        <f ca="1"/>
        <v>0</v>
      </c>
      <c r="O149" s="3">
        <f ca="1"/>
        <v>0</v>
      </c>
    </row>
    <row r="150" spans="2:15" ht="13">
      <c r="B150" s="3"/>
      <c r="C150" s="3"/>
      <c r="D150" s="3"/>
      <c r="E150" s="3"/>
      <c r="F150" s="3"/>
      <c r="G150" s="3"/>
      <c r="I150" s="3">
        <f ca="1"/>
        <v>0</v>
      </c>
      <c r="J150" s="3">
        <f ca="1"/>
        <v>0</v>
      </c>
      <c r="K150" s="3">
        <f ca="1"/>
        <v>0</v>
      </c>
      <c r="M150" s="3">
        <f ca="1"/>
        <v>0</v>
      </c>
      <c r="N150" s="3">
        <f ca="1"/>
        <v>0</v>
      </c>
      <c r="O150" s="3">
        <f ca="1"/>
        <v>0</v>
      </c>
    </row>
    <row r="151" spans="2:15" ht="13">
      <c r="B151" s="3"/>
      <c r="C151" s="3"/>
      <c r="D151" s="3"/>
      <c r="E151" s="3"/>
      <c r="F151" s="3"/>
      <c r="G151" s="3"/>
      <c r="I151" s="3">
        <f ca="1"/>
        <v>0</v>
      </c>
      <c r="J151" s="3">
        <f ca="1"/>
        <v>0</v>
      </c>
      <c r="K151" s="3">
        <f ca="1"/>
        <v>0</v>
      </c>
      <c r="M151" s="3">
        <f ca="1"/>
        <v>0</v>
      </c>
      <c r="N151" s="3">
        <f ca="1"/>
        <v>0</v>
      </c>
      <c r="O151" s="3">
        <f ca="1"/>
        <v>0</v>
      </c>
    </row>
    <row r="152" spans="2:15" ht="13">
      <c r="B152" s="3"/>
      <c r="C152" s="3"/>
      <c r="D152" s="3"/>
      <c r="E152" s="3"/>
      <c r="F152" s="3"/>
      <c r="G152" s="3"/>
      <c r="I152" s="3">
        <f ca="1"/>
        <v>0</v>
      </c>
      <c r="J152" s="3">
        <f ca="1"/>
        <v>0</v>
      </c>
      <c r="K152" s="3">
        <f ca="1"/>
        <v>0</v>
      </c>
      <c r="M152" s="3">
        <f ca="1"/>
        <v>0</v>
      </c>
      <c r="N152" s="3">
        <f ca="1"/>
        <v>0</v>
      </c>
      <c r="O152" s="3">
        <f ca="1"/>
        <v>0</v>
      </c>
    </row>
    <row r="153" spans="2:15" ht="13">
      <c r="B153" s="3"/>
      <c r="C153" s="3"/>
      <c r="D153" s="3"/>
      <c r="E153" s="3"/>
      <c r="F153" s="3"/>
      <c r="G153" s="3"/>
      <c r="I153" s="3">
        <f ca="1"/>
        <v>0</v>
      </c>
      <c r="J153" s="3">
        <f ca="1"/>
        <v>0</v>
      </c>
      <c r="K153" s="3">
        <f ca="1"/>
        <v>0</v>
      </c>
      <c r="M153" s="3">
        <f ca="1"/>
        <v>0</v>
      </c>
      <c r="N153" s="3">
        <f ca="1"/>
        <v>0</v>
      </c>
      <c r="O153" s="3">
        <f ca="1"/>
        <v>0</v>
      </c>
    </row>
    <row r="154" spans="2:15" ht="13">
      <c r="B154" s="3"/>
      <c r="C154" s="3"/>
      <c r="D154" s="3"/>
      <c r="E154" s="3"/>
      <c r="F154" s="3"/>
      <c r="G154" s="3"/>
      <c r="I154" s="3">
        <f ca="1"/>
        <v>0</v>
      </c>
      <c r="J154" s="3">
        <f ca="1"/>
        <v>0</v>
      </c>
      <c r="K154" s="3">
        <f ca="1"/>
        <v>0</v>
      </c>
      <c r="M154" s="3">
        <f ca="1"/>
        <v>0</v>
      </c>
      <c r="N154" s="3">
        <f ca="1"/>
        <v>0</v>
      </c>
      <c r="O154" s="3">
        <f ca="1"/>
        <v>0</v>
      </c>
    </row>
    <row r="155" spans="2:15" ht="13">
      <c r="B155" s="3"/>
      <c r="C155" s="3"/>
      <c r="D155" s="3"/>
      <c r="E155" s="3"/>
      <c r="F155" s="3"/>
      <c r="G155" s="3"/>
      <c r="I155" s="3">
        <f ca="1"/>
        <v>0</v>
      </c>
      <c r="J155" s="3">
        <f ca="1"/>
        <v>0</v>
      </c>
      <c r="K155" s="3">
        <f ca="1"/>
        <v>0</v>
      </c>
      <c r="M155" s="3">
        <f ca="1"/>
        <v>0</v>
      </c>
      <c r="N155" s="3">
        <f ca="1"/>
        <v>0</v>
      </c>
      <c r="O155" s="3">
        <f ca="1"/>
        <v>0</v>
      </c>
    </row>
    <row r="156" spans="2:15" ht="13">
      <c r="B156" s="3"/>
      <c r="C156" s="3"/>
      <c r="D156" s="3"/>
      <c r="E156" s="3"/>
      <c r="F156" s="3"/>
      <c r="G156" s="3"/>
      <c r="I156" s="3">
        <f ca="1"/>
        <v>0</v>
      </c>
      <c r="J156" s="3">
        <f ca="1"/>
        <v>0</v>
      </c>
      <c r="K156" s="3">
        <f ca="1"/>
        <v>0</v>
      </c>
      <c r="M156" s="3">
        <f ca="1"/>
        <v>0</v>
      </c>
      <c r="N156" s="3">
        <f ca="1"/>
        <v>0</v>
      </c>
      <c r="O156" s="3">
        <f ca="1"/>
        <v>0</v>
      </c>
    </row>
    <row r="157" spans="2:15" ht="13">
      <c r="B157" s="3"/>
      <c r="C157" s="3"/>
      <c r="D157" s="3"/>
      <c r="E157" s="3"/>
      <c r="F157" s="3"/>
      <c r="G157" s="3"/>
      <c r="I157" s="3">
        <f ca="1"/>
        <v>0</v>
      </c>
      <c r="J157" s="3">
        <f ca="1"/>
        <v>0</v>
      </c>
      <c r="K157" s="3">
        <f ca="1"/>
        <v>0</v>
      </c>
      <c r="M157" s="3">
        <f ca="1"/>
        <v>0</v>
      </c>
      <c r="N157" s="3">
        <f ca="1"/>
        <v>0</v>
      </c>
      <c r="O157" s="3">
        <f ca="1"/>
        <v>0</v>
      </c>
    </row>
    <row r="158" spans="2:15" ht="13">
      <c r="B158" s="3"/>
      <c r="C158" s="3"/>
      <c r="D158" s="3"/>
      <c r="E158" s="3"/>
      <c r="F158" s="3"/>
      <c r="G158" s="3"/>
      <c r="I158" s="3">
        <f ca="1"/>
        <v>0</v>
      </c>
      <c r="J158" s="3">
        <f ca="1"/>
        <v>0</v>
      </c>
      <c r="K158" s="3">
        <f ca="1"/>
        <v>0</v>
      </c>
      <c r="M158" s="3">
        <f ca="1"/>
        <v>0</v>
      </c>
      <c r="N158" s="3">
        <f ca="1"/>
        <v>0</v>
      </c>
      <c r="O158" s="3">
        <f ca="1"/>
        <v>0</v>
      </c>
    </row>
    <row r="159" spans="2:15" ht="13">
      <c r="B159" s="3"/>
      <c r="C159" s="3"/>
      <c r="D159" s="3"/>
      <c r="E159" s="3"/>
      <c r="F159" s="3"/>
      <c r="G159" s="3"/>
      <c r="I159" s="3">
        <f ca="1"/>
        <v>0</v>
      </c>
      <c r="J159" s="3">
        <f ca="1"/>
        <v>0</v>
      </c>
      <c r="K159" s="3">
        <f ca="1"/>
        <v>0</v>
      </c>
      <c r="M159" s="3">
        <f ca="1"/>
        <v>0</v>
      </c>
      <c r="N159" s="3">
        <f ca="1"/>
        <v>0</v>
      </c>
      <c r="O159" s="3">
        <f ca="1"/>
        <v>0</v>
      </c>
    </row>
    <row r="160" spans="2:15" ht="13">
      <c r="B160" s="3"/>
      <c r="C160" s="3"/>
      <c r="D160" s="3"/>
      <c r="E160" s="3"/>
      <c r="F160" s="3"/>
      <c r="G160" s="3"/>
      <c r="I160" s="3">
        <f ca="1"/>
        <v>0</v>
      </c>
      <c r="J160" s="3">
        <f ca="1"/>
        <v>0</v>
      </c>
      <c r="K160" s="3">
        <f ca="1"/>
        <v>0</v>
      </c>
      <c r="M160" s="3">
        <f ca="1"/>
        <v>0</v>
      </c>
      <c r="N160" s="3">
        <f ca="1"/>
        <v>0</v>
      </c>
      <c r="O160" s="3">
        <f ca="1"/>
        <v>0</v>
      </c>
    </row>
    <row r="161" spans="2:15" ht="13">
      <c r="B161" s="3"/>
      <c r="C161" s="3"/>
      <c r="D161" s="3"/>
      <c r="E161" s="3"/>
      <c r="F161" s="3"/>
      <c r="G161" s="3"/>
      <c r="I161" s="3">
        <f ca="1"/>
        <v>0</v>
      </c>
      <c r="J161" s="3">
        <f ca="1"/>
        <v>0</v>
      </c>
      <c r="K161" s="3">
        <f ca="1"/>
        <v>0</v>
      </c>
      <c r="M161" s="3">
        <f ca="1"/>
        <v>0</v>
      </c>
      <c r="N161" s="3">
        <f ca="1"/>
        <v>0</v>
      </c>
      <c r="O161" s="3">
        <f ca="1"/>
        <v>0</v>
      </c>
    </row>
    <row r="162" spans="2:15" ht="13">
      <c r="B162" s="3"/>
      <c r="C162" s="3"/>
      <c r="D162" s="3"/>
      <c r="E162" s="3"/>
      <c r="F162" s="3"/>
      <c r="G162" s="3"/>
      <c r="I162" s="3">
        <f ca="1"/>
        <v>0</v>
      </c>
      <c r="J162" s="3">
        <f ca="1"/>
        <v>0</v>
      </c>
      <c r="K162" s="3">
        <f ca="1"/>
        <v>0</v>
      </c>
      <c r="M162" s="3">
        <f ca="1"/>
        <v>0</v>
      </c>
      <c r="N162" s="3">
        <f ca="1"/>
        <v>0</v>
      </c>
      <c r="O162" s="3">
        <f ca="1"/>
        <v>0</v>
      </c>
    </row>
    <row r="163" spans="2:15" ht="13">
      <c r="B163" s="3"/>
      <c r="C163" s="3"/>
      <c r="D163" s="3"/>
      <c r="E163" s="3"/>
      <c r="F163" s="3"/>
      <c r="G163" s="3"/>
      <c r="I163" s="3">
        <f ca="1"/>
        <v>0</v>
      </c>
      <c r="J163" s="3">
        <f ca="1"/>
        <v>0</v>
      </c>
      <c r="K163" s="3">
        <f ca="1"/>
        <v>0</v>
      </c>
      <c r="M163" s="3">
        <f ca="1"/>
        <v>0</v>
      </c>
      <c r="N163" s="3">
        <f ca="1"/>
        <v>0</v>
      </c>
      <c r="O163" s="3">
        <f ca="1"/>
        <v>0</v>
      </c>
    </row>
    <row r="164" spans="2:15" ht="13">
      <c r="B164" s="3"/>
      <c r="C164" s="3"/>
      <c r="D164" s="3"/>
      <c r="E164" s="3"/>
      <c r="F164" s="3"/>
      <c r="G164" s="3"/>
      <c r="I164" s="3">
        <f ca="1"/>
        <v>0</v>
      </c>
      <c r="J164" s="3">
        <f ca="1"/>
        <v>0</v>
      </c>
      <c r="K164" s="3">
        <f ca="1"/>
        <v>0</v>
      </c>
      <c r="M164" s="3">
        <f ca="1"/>
        <v>0</v>
      </c>
      <c r="N164" s="3">
        <f ca="1"/>
        <v>0</v>
      </c>
      <c r="O164" s="3">
        <f ca="1"/>
        <v>0</v>
      </c>
    </row>
    <row r="165" spans="2:15" ht="13">
      <c r="B165" s="3"/>
      <c r="C165" s="3"/>
      <c r="D165" s="3"/>
      <c r="E165" s="3"/>
      <c r="F165" s="3"/>
      <c r="G165" s="3"/>
      <c r="I165" s="3">
        <f ca="1"/>
        <v>0</v>
      </c>
      <c r="J165" s="3">
        <f ca="1"/>
        <v>0</v>
      </c>
      <c r="K165" s="3">
        <f ca="1"/>
        <v>0</v>
      </c>
      <c r="M165" s="3">
        <f ca="1"/>
        <v>0</v>
      </c>
      <c r="N165" s="3">
        <f ca="1"/>
        <v>0</v>
      </c>
      <c r="O165" s="3">
        <f ca="1"/>
        <v>0</v>
      </c>
    </row>
    <row r="166" spans="2:15" ht="13">
      <c r="B166" s="3"/>
      <c r="C166" s="3"/>
      <c r="D166" s="3"/>
      <c r="E166" s="3"/>
      <c r="F166" s="3"/>
      <c r="G166" s="3"/>
      <c r="I166" s="3">
        <f ca="1"/>
        <v>0</v>
      </c>
      <c r="J166" s="3">
        <f ca="1"/>
        <v>0</v>
      </c>
      <c r="K166" s="3">
        <f ca="1"/>
        <v>0</v>
      </c>
      <c r="M166" s="3">
        <f ca="1"/>
        <v>0</v>
      </c>
      <c r="N166" s="3">
        <f ca="1"/>
        <v>0</v>
      </c>
      <c r="O166" s="3">
        <f ca="1"/>
        <v>0</v>
      </c>
    </row>
    <row r="167" spans="2:15" ht="13">
      <c r="B167" s="3"/>
      <c r="C167" s="3"/>
      <c r="D167" s="3"/>
      <c r="E167" s="3"/>
      <c r="F167" s="3"/>
      <c r="G167" s="3"/>
      <c r="I167" s="3">
        <f ca="1"/>
        <v>0</v>
      </c>
      <c r="J167" s="3">
        <f ca="1"/>
        <v>0</v>
      </c>
      <c r="K167" s="3">
        <f ca="1"/>
        <v>0</v>
      </c>
      <c r="M167" s="3">
        <f ca="1"/>
        <v>0</v>
      </c>
      <c r="N167" s="3">
        <f ca="1"/>
        <v>0</v>
      </c>
      <c r="O167" s="3">
        <f ca="1"/>
        <v>0</v>
      </c>
    </row>
    <row r="168" spans="2:15" ht="13">
      <c r="B168" s="3"/>
      <c r="C168" s="3"/>
      <c r="D168" s="3"/>
      <c r="E168" s="3"/>
      <c r="F168" s="3"/>
      <c r="G168" s="3"/>
      <c r="I168" s="3">
        <f ca="1"/>
        <v>0</v>
      </c>
      <c r="J168" s="3">
        <f ca="1"/>
        <v>0</v>
      </c>
      <c r="K168" s="3">
        <f ca="1"/>
        <v>0</v>
      </c>
      <c r="M168" s="3">
        <f ca="1"/>
        <v>0</v>
      </c>
      <c r="N168" s="3">
        <f ca="1"/>
        <v>0</v>
      </c>
      <c r="O168" s="3">
        <f ca="1"/>
        <v>0</v>
      </c>
    </row>
    <row r="169" spans="2:15" ht="13">
      <c r="B169" s="3"/>
      <c r="C169" s="3"/>
      <c r="D169" s="3"/>
      <c r="E169" s="3"/>
      <c r="F169" s="3"/>
      <c r="G169" s="3"/>
      <c r="I169" s="3">
        <f ca="1"/>
        <v>0</v>
      </c>
      <c r="J169" s="3">
        <f ca="1"/>
        <v>0</v>
      </c>
      <c r="K169" s="3">
        <f ca="1"/>
        <v>0</v>
      </c>
      <c r="M169" s="3">
        <f ca="1"/>
        <v>0</v>
      </c>
      <c r="N169" s="3">
        <f ca="1"/>
        <v>0</v>
      </c>
      <c r="O169" s="3">
        <f ca="1"/>
        <v>0</v>
      </c>
    </row>
    <row r="170" spans="2:15" ht="13">
      <c r="B170" s="3"/>
      <c r="C170" s="3"/>
      <c r="D170" s="3"/>
      <c r="E170" s="3"/>
      <c r="F170" s="3"/>
      <c r="G170" s="3"/>
      <c r="I170" s="3">
        <f ca="1"/>
        <v>0</v>
      </c>
      <c r="J170" s="3">
        <f ca="1"/>
        <v>0</v>
      </c>
      <c r="K170" s="3">
        <f ca="1"/>
        <v>0</v>
      </c>
      <c r="M170" s="3">
        <f ca="1"/>
        <v>0</v>
      </c>
      <c r="N170" s="3">
        <f ca="1"/>
        <v>0</v>
      </c>
      <c r="O170" s="3">
        <f ca="1"/>
        <v>0</v>
      </c>
    </row>
    <row r="171" spans="2:15" ht="13">
      <c r="B171" s="3"/>
      <c r="C171" s="3"/>
      <c r="D171" s="3"/>
      <c r="E171" s="3"/>
      <c r="F171" s="3"/>
      <c r="G171" s="3"/>
      <c r="I171" s="3">
        <f ca="1"/>
        <v>0</v>
      </c>
      <c r="J171" s="3">
        <f ca="1"/>
        <v>0</v>
      </c>
      <c r="K171" s="3">
        <f ca="1"/>
        <v>0</v>
      </c>
      <c r="M171" s="3">
        <f ca="1"/>
        <v>0</v>
      </c>
      <c r="N171" s="3">
        <f ca="1"/>
        <v>0</v>
      </c>
      <c r="O171" s="3">
        <f ca="1"/>
        <v>0</v>
      </c>
    </row>
    <row r="172" spans="2:15" ht="13">
      <c r="B172" s="3"/>
      <c r="C172" s="3"/>
      <c r="D172" s="3"/>
      <c r="E172" s="3"/>
      <c r="F172" s="3"/>
      <c r="G172" s="3"/>
      <c r="I172" s="3">
        <f ca="1"/>
        <v>0</v>
      </c>
      <c r="J172" s="3">
        <f ca="1"/>
        <v>0</v>
      </c>
      <c r="K172" s="3">
        <f ca="1"/>
        <v>0</v>
      </c>
      <c r="M172" s="3">
        <f ca="1"/>
        <v>0</v>
      </c>
      <c r="N172" s="3">
        <f ca="1"/>
        <v>0</v>
      </c>
      <c r="O172" s="3">
        <f ca="1"/>
        <v>0</v>
      </c>
    </row>
    <row r="173" spans="2:15" ht="13">
      <c r="B173" s="3"/>
      <c r="C173" s="3"/>
      <c r="D173" s="3"/>
      <c r="E173" s="3"/>
      <c r="F173" s="3"/>
      <c r="G173" s="3"/>
      <c r="I173" s="3">
        <f ca="1"/>
        <v>0</v>
      </c>
      <c r="J173" s="3">
        <f ca="1"/>
        <v>0</v>
      </c>
      <c r="K173" s="3">
        <f ca="1"/>
        <v>0</v>
      </c>
      <c r="M173" s="3">
        <f ca="1"/>
        <v>0</v>
      </c>
      <c r="N173" s="3">
        <f ca="1"/>
        <v>0</v>
      </c>
      <c r="O173" s="3">
        <f ca="1"/>
        <v>0</v>
      </c>
    </row>
    <row r="174" spans="2:15" ht="13">
      <c r="B174" s="3"/>
      <c r="C174" s="3"/>
      <c r="D174" s="3"/>
      <c r="E174" s="3"/>
      <c r="F174" s="3"/>
      <c r="G174" s="3"/>
      <c r="I174" s="3">
        <f ca="1"/>
        <v>0</v>
      </c>
      <c r="J174" s="3">
        <f ca="1"/>
        <v>0</v>
      </c>
      <c r="K174" s="3">
        <f ca="1"/>
        <v>0</v>
      </c>
      <c r="M174" s="3">
        <f ca="1"/>
        <v>0</v>
      </c>
      <c r="N174" s="3">
        <f ca="1"/>
        <v>0</v>
      </c>
      <c r="O174" s="3">
        <f ca="1"/>
        <v>0</v>
      </c>
    </row>
    <row r="175" spans="2:15" ht="13">
      <c r="B175" s="3"/>
      <c r="C175" s="3"/>
      <c r="D175" s="3"/>
      <c r="E175" s="3"/>
      <c r="F175" s="3"/>
      <c r="G175" s="3"/>
      <c r="I175" s="3">
        <f ca="1"/>
        <v>0</v>
      </c>
      <c r="J175" s="3">
        <f ca="1"/>
        <v>0</v>
      </c>
      <c r="K175" s="3">
        <f ca="1"/>
        <v>0</v>
      </c>
      <c r="M175" s="3">
        <f ca="1"/>
        <v>0</v>
      </c>
      <c r="N175" s="3">
        <f ca="1"/>
        <v>0</v>
      </c>
      <c r="O175" s="3">
        <f ca="1"/>
        <v>0</v>
      </c>
    </row>
    <row r="176" spans="2:15" ht="13">
      <c r="B176" s="3"/>
      <c r="C176" s="3"/>
      <c r="D176" s="3"/>
      <c r="E176" s="3"/>
      <c r="F176" s="3"/>
      <c r="G176" s="3"/>
      <c r="I176" s="3">
        <f ca="1"/>
        <v>0</v>
      </c>
      <c r="J176" s="3">
        <f ca="1"/>
        <v>0</v>
      </c>
      <c r="K176" s="3">
        <f ca="1"/>
        <v>0</v>
      </c>
      <c r="M176" s="3">
        <f ca="1"/>
        <v>0</v>
      </c>
      <c r="N176" s="3">
        <f ca="1"/>
        <v>0</v>
      </c>
      <c r="O176" s="3">
        <f ca="1"/>
        <v>0</v>
      </c>
    </row>
    <row r="177" spans="2:15" ht="13">
      <c r="B177" s="3"/>
      <c r="C177" s="3"/>
      <c r="D177" s="3"/>
      <c r="E177" s="3"/>
      <c r="F177" s="3"/>
      <c r="G177" s="3"/>
      <c r="I177" s="3">
        <f ca="1"/>
        <v>0</v>
      </c>
      <c r="J177" s="3">
        <f ca="1"/>
        <v>0</v>
      </c>
      <c r="K177" s="3">
        <f ca="1"/>
        <v>0</v>
      </c>
      <c r="M177" s="3">
        <f ca="1"/>
        <v>0</v>
      </c>
      <c r="N177" s="3">
        <f ca="1"/>
        <v>0</v>
      </c>
      <c r="O177" s="3">
        <f ca="1"/>
        <v>0</v>
      </c>
    </row>
    <row r="178" spans="2:15" ht="13">
      <c r="B178" s="3"/>
      <c r="C178" s="3"/>
      <c r="D178" s="3"/>
      <c r="E178" s="3"/>
      <c r="F178" s="3"/>
      <c r="G178" s="3"/>
      <c r="I178" s="3">
        <f ca="1"/>
        <v>0</v>
      </c>
      <c r="J178" s="3">
        <f ca="1"/>
        <v>0</v>
      </c>
      <c r="K178" s="3">
        <f ca="1"/>
        <v>0</v>
      </c>
      <c r="M178" s="3">
        <f ca="1"/>
        <v>0</v>
      </c>
      <c r="N178" s="3">
        <f ca="1"/>
        <v>0</v>
      </c>
      <c r="O178" s="3">
        <f ca="1"/>
        <v>0</v>
      </c>
    </row>
    <row r="179" spans="2:15" ht="13">
      <c r="B179" s="3"/>
      <c r="C179" s="3"/>
      <c r="D179" s="3"/>
      <c r="E179" s="3"/>
      <c r="F179" s="3"/>
      <c r="G179" s="3"/>
      <c r="I179" s="3">
        <f ca="1"/>
        <v>0</v>
      </c>
      <c r="J179" s="3">
        <f ca="1"/>
        <v>0</v>
      </c>
      <c r="K179" s="3">
        <f ca="1"/>
        <v>0</v>
      </c>
      <c r="M179" s="3">
        <f ca="1"/>
        <v>0</v>
      </c>
      <c r="N179" s="3">
        <f ca="1"/>
        <v>0</v>
      </c>
      <c r="O179" s="3">
        <f ca="1"/>
        <v>0</v>
      </c>
    </row>
    <row r="180" spans="2:15" ht="13">
      <c r="B180" s="3"/>
      <c r="C180" s="3"/>
      <c r="D180" s="3"/>
      <c r="E180" s="3"/>
      <c r="F180" s="3"/>
      <c r="G180" s="3"/>
      <c r="I180" s="3">
        <f ca="1"/>
        <v>0</v>
      </c>
      <c r="J180" s="3">
        <f ca="1"/>
        <v>0</v>
      </c>
      <c r="K180" s="3">
        <f ca="1"/>
        <v>0</v>
      </c>
      <c r="M180" s="3">
        <f ca="1"/>
        <v>0</v>
      </c>
      <c r="N180" s="3">
        <f ca="1"/>
        <v>0</v>
      </c>
      <c r="O180" s="3">
        <f ca="1"/>
        <v>0</v>
      </c>
    </row>
    <row r="181" spans="2:15" ht="13">
      <c r="B181" s="3"/>
      <c r="C181" s="3"/>
      <c r="D181" s="3"/>
      <c r="E181" s="3"/>
      <c r="F181" s="3"/>
      <c r="G181" s="3"/>
      <c r="I181" s="3">
        <f ca="1"/>
        <v>0</v>
      </c>
      <c r="J181" s="3">
        <f ca="1"/>
        <v>0</v>
      </c>
      <c r="K181" s="3">
        <f ca="1"/>
        <v>0</v>
      </c>
      <c r="M181" s="3">
        <f ca="1"/>
        <v>0</v>
      </c>
      <c r="N181" s="3">
        <f ca="1"/>
        <v>0</v>
      </c>
      <c r="O181" s="3">
        <f ca="1"/>
        <v>0</v>
      </c>
    </row>
    <row r="182" spans="2:15" ht="13">
      <c r="B182" s="3"/>
      <c r="C182" s="3"/>
      <c r="D182" s="3"/>
      <c r="E182" s="3"/>
      <c r="F182" s="3"/>
      <c r="G182" s="3"/>
      <c r="I182" s="3">
        <f ca="1"/>
        <v>0</v>
      </c>
      <c r="J182" s="3">
        <f ca="1"/>
        <v>0</v>
      </c>
      <c r="K182" s="3">
        <f ca="1"/>
        <v>0</v>
      </c>
      <c r="M182" s="3">
        <f ca="1"/>
        <v>0</v>
      </c>
      <c r="N182" s="3">
        <f ca="1"/>
        <v>0</v>
      </c>
      <c r="O182" s="3">
        <f ca="1"/>
        <v>0</v>
      </c>
    </row>
    <row r="183" spans="2:15" ht="13">
      <c r="B183" s="3"/>
      <c r="C183" s="3"/>
      <c r="D183" s="3"/>
      <c r="E183" s="3"/>
      <c r="F183" s="3"/>
      <c r="G183" s="3"/>
      <c r="I183" s="3">
        <f ca="1"/>
        <v>0</v>
      </c>
      <c r="J183" s="3">
        <f ca="1"/>
        <v>0</v>
      </c>
      <c r="K183" s="3">
        <f ca="1"/>
        <v>0</v>
      </c>
      <c r="M183" s="3">
        <f ca="1"/>
        <v>0</v>
      </c>
      <c r="N183" s="3">
        <f ca="1"/>
        <v>0</v>
      </c>
      <c r="O183" s="3">
        <f ca="1"/>
        <v>0</v>
      </c>
    </row>
    <row r="184" spans="2:15" ht="13">
      <c r="B184" s="3"/>
      <c r="C184" s="3"/>
      <c r="D184" s="3"/>
      <c r="E184" s="3"/>
      <c r="F184" s="3"/>
      <c r="G184" s="3"/>
      <c r="I184" s="3">
        <f ca="1"/>
        <v>0</v>
      </c>
      <c r="J184" s="3">
        <f ca="1"/>
        <v>0</v>
      </c>
      <c r="K184" s="3">
        <f ca="1"/>
        <v>0</v>
      </c>
      <c r="M184" s="3">
        <f ca="1"/>
        <v>0</v>
      </c>
      <c r="N184" s="3">
        <f ca="1"/>
        <v>0</v>
      </c>
      <c r="O184" s="3">
        <f ca="1"/>
        <v>0</v>
      </c>
    </row>
    <row r="185" spans="2:15" ht="13">
      <c r="B185" s="3"/>
      <c r="C185" s="3"/>
      <c r="D185" s="3"/>
      <c r="E185" s="3"/>
      <c r="F185" s="3"/>
      <c r="G185" s="3"/>
      <c r="I185" s="3">
        <f ca="1"/>
        <v>0</v>
      </c>
      <c r="J185" s="3">
        <f ca="1"/>
        <v>0</v>
      </c>
      <c r="K185" s="3">
        <f ca="1"/>
        <v>0</v>
      </c>
      <c r="M185" s="3">
        <f ca="1"/>
        <v>0</v>
      </c>
      <c r="N185" s="3">
        <f ca="1"/>
        <v>0</v>
      </c>
      <c r="O185" s="3">
        <f ca="1"/>
        <v>0</v>
      </c>
    </row>
    <row r="186" spans="2:15" ht="13">
      <c r="B186" s="3"/>
      <c r="C186" s="3"/>
      <c r="D186" s="3"/>
      <c r="E186" s="3"/>
      <c r="F186" s="3"/>
      <c r="G186" s="3"/>
      <c r="I186" s="3">
        <f ca="1"/>
        <v>0</v>
      </c>
      <c r="J186" s="3">
        <f ca="1"/>
        <v>0</v>
      </c>
      <c r="K186" s="3">
        <f ca="1"/>
        <v>0</v>
      </c>
      <c r="M186" s="3">
        <f ca="1"/>
        <v>0</v>
      </c>
      <c r="N186" s="3">
        <f ca="1"/>
        <v>0</v>
      </c>
      <c r="O186" s="3">
        <f ca="1"/>
        <v>0</v>
      </c>
    </row>
    <row r="187" spans="2:15" ht="13">
      <c r="B187" s="3"/>
      <c r="C187" s="3"/>
      <c r="D187" s="3"/>
      <c r="E187" s="3"/>
      <c r="F187" s="3"/>
      <c r="G187" s="3"/>
      <c r="I187" s="3">
        <f ca="1"/>
        <v>0</v>
      </c>
      <c r="J187" s="3">
        <f ca="1"/>
        <v>0</v>
      </c>
      <c r="K187" s="3">
        <f ca="1"/>
        <v>0</v>
      </c>
      <c r="M187" s="3">
        <f ca="1"/>
        <v>0</v>
      </c>
      <c r="N187" s="3">
        <f ca="1"/>
        <v>0</v>
      </c>
      <c r="O187" s="3">
        <f ca="1"/>
        <v>0</v>
      </c>
    </row>
    <row r="188" spans="2:15" ht="13">
      <c r="B188" s="3"/>
      <c r="C188" s="3"/>
      <c r="D188" s="3"/>
      <c r="E188" s="3"/>
      <c r="F188" s="3"/>
      <c r="G188" s="3"/>
      <c r="I188" s="3">
        <f ca="1"/>
        <v>0</v>
      </c>
      <c r="J188" s="3">
        <f ca="1"/>
        <v>0</v>
      </c>
      <c r="K188" s="3">
        <f ca="1"/>
        <v>0</v>
      </c>
      <c r="M188" s="3">
        <f ca="1"/>
        <v>0</v>
      </c>
      <c r="N188" s="3">
        <f ca="1"/>
        <v>0</v>
      </c>
      <c r="O188" s="3">
        <f ca="1"/>
        <v>0</v>
      </c>
    </row>
    <row r="189" spans="2:15" ht="13">
      <c r="B189" s="3"/>
      <c r="C189" s="3"/>
      <c r="D189" s="3"/>
      <c r="E189" s="3"/>
      <c r="F189" s="3"/>
      <c r="G189" s="3"/>
      <c r="I189" s="3">
        <f ca="1"/>
        <v>0</v>
      </c>
      <c r="J189" s="3">
        <f ca="1"/>
        <v>0</v>
      </c>
      <c r="K189" s="3">
        <f ca="1"/>
        <v>0</v>
      </c>
      <c r="M189" s="3">
        <f ca="1"/>
        <v>0</v>
      </c>
      <c r="N189" s="3">
        <f ca="1"/>
        <v>0</v>
      </c>
      <c r="O189" s="3">
        <f ca="1"/>
        <v>0</v>
      </c>
    </row>
    <row r="190" spans="2:15" ht="13">
      <c r="B190" s="3"/>
      <c r="C190" s="3"/>
      <c r="D190" s="3"/>
      <c r="E190" s="3"/>
      <c r="F190" s="3"/>
      <c r="G190" s="3"/>
      <c r="I190" s="3">
        <f ca="1"/>
        <v>0</v>
      </c>
      <c r="J190" s="3">
        <f ca="1"/>
        <v>0</v>
      </c>
      <c r="K190" s="3">
        <f ca="1"/>
        <v>0</v>
      </c>
      <c r="M190" s="3">
        <f ca="1"/>
        <v>0</v>
      </c>
      <c r="N190" s="3">
        <f ca="1"/>
        <v>0</v>
      </c>
      <c r="O190" s="3">
        <f ca="1"/>
        <v>0</v>
      </c>
    </row>
    <row r="191" spans="2:15" ht="13">
      <c r="B191" s="3"/>
      <c r="C191" s="3"/>
      <c r="D191" s="3"/>
      <c r="E191" s="3"/>
      <c r="F191" s="3"/>
      <c r="G191" s="3"/>
      <c r="I191" s="3">
        <f ca="1"/>
        <v>0</v>
      </c>
      <c r="J191" s="3">
        <f ca="1"/>
        <v>0</v>
      </c>
      <c r="K191" s="3">
        <f ca="1"/>
        <v>0</v>
      </c>
      <c r="M191" s="3">
        <f ca="1"/>
        <v>0</v>
      </c>
      <c r="N191" s="3">
        <f ca="1"/>
        <v>0</v>
      </c>
      <c r="O191" s="3">
        <f ca="1"/>
        <v>0</v>
      </c>
    </row>
    <row r="192" spans="2:15" ht="13">
      <c r="B192" s="3"/>
      <c r="C192" s="3"/>
      <c r="D192" s="3"/>
      <c r="E192" s="3"/>
      <c r="F192" s="3"/>
      <c r="G192" s="3"/>
      <c r="I192" s="3">
        <f ca="1"/>
        <v>0</v>
      </c>
      <c r="J192" s="3">
        <f ca="1"/>
        <v>0</v>
      </c>
      <c r="K192" s="3">
        <f ca="1"/>
        <v>0</v>
      </c>
      <c r="M192" s="3">
        <f ca="1"/>
        <v>0</v>
      </c>
      <c r="N192" s="3">
        <f ca="1"/>
        <v>0</v>
      </c>
      <c r="O192" s="3">
        <f ca="1"/>
        <v>0</v>
      </c>
    </row>
    <row r="193" spans="2:15" ht="13">
      <c r="B193" s="3"/>
      <c r="C193" s="3"/>
      <c r="D193" s="3"/>
      <c r="E193" s="3"/>
      <c r="F193" s="3"/>
      <c r="G193" s="3"/>
      <c r="I193" s="3">
        <f ca="1"/>
        <v>0</v>
      </c>
      <c r="J193" s="3">
        <f ca="1"/>
        <v>0</v>
      </c>
      <c r="K193" s="3">
        <f ca="1"/>
        <v>0</v>
      </c>
      <c r="M193" s="3">
        <f ca="1"/>
        <v>0</v>
      </c>
      <c r="N193" s="3">
        <f ca="1"/>
        <v>0</v>
      </c>
      <c r="O193" s="3">
        <f ca="1"/>
        <v>0</v>
      </c>
    </row>
    <row r="194" spans="2:15" ht="13">
      <c r="B194" s="3"/>
      <c r="C194" s="3"/>
      <c r="D194" s="3"/>
      <c r="E194" s="3"/>
      <c r="F194" s="3"/>
      <c r="G194" s="3"/>
      <c r="I194" s="3">
        <f ca="1"/>
        <v>0</v>
      </c>
      <c r="J194" s="3">
        <f ca="1"/>
        <v>0</v>
      </c>
      <c r="K194" s="3">
        <f ca="1"/>
        <v>0</v>
      </c>
      <c r="M194" s="3">
        <f ca="1"/>
        <v>0</v>
      </c>
      <c r="N194" s="3">
        <f ca="1"/>
        <v>0</v>
      </c>
      <c r="O194" s="3">
        <f ca="1"/>
        <v>0</v>
      </c>
    </row>
    <row r="195" spans="2:15" ht="13">
      <c r="B195" s="3"/>
      <c r="C195" s="3"/>
      <c r="D195" s="3"/>
      <c r="E195" s="3"/>
      <c r="F195" s="3"/>
      <c r="G195" s="3"/>
      <c r="I195" s="3">
        <f ca="1"/>
        <v>0</v>
      </c>
      <c r="J195" s="3">
        <f ca="1"/>
        <v>0</v>
      </c>
      <c r="K195" s="3">
        <f ca="1"/>
        <v>0</v>
      </c>
      <c r="M195" s="3">
        <f ca="1"/>
        <v>0</v>
      </c>
      <c r="N195" s="3">
        <f ca="1"/>
        <v>0</v>
      </c>
      <c r="O195" s="3">
        <f ca="1"/>
        <v>0</v>
      </c>
    </row>
    <row r="196" spans="2:15" ht="13">
      <c r="B196" s="3"/>
      <c r="C196" s="3"/>
      <c r="D196" s="3"/>
      <c r="E196" s="3"/>
      <c r="F196" s="3"/>
      <c r="G196" s="3"/>
      <c r="I196" s="3">
        <f ca="1"/>
        <v>0</v>
      </c>
      <c r="J196" s="3">
        <f ca="1"/>
        <v>0</v>
      </c>
      <c r="K196" s="3">
        <f ca="1"/>
        <v>0</v>
      </c>
      <c r="M196" s="3">
        <f ca="1"/>
        <v>0</v>
      </c>
      <c r="N196" s="3">
        <f ca="1"/>
        <v>0</v>
      </c>
      <c r="O196" s="3">
        <f ca="1"/>
        <v>0</v>
      </c>
    </row>
    <row r="197" spans="2:15" ht="13">
      <c r="B197" s="3"/>
      <c r="C197" s="3"/>
      <c r="D197" s="3"/>
      <c r="E197" s="3"/>
      <c r="F197" s="3"/>
      <c r="G197" s="3"/>
      <c r="I197" s="3">
        <f ca="1"/>
        <v>0</v>
      </c>
      <c r="J197" s="3">
        <f ca="1"/>
        <v>0</v>
      </c>
      <c r="K197" s="3">
        <f ca="1"/>
        <v>0</v>
      </c>
      <c r="M197" s="3">
        <f ca="1"/>
        <v>0</v>
      </c>
      <c r="N197" s="3">
        <f ca="1"/>
        <v>0</v>
      </c>
      <c r="O197" s="3">
        <f ca="1"/>
        <v>0</v>
      </c>
    </row>
    <row r="198" spans="2:15" ht="13">
      <c r="B198" s="3"/>
      <c r="C198" s="3"/>
      <c r="D198" s="3"/>
      <c r="E198" s="3"/>
      <c r="F198" s="3"/>
      <c r="G198" s="3"/>
      <c r="I198" s="3">
        <f ca="1"/>
        <v>0</v>
      </c>
      <c r="J198" s="3">
        <f ca="1"/>
        <v>0</v>
      </c>
      <c r="K198" s="3">
        <f ca="1"/>
        <v>0</v>
      </c>
      <c r="M198" s="3">
        <f ca="1"/>
        <v>0</v>
      </c>
      <c r="N198" s="3">
        <f ca="1"/>
        <v>0</v>
      </c>
      <c r="O198" s="3">
        <f ca="1"/>
        <v>0</v>
      </c>
    </row>
    <row r="199" spans="2:15" ht="13">
      <c r="B199" s="3"/>
      <c r="C199" s="3"/>
      <c r="D199" s="3"/>
      <c r="E199" s="3"/>
      <c r="F199" s="3"/>
      <c r="G199" s="3"/>
      <c r="I199" s="3">
        <f ca="1"/>
        <v>0</v>
      </c>
      <c r="J199" s="3">
        <f ca="1"/>
        <v>0</v>
      </c>
      <c r="K199" s="3">
        <f ca="1"/>
        <v>0</v>
      </c>
      <c r="M199" s="3">
        <f ca="1"/>
        <v>0</v>
      </c>
      <c r="N199" s="3">
        <f ca="1"/>
        <v>0</v>
      </c>
      <c r="O199" s="3">
        <f ca="1"/>
        <v>0</v>
      </c>
    </row>
    <row r="200" spans="2:15" ht="13">
      <c r="B200" s="3"/>
      <c r="C200" s="3"/>
      <c r="D200" s="3"/>
      <c r="E200" s="3"/>
      <c r="F200" s="3"/>
      <c r="G200" s="3"/>
      <c r="I200" s="3">
        <f ca="1"/>
        <v>0</v>
      </c>
      <c r="J200" s="3">
        <f ca="1"/>
        <v>0</v>
      </c>
      <c r="K200" s="3">
        <f ca="1"/>
        <v>0</v>
      </c>
      <c r="M200" s="3">
        <f ca="1"/>
        <v>0</v>
      </c>
      <c r="N200" s="3">
        <f ca="1"/>
        <v>0</v>
      </c>
      <c r="O200" s="3">
        <f ca="1"/>
        <v>0</v>
      </c>
    </row>
    <row r="201" spans="2:15" ht="13">
      <c r="B201" s="3"/>
      <c r="C201" s="3"/>
      <c r="D201" s="3"/>
      <c r="E201" s="3"/>
      <c r="F201" s="3"/>
      <c r="G201" s="3"/>
      <c r="I201" s="3">
        <f ca="1"/>
        <v>0</v>
      </c>
      <c r="J201" s="3">
        <f ca="1"/>
        <v>0</v>
      </c>
      <c r="K201" s="3">
        <f ca="1"/>
        <v>0</v>
      </c>
      <c r="M201" s="3">
        <f ca="1"/>
        <v>0</v>
      </c>
      <c r="N201" s="3">
        <f ca="1"/>
        <v>0</v>
      </c>
      <c r="O201" s="3">
        <f ca="1"/>
        <v>0</v>
      </c>
    </row>
    <row r="202" spans="2:15" ht="13">
      <c r="B202" s="3"/>
      <c r="C202" s="3"/>
      <c r="D202" s="3"/>
      <c r="E202" s="3"/>
      <c r="F202" s="3"/>
      <c r="G202" s="3"/>
      <c r="I202" s="3">
        <f ca="1"/>
        <v>0</v>
      </c>
      <c r="J202" s="3">
        <f ca="1"/>
        <v>0</v>
      </c>
      <c r="K202" s="3">
        <f ca="1"/>
        <v>0</v>
      </c>
      <c r="M202" s="3">
        <f ca="1"/>
        <v>0</v>
      </c>
      <c r="N202" s="3">
        <f ca="1"/>
        <v>0</v>
      </c>
      <c r="O202" s="3">
        <f ca="1"/>
        <v>0</v>
      </c>
    </row>
    <row r="203" spans="2:15" ht="13">
      <c r="B203" s="3"/>
      <c r="C203" s="3"/>
      <c r="D203" s="3"/>
      <c r="E203" s="3"/>
      <c r="F203" s="3"/>
      <c r="G203" s="3"/>
      <c r="I203" s="3">
        <f ca="1"/>
        <v>0</v>
      </c>
      <c r="J203" s="3">
        <f ca="1"/>
        <v>0</v>
      </c>
      <c r="K203" s="3">
        <f ca="1"/>
        <v>0</v>
      </c>
      <c r="M203" s="3">
        <f ca="1"/>
        <v>0</v>
      </c>
      <c r="N203" s="3">
        <f ca="1"/>
        <v>0</v>
      </c>
      <c r="O203" s="3">
        <f ca="1"/>
        <v>0</v>
      </c>
    </row>
    <row r="204" spans="2:15" ht="13">
      <c r="B204" s="3"/>
      <c r="C204" s="3"/>
      <c r="D204" s="3"/>
      <c r="E204" s="3"/>
      <c r="F204" s="3"/>
      <c r="G204" s="3"/>
      <c r="I204" s="3">
        <f ca="1"/>
        <v>0</v>
      </c>
      <c r="J204" s="3">
        <f ca="1"/>
        <v>0</v>
      </c>
      <c r="K204" s="3">
        <f ca="1"/>
        <v>0</v>
      </c>
      <c r="M204" s="3">
        <f ca="1"/>
        <v>0</v>
      </c>
      <c r="N204" s="3">
        <f ca="1"/>
        <v>0</v>
      </c>
      <c r="O204" s="3">
        <f ca="1"/>
        <v>0</v>
      </c>
    </row>
    <row r="205" spans="2:15" ht="13">
      <c r="B205" s="3"/>
      <c r="C205" s="3"/>
      <c r="D205" s="3"/>
      <c r="E205" s="3"/>
      <c r="F205" s="3"/>
      <c r="G205" s="3"/>
      <c r="I205" s="3">
        <f ca="1"/>
        <v>0</v>
      </c>
      <c r="J205" s="3">
        <f ca="1"/>
        <v>0</v>
      </c>
      <c r="K205" s="3">
        <f ca="1"/>
        <v>0</v>
      </c>
      <c r="M205" s="3">
        <f ca="1"/>
        <v>0</v>
      </c>
      <c r="N205" s="3">
        <f ca="1"/>
        <v>0</v>
      </c>
      <c r="O205" s="3">
        <f ca="1"/>
        <v>0</v>
      </c>
    </row>
    <row r="206" spans="2:15" ht="13">
      <c r="B206" s="3"/>
      <c r="C206" s="3"/>
      <c r="D206" s="3"/>
      <c r="E206" s="3"/>
      <c r="F206" s="3"/>
      <c r="G206" s="3"/>
      <c r="I206" s="3">
        <f ca="1"/>
        <v>0</v>
      </c>
      <c r="J206" s="3">
        <f ca="1"/>
        <v>0</v>
      </c>
      <c r="K206" s="3">
        <f ca="1"/>
        <v>0</v>
      </c>
      <c r="M206" s="3">
        <f ca="1"/>
        <v>0</v>
      </c>
      <c r="N206" s="3">
        <f ca="1"/>
        <v>0</v>
      </c>
      <c r="O206" s="3">
        <f ca="1"/>
        <v>0</v>
      </c>
    </row>
    <row r="207" spans="2:15" ht="13">
      <c r="B207" s="3"/>
      <c r="C207" s="3"/>
      <c r="D207" s="3"/>
      <c r="E207" s="3"/>
      <c r="F207" s="3"/>
      <c r="G207" s="3"/>
      <c r="I207" s="3">
        <f ca="1"/>
        <v>0</v>
      </c>
      <c r="J207" s="3">
        <f ca="1"/>
        <v>0</v>
      </c>
      <c r="K207" s="3">
        <f ca="1"/>
        <v>0</v>
      </c>
      <c r="M207" s="3">
        <f ca="1"/>
        <v>0</v>
      </c>
      <c r="N207" s="3">
        <f ca="1"/>
        <v>0</v>
      </c>
      <c r="O207" s="3">
        <f ca="1"/>
        <v>0</v>
      </c>
    </row>
    <row r="208" spans="2:15" ht="13">
      <c r="B208" s="3"/>
      <c r="C208" s="3"/>
      <c r="D208" s="3"/>
      <c r="E208" s="3"/>
      <c r="F208" s="3"/>
      <c r="G208" s="3"/>
      <c r="I208" s="3">
        <f ca="1"/>
        <v>0</v>
      </c>
      <c r="J208" s="3">
        <f ca="1"/>
        <v>0</v>
      </c>
      <c r="K208" s="3">
        <f ca="1"/>
        <v>0</v>
      </c>
      <c r="M208" s="3">
        <f ca="1"/>
        <v>0</v>
      </c>
      <c r="N208" s="3">
        <f ca="1"/>
        <v>0</v>
      </c>
      <c r="O208" s="3">
        <f ca="1"/>
        <v>0</v>
      </c>
    </row>
    <row r="209" spans="2:15" ht="13">
      <c r="B209" s="3"/>
      <c r="C209" s="3"/>
      <c r="D209" s="3"/>
      <c r="E209" s="3"/>
      <c r="F209" s="3"/>
      <c r="G209" s="3"/>
      <c r="I209" s="3">
        <f ca="1"/>
        <v>0</v>
      </c>
      <c r="J209" s="3">
        <f ca="1"/>
        <v>0</v>
      </c>
      <c r="K209" s="3">
        <f ca="1"/>
        <v>0</v>
      </c>
      <c r="M209" s="3">
        <f ca="1"/>
        <v>0</v>
      </c>
      <c r="N209" s="3">
        <f ca="1"/>
        <v>0</v>
      </c>
      <c r="O209" s="3">
        <f ca="1"/>
        <v>0</v>
      </c>
    </row>
    <row r="210" spans="2:15" ht="13">
      <c r="B210" s="3"/>
      <c r="C210" s="3"/>
      <c r="D210" s="3"/>
      <c r="E210" s="3"/>
      <c r="F210" s="3"/>
      <c r="G210" s="3"/>
      <c r="I210" s="3">
        <f ca="1"/>
        <v>0</v>
      </c>
      <c r="J210" s="3">
        <f ca="1"/>
        <v>0</v>
      </c>
      <c r="K210" s="3">
        <f ca="1"/>
        <v>0</v>
      </c>
      <c r="M210" s="3">
        <f ca="1"/>
        <v>0</v>
      </c>
      <c r="N210" s="3">
        <f ca="1"/>
        <v>0</v>
      </c>
      <c r="O210" s="3">
        <f ca="1"/>
        <v>0</v>
      </c>
    </row>
    <row r="211" spans="2:15" ht="13">
      <c r="B211" s="3"/>
      <c r="C211" s="3"/>
      <c r="D211" s="3"/>
      <c r="E211" s="3"/>
      <c r="F211" s="3"/>
      <c r="G211" s="3"/>
      <c r="I211" s="3">
        <f ca="1"/>
        <v>0</v>
      </c>
      <c r="J211" s="3">
        <f ca="1"/>
        <v>0</v>
      </c>
      <c r="K211" s="3">
        <f ca="1"/>
        <v>0</v>
      </c>
      <c r="M211" s="3">
        <f ca="1"/>
        <v>0</v>
      </c>
      <c r="N211" s="3">
        <f ca="1"/>
        <v>0</v>
      </c>
      <c r="O211" s="3">
        <f ca="1"/>
        <v>0</v>
      </c>
    </row>
    <row r="212" spans="2:15" ht="13">
      <c r="B212" s="3"/>
      <c r="C212" s="3"/>
      <c r="D212" s="3"/>
      <c r="E212" s="3"/>
      <c r="F212" s="3"/>
      <c r="G212" s="3"/>
      <c r="I212" s="3">
        <f ca="1"/>
        <v>0</v>
      </c>
      <c r="J212" s="3">
        <f ca="1"/>
        <v>0</v>
      </c>
      <c r="K212" s="3">
        <f ca="1"/>
        <v>0</v>
      </c>
      <c r="M212" s="3">
        <f ca="1"/>
        <v>0</v>
      </c>
      <c r="N212" s="3">
        <f ca="1"/>
        <v>0</v>
      </c>
      <c r="O212" s="3">
        <f ca="1"/>
        <v>0</v>
      </c>
    </row>
    <row r="213" spans="2:15" ht="13">
      <c r="B213" s="3"/>
      <c r="C213" s="3"/>
      <c r="D213" s="3"/>
      <c r="E213" s="3"/>
      <c r="F213" s="3"/>
      <c r="G213" s="3"/>
      <c r="I213" s="3">
        <f ca="1"/>
        <v>0</v>
      </c>
      <c r="J213" s="3">
        <f ca="1"/>
        <v>0</v>
      </c>
      <c r="K213" s="3">
        <f ca="1"/>
        <v>0</v>
      </c>
      <c r="M213" s="3">
        <f ca="1"/>
        <v>0</v>
      </c>
      <c r="N213" s="3">
        <f ca="1"/>
        <v>0</v>
      </c>
      <c r="O213" s="3">
        <f ca="1"/>
        <v>0</v>
      </c>
    </row>
    <row r="214" spans="2:15" ht="13">
      <c r="B214" s="3"/>
      <c r="C214" s="3"/>
      <c r="D214" s="3"/>
      <c r="E214" s="3"/>
      <c r="F214" s="3"/>
      <c r="G214" s="3"/>
      <c r="I214" s="3">
        <f ca="1"/>
        <v>0</v>
      </c>
      <c r="J214" s="3">
        <f ca="1"/>
        <v>0</v>
      </c>
      <c r="K214" s="3">
        <f ca="1"/>
        <v>0</v>
      </c>
      <c r="M214" s="3">
        <f ca="1"/>
        <v>0</v>
      </c>
      <c r="N214" s="3">
        <f ca="1"/>
        <v>0</v>
      </c>
      <c r="O214" s="3">
        <f ca="1"/>
        <v>0</v>
      </c>
    </row>
    <row r="215" spans="2:15" ht="13">
      <c r="B215" s="3"/>
      <c r="C215" s="3"/>
      <c r="D215" s="3"/>
      <c r="E215" s="3"/>
      <c r="F215" s="3"/>
      <c r="G215" s="3"/>
      <c r="I215" s="3">
        <f ca="1"/>
        <v>0</v>
      </c>
      <c r="J215" s="3">
        <f ca="1"/>
        <v>0</v>
      </c>
      <c r="K215" s="3">
        <f ca="1"/>
        <v>0</v>
      </c>
      <c r="M215" s="3">
        <f ca="1"/>
        <v>0</v>
      </c>
      <c r="N215" s="3">
        <f ca="1"/>
        <v>0</v>
      </c>
      <c r="O215" s="3">
        <f ca="1"/>
        <v>0</v>
      </c>
    </row>
    <row r="216" spans="2:15" ht="13">
      <c r="B216" s="3"/>
      <c r="C216" s="3"/>
      <c r="D216" s="3"/>
      <c r="E216" s="3"/>
      <c r="F216" s="3"/>
      <c r="G216" s="3"/>
      <c r="I216" s="3">
        <f ca="1"/>
        <v>0</v>
      </c>
      <c r="J216" s="3">
        <f ca="1"/>
        <v>0</v>
      </c>
      <c r="K216" s="3">
        <f ca="1"/>
        <v>0</v>
      </c>
      <c r="M216" s="3">
        <f ca="1"/>
        <v>0</v>
      </c>
      <c r="N216" s="3">
        <f ca="1"/>
        <v>0</v>
      </c>
      <c r="O216" s="3">
        <f ca="1"/>
        <v>0</v>
      </c>
    </row>
    <row r="217" spans="2:15" ht="13">
      <c r="B217" s="3"/>
      <c r="C217" s="3"/>
      <c r="D217" s="3"/>
      <c r="E217" s="3"/>
      <c r="F217" s="3"/>
      <c r="G217" s="3"/>
      <c r="I217" s="3">
        <f ca="1"/>
        <v>0</v>
      </c>
      <c r="J217" s="3">
        <f ca="1"/>
        <v>0</v>
      </c>
      <c r="K217" s="3">
        <f ca="1"/>
        <v>0</v>
      </c>
      <c r="M217" s="3">
        <f ca="1"/>
        <v>0</v>
      </c>
      <c r="N217" s="3">
        <f ca="1"/>
        <v>0</v>
      </c>
      <c r="O217" s="3">
        <f ca="1"/>
        <v>0</v>
      </c>
    </row>
    <row r="218" spans="2:15" ht="13">
      <c r="B218" s="3"/>
      <c r="C218" s="3"/>
      <c r="D218" s="3"/>
      <c r="E218" s="3"/>
      <c r="F218" s="3"/>
      <c r="G218" s="3"/>
      <c r="I218" s="3">
        <f ca="1"/>
        <v>0</v>
      </c>
      <c r="J218" s="3">
        <f ca="1"/>
        <v>0</v>
      </c>
      <c r="K218" s="3">
        <f ca="1"/>
        <v>0</v>
      </c>
      <c r="M218" s="3">
        <f ca="1"/>
        <v>0</v>
      </c>
      <c r="N218" s="3">
        <f ca="1"/>
        <v>0</v>
      </c>
      <c r="O218" s="3">
        <f ca="1"/>
        <v>0</v>
      </c>
    </row>
    <row r="219" spans="2:15" ht="13">
      <c r="B219" s="3"/>
      <c r="C219" s="3"/>
      <c r="D219" s="3"/>
      <c r="E219" s="3"/>
      <c r="F219" s="3"/>
      <c r="G219" s="3"/>
      <c r="I219" s="3">
        <f ca="1"/>
        <v>0</v>
      </c>
      <c r="J219" s="3">
        <f ca="1"/>
        <v>0</v>
      </c>
      <c r="K219" s="3">
        <f ca="1"/>
        <v>0</v>
      </c>
      <c r="M219" s="3">
        <f ca="1"/>
        <v>0</v>
      </c>
      <c r="N219" s="3">
        <f ca="1"/>
        <v>0</v>
      </c>
      <c r="O219" s="3">
        <f ca="1"/>
        <v>0</v>
      </c>
    </row>
    <row r="220" spans="2:15" ht="13">
      <c r="B220" s="3"/>
      <c r="C220" s="3"/>
      <c r="D220" s="3"/>
      <c r="E220" s="3"/>
      <c r="F220" s="3"/>
      <c r="G220" s="3"/>
      <c r="I220" s="3">
        <f ca="1"/>
        <v>0</v>
      </c>
      <c r="J220" s="3">
        <f ca="1"/>
        <v>0</v>
      </c>
      <c r="K220" s="3">
        <f ca="1"/>
        <v>0</v>
      </c>
      <c r="M220" s="3">
        <f ca="1"/>
        <v>0</v>
      </c>
      <c r="N220" s="3">
        <f ca="1"/>
        <v>0</v>
      </c>
      <c r="O220" s="3">
        <f ca="1"/>
        <v>0</v>
      </c>
    </row>
    <row r="221" spans="2:15" ht="13">
      <c r="B221" s="3"/>
      <c r="C221" s="3"/>
      <c r="D221" s="3"/>
      <c r="E221" s="3"/>
      <c r="F221" s="3"/>
      <c r="G221" s="3"/>
      <c r="I221" s="3">
        <f ca="1"/>
        <v>0</v>
      </c>
      <c r="J221" s="3">
        <f ca="1"/>
        <v>0</v>
      </c>
      <c r="K221" s="3">
        <f ca="1"/>
        <v>0</v>
      </c>
      <c r="M221" s="3">
        <f ca="1"/>
        <v>0</v>
      </c>
      <c r="N221" s="3">
        <f ca="1"/>
        <v>0</v>
      </c>
      <c r="O221" s="3">
        <f ca="1"/>
        <v>0</v>
      </c>
    </row>
    <row r="222" spans="2:15" ht="13">
      <c r="B222" s="3"/>
      <c r="C222" s="3"/>
      <c r="D222" s="3"/>
      <c r="E222" s="3"/>
      <c r="F222" s="3"/>
      <c r="G222" s="3"/>
      <c r="I222" s="3">
        <f ca="1"/>
        <v>0</v>
      </c>
      <c r="J222" s="3">
        <f ca="1"/>
        <v>0</v>
      </c>
      <c r="K222" s="3">
        <f ca="1"/>
        <v>0</v>
      </c>
      <c r="M222" s="3">
        <f ca="1"/>
        <v>0</v>
      </c>
      <c r="N222" s="3">
        <f ca="1"/>
        <v>0</v>
      </c>
      <c r="O222" s="3">
        <f ca="1"/>
        <v>0</v>
      </c>
    </row>
    <row r="223" spans="2:15" ht="13">
      <c r="B223" s="3"/>
      <c r="C223" s="3"/>
      <c r="D223" s="3"/>
      <c r="E223" s="3"/>
      <c r="F223" s="3"/>
      <c r="G223" s="3"/>
      <c r="I223" s="3">
        <f ca="1"/>
        <v>0</v>
      </c>
      <c r="J223" s="3">
        <f ca="1"/>
        <v>0</v>
      </c>
      <c r="K223" s="3">
        <f ca="1"/>
        <v>0</v>
      </c>
      <c r="M223" s="3">
        <f ca="1"/>
        <v>0</v>
      </c>
      <c r="N223" s="3">
        <f ca="1"/>
        <v>0</v>
      </c>
      <c r="O223" s="3">
        <f ca="1"/>
        <v>0</v>
      </c>
    </row>
    <row r="224" spans="2:15" ht="13">
      <c r="B224" s="3"/>
      <c r="C224" s="3"/>
      <c r="D224" s="3"/>
      <c r="E224" s="3"/>
      <c r="F224" s="3"/>
      <c r="G224" s="3"/>
      <c r="I224" s="3">
        <f ca="1"/>
        <v>0</v>
      </c>
      <c r="J224" s="3">
        <f ca="1"/>
        <v>0</v>
      </c>
      <c r="K224" s="3">
        <f ca="1"/>
        <v>0</v>
      </c>
      <c r="M224" s="3">
        <f ca="1"/>
        <v>0</v>
      </c>
      <c r="N224" s="3">
        <f ca="1"/>
        <v>0</v>
      </c>
      <c r="O224" s="3">
        <f ca="1"/>
        <v>0</v>
      </c>
    </row>
    <row r="225" spans="2:15" ht="13">
      <c r="B225" s="3"/>
      <c r="C225" s="3"/>
      <c r="D225" s="3"/>
      <c r="E225" s="3"/>
      <c r="F225" s="3"/>
      <c r="G225" s="3"/>
      <c r="I225" s="3">
        <f ca="1"/>
        <v>0</v>
      </c>
      <c r="J225" s="3">
        <f ca="1"/>
        <v>0</v>
      </c>
      <c r="K225" s="3">
        <f ca="1"/>
        <v>0</v>
      </c>
      <c r="M225" s="3">
        <f ca="1"/>
        <v>0</v>
      </c>
      <c r="N225" s="3">
        <f ca="1"/>
        <v>0</v>
      </c>
      <c r="O225" s="3">
        <f ca="1"/>
        <v>0</v>
      </c>
    </row>
    <row r="226" spans="2:15" ht="13">
      <c r="B226" s="3"/>
      <c r="C226" s="3"/>
      <c r="D226" s="3"/>
      <c r="E226" s="3"/>
      <c r="F226" s="3"/>
      <c r="G226" s="3"/>
      <c r="I226" s="3">
        <f ca="1"/>
        <v>0</v>
      </c>
      <c r="J226" s="3">
        <f ca="1"/>
        <v>0</v>
      </c>
      <c r="K226" s="3">
        <f ca="1"/>
        <v>0</v>
      </c>
      <c r="M226" s="3">
        <f ca="1"/>
        <v>0</v>
      </c>
      <c r="N226" s="3">
        <f ca="1"/>
        <v>0</v>
      </c>
      <c r="O226" s="3">
        <f ca="1"/>
        <v>0</v>
      </c>
    </row>
    <row r="227" spans="2:15" ht="13">
      <c r="B227" s="3"/>
      <c r="C227" s="3"/>
      <c r="D227" s="3"/>
      <c r="E227" s="3"/>
      <c r="F227" s="3"/>
      <c r="G227" s="3"/>
      <c r="I227" s="3">
        <f ca="1"/>
        <v>0</v>
      </c>
      <c r="J227" s="3">
        <f ca="1"/>
        <v>0</v>
      </c>
      <c r="K227" s="3">
        <f ca="1"/>
        <v>0</v>
      </c>
      <c r="M227" s="3">
        <f ca="1"/>
        <v>0</v>
      </c>
      <c r="N227" s="3">
        <f ca="1"/>
        <v>0</v>
      </c>
      <c r="O227" s="3">
        <f ca="1"/>
        <v>0</v>
      </c>
    </row>
    <row r="228" spans="2:15" ht="13">
      <c r="B228" s="3"/>
      <c r="C228" s="3"/>
      <c r="D228" s="3"/>
      <c r="E228" s="3"/>
      <c r="F228" s="3"/>
      <c r="G228" s="3"/>
      <c r="I228" s="3">
        <f ca="1"/>
        <v>0</v>
      </c>
      <c r="J228" s="3">
        <f ca="1"/>
        <v>0</v>
      </c>
      <c r="K228" s="3">
        <f ca="1"/>
        <v>0</v>
      </c>
      <c r="M228" s="3">
        <f ca="1"/>
        <v>0</v>
      </c>
      <c r="N228" s="3">
        <f ca="1"/>
        <v>0</v>
      </c>
      <c r="O228" s="3">
        <f ca="1"/>
        <v>0</v>
      </c>
    </row>
    <row r="229" spans="2:15" ht="13">
      <c r="B229" s="3"/>
      <c r="C229" s="3"/>
      <c r="D229" s="3"/>
      <c r="E229" s="3"/>
      <c r="F229" s="3"/>
      <c r="G229" s="3"/>
      <c r="I229" s="3">
        <f ca="1"/>
        <v>0</v>
      </c>
      <c r="J229" s="3">
        <f ca="1"/>
        <v>0</v>
      </c>
      <c r="K229" s="3">
        <f ca="1"/>
        <v>0</v>
      </c>
      <c r="M229" s="3">
        <f ca="1"/>
        <v>0</v>
      </c>
      <c r="N229" s="3">
        <f ca="1"/>
        <v>0</v>
      </c>
      <c r="O229" s="3">
        <f ca="1"/>
        <v>0</v>
      </c>
    </row>
    <row r="230" spans="2:15" ht="13">
      <c r="B230" s="3"/>
      <c r="C230" s="3"/>
      <c r="D230" s="3"/>
      <c r="E230" s="3"/>
      <c r="F230" s="3"/>
      <c r="G230" s="3"/>
      <c r="I230" s="3">
        <f ca="1"/>
        <v>0</v>
      </c>
      <c r="J230" s="3">
        <f ca="1"/>
        <v>0</v>
      </c>
      <c r="K230" s="3">
        <f ca="1"/>
        <v>0</v>
      </c>
      <c r="M230" s="3">
        <f ca="1"/>
        <v>0</v>
      </c>
      <c r="N230" s="3">
        <f ca="1"/>
        <v>0</v>
      </c>
      <c r="O230" s="3">
        <f ca="1"/>
        <v>0</v>
      </c>
    </row>
    <row r="231" spans="2:15" ht="13">
      <c r="B231" s="3"/>
      <c r="C231" s="3"/>
      <c r="D231" s="3"/>
      <c r="E231" s="3"/>
      <c r="F231" s="3"/>
      <c r="G231" s="3"/>
      <c r="I231" s="3">
        <f ca="1"/>
        <v>0</v>
      </c>
      <c r="J231" s="3">
        <f ca="1"/>
        <v>0</v>
      </c>
      <c r="K231" s="3">
        <f ca="1"/>
        <v>0</v>
      </c>
      <c r="M231" s="3">
        <f ca="1"/>
        <v>0</v>
      </c>
      <c r="N231" s="3">
        <f ca="1"/>
        <v>0</v>
      </c>
      <c r="O231" s="3">
        <f ca="1"/>
        <v>0</v>
      </c>
    </row>
    <row r="232" spans="2:15" ht="13">
      <c r="B232" s="3"/>
      <c r="C232" s="3"/>
      <c r="D232" s="3"/>
      <c r="E232" s="3"/>
      <c r="F232" s="3"/>
      <c r="G232" s="3"/>
      <c r="I232" s="3">
        <f ca="1"/>
        <v>0</v>
      </c>
      <c r="J232" s="3">
        <f ca="1"/>
        <v>0</v>
      </c>
      <c r="K232" s="3">
        <f ca="1"/>
        <v>0</v>
      </c>
      <c r="M232" s="3">
        <f ca="1"/>
        <v>0</v>
      </c>
      <c r="N232" s="3">
        <f ca="1"/>
        <v>0</v>
      </c>
      <c r="O232" s="3">
        <f ca="1"/>
        <v>0</v>
      </c>
    </row>
    <row r="233" spans="2:15" ht="13">
      <c r="B233" s="3"/>
      <c r="C233" s="3"/>
      <c r="D233" s="3"/>
      <c r="E233" s="3"/>
      <c r="F233" s="3"/>
      <c r="G233" s="3"/>
      <c r="I233" s="3">
        <f ca="1"/>
        <v>0</v>
      </c>
      <c r="J233" s="3">
        <f ca="1"/>
        <v>0</v>
      </c>
      <c r="K233" s="3">
        <f ca="1"/>
        <v>0</v>
      </c>
      <c r="M233" s="3">
        <f ca="1"/>
        <v>0</v>
      </c>
      <c r="N233" s="3">
        <f ca="1"/>
        <v>0</v>
      </c>
      <c r="O233" s="3">
        <f ca="1"/>
        <v>0</v>
      </c>
    </row>
    <row r="234" spans="2:15" ht="13">
      <c r="B234" s="3"/>
      <c r="C234" s="3"/>
      <c r="D234" s="3"/>
      <c r="E234" s="3"/>
      <c r="F234" s="3"/>
      <c r="G234" s="3"/>
      <c r="I234" s="3">
        <f ca="1"/>
        <v>0</v>
      </c>
      <c r="J234" s="3">
        <f ca="1"/>
        <v>0</v>
      </c>
      <c r="K234" s="3">
        <f ca="1"/>
        <v>0</v>
      </c>
      <c r="M234" s="3">
        <f ca="1"/>
        <v>0</v>
      </c>
      <c r="N234" s="3">
        <f ca="1"/>
        <v>0</v>
      </c>
      <c r="O234" s="3">
        <f ca="1"/>
        <v>0</v>
      </c>
    </row>
    <row r="235" spans="2:15" ht="13">
      <c r="B235" s="3"/>
      <c r="C235" s="3"/>
      <c r="D235" s="3"/>
      <c r="E235" s="3"/>
      <c r="F235" s="3"/>
      <c r="G235" s="3"/>
      <c r="I235" s="3">
        <f ca="1"/>
        <v>0</v>
      </c>
      <c r="J235" s="3">
        <f ca="1"/>
        <v>0</v>
      </c>
      <c r="K235" s="3">
        <f ca="1"/>
        <v>0</v>
      </c>
      <c r="M235" s="3">
        <f ca="1"/>
        <v>0</v>
      </c>
      <c r="N235" s="3">
        <f ca="1"/>
        <v>0</v>
      </c>
      <c r="O235" s="3">
        <f ca="1"/>
        <v>0</v>
      </c>
    </row>
    <row r="236" spans="2:15" ht="13">
      <c r="B236" s="3"/>
      <c r="C236" s="3"/>
      <c r="D236" s="3"/>
      <c r="E236" s="3"/>
      <c r="F236" s="3"/>
      <c r="G236" s="3"/>
      <c r="I236" s="3">
        <f ca="1"/>
        <v>0</v>
      </c>
      <c r="J236" s="3">
        <f ca="1"/>
        <v>0</v>
      </c>
      <c r="K236" s="3">
        <f ca="1"/>
        <v>0</v>
      </c>
      <c r="M236" s="3">
        <f ca="1"/>
        <v>0</v>
      </c>
      <c r="N236" s="3">
        <f ca="1"/>
        <v>0</v>
      </c>
      <c r="O236" s="3">
        <f ca="1"/>
        <v>0</v>
      </c>
    </row>
    <row r="237" spans="2:15" ht="13">
      <c r="B237" s="3"/>
      <c r="C237" s="3"/>
      <c r="D237" s="3"/>
      <c r="E237" s="3"/>
      <c r="F237" s="3"/>
      <c r="G237" s="3"/>
      <c r="I237" s="3">
        <f ca="1"/>
        <v>0</v>
      </c>
      <c r="J237" s="3">
        <f ca="1"/>
        <v>0</v>
      </c>
      <c r="K237" s="3">
        <f ca="1"/>
        <v>0</v>
      </c>
      <c r="M237" s="3">
        <f ca="1"/>
        <v>0</v>
      </c>
      <c r="N237" s="3">
        <f ca="1"/>
        <v>0</v>
      </c>
      <c r="O237" s="3">
        <f ca="1"/>
        <v>0</v>
      </c>
    </row>
    <row r="238" spans="2:15" ht="13">
      <c r="B238" s="3"/>
      <c r="C238" s="3"/>
      <c r="D238" s="3"/>
      <c r="E238" s="3"/>
      <c r="F238" s="3"/>
      <c r="G238" s="3"/>
      <c r="I238" s="3">
        <f ca="1"/>
        <v>0</v>
      </c>
      <c r="J238" s="3">
        <f ca="1"/>
        <v>0</v>
      </c>
      <c r="K238" s="3">
        <f ca="1"/>
        <v>0</v>
      </c>
      <c r="M238" s="3">
        <f ca="1"/>
        <v>0</v>
      </c>
      <c r="N238" s="3">
        <f ca="1"/>
        <v>0</v>
      </c>
      <c r="O238" s="3">
        <f ca="1"/>
        <v>0</v>
      </c>
    </row>
    <row r="239" spans="2:15" ht="13">
      <c r="B239" s="3"/>
      <c r="C239" s="3"/>
      <c r="D239" s="3"/>
      <c r="E239" s="3"/>
      <c r="F239" s="3"/>
      <c r="G239" s="3"/>
      <c r="I239" s="3">
        <f ca="1"/>
        <v>0</v>
      </c>
      <c r="J239" s="3">
        <f ca="1"/>
        <v>0</v>
      </c>
      <c r="K239" s="3">
        <f ca="1"/>
        <v>0</v>
      </c>
      <c r="M239" s="3">
        <f ca="1"/>
        <v>0</v>
      </c>
      <c r="N239" s="3">
        <f ca="1"/>
        <v>0</v>
      </c>
      <c r="O239" s="3">
        <f ca="1"/>
        <v>0</v>
      </c>
    </row>
    <row r="240" spans="2:15" ht="13">
      <c r="B240" s="3"/>
      <c r="C240" s="3"/>
      <c r="D240" s="3"/>
      <c r="E240" s="3"/>
      <c r="F240" s="3"/>
      <c r="G240" s="3"/>
      <c r="I240" s="3">
        <f ca="1"/>
        <v>0</v>
      </c>
      <c r="J240" s="3">
        <f ca="1"/>
        <v>0</v>
      </c>
      <c r="K240" s="3">
        <f ca="1"/>
        <v>0</v>
      </c>
      <c r="M240" s="3">
        <f ca="1"/>
        <v>0</v>
      </c>
      <c r="N240" s="3">
        <f ca="1"/>
        <v>0</v>
      </c>
      <c r="O240" s="3">
        <f ca="1"/>
        <v>0</v>
      </c>
    </row>
    <row r="241" spans="2:15" ht="13">
      <c r="B241" s="3"/>
      <c r="C241" s="3"/>
      <c r="D241" s="3"/>
      <c r="E241" s="3"/>
      <c r="F241" s="3"/>
      <c r="G241" s="3"/>
      <c r="I241" s="3">
        <f ca="1"/>
        <v>0</v>
      </c>
      <c r="J241" s="3">
        <f ca="1"/>
        <v>0</v>
      </c>
      <c r="K241" s="3">
        <f ca="1"/>
        <v>0</v>
      </c>
      <c r="M241" s="3">
        <f ca="1"/>
        <v>0</v>
      </c>
      <c r="N241" s="3">
        <f ca="1"/>
        <v>0</v>
      </c>
      <c r="O241" s="3">
        <f ca="1"/>
        <v>0</v>
      </c>
    </row>
    <row r="242" spans="2:15" ht="13">
      <c r="B242" s="3"/>
      <c r="C242" s="3"/>
      <c r="D242" s="3"/>
      <c r="E242" s="3"/>
      <c r="F242" s="3"/>
      <c r="G242" s="3"/>
      <c r="I242" s="3">
        <f ca="1"/>
        <v>0</v>
      </c>
      <c r="J242" s="3">
        <f ca="1"/>
        <v>0</v>
      </c>
      <c r="K242" s="3">
        <f ca="1"/>
        <v>0</v>
      </c>
      <c r="M242" s="3">
        <f ca="1"/>
        <v>0</v>
      </c>
      <c r="N242" s="3">
        <f ca="1"/>
        <v>0</v>
      </c>
      <c r="O242" s="3">
        <f ca="1"/>
        <v>0</v>
      </c>
    </row>
    <row r="243" spans="2:15" ht="13">
      <c r="B243" s="3"/>
      <c r="C243" s="3"/>
      <c r="D243" s="3"/>
      <c r="E243" s="3"/>
      <c r="F243" s="3"/>
      <c r="G243" s="3"/>
      <c r="I243" s="3">
        <f ca="1"/>
        <v>0</v>
      </c>
      <c r="J243" s="3">
        <f ca="1"/>
        <v>0</v>
      </c>
      <c r="K243" s="3">
        <f ca="1"/>
        <v>0</v>
      </c>
      <c r="M243" s="3">
        <f ca="1"/>
        <v>0</v>
      </c>
      <c r="N243" s="3">
        <f ca="1"/>
        <v>0</v>
      </c>
      <c r="O243" s="3">
        <f ca="1"/>
        <v>0</v>
      </c>
    </row>
    <row r="244" spans="2:15" ht="13">
      <c r="B244" s="3"/>
      <c r="C244" s="3"/>
      <c r="D244" s="3"/>
      <c r="E244" s="3"/>
      <c r="F244" s="3"/>
      <c r="G244" s="3"/>
      <c r="I244" s="3">
        <f ca="1"/>
        <v>0</v>
      </c>
      <c r="J244" s="3">
        <f ca="1"/>
        <v>0</v>
      </c>
      <c r="K244" s="3">
        <f ca="1"/>
        <v>0</v>
      </c>
      <c r="M244" s="3">
        <f ca="1"/>
        <v>0</v>
      </c>
      <c r="N244" s="3">
        <f ca="1"/>
        <v>0</v>
      </c>
      <c r="O244" s="3">
        <f ca="1"/>
        <v>0</v>
      </c>
    </row>
    <row r="245" spans="2:15" ht="13">
      <c r="B245" s="3"/>
      <c r="C245" s="3"/>
      <c r="D245" s="3"/>
      <c r="E245" s="3"/>
      <c r="F245" s="3"/>
      <c r="G245" s="3"/>
      <c r="I245" s="3">
        <f ca="1"/>
        <v>0</v>
      </c>
      <c r="J245" s="3">
        <f ca="1"/>
        <v>0</v>
      </c>
      <c r="K245" s="3">
        <f ca="1"/>
        <v>0</v>
      </c>
      <c r="M245" s="3">
        <f ca="1"/>
        <v>0</v>
      </c>
      <c r="N245" s="3">
        <f ca="1"/>
        <v>0</v>
      </c>
      <c r="O245" s="3">
        <f ca="1"/>
        <v>0</v>
      </c>
    </row>
    <row r="246" spans="2:15" ht="13">
      <c r="B246" s="3"/>
      <c r="C246" s="3"/>
      <c r="D246" s="3"/>
      <c r="E246" s="3"/>
      <c r="F246" s="3"/>
      <c r="G246" s="3"/>
      <c r="I246" s="3">
        <f ca="1"/>
        <v>0</v>
      </c>
      <c r="J246" s="3">
        <f ca="1"/>
        <v>0</v>
      </c>
      <c r="K246" s="3">
        <f ca="1"/>
        <v>0</v>
      </c>
      <c r="M246" s="3">
        <f ca="1"/>
        <v>0</v>
      </c>
      <c r="N246" s="3">
        <f ca="1"/>
        <v>0</v>
      </c>
      <c r="O246" s="3">
        <f ca="1"/>
        <v>0</v>
      </c>
    </row>
    <row r="247" spans="2:15" ht="13">
      <c r="B247" s="3"/>
      <c r="C247" s="3"/>
      <c r="D247" s="3"/>
      <c r="E247" s="3"/>
      <c r="F247" s="3"/>
      <c r="G247" s="3"/>
      <c r="I247" s="3">
        <f ca="1"/>
        <v>0</v>
      </c>
      <c r="J247" s="3">
        <f ca="1"/>
        <v>0</v>
      </c>
      <c r="K247" s="3">
        <f ca="1"/>
        <v>0</v>
      </c>
      <c r="M247" s="3">
        <f ca="1"/>
        <v>0</v>
      </c>
      <c r="N247" s="3">
        <f ca="1"/>
        <v>0</v>
      </c>
      <c r="O247" s="3">
        <f ca="1"/>
        <v>0</v>
      </c>
    </row>
    <row r="248" spans="2:15" ht="13">
      <c r="B248" s="3"/>
      <c r="C248" s="3"/>
      <c r="D248" s="3"/>
      <c r="E248" s="3"/>
      <c r="F248" s="3"/>
      <c r="G248" s="3"/>
      <c r="I248" s="3">
        <f ca="1"/>
        <v>0</v>
      </c>
      <c r="J248" s="3">
        <f ca="1"/>
        <v>0</v>
      </c>
      <c r="K248" s="3">
        <f ca="1"/>
        <v>0</v>
      </c>
      <c r="M248" s="3">
        <f ca="1"/>
        <v>0</v>
      </c>
      <c r="N248" s="3">
        <f ca="1"/>
        <v>0</v>
      </c>
      <c r="O248" s="3">
        <f ca="1"/>
        <v>0</v>
      </c>
    </row>
    <row r="249" spans="2:15" ht="13">
      <c r="B249" s="3"/>
      <c r="C249" s="3"/>
      <c r="D249" s="3"/>
      <c r="E249" s="3"/>
      <c r="F249" s="3"/>
      <c r="G249" s="3"/>
      <c r="I249" s="3">
        <f ca="1"/>
        <v>0</v>
      </c>
      <c r="J249" s="3">
        <f ca="1"/>
        <v>0</v>
      </c>
      <c r="K249" s="3">
        <f ca="1"/>
        <v>0</v>
      </c>
      <c r="M249" s="3">
        <f ca="1"/>
        <v>0</v>
      </c>
      <c r="N249" s="3">
        <f ca="1"/>
        <v>0</v>
      </c>
      <c r="O249" s="3">
        <f ca="1"/>
        <v>0</v>
      </c>
    </row>
    <row r="250" spans="2:15" ht="13">
      <c r="B250" s="3"/>
      <c r="C250" s="3"/>
      <c r="D250" s="3"/>
      <c r="E250" s="3"/>
      <c r="F250" s="3"/>
      <c r="G250" s="3"/>
      <c r="I250" s="3">
        <f ca="1"/>
        <v>0</v>
      </c>
      <c r="J250" s="3">
        <f ca="1"/>
        <v>0</v>
      </c>
      <c r="K250" s="3">
        <f ca="1"/>
        <v>0</v>
      </c>
      <c r="M250" s="3">
        <f ca="1"/>
        <v>0</v>
      </c>
      <c r="N250" s="3">
        <f ca="1"/>
        <v>0</v>
      </c>
      <c r="O250" s="3">
        <f ca="1"/>
        <v>0</v>
      </c>
    </row>
    <row r="251" spans="2:15" ht="13">
      <c r="B251" s="3"/>
      <c r="C251" s="3"/>
      <c r="D251" s="3"/>
      <c r="E251" s="3"/>
      <c r="F251" s="3"/>
      <c r="G251" s="3"/>
      <c r="I251" s="3">
        <f ca="1"/>
        <v>0</v>
      </c>
      <c r="J251" s="3">
        <f ca="1"/>
        <v>0</v>
      </c>
      <c r="K251" s="3">
        <f ca="1"/>
        <v>0</v>
      </c>
      <c r="M251" s="3">
        <f ca="1"/>
        <v>0</v>
      </c>
      <c r="N251" s="3">
        <f ca="1"/>
        <v>0</v>
      </c>
      <c r="O251" s="3">
        <f ca="1"/>
        <v>0</v>
      </c>
    </row>
    <row r="252" spans="2:15" ht="13">
      <c r="B252" s="3"/>
      <c r="C252" s="3"/>
      <c r="D252" s="3"/>
      <c r="E252" s="3"/>
      <c r="F252" s="3"/>
      <c r="G252" s="3"/>
      <c r="I252" s="3">
        <f ca="1"/>
        <v>0</v>
      </c>
      <c r="J252" s="3">
        <f ca="1"/>
        <v>0</v>
      </c>
      <c r="K252" s="3">
        <f ca="1"/>
        <v>0</v>
      </c>
      <c r="M252" s="3">
        <f ca="1"/>
        <v>0</v>
      </c>
      <c r="N252" s="3">
        <f ca="1"/>
        <v>0</v>
      </c>
      <c r="O252" s="3">
        <f ca="1"/>
        <v>0</v>
      </c>
    </row>
    <row r="253" spans="2:15" ht="13">
      <c r="B253" s="3"/>
      <c r="C253" s="3"/>
      <c r="D253" s="3"/>
      <c r="E253" s="3"/>
      <c r="F253" s="3"/>
      <c r="G253" s="3"/>
      <c r="I253" s="3">
        <f ca="1"/>
        <v>0</v>
      </c>
      <c r="J253" s="3">
        <f ca="1"/>
        <v>0</v>
      </c>
      <c r="K253" s="3">
        <f ca="1"/>
        <v>0</v>
      </c>
      <c r="M253" s="3">
        <f ca="1"/>
        <v>0</v>
      </c>
      <c r="N253" s="3">
        <f ca="1"/>
        <v>0</v>
      </c>
      <c r="O253" s="3">
        <f ca="1"/>
        <v>0</v>
      </c>
    </row>
    <row r="254" spans="2:15" ht="13">
      <c r="B254" s="3"/>
      <c r="C254" s="3"/>
      <c r="D254" s="3"/>
      <c r="E254" s="3"/>
      <c r="F254" s="3"/>
      <c r="G254" s="3"/>
      <c r="I254" s="3">
        <f ca="1"/>
        <v>0</v>
      </c>
      <c r="J254" s="3">
        <f ca="1"/>
        <v>0</v>
      </c>
      <c r="K254" s="3">
        <f ca="1"/>
        <v>0</v>
      </c>
      <c r="M254" s="3">
        <f ca="1"/>
        <v>0</v>
      </c>
      <c r="N254" s="3">
        <f ca="1"/>
        <v>0</v>
      </c>
      <c r="O254" s="3">
        <f ca="1"/>
        <v>0</v>
      </c>
    </row>
    <row r="255" spans="2:15" ht="13">
      <c r="B255" s="3"/>
      <c r="C255" s="3"/>
      <c r="D255" s="3"/>
      <c r="E255" s="3"/>
      <c r="F255" s="3"/>
      <c r="G255" s="3"/>
      <c r="I255" s="3">
        <f ca="1"/>
        <v>0</v>
      </c>
      <c r="J255" s="3">
        <f ca="1"/>
        <v>0</v>
      </c>
      <c r="K255" s="3">
        <f ca="1"/>
        <v>0</v>
      </c>
      <c r="M255" s="3">
        <f ca="1"/>
        <v>0</v>
      </c>
      <c r="N255" s="3">
        <f ca="1"/>
        <v>0</v>
      </c>
      <c r="O255" s="3">
        <f ca="1"/>
        <v>0</v>
      </c>
    </row>
    <row r="256" spans="2:15" ht="13">
      <c r="B256" s="3"/>
      <c r="C256" s="3"/>
      <c r="D256" s="3"/>
      <c r="E256" s="3"/>
      <c r="F256" s="3"/>
      <c r="G256" s="3"/>
      <c r="I256" s="3">
        <f ca="1"/>
        <v>0</v>
      </c>
      <c r="J256" s="3">
        <f ca="1"/>
        <v>0</v>
      </c>
      <c r="K256" s="3">
        <f ca="1"/>
        <v>0</v>
      </c>
      <c r="M256" s="3">
        <f ca="1"/>
        <v>0</v>
      </c>
      <c r="N256" s="3">
        <f ca="1"/>
        <v>0</v>
      </c>
      <c r="O256" s="3">
        <f ca="1"/>
        <v>0</v>
      </c>
    </row>
    <row r="257" spans="2:15" ht="13">
      <c r="B257" s="3"/>
      <c r="C257" s="3"/>
      <c r="D257" s="3"/>
      <c r="E257" s="3"/>
      <c r="F257" s="3"/>
      <c r="G257" s="3"/>
      <c r="I257" s="3">
        <f ca="1"/>
        <v>0</v>
      </c>
      <c r="J257" s="3">
        <f ca="1"/>
        <v>0</v>
      </c>
      <c r="K257" s="3">
        <f ca="1"/>
        <v>0</v>
      </c>
      <c r="M257" s="3">
        <f ca="1"/>
        <v>0</v>
      </c>
      <c r="N257" s="3">
        <f ca="1"/>
        <v>0</v>
      </c>
      <c r="O257" s="3">
        <f ca="1"/>
        <v>0</v>
      </c>
    </row>
    <row r="258" spans="2:15" ht="13">
      <c r="B258" s="3"/>
      <c r="C258" s="3"/>
      <c r="D258" s="3"/>
      <c r="E258" s="3"/>
      <c r="F258" s="3"/>
      <c r="G258" s="3"/>
      <c r="I258" s="3">
        <f ca="1"/>
        <v>0</v>
      </c>
      <c r="J258" s="3">
        <f ca="1"/>
        <v>0</v>
      </c>
      <c r="K258" s="3">
        <f ca="1"/>
        <v>0</v>
      </c>
      <c r="M258" s="3">
        <f ca="1"/>
        <v>0</v>
      </c>
      <c r="N258" s="3">
        <f ca="1"/>
        <v>0</v>
      </c>
      <c r="O258" s="3">
        <f ca="1"/>
        <v>0</v>
      </c>
    </row>
    <row r="259" spans="2:15" ht="13">
      <c r="B259" s="3"/>
      <c r="C259" s="3"/>
      <c r="D259" s="3"/>
      <c r="E259" s="3"/>
      <c r="F259" s="3"/>
      <c r="G259" s="3"/>
      <c r="I259" s="3">
        <f ca="1"/>
        <v>0</v>
      </c>
      <c r="J259" s="3">
        <f ca="1"/>
        <v>0</v>
      </c>
      <c r="K259" s="3">
        <f ca="1"/>
        <v>0</v>
      </c>
      <c r="M259" s="3">
        <f ca="1"/>
        <v>0</v>
      </c>
      <c r="N259" s="3">
        <f ca="1"/>
        <v>0</v>
      </c>
      <c r="O259" s="3">
        <f ca="1"/>
        <v>0</v>
      </c>
    </row>
    <row r="260" spans="2:15" ht="13">
      <c r="B260" s="3"/>
      <c r="C260" s="3"/>
      <c r="D260" s="3"/>
      <c r="E260" s="3"/>
      <c r="F260" s="3"/>
      <c r="G260" s="3"/>
      <c r="I260" s="3">
        <f ca="1"/>
        <v>0</v>
      </c>
      <c r="J260" s="3">
        <f ca="1"/>
        <v>0</v>
      </c>
      <c r="K260" s="3">
        <f ca="1"/>
        <v>0</v>
      </c>
      <c r="M260" s="3">
        <f ca="1"/>
        <v>0</v>
      </c>
      <c r="N260" s="3">
        <f ca="1"/>
        <v>0</v>
      </c>
      <c r="O260" s="3">
        <f ca="1"/>
        <v>0</v>
      </c>
    </row>
    <row r="261" spans="2:15" ht="13">
      <c r="B261" s="3"/>
      <c r="C261" s="3"/>
      <c r="D261" s="3"/>
      <c r="E261" s="3"/>
      <c r="F261" s="3"/>
      <c r="G261" s="3"/>
      <c r="I261" s="3">
        <f ca="1"/>
        <v>0</v>
      </c>
      <c r="J261" s="3">
        <f ca="1"/>
        <v>0</v>
      </c>
      <c r="K261" s="3">
        <f ca="1"/>
        <v>0</v>
      </c>
      <c r="M261" s="3">
        <f ca="1"/>
        <v>0</v>
      </c>
      <c r="N261" s="3">
        <f ca="1"/>
        <v>0</v>
      </c>
      <c r="O261" s="3">
        <f ca="1"/>
        <v>0</v>
      </c>
    </row>
    <row r="262" spans="2:15" ht="13">
      <c r="B262" s="3"/>
      <c r="C262" s="3"/>
      <c r="D262" s="3"/>
      <c r="E262" s="3"/>
      <c r="F262" s="3"/>
      <c r="G262" s="3"/>
      <c r="I262" s="3">
        <f ca="1"/>
        <v>0</v>
      </c>
      <c r="J262" s="3">
        <f ca="1"/>
        <v>0</v>
      </c>
      <c r="K262" s="3">
        <f ca="1"/>
        <v>0</v>
      </c>
      <c r="M262" s="3">
        <f ca="1"/>
        <v>0</v>
      </c>
      <c r="N262" s="3">
        <f ca="1"/>
        <v>0</v>
      </c>
      <c r="O262" s="3">
        <f ca="1"/>
        <v>0</v>
      </c>
    </row>
    <row r="263" spans="2:15" ht="13">
      <c r="B263" s="3"/>
      <c r="C263" s="3"/>
      <c r="D263" s="3"/>
      <c r="E263" s="3"/>
      <c r="F263" s="3"/>
      <c r="G263" s="3"/>
      <c r="I263" s="3">
        <f ca="1"/>
        <v>0</v>
      </c>
      <c r="J263" s="3">
        <f ca="1"/>
        <v>0</v>
      </c>
      <c r="K263" s="3">
        <f ca="1"/>
        <v>0</v>
      </c>
      <c r="M263" s="3">
        <f ca="1"/>
        <v>0</v>
      </c>
      <c r="N263" s="3">
        <f ca="1"/>
        <v>0</v>
      </c>
      <c r="O263" s="3">
        <f ca="1"/>
        <v>0</v>
      </c>
    </row>
    <row r="264" spans="2:15" ht="13">
      <c r="B264" s="3"/>
      <c r="C264" s="3"/>
      <c r="D264" s="3"/>
      <c r="E264" s="3"/>
      <c r="F264" s="3"/>
      <c r="G264" s="3"/>
      <c r="I264" s="3">
        <f ca="1"/>
        <v>0</v>
      </c>
      <c r="J264" s="3">
        <f ca="1"/>
        <v>0</v>
      </c>
      <c r="K264" s="3">
        <f ca="1"/>
        <v>0</v>
      </c>
      <c r="M264" s="3">
        <f ca="1"/>
        <v>0</v>
      </c>
      <c r="N264" s="3">
        <f ca="1"/>
        <v>0</v>
      </c>
      <c r="O264" s="3">
        <f ca="1"/>
        <v>0</v>
      </c>
    </row>
    <row r="265" spans="2:15" ht="13">
      <c r="B265" s="3"/>
      <c r="C265" s="3"/>
      <c r="D265" s="3"/>
      <c r="E265" s="3"/>
      <c r="F265" s="3"/>
      <c r="G265" s="3"/>
      <c r="I265" s="3">
        <f ca="1"/>
        <v>0</v>
      </c>
      <c r="J265" s="3">
        <f ca="1"/>
        <v>0</v>
      </c>
      <c r="K265" s="3">
        <f ca="1"/>
        <v>0</v>
      </c>
      <c r="M265" s="3">
        <f ca="1"/>
        <v>0</v>
      </c>
      <c r="N265" s="3">
        <f ca="1"/>
        <v>0</v>
      </c>
      <c r="O265" s="3">
        <f ca="1"/>
        <v>0</v>
      </c>
    </row>
    <row r="266" spans="2:15" ht="13">
      <c r="B266" s="3"/>
      <c r="C266" s="3"/>
      <c r="D266" s="3"/>
      <c r="E266" s="3"/>
      <c r="F266" s="3"/>
      <c r="G266" s="3"/>
      <c r="I266" s="3">
        <f ca="1"/>
        <v>0</v>
      </c>
      <c r="J266" s="3">
        <f ca="1"/>
        <v>0</v>
      </c>
      <c r="K266" s="3">
        <f ca="1"/>
        <v>0</v>
      </c>
      <c r="M266" s="3">
        <f ca="1"/>
        <v>0</v>
      </c>
      <c r="N266" s="3">
        <f ca="1"/>
        <v>0</v>
      </c>
      <c r="O266" s="3">
        <f ca="1"/>
        <v>0</v>
      </c>
    </row>
    <row r="267" spans="2:15" ht="13">
      <c r="B267" s="3"/>
      <c r="C267" s="3"/>
      <c r="D267" s="3"/>
      <c r="E267" s="3"/>
      <c r="F267" s="3"/>
      <c r="G267" s="3"/>
      <c r="I267" s="3">
        <f ca="1"/>
        <v>0</v>
      </c>
      <c r="J267" s="3">
        <f ca="1"/>
        <v>0</v>
      </c>
      <c r="K267" s="3">
        <f ca="1"/>
        <v>0</v>
      </c>
      <c r="M267" s="3">
        <f ca="1"/>
        <v>0</v>
      </c>
      <c r="N267" s="3">
        <f ca="1"/>
        <v>0</v>
      </c>
      <c r="O267" s="3">
        <f ca="1"/>
        <v>0</v>
      </c>
    </row>
    <row r="268" spans="2:15" ht="13">
      <c r="B268" s="3"/>
      <c r="C268" s="3"/>
      <c r="D268" s="3"/>
      <c r="E268" s="3"/>
      <c r="F268" s="3"/>
      <c r="G268" s="3"/>
      <c r="I268" s="3">
        <f ca="1"/>
        <v>0</v>
      </c>
      <c r="J268" s="3">
        <f ca="1"/>
        <v>0</v>
      </c>
      <c r="K268" s="3">
        <f ca="1"/>
        <v>0</v>
      </c>
      <c r="M268" s="3">
        <f ca="1"/>
        <v>0</v>
      </c>
      <c r="N268" s="3">
        <f ca="1"/>
        <v>0</v>
      </c>
      <c r="O268" s="3">
        <f ca="1"/>
        <v>0</v>
      </c>
    </row>
    <row r="269" spans="2:15" ht="13">
      <c r="B269" s="3"/>
      <c r="C269" s="3"/>
      <c r="D269" s="3"/>
      <c r="E269" s="3"/>
      <c r="F269" s="3"/>
      <c r="G269" s="3"/>
      <c r="I269" s="3">
        <f ca="1"/>
        <v>0</v>
      </c>
      <c r="J269" s="3">
        <f ca="1"/>
        <v>0</v>
      </c>
      <c r="K269" s="3">
        <f ca="1"/>
        <v>0</v>
      </c>
      <c r="M269" s="3">
        <f ca="1"/>
        <v>0</v>
      </c>
      <c r="N269" s="3">
        <f ca="1"/>
        <v>0</v>
      </c>
      <c r="O269" s="3">
        <f ca="1"/>
        <v>0</v>
      </c>
    </row>
    <row r="270" spans="2:15" ht="13">
      <c r="B270" s="3"/>
      <c r="C270" s="3"/>
      <c r="D270" s="3"/>
      <c r="E270" s="3"/>
      <c r="F270" s="3"/>
      <c r="G270" s="3"/>
      <c r="I270" s="3">
        <f ca="1"/>
        <v>0</v>
      </c>
      <c r="J270" s="3">
        <f ca="1"/>
        <v>0</v>
      </c>
      <c r="K270" s="3">
        <f ca="1"/>
        <v>0</v>
      </c>
      <c r="M270" s="3">
        <f ca="1"/>
        <v>0</v>
      </c>
      <c r="N270" s="3">
        <f ca="1"/>
        <v>0</v>
      </c>
      <c r="O270" s="3">
        <f ca="1"/>
        <v>0</v>
      </c>
    </row>
    <row r="271" spans="2:15" ht="13">
      <c r="B271" s="3"/>
      <c r="C271" s="3"/>
      <c r="D271" s="3"/>
      <c r="E271" s="3"/>
      <c r="F271" s="3"/>
      <c r="G271" s="3"/>
      <c r="I271" s="3">
        <f ca="1"/>
        <v>0</v>
      </c>
      <c r="J271" s="3">
        <f ca="1"/>
        <v>0</v>
      </c>
      <c r="K271" s="3">
        <f ca="1"/>
        <v>0</v>
      </c>
      <c r="M271" s="3">
        <f ca="1"/>
        <v>0</v>
      </c>
      <c r="N271" s="3">
        <f ca="1"/>
        <v>0</v>
      </c>
      <c r="O271" s="3">
        <f ca="1"/>
        <v>0</v>
      </c>
    </row>
    <row r="272" spans="2:15" ht="13">
      <c r="B272" s="3"/>
      <c r="C272" s="3"/>
      <c r="D272" s="3"/>
      <c r="E272" s="3"/>
      <c r="F272" s="3"/>
      <c r="G272" s="3"/>
      <c r="I272" s="3">
        <f ca="1"/>
        <v>0</v>
      </c>
      <c r="J272" s="3">
        <f ca="1"/>
        <v>0</v>
      </c>
      <c r="K272" s="3">
        <f ca="1"/>
        <v>0</v>
      </c>
      <c r="M272" s="3">
        <f ca="1"/>
        <v>0</v>
      </c>
      <c r="N272" s="3">
        <f ca="1"/>
        <v>0</v>
      </c>
      <c r="O272" s="3">
        <f ca="1"/>
        <v>0</v>
      </c>
    </row>
    <row r="273" spans="2:15" ht="13">
      <c r="B273" s="3"/>
      <c r="C273" s="3"/>
      <c r="D273" s="3"/>
      <c r="E273" s="3"/>
      <c r="F273" s="3"/>
      <c r="G273" s="3"/>
      <c r="I273" s="3">
        <f ca="1"/>
        <v>0</v>
      </c>
      <c r="J273" s="3">
        <f ca="1"/>
        <v>0</v>
      </c>
      <c r="K273" s="3">
        <f ca="1"/>
        <v>0</v>
      </c>
      <c r="M273" s="3">
        <f ca="1"/>
        <v>0</v>
      </c>
      <c r="N273" s="3">
        <f ca="1"/>
        <v>0</v>
      </c>
      <c r="O273" s="3">
        <f ca="1"/>
        <v>0</v>
      </c>
    </row>
    <row r="274" spans="2:15" ht="13">
      <c r="B274" s="3"/>
      <c r="C274" s="3"/>
      <c r="D274" s="3"/>
      <c r="E274" s="3"/>
      <c r="F274" s="3"/>
      <c r="G274" s="3"/>
      <c r="I274" s="3">
        <f ca="1"/>
        <v>0</v>
      </c>
      <c r="J274" s="3">
        <f ca="1"/>
        <v>0</v>
      </c>
      <c r="K274" s="3">
        <f ca="1"/>
        <v>0</v>
      </c>
      <c r="M274" s="3">
        <f ca="1"/>
        <v>0</v>
      </c>
      <c r="N274" s="3">
        <f ca="1"/>
        <v>0</v>
      </c>
      <c r="O274" s="3">
        <f ca="1"/>
        <v>0</v>
      </c>
    </row>
    <row r="275" spans="2:15" ht="13">
      <c r="B275" s="3"/>
      <c r="C275" s="3"/>
      <c r="D275" s="3"/>
      <c r="E275" s="3"/>
      <c r="F275" s="3"/>
      <c r="G275" s="3"/>
      <c r="I275" s="3">
        <f ca="1"/>
        <v>0</v>
      </c>
      <c r="J275" s="3">
        <f ca="1"/>
        <v>0</v>
      </c>
      <c r="K275" s="3">
        <f ca="1"/>
        <v>0</v>
      </c>
      <c r="M275" s="3">
        <f ca="1"/>
        <v>0</v>
      </c>
      <c r="N275" s="3">
        <f ca="1"/>
        <v>0</v>
      </c>
      <c r="O275" s="3">
        <f ca="1"/>
        <v>0</v>
      </c>
    </row>
    <row r="276" spans="2:15" ht="13">
      <c r="B276" s="3"/>
      <c r="C276" s="3"/>
      <c r="D276" s="3"/>
      <c r="E276" s="3"/>
      <c r="F276" s="3"/>
      <c r="G276" s="3"/>
      <c r="I276" s="3">
        <f ca="1"/>
        <v>0</v>
      </c>
      <c r="J276" s="3">
        <f ca="1"/>
        <v>0</v>
      </c>
      <c r="K276" s="3">
        <f ca="1"/>
        <v>0</v>
      </c>
      <c r="M276" s="3">
        <f ca="1"/>
        <v>0</v>
      </c>
      <c r="N276" s="3">
        <f ca="1"/>
        <v>0</v>
      </c>
      <c r="O276" s="3">
        <f ca="1"/>
        <v>0</v>
      </c>
    </row>
    <row r="277" spans="2:15" ht="13">
      <c r="B277" s="3"/>
      <c r="C277" s="3"/>
      <c r="D277" s="3"/>
      <c r="E277" s="3"/>
      <c r="F277" s="3"/>
      <c r="G277" s="3"/>
      <c r="I277" s="3">
        <f ca="1"/>
        <v>0</v>
      </c>
      <c r="J277" s="3">
        <f ca="1"/>
        <v>0</v>
      </c>
      <c r="K277" s="3">
        <f ca="1"/>
        <v>0</v>
      </c>
      <c r="M277" s="3">
        <f ca="1"/>
        <v>0</v>
      </c>
      <c r="N277" s="3">
        <f ca="1"/>
        <v>0</v>
      </c>
      <c r="O277" s="3">
        <f ca="1"/>
        <v>0</v>
      </c>
    </row>
    <row r="278" spans="2:15" ht="13">
      <c r="B278" s="3"/>
      <c r="C278" s="3"/>
      <c r="D278" s="3"/>
      <c r="E278" s="3"/>
      <c r="F278" s="3"/>
      <c r="G278" s="3"/>
      <c r="I278" s="3">
        <f ca="1"/>
        <v>0</v>
      </c>
      <c r="J278" s="3">
        <f ca="1"/>
        <v>0</v>
      </c>
      <c r="K278" s="3">
        <f ca="1"/>
        <v>0</v>
      </c>
      <c r="M278" s="3">
        <f ca="1"/>
        <v>0</v>
      </c>
      <c r="N278" s="3">
        <f ca="1"/>
        <v>0</v>
      </c>
      <c r="O278" s="3">
        <f ca="1"/>
        <v>0</v>
      </c>
    </row>
    <row r="279" spans="2:15" ht="13">
      <c r="B279" s="3"/>
      <c r="C279" s="3"/>
      <c r="D279" s="3"/>
      <c r="E279" s="3"/>
      <c r="F279" s="3"/>
      <c r="G279" s="3"/>
      <c r="I279" s="3">
        <f ca="1"/>
        <v>0</v>
      </c>
      <c r="J279" s="3">
        <f ca="1"/>
        <v>0</v>
      </c>
      <c r="K279" s="3">
        <f ca="1"/>
        <v>0</v>
      </c>
      <c r="M279" s="3">
        <f ca="1"/>
        <v>0</v>
      </c>
      <c r="N279" s="3">
        <f ca="1"/>
        <v>0</v>
      </c>
      <c r="O279" s="3">
        <f ca="1"/>
        <v>0</v>
      </c>
    </row>
    <row r="280" spans="2:15" ht="13">
      <c r="B280" s="3"/>
      <c r="C280" s="3"/>
      <c r="D280" s="3"/>
      <c r="E280" s="3"/>
      <c r="F280" s="3"/>
      <c r="G280" s="3"/>
      <c r="I280" s="3">
        <f ca="1"/>
        <v>0</v>
      </c>
      <c r="J280" s="3">
        <f ca="1"/>
        <v>0</v>
      </c>
      <c r="K280" s="3">
        <f ca="1"/>
        <v>0</v>
      </c>
      <c r="M280" s="3">
        <f ca="1"/>
        <v>0</v>
      </c>
      <c r="N280" s="3">
        <f ca="1"/>
        <v>0</v>
      </c>
      <c r="O280" s="3">
        <f ca="1"/>
        <v>0</v>
      </c>
    </row>
    <row r="281" spans="2:15" ht="13">
      <c r="B281" s="3"/>
      <c r="C281" s="3"/>
      <c r="D281" s="3"/>
      <c r="E281" s="3"/>
      <c r="F281" s="3"/>
      <c r="G281" s="3"/>
      <c r="I281" s="3">
        <f ca="1"/>
        <v>0</v>
      </c>
      <c r="J281" s="3">
        <f ca="1"/>
        <v>0</v>
      </c>
      <c r="K281" s="3">
        <f ca="1"/>
        <v>0</v>
      </c>
      <c r="M281" s="3">
        <f ca="1"/>
        <v>0</v>
      </c>
      <c r="N281" s="3">
        <f ca="1"/>
        <v>0</v>
      </c>
      <c r="O281" s="3">
        <f ca="1"/>
        <v>0</v>
      </c>
    </row>
    <row r="282" spans="2:15" ht="13">
      <c r="B282" s="3"/>
      <c r="C282" s="3"/>
      <c r="D282" s="3"/>
      <c r="E282" s="3"/>
      <c r="F282" s="3"/>
      <c r="G282" s="3"/>
      <c r="I282" s="3">
        <f ca="1"/>
        <v>0</v>
      </c>
      <c r="J282" s="3">
        <f ca="1"/>
        <v>0</v>
      </c>
      <c r="K282" s="3">
        <f ca="1"/>
        <v>0</v>
      </c>
      <c r="M282" s="3">
        <f ca="1"/>
        <v>0</v>
      </c>
      <c r="N282" s="3">
        <f ca="1"/>
        <v>0</v>
      </c>
      <c r="O282" s="3">
        <f ca="1"/>
        <v>0</v>
      </c>
    </row>
    <row r="283" spans="2:15" ht="13">
      <c r="B283" s="3"/>
      <c r="C283" s="3"/>
      <c r="D283" s="3"/>
      <c r="E283" s="3"/>
      <c r="F283" s="3"/>
      <c r="G283" s="3"/>
      <c r="I283" s="3">
        <f ca="1"/>
        <v>0</v>
      </c>
      <c r="J283" s="3">
        <f ca="1"/>
        <v>0</v>
      </c>
      <c r="K283" s="3">
        <f ca="1"/>
        <v>0</v>
      </c>
      <c r="M283" s="3">
        <f ca="1"/>
        <v>0</v>
      </c>
      <c r="N283" s="3">
        <f ca="1"/>
        <v>0</v>
      </c>
      <c r="O283" s="3">
        <f ca="1"/>
        <v>0</v>
      </c>
    </row>
    <row r="284" spans="2:15" ht="13">
      <c r="B284" s="3"/>
      <c r="C284" s="3"/>
      <c r="D284" s="3"/>
      <c r="E284" s="3"/>
      <c r="F284" s="3"/>
      <c r="G284" s="3"/>
      <c r="I284" s="3">
        <f ca="1"/>
        <v>0</v>
      </c>
      <c r="J284" s="3">
        <f ca="1"/>
        <v>0</v>
      </c>
      <c r="K284" s="3">
        <f ca="1"/>
        <v>0</v>
      </c>
      <c r="M284" s="3">
        <f ca="1"/>
        <v>0</v>
      </c>
      <c r="N284" s="3">
        <f ca="1"/>
        <v>0</v>
      </c>
      <c r="O284" s="3">
        <f ca="1"/>
        <v>0</v>
      </c>
    </row>
    <row r="285" spans="2:15" ht="13">
      <c r="B285" s="3"/>
      <c r="C285" s="3"/>
      <c r="D285" s="3"/>
      <c r="E285" s="3"/>
      <c r="F285" s="3"/>
      <c r="G285" s="3"/>
      <c r="I285" s="3">
        <f ca="1"/>
        <v>0</v>
      </c>
      <c r="J285" s="3">
        <f ca="1"/>
        <v>0</v>
      </c>
      <c r="K285" s="3">
        <f ca="1"/>
        <v>0</v>
      </c>
      <c r="M285" s="3">
        <f ca="1"/>
        <v>0</v>
      </c>
      <c r="N285" s="3">
        <f ca="1"/>
        <v>0</v>
      </c>
      <c r="O285" s="3">
        <f ca="1"/>
        <v>0</v>
      </c>
    </row>
    <row r="286" spans="2:15" ht="13">
      <c r="B286" s="3"/>
      <c r="C286" s="3"/>
      <c r="D286" s="3"/>
      <c r="E286" s="3"/>
      <c r="F286" s="3"/>
      <c r="G286" s="3"/>
      <c r="I286" s="3">
        <f ca="1"/>
        <v>0</v>
      </c>
      <c r="J286" s="3">
        <f ca="1"/>
        <v>0</v>
      </c>
      <c r="K286" s="3">
        <f ca="1"/>
        <v>0</v>
      </c>
      <c r="M286" s="3">
        <f ca="1"/>
        <v>0</v>
      </c>
      <c r="N286" s="3">
        <f ca="1"/>
        <v>0</v>
      </c>
      <c r="O286" s="3">
        <f ca="1"/>
        <v>0</v>
      </c>
    </row>
    <row r="287" spans="2:15" ht="13">
      <c r="B287" s="3"/>
      <c r="C287" s="3"/>
      <c r="D287" s="3"/>
      <c r="E287" s="3"/>
      <c r="F287" s="3"/>
      <c r="G287" s="3"/>
      <c r="I287" s="3">
        <f ca="1"/>
        <v>0</v>
      </c>
      <c r="J287" s="3">
        <f ca="1"/>
        <v>0</v>
      </c>
      <c r="K287" s="3">
        <f ca="1"/>
        <v>0</v>
      </c>
      <c r="M287" s="3">
        <f ca="1"/>
        <v>0</v>
      </c>
      <c r="N287" s="3">
        <f ca="1"/>
        <v>0</v>
      </c>
      <c r="O287" s="3">
        <f ca="1"/>
        <v>0</v>
      </c>
    </row>
    <row r="288" spans="2:15" ht="13">
      <c r="B288" s="3"/>
      <c r="C288" s="3"/>
      <c r="D288" s="3"/>
      <c r="E288" s="3"/>
      <c r="F288" s="3"/>
      <c r="G288" s="3"/>
      <c r="I288" s="3">
        <f ca="1"/>
        <v>0</v>
      </c>
      <c r="J288" s="3">
        <f ca="1"/>
        <v>0</v>
      </c>
      <c r="K288" s="3">
        <f ca="1"/>
        <v>0</v>
      </c>
      <c r="M288" s="3">
        <f ca="1"/>
        <v>0</v>
      </c>
      <c r="N288" s="3">
        <f ca="1"/>
        <v>0</v>
      </c>
      <c r="O288" s="3">
        <f ca="1"/>
        <v>0</v>
      </c>
    </row>
    <row r="289" spans="2:15" ht="13">
      <c r="B289" s="3"/>
      <c r="C289" s="3"/>
      <c r="D289" s="3"/>
      <c r="E289" s="3"/>
      <c r="F289" s="3"/>
      <c r="G289" s="3"/>
      <c r="I289" s="3">
        <f ca="1"/>
        <v>0</v>
      </c>
      <c r="J289" s="3">
        <f ca="1"/>
        <v>0</v>
      </c>
      <c r="K289" s="3">
        <f ca="1"/>
        <v>0</v>
      </c>
      <c r="M289" s="3">
        <f ca="1"/>
        <v>0</v>
      </c>
      <c r="N289" s="3">
        <f ca="1"/>
        <v>0</v>
      </c>
      <c r="O289" s="3">
        <f ca="1"/>
        <v>0</v>
      </c>
    </row>
    <row r="290" spans="2:15" ht="13">
      <c r="B290" s="3"/>
      <c r="C290" s="3"/>
      <c r="D290" s="3"/>
      <c r="E290" s="3"/>
      <c r="F290" s="3"/>
      <c r="G290" s="3"/>
      <c r="I290" s="3">
        <f ca="1"/>
        <v>0</v>
      </c>
      <c r="J290" s="3">
        <f ca="1"/>
        <v>0</v>
      </c>
      <c r="K290" s="3">
        <f ca="1"/>
        <v>0</v>
      </c>
      <c r="M290" s="3">
        <f ca="1"/>
        <v>0</v>
      </c>
      <c r="N290" s="3">
        <f ca="1"/>
        <v>0</v>
      </c>
      <c r="O290" s="3">
        <f ca="1"/>
        <v>0</v>
      </c>
    </row>
    <row r="291" spans="2:15" ht="13">
      <c r="B291" s="3"/>
      <c r="C291" s="3"/>
      <c r="D291" s="3"/>
      <c r="E291" s="3"/>
      <c r="F291" s="3"/>
      <c r="G291" s="3"/>
      <c r="I291" s="3">
        <f ca="1"/>
        <v>0</v>
      </c>
      <c r="J291" s="3">
        <f ca="1"/>
        <v>0</v>
      </c>
      <c r="K291" s="3">
        <f ca="1"/>
        <v>0</v>
      </c>
      <c r="M291" s="3">
        <f ca="1"/>
        <v>0</v>
      </c>
      <c r="N291" s="3">
        <f ca="1"/>
        <v>0</v>
      </c>
      <c r="O291" s="3">
        <f ca="1"/>
        <v>0</v>
      </c>
    </row>
    <row r="292" spans="2:15" ht="13">
      <c r="B292" s="3"/>
      <c r="C292" s="3"/>
      <c r="D292" s="3"/>
      <c r="E292" s="3"/>
      <c r="F292" s="3"/>
      <c r="G292" s="3"/>
      <c r="I292" s="3">
        <f ca="1"/>
        <v>0</v>
      </c>
      <c r="J292" s="3">
        <f ca="1"/>
        <v>0</v>
      </c>
      <c r="K292" s="3">
        <f ca="1"/>
        <v>0</v>
      </c>
      <c r="M292" s="3">
        <f ca="1"/>
        <v>0</v>
      </c>
      <c r="N292" s="3">
        <f ca="1"/>
        <v>0</v>
      </c>
      <c r="O292" s="3">
        <f ca="1"/>
        <v>0</v>
      </c>
    </row>
    <row r="293" spans="2:15" ht="13">
      <c r="B293" s="3"/>
      <c r="C293" s="3"/>
      <c r="D293" s="3"/>
      <c r="E293" s="3"/>
      <c r="F293" s="3"/>
      <c r="G293" s="3"/>
      <c r="I293" s="3">
        <f ca="1"/>
        <v>0</v>
      </c>
      <c r="J293" s="3">
        <f ca="1"/>
        <v>0</v>
      </c>
      <c r="K293" s="3">
        <f ca="1"/>
        <v>0</v>
      </c>
      <c r="M293" s="3">
        <f ca="1"/>
        <v>0</v>
      </c>
      <c r="N293" s="3">
        <f ca="1"/>
        <v>0</v>
      </c>
      <c r="O293" s="3">
        <f ca="1"/>
        <v>0</v>
      </c>
    </row>
    <row r="294" spans="2:15" ht="13">
      <c r="B294" s="3"/>
      <c r="C294" s="3"/>
      <c r="D294" s="3"/>
      <c r="E294" s="3"/>
      <c r="F294" s="3"/>
      <c r="G294" s="3"/>
      <c r="I294" s="3">
        <f ca="1"/>
        <v>0</v>
      </c>
      <c r="J294" s="3">
        <f ca="1"/>
        <v>0</v>
      </c>
      <c r="K294" s="3">
        <f ca="1"/>
        <v>0</v>
      </c>
      <c r="M294" s="3">
        <f ca="1"/>
        <v>0</v>
      </c>
      <c r="N294" s="3">
        <f ca="1"/>
        <v>0</v>
      </c>
      <c r="O294" s="3">
        <f ca="1"/>
        <v>0</v>
      </c>
    </row>
    <row r="295" spans="2:15" ht="13">
      <c r="B295" s="3"/>
      <c r="C295" s="3"/>
      <c r="D295" s="3"/>
      <c r="E295" s="3"/>
      <c r="F295" s="3"/>
      <c r="G295" s="3"/>
      <c r="I295" s="3">
        <f ca="1"/>
        <v>0</v>
      </c>
      <c r="J295" s="3">
        <f ca="1"/>
        <v>0</v>
      </c>
      <c r="K295" s="3">
        <f ca="1"/>
        <v>0</v>
      </c>
      <c r="M295" s="3">
        <f ca="1"/>
        <v>0</v>
      </c>
      <c r="N295" s="3">
        <f ca="1"/>
        <v>0</v>
      </c>
      <c r="O295" s="3">
        <f ca="1"/>
        <v>0</v>
      </c>
    </row>
    <row r="296" spans="2:15" ht="13">
      <c r="B296" s="3"/>
      <c r="C296" s="3"/>
      <c r="D296" s="3"/>
      <c r="E296" s="3"/>
      <c r="F296" s="3"/>
      <c r="G296" s="3"/>
      <c r="I296" s="3">
        <f ca="1"/>
        <v>0</v>
      </c>
      <c r="J296" s="3">
        <f ca="1"/>
        <v>0</v>
      </c>
      <c r="K296" s="3">
        <f ca="1"/>
        <v>0</v>
      </c>
      <c r="M296" s="3">
        <f ca="1"/>
        <v>0</v>
      </c>
      <c r="N296" s="3">
        <f ca="1"/>
        <v>0</v>
      </c>
      <c r="O296" s="3">
        <f ca="1"/>
        <v>0</v>
      </c>
    </row>
    <row r="297" spans="2:15" ht="13">
      <c r="B297" s="3"/>
      <c r="C297" s="3"/>
      <c r="D297" s="3"/>
      <c r="E297" s="3"/>
      <c r="F297" s="3"/>
      <c r="G297" s="3"/>
      <c r="I297" s="3">
        <f ca="1"/>
        <v>0</v>
      </c>
      <c r="J297" s="3">
        <f ca="1"/>
        <v>0</v>
      </c>
      <c r="K297" s="3">
        <f ca="1"/>
        <v>0</v>
      </c>
      <c r="M297" s="3">
        <f ca="1"/>
        <v>0</v>
      </c>
      <c r="N297" s="3">
        <f ca="1"/>
        <v>0</v>
      </c>
      <c r="O297" s="3">
        <f ca="1"/>
        <v>0</v>
      </c>
    </row>
    <row r="298" spans="2:15" ht="13">
      <c r="B298" s="3"/>
      <c r="C298" s="3"/>
      <c r="D298" s="3"/>
      <c r="E298" s="3"/>
      <c r="F298" s="3"/>
      <c r="G298" s="3"/>
      <c r="I298" s="3">
        <f ca="1"/>
        <v>0</v>
      </c>
      <c r="J298" s="3">
        <f ca="1"/>
        <v>0</v>
      </c>
      <c r="K298" s="3">
        <f ca="1"/>
        <v>0</v>
      </c>
      <c r="M298" s="3">
        <f ca="1"/>
        <v>0</v>
      </c>
      <c r="N298" s="3">
        <f ca="1"/>
        <v>0</v>
      </c>
      <c r="O298" s="3">
        <f ca="1"/>
        <v>0</v>
      </c>
    </row>
    <row r="299" spans="2:15" ht="13">
      <c r="B299" s="3"/>
      <c r="C299" s="3"/>
      <c r="D299" s="3"/>
      <c r="E299" s="3"/>
      <c r="F299" s="3"/>
      <c r="G299" s="3"/>
      <c r="I299" s="3">
        <f ca="1"/>
        <v>0</v>
      </c>
      <c r="J299" s="3">
        <f ca="1"/>
        <v>0</v>
      </c>
      <c r="K299" s="3">
        <f ca="1"/>
        <v>0</v>
      </c>
      <c r="M299" s="3">
        <f ca="1"/>
        <v>0</v>
      </c>
      <c r="N299" s="3">
        <f ca="1"/>
        <v>0</v>
      </c>
      <c r="O299" s="3">
        <f ca="1"/>
        <v>0</v>
      </c>
    </row>
    <row r="300" spans="2:15" ht="13">
      <c r="B300" s="3"/>
      <c r="C300" s="3"/>
      <c r="D300" s="3"/>
      <c r="E300" s="3"/>
      <c r="F300" s="3"/>
      <c r="G300" s="3"/>
      <c r="I300" s="3">
        <f ca="1"/>
        <v>0</v>
      </c>
      <c r="J300" s="3">
        <f ca="1"/>
        <v>0</v>
      </c>
      <c r="K300" s="3">
        <f ca="1"/>
        <v>0</v>
      </c>
      <c r="M300" s="3">
        <f ca="1"/>
        <v>0</v>
      </c>
      <c r="N300" s="3">
        <f ca="1"/>
        <v>0</v>
      </c>
      <c r="O300" s="3">
        <f ca="1"/>
        <v>0</v>
      </c>
    </row>
    <row r="301" spans="2:15" ht="13">
      <c r="B301" s="3"/>
      <c r="C301" s="3"/>
      <c r="D301" s="3"/>
      <c r="E301" s="3"/>
      <c r="F301" s="3"/>
      <c r="G301" s="3"/>
      <c r="I301" s="3">
        <f ca="1"/>
        <v>0</v>
      </c>
      <c r="J301" s="3">
        <f ca="1"/>
        <v>0</v>
      </c>
      <c r="K301" s="3">
        <f ca="1"/>
        <v>0</v>
      </c>
      <c r="M301" s="3">
        <f ca="1"/>
        <v>0</v>
      </c>
      <c r="N301" s="3">
        <f ca="1"/>
        <v>0</v>
      </c>
      <c r="O301" s="3">
        <f ca="1"/>
        <v>0</v>
      </c>
    </row>
    <row r="302" spans="2:15" ht="13">
      <c r="B302" s="3"/>
      <c r="C302" s="3"/>
      <c r="D302" s="3"/>
      <c r="E302" s="3"/>
      <c r="F302" s="3"/>
      <c r="G302" s="3"/>
      <c r="I302" s="3">
        <f ca="1"/>
        <v>0</v>
      </c>
      <c r="J302" s="3">
        <f ca="1"/>
        <v>0</v>
      </c>
      <c r="K302" s="3">
        <f ca="1"/>
        <v>0</v>
      </c>
      <c r="M302" s="3">
        <f ca="1"/>
        <v>0</v>
      </c>
      <c r="N302" s="3">
        <f ca="1"/>
        <v>0</v>
      </c>
      <c r="O302" s="3">
        <f ca="1"/>
        <v>0</v>
      </c>
    </row>
    <row r="303" spans="2:15" ht="13">
      <c r="B303" s="3"/>
      <c r="C303" s="3"/>
      <c r="D303" s="3"/>
      <c r="E303" s="3"/>
      <c r="F303" s="3"/>
      <c r="G303" s="3"/>
      <c r="I303" s="3">
        <f ca="1"/>
        <v>0</v>
      </c>
      <c r="J303" s="3">
        <f ca="1"/>
        <v>0</v>
      </c>
      <c r="K303" s="3">
        <f ca="1"/>
        <v>0</v>
      </c>
      <c r="M303" s="3">
        <f ca="1"/>
        <v>0</v>
      </c>
      <c r="N303" s="3">
        <f ca="1"/>
        <v>0</v>
      </c>
      <c r="O303" s="3">
        <f ca="1"/>
        <v>0</v>
      </c>
    </row>
    <row r="304" spans="2:15" ht="13">
      <c r="B304" s="3"/>
      <c r="C304" s="3"/>
      <c r="D304" s="3"/>
      <c r="E304" s="3"/>
      <c r="F304" s="3"/>
      <c r="G304" s="3"/>
      <c r="I304" s="3">
        <f ca="1"/>
        <v>0</v>
      </c>
      <c r="J304" s="3">
        <f ca="1"/>
        <v>0</v>
      </c>
      <c r="K304" s="3">
        <f ca="1"/>
        <v>0</v>
      </c>
      <c r="M304" s="3">
        <f ca="1"/>
        <v>0</v>
      </c>
      <c r="N304" s="3">
        <f ca="1"/>
        <v>0</v>
      </c>
      <c r="O304" s="3">
        <f ca="1"/>
        <v>0</v>
      </c>
    </row>
    <row r="305" spans="2:15" ht="13">
      <c r="B305" s="3"/>
      <c r="C305" s="3"/>
      <c r="D305" s="3"/>
      <c r="E305" s="3"/>
      <c r="F305" s="3"/>
      <c r="G305" s="3"/>
      <c r="I305" s="3">
        <f ca="1"/>
        <v>0</v>
      </c>
      <c r="J305" s="3">
        <f ca="1"/>
        <v>0</v>
      </c>
      <c r="K305" s="3">
        <f ca="1"/>
        <v>0</v>
      </c>
      <c r="M305" s="3">
        <f ca="1"/>
        <v>0</v>
      </c>
      <c r="N305" s="3">
        <f ca="1"/>
        <v>0</v>
      </c>
      <c r="O305" s="3">
        <f ca="1"/>
        <v>0</v>
      </c>
    </row>
    <row r="306" spans="2:15" ht="13">
      <c r="B306" s="3"/>
      <c r="C306" s="3"/>
      <c r="D306" s="3"/>
      <c r="E306" s="3"/>
      <c r="F306" s="3"/>
      <c r="G306" s="3"/>
      <c r="I306" s="3">
        <f ca="1"/>
        <v>0</v>
      </c>
      <c r="J306" s="3">
        <f ca="1"/>
        <v>0</v>
      </c>
      <c r="K306" s="3">
        <f ca="1"/>
        <v>0</v>
      </c>
      <c r="M306" s="3">
        <f ca="1"/>
        <v>0</v>
      </c>
      <c r="N306" s="3">
        <f ca="1"/>
        <v>0</v>
      </c>
      <c r="O306" s="3">
        <f ca="1"/>
        <v>0</v>
      </c>
    </row>
    <row r="307" spans="2:15" ht="13">
      <c r="B307" s="3"/>
      <c r="C307" s="3"/>
      <c r="D307" s="3"/>
      <c r="E307" s="3"/>
      <c r="F307" s="3"/>
      <c r="G307" s="3"/>
      <c r="I307" s="3">
        <f ca="1"/>
        <v>0</v>
      </c>
      <c r="J307" s="3">
        <f ca="1"/>
        <v>0</v>
      </c>
      <c r="K307" s="3">
        <f ca="1"/>
        <v>0</v>
      </c>
      <c r="M307" s="3">
        <f ca="1"/>
        <v>0</v>
      </c>
      <c r="N307" s="3">
        <f ca="1"/>
        <v>0</v>
      </c>
      <c r="O307" s="3">
        <f ca="1"/>
        <v>0</v>
      </c>
    </row>
    <row r="308" spans="2:15" ht="13">
      <c r="B308" s="3"/>
      <c r="C308" s="3"/>
      <c r="D308" s="3"/>
      <c r="E308" s="3"/>
      <c r="F308" s="3"/>
      <c r="G308" s="3"/>
      <c r="I308" s="3">
        <f ca="1"/>
        <v>0</v>
      </c>
      <c r="J308" s="3">
        <f ca="1"/>
        <v>0</v>
      </c>
      <c r="K308" s="3">
        <f ca="1"/>
        <v>0</v>
      </c>
      <c r="M308" s="3">
        <f ca="1"/>
        <v>0</v>
      </c>
      <c r="N308" s="3">
        <f ca="1"/>
        <v>0</v>
      </c>
      <c r="O308" s="3">
        <f ca="1"/>
        <v>0</v>
      </c>
    </row>
    <row r="309" spans="2:15" ht="13">
      <c r="B309" s="3"/>
      <c r="C309" s="3"/>
      <c r="D309" s="3"/>
      <c r="E309" s="3"/>
      <c r="F309" s="3"/>
      <c r="G309" s="3"/>
      <c r="I309" s="3">
        <f ca="1"/>
        <v>0</v>
      </c>
      <c r="J309" s="3">
        <f ca="1"/>
        <v>0</v>
      </c>
      <c r="K309" s="3">
        <f ca="1"/>
        <v>0</v>
      </c>
      <c r="M309" s="3">
        <f ca="1"/>
        <v>0</v>
      </c>
      <c r="N309" s="3">
        <f ca="1"/>
        <v>0</v>
      </c>
      <c r="O309" s="3">
        <f ca="1"/>
        <v>0</v>
      </c>
    </row>
    <row r="310" spans="2:15" ht="13">
      <c r="B310" s="3"/>
      <c r="C310" s="3"/>
      <c r="D310" s="3"/>
      <c r="E310" s="3"/>
      <c r="F310" s="3"/>
      <c r="G310" s="3"/>
      <c r="I310" s="3">
        <f ca="1"/>
        <v>0</v>
      </c>
      <c r="J310" s="3">
        <f ca="1"/>
        <v>0</v>
      </c>
      <c r="K310" s="3">
        <f ca="1"/>
        <v>0</v>
      </c>
      <c r="M310" s="3">
        <f ca="1"/>
        <v>0</v>
      </c>
      <c r="N310" s="3">
        <f ca="1"/>
        <v>0</v>
      </c>
      <c r="O310" s="3">
        <f ca="1"/>
        <v>0</v>
      </c>
    </row>
    <row r="311" spans="2:15" ht="13">
      <c r="B311" s="3"/>
      <c r="C311" s="3"/>
      <c r="D311" s="3"/>
      <c r="E311" s="3"/>
      <c r="F311" s="3"/>
      <c r="G311" s="3"/>
      <c r="I311" s="3">
        <f ca="1"/>
        <v>0</v>
      </c>
      <c r="J311" s="3">
        <f ca="1"/>
        <v>0</v>
      </c>
      <c r="K311" s="3">
        <f ca="1"/>
        <v>0</v>
      </c>
      <c r="M311" s="3">
        <f ca="1"/>
        <v>0</v>
      </c>
      <c r="N311" s="3">
        <f ca="1"/>
        <v>0</v>
      </c>
      <c r="O311" s="3">
        <f ca="1"/>
        <v>0</v>
      </c>
    </row>
    <row r="312" spans="2:15" ht="13">
      <c r="B312" s="3"/>
      <c r="C312" s="3"/>
      <c r="D312" s="3"/>
      <c r="E312" s="3"/>
      <c r="F312" s="3"/>
      <c r="G312" s="3"/>
      <c r="I312" s="3">
        <f ca="1"/>
        <v>0</v>
      </c>
      <c r="J312" s="3">
        <f ca="1"/>
        <v>0</v>
      </c>
      <c r="K312" s="3">
        <f ca="1"/>
        <v>0</v>
      </c>
      <c r="M312" s="3">
        <f ca="1"/>
        <v>0</v>
      </c>
      <c r="N312" s="3">
        <f ca="1"/>
        <v>0</v>
      </c>
      <c r="O312" s="3">
        <f ca="1"/>
        <v>0</v>
      </c>
    </row>
    <row r="313" spans="2:15" ht="13">
      <c r="B313" s="3"/>
      <c r="C313" s="3"/>
      <c r="D313" s="3"/>
      <c r="E313" s="3"/>
      <c r="F313" s="3"/>
      <c r="G313" s="3"/>
      <c r="I313" s="3">
        <f ca="1"/>
        <v>0</v>
      </c>
      <c r="J313" s="3">
        <f ca="1"/>
        <v>0</v>
      </c>
      <c r="K313" s="3">
        <f ca="1"/>
        <v>0</v>
      </c>
      <c r="M313" s="3">
        <f ca="1"/>
        <v>0</v>
      </c>
      <c r="N313" s="3">
        <f ca="1"/>
        <v>0</v>
      </c>
      <c r="O313" s="3">
        <f ca="1"/>
        <v>0</v>
      </c>
    </row>
    <row r="314" spans="2:15" ht="13">
      <c r="B314" s="3"/>
      <c r="C314" s="3"/>
      <c r="D314" s="3"/>
      <c r="E314" s="3"/>
      <c r="F314" s="3"/>
      <c r="G314" s="3"/>
      <c r="I314" s="3">
        <f ca="1"/>
        <v>0</v>
      </c>
      <c r="J314" s="3">
        <f ca="1"/>
        <v>0</v>
      </c>
      <c r="K314" s="3">
        <f ca="1"/>
        <v>0</v>
      </c>
      <c r="M314" s="3">
        <f ca="1"/>
        <v>0</v>
      </c>
      <c r="N314" s="3">
        <f ca="1"/>
        <v>0</v>
      </c>
      <c r="O314" s="3">
        <f ca="1"/>
        <v>0</v>
      </c>
    </row>
    <row r="315" spans="2:15" ht="13">
      <c r="B315" s="3"/>
      <c r="C315" s="3"/>
      <c r="D315" s="3"/>
      <c r="E315" s="3"/>
      <c r="F315" s="3"/>
      <c r="G315" s="3"/>
      <c r="I315" s="3">
        <f ca="1"/>
        <v>0</v>
      </c>
      <c r="J315" s="3">
        <f ca="1"/>
        <v>0</v>
      </c>
      <c r="K315" s="3">
        <f ca="1"/>
        <v>0</v>
      </c>
      <c r="M315" s="3">
        <f ca="1"/>
        <v>0</v>
      </c>
      <c r="N315" s="3">
        <f ca="1"/>
        <v>0</v>
      </c>
      <c r="O315" s="3">
        <f ca="1"/>
        <v>0</v>
      </c>
    </row>
    <row r="316" spans="2:15" ht="13">
      <c r="B316" s="3"/>
      <c r="C316" s="3"/>
      <c r="D316" s="3"/>
      <c r="E316" s="3"/>
      <c r="F316" s="3"/>
      <c r="G316" s="3"/>
      <c r="I316" s="3">
        <f ca="1"/>
        <v>0</v>
      </c>
      <c r="J316" s="3">
        <f ca="1"/>
        <v>0</v>
      </c>
      <c r="K316" s="3">
        <f ca="1"/>
        <v>0</v>
      </c>
      <c r="M316" s="3">
        <f ca="1"/>
        <v>0</v>
      </c>
      <c r="N316" s="3">
        <f ca="1"/>
        <v>0</v>
      </c>
      <c r="O316" s="3">
        <f ca="1"/>
        <v>0</v>
      </c>
    </row>
    <row r="317" spans="2:15" ht="13">
      <c r="B317" s="3"/>
      <c r="C317" s="3"/>
      <c r="D317" s="3"/>
      <c r="E317" s="3"/>
      <c r="F317" s="3"/>
      <c r="G317" s="3"/>
      <c r="I317" s="3">
        <f ca="1"/>
        <v>0</v>
      </c>
      <c r="J317" s="3">
        <f ca="1"/>
        <v>0</v>
      </c>
      <c r="K317" s="3">
        <f ca="1"/>
        <v>0</v>
      </c>
      <c r="M317" s="3">
        <f ca="1"/>
        <v>0</v>
      </c>
      <c r="N317" s="3">
        <f ca="1"/>
        <v>0</v>
      </c>
      <c r="O317" s="3">
        <f ca="1"/>
        <v>0</v>
      </c>
    </row>
    <row r="318" spans="2:15" ht="13">
      <c r="B318" s="3"/>
      <c r="C318" s="3"/>
      <c r="D318" s="3"/>
      <c r="E318" s="3"/>
      <c r="F318" s="3"/>
      <c r="G318" s="3"/>
      <c r="I318" s="3">
        <f ca="1"/>
        <v>0</v>
      </c>
      <c r="J318" s="3">
        <f ca="1"/>
        <v>0</v>
      </c>
      <c r="K318" s="3">
        <f ca="1"/>
        <v>0</v>
      </c>
      <c r="M318" s="3">
        <f ca="1"/>
        <v>0</v>
      </c>
      <c r="N318" s="3">
        <f ca="1"/>
        <v>0</v>
      </c>
      <c r="O318" s="3">
        <f ca="1"/>
        <v>0</v>
      </c>
    </row>
    <row r="319" spans="2:15" ht="13">
      <c r="B319" s="3"/>
      <c r="C319" s="3"/>
      <c r="D319" s="3"/>
      <c r="E319" s="3"/>
      <c r="F319" s="3"/>
      <c r="G319" s="3"/>
      <c r="I319" s="3">
        <f ca="1"/>
        <v>0</v>
      </c>
      <c r="J319" s="3">
        <f ca="1"/>
        <v>0</v>
      </c>
      <c r="K319" s="3">
        <f ca="1"/>
        <v>0</v>
      </c>
      <c r="M319" s="3">
        <f ca="1"/>
        <v>0</v>
      </c>
      <c r="N319" s="3">
        <f ca="1"/>
        <v>0</v>
      </c>
      <c r="O319" s="3">
        <f ca="1"/>
        <v>0</v>
      </c>
    </row>
    <row r="320" spans="2:15" ht="13">
      <c r="B320" s="3"/>
      <c r="C320" s="3"/>
      <c r="D320" s="3"/>
      <c r="E320" s="3"/>
      <c r="F320" s="3"/>
      <c r="G320" s="3"/>
      <c r="I320" s="3">
        <f ca="1"/>
        <v>0</v>
      </c>
      <c r="J320" s="3">
        <f ca="1"/>
        <v>0</v>
      </c>
      <c r="K320" s="3">
        <f ca="1"/>
        <v>0</v>
      </c>
      <c r="M320" s="3">
        <f ca="1"/>
        <v>0</v>
      </c>
      <c r="N320" s="3">
        <f ca="1"/>
        <v>0</v>
      </c>
      <c r="O320" s="3">
        <f ca="1"/>
        <v>0</v>
      </c>
    </row>
    <row r="321" spans="2:15" ht="13">
      <c r="B321" s="3"/>
      <c r="C321" s="3"/>
      <c r="D321" s="3"/>
      <c r="E321" s="3"/>
      <c r="F321" s="3"/>
      <c r="G321" s="3"/>
      <c r="I321" s="3">
        <f ca="1"/>
        <v>0</v>
      </c>
      <c r="J321" s="3">
        <f ca="1"/>
        <v>0</v>
      </c>
      <c r="K321" s="3">
        <f ca="1"/>
        <v>0</v>
      </c>
      <c r="M321" s="3">
        <f ca="1"/>
        <v>0</v>
      </c>
      <c r="N321" s="3">
        <f ca="1"/>
        <v>0</v>
      </c>
      <c r="O321" s="3">
        <f ca="1"/>
        <v>0</v>
      </c>
    </row>
    <row r="322" spans="2:15" ht="13">
      <c r="B322" s="3"/>
      <c r="C322" s="3"/>
      <c r="D322" s="3"/>
      <c r="E322" s="3"/>
      <c r="F322" s="3"/>
      <c r="G322" s="3"/>
      <c r="I322" s="3">
        <f ca="1"/>
        <v>0</v>
      </c>
      <c r="J322" s="3">
        <f ca="1"/>
        <v>0</v>
      </c>
      <c r="K322" s="3">
        <f ca="1"/>
        <v>0</v>
      </c>
      <c r="M322" s="3">
        <f ca="1"/>
        <v>0</v>
      </c>
      <c r="N322" s="3">
        <f ca="1"/>
        <v>0</v>
      </c>
      <c r="O322" s="3">
        <f ca="1"/>
        <v>0</v>
      </c>
    </row>
    <row r="323" spans="2:15" ht="13">
      <c r="B323" s="3"/>
      <c r="C323" s="3"/>
      <c r="D323" s="3"/>
      <c r="E323" s="3"/>
      <c r="F323" s="3"/>
      <c r="G323" s="3"/>
      <c r="I323" s="3">
        <f ca="1"/>
        <v>0</v>
      </c>
      <c r="J323" s="3">
        <f ca="1"/>
        <v>0</v>
      </c>
      <c r="K323" s="3">
        <f ca="1"/>
        <v>0</v>
      </c>
      <c r="M323" s="3">
        <f ca="1"/>
        <v>0</v>
      </c>
      <c r="N323" s="3">
        <f ca="1"/>
        <v>0</v>
      </c>
      <c r="O323" s="3">
        <f ca="1"/>
        <v>0</v>
      </c>
    </row>
    <row r="324" spans="2:15" ht="13">
      <c r="B324" s="3"/>
      <c r="C324" s="3"/>
      <c r="D324" s="3"/>
      <c r="E324" s="3"/>
      <c r="F324" s="3"/>
      <c r="G324" s="3"/>
      <c r="I324" s="3">
        <f ca="1"/>
        <v>0</v>
      </c>
      <c r="J324" s="3">
        <f ca="1"/>
        <v>0</v>
      </c>
      <c r="K324" s="3">
        <f ca="1"/>
        <v>0</v>
      </c>
      <c r="M324" s="3">
        <f ca="1"/>
        <v>0</v>
      </c>
      <c r="N324" s="3">
        <f ca="1"/>
        <v>0</v>
      </c>
      <c r="O324" s="3">
        <f ca="1"/>
        <v>0</v>
      </c>
    </row>
    <row r="325" spans="2:15" ht="13">
      <c r="B325" s="3"/>
      <c r="C325" s="3"/>
      <c r="D325" s="3"/>
      <c r="E325" s="3"/>
      <c r="F325" s="3"/>
      <c r="G325" s="3"/>
      <c r="I325" s="3">
        <f ca="1"/>
        <v>0</v>
      </c>
      <c r="J325" s="3">
        <f ca="1"/>
        <v>0</v>
      </c>
      <c r="K325" s="3">
        <f ca="1"/>
        <v>0</v>
      </c>
      <c r="M325" s="3">
        <f ca="1"/>
        <v>0</v>
      </c>
      <c r="N325" s="3">
        <f ca="1"/>
        <v>0</v>
      </c>
      <c r="O325" s="3">
        <f ca="1"/>
        <v>0</v>
      </c>
    </row>
    <row r="326" spans="2:15" ht="13">
      <c r="B326" s="3"/>
      <c r="C326" s="3"/>
      <c r="D326" s="3"/>
      <c r="E326" s="3"/>
      <c r="F326" s="3"/>
      <c r="G326" s="3"/>
      <c r="I326" s="3">
        <f ca="1"/>
        <v>0</v>
      </c>
      <c r="J326" s="3">
        <f ca="1"/>
        <v>0</v>
      </c>
      <c r="K326" s="3">
        <f ca="1"/>
        <v>0</v>
      </c>
      <c r="M326" s="3">
        <f ca="1"/>
        <v>0</v>
      </c>
      <c r="N326" s="3">
        <f ca="1"/>
        <v>0</v>
      </c>
      <c r="O326" s="3">
        <f ca="1"/>
        <v>0</v>
      </c>
    </row>
    <row r="327" spans="2:15" ht="13">
      <c r="B327" s="3"/>
      <c r="C327" s="3"/>
      <c r="D327" s="3"/>
      <c r="E327" s="3"/>
      <c r="F327" s="3"/>
      <c r="G327" s="3"/>
      <c r="I327" s="3">
        <f ca="1"/>
        <v>0</v>
      </c>
      <c r="J327" s="3">
        <f ca="1"/>
        <v>0</v>
      </c>
      <c r="K327" s="3">
        <f ca="1"/>
        <v>0</v>
      </c>
      <c r="M327" s="3">
        <f ca="1"/>
        <v>0</v>
      </c>
      <c r="N327" s="3">
        <f ca="1"/>
        <v>0</v>
      </c>
      <c r="O327" s="3">
        <f ca="1"/>
        <v>0</v>
      </c>
    </row>
    <row r="328" spans="2:15" ht="13">
      <c r="B328" s="3"/>
      <c r="C328" s="3"/>
      <c r="D328" s="3"/>
      <c r="E328" s="3"/>
      <c r="F328" s="3"/>
      <c r="G328" s="3"/>
      <c r="I328" s="3">
        <f ca="1"/>
        <v>0</v>
      </c>
      <c r="J328" s="3">
        <f ca="1"/>
        <v>0</v>
      </c>
      <c r="K328" s="3">
        <f ca="1"/>
        <v>0</v>
      </c>
      <c r="M328" s="3">
        <f ca="1"/>
        <v>0</v>
      </c>
      <c r="N328" s="3">
        <f ca="1"/>
        <v>0</v>
      </c>
      <c r="O328" s="3">
        <f ca="1"/>
        <v>0</v>
      </c>
    </row>
    <row r="329" spans="2:15" ht="13">
      <c r="B329" s="3"/>
      <c r="C329" s="3"/>
      <c r="D329" s="3"/>
      <c r="E329" s="3"/>
      <c r="F329" s="3"/>
      <c r="G329" s="3"/>
      <c r="I329" s="3">
        <f ca="1"/>
        <v>0</v>
      </c>
      <c r="J329" s="3">
        <f ca="1"/>
        <v>0</v>
      </c>
      <c r="K329" s="3">
        <f ca="1"/>
        <v>0</v>
      </c>
      <c r="M329" s="3">
        <f ca="1"/>
        <v>0</v>
      </c>
      <c r="N329" s="3">
        <f ca="1"/>
        <v>0</v>
      </c>
      <c r="O329" s="3">
        <f ca="1"/>
        <v>0</v>
      </c>
    </row>
    <row r="330" spans="2:15" ht="13">
      <c r="B330" s="3"/>
      <c r="C330" s="3"/>
      <c r="D330" s="3"/>
      <c r="E330" s="3"/>
      <c r="F330" s="3"/>
      <c r="G330" s="3"/>
      <c r="I330" s="3">
        <f ca="1"/>
        <v>0</v>
      </c>
      <c r="J330" s="3">
        <f ca="1"/>
        <v>0</v>
      </c>
      <c r="K330" s="3">
        <f ca="1"/>
        <v>0</v>
      </c>
      <c r="M330" s="3">
        <f ca="1"/>
        <v>0</v>
      </c>
      <c r="N330" s="3">
        <f ca="1"/>
        <v>0</v>
      </c>
      <c r="O330" s="3">
        <f ca="1"/>
        <v>0</v>
      </c>
    </row>
    <row r="331" spans="2:15" ht="13">
      <c r="B331" s="3"/>
      <c r="C331" s="3"/>
      <c r="D331" s="3"/>
      <c r="E331" s="3"/>
      <c r="F331" s="3"/>
      <c r="G331" s="3"/>
      <c r="I331" s="3">
        <f ca="1"/>
        <v>0</v>
      </c>
      <c r="J331" s="3">
        <f ca="1"/>
        <v>0</v>
      </c>
      <c r="K331" s="3">
        <f ca="1"/>
        <v>0</v>
      </c>
      <c r="M331" s="3">
        <f ca="1"/>
        <v>0</v>
      </c>
      <c r="N331" s="3">
        <f ca="1"/>
        <v>0</v>
      </c>
      <c r="O331" s="3">
        <f ca="1"/>
        <v>0</v>
      </c>
    </row>
    <row r="332" spans="2:15" ht="13">
      <c r="B332" s="3"/>
      <c r="C332" s="3"/>
      <c r="D332" s="3"/>
      <c r="E332" s="3"/>
      <c r="F332" s="3"/>
      <c r="G332" s="3"/>
      <c r="I332" s="3">
        <f ca="1"/>
        <v>0</v>
      </c>
      <c r="J332" s="3">
        <f ca="1"/>
        <v>0</v>
      </c>
      <c r="K332" s="3">
        <f ca="1"/>
        <v>0</v>
      </c>
      <c r="M332" s="3">
        <f ca="1"/>
        <v>0</v>
      </c>
      <c r="N332" s="3">
        <f ca="1"/>
        <v>0</v>
      </c>
      <c r="O332" s="3">
        <f ca="1"/>
        <v>0</v>
      </c>
    </row>
    <row r="333" spans="2:15" ht="13">
      <c r="B333" s="3"/>
      <c r="C333" s="3"/>
      <c r="D333" s="3"/>
      <c r="E333" s="3"/>
      <c r="F333" s="3"/>
      <c r="G333" s="3"/>
      <c r="I333" s="3">
        <f ca="1"/>
        <v>0</v>
      </c>
      <c r="J333" s="3">
        <f ca="1"/>
        <v>0</v>
      </c>
      <c r="K333" s="3">
        <f ca="1"/>
        <v>0</v>
      </c>
      <c r="M333" s="3">
        <f ca="1"/>
        <v>0</v>
      </c>
      <c r="N333" s="3">
        <f ca="1"/>
        <v>0</v>
      </c>
      <c r="O333" s="3">
        <f ca="1"/>
        <v>0</v>
      </c>
    </row>
    <row r="334" spans="2:15" ht="13">
      <c r="B334" s="3"/>
      <c r="C334" s="3"/>
      <c r="D334" s="3"/>
      <c r="E334" s="3"/>
      <c r="F334" s="3"/>
      <c r="G334" s="3"/>
      <c r="I334" s="3">
        <f ca="1"/>
        <v>0</v>
      </c>
      <c r="J334" s="3">
        <f ca="1"/>
        <v>0</v>
      </c>
      <c r="K334" s="3">
        <f ca="1"/>
        <v>0</v>
      </c>
      <c r="M334" s="3">
        <f ca="1"/>
        <v>0</v>
      </c>
      <c r="N334" s="3">
        <f ca="1"/>
        <v>0</v>
      </c>
      <c r="O334" s="3">
        <f ca="1"/>
        <v>0</v>
      </c>
    </row>
    <row r="335" spans="2:15" ht="13">
      <c r="B335" s="3"/>
      <c r="C335" s="3"/>
      <c r="D335" s="3"/>
      <c r="E335" s="3"/>
      <c r="F335" s="3"/>
      <c r="G335" s="3"/>
      <c r="I335" s="3">
        <f ca="1"/>
        <v>0</v>
      </c>
      <c r="J335" s="3">
        <f ca="1"/>
        <v>0</v>
      </c>
      <c r="K335" s="3">
        <f ca="1"/>
        <v>0</v>
      </c>
      <c r="M335" s="3">
        <f ca="1"/>
        <v>0</v>
      </c>
      <c r="N335" s="3">
        <f ca="1"/>
        <v>0</v>
      </c>
      <c r="O335" s="3">
        <f ca="1"/>
        <v>0</v>
      </c>
    </row>
    <row r="336" spans="2:15" ht="13">
      <c r="B336" s="3"/>
      <c r="C336" s="3"/>
      <c r="D336" s="3"/>
      <c r="E336" s="3"/>
      <c r="F336" s="3"/>
      <c r="G336" s="3"/>
      <c r="I336" s="3">
        <f ca="1"/>
        <v>0</v>
      </c>
      <c r="J336" s="3">
        <f ca="1"/>
        <v>0</v>
      </c>
      <c r="K336" s="3">
        <f ca="1"/>
        <v>0</v>
      </c>
      <c r="M336" s="3">
        <f ca="1"/>
        <v>0</v>
      </c>
      <c r="N336" s="3">
        <f ca="1"/>
        <v>0</v>
      </c>
      <c r="O336" s="3">
        <f ca="1"/>
        <v>0</v>
      </c>
    </row>
    <row r="337" spans="2:15" ht="13">
      <c r="B337" s="3"/>
      <c r="C337" s="3"/>
      <c r="D337" s="3"/>
      <c r="E337" s="3"/>
      <c r="F337" s="3"/>
      <c r="G337" s="3"/>
      <c r="I337" s="3">
        <f ca="1"/>
        <v>0</v>
      </c>
      <c r="J337" s="3">
        <f ca="1"/>
        <v>0</v>
      </c>
      <c r="K337" s="3">
        <f ca="1"/>
        <v>0</v>
      </c>
      <c r="M337" s="3">
        <f ca="1"/>
        <v>0</v>
      </c>
      <c r="N337" s="3">
        <f ca="1"/>
        <v>0</v>
      </c>
      <c r="O337" s="3">
        <f ca="1"/>
        <v>0</v>
      </c>
    </row>
    <row r="338" spans="2:15" ht="13">
      <c r="B338" s="3"/>
      <c r="C338" s="3"/>
      <c r="D338" s="3"/>
      <c r="E338" s="3"/>
      <c r="F338" s="3"/>
      <c r="G338" s="3"/>
      <c r="I338" s="3">
        <f ca="1"/>
        <v>0</v>
      </c>
      <c r="J338" s="3">
        <f ca="1"/>
        <v>0</v>
      </c>
      <c r="K338" s="3">
        <f ca="1"/>
        <v>0</v>
      </c>
      <c r="M338" s="3">
        <f ca="1"/>
        <v>0</v>
      </c>
      <c r="N338" s="3">
        <f ca="1"/>
        <v>0</v>
      </c>
      <c r="O338" s="3">
        <f ca="1"/>
        <v>0</v>
      </c>
    </row>
    <row r="339" spans="2:15" ht="13">
      <c r="B339" s="3"/>
      <c r="C339" s="3"/>
      <c r="D339" s="3"/>
      <c r="E339" s="3"/>
      <c r="F339" s="3"/>
      <c r="G339" s="3"/>
      <c r="I339" s="3">
        <f ca="1"/>
        <v>0</v>
      </c>
      <c r="J339" s="3">
        <f ca="1"/>
        <v>0</v>
      </c>
      <c r="K339" s="3">
        <f ca="1"/>
        <v>0</v>
      </c>
      <c r="M339" s="3">
        <f ca="1"/>
        <v>0</v>
      </c>
      <c r="N339" s="3">
        <f ca="1"/>
        <v>0</v>
      </c>
      <c r="O339" s="3">
        <f ca="1"/>
        <v>0</v>
      </c>
    </row>
    <row r="340" spans="2:15" ht="13">
      <c r="B340" s="3"/>
      <c r="C340" s="3"/>
      <c r="D340" s="3"/>
      <c r="E340" s="3"/>
      <c r="F340" s="3"/>
      <c r="G340" s="3"/>
      <c r="I340" s="3">
        <f ca="1"/>
        <v>0</v>
      </c>
      <c r="J340" s="3">
        <f ca="1"/>
        <v>0</v>
      </c>
      <c r="K340" s="3">
        <f ca="1"/>
        <v>0</v>
      </c>
      <c r="M340" s="3">
        <f ca="1"/>
        <v>0</v>
      </c>
      <c r="N340" s="3">
        <f ca="1"/>
        <v>0</v>
      </c>
      <c r="O340" s="3">
        <f ca="1"/>
        <v>0</v>
      </c>
    </row>
    <row r="341" spans="2:15" ht="13">
      <c r="B341" s="3"/>
      <c r="C341" s="3"/>
      <c r="D341" s="3"/>
      <c r="E341" s="3"/>
      <c r="F341" s="3"/>
      <c r="G341" s="3"/>
      <c r="I341" s="3">
        <f ca="1"/>
        <v>0</v>
      </c>
      <c r="J341" s="3">
        <f ca="1"/>
        <v>0</v>
      </c>
      <c r="K341" s="3">
        <f ca="1"/>
        <v>0</v>
      </c>
      <c r="M341" s="3">
        <f ca="1"/>
        <v>0</v>
      </c>
      <c r="N341" s="3">
        <f ca="1"/>
        <v>0</v>
      </c>
      <c r="O341" s="3">
        <f ca="1"/>
        <v>0</v>
      </c>
    </row>
    <row r="342" spans="2:15" ht="13">
      <c r="B342" s="3"/>
      <c r="C342" s="3"/>
      <c r="D342" s="3"/>
      <c r="E342" s="3"/>
      <c r="F342" s="3"/>
      <c r="G342" s="3"/>
      <c r="I342" s="3">
        <f ca="1"/>
        <v>0</v>
      </c>
      <c r="J342" s="3">
        <f ca="1"/>
        <v>0</v>
      </c>
      <c r="K342" s="3">
        <f ca="1"/>
        <v>0</v>
      </c>
      <c r="M342" s="3">
        <f ca="1"/>
        <v>0</v>
      </c>
      <c r="N342" s="3">
        <f ca="1"/>
        <v>0</v>
      </c>
      <c r="O342" s="3">
        <f ca="1"/>
        <v>0</v>
      </c>
    </row>
    <row r="343" spans="2:15" ht="13">
      <c r="B343" s="3"/>
      <c r="C343" s="3"/>
      <c r="D343" s="3"/>
      <c r="E343" s="3"/>
      <c r="F343" s="3"/>
      <c r="G343" s="3"/>
      <c r="I343" s="3">
        <f ca="1"/>
        <v>0</v>
      </c>
      <c r="J343" s="3">
        <f ca="1"/>
        <v>0</v>
      </c>
      <c r="K343" s="3">
        <f ca="1"/>
        <v>0</v>
      </c>
      <c r="M343" s="3">
        <f ca="1"/>
        <v>0</v>
      </c>
      <c r="N343" s="3">
        <f ca="1"/>
        <v>0</v>
      </c>
      <c r="O343" s="3">
        <f ca="1"/>
        <v>0</v>
      </c>
    </row>
    <row r="344" spans="2:15" ht="13">
      <c r="B344" s="3"/>
      <c r="C344" s="3"/>
      <c r="D344" s="3"/>
      <c r="E344" s="3"/>
      <c r="F344" s="3"/>
      <c r="G344" s="3"/>
      <c r="I344" s="3">
        <f ca="1"/>
        <v>0</v>
      </c>
      <c r="J344" s="3">
        <f ca="1"/>
        <v>0</v>
      </c>
      <c r="K344" s="3">
        <f ca="1"/>
        <v>0</v>
      </c>
      <c r="M344" s="3">
        <f ca="1"/>
        <v>0</v>
      </c>
      <c r="N344" s="3">
        <f ca="1"/>
        <v>0</v>
      </c>
      <c r="O344" s="3">
        <f ca="1"/>
        <v>0</v>
      </c>
    </row>
    <row r="345" spans="2:15" ht="13">
      <c r="B345" s="3"/>
      <c r="C345" s="3"/>
      <c r="D345" s="3"/>
      <c r="E345" s="3"/>
      <c r="F345" s="3"/>
      <c r="G345" s="3"/>
      <c r="I345" s="3">
        <f ca="1"/>
        <v>0</v>
      </c>
      <c r="J345" s="3">
        <f ca="1"/>
        <v>0</v>
      </c>
      <c r="K345" s="3">
        <f ca="1"/>
        <v>0</v>
      </c>
      <c r="M345" s="3">
        <f ca="1"/>
        <v>0</v>
      </c>
      <c r="N345" s="3">
        <f ca="1"/>
        <v>0</v>
      </c>
      <c r="O345" s="3">
        <f ca="1"/>
        <v>0</v>
      </c>
    </row>
    <row r="346" spans="2:15" ht="13">
      <c r="B346" s="3"/>
      <c r="C346" s="3"/>
      <c r="D346" s="3"/>
      <c r="E346" s="3"/>
      <c r="F346" s="3"/>
      <c r="G346" s="3"/>
      <c r="I346" s="3">
        <f ca="1"/>
        <v>0</v>
      </c>
      <c r="J346" s="3">
        <f ca="1"/>
        <v>0</v>
      </c>
      <c r="K346" s="3">
        <f ca="1"/>
        <v>0</v>
      </c>
      <c r="M346" s="3">
        <f ca="1"/>
        <v>0</v>
      </c>
      <c r="N346" s="3">
        <f ca="1"/>
        <v>0</v>
      </c>
      <c r="O346" s="3">
        <f ca="1"/>
        <v>0</v>
      </c>
    </row>
    <row r="347" spans="2:15" ht="13">
      <c r="B347" s="3"/>
      <c r="C347" s="3"/>
      <c r="D347" s="3"/>
      <c r="E347" s="3"/>
      <c r="F347" s="3"/>
      <c r="G347" s="3"/>
      <c r="I347" s="3">
        <f ca="1"/>
        <v>0</v>
      </c>
      <c r="J347" s="3">
        <f ca="1"/>
        <v>0</v>
      </c>
      <c r="K347" s="3">
        <f ca="1"/>
        <v>0</v>
      </c>
      <c r="M347" s="3">
        <f ca="1"/>
        <v>0</v>
      </c>
      <c r="N347" s="3">
        <f ca="1"/>
        <v>0</v>
      </c>
      <c r="O347" s="3">
        <f ca="1"/>
        <v>0</v>
      </c>
    </row>
    <row r="348" spans="2:15" ht="13">
      <c r="B348" s="3"/>
      <c r="C348" s="3"/>
      <c r="D348" s="3"/>
      <c r="E348" s="3"/>
      <c r="F348" s="3"/>
      <c r="G348" s="3"/>
      <c r="I348" s="3">
        <f ca="1"/>
        <v>0</v>
      </c>
      <c r="J348" s="3">
        <f ca="1"/>
        <v>0</v>
      </c>
      <c r="K348" s="3">
        <f ca="1"/>
        <v>0</v>
      </c>
      <c r="M348" s="3">
        <f ca="1"/>
        <v>0</v>
      </c>
      <c r="N348" s="3">
        <f ca="1"/>
        <v>0</v>
      </c>
      <c r="O348" s="3">
        <f ca="1"/>
        <v>0</v>
      </c>
    </row>
    <row r="349" spans="2:15" ht="13">
      <c r="B349" s="3"/>
      <c r="C349" s="3"/>
      <c r="D349" s="3"/>
      <c r="E349" s="3"/>
      <c r="F349" s="3"/>
      <c r="G349" s="3"/>
      <c r="I349" s="3">
        <f ca="1"/>
        <v>0</v>
      </c>
      <c r="J349" s="3">
        <f ca="1"/>
        <v>0</v>
      </c>
      <c r="K349" s="3">
        <f ca="1"/>
        <v>0</v>
      </c>
      <c r="M349" s="3">
        <f ca="1"/>
        <v>0</v>
      </c>
      <c r="N349" s="3">
        <f ca="1"/>
        <v>0</v>
      </c>
      <c r="O349" s="3">
        <f ca="1"/>
        <v>0</v>
      </c>
    </row>
    <row r="350" spans="2:15" ht="13">
      <c r="B350" s="3"/>
      <c r="C350" s="3"/>
      <c r="D350" s="3"/>
      <c r="E350" s="3"/>
      <c r="F350" s="3"/>
      <c r="G350" s="3"/>
      <c r="I350" s="3">
        <f ca="1"/>
        <v>0</v>
      </c>
      <c r="J350" s="3">
        <f ca="1"/>
        <v>0</v>
      </c>
      <c r="K350" s="3">
        <f ca="1"/>
        <v>0</v>
      </c>
      <c r="M350" s="3">
        <f ca="1"/>
        <v>0</v>
      </c>
      <c r="N350" s="3">
        <f ca="1"/>
        <v>0</v>
      </c>
      <c r="O350" s="3">
        <f ca="1"/>
        <v>0</v>
      </c>
    </row>
    <row r="351" spans="2:15" ht="13">
      <c r="B351" s="3"/>
      <c r="C351" s="3"/>
      <c r="D351" s="3"/>
      <c r="E351" s="3"/>
      <c r="F351" s="3"/>
      <c r="G351" s="3"/>
      <c r="I351" s="3">
        <f ca="1"/>
        <v>0</v>
      </c>
      <c r="J351" s="3">
        <f ca="1"/>
        <v>0</v>
      </c>
      <c r="K351" s="3">
        <f ca="1"/>
        <v>0</v>
      </c>
      <c r="M351" s="3">
        <f ca="1"/>
        <v>0</v>
      </c>
      <c r="N351" s="3">
        <f ca="1"/>
        <v>0</v>
      </c>
      <c r="O351" s="3">
        <f ca="1"/>
        <v>0</v>
      </c>
    </row>
    <row r="352" spans="2:15" ht="13">
      <c r="B352" s="3"/>
      <c r="C352" s="3"/>
      <c r="D352" s="3"/>
      <c r="E352" s="3"/>
      <c r="F352" s="3"/>
      <c r="G352" s="3"/>
      <c r="I352" s="3">
        <f ca="1"/>
        <v>0</v>
      </c>
      <c r="J352" s="3">
        <f ca="1"/>
        <v>0</v>
      </c>
      <c r="K352" s="3">
        <f ca="1"/>
        <v>0</v>
      </c>
      <c r="M352" s="3">
        <f ca="1"/>
        <v>0</v>
      </c>
      <c r="N352" s="3">
        <f ca="1"/>
        <v>0</v>
      </c>
      <c r="O352" s="3">
        <f ca="1"/>
        <v>0</v>
      </c>
    </row>
    <row r="353" spans="2:15" ht="13">
      <c r="B353" s="3"/>
      <c r="C353" s="3"/>
      <c r="D353" s="3"/>
      <c r="E353" s="3"/>
      <c r="F353" s="3"/>
      <c r="G353" s="3"/>
      <c r="I353" s="3">
        <f ca="1"/>
        <v>0</v>
      </c>
      <c r="J353" s="3">
        <f ca="1"/>
        <v>0</v>
      </c>
      <c r="K353" s="3">
        <f ca="1"/>
        <v>0</v>
      </c>
      <c r="M353" s="3">
        <f ca="1"/>
        <v>0</v>
      </c>
      <c r="N353" s="3">
        <f ca="1"/>
        <v>0</v>
      </c>
      <c r="O353" s="3">
        <f ca="1"/>
        <v>0</v>
      </c>
    </row>
    <row r="354" spans="2:15" ht="13">
      <c r="B354" s="3"/>
      <c r="C354" s="3"/>
      <c r="D354" s="3"/>
      <c r="E354" s="3"/>
      <c r="F354" s="3"/>
      <c r="G354" s="3"/>
      <c r="I354" s="3">
        <f ca="1"/>
        <v>0</v>
      </c>
      <c r="J354" s="3">
        <f ca="1"/>
        <v>0</v>
      </c>
      <c r="K354" s="3">
        <f ca="1"/>
        <v>0</v>
      </c>
      <c r="M354" s="3">
        <f ca="1"/>
        <v>0</v>
      </c>
      <c r="N354" s="3">
        <f ca="1"/>
        <v>0</v>
      </c>
      <c r="O354" s="3">
        <f ca="1"/>
        <v>0</v>
      </c>
    </row>
    <row r="355" spans="2:15" ht="13">
      <c r="B355" s="3"/>
      <c r="C355" s="3"/>
      <c r="D355" s="3"/>
      <c r="E355" s="3"/>
      <c r="F355" s="3"/>
      <c r="G355" s="3"/>
      <c r="I355" s="3">
        <f ca="1"/>
        <v>0</v>
      </c>
      <c r="J355" s="3">
        <f ca="1"/>
        <v>0</v>
      </c>
      <c r="K355" s="3">
        <f ca="1"/>
        <v>0</v>
      </c>
      <c r="M355" s="3">
        <f ca="1"/>
        <v>0</v>
      </c>
      <c r="N355" s="3">
        <f ca="1"/>
        <v>0</v>
      </c>
      <c r="O355" s="3">
        <f ca="1"/>
        <v>0</v>
      </c>
    </row>
    <row r="356" spans="2:15" ht="13">
      <c r="B356" s="3"/>
      <c r="C356" s="3"/>
      <c r="D356" s="3"/>
      <c r="E356" s="3"/>
      <c r="F356" s="3"/>
      <c r="G356" s="3"/>
      <c r="I356" s="3">
        <f ca="1"/>
        <v>0</v>
      </c>
      <c r="J356" s="3">
        <f ca="1"/>
        <v>0</v>
      </c>
      <c r="K356" s="3">
        <f ca="1"/>
        <v>0</v>
      </c>
      <c r="M356" s="3">
        <f ca="1"/>
        <v>0</v>
      </c>
      <c r="N356" s="3">
        <f ca="1"/>
        <v>0</v>
      </c>
      <c r="O356" s="3">
        <f ca="1"/>
        <v>0</v>
      </c>
    </row>
    <row r="357" spans="2:15" ht="13">
      <c r="B357" s="3"/>
      <c r="C357" s="3"/>
      <c r="D357" s="3"/>
      <c r="E357" s="3"/>
      <c r="F357" s="3"/>
      <c r="G357" s="3"/>
      <c r="I357" s="3">
        <f ca="1"/>
        <v>0</v>
      </c>
      <c r="J357" s="3">
        <f ca="1"/>
        <v>0</v>
      </c>
      <c r="K357" s="3">
        <f ca="1"/>
        <v>0</v>
      </c>
      <c r="M357" s="3">
        <f ca="1"/>
        <v>0</v>
      </c>
      <c r="N357" s="3">
        <f ca="1"/>
        <v>0</v>
      </c>
      <c r="O357" s="3">
        <f ca="1"/>
        <v>0</v>
      </c>
    </row>
    <row r="358" spans="2:15" ht="13">
      <c r="B358" s="3"/>
      <c r="C358" s="3"/>
      <c r="D358" s="3"/>
      <c r="E358" s="3"/>
      <c r="F358" s="3"/>
      <c r="G358" s="3"/>
      <c r="I358" s="3">
        <f ca="1"/>
        <v>0</v>
      </c>
      <c r="J358" s="3">
        <f ca="1"/>
        <v>0</v>
      </c>
      <c r="K358" s="3">
        <f ca="1"/>
        <v>0</v>
      </c>
      <c r="M358" s="3">
        <f ca="1"/>
        <v>0</v>
      </c>
      <c r="N358" s="3">
        <f ca="1"/>
        <v>0</v>
      </c>
      <c r="O358" s="3">
        <f ca="1"/>
        <v>0</v>
      </c>
    </row>
    <row r="359" spans="2:15" ht="13">
      <c r="B359" s="3"/>
      <c r="C359" s="3"/>
      <c r="D359" s="3"/>
      <c r="E359" s="3"/>
      <c r="F359" s="3"/>
      <c r="G359" s="3"/>
      <c r="I359" s="3">
        <f ca="1"/>
        <v>0</v>
      </c>
      <c r="J359" s="3">
        <f ca="1"/>
        <v>0</v>
      </c>
      <c r="K359" s="3">
        <f ca="1"/>
        <v>0</v>
      </c>
      <c r="M359" s="3">
        <f ca="1"/>
        <v>0</v>
      </c>
      <c r="N359" s="3">
        <f ca="1"/>
        <v>0</v>
      </c>
      <c r="O359" s="3">
        <f ca="1"/>
        <v>0</v>
      </c>
    </row>
    <row r="360" spans="2:15" ht="13">
      <c r="B360" s="3"/>
      <c r="C360" s="3"/>
      <c r="D360" s="3"/>
      <c r="E360" s="3"/>
      <c r="F360" s="3"/>
      <c r="G360" s="3"/>
      <c r="I360" s="3">
        <f ca="1"/>
        <v>0</v>
      </c>
      <c r="J360" s="3">
        <f ca="1"/>
        <v>0</v>
      </c>
      <c r="K360" s="3">
        <f ca="1"/>
        <v>0</v>
      </c>
      <c r="M360" s="3">
        <f ca="1"/>
        <v>0</v>
      </c>
      <c r="N360" s="3">
        <f ca="1"/>
        <v>0</v>
      </c>
      <c r="O360" s="3">
        <f ca="1"/>
        <v>0</v>
      </c>
    </row>
    <row r="361" spans="2:15" ht="13">
      <c r="B361" s="3"/>
      <c r="C361" s="3"/>
      <c r="D361" s="3"/>
      <c r="E361" s="3"/>
      <c r="F361" s="3"/>
      <c r="G361" s="3"/>
      <c r="I361" s="3">
        <f ca="1"/>
        <v>0</v>
      </c>
      <c r="J361" s="3">
        <f ca="1"/>
        <v>0</v>
      </c>
      <c r="K361" s="3">
        <f ca="1"/>
        <v>0</v>
      </c>
      <c r="M361" s="3">
        <f ca="1"/>
        <v>0</v>
      </c>
      <c r="N361" s="3">
        <f ca="1"/>
        <v>0</v>
      </c>
      <c r="O361" s="3">
        <f ca="1"/>
        <v>0</v>
      </c>
    </row>
    <row r="362" spans="2:15" ht="13">
      <c r="B362" s="3"/>
      <c r="C362" s="3"/>
      <c r="D362" s="3"/>
      <c r="E362" s="3"/>
      <c r="F362" s="3"/>
      <c r="G362" s="3"/>
      <c r="I362" s="3">
        <f ca="1"/>
        <v>0</v>
      </c>
      <c r="J362" s="3">
        <f ca="1"/>
        <v>0</v>
      </c>
      <c r="K362" s="3">
        <f ca="1"/>
        <v>0</v>
      </c>
      <c r="M362" s="3">
        <f ca="1"/>
        <v>0</v>
      </c>
      <c r="N362" s="3">
        <f ca="1"/>
        <v>0</v>
      </c>
      <c r="O362" s="3">
        <f ca="1"/>
        <v>0</v>
      </c>
    </row>
    <row r="363" spans="2:15" ht="13">
      <c r="B363" s="3"/>
      <c r="C363" s="3"/>
      <c r="D363" s="3"/>
      <c r="E363" s="3"/>
      <c r="F363" s="3"/>
      <c r="G363" s="3"/>
      <c r="I363" s="3">
        <f ca="1"/>
        <v>0</v>
      </c>
      <c r="J363" s="3">
        <f ca="1"/>
        <v>0</v>
      </c>
      <c r="K363" s="3">
        <f ca="1"/>
        <v>0</v>
      </c>
      <c r="M363" s="3">
        <f ca="1"/>
        <v>0</v>
      </c>
      <c r="N363" s="3">
        <f ca="1"/>
        <v>0</v>
      </c>
      <c r="O363" s="3">
        <f ca="1"/>
        <v>0</v>
      </c>
    </row>
    <row r="364" spans="2:15" ht="13">
      <c r="B364" s="3"/>
      <c r="C364" s="3"/>
      <c r="D364" s="3"/>
      <c r="E364" s="3"/>
      <c r="F364" s="3"/>
      <c r="G364" s="3"/>
      <c r="I364" s="3">
        <f ca="1"/>
        <v>0</v>
      </c>
      <c r="J364" s="3">
        <f ca="1"/>
        <v>0</v>
      </c>
      <c r="K364" s="3">
        <f ca="1"/>
        <v>0</v>
      </c>
      <c r="M364" s="3">
        <f ca="1"/>
        <v>0</v>
      </c>
      <c r="N364" s="3">
        <f ca="1"/>
        <v>0</v>
      </c>
      <c r="O364" s="3">
        <f ca="1"/>
        <v>0</v>
      </c>
    </row>
    <row r="365" spans="2:15" ht="13">
      <c r="B365" s="3"/>
      <c r="C365" s="3"/>
      <c r="D365" s="3"/>
      <c r="E365" s="3"/>
      <c r="F365" s="3"/>
      <c r="G365" s="3"/>
      <c r="I365" s="3">
        <f ca="1"/>
        <v>0</v>
      </c>
      <c r="J365" s="3">
        <f ca="1"/>
        <v>0</v>
      </c>
      <c r="K365" s="3">
        <f ca="1"/>
        <v>0</v>
      </c>
      <c r="M365" s="3">
        <f ca="1"/>
        <v>0</v>
      </c>
      <c r="N365" s="3">
        <f ca="1"/>
        <v>0</v>
      </c>
      <c r="O365" s="3">
        <f ca="1"/>
        <v>0</v>
      </c>
    </row>
    <row r="366" spans="2:15" ht="13">
      <c r="B366" s="3"/>
      <c r="C366" s="3"/>
      <c r="D366" s="3"/>
      <c r="E366" s="3"/>
      <c r="F366" s="3"/>
      <c r="G366" s="3"/>
      <c r="I366" s="3">
        <f ca="1"/>
        <v>0</v>
      </c>
      <c r="J366" s="3">
        <f ca="1"/>
        <v>0</v>
      </c>
      <c r="K366" s="3">
        <f ca="1"/>
        <v>0</v>
      </c>
      <c r="M366" s="3">
        <f ca="1"/>
        <v>0</v>
      </c>
      <c r="N366" s="3">
        <f ca="1"/>
        <v>0</v>
      </c>
      <c r="O366" s="3">
        <f ca="1"/>
        <v>0</v>
      </c>
    </row>
    <row r="367" spans="2:15" ht="13">
      <c r="B367" s="3"/>
      <c r="C367" s="3"/>
      <c r="D367" s="3"/>
      <c r="E367" s="3"/>
      <c r="F367" s="3"/>
      <c r="G367" s="3"/>
      <c r="I367" s="3">
        <f ca="1"/>
        <v>0</v>
      </c>
      <c r="J367" s="3">
        <f ca="1"/>
        <v>0</v>
      </c>
      <c r="K367" s="3">
        <f ca="1"/>
        <v>0</v>
      </c>
      <c r="M367" s="3">
        <f ca="1"/>
        <v>0</v>
      </c>
      <c r="N367" s="3">
        <f ca="1"/>
        <v>0</v>
      </c>
      <c r="O367" s="3">
        <f ca="1"/>
        <v>0</v>
      </c>
    </row>
    <row r="368" spans="2:15" ht="13">
      <c r="B368" s="3"/>
      <c r="C368" s="3"/>
      <c r="D368" s="3"/>
      <c r="E368" s="3"/>
      <c r="F368" s="3"/>
      <c r="G368" s="3"/>
      <c r="I368" s="3">
        <f ca="1"/>
        <v>0</v>
      </c>
      <c r="J368" s="3">
        <f ca="1"/>
        <v>0</v>
      </c>
      <c r="K368" s="3">
        <f ca="1"/>
        <v>0</v>
      </c>
      <c r="M368" s="3">
        <f ca="1"/>
        <v>0</v>
      </c>
      <c r="N368" s="3">
        <f ca="1"/>
        <v>0</v>
      </c>
      <c r="O368" s="3">
        <f ca="1"/>
        <v>0</v>
      </c>
    </row>
    <row r="369" spans="2:15" ht="13">
      <c r="B369" s="3"/>
      <c r="C369" s="3"/>
      <c r="D369" s="3"/>
      <c r="E369" s="3"/>
      <c r="F369" s="3"/>
      <c r="G369" s="3"/>
      <c r="I369" s="3">
        <f ca="1"/>
        <v>0</v>
      </c>
      <c r="J369" s="3">
        <f ca="1"/>
        <v>0</v>
      </c>
      <c r="K369" s="3">
        <f ca="1"/>
        <v>0</v>
      </c>
      <c r="M369" s="3">
        <f ca="1"/>
        <v>0</v>
      </c>
      <c r="N369" s="3">
        <f ca="1"/>
        <v>0</v>
      </c>
      <c r="O369" s="3">
        <f ca="1"/>
        <v>0</v>
      </c>
    </row>
    <row r="370" spans="2:15" ht="13">
      <c r="B370" s="3"/>
      <c r="C370" s="3"/>
      <c r="D370" s="3"/>
      <c r="E370" s="3"/>
      <c r="F370" s="3"/>
      <c r="G370" s="3"/>
      <c r="I370" s="3">
        <f ca="1"/>
        <v>0</v>
      </c>
      <c r="J370" s="3">
        <f ca="1"/>
        <v>0</v>
      </c>
      <c r="K370" s="3">
        <f ca="1"/>
        <v>0</v>
      </c>
      <c r="M370" s="3">
        <f ca="1"/>
        <v>0</v>
      </c>
      <c r="N370" s="3">
        <f ca="1"/>
        <v>0</v>
      </c>
      <c r="O370" s="3">
        <f ca="1"/>
        <v>0</v>
      </c>
    </row>
    <row r="371" spans="2:15" ht="13">
      <c r="B371" s="3"/>
      <c r="C371" s="3"/>
      <c r="D371" s="3"/>
      <c r="E371" s="3"/>
      <c r="F371" s="3"/>
      <c r="G371" s="3"/>
      <c r="I371" s="3">
        <f ca="1"/>
        <v>0</v>
      </c>
      <c r="J371" s="3">
        <f ca="1"/>
        <v>0</v>
      </c>
      <c r="K371" s="3">
        <f ca="1"/>
        <v>0</v>
      </c>
      <c r="M371" s="3">
        <f ca="1"/>
        <v>0</v>
      </c>
      <c r="N371" s="3">
        <f ca="1"/>
        <v>0</v>
      </c>
      <c r="O371" s="3">
        <f ca="1"/>
        <v>0</v>
      </c>
    </row>
    <row r="372" spans="2:15" ht="13">
      <c r="B372" s="3"/>
      <c r="C372" s="3"/>
      <c r="D372" s="3"/>
      <c r="E372" s="3"/>
      <c r="F372" s="3"/>
      <c r="G372" s="3"/>
      <c r="I372" s="3">
        <f ca="1"/>
        <v>0</v>
      </c>
      <c r="J372" s="3">
        <f ca="1"/>
        <v>0</v>
      </c>
      <c r="K372" s="3">
        <f ca="1"/>
        <v>0</v>
      </c>
      <c r="M372" s="3">
        <f ca="1"/>
        <v>0</v>
      </c>
      <c r="N372" s="3">
        <f ca="1"/>
        <v>0</v>
      </c>
      <c r="O372" s="3">
        <f ca="1"/>
        <v>0</v>
      </c>
    </row>
    <row r="373" spans="2:15" ht="13">
      <c r="B373" s="3"/>
      <c r="C373" s="3"/>
      <c r="D373" s="3"/>
      <c r="E373" s="3"/>
      <c r="F373" s="3"/>
      <c r="G373" s="3"/>
      <c r="I373" s="3">
        <f ca="1"/>
        <v>0</v>
      </c>
      <c r="J373" s="3">
        <f ca="1"/>
        <v>0</v>
      </c>
      <c r="K373" s="3">
        <f ca="1"/>
        <v>0</v>
      </c>
      <c r="M373" s="3">
        <f ca="1"/>
        <v>0</v>
      </c>
      <c r="N373" s="3">
        <f ca="1"/>
        <v>0</v>
      </c>
      <c r="O373" s="3">
        <f ca="1"/>
        <v>0</v>
      </c>
    </row>
    <row r="374" spans="2:15" ht="13">
      <c r="B374" s="3"/>
      <c r="C374" s="3"/>
      <c r="D374" s="3"/>
      <c r="E374" s="3"/>
      <c r="F374" s="3"/>
      <c r="G374" s="3"/>
      <c r="I374" s="3">
        <f ca="1"/>
        <v>0</v>
      </c>
      <c r="J374" s="3">
        <f ca="1"/>
        <v>0</v>
      </c>
      <c r="K374" s="3">
        <f ca="1"/>
        <v>0</v>
      </c>
      <c r="M374" s="3">
        <f ca="1"/>
        <v>0</v>
      </c>
      <c r="N374" s="3">
        <f ca="1"/>
        <v>0</v>
      </c>
      <c r="O374" s="3">
        <f ca="1"/>
        <v>0</v>
      </c>
    </row>
    <row r="375" spans="2:15" ht="13">
      <c r="B375" s="3"/>
      <c r="C375" s="3"/>
      <c r="D375" s="3"/>
      <c r="E375" s="3"/>
      <c r="F375" s="3"/>
      <c r="G375" s="3"/>
      <c r="I375" s="3">
        <f ca="1"/>
        <v>0</v>
      </c>
      <c r="J375" s="3">
        <f ca="1"/>
        <v>0</v>
      </c>
      <c r="K375" s="3">
        <f ca="1"/>
        <v>0</v>
      </c>
      <c r="M375" s="3">
        <f ca="1"/>
        <v>0</v>
      </c>
      <c r="N375" s="3">
        <f ca="1"/>
        <v>0</v>
      </c>
      <c r="O375" s="3">
        <f ca="1"/>
        <v>0</v>
      </c>
    </row>
    <row r="376" spans="2:15" ht="13">
      <c r="B376" s="3"/>
      <c r="C376" s="3"/>
      <c r="D376" s="3"/>
      <c r="E376" s="3"/>
      <c r="F376" s="3"/>
      <c r="G376" s="3"/>
      <c r="I376" s="3">
        <f ca="1"/>
        <v>0</v>
      </c>
      <c r="J376" s="3">
        <f ca="1"/>
        <v>0</v>
      </c>
      <c r="K376" s="3">
        <f ca="1"/>
        <v>0</v>
      </c>
      <c r="M376" s="3">
        <f ca="1"/>
        <v>0</v>
      </c>
      <c r="N376" s="3">
        <f ca="1"/>
        <v>0</v>
      </c>
      <c r="O376" s="3">
        <f ca="1"/>
        <v>0</v>
      </c>
    </row>
    <row r="377" spans="2:15" ht="13">
      <c r="B377" s="3"/>
      <c r="C377" s="3"/>
      <c r="D377" s="3"/>
      <c r="E377" s="3"/>
      <c r="F377" s="3"/>
      <c r="G377" s="3"/>
      <c r="I377" s="3">
        <f ca="1"/>
        <v>0</v>
      </c>
      <c r="J377" s="3">
        <f ca="1"/>
        <v>0</v>
      </c>
      <c r="K377" s="3">
        <f ca="1"/>
        <v>0</v>
      </c>
      <c r="M377" s="3">
        <f ca="1"/>
        <v>0</v>
      </c>
      <c r="N377" s="3">
        <f ca="1"/>
        <v>0</v>
      </c>
      <c r="O377" s="3">
        <f ca="1"/>
        <v>0</v>
      </c>
    </row>
    <row r="378" spans="2:15" ht="13">
      <c r="B378" s="3"/>
      <c r="C378" s="3"/>
      <c r="D378" s="3"/>
      <c r="E378" s="3"/>
      <c r="F378" s="3"/>
      <c r="G378" s="3"/>
      <c r="I378" s="3">
        <f ca="1"/>
        <v>0</v>
      </c>
      <c r="J378" s="3">
        <f ca="1"/>
        <v>0</v>
      </c>
      <c r="K378" s="3">
        <f ca="1"/>
        <v>0</v>
      </c>
      <c r="M378" s="3">
        <f ca="1"/>
        <v>0</v>
      </c>
      <c r="N378" s="3">
        <f ca="1"/>
        <v>0</v>
      </c>
      <c r="O378" s="3">
        <f ca="1"/>
        <v>0</v>
      </c>
    </row>
    <row r="379" spans="2:15" ht="13">
      <c r="B379" s="3"/>
      <c r="C379" s="3"/>
      <c r="D379" s="3"/>
      <c r="E379" s="3"/>
      <c r="F379" s="3"/>
      <c r="G379" s="3"/>
      <c r="I379" s="3">
        <f ca="1"/>
        <v>0</v>
      </c>
      <c r="J379" s="3">
        <f ca="1"/>
        <v>0</v>
      </c>
      <c r="K379" s="3">
        <f ca="1"/>
        <v>0</v>
      </c>
      <c r="M379" s="3">
        <f ca="1"/>
        <v>0</v>
      </c>
      <c r="N379" s="3">
        <f ca="1"/>
        <v>0</v>
      </c>
      <c r="O379" s="3">
        <f ca="1"/>
        <v>0</v>
      </c>
    </row>
    <row r="380" spans="2:15" ht="13">
      <c r="B380" s="3"/>
      <c r="C380" s="3"/>
      <c r="D380" s="3"/>
      <c r="E380" s="3"/>
      <c r="F380" s="3"/>
      <c r="G380" s="3"/>
      <c r="I380" s="3">
        <f ca="1"/>
        <v>0</v>
      </c>
      <c r="J380" s="3">
        <f ca="1"/>
        <v>0</v>
      </c>
      <c r="K380" s="3">
        <f ca="1"/>
        <v>0</v>
      </c>
      <c r="M380" s="3">
        <f ca="1"/>
        <v>0</v>
      </c>
      <c r="N380" s="3">
        <f ca="1"/>
        <v>0</v>
      </c>
      <c r="O380" s="3">
        <f ca="1"/>
        <v>0</v>
      </c>
    </row>
    <row r="381" spans="2:15" ht="13">
      <c r="B381" s="3"/>
      <c r="C381" s="3"/>
      <c r="D381" s="3"/>
      <c r="E381" s="3"/>
      <c r="F381" s="3"/>
      <c r="G381" s="3"/>
      <c r="I381" s="3">
        <f ca="1"/>
        <v>0</v>
      </c>
      <c r="J381" s="3">
        <f ca="1"/>
        <v>0</v>
      </c>
      <c r="K381" s="3">
        <f ca="1"/>
        <v>0</v>
      </c>
      <c r="M381" s="3">
        <f ca="1"/>
        <v>0</v>
      </c>
      <c r="N381" s="3">
        <f ca="1"/>
        <v>0</v>
      </c>
      <c r="O381" s="3">
        <f ca="1"/>
        <v>0</v>
      </c>
    </row>
    <row r="382" spans="2:15" ht="13">
      <c r="B382" s="3"/>
      <c r="C382" s="3"/>
      <c r="D382" s="3"/>
      <c r="E382" s="3"/>
      <c r="F382" s="3"/>
      <c r="G382" s="3"/>
      <c r="I382" s="3">
        <f ca="1"/>
        <v>0</v>
      </c>
      <c r="J382" s="3">
        <f ca="1"/>
        <v>0</v>
      </c>
      <c r="K382" s="3">
        <f ca="1"/>
        <v>0</v>
      </c>
      <c r="M382" s="3">
        <f ca="1"/>
        <v>0</v>
      </c>
      <c r="N382" s="3">
        <f ca="1"/>
        <v>0</v>
      </c>
      <c r="O382" s="3">
        <f ca="1"/>
        <v>0</v>
      </c>
    </row>
    <row r="383" spans="2:15" ht="13">
      <c r="B383" s="3"/>
      <c r="C383" s="3"/>
      <c r="D383" s="3"/>
      <c r="E383" s="3"/>
      <c r="F383" s="3"/>
      <c r="G383" s="3"/>
      <c r="I383" s="3">
        <f ca="1"/>
        <v>0</v>
      </c>
      <c r="J383" s="3">
        <f ca="1"/>
        <v>0</v>
      </c>
      <c r="K383" s="3">
        <f ca="1"/>
        <v>0</v>
      </c>
      <c r="M383" s="3">
        <f ca="1"/>
        <v>0</v>
      </c>
      <c r="N383" s="3">
        <f ca="1"/>
        <v>0</v>
      </c>
      <c r="O383" s="3">
        <f ca="1"/>
        <v>0</v>
      </c>
    </row>
    <row r="384" spans="2:15" ht="13">
      <c r="B384" s="3"/>
      <c r="C384" s="3"/>
      <c r="D384" s="3"/>
      <c r="E384" s="3"/>
      <c r="F384" s="3"/>
      <c r="G384" s="3"/>
      <c r="I384" s="3">
        <f ca="1"/>
        <v>0</v>
      </c>
      <c r="J384" s="3">
        <f ca="1"/>
        <v>0</v>
      </c>
      <c r="K384" s="3">
        <f ca="1"/>
        <v>0</v>
      </c>
      <c r="M384" s="3">
        <f ca="1"/>
        <v>0</v>
      </c>
      <c r="N384" s="3">
        <f ca="1"/>
        <v>0</v>
      </c>
      <c r="O384" s="3">
        <f ca="1"/>
        <v>0</v>
      </c>
    </row>
    <row r="385" spans="2:15" ht="13">
      <c r="B385" s="3"/>
      <c r="C385" s="3"/>
      <c r="D385" s="3"/>
      <c r="E385" s="3"/>
      <c r="F385" s="3"/>
      <c r="G385" s="3"/>
      <c r="I385" s="3">
        <f ca="1"/>
        <v>0</v>
      </c>
      <c r="J385" s="3">
        <f ca="1"/>
        <v>0</v>
      </c>
      <c r="K385" s="3">
        <f ca="1"/>
        <v>0</v>
      </c>
      <c r="M385" s="3">
        <f ca="1"/>
        <v>0</v>
      </c>
      <c r="N385" s="3">
        <f ca="1"/>
        <v>0</v>
      </c>
      <c r="O385" s="3">
        <f ca="1"/>
        <v>0</v>
      </c>
    </row>
    <row r="386" spans="2:15" ht="13">
      <c r="B386" s="3"/>
      <c r="C386" s="3"/>
      <c r="D386" s="3"/>
      <c r="E386" s="3"/>
      <c r="F386" s="3"/>
      <c r="G386" s="3"/>
      <c r="I386" s="3">
        <f ca="1"/>
        <v>0</v>
      </c>
      <c r="J386" s="3">
        <f ca="1"/>
        <v>0</v>
      </c>
      <c r="K386" s="3">
        <f ca="1"/>
        <v>0</v>
      </c>
      <c r="M386" s="3">
        <f ca="1"/>
        <v>0</v>
      </c>
      <c r="N386" s="3">
        <f ca="1"/>
        <v>0</v>
      </c>
      <c r="O386" s="3">
        <f ca="1"/>
        <v>0</v>
      </c>
    </row>
    <row r="387" spans="2:15" ht="13">
      <c r="B387" s="3"/>
      <c r="C387" s="3"/>
      <c r="D387" s="3"/>
      <c r="E387" s="3"/>
      <c r="F387" s="3"/>
      <c r="G387" s="3"/>
      <c r="I387" s="3">
        <f ca="1"/>
        <v>0</v>
      </c>
      <c r="J387" s="3">
        <f ca="1"/>
        <v>0</v>
      </c>
      <c r="K387" s="3">
        <f ca="1"/>
        <v>0</v>
      </c>
      <c r="M387" s="3">
        <f ca="1"/>
        <v>0</v>
      </c>
      <c r="N387" s="3">
        <f ca="1"/>
        <v>0</v>
      </c>
      <c r="O387" s="3">
        <f ca="1"/>
        <v>0</v>
      </c>
    </row>
    <row r="388" spans="2:15" ht="13">
      <c r="B388" s="3"/>
      <c r="C388" s="3"/>
      <c r="D388" s="3"/>
      <c r="E388" s="3"/>
      <c r="F388" s="3"/>
      <c r="G388" s="3"/>
      <c r="I388" s="3">
        <f ca="1"/>
        <v>0</v>
      </c>
      <c r="J388" s="3">
        <f ca="1"/>
        <v>0</v>
      </c>
      <c r="K388" s="3">
        <f ca="1"/>
        <v>0</v>
      </c>
      <c r="M388" s="3">
        <f ca="1"/>
        <v>0</v>
      </c>
      <c r="N388" s="3">
        <f ca="1"/>
        <v>0</v>
      </c>
      <c r="O388" s="3">
        <f ca="1"/>
        <v>0</v>
      </c>
    </row>
    <row r="389" spans="2:15" ht="13">
      <c r="B389" s="3"/>
      <c r="C389" s="3"/>
      <c r="D389" s="3"/>
      <c r="E389" s="3"/>
      <c r="F389" s="3"/>
      <c r="G389" s="3"/>
      <c r="I389" s="3">
        <f ca="1"/>
        <v>0</v>
      </c>
      <c r="J389" s="3">
        <f ca="1"/>
        <v>0</v>
      </c>
      <c r="K389" s="3">
        <f ca="1"/>
        <v>0</v>
      </c>
      <c r="M389" s="3">
        <f ca="1"/>
        <v>0</v>
      </c>
      <c r="N389" s="3">
        <f ca="1"/>
        <v>0</v>
      </c>
      <c r="O389" s="3">
        <f ca="1"/>
        <v>0</v>
      </c>
    </row>
    <row r="390" spans="2:15" ht="13">
      <c r="B390" s="3"/>
      <c r="C390" s="3"/>
      <c r="D390" s="3"/>
      <c r="E390" s="3"/>
      <c r="F390" s="3"/>
      <c r="G390" s="3"/>
      <c r="I390" s="3">
        <f ca="1"/>
        <v>0</v>
      </c>
      <c r="J390" s="3">
        <f ca="1"/>
        <v>0</v>
      </c>
      <c r="K390" s="3">
        <f ca="1"/>
        <v>0</v>
      </c>
      <c r="M390" s="3">
        <f ca="1"/>
        <v>0</v>
      </c>
      <c r="N390" s="3">
        <f ca="1"/>
        <v>0</v>
      </c>
      <c r="O390" s="3">
        <f ca="1"/>
        <v>0</v>
      </c>
    </row>
    <row r="391" spans="2:15" ht="13">
      <c r="B391" s="3"/>
      <c r="C391" s="3"/>
      <c r="D391" s="3"/>
      <c r="E391" s="3"/>
      <c r="F391" s="3"/>
      <c r="G391" s="3"/>
      <c r="I391" s="3">
        <f ca="1"/>
        <v>0</v>
      </c>
      <c r="J391" s="3">
        <f ca="1"/>
        <v>0</v>
      </c>
      <c r="K391" s="3">
        <f ca="1"/>
        <v>0</v>
      </c>
      <c r="M391" s="3">
        <f ca="1"/>
        <v>0</v>
      </c>
      <c r="N391" s="3">
        <f ca="1"/>
        <v>0</v>
      </c>
      <c r="O391" s="3">
        <f ca="1"/>
        <v>0</v>
      </c>
    </row>
    <row r="392" spans="2:15" ht="13">
      <c r="B392" s="3"/>
      <c r="C392" s="3"/>
      <c r="D392" s="3"/>
      <c r="E392" s="3"/>
      <c r="F392" s="3"/>
      <c r="G392" s="3"/>
      <c r="I392" s="3">
        <f ca="1"/>
        <v>0</v>
      </c>
      <c r="J392" s="3">
        <f ca="1"/>
        <v>0</v>
      </c>
      <c r="K392" s="3">
        <f ca="1"/>
        <v>0</v>
      </c>
      <c r="M392" s="3">
        <f ca="1"/>
        <v>0</v>
      </c>
      <c r="N392" s="3">
        <f ca="1"/>
        <v>0</v>
      </c>
      <c r="O392" s="3">
        <f ca="1"/>
        <v>0</v>
      </c>
    </row>
    <row r="393" spans="2:15" ht="13">
      <c r="B393" s="3"/>
      <c r="C393" s="3"/>
      <c r="D393" s="3"/>
      <c r="E393" s="3"/>
      <c r="F393" s="3"/>
      <c r="G393" s="3"/>
      <c r="I393" s="3">
        <f ca="1"/>
        <v>0</v>
      </c>
      <c r="J393" s="3">
        <f ca="1"/>
        <v>0</v>
      </c>
      <c r="K393" s="3">
        <f ca="1"/>
        <v>0</v>
      </c>
      <c r="M393" s="3">
        <f ca="1"/>
        <v>0</v>
      </c>
      <c r="N393" s="3">
        <f ca="1"/>
        <v>0</v>
      </c>
      <c r="O393" s="3">
        <f ca="1"/>
        <v>0</v>
      </c>
    </row>
    <row r="394" spans="2:15" ht="13">
      <c r="B394" s="3"/>
      <c r="C394" s="3"/>
      <c r="D394" s="3"/>
      <c r="E394" s="3"/>
      <c r="F394" s="3"/>
      <c r="G394" s="3"/>
      <c r="I394" s="3">
        <f ca="1"/>
        <v>0</v>
      </c>
      <c r="J394" s="3">
        <f ca="1"/>
        <v>0</v>
      </c>
      <c r="K394" s="3">
        <f ca="1"/>
        <v>0</v>
      </c>
      <c r="M394" s="3">
        <f ca="1"/>
        <v>0</v>
      </c>
      <c r="N394" s="3">
        <f ca="1"/>
        <v>0</v>
      </c>
      <c r="O394" s="3">
        <f ca="1"/>
        <v>0</v>
      </c>
    </row>
    <row r="395" spans="2:15" ht="13">
      <c r="B395" s="3"/>
      <c r="C395" s="3"/>
      <c r="D395" s="3"/>
      <c r="E395" s="3"/>
      <c r="F395" s="3"/>
      <c r="G395" s="3"/>
      <c r="I395" s="3">
        <f ca="1"/>
        <v>0</v>
      </c>
      <c r="J395" s="3">
        <f ca="1"/>
        <v>0</v>
      </c>
      <c r="K395" s="3">
        <f ca="1"/>
        <v>0</v>
      </c>
      <c r="M395" s="3">
        <f ca="1"/>
        <v>0</v>
      </c>
      <c r="N395" s="3">
        <f ca="1"/>
        <v>0</v>
      </c>
      <c r="O395" s="3">
        <f ca="1"/>
        <v>0</v>
      </c>
    </row>
    <row r="396" spans="2:15" ht="13">
      <c r="B396" s="3"/>
      <c r="C396" s="3"/>
      <c r="D396" s="3"/>
      <c r="E396" s="3"/>
      <c r="F396" s="3"/>
      <c r="G396" s="3"/>
      <c r="I396" s="3">
        <f ca="1"/>
        <v>0</v>
      </c>
      <c r="J396" s="3">
        <f ca="1"/>
        <v>0</v>
      </c>
      <c r="K396" s="3">
        <f ca="1"/>
        <v>0</v>
      </c>
      <c r="M396" s="3">
        <f ca="1"/>
        <v>0</v>
      </c>
      <c r="N396" s="3">
        <f ca="1"/>
        <v>0</v>
      </c>
      <c r="O396" s="3">
        <f ca="1"/>
        <v>0</v>
      </c>
    </row>
    <row r="397" spans="2:15" ht="13">
      <c r="B397" s="3"/>
      <c r="C397" s="3"/>
      <c r="D397" s="3"/>
      <c r="E397" s="3"/>
      <c r="F397" s="3"/>
      <c r="G397" s="3"/>
      <c r="I397" s="3">
        <f ca="1"/>
        <v>0</v>
      </c>
      <c r="J397" s="3">
        <f ca="1"/>
        <v>0</v>
      </c>
      <c r="K397" s="3">
        <f ca="1"/>
        <v>0</v>
      </c>
      <c r="M397" s="3">
        <f ca="1"/>
        <v>0</v>
      </c>
      <c r="N397" s="3">
        <f ca="1"/>
        <v>0</v>
      </c>
      <c r="O397" s="3">
        <f ca="1"/>
        <v>0</v>
      </c>
    </row>
    <row r="398" spans="2:15" ht="13">
      <c r="B398" s="3"/>
      <c r="C398" s="3"/>
      <c r="D398" s="3"/>
      <c r="E398" s="3"/>
      <c r="F398" s="3"/>
      <c r="G398" s="3"/>
      <c r="I398" s="3">
        <f ca="1"/>
        <v>0</v>
      </c>
      <c r="J398" s="3">
        <f ca="1"/>
        <v>0</v>
      </c>
      <c r="K398" s="3">
        <f ca="1"/>
        <v>0</v>
      </c>
      <c r="M398" s="3">
        <f ca="1"/>
        <v>0</v>
      </c>
      <c r="N398" s="3">
        <f ca="1"/>
        <v>0</v>
      </c>
      <c r="O398" s="3">
        <f ca="1"/>
        <v>0</v>
      </c>
    </row>
    <row r="399" spans="2:15" ht="13">
      <c r="B399" s="3"/>
      <c r="C399" s="3"/>
      <c r="D399" s="3"/>
      <c r="E399" s="3"/>
      <c r="F399" s="3"/>
      <c r="G399" s="3"/>
      <c r="I399" s="3">
        <f ca="1"/>
        <v>0</v>
      </c>
      <c r="J399" s="3">
        <f ca="1"/>
        <v>0</v>
      </c>
      <c r="K399" s="3">
        <f ca="1"/>
        <v>0</v>
      </c>
      <c r="M399" s="3">
        <f ca="1"/>
        <v>0</v>
      </c>
      <c r="N399" s="3">
        <f ca="1"/>
        <v>0</v>
      </c>
      <c r="O399" s="3">
        <f ca="1"/>
        <v>0</v>
      </c>
    </row>
    <row r="400" spans="2:15" ht="13">
      <c r="B400" s="3"/>
      <c r="C400" s="3"/>
      <c r="D400" s="3"/>
      <c r="E400" s="3"/>
      <c r="F400" s="3"/>
      <c r="G400" s="3"/>
      <c r="I400" s="3">
        <f ca="1"/>
        <v>0</v>
      </c>
      <c r="J400" s="3">
        <f ca="1"/>
        <v>0</v>
      </c>
      <c r="K400" s="3">
        <f ca="1"/>
        <v>0</v>
      </c>
      <c r="M400" s="3">
        <f ca="1"/>
        <v>0</v>
      </c>
      <c r="N400" s="3">
        <f ca="1"/>
        <v>0</v>
      </c>
      <c r="O400" s="3">
        <f ca="1"/>
        <v>0</v>
      </c>
    </row>
    <row r="401" spans="2:15" ht="13">
      <c r="B401" s="3"/>
      <c r="C401" s="3"/>
      <c r="D401" s="3"/>
      <c r="E401" s="3"/>
      <c r="F401" s="3"/>
      <c r="G401" s="3"/>
      <c r="I401" s="3">
        <f ca="1"/>
        <v>0</v>
      </c>
      <c r="J401" s="3">
        <f ca="1"/>
        <v>0</v>
      </c>
      <c r="K401" s="3">
        <f ca="1"/>
        <v>0</v>
      </c>
      <c r="M401" s="3">
        <f ca="1"/>
        <v>0</v>
      </c>
      <c r="N401" s="3">
        <f ca="1"/>
        <v>0</v>
      </c>
      <c r="O401" s="3">
        <f ca="1"/>
        <v>0</v>
      </c>
    </row>
    <row r="402" spans="2:15" ht="13">
      <c r="B402" s="3"/>
      <c r="C402" s="3"/>
      <c r="D402" s="3"/>
      <c r="E402" s="3"/>
      <c r="F402" s="3"/>
      <c r="G402" s="3"/>
      <c r="I402" s="3">
        <f ca="1"/>
        <v>0</v>
      </c>
      <c r="J402" s="3">
        <f ca="1"/>
        <v>0</v>
      </c>
      <c r="K402" s="3">
        <f ca="1"/>
        <v>0</v>
      </c>
      <c r="M402" s="3">
        <f ca="1"/>
        <v>0</v>
      </c>
      <c r="N402" s="3">
        <f ca="1"/>
        <v>0</v>
      </c>
      <c r="O402" s="3">
        <f ca="1"/>
        <v>0</v>
      </c>
    </row>
    <row r="403" spans="2:15" ht="13">
      <c r="B403" s="3"/>
      <c r="C403" s="3"/>
      <c r="D403" s="3"/>
      <c r="E403" s="3"/>
      <c r="F403" s="3"/>
      <c r="G403" s="3"/>
      <c r="I403" s="3">
        <f ca="1"/>
        <v>0</v>
      </c>
      <c r="J403" s="3">
        <f ca="1"/>
        <v>0</v>
      </c>
      <c r="K403" s="3">
        <f ca="1"/>
        <v>0</v>
      </c>
      <c r="M403" s="3">
        <f ca="1"/>
        <v>0</v>
      </c>
      <c r="N403" s="3">
        <f ca="1"/>
        <v>0</v>
      </c>
      <c r="O403" s="3">
        <f ca="1"/>
        <v>0</v>
      </c>
    </row>
    <row r="404" spans="2:15" ht="13">
      <c r="B404" s="3"/>
      <c r="C404" s="3"/>
      <c r="D404" s="3"/>
      <c r="E404" s="3"/>
      <c r="F404" s="3"/>
      <c r="G404" s="3"/>
      <c r="I404" s="3">
        <f ca="1"/>
        <v>0</v>
      </c>
      <c r="J404" s="3">
        <f ca="1"/>
        <v>0</v>
      </c>
      <c r="K404" s="3">
        <f ca="1"/>
        <v>0</v>
      </c>
      <c r="M404" s="3">
        <f ca="1"/>
        <v>0</v>
      </c>
      <c r="N404" s="3">
        <f ca="1"/>
        <v>0</v>
      </c>
      <c r="O404" s="3">
        <f ca="1"/>
        <v>0</v>
      </c>
    </row>
    <row r="405" spans="2:15" ht="13">
      <c r="B405" s="3"/>
      <c r="C405" s="3"/>
      <c r="D405" s="3"/>
      <c r="E405" s="3"/>
      <c r="F405" s="3"/>
      <c r="G405" s="3"/>
      <c r="I405" s="3">
        <f ca="1"/>
        <v>0</v>
      </c>
      <c r="J405" s="3">
        <f ca="1"/>
        <v>0</v>
      </c>
      <c r="K405" s="3">
        <f ca="1"/>
        <v>0</v>
      </c>
      <c r="M405" s="3">
        <f ca="1"/>
        <v>0</v>
      </c>
      <c r="N405" s="3">
        <f ca="1"/>
        <v>0</v>
      </c>
      <c r="O405" s="3">
        <f ca="1"/>
        <v>0</v>
      </c>
    </row>
    <row r="406" spans="2:15" ht="13">
      <c r="B406" s="3"/>
      <c r="C406" s="3"/>
      <c r="D406" s="3"/>
      <c r="E406" s="3"/>
      <c r="F406" s="3"/>
      <c r="G406" s="3"/>
      <c r="I406" s="3">
        <f ca="1"/>
        <v>0</v>
      </c>
      <c r="J406" s="3">
        <f ca="1"/>
        <v>0</v>
      </c>
      <c r="K406" s="3">
        <f ca="1"/>
        <v>0</v>
      </c>
      <c r="M406" s="3">
        <f ca="1"/>
        <v>0</v>
      </c>
      <c r="N406" s="3">
        <f ca="1"/>
        <v>0</v>
      </c>
      <c r="O406" s="3">
        <f ca="1"/>
        <v>0</v>
      </c>
    </row>
    <row r="407" spans="2:15" ht="13">
      <c r="B407" s="3"/>
      <c r="C407" s="3"/>
      <c r="D407" s="3"/>
      <c r="E407" s="3"/>
      <c r="F407" s="3"/>
      <c r="G407" s="3"/>
      <c r="I407" s="3">
        <f ca="1"/>
        <v>0</v>
      </c>
      <c r="J407" s="3">
        <f ca="1"/>
        <v>0</v>
      </c>
      <c r="K407" s="3">
        <f ca="1"/>
        <v>0</v>
      </c>
      <c r="M407" s="3">
        <f ca="1"/>
        <v>0</v>
      </c>
      <c r="N407" s="3">
        <f ca="1"/>
        <v>0</v>
      </c>
      <c r="O407" s="3">
        <f ca="1"/>
        <v>0</v>
      </c>
    </row>
    <row r="408" spans="2:15" ht="13">
      <c r="B408" s="3"/>
      <c r="C408" s="3"/>
      <c r="D408" s="3"/>
      <c r="E408" s="3"/>
      <c r="F408" s="3"/>
      <c r="G408" s="3"/>
      <c r="I408" s="3">
        <f ca="1"/>
        <v>0</v>
      </c>
      <c r="J408" s="3">
        <f ca="1"/>
        <v>0</v>
      </c>
      <c r="K408" s="3">
        <f ca="1"/>
        <v>0</v>
      </c>
      <c r="M408" s="3">
        <f ca="1"/>
        <v>0</v>
      </c>
      <c r="N408" s="3">
        <f ca="1"/>
        <v>0</v>
      </c>
      <c r="O408" s="3">
        <f ca="1"/>
        <v>0</v>
      </c>
    </row>
    <row r="409" spans="2:15" ht="13">
      <c r="B409" s="3"/>
      <c r="C409" s="3"/>
      <c r="D409" s="3"/>
      <c r="E409" s="3"/>
      <c r="F409" s="3"/>
      <c r="G409" s="3"/>
      <c r="I409" s="3">
        <f ca="1"/>
        <v>0</v>
      </c>
      <c r="J409" s="3">
        <f ca="1"/>
        <v>0</v>
      </c>
      <c r="K409" s="3">
        <f ca="1"/>
        <v>0</v>
      </c>
      <c r="M409" s="3">
        <f ca="1"/>
        <v>0</v>
      </c>
      <c r="N409" s="3">
        <f ca="1"/>
        <v>0</v>
      </c>
      <c r="O409" s="3">
        <f ca="1"/>
        <v>0</v>
      </c>
    </row>
    <row r="410" spans="2:15" ht="13">
      <c r="B410" s="3"/>
      <c r="C410" s="3"/>
      <c r="D410" s="3"/>
      <c r="E410" s="3"/>
      <c r="F410" s="3"/>
      <c r="G410" s="3"/>
      <c r="I410" s="3">
        <f ca="1"/>
        <v>0</v>
      </c>
      <c r="J410" s="3">
        <f ca="1"/>
        <v>0</v>
      </c>
      <c r="K410" s="3">
        <f ca="1"/>
        <v>0</v>
      </c>
      <c r="M410" s="3">
        <f ca="1"/>
        <v>0</v>
      </c>
      <c r="N410" s="3">
        <f ca="1"/>
        <v>0</v>
      </c>
      <c r="O410" s="3">
        <f ca="1"/>
        <v>0</v>
      </c>
    </row>
    <row r="411" spans="2:15" ht="13">
      <c r="B411" s="3"/>
      <c r="C411" s="3"/>
      <c r="D411" s="3"/>
      <c r="E411" s="3"/>
      <c r="F411" s="3"/>
      <c r="G411" s="3"/>
      <c r="I411" s="3">
        <f ca="1"/>
        <v>0</v>
      </c>
      <c r="J411" s="3">
        <f ca="1"/>
        <v>0</v>
      </c>
      <c r="K411" s="3">
        <f ca="1"/>
        <v>0</v>
      </c>
      <c r="M411" s="3">
        <f ca="1"/>
        <v>0</v>
      </c>
      <c r="N411" s="3">
        <f ca="1"/>
        <v>0</v>
      </c>
      <c r="O411" s="3">
        <f ca="1"/>
        <v>0</v>
      </c>
    </row>
    <row r="412" spans="2:15" ht="13">
      <c r="B412" s="3"/>
      <c r="C412" s="3"/>
      <c r="D412" s="3"/>
      <c r="E412" s="3"/>
      <c r="F412" s="3"/>
      <c r="G412" s="3"/>
      <c r="I412" s="3">
        <f ca="1"/>
        <v>0</v>
      </c>
      <c r="J412" s="3">
        <f ca="1"/>
        <v>0</v>
      </c>
      <c r="K412" s="3">
        <f ca="1"/>
        <v>0</v>
      </c>
      <c r="M412" s="3">
        <f ca="1"/>
        <v>0</v>
      </c>
      <c r="N412" s="3">
        <f ca="1"/>
        <v>0</v>
      </c>
      <c r="O412" s="3">
        <f ca="1"/>
        <v>0</v>
      </c>
    </row>
    <row r="413" spans="2:15" ht="13">
      <c r="B413" s="3"/>
      <c r="C413" s="3"/>
      <c r="D413" s="3"/>
      <c r="E413" s="3"/>
      <c r="F413" s="3"/>
      <c r="G413" s="3"/>
      <c r="I413" s="3">
        <f ca="1"/>
        <v>0</v>
      </c>
      <c r="J413" s="3">
        <f ca="1"/>
        <v>0</v>
      </c>
      <c r="K413" s="3">
        <f ca="1"/>
        <v>0</v>
      </c>
      <c r="M413" s="3">
        <f ca="1"/>
        <v>0</v>
      </c>
      <c r="N413" s="3">
        <f ca="1"/>
        <v>0</v>
      </c>
      <c r="O413" s="3">
        <f ca="1"/>
        <v>0</v>
      </c>
    </row>
    <row r="414" spans="2:15" ht="13">
      <c r="B414" s="3"/>
      <c r="C414" s="3"/>
      <c r="D414" s="3"/>
      <c r="E414" s="3"/>
      <c r="F414" s="3"/>
      <c r="G414" s="3"/>
      <c r="I414" s="3">
        <f ca="1"/>
        <v>0</v>
      </c>
      <c r="J414" s="3">
        <f ca="1"/>
        <v>0</v>
      </c>
      <c r="K414" s="3">
        <f ca="1"/>
        <v>0</v>
      </c>
      <c r="M414" s="3">
        <f ca="1"/>
        <v>0</v>
      </c>
      <c r="N414" s="3">
        <f ca="1"/>
        <v>0</v>
      </c>
      <c r="O414" s="3">
        <f ca="1"/>
        <v>0</v>
      </c>
    </row>
    <row r="415" spans="2:15" ht="13">
      <c r="B415" s="3"/>
      <c r="C415" s="3"/>
      <c r="D415" s="3"/>
      <c r="E415" s="3"/>
      <c r="F415" s="3"/>
      <c r="G415" s="3"/>
      <c r="I415" s="3">
        <f ca="1"/>
        <v>0</v>
      </c>
      <c r="J415" s="3">
        <f ca="1"/>
        <v>0</v>
      </c>
      <c r="K415" s="3">
        <f ca="1"/>
        <v>0</v>
      </c>
      <c r="M415" s="3">
        <f ca="1"/>
        <v>0</v>
      </c>
      <c r="N415" s="3">
        <f ca="1"/>
        <v>0</v>
      </c>
      <c r="O415" s="3">
        <f ca="1"/>
        <v>0</v>
      </c>
    </row>
    <row r="416" spans="2:15" ht="13">
      <c r="B416" s="3"/>
      <c r="C416" s="3"/>
      <c r="D416" s="3"/>
      <c r="E416" s="3"/>
      <c r="F416" s="3"/>
      <c r="G416" s="3"/>
      <c r="I416" s="3">
        <f ca="1"/>
        <v>0</v>
      </c>
      <c r="J416" s="3">
        <f ca="1"/>
        <v>0</v>
      </c>
      <c r="K416" s="3">
        <f ca="1"/>
        <v>0</v>
      </c>
      <c r="M416" s="3">
        <f ca="1"/>
        <v>0</v>
      </c>
      <c r="N416" s="3">
        <f ca="1"/>
        <v>0</v>
      </c>
      <c r="O416" s="3">
        <f ca="1"/>
        <v>0</v>
      </c>
    </row>
    <row r="417" spans="2:15" ht="13">
      <c r="B417" s="3"/>
      <c r="C417" s="3"/>
      <c r="D417" s="3"/>
      <c r="E417" s="3"/>
      <c r="F417" s="3"/>
      <c r="G417" s="3"/>
      <c r="I417" s="3">
        <f ca="1"/>
        <v>0</v>
      </c>
      <c r="J417" s="3">
        <f ca="1"/>
        <v>0</v>
      </c>
      <c r="K417" s="3">
        <f ca="1"/>
        <v>0</v>
      </c>
      <c r="M417" s="3">
        <f ca="1"/>
        <v>0</v>
      </c>
      <c r="N417" s="3">
        <f ca="1"/>
        <v>0</v>
      </c>
      <c r="O417" s="3">
        <f ca="1"/>
        <v>0</v>
      </c>
    </row>
    <row r="418" spans="2:15" ht="13">
      <c r="B418" s="3"/>
      <c r="C418" s="3"/>
      <c r="D418" s="3"/>
      <c r="E418" s="3"/>
      <c r="F418" s="3"/>
      <c r="G418" s="3"/>
      <c r="I418" s="3">
        <f ca="1"/>
        <v>0</v>
      </c>
      <c r="J418" s="3">
        <f ca="1"/>
        <v>0</v>
      </c>
      <c r="K418" s="3">
        <f ca="1"/>
        <v>0</v>
      </c>
      <c r="M418" s="3">
        <f ca="1"/>
        <v>0</v>
      </c>
      <c r="N418" s="3">
        <f ca="1"/>
        <v>0</v>
      </c>
      <c r="O418" s="3">
        <f ca="1"/>
        <v>0</v>
      </c>
    </row>
    <row r="419" spans="2:15" ht="13">
      <c r="B419" s="3"/>
      <c r="C419" s="3"/>
      <c r="D419" s="3"/>
      <c r="E419" s="3"/>
      <c r="F419" s="3"/>
      <c r="G419" s="3"/>
      <c r="I419" s="3">
        <f ca="1"/>
        <v>0</v>
      </c>
      <c r="J419" s="3">
        <f ca="1"/>
        <v>0</v>
      </c>
      <c r="K419" s="3">
        <f ca="1"/>
        <v>0</v>
      </c>
      <c r="M419" s="3">
        <f ca="1"/>
        <v>0</v>
      </c>
      <c r="N419" s="3">
        <f ca="1"/>
        <v>0</v>
      </c>
      <c r="O419" s="3">
        <f ca="1"/>
        <v>0</v>
      </c>
    </row>
    <row r="420" spans="2:15" ht="13">
      <c r="B420" s="3"/>
      <c r="C420" s="3"/>
      <c r="D420" s="3"/>
      <c r="E420" s="3"/>
      <c r="F420" s="3"/>
      <c r="G420" s="3"/>
      <c r="I420" s="3">
        <f ca="1"/>
        <v>0</v>
      </c>
      <c r="J420" s="3">
        <f ca="1"/>
        <v>0</v>
      </c>
      <c r="K420" s="3">
        <f ca="1"/>
        <v>0</v>
      </c>
      <c r="M420" s="3">
        <f ca="1"/>
        <v>0</v>
      </c>
      <c r="N420" s="3">
        <f ca="1"/>
        <v>0</v>
      </c>
      <c r="O420" s="3">
        <f ca="1"/>
        <v>0</v>
      </c>
    </row>
    <row r="421" spans="2:15" ht="13">
      <c r="B421" s="3"/>
      <c r="C421" s="3"/>
      <c r="D421" s="3"/>
      <c r="E421" s="3"/>
      <c r="F421" s="3"/>
      <c r="G421" s="3"/>
      <c r="I421" s="3">
        <f ca="1"/>
        <v>0</v>
      </c>
      <c r="J421" s="3">
        <f ca="1"/>
        <v>0</v>
      </c>
      <c r="K421" s="3">
        <f ca="1"/>
        <v>0</v>
      </c>
      <c r="M421" s="3">
        <f ca="1"/>
        <v>0</v>
      </c>
      <c r="N421" s="3">
        <f ca="1"/>
        <v>0</v>
      </c>
      <c r="O421" s="3">
        <f ca="1"/>
        <v>0</v>
      </c>
    </row>
    <row r="422" spans="2:15" ht="13">
      <c r="B422" s="3"/>
      <c r="C422" s="3"/>
      <c r="D422" s="3"/>
      <c r="E422" s="3"/>
      <c r="F422" s="3"/>
      <c r="G422" s="3"/>
      <c r="I422" s="3">
        <f ca="1"/>
        <v>0</v>
      </c>
      <c r="J422" s="3">
        <f ca="1"/>
        <v>0</v>
      </c>
      <c r="K422" s="3">
        <f ca="1"/>
        <v>0</v>
      </c>
      <c r="M422" s="3">
        <f ca="1"/>
        <v>0</v>
      </c>
      <c r="N422" s="3">
        <f ca="1"/>
        <v>0</v>
      </c>
      <c r="O422" s="3">
        <f ca="1"/>
        <v>0</v>
      </c>
    </row>
    <row r="423" spans="2:15" ht="13">
      <c r="B423" s="3"/>
      <c r="C423" s="3"/>
      <c r="D423" s="3"/>
      <c r="E423" s="3"/>
      <c r="F423" s="3"/>
      <c r="G423" s="3"/>
      <c r="I423" s="3">
        <f ca="1"/>
        <v>0</v>
      </c>
      <c r="J423" s="3">
        <f ca="1"/>
        <v>0</v>
      </c>
      <c r="K423" s="3">
        <f ca="1"/>
        <v>0</v>
      </c>
      <c r="M423" s="3">
        <f ca="1"/>
        <v>0</v>
      </c>
      <c r="N423" s="3">
        <f ca="1"/>
        <v>0</v>
      </c>
      <c r="O423" s="3">
        <f ca="1"/>
        <v>0</v>
      </c>
    </row>
    <row r="424" spans="2:15" ht="13">
      <c r="B424" s="3"/>
      <c r="C424" s="3"/>
      <c r="D424" s="3"/>
      <c r="E424" s="3"/>
      <c r="F424" s="3"/>
      <c r="G424" s="3"/>
      <c r="I424" s="3">
        <f ca="1"/>
        <v>0</v>
      </c>
      <c r="J424" s="3">
        <f ca="1"/>
        <v>0</v>
      </c>
      <c r="K424" s="3">
        <f ca="1"/>
        <v>0</v>
      </c>
      <c r="M424" s="3">
        <f ca="1"/>
        <v>0</v>
      </c>
      <c r="N424" s="3">
        <f ca="1"/>
        <v>0</v>
      </c>
      <c r="O424" s="3">
        <f ca="1"/>
        <v>0</v>
      </c>
    </row>
    <row r="425" spans="2:15" ht="13">
      <c r="B425" s="3"/>
      <c r="C425" s="3"/>
      <c r="D425" s="3"/>
      <c r="E425" s="3"/>
      <c r="F425" s="3"/>
      <c r="G425" s="3"/>
      <c r="I425" s="3">
        <f ca="1"/>
        <v>0</v>
      </c>
      <c r="J425" s="3">
        <f ca="1"/>
        <v>0</v>
      </c>
      <c r="K425" s="3">
        <f ca="1"/>
        <v>0</v>
      </c>
      <c r="M425" s="3">
        <f ca="1"/>
        <v>0</v>
      </c>
      <c r="N425" s="3">
        <f ca="1"/>
        <v>0</v>
      </c>
      <c r="O425" s="3">
        <f ca="1"/>
        <v>0</v>
      </c>
    </row>
    <row r="426" spans="2:15" ht="13">
      <c r="B426" s="3"/>
      <c r="C426" s="3"/>
      <c r="D426" s="3"/>
      <c r="E426" s="3"/>
      <c r="F426" s="3"/>
      <c r="G426" s="3"/>
      <c r="I426" s="3">
        <f ca="1"/>
        <v>0</v>
      </c>
      <c r="J426" s="3">
        <f ca="1"/>
        <v>0</v>
      </c>
      <c r="K426" s="3">
        <f ca="1"/>
        <v>0</v>
      </c>
      <c r="M426" s="3">
        <f ca="1"/>
        <v>0</v>
      </c>
      <c r="N426" s="3">
        <f ca="1"/>
        <v>0</v>
      </c>
      <c r="O426" s="3">
        <f ca="1"/>
        <v>0</v>
      </c>
    </row>
    <row r="427" spans="2:15" ht="13">
      <c r="B427" s="3"/>
      <c r="C427" s="3"/>
      <c r="D427" s="3"/>
      <c r="E427" s="3"/>
      <c r="F427" s="3"/>
      <c r="G427" s="3"/>
      <c r="I427" s="3">
        <f ca="1"/>
        <v>0</v>
      </c>
      <c r="J427" s="3">
        <f ca="1"/>
        <v>0</v>
      </c>
      <c r="K427" s="3">
        <f ca="1"/>
        <v>0</v>
      </c>
      <c r="M427" s="3">
        <f ca="1"/>
        <v>0</v>
      </c>
      <c r="N427" s="3">
        <f ca="1"/>
        <v>0</v>
      </c>
      <c r="O427" s="3">
        <f ca="1"/>
        <v>0</v>
      </c>
    </row>
    <row r="428" spans="2:15" ht="13">
      <c r="B428" s="3"/>
      <c r="C428" s="3"/>
      <c r="D428" s="3"/>
      <c r="E428" s="3"/>
      <c r="F428" s="3"/>
      <c r="G428" s="3"/>
      <c r="I428" s="3">
        <f ca="1"/>
        <v>0</v>
      </c>
      <c r="J428" s="3">
        <f ca="1"/>
        <v>0</v>
      </c>
      <c r="K428" s="3">
        <f ca="1"/>
        <v>0</v>
      </c>
      <c r="M428" s="3">
        <f ca="1"/>
        <v>0</v>
      </c>
      <c r="N428" s="3">
        <f ca="1"/>
        <v>0</v>
      </c>
      <c r="O428" s="3">
        <f ca="1"/>
        <v>0</v>
      </c>
    </row>
    <row r="429" spans="2:15" ht="13">
      <c r="B429" s="3"/>
      <c r="C429" s="3"/>
      <c r="D429" s="3"/>
      <c r="E429" s="3"/>
      <c r="F429" s="3"/>
      <c r="G429" s="3"/>
      <c r="I429" s="3">
        <f ca="1"/>
        <v>0</v>
      </c>
      <c r="J429" s="3">
        <f ca="1"/>
        <v>0</v>
      </c>
      <c r="K429" s="3">
        <f ca="1"/>
        <v>0</v>
      </c>
      <c r="M429" s="3">
        <f ca="1"/>
        <v>0</v>
      </c>
      <c r="N429" s="3">
        <f ca="1"/>
        <v>0</v>
      </c>
      <c r="O429" s="3">
        <f ca="1"/>
        <v>0</v>
      </c>
    </row>
    <row r="430" spans="2:15" ht="13">
      <c r="B430" s="3"/>
      <c r="C430" s="3"/>
      <c r="D430" s="3"/>
      <c r="E430" s="3"/>
      <c r="F430" s="3"/>
      <c r="G430" s="3"/>
      <c r="I430" s="3">
        <f ca="1"/>
        <v>0</v>
      </c>
      <c r="J430" s="3">
        <f ca="1"/>
        <v>0</v>
      </c>
      <c r="K430" s="3">
        <f ca="1"/>
        <v>0</v>
      </c>
      <c r="M430" s="3">
        <f ca="1"/>
        <v>0</v>
      </c>
      <c r="N430" s="3">
        <f ca="1"/>
        <v>0</v>
      </c>
      <c r="O430" s="3">
        <f ca="1"/>
        <v>0</v>
      </c>
    </row>
    <row r="431" spans="2:15" ht="13">
      <c r="B431" s="3"/>
      <c r="C431" s="3"/>
      <c r="D431" s="3"/>
      <c r="E431" s="3"/>
      <c r="F431" s="3"/>
      <c r="G431" s="3"/>
      <c r="I431" s="3">
        <f ca="1"/>
        <v>0</v>
      </c>
      <c r="J431" s="3">
        <f ca="1"/>
        <v>0</v>
      </c>
      <c r="K431" s="3">
        <f ca="1"/>
        <v>0</v>
      </c>
      <c r="M431" s="3">
        <f ca="1"/>
        <v>0</v>
      </c>
      <c r="N431" s="3">
        <f ca="1"/>
        <v>0</v>
      </c>
      <c r="O431" s="3">
        <f ca="1"/>
        <v>0</v>
      </c>
    </row>
    <row r="432" spans="2:15" ht="13">
      <c r="B432" s="3"/>
      <c r="C432" s="3"/>
      <c r="D432" s="3"/>
      <c r="E432" s="3"/>
      <c r="F432" s="3"/>
      <c r="G432" s="3"/>
      <c r="I432" s="3">
        <f ca="1"/>
        <v>0</v>
      </c>
      <c r="J432" s="3">
        <f ca="1"/>
        <v>0</v>
      </c>
      <c r="K432" s="3">
        <f ca="1"/>
        <v>0</v>
      </c>
      <c r="M432" s="3">
        <f ca="1"/>
        <v>0</v>
      </c>
      <c r="N432" s="3">
        <f ca="1"/>
        <v>0</v>
      </c>
      <c r="O432" s="3">
        <f ca="1"/>
        <v>0</v>
      </c>
    </row>
    <row r="433" spans="2:15" ht="13">
      <c r="B433" s="3"/>
      <c r="C433" s="3"/>
      <c r="D433" s="3"/>
      <c r="E433" s="3"/>
      <c r="F433" s="3"/>
      <c r="G433" s="3"/>
      <c r="I433" s="3">
        <f ca="1"/>
        <v>0</v>
      </c>
      <c r="J433" s="3">
        <f ca="1"/>
        <v>0</v>
      </c>
      <c r="K433" s="3">
        <f ca="1"/>
        <v>0</v>
      </c>
      <c r="M433" s="3">
        <f ca="1"/>
        <v>0</v>
      </c>
      <c r="N433" s="3">
        <f ca="1"/>
        <v>0</v>
      </c>
      <c r="O433" s="3">
        <f ca="1"/>
        <v>0</v>
      </c>
    </row>
    <row r="434" spans="2:15" ht="13">
      <c r="B434" s="3"/>
      <c r="C434" s="3"/>
      <c r="D434" s="3"/>
      <c r="E434" s="3"/>
      <c r="F434" s="3"/>
      <c r="G434" s="3"/>
      <c r="I434" s="3">
        <f ca="1"/>
        <v>0</v>
      </c>
      <c r="J434" s="3">
        <f ca="1"/>
        <v>0</v>
      </c>
      <c r="K434" s="3">
        <f ca="1"/>
        <v>0</v>
      </c>
      <c r="M434" s="3">
        <f ca="1"/>
        <v>0</v>
      </c>
      <c r="N434" s="3">
        <f ca="1"/>
        <v>0</v>
      </c>
      <c r="O434" s="3">
        <f ca="1"/>
        <v>0</v>
      </c>
    </row>
    <row r="435" spans="2:15" ht="13">
      <c r="B435" s="3"/>
      <c r="C435" s="3"/>
      <c r="D435" s="3"/>
      <c r="E435" s="3"/>
      <c r="F435" s="3"/>
      <c r="G435" s="3"/>
      <c r="I435" s="3">
        <f ca="1"/>
        <v>0</v>
      </c>
      <c r="J435" s="3">
        <f ca="1"/>
        <v>0</v>
      </c>
      <c r="K435" s="3">
        <f ca="1"/>
        <v>0</v>
      </c>
      <c r="M435" s="3">
        <f ca="1"/>
        <v>0</v>
      </c>
      <c r="N435" s="3">
        <f ca="1"/>
        <v>0</v>
      </c>
      <c r="O435" s="3">
        <f ca="1"/>
        <v>0</v>
      </c>
    </row>
    <row r="436" spans="2:15" ht="13">
      <c r="B436" s="3"/>
      <c r="C436" s="3"/>
      <c r="D436" s="3"/>
      <c r="E436" s="3"/>
      <c r="F436" s="3"/>
      <c r="G436" s="3"/>
      <c r="I436" s="3">
        <f ca="1"/>
        <v>0</v>
      </c>
      <c r="J436" s="3">
        <f ca="1"/>
        <v>0</v>
      </c>
      <c r="K436" s="3">
        <f ca="1"/>
        <v>0</v>
      </c>
      <c r="M436" s="3">
        <f ca="1"/>
        <v>0</v>
      </c>
      <c r="N436" s="3">
        <f ca="1"/>
        <v>0</v>
      </c>
      <c r="O436" s="3">
        <f ca="1"/>
        <v>0</v>
      </c>
    </row>
    <row r="437" spans="2:15" ht="13">
      <c r="B437" s="3"/>
      <c r="C437" s="3"/>
      <c r="D437" s="3"/>
      <c r="E437" s="3"/>
      <c r="F437" s="3"/>
      <c r="G437" s="3"/>
      <c r="I437" s="3">
        <f ca="1"/>
        <v>0</v>
      </c>
      <c r="J437" s="3">
        <f ca="1"/>
        <v>0</v>
      </c>
      <c r="K437" s="3">
        <f ca="1"/>
        <v>0</v>
      </c>
      <c r="M437" s="3">
        <f ca="1"/>
        <v>0</v>
      </c>
      <c r="N437" s="3">
        <f ca="1"/>
        <v>0</v>
      </c>
      <c r="O437" s="3">
        <f ca="1"/>
        <v>0</v>
      </c>
    </row>
    <row r="438" spans="2:15" ht="13">
      <c r="B438" s="3"/>
      <c r="C438" s="3"/>
      <c r="D438" s="3"/>
      <c r="E438" s="3"/>
      <c r="F438" s="3"/>
      <c r="G438" s="3"/>
      <c r="I438" s="3">
        <f ca="1"/>
        <v>0</v>
      </c>
      <c r="J438" s="3">
        <f ca="1"/>
        <v>0</v>
      </c>
      <c r="K438" s="3">
        <f ca="1"/>
        <v>0</v>
      </c>
      <c r="M438" s="3">
        <f ca="1"/>
        <v>0</v>
      </c>
      <c r="N438" s="3">
        <f ca="1"/>
        <v>0</v>
      </c>
      <c r="O438" s="3">
        <f ca="1"/>
        <v>0</v>
      </c>
    </row>
    <row r="439" spans="2:15" ht="13">
      <c r="B439" s="3"/>
      <c r="C439" s="3"/>
      <c r="D439" s="3"/>
      <c r="E439" s="3"/>
      <c r="F439" s="3"/>
      <c r="G439" s="3"/>
      <c r="I439" s="3">
        <f ca="1"/>
        <v>0</v>
      </c>
      <c r="J439" s="3">
        <f ca="1"/>
        <v>0</v>
      </c>
      <c r="K439" s="3">
        <f ca="1"/>
        <v>0</v>
      </c>
      <c r="M439" s="3">
        <f ca="1"/>
        <v>0</v>
      </c>
      <c r="N439" s="3">
        <f ca="1"/>
        <v>0</v>
      </c>
      <c r="O439" s="3">
        <f ca="1"/>
        <v>0</v>
      </c>
    </row>
    <row r="440" spans="2:15" ht="13">
      <c r="B440" s="3"/>
      <c r="C440" s="3"/>
      <c r="D440" s="3"/>
      <c r="E440" s="3"/>
      <c r="F440" s="3"/>
      <c r="G440" s="3"/>
      <c r="I440" s="3">
        <f ca="1"/>
        <v>0</v>
      </c>
      <c r="J440" s="3">
        <f ca="1"/>
        <v>0</v>
      </c>
      <c r="K440" s="3">
        <f ca="1"/>
        <v>0</v>
      </c>
      <c r="M440" s="3">
        <f ca="1"/>
        <v>0</v>
      </c>
      <c r="N440" s="3">
        <f ca="1"/>
        <v>0</v>
      </c>
      <c r="O440" s="3">
        <f ca="1"/>
        <v>0</v>
      </c>
    </row>
    <row r="441" spans="2:15" ht="13">
      <c r="B441" s="3"/>
      <c r="C441" s="3"/>
      <c r="D441" s="3"/>
      <c r="E441" s="3"/>
      <c r="F441" s="3"/>
      <c r="G441" s="3"/>
      <c r="I441" s="3">
        <f ca="1"/>
        <v>0</v>
      </c>
      <c r="J441" s="3">
        <f ca="1"/>
        <v>0</v>
      </c>
      <c r="K441" s="3">
        <f ca="1"/>
        <v>0</v>
      </c>
      <c r="M441" s="3">
        <f ca="1"/>
        <v>0</v>
      </c>
      <c r="N441" s="3">
        <f ca="1"/>
        <v>0</v>
      </c>
      <c r="O441" s="3">
        <f ca="1"/>
        <v>0</v>
      </c>
    </row>
    <row r="442" spans="2:15" ht="13">
      <c r="B442" s="3"/>
      <c r="C442" s="3"/>
      <c r="D442" s="3"/>
      <c r="E442" s="3"/>
      <c r="F442" s="3"/>
      <c r="G442" s="3"/>
      <c r="I442" s="3">
        <f ca="1"/>
        <v>0</v>
      </c>
      <c r="J442" s="3">
        <f ca="1"/>
        <v>0</v>
      </c>
      <c r="K442" s="3">
        <f ca="1"/>
        <v>0</v>
      </c>
      <c r="M442" s="3">
        <f ca="1"/>
        <v>0</v>
      </c>
      <c r="N442" s="3">
        <f ca="1"/>
        <v>0</v>
      </c>
      <c r="O442" s="3">
        <f ca="1"/>
        <v>0</v>
      </c>
    </row>
    <row r="443" spans="2:15" ht="13">
      <c r="B443" s="3"/>
      <c r="C443" s="3"/>
      <c r="D443" s="3"/>
      <c r="E443" s="3"/>
      <c r="F443" s="3"/>
      <c r="G443" s="3"/>
      <c r="I443" s="3">
        <f ca="1"/>
        <v>0</v>
      </c>
      <c r="J443" s="3">
        <f ca="1"/>
        <v>0</v>
      </c>
      <c r="K443" s="3">
        <f ca="1"/>
        <v>0</v>
      </c>
      <c r="M443" s="3">
        <f ca="1"/>
        <v>0</v>
      </c>
      <c r="N443" s="3">
        <f ca="1"/>
        <v>0</v>
      </c>
      <c r="O443" s="3">
        <f ca="1"/>
        <v>0</v>
      </c>
    </row>
    <row r="444" spans="2:15" ht="13">
      <c r="B444" s="3"/>
      <c r="C444" s="3"/>
      <c r="D444" s="3"/>
      <c r="E444" s="3"/>
      <c r="F444" s="3"/>
      <c r="G444" s="3"/>
      <c r="I444" s="3">
        <f ca="1"/>
        <v>0</v>
      </c>
      <c r="J444" s="3">
        <f ca="1"/>
        <v>0</v>
      </c>
      <c r="K444" s="3">
        <f ca="1"/>
        <v>0</v>
      </c>
      <c r="M444" s="3">
        <f ca="1"/>
        <v>0</v>
      </c>
      <c r="N444" s="3">
        <f ca="1"/>
        <v>0</v>
      </c>
      <c r="O444" s="3">
        <f ca="1"/>
        <v>0</v>
      </c>
    </row>
    <row r="445" spans="2:15" ht="13">
      <c r="B445" s="3"/>
      <c r="C445" s="3"/>
      <c r="D445" s="3"/>
      <c r="E445" s="3"/>
      <c r="F445" s="3"/>
      <c r="G445" s="3"/>
      <c r="I445" s="3">
        <f ca="1"/>
        <v>0</v>
      </c>
      <c r="J445" s="3">
        <f ca="1"/>
        <v>0</v>
      </c>
      <c r="K445" s="3">
        <f ca="1"/>
        <v>0</v>
      </c>
      <c r="M445" s="3">
        <f ca="1"/>
        <v>0</v>
      </c>
      <c r="N445" s="3">
        <f ca="1"/>
        <v>0</v>
      </c>
      <c r="O445" s="3">
        <f ca="1"/>
        <v>0</v>
      </c>
    </row>
    <row r="446" spans="2:15" ht="13">
      <c r="B446" s="3"/>
      <c r="C446" s="3"/>
      <c r="D446" s="3"/>
      <c r="E446" s="3"/>
      <c r="F446" s="3"/>
      <c r="G446" s="3"/>
      <c r="I446" s="3">
        <f ca="1"/>
        <v>0</v>
      </c>
      <c r="J446" s="3">
        <f ca="1"/>
        <v>0</v>
      </c>
      <c r="K446" s="3">
        <f ca="1"/>
        <v>0</v>
      </c>
      <c r="M446" s="3">
        <f ca="1"/>
        <v>0</v>
      </c>
      <c r="N446" s="3">
        <f ca="1"/>
        <v>0</v>
      </c>
      <c r="O446" s="3">
        <f ca="1"/>
        <v>0</v>
      </c>
    </row>
    <row r="447" spans="2:15" ht="13">
      <c r="B447" s="3"/>
      <c r="C447" s="3"/>
      <c r="D447" s="3"/>
      <c r="E447" s="3"/>
      <c r="F447" s="3"/>
      <c r="G447" s="3"/>
      <c r="I447" s="3">
        <f ca="1"/>
        <v>0</v>
      </c>
      <c r="J447" s="3">
        <f ca="1"/>
        <v>0</v>
      </c>
      <c r="K447" s="3">
        <f ca="1"/>
        <v>0</v>
      </c>
      <c r="M447" s="3">
        <f ca="1"/>
        <v>0</v>
      </c>
      <c r="N447" s="3">
        <f ca="1"/>
        <v>0</v>
      </c>
      <c r="O447" s="3">
        <f ca="1"/>
        <v>0</v>
      </c>
    </row>
    <row r="448" spans="2:15" ht="13">
      <c r="B448" s="3"/>
      <c r="C448" s="3"/>
      <c r="D448" s="3"/>
      <c r="E448" s="3"/>
      <c r="F448" s="3"/>
      <c r="G448" s="3"/>
      <c r="I448" s="3">
        <f ca="1"/>
        <v>0</v>
      </c>
      <c r="J448" s="3">
        <f ca="1"/>
        <v>0</v>
      </c>
      <c r="K448" s="3">
        <f ca="1"/>
        <v>0</v>
      </c>
      <c r="M448" s="3">
        <f ca="1"/>
        <v>0</v>
      </c>
      <c r="N448" s="3">
        <f ca="1"/>
        <v>0</v>
      </c>
      <c r="O448" s="3">
        <f ca="1"/>
        <v>0</v>
      </c>
    </row>
    <row r="449" spans="2:15" ht="13">
      <c r="B449" s="3"/>
      <c r="C449" s="3"/>
      <c r="D449" s="3"/>
      <c r="E449" s="3"/>
      <c r="F449" s="3"/>
      <c r="G449" s="3"/>
      <c r="I449" s="3">
        <f ca="1"/>
        <v>0</v>
      </c>
      <c r="J449" s="3">
        <f ca="1"/>
        <v>0</v>
      </c>
      <c r="K449" s="3">
        <f ca="1"/>
        <v>0</v>
      </c>
      <c r="M449" s="3">
        <f ca="1"/>
        <v>0</v>
      </c>
      <c r="N449" s="3">
        <f ca="1"/>
        <v>0</v>
      </c>
      <c r="O449" s="3">
        <f ca="1"/>
        <v>0</v>
      </c>
    </row>
    <row r="450" spans="2:15" ht="13">
      <c r="B450" s="3"/>
      <c r="C450" s="3"/>
      <c r="D450" s="3"/>
      <c r="E450" s="3"/>
      <c r="F450" s="3"/>
      <c r="G450" s="3"/>
      <c r="I450" s="3">
        <f ca="1"/>
        <v>0</v>
      </c>
      <c r="J450" s="3">
        <f ca="1"/>
        <v>0</v>
      </c>
      <c r="K450" s="3">
        <f ca="1"/>
        <v>0</v>
      </c>
      <c r="M450" s="3">
        <f ca="1"/>
        <v>0</v>
      </c>
      <c r="N450" s="3">
        <f ca="1"/>
        <v>0</v>
      </c>
      <c r="O450" s="3">
        <f ca="1"/>
        <v>0</v>
      </c>
    </row>
    <row r="451" spans="2:15" ht="13">
      <c r="B451" s="3"/>
      <c r="C451" s="3"/>
      <c r="D451" s="3"/>
      <c r="E451" s="3"/>
      <c r="F451" s="3"/>
      <c r="G451" s="3"/>
      <c r="I451" s="3">
        <f ca="1"/>
        <v>0</v>
      </c>
      <c r="J451" s="3">
        <f ca="1"/>
        <v>0</v>
      </c>
      <c r="K451" s="3">
        <f ca="1"/>
        <v>0</v>
      </c>
      <c r="M451" s="3">
        <f ca="1"/>
        <v>0</v>
      </c>
      <c r="N451" s="3">
        <f ca="1"/>
        <v>0</v>
      </c>
      <c r="O451" s="3">
        <f ca="1"/>
        <v>0</v>
      </c>
    </row>
    <row r="452" spans="2:15" ht="13">
      <c r="B452" s="3"/>
      <c r="C452" s="3"/>
      <c r="D452" s="3"/>
      <c r="E452" s="3"/>
      <c r="F452" s="3"/>
      <c r="G452" s="3"/>
      <c r="I452" s="3">
        <f ca="1"/>
        <v>0</v>
      </c>
      <c r="J452" s="3">
        <f ca="1"/>
        <v>0</v>
      </c>
      <c r="K452" s="3">
        <f ca="1"/>
        <v>0</v>
      </c>
      <c r="M452" s="3">
        <f ca="1"/>
        <v>0</v>
      </c>
      <c r="N452" s="3">
        <f ca="1"/>
        <v>0</v>
      </c>
      <c r="O452" s="3">
        <f ca="1"/>
        <v>0</v>
      </c>
    </row>
    <row r="453" spans="2:15" ht="13">
      <c r="B453" s="3"/>
      <c r="C453" s="3"/>
      <c r="D453" s="3"/>
      <c r="E453" s="3"/>
      <c r="F453" s="3"/>
      <c r="G453" s="3"/>
      <c r="I453" s="3">
        <f ca="1"/>
        <v>0</v>
      </c>
      <c r="J453" s="3">
        <f ca="1"/>
        <v>0</v>
      </c>
      <c r="K453" s="3">
        <f ca="1"/>
        <v>0</v>
      </c>
      <c r="M453" s="3">
        <f ca="1"/>
        <v>0</v>
      </c>
      <c r="N453" s="3">
        <f ca="1"/>
        <v>0</v>
      </c>
      <c r="O453" s="3">
        <f ca="1"/>
        <v>0</v>
      </c>
    </row>
    <row r="454" spans="2:15" ht="13">
      <c r="B454" s="3"/>
      <c r="C454" s="3"/>
      <c r="D454" s="3"/>
      <c r="E454" s="3"/>
      <c r="F454" s="3"/>
      <c r="G454" s="3"/>
      <c r="I454" s="3">
        <f ca="1"/>
        <v>0</v>
      </c>
      <c r="J454" s="3">
        <f ca="1"/>
        <v>0</v>
      </c>
      <c r="K454" s="3">
        <f ca="1"/>
        <v>0</v>
      </c>
      <c r="M454" s="3">
        <f ca="1"/>
        <v>0</v>
      </c>
      <c r="N454" s="3">
        <f ca="1"/>
        <v>0</v>
      </c>
      <c r="O454" s="3">
        <f ca="1"/>
        <v>0</v>
      </c>
    </row>
    <row r="455" spans="2:15" ht="13">
      <c r="B455" s="3"/>
      <c r="C455" s="3"/>
      <c r="D455" s="3"/>
      <c r="E455" s="3"/>
      <c r="F455" s="3"/>
      <c r="G455" s="3"/>
      <c r="I455" s="3">
        <f ca="1"/>
        <v>0</v>
      </c>
      <c r="J455" s="3">
        <f ca="1"/>
        <v>0</v>
      </c>
      <c r="K455" s="3">
        <f ca="1"/>
        <v>0</v>
      </c>
      <c r="M455" s="3">
        <f ca="1"/>
        <v>0</v>
      </c>
      <c r="N455" s="3">
        <f ca="1"/>
        <v>0</v>
      </c>
      <c r="O455" s="3">
        <f ca="1"/>
        <v>0</v>
      </c>
    </row>
    <row r="456" spans="2:15" ht="13">
      <c r="B456" s="3"/>
      <c r="C456" s="3"/>
      <c r="D456" s="3"/>
      <c r="E456" s="3"/>
      <c r="F456" s="3"/>
      <c r="G456" s="3"/>
      <c r="I456" s="3">
        <f ca="1"/>
        <v>0</v>
      </c>
      <c r="J456" s="3">
        <f ca="1"/>
        <v>0</v>
      </c>
      <c r="K456" s="3">
        <f ca="1"/>
        <v>0</v>
      </c>
      <c r="M456" s="3">
        <f ca="1"/>
        <v>0</v>
      </c>
      <c r="N456" s="3">
        <f ca="1"/>
        <v>0</v>
      </c>
      <c r="O456" s="3">
        <f ca="1"/>
        <v>0</v>
      </c>
    </row>
    <row r="457" spans="2:15" ht="13">
      <c r="B457" s="3"/>
      <c r="C457" s="3"/>
      <c r="D457" s="3"/>
      <c r="E457" s="3"/>
      <c r="F457" s="3"/>
      <c r="G457" s="3"/>
      <c r="I457" s="3">
        <f ca="1"/>
        <v>0</v>
      </c>
      <c r="J457" s="3">
        <f ca="1"/>
        <v>0</v>
      </c>
      <c r="K457" s="3">
        <f ca="1"/>
        <v>0</v>
      </c>
      <c r="M457" s="3">
        <f ca="1"/>
        <v>0</v>
      </c>
      <c r="N457" s="3">
        <f ca="1"/>
        <v>0</v>
      </c>
      <c r="O457" s="3">
        <f ca="1"/>
        <v>0</v>
      </c>
    </row>
    <row r="458" spans="2:15" ht="13">
      <c r="B458" s="3"/>
      <c r="C458" s="3"/>
      <c r="D458" s="3"/>
      <c r="E458" s="3"/>
      <c r="F458" s="3"/>
      <c r="G458" s="3"/>
      <c r="I458" s="3">
        <f ca="1"/>
        <v>0</v>
      </c>
      <c r="J458" s="3">
        <f ca="1"/>
        <v>0</v>
      </c>
      <c r="K458" s="3">
        <f ca="1"/>
        <v>0</v>
      </c>
      <c r="M458" s="3">
        <f ca="1"/>
        <v>0</v>
      </c>
      <c r="N458" s="3">
        <f ca="1"/>
        <v>0</v>
      </c>
      <c r="O458" s="3">
        <f ca="1"/>
        <v>0</v>
      </c>
    </row>
    <row r="459" spans="2:15" ht="13">
      <c r="B459" s="3"/>
      <c r="C459" s="3"/>
      <c r="D459" s="3"/>
      <c r="E459" s="3"/>
      <c r="F459" s="3"/>
      <c r="G459" s="3"/>
      <c r="I459" s="3">
        <f ca="1"/>
        <v>0</v>
      </c>
      <c r="J459" s="3">
        <f ca="1"/>
        <v>0</v>
      </c>
      <c r="K459" s="3">
        <f ca="1"/>
        <v>0</v>
      </c>
      <c r="M459" s="3">
        <f ca="1"/>
        <v>0</v>
      </c>
      <c r="N459" s="3">
        <f ca="1"/>
        <v>0</v>
      </c>
      <c r="O459" s="3">
        <f ca="1"/>
        <v>0</v>
      </c>
    </row>
    <row r="460" spans="2:15" ht="13">
      <c r="B460" s="3"/>
      <c r="C460" s="3"/>
      <c r="D460" s="3"/>
      <c r="E460" s="3"/>
      <c r="F460" s="3"/>
      <c r="G460" s="3"/>
      <c r="I460" s="3">
        <f ca="1"/>
        <v>0</v>
      </c>
      <c r="J460" s="3">
        <f ca="1"/>
        <v>0</v>
      </c>
      <c r="K460" s="3">
        <f ca="1"/>
        <v>0</v>
      </c>
      <c r="M460" s="3">
        <f ca="1"/>
        <v>0</v>
      </c>
      <c r="N460" s="3">
        <f ca="1"/>
        <v>0</v>
      </c>
      <c r="O460" s="3">
        <f ca="1"/>
        <v>0</v>
      </c>
    </row>
    <row r="461" spans="2:15" ht="13">
      <c r="B461" s="3"/>
      <c r="C461" s="3"/>
      <c r="D461" s="3"/>
      <c r="E461" s="3"/>
      <c r="F461" s="3"/>
      <c r="G461" s="3"/>
      <c r="I461" s="3">
        <f ca="1"/>
        <v>0</v>
      </c>
      <c r="J461" s="3">
        <f ca="1"/>
        <v>0</v>
      </c>
      <c r="K461" s="3">
        <f ca="1"/>
        <v>0</v>
      </c>
      <c r="M461" s="3">
        <f ca="1"/>
        <v>0</v>
      </c>
      <c r="N461" s="3">
        <f ca="1"/>
        <v>0</v>
      </c>
      <c r="O461" s="3">
        <f ca="1"/>
        <v>0</v>
      </c>
    </row>
    <row r="462" spans="2:15" ht="13">
      <c r="B462" s="3"/>
      <c r="C462" s="3"/>
      <c r="D462" s="3"/>
      <c r="E462" s="3"/>
      <c r="F462" s="3"/>
      <c r="G462" s="3"/>
      <c r="I462" s="3">
        <f ca="1"/>
        <v>0</v>
      </c>
      <c r="J462" s="3">
        <f ca="1"/>
        <v>0</v>
      </c>
      <c r="K462" s="3">
        <f ca="1"/>
        <v>0</v>
      </c>
      <c r="M462" s="3">
        <f ca="1"/>
        <v>0</v>
      </c>
      <c r="N462" s="3">
        <f ca="1"/>
        <v>0</v>
      </c>
      <c r="O462" s="3">
        <f ca="1"/>
        <v>0</v>
      </c>
    </row>
    <row r="463" spans="2:15" ht="13">
      <c r="B463" s="3"/>
      <c r="C463" s="3"/>
      <c r="D463" s="3"/>
      <c r="E463" s="3"/>
      <c r="F463" s="3"/>
      <c r="G463" s="3"/>
      <c r="I463" s="3">
        <f ca="1"/>
        <v>0</v>
      </c>
      <c r="J463" s="3">
        <f ca="1"/>
        <v>0</v>
      </c>
      <c r="K463" s="3">
        <f ca="1"/>
        <v>0</v>
      </c>
      <c r="M463" s="3">
        <f ca="1"/>
        <v>0</v>
      </c>
      <c r="N463" s="3">
        <f ca="1"/>
        <v>0</v>
      </c>
      <c r="O463" s="3">
        <f ca="1"/>
        <v>0</v>
      </c>
    </row>
    <row r="464" spans="2:15" ht="13">
      <c r="B464" s="3"/>
      <c r="C464" s="3"/>
      <c r="D464" s="3"/>
      <c r="E464" s="3"/>
      <c r="F464" s="3"/>
      <c r="G464" s="3"/>
      <c r="I464" s="3">
        <f ca="1"/>
        <v>0</v>
      </c>
      <c r="J464" s="3">
        <f ca="1"/>
        <v>0</v>
      </c>
      <c r="K464" s="3">
        <f ca="1"/>
        <v>0</v>
      </c>
      <c r="M464" s="3">
        <f ca="1"/>
        <v>0</v>
      </c>
      <c r="N464" s="3">
        <f ca="1"/>
        <v>0</v>
      </c>
      <c r="O464" s="3">
        <f ca="1"/>
        <v>0</v>
      </c>
    </row>
    <row r="465" spans="2:15" ht="13">
      <c r="B465" s="3"/>
      <c r="C465" s="3"/>
      <c r="D465" s="3"/>
      <c r="E465" s="3"/>
      <c r="F465" s="3"/>
      <c r="G465" s="3"/>
      <c r="I465" s="3">
        <f ca="1"/>
        <v>0</v>
      </c>
      <c r="J465" s="3">
        <f ca="1"/>
        <v>0</v>
      </c>
      <c r="K465" s="3">
        <f ca="1"/>
        <v>0</v>
      </c>
      <c r="M465" s="3">
        <f ca="1"/>
        <v>0</v>
      </c>
      <c r="N465" s="3">
        <f ca="1"/>
        <v>0</v>
      </c>
      <c r="O465" s="3">
        <f ca="1"/>
        <v>0</v>
      </c>
    </row>
    <row r="466" spans="2:15" ht="13">
      <c r="B466" s="3"/>
      <c r="C466" s="3"/>
      <c r="D466" s="3"/>
      <c r="E466" s="3"/>
      <c r="F466" s="3"/>
      <c r="G466" s="3"/>
      <c r="I466" s="3">
        <f ca="1"/>
        <v>0</v>
      </c>
      <c r="J466" s="3">
        <f ca="1"/>
        <v>0</v>
      </c>
      <c r="K466" s="3">
        <f ca="1"/>
        <v>0</v>
      </c>
      <c r="M466" s="3">
        <f ca="1"/>
        <v>0</v>
      </c>
      <c r="N466" s="3">
        <f ca="1"/>
        <v>0</v>
      </c>
      <c r="O466" s="3">
        <f ca="1"/>
        <v>0</v>
      </c>
    </row>
    <row r="467" spans="2:15" ht="13">
      <c r="B467" s="3"/>
      <c r="C467" s="3"/>
      <c r="D467" s="3"/>
      <c r="E467" s="3"/>
      <c r="F467" s="3"/>
      <c r="G467" s="3"/>
      <c r="I467" s="3">
        <f ca="1"/>
        <v>0</v>
      </c>
      <c r="J467" s="3">
        <f ca="1"/>
        <v>0</v>
      </c>
      <c r="K467" s="3">
        <f ca="1"/>
        <v>0</v>
      </c>
      <c r="M467" s="3">
        <f ca="1"/>
        <v>0</v>
      </c>
      <c r="N467" s="3">
        <f ca="1"/>
        <v>0</v>
      </c>
      <c r="O467" s="3">
        <f ca="1"/>
        <v>0</v>
      </c>
    </row>
    <row r="468" spans="2:15" ht="13">
      <c r="B468" s="3"/>
      <c r="C468" s="3"/>
      <c r="D468" s="3"/>
      <c r="E468" s="3"/>
      <c r="F468" s="3"/>
      <c r="G468" s="3"/>
      <c r="I468" s="3">
        <f ca="1"/>
        <v>0</v>
      </c>
      <c r="J468" s="3">
        <f ca="1"/>
        <v>0</v>
      </c>
      <c r="K468" s="3">
        <f ca="1"/>
        <v>0</v>
      </c>
      <c r="M468" s="3">
        <f ca="1"/>
        <v>0</v>
      </c>
      <c r="N468" s="3">
        <f ca="1"/>
        <v>0</v>
      </c>
      <c r="O468" s="3">
        <f ca="1"/>
        <v>0</v>
      </c>
    </row>
    <row r="469" spans="2:15" ht="13">
      <c r="B469" s="3"/>
      <c r="C469" s="3"/>
      <c r="D469" s="3"/>
      <c r="E469" s="3"/>
      <c r="F469" s="3"/>
      <c r="G469" s="3"/>
      <c r="I469" s="3">
        <f ca="1"/>
        <v>0</v>
      </c>
      <c r="J469" s="3">
        <f ca="1"/>
        <v>0</v>
      </c>
      <c r="K469" s="3">
        <f ca="1"/>
        <v>0</v>
      </c>
      <c r="M469" s="3">
        <f ca="1"/>
        <v>0</v>
      </c>
      <c r="N469" s="3">
        <f ca="1"/>
        <v>0</v>
      </c>
      <c r="O469" s="3">
        <f ca="1"/>
        <v>0</v>
      </c>
    </row>
    <row r="470" spans="2:15" ht="13">
      <c r="B470" s="3"/>
      <c r="C470" s="3"/>
      <c r="D470" s="3"/>
      <c r="E470" s="3"/>
      <c r="F470" s="3"/>
      <c r="G470" s="3"/>
      <c r="I470" s="3">
        <f ca="1"/>
        <v>0</v>
      </c>
      <c r="J470" s="3">
        <f ca="1"/>
        <v>0</v>
      </c>
      <c r="K470" s="3">
        <f ca="1"/>
        <v>0</v>
      </c>
      <c r="M470" s="3">
        <f ca="1"/>
        <v>0</v>
      </c>
      <c r="N470" s="3">
        <f ca="1"/>
        <v>0</v>
      </c>
      <c r="O470" s="3">
        <f ca="1"/>
        <v>0</v>
      </c>
    </row>
    <row r="471" spans="2:15" ht="13">
      <c r="B471" s="3"/>
      <c r="C471" s="3"/>
      <c r="D471" s="3"/>
      <c r="E471" s="3"/>
      <c r="F471" s="3"/>
      <c r="G471" s="3"/>
      <c r="I471" s="3">
        <f ca="1"/>
        <v>0</v>
      </c>
      <c r="J471" s="3">
        <f ca="1"/>
        <v>0</v>
      </c>
      <c r="K471" s="3">
        <f ca="1"/>
        <v>0</v>
      </c>
      <c r="M471" s="3">
        <f ca="1"/>
        <v>0</v>
      </c>
      <c r="N471" s="3">
        <f ca="1"/>
        <v>0</v>
      </c>
      <c r="O471" s="3">
        <f ca="1"/>
        <v>0</v>
      </c>
    </row>
    <row r="472" spans="2:15" ht="13">
      <c r="B472" s="3"/>
      <c r="C472" s="3"/>
      <c r="D472" s="3"/>
      <c r="E472" s="3"/>
      <c r="F472" s="3"/>
      <c r="G472" s="3"/>
      <c r="I472" s="3">
        <f ca="1"/>
        <v>0</v>
      </c>
      <c r="J472" s="3">
        <f ca="1"/>
        <v>0</v>
      </c>
      <c r="K472" s="3">
        <f ca="1"/>
        <v>0</v>
      </c>
      <c r="M472" s="3">
        <f ca="1"/>
        <v>0</v>
      </c>
      <c r="N472" s="3">
        <f ca="1"/>
        <v>0</v>
      </c>
      <c r="O472" s="3">
        <f ca="1"/>
        <v>0</v>
      </c>
    </row>
    <row r="473" spans="2:15" ht="13">
      <c r="B473" s="3"/>
      <c r="C473" s="3"/>
      <c r="D473" s="3"/>
      <c r="E473" s="3"/>
      <c r="F473" s="3"/>
      <c r="G473" s="3"/>
      <c r="I473" s="3">
        <f ca="1"/>
        <v>0</v>
      </c>
      <c r="J473" s="3">
        <f ca="1"/>
        <v>0</v>
      </c>
      <c r="K473" s="3">
        <f ca="1"/>
        <v>0</v>
      </c>
      <c r="M473" s="3">
        <f ca="1"/>
        <v>0</v>
      </c>
      <c r="N473" s="3">
        <f ca="1"/>
        <v>0</v>
      </c>
      <c r="O473" s="3">
        <f ca="1"/>
        <v>0</v>
      </c>
    </row>
    <row r="474" spans="2:15" ht="13">
      <c r="B474" s="3"/>
      <c r="C474" s="3"/>
      <c r="D474" s="3"/>
      <c r="E474" s="3"/>
      <c r="F474" s="3"/>
      <c r="G474" s="3"/>
      <c r="I474" s="3">
        <f ca="1"/>
        <v>0</v>
      </c>
      <c r="J474" s="3">
        <f ca="1"/>
        <v>0</v>
      </c>
      <c r="K474" s="3">
        <f ca="1"/>
        <v>0</v>
      </c>
      <c r="M474" s="3">
        <f ca="1"/>
        <v>0</v>
      </c>
      <c r="N474" s="3">
        <f ca="1"/>
        <v>0</v>
      </c>
      <c r="O474" s="3">
        <f ca="1"/>
        <v>0</v>
      </c>
    </row>
    <row r="475" spans="2:15" ht="13">
      <c r="B475" s="3"/>
      <c r="C475" s="3"/>
      <c r="D475" s="3"/>
      <c r="E475" s="3"/>
      <c r="F475" s="3"/>
      <c r="G475" s="3"/>
      <c r="I475" s="3">
        <f ca="1"/>
        <v>0</v>
      </c>
      <c r="J475" s="3">
        <f ca="1"/>
        <v>0</v>
      </c>
      <c r="K475" s="3">
        <f ca="1"/>
        <v>0</v>
      </c>
      <c r="M475" s="3">
        <f ca="1"/>
        <v>0</v>
      </c>
      <c r="N475" s="3">
        <f ca="1"/>
        <v>0</v>
      </c>
      <c r="O475" s="3">
        <f ca="1"/>
        <v>0</v>
      </c>
    </row>
    <row r="476" spans="2:15" ht="13">
      <c r="B476" s="3"/>
      <c r="C476" s="3"/>
      <c r="D476" s="3"/>
      <c r="E476" s="3"/>
      <c r="F476" s="3"/>
      <c r="G476" s="3"/>
      <c r="I476" s="3">
        <f ca="1"/>
        <v>0</v>
      </c>
      <c r="J476" s="3">
        <f ca="1"/>
        <v>0</v>
      </c>
      <c r="K476" s="3">
        <f ca="1"/>
        <v>0</v>
      </c>
      <c r="M476" s="3">
        <f ca="1"/>
        <v>0</v>
      </c>
      <c r="N476" s="3">
        <f ca="1"/>
        <v>0</v>
      </c>
      <c r="O476" s="3">
        <f ca="1"/>
        <v>0</v>
      </c>
    </row>
    <row r="477" spans="2:15" ht="13">
      <c r="B477" s="3"/>
      <c r="C477" s="3"/>
      <c r="D477" s="3"/>
      <c r="E477" s="3"/>
      <c r="F477" s="3"/>
      <c r="G477" s="3"/>
      <c r="I477" s="3">
        <f ca="1"/>
        <v>0</v>
      </c>
      <c r="J477" s="3">
        <f ca="1"/>
        <v>0</v>
      </c>
      <c r="K477" s="3">
        <f ca="1"/>
        <v>0</v>
      </c>
      <c r="M477" s="3">
        <f ca="1"/>
        <v>0</v>
      </c>
      <c r="N477" s="3">
        <f ca="1"/>
        <v>0</v>
      </c>
      <c r="O477" s="3">
        <f ca="1"/>
        <v>0</v>
      </c>
    </row>
    <row r="478" spans="2:15" ht="13">
      <c r="B478" s="3"/>
      <c r="C478" s="3"/>
      <c r="D478" s="3"/>
      <c r="E478" s="3"/>
      <c r="F478" s="3"/>
      <c r="G478" s="3"/>
      <c r="I478" s="3">
        <f ca="1"/>
        <v>0</v>
      </c>
      <c r="J478" s="3">
        <f ca="1"/>
        <v>0</v>
      </c>
      <c r="K478" s="3">
        <f ca="1"/>
        <v>0</v>
      </c>
      <c r="M478" s="3">
        <f ca="1"/>
        <v>0</v>
      </c>
      <c r="N478" s="3">
        <f ca="1"/>
        <v>0</v>
      </c>
      <c r="O478" s="3">
        <f ca="1"/>
        <v>0</v>
      </c>
    </row>
    <row r="479" spans="2:15" ht="13">
      <c r="B479" s="3"/>
      <c r="C479" s="3"/>
      <c r="D479" s="3"/>
      <c r="E479" s="3"/>
      <c r="F479" s="3"/>
      <c r="G479" s="3"/>
      <c r="I479" s="3">
        <f ca="1"/>
        <v>0</v>
      </c>
      <c r="J479" s="3">
        <f ca="1"/>
        <v>0</v>
      </c>
      <c r="K479" s="3">
        <f ca="1"/>
        <v>0</v>
      </c>
      <c r="M479" s="3">
        <f ca="1"/>
        <v>0</v>
      </c>
      <c r="N479" s="3">
        <f ca="1"/>
        <v>0</v>
      </c>
      <c r="O479" s="3">
        <f ca="1"/>
        <v>0</v>
      </c>
    </row>
    <row r="480" spans="2:15" ht="13">
      <c r="B480" s="3"/>
      <c r="C480" s="3"/>
      <c r="D480" s="3"/>
      <c r="E480" s="3"/>
      <c r="F480" s="3"/>
      <c r="G480" s="3"/>
      <c r="I480" s="3">
        <f ca="1"/>
        <v>0</v>
      </c>
      <c r="J480" s="3">
        <f ca="1"/>
        <v>0</v>
      </c>
      <c r="K480" s="3">
        <f ca="1"/>
        <v>0</v>
      </c>
      <c r="M480" s="3">
        <f ca="1"/>
        <v>0</v>
      </c>
      <c r="N480" s="3">
        <f ca="1"/>
        <v>0</v>
      </c>
      <c r="O480" s="3">
        <f ca="1"/>
        <v>0</v>
      </c>
    </row>
    <row r="481" spans="2:15" ht="13">
      <c r="B481" s="3"/>
      <c r="C481" s="3"/>
      <c r="D481" s="3"/>
      <c r="E481" s="3"/>
      <c r="F481" s="3"/>
      <c r="G481" s="3"/>
      <c r="I481" s="3">
        <f ca="1"/>
        <v>0</v>
      </c>
      <c r="J481" s="3">
        <f ca="1"/>
        <v>0</v>
      </c>
      <c r="K481" s="3">
        <f ca="1"/>
        <v>0</v>
      </c>
      <c r="M481" s="3">
        <f ca="1"/>
        <v>0</v>
      </c>
      <c r="N481" s="3">
        <f ca="1"/>
        <v>0</v>
      </c>
      <c r="O481" s="3">
        <f ca="1"/>
        <v>0</v>
      </c>
    </row>
    <row r="482" spans="2:15" ht="13">
      <c r="B482" s="3"/>
      <c r="C482" s="3"/>
      <c r="D482" s="3"/>
      <c r="E482" s="3"/>
      <c r="F482" s="3"/>
      <c r="G482" s="3"/>
      <c r="I482" s="3">
        <f ca="1"/>
        <v>0</v>
      </c>
      <c r="J482" s="3">
        <f ca="1"/>
        <v>0</v>
      </c>
      <c r="K482" s="3">
        <f ca="1"/>
        <v>0</v>
      </c>
      <c r="M482" s="3">
        <f ca="1"/>
        <v>0</v>
      </c>
      <c r="N482" s="3">
        <f ca="1"/>
        <v>0</v>
      </c>
      <c r="O482" s="3">
        <f ca="1"/>
        <v>0</v>
      </c>
    </row>
    <row r="483" spans="2:15" ht="13">
      <c r="B483" s="3"/>
      <c r="C483" s="3"/>
      <c r="D483" s="3"/>
      <c r="E483" s="3"/>
      <c r="F483" s="3"/>
      <c r="G483" s="3"/>
      <c r="I483" s="3">
        <f ca="1"/>
        <v>0</v>
      </c>
      <c r="J483" s="3">
        <f ca="1"/>
        <v>0</v>
      </c>
      <c r="K483" s="3">
        <f ca="1"/>
        <v>0</v>
      </c>
      <c r="M483" s="3">
        <f ca="1"/>
        <v>0</v>
      </c>
      <c r="N483" s="3">
        <f ca="1"/>
        <v>0</v>
      </c>
      <c r="O483" s="3">
        <f ca="1"/>
        <v>0</v>
      </c>
    </row>
    <row r="484" spans="2:15" ht="13">
      <c r="B484" s="3"/>
      <c r="C484" s="3"/>
      <c r="D484" s="3"/>
      <c r="E484" s="3"/>
      <c r="F484" s="3"/>
      <c r="G484" s="3"/>
      <c r="I484" s="3">
        <f ca="1"/>
        <v>0</v>
      </c>
      <c r="J484" s="3">
        <f ca="1"/>
        <v>0</v>
      </c>
      <c r="K484" s="3">
        <f ca="1"/>
        <v>0</v>
      </c>
      <c r="M484" s="3">
        <f ca="1"/>
        <v>0</v>
      </c>
      <c r="N484" s="3">
        <f ca="1"/>
        <v>0</v>
      </c>
      <c r="O484" s="3">
        <f ca="1"/>
        <v>0</v>
      </c>
    </row>
    <row r="485" spans="2:15" ht="13">
      <c r="B485" s="3"/>
      <c r="C485" s="3"/>
      <c r="D485" s="3"/>
      <c r="E485" s="3"/>
      <c r="F485" s="3"/>
      <c r="G485" s="3"/>
      <c r="I485" s="3">
        <f ca="1"/>
        <v>0</v>
      </c>
      <c r="J485" s="3">
        <f ca="1"/>
        <v>0</v>
      </c>
      <c r="K485" s="3">
        <f ca="1"/>
        <v>0</v>
      </c>
      <c r="M485" s="3">
        <f ca="1"/>
        <v>0</v>
      </c>
      <c r="N485" s="3">
        <f ca="1"/>
        <v>0</v>
      </c>
      <c r="O485" s="3">
        <f ca="1"/>
        <v>0</v>
      </c>
    </row>
    <row r="486" spans="2:15" ht="13">
      <c r="B486" s="3"/>
      <c r="C486" s="3"/>
      <c r="D486" s="3"/>
      <c r="E486" s="3"/>
      <c r="F486" s="3"/>
      <c r="G486" s="3"/>
      <c r="I486" s="3">
        <f ca="1"/>
        <v>0</v>
      </c>
      <c r="J486" s="3">
        <f ca="1"/>
        <v>0</v>
      </c>
      <c r="K486" s="3">
        <f ca="1"/>
        <v>0</v>
      </c>
      <c r="M486" s="3">
        <f ca="1"/>
        <v>0</v>
      </c>
      <c r="N486" s="3">
        <f ca="1"/>
        <v>0</v>
      </c>
      <c r="O486" s="3">
        <f ca="1"/>
        <v>0</v>
      </c>
    </row>
    <row r="487" spans="2:15" ht="13">
      <c r="B487" s="3"/>
      <c r="C487" s="3"/>
      <c r="D487" s="3"/>
      <c r="E487" s="3"/>
      <c r="F487" s="3"/>
      <c r="G487" s="3"/>
      <c r="I487" s="3">
        <f ca="1"/>
        <v>0</v>
      </c>
      <c r="J487" s="3">
        <f ca="1"/>
        <v>0</v>
      </c>
      <c r="K487" s="3">
        <f ca="1"/>
        <v>0</v>
      </c>
      <c r="M487" s="3">
        <f ca="1"/>
        <v>0</v>
      </c>
      <c r="N487" s="3">
        <f ca="1"/>
        <v>0</v>
      </c>
      <c r="O487" s="3">
        <f ca="1"/>
        <v>0</v>
      </c>
    </row>
    <row r="488" spans="2:15" ht="13">
      <c r="B488" s="3"/>
      <c r="C488" s="3"/>
      <c r="D488" s="3"/>
      <c r="E488" s="3"/>
      <c r="F488" s="3"/>
      <c r="G488" s="3"/>
      <c r="I488" s="3">
        <f ca="1"/>
        <v>0</v>
      </c>
      <c r="J488" s="3">
        <f ca="1"/>
        <v>0</v>
      </c>
      <c r="K488" s="3">
        <f ca="1"/>
        <v>0</v>
      </c>
      <c r="M488" s="3">
        <f ca="1"/>
        <v>0</v>
      </c>
      <c r="N488" s="3">
        <f ca="1"/>
        <v>0</v>
      </c>
      <c r="O488" s="3">
        <f ca="1"/>
        <v>0</v>
      </c>
    </row>
    <row r="489" spans="2:15" ht="13">
      <c r="B489" s="3"/>
      <c r="C489" s="3"/>
      <c r="D489" s="3"/>
      <c r="E489" s="3"/>
      <c r="F489" s="3"/>
      <c r="G489" s="3"/>
      <c r="I489" s="3">
        <f ca="1"/>
        <v>0</v>
      </c>
      <c r="J489" s="3">
        <f ca="1"/>
        <v>0</v>
      </c>
      <c r="K489" s="3">
        <f ca="1"/>
        <v>0</v>
      </c>
      <c r="M489" s="3">
        <f ca="1"/>
        <v>0</v>
      </c>
      <c r="N489" s="3">
        <f ca="1"/>
        <v>0</v>
      </c>
      <c r="O489" s="3">
        <f ca="1"/>
        <v>0</v>
      </c>
    </row>
    <row r="490" spans="2:15" ht="13">
      <c r="B490" s="3"/>
      <c r="C490" s="3"/>
      <c r="D490" s="3"/>
      <c r="E490" s="3"/>
      <c r="F490" s="3"/>
      <c r="G490" s="3"/>
      <c r="I490" s="3">
        <f ca="1"/>
        <v>0</v>
      </c>
      <c r="J490" s="3">
        <f ca="1"/>
        <v>0</v>
      </c>
      <c r="K490" s="3">
        <f ca="1"/>
        <v>0</v>
      </c>
      <c r="M490" s="3">
        <f ca="1"/>
        <v>0</v>
      </c>
      <c r="N490" s="3">
        <f ca="1"/>
        <v>0</v>
      </c>
      <c r="O490" s="3">
        <f ca="1"/>
        <v>0</v>
      </c>
    </row>
    <row r="491" spans="2:15" ht="13">
      <c r="B491" s="3"/>
      <c r="C491" s="3"/>
      <c r="D491" s="3"/>
      <c r="E491" s="3"/>
      <c r="F491" s="3"/>
      <c r="G491" s="3"/>
      <c r="I491" s="3">
        <f ca="1"/>
        <v>0</v>
      </c>
      <c r="J491" s="3">
        <f ca="1"/>
        <v>0</v>
      </c>
      <c r="K491" s="3">
        <f ca="1"/>
        <v>0</v>
      </c>
      <c r="M491" s="3">
        <f ca="1"/>
        <v>0</v>
      </c>
      <c r="N491" s="3">
        <f ca="1"/>
        <v>0</v>
      </c>
      <c r="O491" s="3">
        <f ca="1"/>
        <v>0</v>
      </c>
    </row>
    <row r="492" spans="2:15" ht="13">
      <c r="B492" s="3"/>
      <c r="C492" s="3"/>
      <c r="D492" s="3"/>
      <c r="E492" s="3"/>
      <c r="F492" s="3"/>
      <c r="G492" s="3"/>
      <c r="I492" s="3">
        <f ca="1"/>
        <v>0</v>
      </c>
      <c r="J492" s="3">
        <f ca="1"/>
        <v>0</v>
      </c>
      <c r="K492" s="3">
        <f ca="1"/>
        <v>0</v>
      </c>
      <c r="M492" s="3">
        <f ca="1"/>
        <v>0</v>
      </c>
      <c r="N492" s="3">
        <f ca="1"/>
        <v>0</v>
      </c>
      <c r="O492" s="3">
        <f ca="1"/>
        <v>0</v>
      </c>
    </row>
    <row r="493" spans="2:15" ht="13">
      <c r="B493" s="3"/>
      <c r="C493" s="3"/>
      <c r="D493" s="3"/>
      <c r="E493" s="3"/>
      <c r="F493" s="3"/>
      <c r="G493" s="3"/>
      <c r="I493" s="3">
        <f ca="1"/>
        <v>0</v>
      </c>
      <c r="J493" s="3">
        <f ca="1"/>
        <v>0</v>
      </c>
      <c r="K493" s="3">
        <f ca="1"/>
        <v>0</v>
      </c>
      <c r="M493" s="3">
        <f ca="1"/>
        <v>0</v>
      </c>
      <c r="N493" s="3">
        <f ca="1"/>
        <v>0</v>
      </c>
      <c r="O493" s="3">
        <f ca="1"/>
        <v>0</v>
      </c>
    </row>
    <row r="494" spans="2:15" ht="13">
      <c r="B494" s="3"/>
      <c r="C494" s="3"/>
      <c r="D494" s="3"/>
      <c r="E494" s="3"/>
      <c r="F494" s="3"/>
      <c r="G494" s="3"/>
      <c r="I494" s="3">
        <f ca="1"/>
        <v>0</v>
      </c>
      <c r="J494" s="3">
        <f ca="1"/>
        <v>0</v>
      </c>
      <c r="K494" s="3">
        <f ca="1"/>
        <v>0</v>
      </c>
      <c r="M494" s="3">
        <f ca="1"/>
        <v>0</v>
      </c>
      <c r="N494" s="3">
        <f ca="1"/>
        <v>0</v>
      </c>
      <c r="O494" s="3">
        <f ca="1"/>
        <v>0</v>
      </c>
    </row>
    <row r="495" spans="2:15" ht="13">
      <c r="B495" s="3"/>
      <c r="C495" s="3"/>
      <c r="D495" s="3"/>
      <c r="E495" s="3"/>
      <c r="F495" s="3"/>
      <c r="G495" s="3"/>
      <c r="I495" s="3">
        <f ca="1"/>
        <v>0</v>
      </c>
      <c r="J495" s="3">
        <f ca="1"/>
        <v>0</v>
      </c>
      <c r="K495" s="3">
        <f ca="1"/>
        <v>0</v>
      </c>
      <c r="M495" s="3">
        <f ca="1"/>
        <v>0</v>
      </c>
      <c r="N495" s="3">
        <f ca="1"/>
        <v>0</v>
      </c>
      <c r="O495" s="3">
        <f ca="1"/>
        <v>0</v>
      </c>
    </row>
    <row r="496" spans="2:15" ht="13">
      <c r="B496" s="3"/>
      <c r="C496" s="3"/>
      <c r="D496" s="3"/>
      <c r="E496" s="3"/>
      <c r="F496" s="3"/>
      <c r="G496" s="3"/>
      <c r="I496" s="3">
        <f ca="1"/>
        <v>0</v>
      </c>
      <c r="J496" s="3">
        <f ca="1"/>
        <v>0</v>
      </c>
      <c r="K496" s="3">
        <f ca="1"/>
        <v>0</v>
      </c>
      <c r="M496" s="3">
        <f ca="1"/>
        <v>0</v>
      </c>
      <c r="N496" s="3">
        <f ca="1"/>
        <v>0</v>
      </c>
      <c r="O496" s="3">
        <f ca="1"/>
        <v>0</v>
      </c>
    </row>
    <row r="497" spans="2:15" ht="13">
      <c r="B497" s="3"/>
      <c r="C497" s="3"/>
      <c r="D497" s="3"/>
      <c r="E497" s="3"/>
      <c r="F497" s="3"/>
      <c r="G497" s="3"/>
      <c r="I497" s="3">
        <f ca="1"/>
        <v>0</v>
      </c>
      <c r="J497" s="3">
        <f ca="1"/>
        <v>0</v>
      </c>
      <c r="K497" s="3">
        <f ca="1"/>
        <v>0</v>
      </c>
      <c r="M497" s="3">
        <f ca="1"/>
        <v>0</v>
      </c>
      <c r="N497" s="3">
        <f ca="1"/>
        <v>0</v>
      </c>
      <c r="O497" s="3">
        <f ca="1"/>
        <v>0</v>
      </c>
    </row>
    <row r="498" spans="2:15" ht="13">
      <c r="B498" s="3"/>
      <c r="C498" s="3"/>
      <c r="D498" s="3"/>
      <c r="E498" s="3"/>
      <c r="F498" s="3"/>
      <c r="G498" s="3"/>
      <c r="I498" s="3">
        <f ca="1"/>
        <v>0</v>
      </c>
      <c r="J498" s="3">
        <f ca="1"/>
        <v>0</v>
      </c>
      <c r="K498" s="3">
        <f ca="1"/>
        <v>0</v>
      </c>
      <c r="M498" s="3">
        <f ca="1"/>
        <v>0</v>
      </c>
      <c r="N498" s="3">
        <f ca="1"/>
        <v>0</v>
      </c>
      <c r="O498" s="3">
        <f ca="1"/>
        <v>0</v>
      </c>
    </row>
    <row r="499" spans="2:15" ht="13">
      <c r="B499" s="3"/>
      <c r="C499" s="3"/>
      <c r="D499" s="3"/>
      <c r="E499" s="3"/>
      <c r="F499" s="3"/>
      <c r="G499" s="3"/>
      <c r="I499" s="3">
        <f ca="1"/>
        <v>0</v>
      </c>
      <c r="J499" s="3">
        <f ca="1"/>
        <v>0</v>
      </c>
      <c r="K499" s="3">
        <f ca="1"/>
        <v>0</v>
      </c>
      <c r="M499" s="3">
        <f ca="1"/>
        <v>0</v>
      </c>
      <c r="N499" s="3">
        <f ca="1"/>
        <v>0</v>
      </c>
      <c r="O499" s="3">
        <f ca="1"/>
        <v>0</v>
      </c>
    </row>
    <row r="500" spans="2:15" ht="13">
      <c r="B500" s="3"/>
      <c r="C500" s="3"/>
      <c r="D500" s="3"/>
      <c r="E500" s="3"/>
      <c r="F500" s="3"/>
      <c r="G500" s="3"/>
      <c r="I500" s="3">
        <f ca="1"/>
        <v>0</v>
      </c>
      <c r="J500" s="3">
        <f ca="1"/>
        <v>0</v>
      </c>
      <c r="K500" s="3">
        <f ca="1"/>
        <v>0</v>
      </c>
      <c r="M500" s="3">
        <f ca="1"/>
        <v>0</v>
      </c>
      <c r="N500" s="3">
        <f ca="1"/>
        <v>0</v>
      </c>
      <c r="O500" s="3">
        <f ca="1"/>
        <v>0</v>
      </c>
    </row>
    <row r="501" spans="2:15" ht="13">
      <c r="B501" s="3"/>
      <c r="C501" s="3"/>
      <c r="D501" s="3"/>
      <c r="E501" s="3"/>
      <c r="F501" s="3"/>
      <c r="G501" s="3"/>
      <c r="I501" s="3">
        <f ca="1"/>
        <v>0</v>
      </c>
      <c r="J501" s="3">
        <f ca="1"/>
        <v>0</v>
      </c>
      <c r="K501" s="3">
        <f ca="1"/>
        <v>0</v>
      </c>
      <c r="M501" s="3">
        <f ca="1"/>
        <v>0</v>
      </c>
      <c r="N501" s="3">
        <f ca="1"/>
        <v>0</v>
      </c>
      <c r="O501" s="3">
        <f ca="1"/>
        <v>0</v>
      </c>
    </row>
    <row r="502" spans="2:15" ht="13">
      <c r="B502" s="3"/>
      <c r="C502" s="3"/>
      <c r="D502" s="3"/>
      <c r="E502" s="3"/>
      <c r="F502" s="3"/>
      <c r="G502" s="3"/>
      <c r="I502" s="3">
        <f ca="1"/>
        <v>0</v>
      </c>
      <c r="J502" s="3">
        <f ca="1"/>
        <v>0</v>
      </c>
      <c r="K502" s="3">
        <f ca="1"/>
        <v>0</v>
      </c>
      <c r="M502" s="3">
        <f ca="1"/>
        <v>0</v>
      </c>
      <c r="N502" s="3">
        <f ca="1"/>
        <v>0</v>
      </c>
      <c r="O502" s="3">
        <f ca="1"/>
        <v>0</v>
      </c>
    </row>
    <row r="503" spans="2:15" ht="13">
      <c r="B503" s="3"/>
      <c r="C503" s="3"/>
      <c r="D503" s="3"/>
      <c r="E503" s="3"/>
      <c r="F503" s="3"/>
      <c r="G503" s="3"/>
      <c r="I503" s="3">
        <f ca="1"/>
        <v>0</v>
      </c>
      <c r="J503" s="3">
        <f ca="1"/>
        <v>0</v>
      </c>
      <c r="K503" s="3">
        <f ca="1"/>
        <v>0</v>
      </c>
      <c r="M503" s="3">
        <f ca="1"/>
        <v>0</v>
      </c>
      <c r="N503" s="3">
        <f ca="1"/>
        <v>0</v>
      </c>
      <c r="O503" s="3">
        <f ca="1"/>
        <v>0</v>
      </c>
    </row>
    <row r="504" spans="2:15" ht="13">
      <c r="B504" s="3"/>
      <c r="C504" s="3"/>
      <c r="D504" s="3"/>
      <c r="E504" s="3"/>
      <c r="F504" s="3"/>
      <c r="G504" s="3"/>
      <c r="I504" s="3">
        <f ca="1"/>
        <v>0</v>
      </c>
      <c r="J504" s="3">
        <f ca="1"/>
        <v>0</v>
      </c>
      <c r="K504" s="3">
        <f ca="1"/>
        <v>0</v>
      </c>
      <c r="M504" s="3">
        <f ca="1"/>
        <v>0</v>
      </c>
      <c r="N504" s="3">
        <f ca="1"/>
        <v>0</v>
      </c>
      <c r="O504" s="3">
        <f ca="1"/>
        <v>0</v>
      </c>
    </row>
    <row r="505" spans="2:15" ht="13">
      <c r="B505" s="3"/>
      <c r="C505" s="3"/>
      <c r="D505" s="3"/>
      <c r="E505" s="3"/>
      <c r="F505" s="3"/>
      <c r="G505" s="3"/>
      <c r="I505" s="3">
        <f ca="1"/>
        <v>0</v>
      </c>
      <c r="J505" s="3">
        <f ca="1"/>
        <v>0</v>
      </c>
      <c r="K505" s="3">
        <f ca="1"/>
        <v>0</v>
      </c>
      <c r="M505" s="3">
        <f ca="1"/>
        <v>0</v>
      </c>
      <c r="N505" s="3">
        <f ca="1"/>
        <v>0</v>
      </c>
      <c r="O505" s="3">
        <f ca="1"/>
        <v>0</v>
      </c>
    </row>
    <row r="506" spans="2:15" ht="13">
      <c r="B506" s="3"/>
      <c r="C506" s="3"/>
      <c r="D506" s="3"/>
      <c r="E506" s="3"/>
      <c r="F506" s="3"/>
      <c r="G506" s="3"/>
      <c r="I506" s="3">
        <f ca="1"/>
        <v>0</v>
      </c>
      <c r="J506" s="3">
        <f ca="1"/>
        <v>0</v>
      </c>
      <c r="K506" s="3">
        <f ca="1"/>
        <v>0</v>
      </c>
      <c r="M506" s="3">
        <f ca="1"/>
        <v>0</v>
      </c>
      <c r="N506" s="3">
        <f ca="1"/>
        <v>0</v>
      </c>
      <c r="O506" s="3">
        <f ca="1"/>
        <v>0</v>
      </c>
    </row>
    <row r="507" spans="2:15" ht="13">
      <c r="B507" s="3"/>
      <c r="C507" s="3"/>
      <c r="D507" s="3"/>
      <c r="E507" s="3"/>
      <c r="F507" s="3"/>
      <c r="G507" s="3"/>
      <c r="I507" s="3">
        <f ca="1"/>
        <v>0</v>
      </c>
      <c r="J507" s="3">
        <f ca="1"/>
        <v>0</v>
      </c>
      <c r="K507" s="3">
        <f ca="1"/>
        <v>0</v>
      </c>
      <c r="M507" s="3">
        <f ca="1"/>
        <v>0</v>
      </c>
      <c r="N507" s="3">
        <f ca="1"/>
        <v>0</v>
      </c>
      <c r="O507" s="3">
        <f ca="1"/>
        <v>0</v>
      </c>
    </row>
    <row r="508" spans="2:15" ht="13">
      <c r="B508" s="3"/>
      <c r="C508" s="3"/>
      <c r="D508" s="3"/>
      <c r="E508" s="3"/>
      <c r="F508" s="3"/>
      <c r="G508" s="3"/>
      <c r="I508" s="3">
        <f ca="1"/>
        <v>0</v>
      </c>
      <c r="J508" s="3">
        <f ca="1"/>
        <v>0</v>
      </c>
      <c r="K508" s="3">
        <f ca="1"/>
        <v>0</v>
      </c>
      <c r="M508" s="3">
        <f ca="1"/>
        <v>0</v>
      </c>
      <c r="N508" s="3">
        <f ca="1"/>
        <v>0</v>
      </c>
      <c r="O508" s="3">
        <f ca="1"/>
        <v>0</v>
      </c>
    </row>
    <row r="509" spans="2:15" ht="13">
      <c r="B509" s="3"/>
      <c r="C509" s="3"/>
      <c r="D509" s="3"/>
      <c r="E509" s="3"/>
      <c r="F509" s="3"/>
      <c r="G509" s="3"/>
      <c r="I509" s="3">
        <f ca="1"/>
        <v>0</v>
      </c>
      <c r="J509" s="3">
        <f ca="1"/>
        <v>0</v>
      </c>
      <c r="K509" s="3">
        <f ca="1"/>
        <v>0</v>
      </c>
      <c r="M509" s="3">
        <f ca="1"/>
        <v>0</v>
      </c>
      <c r="N509" s="3">
        <f ca="1"/>
        <v>0</v>
      </c>
      <c r="O509" s="3">
        <f ca="1"/>
        <v>0</v>
      </c>
    </row>
    <row r="510" spans="2:15" ht="13">
      <c r="B510" s="3"/>
      <c r="C510" s="3"/>
      <c r="D510" s="3"/>
      <c r="E510" s="3"/>
      <c r="F510" s="3"/>
      <c r="G510" s="3"/>
      <c r="I510" s="3">
        <f ca="1"/>
        <v>0</v>
      </c>
      <c r="J510" s="3">
        <f ca="1"/>
        <v>0</v>
      </c>
      <c r="K510" s="3">
        <f ca="1"/>
        <v>0</v>
      </c>
      <c r="M510" s="3">
        <f ca="1"/>
        <v>0</v>
      </c>
      <c r="N510" s="3">
        <f ca="1"/>
        <v>0</v>
      </c>
      <c r="O510" s="3">
        <f ca="1"/>
        <v>0</v>
      </c>
    </row>
    <row r="511" spans="2:15" ht="13">
      <c r="B511" s="3"/>
      <c r="C511" s="3"/>
      <c r="D511" s="3"/>
      <c r="E511" s="3"/>
      <c r="F511" s="3"/>
      <c r="G511" s="3"/>
      <c r="I511" s="3">
        <f ca="1"/>
        <v>0</v>
      </c>
      <c r="J511" s="3">
        <f ca="1"/>
        <v>0</v>
      </c>
      <c r="K511" s="3">
        <f ca="1"/>
        <v>0</v>
      </c>
      <c r="M511" s="3">
        <f ca="1"/>
        <v>0</v>
      </c>
      <c r="N511" s="3">
        <f ca="1"/>
        <v>0</v>
      </c>
      <c r="O511" s="3">
        <f ca="1"/>
        <v>0</v>
      </c>
    </row>
    <row r="512" spans="2:15" ht="13">
      <c r="B512" s="3"/>
      <c r="C512" s="3"/>
      <c r="D512" s="3"/>
      <c r="E512" s="3"/>
      <c r="F512" s="3"/>
      <c r="G512" s="3"/>
      <c r="I512" s="3">
        <f ca="1"/>
        <v>0</v>
      </c>
      <c r="J512" s="3">
        <f ca="1"/>
        <v>0</v>
      </c>
      <c r="K512" s="3">
        <f ca="1"/>
        <v>0</v>
      </c>
      <c r="M512" s="3">
        <f ca="1"/>
        <v>0</v>
      </c>
      <c r="N512" s="3">
        <f ca="1"/>
        <v>0</v>
      </c>
      <c r="O512" s="3">
        <f ca="1"/>
        <v>0</v>
      </c>
    </row>
    <row r="513" spans="2:15" ht="13">
      <c r="B513" s="3"/>
      <c r="C513" s="3"/>
      <c r="D513" s="3"/>
      <c r="E513" s="3"/>
      <c r="F513" s="3"/>
      <c r="G513" s="3"/>
      <c r="I513" s="3">
        <f ca="1"/>
        <v>0</v>
      </c>
      <c r="J513" s="3">
        <f ca="1"/>
        <v>0</v>
      </c>
      <c r="K513" s="3">
        <f ca="1"/>
        <v>0</v>
      </c>
      <c r="M513" s="3">
        <f ca="1"/>
        <v>0</v>
      </c>
      <c r="N513" s="3">
        <f ca="1"/>
        <v>0</v>
      </c>
      <c r="O513" s="3">
        <f ca="1"/>
        <v>0</v>
      </c>
    </row>
    <row r="514" spans="2:15" ht="13">
      <c r="B514" s="3"/>
      <c r="C514" s="3"/>
      <c r="D514" s="3"/>
      <c r="E514" s="3"/>
      <c r="F514" s="3"/>
      <c r="G514" s="3"/>
      <c r="I514" s="3">
        <f ca="1"/>
        <v>0</v>
      </c>
      <c r="J514" s="3">
        <f ca="1"/>
        <v>0</v>
      </c>
      <c r="K514" s="3">
        <f ca="1"/>
        <v>0</v>
      </c>
      <c r="M514" s="3">
        <f ca="1"/>
        <v>0</v>
      </c>
      <c r="N514" s="3">
        <f ca="1"/>
        <v>0</v>
      </c>
      <c r="O514" s="3">
        <f ca="1"/>
        <v>0</v>
      </c>
    </row>
    <row r="515" spans="2:15" ht="13">
      <c r="B515" s="3"/>
      <c r="C515" s="3"/>
      <c r="D515" s="3"/>
      <c r="E515" s="3"/>
      <c r="F515" s="3"/>
      <c r="G515" s="3"/>
      <c r="I515" s="3">
        <f ca="1"/>
        <v>0</v>
      </c>
      <c r="J515" s="3">
        <f ca="1"/>
        <v>0</v>
      </c>
      <c r="K515" s="3">
        <f ca="1"/>
        <v>0</v>
      </c>
      <c r="M515" s="3">
        <f ca="1"/>
        <v>0</v>
      </c>
      <c r="N515" s="3">
        <f ca="1"/>
        <v>0</v>
      </c>
      <c r="O515" s="3">
        <f ca="1"/>
        <v>0</v>
      </c>
    </row>
    <row r="516" spans="2:15" ht="13">
      <c r="B516" s="3"/>
      <c r="C516" s="3"/>
      <c r="D516" s="3"/>
      <c r="E516" s="3"/>
      <c r="F516" s="3"/>
      <c r="G516" s="3"/>
      <c r="I516" s="3">
        <f ca="1"/>
        <v>0</v>
      </c>
      <c r="J516" s="3">
        <f ca="1"/>
        <v>0</v>
      </c>
      <c r="K516" s="3">
        <f ca="1"/>
        <v>0</v>
      </c>
      <c r="M516" s="3">
        <f ca="1"/>
        <v>0</v>
      </c>
      <c r="N516" s="3">
        <f ca="1"/>
        <v>0</v>
      </c>
      <c r="O516" s="3">
        <f ca="1"/>
        <v>0</v>
      </c>
    </row>
    <row r="517" spans="2:15" ht="13">
      <c r="B517" s="3"/>
      <c r="C517" s="3"/>
      <c r="D517" s="3"/>
      <c r="E517" s="3"/>
      <c r="F517" s="3"/>
      <c r="G517" s="3"/>
      <c r="I517" s="3">
        <f ca="1"/>
        <v>0</v>
      </c>
      <c r="J517" s="3">
        <f ca="1"/>
        <v>0</v>
      </c>
      <c r="K517" s="3">
        <f ca="1"/>
        <v>0</v>
      </c>
      <c r="M517" s="3">
        <f ca="1"/>
        <v>0</v>
      </c>
      <c r="N517" s="3">
        <f ca="1"/>
        <v>0</v>
      </c>
      <c r="O517" s="3">
        <f ca="1"/>
        <v>0</v>
      </c>
    </row>
    <row r="518" spans="2:15" ht="13">
      <c r="B518" s="3"/>
      <c r="C518" s="3"/>
      <c r="D518" s="3"/>
      <c r="E518" s="3"/>
      <c r="F518" s="3"/>
      <c r="G518" s="3"/>
      <c r="I518" s="3">
        <f ca="1"/>
        <v>0</v>
      </c>
      <c r="J518" s="3">
        <f ca="1"/>
        <v>0</v>
      </c>
      <c r="K518" s="3">
        <f ca="1"/>
        <v>0</v>
      </c>
      <c r="M518" s="3">
        <f ca="1"/>
        <v>0</v>
      </c>
      <c r="N518" s="3">
        <f ca="1"/>
        <v>0</v>
      </c>
      <c r="O518" s="3">
        <f ca="1"/>
        <v>0</v>
      </c>
    </row>
    <row r="519" spans="2:15" ht="13">
      <c r="B519" s="3"/>
      <c r="C519" s="3"/>
      <c r="D519" s="3"/>
      <c r="E519" s="3"/>
      <c r="F519" s="3"/>
      <c r="G519" s="3"/>
      <c r="I519" s="3">
        <f ca="1"/>
        <v>0</v>
      </c>
      <c r="J519" s="3">
        <f ca="1"/>
        <v>0</v>
      </c>
      <c r="K519" s="3">
        <f ca="1"/>
        <v>0</v>
      </c>
      <c r="M519" s="3">
        <f ca="1"/>
        <v>0</v>
      </c>
      <c r="N519" s="3">
        <f ca="1"/>
        <v>0</v>
      </c>
      <c r="O519" s="3">
        <f ca="1"/>
        <v>0</v>
      </c>
    </row>
    <row r="520" spans="2:15" ht="13">
      <c r="B520" s="3"/>
      <c r="C520" s="3"/>
      <c r="D520" s="3"/>
      <c r="E520" s="3"/>
      <c r="F520" s="3"/>
      <c r="G520" s="3"/>
      <c r="I520" s="3">
        <f ca="1"/>
        <v>0</v>
      </c>
      <c r="J520" s="3">
        <f ca="1"/>
        <v>0</v>
      </c>
      <c r="K520" s="3">
        <f ca="1"/>
        <v>0</v>
      </c>
      <c r="M520" s="3">
        <f ca="1"/>
        <v>0</v>
      </c>
      <c r="N520" s="3">
        <f ca="1"/>
        <v>0</v>
      </c>
      <c r="O520" s="3">
        <f ca="1"/>
        <v>0</v>
      </c>
    </row>
    <row r="521" spans="2:15" ht="13">
      <c r="B521" s="3"/>
      <c r="C521" s="3"/>
      <c r="D521" s="3"/>
      <c r="E521" s="3"/>
      <c r="F521" s="3"/>
      <c r="G521" s="3"/>
      <c r="I521" s="3">
        <f ca="1"/>
        <v>0</v>
      </c>
      <c r="J521" s="3">
        <f ca="1"/>
        <v>0</v>
      </c>
      <c r="K521" s="3">
        <f ca="1"/>
        <v>0</v>
      </c>
      <c r="M521" s="3">
        <f ca="1"/>
        <v>0</v>
      </c>
      <c r="N521" s="3">
        <f ca="1"/>
        <v>0</v>
      </c>
      <c r="O521" s="3">
        <f ca="1"/>
        <v>0</v>
      </c>
    </row>
    <row r="522" spans="2:15" ht="13">
      <c r="B522" s="3"/>
      <c r="C522" s="3"/>
      <c r="D522" s="3"/>
      <c r="E522" s="3"/>
      <c r="F522" s="3"/>
      <c r="G522" s="3"/>
      <c r="I522" s="3">
        <f ca="1"/>
        <v>0</v>
      </c>
      <c r="J522" s="3">
        <f ca="1"/>
        <v>0</v>
      </c>
      <c r="K522" s="3">
        <f ca="1"/>
        <v>0</v>
      </c>
      <c r="M522" s="3">
        <f ca="1"/>
        <v>0</v>
      </c>
      <c r="N522" s="3">
        <f ca="1"/>
        <v>0</v>
      </c>
      <c r="O522" s="3">
        <f ca="1"/>
        <v>0</v>
      </c>
    </row>
    <row r="523" spans="2:15" ht="13">
      <c r="B523" s="3"/>
      <c r="C523" s="3"/>
      <c r="D523" s="3"/>
      <c r="E523" s="3"/>
      <c r="F523" s="3"/>
      <c r="G523" s="3"/>
      <c r="I523" s="3">
        <f ca="1"/>
        <v>0</v>
      </c>
      <c r="J523" s="3">
        <f ca="1"/>
        <v>0</v>
      </c>
      <c r="K523" s="3">
        <f ca="1"/>
        <v>0</v>
      </c>
      <c r="M523" s="3">
        <f ca="1"/>
        <v>0</v>
      </c>
      <c r="N523" s="3">
        <f ca="1"/>
        <v>0</v>
      </c>
      <c r="O523" s="3">
        <f ca="1"/>
        <v>0</v>
      </c>
    </row>
    <row r="524" spans="2:15" ht="13">
      <c r="B524" s="3"/>
      <c r="C524" s="3"/>
      <c r="D524" s="3"/>
      <c r="E524" s="3"/>
      <c r="F524" s="3"/>
      <c r="G524" s="3"/>
      <c r="I524" s="3">
        <f ca="1"/>
        <v>0</v>
      </c>
      <c r="J524" s="3">
        <f ca="1"/>
        <v>0</v>
      </c>
      <c r="K524" s="3">
        <f ca="1"/>
        <v>0</v>
      </c>
      <c r="M524" s="3">
        <f ca="1"/>
        <v>0</v>
      </c>
      <c r="N524" s="3">
        <f ca="1"/>
        <v>0</v>
      </c>
      <c r="O524" s="3">
        <f ca="1"/>
        <v>0</v>
      </c>
    </row>
    <row r="525" spans="2:15" ht="13">
      <c r="B525" s="3"/>
      <c r="C525" s="3"/>
      <c r="D525" s="3"/>
      <c r="E525" s="3"/>
      <c r="F525" s="3"/>
      <c r="G525" s="3"/>
      <c r="I525" s="3">
        <f ca="1"/>
        <v>0</v>
      </c>
      <c r="J525" s="3">
        <f ca="1"/>
        <v>0</v>
      </c>
      <c r="K525" s="3">
        <f ca="1"/>
        <v>0</v>
      </c>
      <c r="M525" s="3">
        <f ca="1"/>
        <v>0</v>
      </c>
      <c r="N525" s="3">
        <f ca="1"/>
        <v>0</v>
      </c>
      <c r="O525" s="3">
        <f ca="1"/>
        <v>0</v>
      </c>
    </row>
    <row r="526" spans="2:15" ht="13">
      <c r="B526" s="3"/>
      <c r="C526" s="3"/>
      <c r="D526" s="3"/>
      <c r="E526" s="3"/>
      <c r="F526" s="3"/>
      <c r="G526" s="3"/>
      <c r="I526" s="3">
        <f ca="1"/>
        <v>0</v>
      </c>
      <c r="J526" s="3">
        <f ca="1"/>
        <v>0</v>
      </c>
      <c r="K526" s="3">
        <f ca="1"/>
        <v>0</v>
      </c>
      <c r="M526" s="3">
        <f ca="1"/>
        <v>0</v>
      </c>
      <c r="N526" s="3">
        <f ca="1"/>
        <v>0</v>
      </c>
      <c r="O526" s="3">
        <f ca="1"/>
        <v>0</v>
      </c>
    </row>
    <row r="527" spans="2:15" ht="13">
      <c r="B527" s="3"/>
      <c r="C527" s="3"/>
      <c r="D527" s="3"/>
      <c r="E527" s="3"/>
      <c r="F527" s="3"/>
      <c r="G527" s="3"/>
      <c r="I527" s="3">
        <f ca="1"/>
        <v>0</v>
      </c>
      <c r="J527" s="3">
        <f ca="1"/>
        <v>0</v>
      </c>
      <c r="K527" s="3">
        <f ca="1"/>
        <v>0</v>
      </c>
      <c r="M527" s="3">
        <f ca="1"/>
        <v>0</v>
      </c>
      <c r="N527" s="3">
        <f ca="1"/>
        <v>0</v>
      </c>
      <c r="O527" s="3">
        <f ca="1"/>
        <v>0</v>
      </c>
    </row>
    <row r="528" spans="2:15" ht="13">
      <c r="B528" s="3"/>
      <c r="C528" s="3"/>
      <c r="D528" s="3"/>
      <c r="E528" s="3"/>
      <c r="F528" s="3"/>
      <c r="G528" s="3"/>
      <c r="I528" s="3">
        <f ca="1"/>
        <v>0</v>
      </c>
      <c r="J528" s="3">
        <f ca="1"/>
        <v>0</v>
      </c>
      <c r="K528" s="3">
        <f ca="1"/>
        <v>0</v>
      </c>
      <c r="M528" s="3">
        <f ca="1"/>
        <v>0</v>
      </c>
      <c r="N528" s="3">
        <f ca="1"/>
        <v>0</v>
      </c>
      <c r="O528" s="3">
        <f ca="1"/>
        <v>0</v>
      </c>
    </row>
    <row r="529" spans="2:15" ht="13">
      <c r="B529" s="3"/>
      <c r="C529" s="3"/>
      <c r="D529" s="3"/>
      <c r="E529" s="3"/>
      <c r="F529" s="3"/>
      <c r="G529" s="3"/>
      <c r="I529" s="3">
        <f ca="1"/>
        <v>0</v>
      </c>
      <c r="J529" s="3">
        <f ca="1"/>
        <v>0</v>
      </c>
      <c r="K529" s="3">
        <f ca="1"/>
        <v>0</v>
      </c>
      <c r="M529" s="3">
        <f ca="1"/>
        <v>0</v>
      </c>
      <c r="N529" s="3">
        <f ca="1"/>
        <v>0</v>
      </c>
      <c r="O529" s="3">
        <f ca="1"/>
        <v>0</v>
      </c>
    </row>
    <row r="530" spans="2:15" ht="13">
      <c r="B530" s="3"/>
      <c r="C530" s="3"/>
      <c r="D530" s="3"/>
      <c r="E530" s="3"/>
      <c r="F530" s="3"/>
      <c r="G530" s="3"/>
      <c r="I530" s="3">
        <f ca="1"/>
        <v>0</v>
      </c>
      <c r="J530" s="3">
        <f ca="1"/>
        <v>0</v>
      </c>
      <c r="K530" s="3">
        <f ca="1"/>
        <v>0</v>
      </c>
      <c r="M530" s="3">
        <f ca="1"/>
        <v>0</v>
      </c>
      <c r="N530" s="3">
        <f ca="1"/>
        <v>0</v>
      </c>
      <c r="O530" s="3">
        <f ca="1"/>
        <v>0</v>
      </c>
    </row>
    <row r="531" spans="2:15" ht="13">
      <c r="B531" s="3"/>
      <c r="C531" s="3"/>
      <c r="D531" s="3"/>
      <c r="E531" s="3"/>
      <c r="F531" s="3"/>
      <c r="G531" s="3"/>
      <c r="I531" s="3">
        <f ca="1"/>
        <v>0</v>
      </c>
      <c r="J531" s="3">
        <f ca="1"/>
        <v>0</v>
      </c>
      <c r="K531" s="3">
        <f ca="1"/>
        <v>0</v>
      </c>
      <c r="M531" s="3">
        <f ca="1"/>
        <v>0</v>
      </c>
      <c r="N531" s="3">
        <f ca="1"/>
        <v>0</v>
      </c>
      <c r="O531" s="3">
        <f ca="1"/>
        <v>0</v>
      </c>
    </row>
    <row r="532" spans="2:15" ht="13">
      <c r="B532" s="3"/>
      <c r="C532" s="3"/>
      <c r="D532" s="3"/>
      <c r="E532" s="3"/>
      <c r="F532" s="3"/>
      <c r="G532" s="3"/>
      <c r="I532" s="3">
        <f ca="1"/>
        <v>0</v>
      </c>
      <c r="J532" s="3">
        <f ca="1"/>
        <v>0</v>
      </c>
      <c r="K532" s="3">
        <f ca="1"/>
        <v>0</v>
      </c>
      <c r="M532" s="3">
        <f ca="1"/>
        <v>0</v>
      </c>
      <c r="N532" s="3">
        <f ca="1"/>
        <v>0</v>
      </c>
      <c r="O532" s="3">
        <f ca="1"/>
        <v>0</v>
      </c>
    </row>
    <row r="533" spans="2:15" ht="13">
      <c r="B533" s="3"/>
      <c r="C533" s="3"/>
      <c r="D533" s="3"/>
      <c r="E533" s="3"/>
      <c r="F533" s="3"/>
      <c r="G533" s="3"/>
      <c r="I533" s="3">
        <f ca="1"/>
        <v>0</v>
      </c>
      <c r="J533" s="3">
        <f ca="1"/>
        <v>0</v>
      </c>
      <c r="K533" s="3">
        <f ca="1"/>
        <v>0</v>
      </c>
      <c r="M533" s="3">
        <f ca="1"/>
        <v>0</v>
      </c>
      <c r="N533" s="3">
        <f ca="1"/>
        <v>0</v>
      </c>
      <c r="O533" s="3">
        <f ca="1"/>
        <v>0</v>
      </c>
    </row>
    <row r="534" spans="2:15" ht="13">
      <c r="B534" s="3"/>
      <c r="C534" s="3"/>
      <c r="D534" s="3"/>
      <c r="E534" s="3"/>
      <c r="F534" s="3"/>
      <c r="G534" s="3"/>
      <c r="I534" s="3">
        <f ca="1"/>
        <v>0</v>
      </c>
      <c r="J534" s="3">
        <f ca="1"/>
        <v>0</v>
      </c>
      <c r="K534" s="3">
        <f ca="1"/>
        <v>0</v>
      </c>
      <c r="M534" s="3">
        <f ca="1"/>
        <v>0</v>
      </c>
      <c r="N534" s="3">
        <f ca="1"/>
        <v>0</v>
      </c>
      <c r="O534" s="3">
        <f ca="1"/>
        <v>0</v>
      </c>
    </row>
    <row r="535" spans="2:15" ht="13">
      <c r="B535" s="3"/>
      <c r="C535" s="3"/>
      <c r="D535" s="3"/>
      <c r="E535" s="3"/>
      <c r="F535" s="3"/>
      <c r="G535" s="3"/>
      <c r="I535" s="3">
        <f ca="1"/>
        <v>0</v>
      </c>
      <c r="J535" s="3">
        <f ca="1"/>
        <v>0</v>
      </c>
      <c r="K535" s="3">
        <f ca="1"/>
        <v>0</v>
      </c>
      <c r="M535" s="3">
        <f ca="1"/>
        <v>0</v>
      </c>
      <c r="N535" s="3">
        <f ca="1"/>
        <v>0</v>
      </c>
      <c r="O535" s="3">
        <f ca="1"/>
        <v>0</v>
      </c>
    </row>
    <row r="536" spans="2:15" ht="13">
      <c r="B536" s="3"/>
      <c r="C536" s="3"/>
      <c r="D536" s="3"/>
      <c r="E536" s="3"/>
      <c r="F536" s="3"/>
      <c r="G536" s="3"/>
      <c r="I536" s="3">
        <f ca="1"/>
        <v>0</v>
      </c>
      <c r="J536" s="3">
        <f ca="1"/>
        <v>0</v>
      </c>
      <c r="K536" s="3">
        <f ca="1"/>
        <v>0</v>
      </c>
      <c r="M536" s="3">
        <f ca="1"/>
        <v>0</v>
      </c>
      <c r="N536" s="3">
        <f ca="1"/>
        <v>0</v>
      </c>
      <c r="O536" s="3">
        <f ca="1"/>
        <v>0</v>
      </c>
    </row>
    <row r="537" spans="2:15" ht="13">
      <c r="B537" s="3"/>
      <c r="C537" s="3"/>
      <c r="D537" s="3"/>
      <c r="E537" s="3"/>
      <c r="F537" s="3"/>
      <c r="G537" s="3"/>
      <c r="I537" s="3">
        <f ca="1"/>
        <v>0</v>
      </c>
      <c r="J537" s="3">
        <f ca="1"/>
        <v>0</v>
      </c>
      <c r="K537" s="3">
        <f ca="1"/>
        <v>0</v>
      </c>
      <c r="M537" s="3">
        <f ca="1"/>
        <v>0</v>
      </c>
      <c r="N537" s="3">
        <f ca="1"/>
        <v>0</v>
      </c>
      <c r="O537" s="3">
        <f ca="1"/>
        <v>0</v>
      </c>
    </row>
    <row r="538" spans="2:15" ht="13">
      <c r="B538" s="3"/>
      <c r="C538" s="3"/>
      <c r="D538" s="3"/>
      <c r="E538" s="3"/>
      <c r="F538" s="3"/>
      <c r="G538" s="3"/>
      <c r="I538" s="3">
        <f ca="1"/>
        <v>0</v>
      </c>
      <c r="J538" s="3">
        <f ca="1"/>
        <v>0</v>
      </c>
      <c r="K538" s="3">
        <f ca="1"/>
        <v>0</v>
      </c>
      <c r="M538" s="3">
        <f ca="1"/>
        <v>0</v>
      </c>
      <c r="N538" s="3">
        <f ca="1"/>
        <v>0</v>
      </c>
      <c r="O538" s="3">
        <f ca="1"/>
        <v>0</v>
      </c>
    </row>
    <row r="539" spans="2:15" ht="13">
      <c r="B539" s="3"/>
      <c r="C539" s="3"/>
      <c r="D539" s="3"/>
      <c r="E539" s="3"/>
      <c r="F539" s="3"/>
      <c r="G539" s="3"/>
      <c r="I539" s="3">
        <f ca="1"/>
        <v>0</v>
      </c>
      <c r="J539" s="3">
        <f ca="1"/>
        <v>0</v>
      </c>
      <c r="K539" s="3">
        <f ca="1"/>
        <v>0</v>
      </c>
      <c r="M539" s="3">
        <f ca="1"/>
        <v>0</v>
      </c>
      <c r="N539" s="3">
        <f ca="1"/>
        <v>0</v>
      </c>
      <c r="O539" s="3">
        <f ca="1"/>
        <v>0</v>
      </c>
    </row>
    <row r="540" spans="2:15" ht="13">
      <c r="B540" s="3"/>
      <c r="C540" s="3"/>
      <c r="D540" s="3"/>
      <c r="E540" s="3"/>
      <c r="F540" s="3"/>
      <c r="G540" s="3"/>
      <c r="I540" s="3">
        <f ca="1"/>
        <v>0</v>
      </c>
      <c r="J540" s="3">
        <f ca="1"/>
        <v>0</v>
      </c>
      <c r="K540" s="3">
        <f ca="1"/>
        <v>0</v>
      </c>
      <c r="M540" s="3">
        <f ca="1"/>
        <v>0</v>
      </c>
      <c r="N540" s="3">
        <f ca="1"/>
        <v>0</v>
      </c>
      <c r="O540" s="3">
        <f ca="1"/>
        <v>0</v>
      </c>
    </row>
    <row r="541" spans="2:15" ht="13">
      <c r="B541" s="3"/>
      <c r="C541" s="3"/>
      <c r="D541" s="3"/>
      <c r="E541" s="3"/>
      <c r="F541" s="3"/>
      <c r="G541" s="3"/>
      <c r="I541" s="3">
        <f ca="1"/>
        <v>0</v>
      </c>
      <c r="J541" s="3">
        <f ca="1"/>
        <v>0</v>
      </c>
      <c r="K541" s="3">
        <f ca="1"/>
        <v>0</v>
      </c>
      <c r="M541" s="3">
        <f ca="1"/>
        <v>0</v>
      </c>
      <c r="N541" s="3">
        <f ca="1"/>
        <v>0</v>
      </c>
      <c r="O541" s="3">
        <f ca="1"/>
        <v>0</v>
      </c>
    </row>
    <row r="542" spans="2:15" ht="13">
      <c r="B542" s="3"/>
      <c r="C542" s="3"/>
      <c r="D542" s="3"/>
      <c r="E542" s="3"/>
      <c r="F542" s="3"/>
      <c r="G542" s="3"/>
      <c r="I542" s="3">
        <f ca="1"/>
        <v>0</v>
      </c>
      <c r="J542" s="3">
        <f ca="1"/>
        <v>0</v>
      </c>
      <c r="K542" s="3">
        <f ca="1"/>
        <v>0</v>
      </c>
      <c r="M542" s="3">
        <f ca="1"/>
        <v>0</v>
      </c>
      <c r="N542" s="3">
        <f ca="1"/>
        <v>0</v>
      </c>
      <c r="O542" s="3">
        <f ca="1"/>
        <v>0</v>
      </c>
    </row>
    <row r="543" spans="2:15" ht="13">
      <c r="B543" s="3"/>
      <c r="C543" s="3"/>
      <c r="D543" s="3"/>
      <c r="E543" s="3"/>
      <c r="F543" s="3"/>
      <c r="G543" s="3"/>
      <c r="I543" s="3">
        <f ca="1"/>
        <v>0</v>
      </c>
      <c r="J543" s="3">
        <f ca="1"/>
        <v>0</v>
      </c>
      <c r="K543" s="3">
        <f ca="1"/>
        <v>0</v>
      </c>
      <c r="M543" s="3">
        <f ca="1"/>
        <v>0</v>
      </c>
      <c r="N543" s="3">
        <f ca="1"/>
        <v>0</v>
      </c>
      <c r="O543" s="3">
        <f ca="1"/>
        <v>0</v>
      </c>
    </row>
    <row r="544" spans="2:15" ht="13">
      <c r="B544" s="3"/>
      <c r="C544" s="3"/>
      <c r="D544" s="3"/>
      <c r="E544" s="3"/>
      <c r="F544" s="3"/>
      <c r="G544" s="3"/>
      <c r="I544" s="3">
        <f ca="1"/>
        <v>0</v>
      </c>
      <c r="J544" s="3">
        <f ca="1"/>
        <v>0</v>
      </c>
      <c r="K544" s="3">
        <f ca="1"/>
        <v>0</v>
      </c>
      <c r="M544" s="3">
        <f ca="1"/>
        <v>0</v>
      </c>
      <c r="N544" s="3">
        <f ca="1"/>
        <v>0</v>
      </c>
      <c r="O544" s="3">
        <f ca="1"/>
        <v>0</v>
      </c>
    </row>
    <row r="545" spans="2:15" ht="13">
      <c r="B545" s="3"/>
      <c r="C545" s="3"/>
      <c r="D545" s="3"/>
      <c r="E545" s="3"/>
      <c r="F545" s="3"/>
      <c r="G545" s="3"/>
      <c r="I545" s="3">
        <f ca="1"/>
        <v>0</v>
      </c>
      <c r="J545" s="3">
        <f ca="1"/>
        <v>0</v>
      </c>
      <c r="K545" s="3">
        <f ca="1"/>
        <v>0</v>
      </c>
      <c r="M545" s="3">
        <f ca="1"/>
        <v>0</v>
      </c>
      <c r="N545" s="3">
        <f ca="1"/>
        <v>0</v>
      </c>
      <c r="O545" s="3">
        <f ca="1"/>
        <v>0</v>
      </c>
    </row>
    <row r="546" spans="2:15" ht="13">
      <c r="B546" s="3"/>
      <c r="C546" s="3"/>
      <c r="D546" s="3"/>
      <c r="E546" s="3"/>
      <c r="F546" s="3"/>
      <c r="G546" s="3"/>
      <c r="I546" s="3">
        <f ca="1"/>
        <v>0</v>
      </c>
      <c r="J546" s="3">
        <f ca="1"/>
        <v>0</v>
      </c>
      <c r="K546" s="3">
        <f ca="1"/>
        <v>0</v>
      </c>
      <c r="M546" s="3">
        <f ca="1"/>
        <v>0</v>
      </c>
      <c r="N546" s="3">
        <f ca="1"/>
        <v>0</v>
      </c>
      <c r="O546" s="3">
        <f ca="1"/>
        <v>0</v>
      </c>
    </row>
    <row r="547" spans="2:15" ht="13">
      <c r="B547" s="3"/>
      <c r="C547" s="3"/>
      <c r="D547" s="3"/>
      <c r="E547" s="3"/>
      <c r="F547" s="3"/>
      <c r="G547" s="3"/>
      <c r="I547" s="3">
        <f ca="1"/>
        <v>0</v>
      </c>
      <c r="J547" s="3">
        <f ca="1"/>
        <v>0</v>
      </c>
      <c r="K547" s="3">
        <f ca="1"/>
        <v>0</v>
      </c>
      <c r="M547" s="3">
        <f ca="1"/>
        <v>0</v>
      </c>
      <c r="N547" s="3">
        <f ca="1"/>
        <v>0</v>
      </c>
      <c r="O547" s="3">
        <f ca="1"/>
        <v>0</v>
      </c>
    </row>
    <row r="548" spans="2:15" ht="13">
      <c r="B548" s="3"/>
      <c r="C548" s="3"/>
      <c r="D548" s="3"/>
      <c r="E548" s="3"/>
      <c r="F548" s="3"/>
      <c r="G548" s="3"/>
      <c r="I548" s="3">
        <f ca="1"/>
        <v>0</v>
      </c>
      <c r="J548" s="3">
        <f ca="1"/>
        <v>0</v>
      </c>
      <c r="K548" s="3">
        <f ca="1"/>
        <v>0</v>
      </c>
      <c r="M548" s="3">
        <f ca="1"/>
        <v>0</v>
      </c>
      <c r="N548" s="3">
        <f ca="1"/>
        <v>0</v>
      </c>
      <c r="O548" s="3">
        <f ca="1"/>
        <v>0</v>
      </c>
    </row>
    <row r="549" spans="2:15" ht="13">
      <c r="B549" s="3"/>
      <c r="C549" s="3"/>
      <c r="D549" s="3"/>
      <c r="E549" s="3"/>
      <c r="F549" s="3"/>
      <c r="G549" s="3"/>
      <c r="I549" s="3">
        <f ca="1"/>
        <v>0</v>
      </c>
      <c r="J549" s="3">
        <f ca="1"/>
        <v>0</v>
      </c>
      <c r="K549" s="3">
        <f ca="1"/>
        <v>0</v>
      </c>
      <c r="M549" s="3">
        <f ca="1"/>
        <v>0</v>
      </c>
      <c r="N549" s="3">
        <f ca="1"/>
        <v>0</v>
      </c>
      <c r="O549" s="3">
        <f ca="1"/>
        <v>0</v>
      </c>
    </row>
    <row r="550" spans="2:15" ht="13">
      <c r="B550" s="3"/>
      <c r="C550" s="3"/>
      <c r="D550" s="3"/>
      <c r="E550" s="3"/>
      <c r="F550" s="3"/>
      <c r="G550" s="3"/>
      <c r="I550" s="3">
        <f ca="1"/>
        <v>0</v>
      </c>
      <c r="J550" s="3">
        <f ca="1"/>
        <v>0</v>
      </c>
      <c r="K550" s="3">
        <f ca="1"/>
        <v>0</v>
      </c>
      <c r="M550" s="3">
        <f ca="1"/>
        <v>0</v>
      </c>
      <c r="N550" s="3">
        <f ca="1"/>
        <v>0</v>
      </c>
      <c r="O550" s="3">
        <f ca="1"/>
        <v>0</v>
      </c>
    </row>
    <row r="551" spans="2:15" ht="13">
      <c r="B551" s="3"/>
      <c r="C551" s="3"/>
      <c r="D551" s="3"/>
      <c r="E551" s="3"/>
      <c r="F551" s="3"/>
      <c r="G551" s="3"/>
      <c r="I551" s="3">
        <f ca="1"/>
        <v>0</v>
      </c>
      <c r="J551" s="3">
        <f ca="1"/>
        <v>0</v>
      </c>
      <c r="K551" s="3">
        <f ca="1"/>
        <v>0</v>
      </c>
      <c r="M551" s="3">
        <f ca="1"/>
        <v>0</v>
      </c>
      <c r="N551" s="3">
        <f ca="1"/>
        <v>0</v>
      </c>
      <c r="O551" s="3">
        <f ca="1"/>
        <v>0</v>
      </c>
    </row>
    <row r="552" spans="2:15" ht="13">
      <c r="B552" s="3"/>
      <c r="C552" s="3"/>
      <c r="D552" s="3"/>
      <c r="E552" s="3"/>
      <c r="F552" s="3"/>
      <c r="G552" s="3"/>
      <c r="I552" s="3">
        <f ca="1"/>
        <v>0</v>
      </c>
      <c r="J552" s="3">
        <f ca="1"/>
        <v>0</v>
      </c>
      <c r="K552" s="3">
        <f ca="1"/>
        <v>0</v>
      </c>
      <c r="M552" s="3">
        <f ca="1"/>
        <v>0</v>
      </c>
      <c r="N552" s="3">
        <f ca="1"/>
        <v>0</v>
      </c>
      <c r="O552" s="3">
        <f ca="1"/>
        <v>0</v>
      </c>
    </row>
    <row r="553" spans="2:15" ht="13">
      <c r="B553" s="3"/>
      <c r="C553" s="3"/>
      <c r="D553" s="3"/>
      <c r="E553" s="3"/>
      <c r="F553" s="3"/>
      <c r="G553" s="3"/>
      <c r="I553" s="3">
        <f ca="1"/>
        <v>0</v>
      </c>
      <c r="J553" s="3">
        <f ca="1"/>
        <v>0</v>
      </c>
      <c r="K553" s="3">
        <f ca="1"/>
        <v>0</v>
      </c>
      <c r="M553" s="3">
        <f ca="1"/>
        <v>0</v>
      </c>
      <c r="N553" s="3">
        <f ca="1"/>
        <v>0</v>
      </c>
      <c r="O553" s="3">
        <f ca="1"/>
        <v>0</v>
      </c>
    </row>
    <row r="554" spans="2:15" ht="13">
      <c r="B554" s="3"/>
      <c r="C554" s="3"/>
      <c r="D554" s="3"/>
      <c r="E554" s="3"/>
      <c r="F554" s="3"/>
      <c r="G554" s="3"/>
      <c r="I554" s="3">
        <f ca="1"/>
        <v>0</v>
      </c>
      <c r="J554" s="3">
        <f ca="1"/>
        <v>0</v>
      </c>
      <c r="K554" s="3">
        <f ca="1"/>
        <v>0</v>
      </c>
      <c r="M554" s="3">
        <f ca="1"/>
        <v>0</v>
      </c>
      <c r="N554" s="3">
        <f ca="1"/>
        <v>0</v>
      </c>
      <c r="O554" s="3">
        <f ca="1"/>
        <v>0</v>
      </c>
    </row>
    <row r="555" spans="2:15" ht="13">
      <c r="B555" s="3"/>
      <c r="C555" s="3"/>
      <c r="D555" s="3"/>
      <c r="E555" s="3"/>
      <c r="F555" s="3"/>
      <c r="G555" s="3"/>
      <c r="I555" s="3">
        <f ca="1"/>
        <v>0</v>
      </c>
      <c r="J555" s="3">
        <f ca="1"/>
        <v>0</v>
      </c>
      <c r="K555" s="3">
        <f ca="1"/>
        <v>0</v>
      </c>
      <c r="M555" s="3">
        <f ca="1"/>
        <v>0</v>
      </c>
      <c r="N555" s="3">
        <f ca="1"/>
        <v>0</v>
      </c>
      <c r="O555" s="3">
        <f ca="1"/>
        <v>0</v>
      </c>
    </row>
    <row r="556" spans="2:15" ht="13">
      <c r="B556" s="3"/>
      <c r="C556" s="3"/>
      <c r="D556" s="3"/>
      <c r="E556" s="3"/>
      <c r="F556" s="3"/>
      <c r="G556" s="3"/>
      <c r="I556" s="3">
        <f ca="1"/>
        <v>0</v>
      </c>
      <c r="J556" s="3">
        <f ca="1"/>
        <v>0</v>
      </c>
      <c r="K556" s="3">
        <f ca="1"/>
        <v>0</v>
      </c>
      <c r="M556" s="3">
        <f ca="1"/>
        <v>0</v>
      </c>
      <c r="N556" s="3">
        <f ca="1"/>
        <v>0</v>
      </c>
      <c r="O556" s="3">
        <f ca="1"/>
        <v>0</v>
      </c>
    </row>
    <row r="557" spans="2:15" ht="13">
      <c r="B557" s="3"/>
      <c r="C557" s="3"/>
      <c r="D557" s="3"/>
      <c r="E557" s="3"/>
      <c r="F557" s="3"/>
      <c r="G557" s="3"/>
      <c r="I557" s="3">
        <f ca="1"/>
        <v>0</v>
      </c>
      <c r="J557" s="3">
        <f ca="1"/>
        <v>0</v>
      </c>
      <c r="K557" s="3">
        <f ca="1"/>
        <v>0</v>
      </c>
      <c r="M557" s="3">
        <f ca="1"/>
        <v>0</v>
      </c>
      <c r="N557" s="3">
        <f ca="1"/>
        <v>0</v>
      </c>
      <c r="O557" s="3">
        <f ca="1"/>
        <v>0</v>
      </c>
    </row>
    <row r="558" spans="2:15" ht="13">
      <c r="B558" s="3"/>
      <c r="C558" s="3"/>
      <c r="D558" s="3"/>
      <c r="E558" s="3"/>
      <c r="F558" s="3"/>
      <c r="G558" s="3"/>
      <c r="I558" s="3">
        <f ca="1"/>
        <v>0</v>
      </c>
      <c r="J558" s="3">
        <f ca="1"/>
        <v>0</v>
      </c>
      <c r="K558" s="3">
        <f ca="1"/>
        <v>0</v>
      </c>
      <c r="M558" s="3">
        <f ca="1"/>
        <v>0</v>
      </c>
      <c r="N558" s="3">
        <f ca="1"/>
        <v>0</v>
      </c>
      <c r="O558" s="3">
        <f ca="1"/>
        <v>0</v>
      </c>
    </row>
    <row r="559" spans="2:15" ht="13">
      <c r="B559" s="3"/>
      <c r="C559" s="3"/>
      <c r="D559" s="3"/>
      <c r="E559" s="3"/>
      <c r="F559" s="3"/>
      <c r="G559" s="3"/>
      <c r="I559" s="3">
        <f ca="1"/>
        <v>0</v>
      </c>
      <c r="J559" s="3">
        <f ca="1"/>
        <v>0</v>
      </c>
      <c r="K559" s="3">
        <f ca="1"/>
        <v>0</v>
      </c>
      <c r="M559" s="3">
        <f ca="1"/>
        <v>0</v>
      </c>
      <c r="N559" s="3">
        <f ca="1"/>
        <v>0</v>
      </c>
      <c r="O559" s="3">
        <f ca="1"/>
        <v>0</v>
      </c>
    </row>
    <row r="560" spans="2:15" ht="13">
      <c r="B560" s="3"/>
      <c r="C560" s="3"/>
      <c r="D560" s="3"/>
      <c r="E560" s="3"/>
      <c r="F560" s="3"/>
      <c r="G560" s="3"/>
      <c r="I560" s="3">
        <f ca="1"/>
        <v>0</v>
      </c>
      <c r="J560" s="3">
        <f ca="1"/>
        <v>0</v>
      </c>
      <c r="K560" s="3">
        <f ca="1"/>
        <v>0</v>
      </c>
      <c r="M560" s="3">
        <f ca="1"/>
        <v>0</v>
      </c>
      <c r="N560" s="3">
        <f ca="1"/>
        <v>0</v>
      </c>
      <c r="O560" s="3">
        <f ca="1"/>
        <v>0</v>
      </c>
    </row>
    <row r="561" spans="2:15" ht="13">
      <c r="B561" s="3"/>
      <c r="C561" s="3"/>
      <c r="D561" s="3"/>
      <c r="E561" s="3"/>
      <c r="F561" s="3"/>
      <c r="G561" s="3"/>
      <c r="I561" s="3">
        <f ca="1"/>
        <v>0</v>
      </c>
      <c r="J561" s="3">
        <f ca="1"/>
        <v>0</v>
      </c>
      <c r="K561" s="3">
        <f ca="1"/>
        <v>0</v>
      </c>
      <c r="M561" s="3">
        <f ca="1"/>
        <v>0</v>
      </c>
      <c r="N561" s="3">
        <f ca="1"/>
        <v>0</v>
      </c>
      <c r="O561" s="3">
        <f ca="1"/>
        <v>0</v>
      </c>
    </row>
    <row r="562" spans="2:15" ht="13">
      <c r="B562" s="3"/>
      <c r="C562" s="3"/>
      <c r="D562" s="3"/>
      <c r="E562" s="3"/>
      <c r="F562" s="3"/>
      <c r="G562" s="3"/>
      <c r="I562" s="3">
        <f ca="1"/>
        <v>0</v>
      </c>
      <c r="J562" s="3">
        <f ca="1"/>
        <v>0</v>
      </c>
      <c r="K562" s="3">
        <f ca="1"/>
        <v>0</v>
      </c>
      <c r="M562" s="3">
        <f ca="1"/>
        <v>0</v>
      </c>
      <c r="N562" s="3">
        <f ca="1"/>
        <v>0</v>
      </c>
      <c r="O562" s="3">
        <f ca="1"/>
        <v>0</v>
      </c>
    </row>
    <row r="563" spans="2:15" ht="13">
      <c r="B563" s="3"/>
      <c r="C563" s="3"/>
      <c r="D563" s="3"/>
      <c r="E563" s="3"/>
      <c r="F563" s="3"/>
      <c r="G563" s="3"/>
      <c r="I563" s="3">
        <f ca="1"/>
        <v>0</v>
      </c>
      <c r="J563" s="3">
        <f ca="1"/>
        <v>0</v>
      </c>
      <c r="K563" s="3">
        <f ca="1"/>
        <v>0</v>
      </c>
      <c r="M563" s="3">
        <f ca="1"/>
        <v>0</v>
      </c>
      <c r="N563" s="3">
        <f ca="1"/>
        <v>0</v>
      </c>
      <c r="O563" s="3">
        <f ca="1"/>
        <v>0</v>
      </c>
    </row>
    <row r="564" spans="2:15" ht="13">
      <c r="B564" s="3"/>
      <c r="C564" s="3"/>
      <c r="D564" s="3"/>
      <c r="E564" s="3"/>
      <c r="F564" s="3"/>
      <c r="G564" s="3"/>
      <c r="I564" s="3">
        <f ca="1"/>
        <v>0</v>
      </c>
      <c r="J564" s="3">
        <f ca="1"/>
        <v>0</v>
      </c>
      <c r="K564" s="3">
        <f ca="1"/>
        <v>0</v>
      </c>
      <c r="M564" s="3">
        <f ca="1"/>
        <v>0</v>
      </c>
      <c r="N564" s="3">
        <f ca="1"/>
        <v>0</v>
      </c>
      <c r="O564" s="3">
        <f ca="1"/>
        <v>0</v>
      </c>
    </row>
    <row r="565" spans="2:15" ht="13">
      <c r="B565" s="3"/>
      <c r="C565" s="3"/>
      <c r="D565" s="3"/>
      <c r="E565" s="3"/>
      <c r="F565" s="3"/>
      <c r="G565" s="3"/>
      <c r="I565" s="3">
        <f ca="1"/>
        <v>0</v>
      </c>
      <c r="J565" s="3">
        <f ca="1"/>
        <v>0</v>
      </c>
      <c r="K565" s="3">
        <f ca="1"/>
        <v>0</v>
      </c>
      <c r="M565" s="3">
        <f ca="1"/>
        <v>0</v>
      </c>
      <c r="N565" s="3">
        <f ca="1"/>
        <v>0</v>
      </c>
      <c r="O565" s="3">
        <f ca="1"/>
        <v>0</v>
      </c>
    </row>
    <row r="566" spans="2:15" ht="13">
      <c r="B566" s="3"/>
      <c r="C566" s="3"/>
      <c r="D566" s="3"/>
      <c r="E566" s="3"/>
      <c r="F566" s="3"/>
      <c r="G566" s="3"/>
      <c r="I566" s="3">
        <f ca="1"/>
        <v>0</v>
      </c>
      <c r="J566" s="3">
        <f ca="1"/>
        <v>0</v>
      </c>
      <c r="K566" s="3">
        <f ca="1"/>
        <v>0</v>
      </c>
      <c r="M566" s="3">
        <f ca="1"/>
        <v>0</v>
      </c>
      <c r="N566" s="3">
        <f ca="1"/>
        <v>0</v>
      </c>
      <c r="O566" s="3">
        <f ca="1"/>
        <v>0</v>
      </c>
    </row>
    <row r="567" spans="2:15" ht="13">
      <c r="B567" s="3"/>
      <c r="C567" s="3"/>
      <c r="D567" s="3"/>
      <c r="E567" s="3"/>
      <c r="F567" s="3"/>
      <c r="G567" s="3"/>
      <c r="I567" s="3">
        <f ca="1"/>
        <v>0</v>
      </c>
      <c r="J567" s="3">
        <f ca="1"/>
        <v>0</v>
      </c>
      <c r="K567" s="3">
        <f ca="1"/>
        <v>0</v>
      </c>
      <c r="M567" s="3">
        <f ca="1"/>
        <v>0</v>
      </c>
      <c r="N567" s="3">
        <f ca="1"/>
        <v>0</v>
      </c>
      <c r="O567" s="3">
        <f ca="1"/>
        <v>0</v>
      </c>
    </row>
    <row r="568" spans="2:15" ht="13">
      <c r="B568" s="3"/>
      <c r="C568" s="3"/>
      <c r="D568" s="3"/>
      <c r="E568" s="3"/>
      <c r="F568" s="3"/>
      <c r="G568" s="3"/>
      <c r="I568" s="3">
        <f ca="1"/>
        <v>0</v>
      </c>
      <c r="J568" s="3">
        <f ca="1"/>
        <v>0</v>
      </c>
      <c r="K568" s="3">
        <f ca="1"/>
        <v>0</v>
      </c>
      <c r="M568" s="3">
        <f ca="1"/>
        <v>0</v>
      </c>
      <c r="N568" s="3">
        <f ca="1"/>
        <v>0</v>
      </c>
      <c r="O568" s="3">
        <f ca="1"/>
        <v>0</v>
      </c>
    </row>
    <row r="569" spans="2:15" ht="13">
      <c r="B569" s="3"/>
      <c r="C569" s="3"/>
      <c r="D569" s="3"/>
      <c r="E569" s="3"/>
      <c r="F569" s="3"/>
      <c r="G569" s="3"/>
      <c r="I569" s="3">
        <f ca="1"/>
        <v>0</v>
      </c>
      <c r="J569" s="3">
        <f ca="1"/>
        <v>0</v>
      </c>
      <c r="K569" s="3">
        <f ca="1"/>
        <v>0</v>
      </c>
      <c r="M569" s="3">
        <f ca="1"/>
        <v>0</v>
      </c>
      <c r="N569" s="3">
        <f ca="1"/>
        <v>0</v>
      </c>
      <c r="O569" s="3">
        <f ca="1"/>
        <v>0</v>
      </c>
    </row>
    <row r="570" spans="2:15" ht="13">
      <c r="B570" s="3"/>
      <c r="C570" s="3"/>
      <c r="D570" s="3"/>
      <c r="E570" s="3"/>
      <c r="F570" s="3"/>
      <c r="G570" s="3"/>
      <c r="I570" s="3">
        <f ca="1"/>
        <v>0</v>
      </c>
      <c r="J570" s="3">
        <f ca="1"/>
        <v>0</v>
      </c>
      <c r="K570" s="3">
        <f ca="1"/>
        <v>0</v>
      </c>
      <c r="M570" s="3">
        <f ca="1"/>
        <v>0</v>
      </c>
      <c r="N570" s="3">
        <f ca="1"/>
        <v>0</v>
      </c>
      <c r="O570" s="3">
        <f ca="1"/>
        <v>0</v>
      </c>
    </row>
    <row r="571" spans="2:15" ht="13">
      <c r="B571" s="3"/>
      <c r="C571" s="3"/>
      <c r="D571" s="3"/>
      <c r="E571" s="3"/>
      <c r="F571" s="3"/>
      <c r="G571" s="3"/>
      <c r="I571" s="3">
        <f ca="1"/>
        <v>0</v>
      </c>
      <c r="J571" s="3">
        <f ca="1"/>
        <v>0</v>
      </c>
      <c r="K571" s="3">
        <f ca="1"/>
        <v>0</v>
      </c>
      <c r="M571" s="3">
        <f ca="1"/>
        <v>0</v>
      </c>
      <c r="N571" s="3">
        <f ca="1"/>
        <v>0</v>
      </c>
      <c r="O571" s="3">
        <f ca="1"/>
        <v>0</v>
      </c>
    </row>
    <row r="572" spans="2:15" ht="13">
      <c r="B572" s="3"/>
      <c r="C572" s="3"/>
      <c r="D572" s="3"/>
      <c r="E572" s="3"/>
      <c r="F572" s="3"/>
      <c r="G572" s="3"/>
      <c r="I572" s="3">
        <f ca="1"/>
        <v>0</v>
      </c>
      <c r="J572" s="3">
        <f ca="1"/>
        <v>0</v>
      </c>
      <c r="K572" s="3">
        <f ca="1"/>
        <v>0</v>
      </c>
      <c r="M572" s="3">
        <f ca="1"/>
        <v>0</v>
      </c>
      <c r="N572" s="3">
        <f ca="1"/>
        <v>0</v>
      </c>
      <c r="O572" s="3">
        <f ca="1"/>
        <v>0</v>
      </c>
    </row>
    <row r="573" spans="2:15" ht="13">
      <c r="B573" s="3"/>
      <c r="C573" s="3"/>
      <c r="D573" s="3"/>
      <c r="E573" s="3"/>
      <c r="F573" s="3"/>
      <c r="G573" s="3"/>
      <c r="I573" s="3">
        <f ca="1"/>
        <v>0</v>
      </c>
      <c r="J573" s="3">
        <f ca="1"/>
        <v>0</v>
      </c>
      <c r="K573" s="3">
        <f ca="1"/>
        <v>0</v>
      </c>
      <c r="M573" s="3">
        <f ca="1"/>
        <v>0</v>
      </c>
      <c r="N573" s="3">
        <f ca="1"/>
        <v>0</v>
      </c>
      <c r="O573" s="3">
        <f ca="1"/>
        <v>0</v>
      </c>
    </row>
    <row r="574" spans="2:15" ht="13">
      <c r="B574" s="3"/>
      <c r="C574" s="3"/>
      <c r="D574" s="3"/>
      <c r="E574" s="3"/>
      <c r="F574" s="3"/>
      <c r="G574" s="3"/>
      <c r="I574" s="3">
        <f ca="1"/>
        <v>0</v>
      </c>
      <c r="J574" s="3">
        <f ca="1"/>
        <v>0</v>
      </c>
      <c r="K574" s="3">
        <f ca="1"/>
        <v>0</v>
      </c>
      <c r="M574" s="3">
        <f ca="1"/>
        <v>0</v>
      </c>
      <c r="N574" s="3">
        <f ca="1"/>
        <v>0</v>
      </c>
      <c r="O574" s="3">
        <f ca="1"/>
        <v>0</v>
      </c>
    </row>
    <row r="575" spans="2:15" ht="13">
      <c r="B575" s="3"/>
      <c r="C575" s="3"/>
      <c r="D575" s="3"/>
      <c r="E575" s="3"/>
      <c r="F575" s="3"/>
      <c r="G575" s="3"/>
      <c r="I575" s="3">
        <f ca="1"/>
        <v>0</v>
      </c>
      <c r="J575" s="3">
        <f ca="1"/>
        <v>0</v>
      </c>
      <c r="K575" s="3">
        <f ca="1"/>
        <v>0</v>
      </c>
      <c r="M575" s="3">
        <f ca="1"/>
        <v>0</v>
      </c>
      <c r="N575" s="3">
        <f ca="1"/>
        <v>0</v>
      </c>
      <c r="O575" s="3">
        <f ca="1"/>
        <v>0</v>
      </c>
    </row>
    <row r="576" spans="2:15" ht="13">
      <c r="B576" s="3"/>
      <c r="C576" s="3"/>
      <c r="D576" s="3"/>
      <c r="E576" s="3"/>
      <c r="F576" s="3"/>
      <c r="G576" s="3"/>
      <c r="I576" s="3">
        <f ca="1"/>
        <v>0</v>
      </c>
      <c r="J576" s="3">
        <f ca="1"/>
        <v>0</v>
      </c>
      <c r="K576" s="3">
        <f ca="1"/>
        <v>0</v>
      </c>
      <c r="M576" s="3">
        <f ca="1"/>
        <v>0</v>
      </c>
      <c r="N576" s="3">
        <f ca="1"/>
        <v>0</v>
      </c>
      <c r="O576" s="3">
        <f ca="1"/>
        <v>0</v>
      </c>
    </row>
    <row r="577" spans="2:15" ht="13">
      <c r="B577" s="3"/>
      <c r="C577" s="3"/>
      <c r="D577" s="3"/>
      <c r="E577" s="3"/>
      <c r="F577" s="3"/>
      <c r="G577" s="3"/>
      <c r="I577" s="3">
        <f ca="1"/>
        <v>0</v>
      </c>
      <c r="J577" s="3">
        <f ca="1"/>
        <v>0</v>
      </c>
      <c r="K577" s="3">
        <f ca="1"/>
        <v>0</v>
      </c>
      <c r="M577" s="3">
        <f ca="1"/>
        <v>0</v>
      </c>
      <c r="N577" s="3">
        <f ca="1"/>
        <v>0</v>
      </c>
      <c r="O577" s="3">
        <f ca="1"/>
        <v>0</v>
      </c>
    </row>
    <row r="578" spans="2:15" ht="13">
      <c r="B578" s="3"/>
      <c r="C578" s="3"/>
      <c r="D578" s="3"/>
      <c r="E578" s="3"/>
      <c r="F578" s="3"/>
      <c r="G578" s="3"/>
      <c r="I578" s="3">
        <f ca="1"/>
        <v>0</v>
      </c>
      <c r="J578" s="3">
        <f ca="1"/>
        <v>0</v>
      </c>
      <c r="K578" s="3">
        <f ca="1"/>
        <v>0</v>
      </c>
      <c r="M578" s="3">
        <f ca="1"/>
        <v>0</v>
      </c>
      <c r="N578" s="3">
        <f ca="1"/>
        <v>0</v>
      </c>
      <c r="O578" s="3">
        <f ca="1"/>
        <v>0</v>
      </c>
    </row>
    <row r="579" spans="2:15" ht="13">
      <c r="B579" s="3"/>
      <c r="C579" s="3"/>
      <c r="D579" s="3"/>
      <c r="E579" s="3"/>
      <c r="F579" s="3"/>
      <c r="G579" s="3"/>
      <c r="I579" s="3">
        <f ca="1"/>
        <v>0</v>
      </c>
      <c r="J579" s="3">
        <f ca="1"/>
        <v>0</v>
      </c>
      <c r="K579" s="3">
        <f ca="1"/>
        <v>0</v>
      </c>
      <c r="M579" s="3">
        <f ca="1"/>
        <v>0</v>
      </c>
      <c r="N579" s="3">
        <f ca="1"/>
        <v>0</v>
      </c>
      <c r="O579" s="3">
        <f ca="1"/>
        <v>0</v>
      </c>
    </row>
    <row r="580" spans="2:15" ht="13">
      <c r="B580" s="3"/>
      <c r="C580" s="3"/>
      <c r="D580" s="3"/>
      <c r="E580" s="3"/>
      <c r="F580" s="3"/>
      <c r="G580" s="3"/>
      <c r="I580" s="3">
        <f ca="1"/>
        <v>0</v>
      </c>
      <c r="J580" s="3">
        <f ca="1"/>
        <v>0</v>
      </c>
      <c r="K580" s="3">
        <f ca="1"/>
        <v>0</v>
      </c>
      <c r="M580" s="3">
        <f ca="1"/>
        <v>0</v>
      </c>
      <c r="N580" s="3">
        <f ca="1"/>
        <v>0</v>
      </c>
      <c r="O580" s="3">
        <f ca="1"/>
        <v>0</v>
      </c>
    </row>
    <row r="581" spans="2:15" ht="13">
      <c r="B581" s="3"/>
      <c r="C581" s="3"/>
      <c r="D581" s="3"/>
      <c r="E581" s="3"/>
      <c r="F581" s="3"/>
      <c r="G581" s="3"/>
      <c r="I581" s="3">
        <f ca="1"/>
        <v>0</v>
      </c>
      <c r="J581" s="3">
        <f ca="1"/>
        <v>0</v>
      </c>
      <c r="K581" s="3">
        <f ca="1"/>
        <v>0</v>
      </c>
      <c r="M581" s="3">
        <f ca="1"/>
        <v>0</v>
      </c>
      <c r="N581" s="3">
        <f ca="1"/>
        <v>0</v>
      </c>
      <c r="O581" s="3">
        <f ca="1"/>
        <v>0</v>
      </c>
    </row>
    <row r="582" spans="2:15" ht="13">
      <c r="B582" s="3"/>
      <c r="C582" s="3"/>
      <c r="D582" s="3"/>
      <c r="E582" s="3"/>
      <c r="F582" s="3"/>
      <c r="G582" s="3"/>
      <c r="I582" s="3">
        <f ca="1"/>
        <v>0</v>
      </c>
      <c r="J582" s="3">
        <f ca="1"/>
        <v>0</v>
      </c>
      <c r="K582" s="3">
        <f ca="1"/>
        <v>0</v>
      </c>
      <c r="M582" s="3">
        <f ca="1"/>
        <v>0</v>
      </c>
      <c r="N582" s="3">
        <f ca="1"/>
        <v>0</v>
      </c>
      <c r="O582" s="3">
        <f ca="1"/>
        <v>0</v>
      </c>
    </row>
    <row r="583" spans="2:15" ht="13">
      <c r="B583" s="3"/>
      <c r="C583" s="3"/>
      <c r="D583" s="3"/>
      <c r="E583" s="3"/>
      <c r="F583" s="3"/>
      <c r="G583" s="3"/>
      <c r="I583" s="3">
        <f ca="1"/>
        <v>0</v>
      </c>
      <c r="J583" s="3">
        <f ca="1"/>
        <v>0</v>
      </c>
      <c r="K583" s="3">
        <f ca="1"/>
        <v>0</v>
      </c>
      <c r="M583" s="3">
        <f ca="1"/>
        <v>0</v>
      </c>
      <c r="N583" s="3">
        <f ca="1"/>
        <v>0</v>
      </c>
      <c r="O583" s="3">
        <f ca="1"/>
        <v>0</v>
      </c>
    </row>
    <row r="584" spans="2:15" ht="13">
      <c r="B584" s="3"/>
      <c r="C584" s="3"/>
      <c r="D584" s="3"/>
      <c r="E584" s="3"/>
      <c r="F584" s="3"/>
      <c r="G584" s="3"/>
      <c r="I584" s="3">
        <f ca="1"/>
        <v>0</v>
      </c>
      <c r="J584" s="3">
        <f ca="1"/>
        <v>0</v>
      </c>
      <c r="K584" s="3">
        <f ca="1"/>
        <v>0</v>
      </c>
      <c r="M584" s="3">
        <f ca="1"/>
        <v>0</v>
      </c>
      <c r="N584" s="3">
        <f ca="1"/>
        <v>0</v>
      </c>
      <c r="O584" s="3">
        <f ca="1"/>
        <v>0</v>
      </c>
    </row>
    <row r="585" spans="2:15" ht="13">
      <c r="B585" s="3"/>
      <c r="C585" s="3"/>
      <c r="D585" s="3"/>
      <c r="E585" s="3"/>
      <c r="F585" s="3"/>
      <c r="G585" s="3"/>
      <c r="I585" s="3">
        <f ca="1"/>
        <v>0</v>
      </c>
      <c r="J585" s="3">
        <f ca="1"/>
        <v>0</v>
      </c>
      <c r="K585" s="3">
        <f ca="1"/>
        <v>0</v>
      </c>
      <c r="M585" s="3">
        <f ca="1"/>
        <v>0</v>
      </c>
      <c r="N585" s="3">
        <f ca="1"/>
        <v>0</v>
      </c>
      <c r="O585" s="3">
        <f ca="1"/>
        <v>0</v>
      </c>
    </row>
    <row r="586" spans="2:15" ht="13">
      <c r="B586" s="3"/>
      <c r="C586" s="3"/>
      <c r="D586" s="3"/>
      <c r="E586" s="3"/>
      <c r="F586" s="3"/>
      <c r="G586" s="3"/>
      <c r="I586" s="3">
        <f ca="1"/>
        <v>0</v>
      </c>
      <c r="J586" s="3">
        <f ca="1"/>
        <v>0</v>
      </c>
      <c r="K586" s="3">
        <f ca="1"/>
        <v>0</v>
      </c>
      <c r="M586" s="3">
        <f ca="1"/>
        <v>0</v>
      </c>
      <c r="N586" s="3">
        <f ca="1"/>
        <v>0</v>
      </c>
      <c r="O586" s="3">
        <f ca="1"/>
        <v>0</v>
      </c>
    </row>
    <row r="587" spans="2:15" ht="13">
      <c r="B587" s="3"/>
      <c r="C587" s="3"/>
      <c r="D587" s="3"/>
      <c r="E587" s="3"/>
      <c r="F587" s="3"/>
      <c r="G587" s="3"/>
      <c r="I587" s="3">
        <f ca="1"/>
        <v>0</v>
      </c>
      <c r="J587" s="3">
        <f ca="1"/>
        <v>0</v>
      </c>
      <c r="K587" s="3">
        <f ca="1"/>
        <v>0</v>
      </c>
      <c r="M587" s="3">
        <f ca="1"/>
        <v>0</v>
      </c>
      <c r="N587" s="3">
        <f ca="1"/>
        <v>0</v>
      </c>
      <c r="O587" s="3">
        <f ca="1"/>
        <v>0</v>
      </c>
    </row>
    <row r="588" spans="2:15" ht="13">
      <c r="B588" s="3"/>
      <c r="C588" s="3"/>
      <c r="D588" s="3"/>
      <c r="E588" s="3"/>
      <c r="F588" s="3"/>
      <c r="G588" s="3"/>
      <c r="I588" s="3">
        <f ca="1"/>
        <v>0</v>
      </c>
      <c r="J588" s="3">
        <f ca="1"/>
        <v>0</v>
      </c>
      <c r="K588" s="3">
        <f ca="1"/>
        <v>0</v>
      </c>
      <c r="M588" s="3">
        <f ca="1"/>
        <v>0</v>
      </c>
      <c r="N588" s="3">
        <f ca="1"/>
        <v>0</v>
      </c>
      <c r="O588" s="3">
        <f ca="1"/>
        <v>0</v>
      </c>
    </row>
    <row r="589" spans="2:15" ht="13">
      <c r="B589" s="3"/>
      <c r="C589" s="3"/>
      <c r="D589" s="3"/>
      <c r="E589" s="3"/>
      <c r="F589" s="3"/>
      <c r="G589" s="3"/>
      <c r="I589" s="3">
        <f ca="1"/>
        <v>0</v>
      </c>
      <c r="J589" s="3">
        <f ca="1"/>
        <v>0</v>
      </c>
      <c r="K589" s="3">
        <f ca="1"/>
        <v>0</v>
      </c>
      <c r="M589" s="3">
        <f ca="1"/>
        <v>0</v>
      </c>
      <c r="N589" s="3">
        <f ca="1"/>
        <v>0</v>
      </c>
      <c r="O589" s="3">
        <f ca="1"/>
        <v>0</v>
      </c>
    </row>
    <row r="590" spans="2:15" ht="13">
      <c r="B590" s="3"/>
      <c r="C590" s="3"/>
      <c r="D590" s="3"/>
      <c r="E590" s="3"/>
      <c r="F590" s="3"/>
      <c r="G590" s="3"/>
      <c r="I590" s="3">
        <f ca="1"/>
        <v>0</v>
      </c>
      <c r="J590" s="3">
        <f ca="1"/>
        <v>0</v>
      </c>
      <c r="K590" s="3">
        <f ca="1"/>
        <v>0</v>
      </c>
      <c r="M590" s="3">
        <f ca="1"/>
        <v>0</v>
      </c>
      <c r="N590" s="3">
        <f ca="1"/>
        <v>0</v>
      </c>
      <c r="O590" s="3">
        <f ca="1"/>
        <v>0</v>
      </c>
    </row>
    <row r="591" spans="2:15" ht="13">
      <c r="B591" s="3"/>
      <c r="C591" s="3"/>
      <c r="D591" s="3"/>
      <c r="E591" s="3"/>
      <c r="F591" s="3"/>
      <c r="G591" s="3"/>
      <c r="I591" s="3">
        <f ca="1"/>
        <v>0</v>
      </c>
      <c r="J591" s="3">
        <f ca="1"/>
        <v>0</v>
      </c>
      <c r="K591" s="3">
        <f ca="1"/>
        <v>0</v>
      </c>
      <c r="M591" s="3">
        <f ca="1"/>
        <v>0</v>
      </c>
      <c r="N591" s="3">
        <f ca="1"/>
        <v>0</v>
      </c>
      <c r="O591" s="3">
        <f ca="1"/>
        <v>0</v>
      </c>
    </row>
    <row r="592" spans="2:15" ht="13">
      <c r="B592" s="3"/>
      <c r="C592" s="3"/>
      <c r="D592" s="3"/>
      <c r="E592" s="3"/>
      <c r="F592" s="3"/>
      <c r="G592" s="3"/>
      <c r="I592" s="3">
        <f ca="1"/>
        <v>0</v>
      </c>
      <c r="J592" s="3">
        <f ca="1"/>
        <v>0</v>
      </c>
      <c r="K592" s="3">
        <f ca="1"/>
        <v>0</v>
      </c>
      <c r="M592" s="3">
        <f ca="1"/>
        <v>0</v>
      </c>
      <c r="N592" s="3">
        <f ca="1"/>
        <v>0</v>
      </c>
      <c r="O592" s="3">
        <f ca="1"/>
        <v>0</v>
      </c>
    </row>
    <row r="593" spans="2:15" ht="13">
      <c r="B593" s="3"/>
      <c r="C593" s="3"/>
      <c r="D593" s="3"/>
      <c r="E593" s="3"/>
      <c r="F593" s="3"/>
      <c r="G593" s="3"/>
      <c r="I593" s="3">
        <f ca="1"/>
        <v>0</v>
      </c>
      <c r="J593" s="3">
        <f ca="1"/>
        <v>0</v>
      </c>
      <c r="K593" s="3">
        <f ca="1"/>
        <v>0</v>
      </c>
      <c r="M593" s="3">
        <f ca="1"/>
        <v>0</v>
      </c>
      <c r="N593" s="3">
        <f ca="1"/>
        <v>0</v>
      </c>
      <c r="O593" s="3">
        <f ca="1"/>
        <v>0</v>
      </c>
    </row>
    <row r="594" spans="2:15" ht="13">
      <c r="B594" s="3"/>
      <c r="C594" s="3"/>
      <c r="D594" s="3"/>
      <c r="E594" s="3"/>
      <c r="F594" s="3"/>
      <c r="G594" s="3"/>
      <c r="I594" s="3">
        <f ca="1"/>
        <v>0</v>
      </c>
      <c r="J594" s="3">
        <f ca="1"/>
        <v>0</v>
      </c>
      <c r="K594" s="3">
        <f ca="1"/>
        <v>0</v>
      </c>
      <c r="M594" s="3">
        <f ca="1"/>
        <v>0</v>
      </c>
      <c r="N594" s="3">
        <f ca="1"/>
        <v>0</v>
      </c>
      <c r="O594" s="3">
        <f ca="1"/>
        <v>0</v>
      </c>
    </row>
    <row r="595" spans="2:15" ht="13">
      <c r="B595" s="3"/>
      <c r="C595" s="3"/>
      <c r="D595" s="3"/>
      <c r="E595" s="3"/>
      <c r="F595" s="3"/>
      <c r="G595" s="3"/>
      <c r="I595" s="3">
        <f ca="1"/>
        <v>0</v>
      </c>
      <c r="J595" s="3">
        <f ca="1"/>
        <v>0</v>
      </c>
      <c r="K595" s="3">
        <f ca="1"/>
        <v>0</v>
      </c>
      <c r="M595" s="3">
        <f ca="1"/>
        <v>0</v>
      </c>
      <c r="N595" s="3">
        <f ca="1"/>
        <v>0</v>
      </c>
      <c r="O595" s="3">
        <f ca="1"/>
        <v>0</v>
      </c>
    </row>
    <row r="596" spans="2:15" ht="13">
      <c r="B596" s="3"/>
      <c r="C596" s="3"/>
      <c r="D596" s="3"/>
      <c r="E596" s="3"/>
      <c r="F596" s="3"/>
      <c r="G596" s="3"/>
      <c r="I596" s="3">
        <f ca="1"/>
        <v>0</v>
      </c>
      <c r="J596" s="3">
        <f ca="1"/>
        <v>0</v>
      </c>
      <c r="K596" s="3">
        <f ca="1"/>
        <v>0</v>
      </c>
      <c r="M596" s="3">
        <f ca="1"/>
        <v>0</v>
      </c>
      <c r="N596" s="3">
        <f ca="1"/>
        <v>0</v>
      </c>
      <c r="O596" s="3">
        <f ca="1"/>
        <v>0</v>
      </c>
    </row>
    <row r="597" spans="2:15" ht="13">
      <c r="B597" s="3"/>
      <c r="C597" s="3"/>
      <c r="D597" s="3"/>
      <c r="E597" s="3"/>
      <c r="F597" s="3"/>
      <c r="G597" s="3"/>
      <c r="I597" s="3">
        <f ca="1"/>
        <v>0</v>
      </c>
      <c r="J597" s="3">
        <f ca="1"/>
        <v>0</v>
      </c>
      <c r="K597" s="3">
        <f ca="1"/>
        <v>0</v>
      </c>
      <c r="M597" s="3">
        <f ca="1"/>
        <v>0</v>
      </c>
      <c r="N597" s="3">
        <f ca="1"/>
        <v>0</v>
      </c>
      <c r="O597" s="3">
        <f ca="1"/>
        <v>0</v>
      </c>
    </row>
    <row r="598" spans="2:15" ht="13">
      <c r="B598" s="3"/>
      <c r="C598" s="3"/>
      <c r="D598" s="3"/>
      <c r="E598" s="3"/>
      <c r="F598" s="3"/>
      <c r="G598" s="3"/>
      <c r="I598" s="3">
        <f ca="1"/>
        <v>0</v>
      </c>
      <c r="J598" s="3">
        <f ca="1"/>
        <v>0</v>
      </c>
      <c r="K598" s="3">
        <f ca="1"/>
        <v>0</v>
      </c>
      <c r="M598" s="3">
        <f ca="1"/>
        <v>0</v>
      </c>
      <c r="N598" s="3">
        <f ca="1"/>
        <v>0</v>
      </c>
      <c r="O598" s="3">
        <f ca="1"/>
        <v>0</v>
      </c>
    </row>
    <row r="599" spans="2:15" ht="13">
      <c r="B599" s="3"/>
      <c r="C599" s="3"/>
      <c r="D599" s="3"/>
      <c r="E599" s="3"/>
      <c r="F599" s="3"/>
      <c r="G599" s="3"/>
      <c r="I599" s="3">
        <f ca="1"/>
        <v>0</v>
      </c>
      <c r="J599" s="3">
        <f ca="1"/>
        <v>0</v>
      </c>
      <c r="K599" s="3">
        <f ca="1"/>
        <v>0</v>
      </c>
      <c r="M599" s="3">
        <f ca="1"/>
        <v>0</v>
      </c>
      <c r="N599" s="3">
        <f ca="1"/>
        <v>0</v>
      </c>
      <c r="O599" s="3">
        <f ca="1"/>
        <v>0</v>
      </c>
    </row>
    <row r="600" spans="2:15" ht="13">
      <c r="B600" s="3"/>
      <c r="C600" s="3"/>
      <c r="D600" s="3"/>
      <c r="E600" s="3"/>
      <c r="F600" s="3"/>
      <c r="G600" s="3"/>
      <c r="I600" s="3">
        <f ca="1"/>
        <v>0</v>
      </c>
      <c r="J600" s="3">
        <f ca="1"/>
        <v>0</v>
      </c>
      <c r="K600" s="3">
        <f ca="1"/>
        <v>0</v>
      </c>
      <c r="M600" s="3">
        <f ca="1"/>
        <v>0</v>
      </c>
      <c r="N600" s="3">
        <f ca="1"/>
        <v>0</v>
      </c>
      <c r="O600" s="3">
        <f ca="1"/>
        <v>0</v>
      </c>
    </row>
    <row r="601" spans="2:15" ht="13">
      <c r="B601" s="3"/>
      <c r="C601" s="3"/>
      <c r="D601" s="3"/>
      <c r="E601" s="3"/>
      <c r="F601" s="3"/>
      <c r="G601" s="3"/>
      <c r="I601" s="3">
        <f ca="1"/>
        <v>0</v>
      </c>
      <c r="J601" s="3">
        <f ca="1"/>
        <v>0</v>
      </c>
      <c r="K601" s="3">
        <f ca="1"/>
        <v>0</v>
      </c>
      <c r="M601" s="3">
        <f ca="1"/>
        <v>0</v>
      </c>
      <c r="N601" s="3">
        <f ca="1"/>
        <v>0</v>
      </c>
      <c r="O601" s="3">
        <f ca="1"/>
        <v>0</v>
      </c>
    </row>
    <row r="602" spans="2:15" ht="13">
      <c r="B602" s="3"/>
      <c r="C602" s="3"/>
      <c r="D602" s="3"/>
      <c r="E602" s="3"/>
      <c r="F602" s="3"/>
      <c r="G602" s="3"/>
      <c r="I602" s="3">
        <f ca="1"/>
        <v>0</v>
      </c>
      <c r="J602" s="3">
        <f ca="1"/>
        <v>0</v>
      </c>
      <c r="K602" s="3">
        <f ca="1"/>
        <v>0</v>
      </c>
      <c r="M602" s="3">
        <f ca="1"/>
        <v>0</v>
      </c>
      <c r="N602" s="3">
        <f ca="1"/>
        <v>0</v>
      </c>
      <c r="O602" s="3">
        <f ca="1"/>
        <v>0</v>
      </c>
    </row>
    <row r="603" spans="2:15" ht="13">
      <c r="B603" s="3"/>
      <c r="C603" s="3"/>
      <c r="D603" s="3"/>
      <c r="E603" s="3"/>
      <c r="F603" s="3"/>
      <c r="G603" s="3"/>
      <c r="I603" s="3">
        <f ca="1"/>
        <v>0</v>
      </c>
      <c r="J603" s="3">
        <f ca="1"/>
        <v>0</v>
      </c>
      <c r="K603" s="3">
        <f ca="1"/>
        <v>0</v>
      </c>
      <c r="M603" s="3">
        <f ca="1"/>
        <v>0</v>
      </c>
      <c r="N603" s="3">
        <f ca="1"/>
        <v>0</v>
      </c>
      <c r="O603" s="3">
        <f ca="1"/>
        <v>0</v>
      </c>
    </row>
    <row r="604" spans="2:15" ht="13">
      <c r="B604" s="3"/>
      <c r="C604" s="3"/>
      <c r="D604" s="3"/>
      <c r="E604" s="3"/>
      <c r="F604" s="3"/>
      <c r="G604" s="3"/>
      <c r="I604" s="3">
        <f ca="1"/>
        <v>0</v>
      </c>
      <c r="J604" s="3">
        <f ca="1"/>
        <v>0</v>
      </c>
      <c r="K604" s="3">
        <f ca="1"/>
        <v>0</v>
      </c>
      <c r="M604" s="3">
        <f ca="1"/>
        <v>0</v>
      </c>
      <c r="N604" s="3">
        <f ca="1"/>
        <v>0</v>
      </c>
      <c r="O604" s="3">
        <f ca="1"/>
        <v>0</v>
      </c>
    </row>
    <row r="605" spans="2:15" ht="13">
      <c r="B605" s="3"/>
      <c r="C605" s="3"/>
      <c r="D605" s="3"/>
      <c r="E605" s="3"/>
      <c r="F605" s="3"/>
      <c r="G605" s="3"/>
      <c r="I605" s="3">
        <f ca="1"/>
        <v>0</v>
      </c>
      <c r="J605" s="3">
        <f ca="1"/>
        <v>0</v>
      </c>
      <c r="K605" s="3">
        <f ca="1"/>
        <v>0</v>
      </c>
      <c r="M605" s="3">
        <f ca="1"/>
        <v>0</v>
      </c>
      <c r="N605" s="3">
        <f ca="1"/>
        <v>0</v>
      </c>
      <c r="O605" s="3">
        <f ca="1"/>
        <v>0</v>
      </c>
    </row>
    <row r="606" spans="2:15" ht="13">
      <c r="B606" s="3"/>
      <c r="C606" s="3"/>
      <c r="D606" s="3"/>
      <c r="E606" s="3"/>
      <c r="F606" s="3"/>
      <c r="G606" s="3"/>
      <c r="I606" s="3">
        <f ca="1"/>
        <v>0</v>
      </c>
      <c r="J606" s="3">
        <f ca="1"/>
        <v>0</v>
      </c>
      <c r="K606" s="3">
        <f ca="1"/>
        <v>0</v>
      </c>
      <c r="M606" s="3">
        <f ca="1"/>
        <v>0</v>
      </c>
      <c r="N606" s="3">
        <f ca="1"/>
        <v>0</v>
      </c>
      <c r="O606" s="3">
        <f ca="1"/>
        <v>0</v>
      </c>
    </row>
    <row r="607" spans="2:15" ht="13">
      <c r="B607" s="3"/>
      <c r="C607" s="3"/>
      <c r="D607" s="3"/>
      <c r="E607" s="3"/>
      <c r="F607" s="3"/>
      <c r="G607" s="3"/>
      <c r="I607" s="3">
        <f ca="1"/>
        <v>0</v>
      </c>
      <c r="J607" s="3">
        <f ca="1"/>
        <v>0</v>
      </c>
      <c r="K607" s="3">
        <f ca="1"/>
        <v>0</v>
      </c>
      <c r="M607" s="3">
        <f ca="1"/>
        <v>0</v>
      </c>
      <c r="N607" s="3">
        <f ca="1"/>
        <v>0</v>
      </c>
      <c r="O607" s="3">
        <f ca="1"/>
        <v>0</v>
      </c>
    </row>
    <row r="608" spans="2:15" ht="13">
      <c r="B608" s="3"/>
      <c r="C608" s="3"/>
      <c r="D608" s="3"/>
      <c r="E608" s="3"/>
      <c r="F608" s="3"/>
      <c r="G608" s="3"/>
      <c r="I608" s="3">
        <f ca="1"/>
        <v>0</v>
      </c>
      <c r="J608" s="3">
        <f ca="1"/>
        <v>0</v>
      </c>
      <c r="K608" s="3">
        <f ca="1"/>
        <v>0</v>
      </c>
      <c r="M608" s="3">
        <f ca="1"/>
        <v>0</v>
      </c>
      <c r="N608" s="3">
        <f ca="1"/>
        <v>0</v>
      </c>
      <c r="O608" s="3">
        <f ca="1"/>
        <v>0</v>
      </c>
    </row>
    <row r="609" spans="2:15" ht="13">
      <c r="B609" s="3"/>
      <c r="C609" s="3"/>
      <c r="D609" s="3"/>
      <c r="E609" s="3"/>
      <c r="F609" s="3"/>
      <c r="G609" s="3"/>
      <c r="I609" s="3">
        <f ca="1"/>
        <v>0</v>
      </c>
      <c r="J609" s="3">
        <f ca="1"/>
        <v>0</v>
      </c>
      <c r="K609" s="3">
        <f ca="1"/>
        <v>0</v>
      </c>
      <c r="M609" s="3">
        <f ca="1"/>
        <v>0</v>
      </c>
      <c r="N609" s="3">
        <f ca="1"/>
        <v>0</v>
      </c>
      <c r="O609" s="3">
        <f ca="1"/>
        <v>0</v>
      </c>
    </row>
    <row r="610" spans="2:15" ht="13">
      <c r="B610" s="3"/>
      <c r="C610" s="3"/>
      <c r="D610" s="3"/>
      <c r="E610" s="3"/>
      <c r="F610" s="3"/>
      <c r="G610" s="3"/>
      <c r="I610" s="3">
        <f ca="1"/>
        <v>0</v>
      </c>
      <c r="J610" s="3">
        <f ca="1"/>
        <v>0</v>
      </c>
      <c r="K610" s="3">
        <f ca="1"/>
        <v>0</v>
      </c>
      <c r="M610" s="3">
        <f ca="1"/>
        <v>0</v>
      </c>
      <c r="N610" s="3">
        <f ca="1"/>
        <v>0</v>
      </c>
      <c r="O610" s="3">
        <f ca="1"/>
        <v>0</v>
      </c>
    </row>
    <row r="611" spans="2:15" ht="13">
      <c r="B611" s="3"/>
      <c r="C611" s="3"/>
      <c r="D611" s="3"/>
      <c r="E611" s="3"/>
      <c r="F611" s="3"/>
      <c r="G611" s="3"/>
      <c r="I611" s="3">
        <f ca="1"/>
        <v>0</v>
      </c>
      <c r="J611" s="3">
        <f ca="1"/>
        <v>0</v>
      </c>
      <c r="K611" s="3">
        <f ca="1"/>
        <v>0</v>
      </c>
      <c r="M611" s="3">
        <f ca="1"/>
        <v>0</v>
      </c>
      <c r="N611" s="3">
        <f ca="1"/>
        <v>0</v>
      </c>
      <c r="O611" s="3">
        <f ca="1"/>
        <v>0</v>
      </c>
    </row>
    <row r="612" spans="2:15" ht="13">
      <c r="B612" s="3"/>
      <c r="C612" s="3"/>
      <c r="D612" s="3"/>
      <c r="E612" s="3"/>
      <c r="F612" s="3"/>
      <c r="G612" s="3"/>
      <c r="I612" s="3">
        <f ca="1"/>
        <v>0</v>
      </c>
      <c r="J612" s="3">
        <f ca="1"/>
        <v>0</v>
      </c>
      <c r="K612" s="3">
        <f ca="1"/>
        <v>0</v>
      </c>
      <c r="M612" s="3">
        <f ca="1"/>
        <v>0</v>
      </c>
      <c r="N612" s="3">
        <f ca="1"/>
        <v>0</v>
      </c>
      <c r="O612" s="3">
        <f ca="1"/>
        <v>0</v>
      </c>
    </row>
    <row r="613" spans="2:15" ht="13">
      <c r="B613" s="3"/>
      <c r="C613" s="3"/>
      <c r="D613" s="3"/>
      <c r="E613" s="3"/>
      <c r="F613" s="3"/>
      <c r="G613" s="3"/>
      <c r="I613" s="3">
        <f ca="1"/>
        <v>0</v>
      </c>
      <c r="J613" s="3">
        <f ca="1"/>
        <v>0</v>
      </c>
      <c r="K613" s="3">
        <f ca="1"/>
        <v>0</v>
      </c>
      <c r="M613" s="3">
        <f ca="1"/>
        <v>0</v>
      </c>
      <c r="N613" s="3">
        <f ca="1"/>
        <v>0</v>
      </c>
      <c r="O613" s="3">
        <f ca="1"/>
        <v>0</v>
      </c>
    </row>
    <row r="614" spans="2:15" ht="13">
      <c r="B614" s="3"/>
      <c r="C614" s="3"/>
      <c r="D614" s="3"/>
      <c r="E614" s="3"/>
      <c r="F614" s="3"/>
      <c r="G614" s="3"/>
      <c r="I614" s="3">
        <f ca="1"/>
        <v>0</v>
      </c>
      <c r="J614" s="3">
        <f ca="1"/>
        <v>0</v>
      </c>
      <c r="K614" s="3">
        <f ca="1"/>
        <v>0</v>
      </c>
      <c r="M614" s="3">
        <f ca="1"/>
        <v>0</v>
      </c>
      <c r="N614" s="3">
        <f ca="1"/>
        <v>0</v>
      </c>
      <c r="O614" s="3">
        <f ca="1"/>
        <v>0</v>
      </c>
    </row>
    <row r="615" spans="2:15" ht="13">
      <c r="B615" s="3"/>
      <c r="C615" s="3"/>
      <c r="D615" s="3"/>
      <c r="E615" s="3"/>
      <c r="F615" s="3"/>
      <c r="G615" s="3"/>
      <c r="I615" s="3">
        <f ca="1"/>
        <v>0</v>
      </c>
      <c r="J615" s="3">
        <f ca="1"/>
        <v>0</v>
      </c>
      <c r="K615" s="3">
        <f ca="1"/>
        <v>0</v>
      </c>
      <c r="M615" s="3">
        <f ca="1"/>
        <v>0</v>
      </c>
      <c r="N615" s="3">
        <f ca="1"/>
        <v>0</v>
      </c>
      <c r="O615" s="3">
        <f ca="1"/>
        <v>0</v>
      </c>
    </row>
    <row r="616" spans="2:15" ht="13">
      <c r="B616" s="3"/>
      <c r="C616" s="3"/>
      <c r="D616" s="3"/>
      <c r="E616" s="3"/>
      <c r="F616" s="3"/>
      <c r="G616" s="3"/>
      <c r="I616" s="3">
        <f ca="1"/>
        <v>0</v>
      </c>
      <c r="J616" s="3">
        <f ca="1"/>
        <v>0</v>
      </c>
      <c r="K616" s="3">
        <f ca="1"/>
        <v>0</v>
      </c>
      <c r="M616" s="3">
        <f ca="1"/>
        <v>0</v>
      </c>
      <c r="N616" s="3">
        <f ca="1"/>
        <v>0</v>
      </c>
      <c r="O616" s="3">
        <f ca="1"/>
        <v>0</v>
      </c>
    </row>
    <row r="617" spans="2:15" ht="13">
      <c r="B617" s="3"/>
      <c r="C617" s="3"/>
      <c r="D617" s="3"/>
      <c r="E617" s="3"/>
      <c r="F617" s="3"/>
      <c r="G617" s="3"/>
      <c r="I617" s="3">
        <f ca="1"/>
        <v>0</v>
      </c>
      <c r="J617" s="3">
        <f ca="1"/>
        <v>0</v>
      </c>
      <c r="K617" s="3">
        <f ca="1"/>
        <v>0</v>
      </c>
      <c r="M617" s="3">
        <f ca="1"/>
        <v>0</v>
      </c>
      <c r="N617" s="3">
        <f ca="1"/>
        <v>0</v>
      </c>
      <c r="O617" s="3">
        <f ca="1"/>
        <v>0</v>
      </c>
    </row>
    <row r="618" spans="2:15" ht="13">
      <c r="B618" s="3"/>
      <c r="C618" s="3"/>
      <c r="D618" s="3"/>
      <c r="E618" s="3"/>
      <c r="F618" s="3"/>
      <c r="G618" s="3"/>
      <c r="I618" s="3">
        <f ca="1"/>
        <v>0</v>
      </c>
      <c r="J618" s="3">
        <f ca="1"/>
        <v>0</v>
      </c>
      <c r="K618" s="3">
        <f ca="1"/>
        <v>0</v>
      </c>
      <c r="M618" s="3">
        <f ca="1"/>
        <v>0</v>
      </c>
      <c r="N618" s="3">
        <f ca="1"/>
        <v>0</v>
      </c>
      <c r="O618" s="3">
        <f ca="1"/>
        <v>0</v>
      </c>
    </row>
    <row r="619" spans="2:15" ht="13">
      <c r="B619" s="3"/>
      <c r="C619" s="3"/>
      <c r="D619" s="3"/>
      <c r="E619" s="3"/>
      <c r="F619" s="3"/>
      <c r="G619" s="3"/>
      <c r="I619" s="3">
        <f ca="1"/>
        <v>0</v>
      </c>
      <c r="J619" s="3">
        <f ca="1"/>
        <v>0</v>
      </c>
      <c r="K619" s="3">
        <f ca="1"/>
        <v>0</v>
      </c>
      <c r="M619" s="3">
        <f ca="1"/>
        <v>0</v>
      </c>
      <c r="N619" s="3">
        <f ca="1"/>
        <v>0</v>
      </c>
      <c r="O619" s="3">
        <f ca="1"/>
        <v>0</v>
      </c>
    </row>
    <row r="620" spans="2:15" ht="13">
      <c r="B620" s="3"/>
      <c r="C620" s="3"/>
      <c r="D620" s="3"/>
      <c r="E620" s="3"/>
      <c r="F620" s="3"/>
      <c r="G620" s="3"/>
      <c r="I620" s="3">
        <f ca="1"/>
        <v>0</v>
      </c>
      <c r="J620" s="3">
        <f ca="1"/>
        <v>0</v>
      </c>
      <c r="K620" s="3">
        <f ca="1"/>
        <v>0</v>
      </c>
      <c r="M620" s="3">
        <f ca="1"/>
        <v>0</v>
      </c>
      <c r="N620" s="3">
        <f ca="1"/>
        <v>0</v>
      </c>
      <c r="O620" s="3">
        <f ca="1"/>
        <v>0</v>
      </c>
    </row>
    <row r="621" spans="2:15" ht="13">
      <c r="B621" s="3"/>
      <c r="C621" s="3"/>
      <c r="D621" s="3"/>
      <c r="E621" s="3"/>
      <c r="F621" s="3"/>
      <c r="G621" s="3"/>
      <c r="I621" s="3">
        <f ca="1"/>
        <v>0</v>
      </c>
      <c r="J621" s="3">
        <f ca="1"/>
        <v>0</v>
      </c>
      <c r="K621" s="3">
        <f ca="1"/>
        <v>0</v>
      </c>
      <c r="M621" s="3">
        <f ca="1"/>
        <v>0</v>
      </c>
      <c r="N621" s="3">
        <f ca="1"/>
        <v>0</v>
      </c>
      <c r="O621" s="3">
        <f ca="1"/>
        <v>0</v>
      </c>
    </row>
    <row r="622" spans="2:15" ht="13">
      <c r="B622" s="3"/>
      <c r="C622" s="3"/>
      <c r="D622" s="3"/>
      <c r="E622" s="3"/>
      <c r="F622" s="3"/>
      <c r="G622" s="3"/>
      <c r="I622" s="3">
        <f ca="1"/>
        <v>0</v>
      </c>
      <c r="J622" s="3">
        <f ca="1"/>
        <v>0</v>
      </c>
      <c r="K622" s="3">
        <f ca="1"/>
        <v>0</v>
      </c>
      <c r="M622" s="3">
        <f ca="1"/>
        <v>0</v>
      </c>
      <c r="N622" s="3">
        <f ca="1"/>
        <v>0</v>
      </c>
      <c r="O622" s="3">
        <f ca="1"/>
        <v>0</v>
      </c>
    </row>
    <row r="623" spans="2:15" ht="13">
      <c r="B623" s="3"/>
      <c r="C623" s="3"/>
      <c r="D623" s="3"/>
      <c r="E623" s="3"/>
      <c r="F623" s="3"/>
      <c r="G623" s="3"/>
      <c r="I623" s="3">
        <f ca="1"/>
        <v>0</v>
      </c>
      <c r="J623" s="3">
        <f ca="1"/>
        <v>0</v>
      </c>
      <c r="K623" s="3">
        <f ca="1"/>
        <v>0</v>
      </c>
      <c r="M623" s="3">
        <f ca="1"/>
        <v>0</v>
      </c>
      <c r="N623" s="3">
        <f ca="1"/>
        <v>0</v>
      </c>
      <c r="O623" s="3">
        <f ca="1"/>
        <v>0</v>
      </c>
    </row>
    <row r="624" spans="2:15" ht="13">
      <c r="B624" s="3"/>
      <c r="C624" s="3"/>
      <c r="D624" s="3"/>
      <c r="E624" s="3"/>
      <c r="F624" s="3"/>
      <c r="G624" s="3"/>
      <c r="I624" s="3">
        <f ca="1"/>
        <v>0</v>
      </c>
      <c r="J624" s="3">
        <f ca="1"/>
        <v>0</v>
      </c>
      <c r="K624" s="3">
        <f ca="1"/>
        <v>0</v>
      </c>
      <c r="M624" s="3">
        <f ca="1"/>
        <v>0</v>
      </c>
      <c r="N624" s="3">
        <f ca="1"/>
        <v>0</v>
      </c>
      <c r="O624" s="3">
        <f ca="1"/>
        <v>0</v>
      </c>
    </row>
    <row r="625" spans="2:15" ht="13">
      <c r="B625" s="3"/>
      <c r="C625" s="3"/>
      <c r="D625" s="3"/>
      <c r="E625" s="3"/>
      <c r="F625" s="3"/>
      <c r="G625" s="3"/>
      <c r="I625" s="3">
        <f ca="1"/>
        <v>0</v>
      </c>
      <c r="J625" s="3">
        <f ca="1"/>
        <v>0</v>
      </c>
      <c r="K625" s="3">
        <f ca="1"/>
        <v>0</v>
      </c>
      <c r="M625" s="3">
        <f ca="1"/>
        <v>0</v>
      </c>
      <c r="N625" s="3">
        <f ca="1"/>
        <v>0</v>
      </c>
      <c r="O625" s="3">
        <f ca="1"/>
        <v>0</v>
      </c>
    </row>
    <row r="626" spans="2:15" ht="13">
      <c r="B626" s="3"/>
      <c r="C626" s="3"/>
      <c r="D626" s="3"/>
      <c r="E626" s="3"/>
      <c r="F626" s="3"/>
      <c r="G626" s="3"/>
      <c r="I626" s="3">
        <f ca="1"/>
        <v>0</v>
      </c>
      <c r="J626" s="3">
        <f ca="1"/>
        <v>0</v>
      </c>
      <c r="K626" s="3">
        <f ca="1"/>
        <v>0</v>
      </c>
      <c r="M626" s="3">
        <f ca="1"/>
        <v>0</v>
      </c>
      <c r="N626" s="3">
        <f ca="1"/>
        <v>0</v>
      </c>
      <c r="O626" s="3">
        <f ca="1"/>
        <v>0</v>
      </c>
    </row>
    <row r="627" spans="2:15" ht="13">
      <c r="B627" s="3"/>
      <c r="C627" s="3"/>
      <c r="D627" s="3"/>
      <c r="E627" s="3"/>
      <c r="F627" s="3"/>
      <c r="G627" s="3"/>
      <c r="I627" s="3">
        <f ca="1"/>
        <v>0</v>
      </c>
      <c r="J627" s="3">
        <f ca="1"/>
        <v>0</v>
      </c>
      <c r="K627" s="3">
        <f ca="1"/>
        <v>0</v>
      </c>
      <c r="M627" s="3">
        <f ca="1"/>
        <v>0</v>
      </c>
      <c r="N627" s="3">
        <f ca="1"/>
        <v>0</v>
      </c>
      <c r="O627" s="3">
        <f ca="1"/>
        <v>0</v>
      </c>
    </row>
    <row r="628" spans="2:15" ht="13">
      <c r="B628" s="3"/>
      <c r="C628" s="3"/>
      <c r="D628" s="3"/>
      <c r="E628" s="3"/>
      <c r="F628" s="3"/>
      <c r="G628" s="3"/>
      <c r="I628" s="3">
        <f ca="1"/>
        <v>0</v>
      </c>
      <c r="J628" s="3">
        <f ca="1"/>
        <v>0</v>
      </c>
      <c r="K628" s="3">
        <f ca="1"/>
        <v>0</v>
      </c>
      <c r="M628" s="3">
        <f ca="1"/>
        <v>0</v>
      </c>
      <c r="N628" s="3">
        <f ca="1"/>
        <v>0</v>
      </c>
      <c r="O628" s="3">
        <f ca="1"/>
        <v>0</v>
      </c>
    </row>
    <row r="629" spans="2:15" ht="13">
      <c r="B629" s="3"/>
      <c r="C629" s="3"/>
      <c r="D629" s="3"/>
      <c r="E629" s="3"/>
      <c r="F629" s="3"/>
      <c r="G629" s="3"/>
      <c r="I629" s="3">
        <f ca="1"/>
        <v>0</v>
      </c>
      <c r="J629" s="3">
        <f ca="1"/>
        <v>0</v>
      </c>
      <c r="K629" s="3">
        <f ca="1"/>
        <v>0</v>
      </c>
      <c r="M629" s="3">
        <f ca="1"/>
        <v>0</v>
      </c>
      <c r="N629" s="3">
        <f ca="1"/>
        <v>0</v>
      </c>
      <c r="O629" s="3">
        <f ca="1"/>
        <v>0</v>
      </c>
    </row>
    <row r="630" spans="2:15" ht="13">
      <c r="B630" s="3"/>
      <c r="C630" s="3"/>
      <c r="D630" s="3"/>
      <c r="E630" s="3"/>
      <c r="F630" s="3"/>
      <c r="G630" s="3"/>
      <c r="I630" s="3">
        <f ca="1"/>
        <v>0</v>
      </c>
      <c r="J630" s="3">
        <f ca="1"/>
        <v>0</v>
      </c>
      <c r="K630" s="3">
        <f ca="1"/>
        <v>0</v>
      </c>
      <c r="M630" s="3">
        <f ca="1"/>
        <v>0</v>
      </c>
      <c r="N630" s="3">
        <f ca="1"/>
        <v>0</v>
      </c>
      <c r="O630" s="3">
        <f ca="1"/>
        <v>0</v>
      </c>
    </row>
    <row r="631" spans="2:15" ht="13">
      <c r="B631" s="3"/>
      <c r="C631" s="3"/>
      <c r="D631" s="3"/>
      <c r="E631" s="3"/>
      <c r="F631" s="3"/>
      <c r="G631" s="3"/>
      <c r="I631" s="3">
        <f ca="1"/>
        <v>0</v>
      </c>
      <c r="J631" s="3">
        <f ca="1"/>
        <v>0</v>
      </c>
      <c r="K631" s="3">
        <f ca="1"/>
        <v>0</v>
      </c>
      <c r="M631" s="3">
        <f ca="1"/>
        <v>0</v>
      </c>
      <c r="N631" s="3">
        <f ca="1"/>
        <v>0</v>
      </c>
      <c r="O631" s="3">
        <f ca="1"/>
        <v>0</v>
      </c>
    </row>
    <row r="632" spans="2:15" ht="13">
      <c r="B632" s="3"/>
      <c r="C632" s="3"/>
      <c r="D632" s="3"/>
      <c r="E632" s="3"/>
      <c r="F632" s="3"/>
      <c r="G632" s="3"/>
      <c r="I632" s="3">
        <f ca="1"/>
        <v>0</v>
      </c>
      <c r="J632" s="3">
        <f ca="1"/>
        <v>0</v>
      </c>
      <c r="K632" s="3">
        <f ca="1"/>
        <v>0</v>
      </c>
      <c r="M632" s="3">
        <f ca="1"/>
        <v>0</v>
      </c>
      <c r="N632" s="3">
        <f ca="1"/>
        <v>0</v>
      </c>
      <c r="O632" s="3">
        <f ca="1"/>
        <v>0</v>
      </c>
    </row>
    <row r="633" spans="2:15" ht="13">
      <c r="B633" s="3"/>
      <c r="C633" s="3"/>
      <c r="D633" s="3"/>
      <c r="E633" s="3"/>
      <c r="F633" s="3"/>
      <c r="G633" s="3"/>
      <c r="I633" s="3">
        <f ca="1"/>
        <v>0</v>
      </c>
      <c r="J633" s="3">
        <f ca="1"/>
        <v>0</v>
      </c>
      <c r="K633" s="3">
        <f ca="1"/>
        <v>0</v>
      </c>
      <c r="M633" s="3">
        <f ca="1"/>
        <v>0</v>
      </c>
      <c r="N633" s="3">
        <f ca="1"/>
        <v>0</v>
      </c>
      <c r="O633" s="3">
        <f ca="1"/>
        <v>0</v>
      </c>
    </row>
    <row r="634" spans="2:15" ht="13">
      <c r="B634" s="3"/>
      <c r="C634" s="3"/>
      <c r="D634" s="3"/>
      <c r="E634" s="3"/>
      <c r="F634" s="3"/>
      <c r="G634" s="3"/>
      <c r="I634" s="3">
        <f ca="1"/>
        <v>0</v>
      </c>
      <c r="J634" s="3">
        <f ca="1"/>
        <v>0</v>
      </c>
      <c r="K634" s="3">
        <f ca="1"/>
        <v>0</v>
      </c>
      <c r="M634" s="3">
        <f ca="1"/>
        <v>0</v>
      </c>
      <c r="N634" s="3">
        <f ca="1"/>
        <v>0</v>
      </c>
      <c r="O634" s="3">
        <f ca="1"/>
        <v>0</v>
      </c>
    </row>
    <row r="635" spans="2:15" ht="13">
      <c r="B635" s="3"/>
      <c r="C635" s="3"/>
      <c r="D635" s="3"/>
      <c r="E635" s="3"/>
      <c r="F635" s="3"/>
      <c r="G635" s="3"/>
      <c r="I635" s="3">
        <f ca="1"/>
        <v>0</v>
      </c>
      <c r="J635" s="3">
        <f ca="1"/>
        <v>0</v>
      </c>
      <c r="K635" s="3">
        <f ca="1"/>
        <v>0</v>
      </c>
      <c r="M635" s="3">
        <f ca="1"/>
        <v>0</v>
      </c>
      <c r="N635" s="3">
        <f ca="1"/>
        <v>0</v>
      </c>
      <c r="O635" s="3">
        <f ca="1"/>
        <v>0</v>
      </c>
    </row>
    <row r="636" spans="2:15" ht="13">
      <c r="B636" s="3"/>
      <c r="C636" s="3"/>
      <c r="D636" s="3"/>
      <c r="E636" s="3"/>
      <c r="F636" s="3"/>
      <c r="G636" s="3"/>
      <c r="I636" s="3">
        <f ca="1"/>
        <v>0</v>
      </c>
      <c r="J636" s="3">
        <f ca="1"/>
        <v>0</v>
      </c>
      <c r="K636" s="3">
        <f ca="1"/>
        <v>0</v>
      </c>
      <c r="M636" s="3">
        <f ca="1"/>
        <v>0</v>
      </c>
      <c r="N636" s="3">
        <f ca="1"/>
        <v>0</v>
      </c>
      <c r="O636" s="3">
        <f ca="1"/>
        <v>0</v>
      </c>
    </row>
    <row r="637" spans="2:15" ht="13">
      <c r="B637" s="3"/>
      <c r="C637" s="3"/>
      <c r="D637" s="3"/>
      <c r="E637" s="3"/>
      <c r="F637" s="3"/>
      <c r="G637" s="3"/>
      <c r="I637" s="3">
        <f ca="1"/>
        <v>0</v>
      </c>
      <c r="J637" s="3">
        <f ca="1"/>
        <v>0</v>
      </c>
      <c r="K637" s="3">
        <f ca="1"/>
        <v>0</v>
      </c>
      <c r="M637" s="3">
        <f ca="1"/>
        <v>0</v>
      </c>
      <c r="N637" s="3">
        <f ca="1"/>
        <v>0</v>
      </c>
      <c r="O637" s="3">
        <f ca="1"/>
        <v>0</v>
      </c>
    </row>
    <row r="638" spans="2:15" ht="13">
      <c r="B638" s="3"/>
      <c r="C638" s="3"/>
      <c r="D638" s="3"/>
      <c r="E638" s="3"/>
      <c r="F638" s="3"/>
      <c r="G638" s="3"/>
      <c r="I638" s="3">
        <f ca="1"/>
        <v>0</v>
      </c>
      <c r="J638" s="3">
        <f ca="1"/>
        <v>0</v>
      </c>
      <c r="K638" s="3">
        <f ca="1"/>
        <v>0</v>
      </c>
      <c r="M638" s="3">
        <f ca="1"/>
        <v>0</v>
      </c>
      <c r="N638" s="3">
        <f ca="1"/>
        <v>0</v>
      </c>
      <c r="O638" s="3">
        <f ca="1"/>
        <v>0</v>
      </c>
    </row>
    <row r="639" spans="2:15" ht="13">
      <c r="B639" s="3"/>
      <c r="C639" s="3"/>
      <c r="D639" s="3"/>
      <c r="E639" s="3"/>
      <c r="F639" s="3"/>
      <c r="G639" s="3"/>
      <c r="I639" s="3">
        <f ca="1"/>
        <v>0</v>
      </c>
      <c r="J639" s="3">
        <f ca="1"/>
        <v>0</v>
      </c>
      <c r="K639" s="3">
        <f ca="1"/>
        <v>0</v>
      </c>
      <c r="M639" s="3">
        <f ca="1"/>
        <v>0</v>
      </c>
      <c r="N639" s="3">
        <f ca="1"/>
        <v>0</v>
      </c>
      <c r="O639" s="3">
        <f ca="1"/>
        <v>0</v>
      </c>
    </row>
    <row r="640" spans="2:15" ht="13">
      <c r="B640" s="3"/>
      <c r="C640" s="3"/>
      <c r="D640" s="3"/>
      <c r="E640" s="3"/>
      <c r="F640" s="3"/>
      <c r="G640" s="3"/>
      <c r="I640" s="3">
        <f ca="1"/>
        <v>0</v>
      </c>
      <c r="J640" s="3">
        <f ca="1"/>
        <v>0</v>
      </c>
      <c r="K640" s="3">
        <f ca="1"/>
        <v>0</v>
      </c>
      <c r="M640" s="3">
        <f ca="1"/>
        <v>0</v>
      </c>
      <c r="N640" s="3">
        <f ca="1"/>
        <v>0</v>
      </c>
      <c r="O640" s="3">
        <f ca="1"/>
        <v>0</v>
      </c>
    </row>
    <row r="641" spans="2:15" ht="13">
      <c r="B641" s="3"/>
      <c r="C641" s="3"/>
      <c r="D641" s="3"/>
      <c r="E641" s="3"/>
      <c r="F641" s="3"/>
      <c r="G641" s="3"/>
      <c r="I641" s="3">
        <f ca="1"/>
        <v>0</v>
      </c>
      <c r="J641" s="3">
        <f ca="1"/>
        <v>0</v>
      </c>
      <c r="K641" s="3">
        <f ca="1"/>
        <v>0</v>
      </c>
      <c r="M641" s="3">
        <f ca="1"/>
        <v>0</v>
      </c>
      <c r="N641" s="3">
        <f ca="1"/>
        <v>0</v>
      </c>
      <c r="O641" s="3">
        <f ca="1"/>
        <v>0</v>
      </c>
    </row>
    <row r="642" spans="2:15" ht="13">
      <c r="B642" s="3"/>
      <c r="C642" s="3"/>
      <c r="D642" s="3"/>
      <c r="E642" s="3"/>
      <c r="F642" s="3"/>
      <c r="G642" s="3"/>
      <c r="I642" s="3">
        <f ca="1"/>
        <v>0</v>
      </c>
      <c r="J642" s="3">
        <f ca="1"/>
        <v>0</v>
      </c>
      <c r="K642" s="3">
        <f ca="1"/>
        <v>0</v>
      </c>
      <c r="M642" s="3">
        <f ca="1"/>
        <v>0</v>
      </c>
      <c r="N642" s="3">
        <f ca="1"/>
        <v>0</v>
      </c>
      <c r="O642" s="3">
        <f ca="1"/>
        <v>0</v>
      </c>
    </row>
    <row r="643" spans="2:15" ht="13">
      <c r="B643" s="3"/>
      <c r="C643" s="3"/>
      <c r="D643" s="3"/>
      <c r="E643" s="3"/>
      <c r="F643" s="3"/>
      <c r="G643" s="3"/>
      <c r="I643" s="3">
        <f ca="1"/>
        <v>0</v>
      </c>
      <c r="J643" s="3">
        <f ca="1"/>
        <v>0</v>
      </c>
      <c r="K643" s="3">
        <f ca="1"/>
        <v>0</v>
      </c>
      <c r="M643" s="3">
        <f ca="1"/>
        <v>0</v>
      </c>
      <c r="N643" s="3">
        <f ca="1"/>
        <v>0</v>
      </c>
      <c r="O643" s="3">
        <f ca="1"/>
        <v>0</v>
      </c>
    </row>
    <row r="644" spans="2:15" ht="13">
      <c r="B644" s="3"/>
      <c r="C644" s="3"/>
      <c r="D644" s="3"/>
      <c r="E644" s="3"/>
      <c r="F644" s="3"/>
      <c r="G644" s="3"/>
      <c r="I644" s="3">
        <f ca="1"/>
        <v>0</v>
      </c>
      <c r="J644" s="3">
        <f ca="1"/>
        <v>0</v>
      </c>
      <c r="K644" s="3">
        <f ca="1"/>
        <v>0</v>
      </c>
      <c r="M644" s="3">
        <f ca="1"/>
        <v>0</v>
      </c>
      <c r="N644" s="3">
        <f ca="1"/>
        <v>0</v>
      </c>
      <c r="O644" s="3">
        <f ca="1"/>
        <v>0</v>
      </c>
    </row>
    <row r="645" spans="2:15" ht="13">
      <c r="B645" s="3"/>
      <c r="C645" s="3"/>
      <c r="D645" s="3"/>
      <c r="E645" s="3"/>
      <c r="F645" s="3"/>
      <c r="G645" s="3"/>
      <c r="I645" s="3">
        <f ca="1"/>
        <v>0</v>
      </c>
      <c r="J645" s="3">
        <f ca="1"/>
        <v>0</v>
      </c>
      <c r="K645" s="3">
        <f ca="1"/>
        <v>0</v>
      </c>
      <c r="M645" s="3">
        <f ca="1"/>
        <v>0</v>
      </c>
      <c r="N645" s="3">
        <f ca="1"/>
        <v>0</v>
      </c>
      <c r="O645" s="3">
        <f ca="1"/>
        <v>0</v>
      </c>
    </row>
    <row r="646" spans="2:15" ht="13">
      <c r="B646" s="3"/>
      <c r="C646" s="3"/>
      <c r="D646" s="3"/>
      <c r="E646" s="3"/>
      <c r="F646" s="3"/>
      <c r="G646" s="3"/>
      <c r="I646" s="3">
        <f ca="1"/>
        <v>0</v>
      </c>
      <c r="J646" s="3">
        <f ca="1"/>
        <v>0</v>
      </c>
      <c r="K646" s="3">
        <f ca="1"/>
        <v>0</v>
      </c>
      <c r="M646" s="3">
        <f ca="1"/>
        <v>0</v>
      </c>
      <c r="N646" s="3">
        <f ca="1"/>
        <v>0</v>
      </c>
      <c r="O646" s="3">
        <f ca="1"/>
        <v>0</v>
      </c>
    </row>
    <row r="647" spans="2:15" ht="13">
      <c r="B647" s="3"/>
      <c r="C647" s="3"/>
      <c r="D647" s="3"/>
      <c r="E647" s="3"/>
      <c r="F647" s="3"/>
      <c r="G647" s="3"/>
      <c r="I647" s="3">
        <f ca="1"/>
        <v>0</v>
      </c>
      <c r="J647" s="3">
        <f ca="1"/>
        <v>0</v>
      </c>
      <c r="K647" s="3">
        <f ca="1"/>
        <v>0</v>
      </c>
      <c r="M647" s="3">
        <f ca="1"/>
        <v>0</v>
      </c>
      <c r="N647" s="3">
        <f ca="1"/>
        <v>0</v>
      </c>
      <c r="O647" s="3">
        <f ca="1"/>
        <v>0</v>
      </c>
    </row>
    <row r="648" spans="2:15" ht="13">
      <c r="B648" s="3"/>
      <c r="C648" s="3"/>
      <c r="D648" s="3"/>
      <c r="E648" s="3"/>
      <c r="F648" s="3"/>
      <c r="G648" s="3"/>
      <c r="I648" s="3">
        <f ca="1"/>
        <v>0</v>
      </c>
      <c r="J648" s="3">
        <f ca="1"/>
        <v>0</v>
      </c>
      <c r="K648" s="3">
        <f ca="1"/>
        <v>0</v>
      </c>
      <c r="M648" s="3">
        <f ca="1"/>
        <v>0</v>
      </c>
      <c r="N648" s="3">
        <f ca="1"/>
        <v>0</v>
      </c>
      <c r="O648" s="3">
        <f ca="1"/>
        <v>0</v>
      </c>
    </row>
    <row r="649" spans="2:15" ht="13">
      <c r="B649" s="3"/>
      <c r="C649" s="3"/>
      <c r="D649" s="3"/>
      <c r="E649" s="3"/>
      <c r="F649" s="3"/>
      <c r="G649" s="3"/>
      <c r="I649" s="3">
        <f ca="1"/>
        <v>0</v>
      </c>
      <c r="J649" s="3">
        <f ca="1"/>
        <v>0</v>
      </c>
      <c r="K649" s="3">
        <f ca="1"/>
        <v>0</v>
      </c>
      <c r="M649" s="3">
        <f ca="1"/>
        <v>0</v>
      </c>
      <c r="N649" s="3">
        <f ca="1"/>
        <v>0</v>
      </c>
      <c r="O649" s="3">
        <f ca="1"/>
        <v>0</v>
      </c>
    </row>
    <row r="650" spans="2:15" ht="13">
      <c r="B650" s="3"/>
      <c r="C650" s="3"/>
      <c r="D650" s="3"/>
      <c r="E650" s="3"/>
      <c r="F650" s="3"/>
      <c r="G650" s="3"/>
      <c r="I650" s="3">
        <f ca="1"/>
        <v>0</v>
      </c>
      <c r="J650" s="3">
        <f ca="1"/>
        <v>0</v>
      </c>
      <c r="K650" s="3">
        <f ca="1"/>
        <v>0</v>
      </c>
      <c r="M650" s="3">
        <f ca="1"/>
        <v>0</v>
      </c>
      <c r="N650" s="3">
        <f ca="1"/>
        <v>0</v>
      </c>
      <c r="O650" s="3">
        <f ca="1"/>
        <v>0</v>
      </c>
    </row>
    <row r="651" spans="2:15" ht="13">
      <c r="B651" s="3"/>
      <c r="C651" s="3"/>
      <c r="D651" s="3"/>
      <c r="E651" s="3"/>
      <c r="F651" s="3"/>
      <c r="G651" s="3"/>
      <c r="I651" s="3">
        <f ca="1"/>
        <v>0</v>
      </c>
      <c r="J651" s="3">
        <f ca="1"/>
        <v>0</v>
      </c>
      <c r="K651" s="3">
        <f ca="1"/>
        <v>0</v>
      </c>
      <c r="M651" s="3">
        <f ca="1"/>
        <v>0</v>
      </c>
      <c r="N651" s="3">
        <f ca="1"/>
        <v>0</v>
      </c>
      <c r="O651" s="3">
        <f ca="1"/>
        <v>0</v>
      </c>
    </row>
    <row r="652" spans="2:15" ht="13">
      <c r="B652" s="3"/>
      <c r="C652" s="3"/>
      <c r="D652" s="3"/>
      <c r="E652" s="3"/>
      <c r="F652" s="3"/>
      <c r="G652" s="3"/>
      <c r="I652" s="3">
        <f ca="1"/>
        <v>0</v>
      </c>
      <c r="J652" s="3">
        <f ca="1"/>
        <v>0</v>
      </c>
      <c r="K652" s="3">
        <f ca="1"/>
        <v>0</v>
      </c>
      <c r="M652" s="3">
        <f ca="1"/>
        <v>0</v>
      </c>
      <c r="N652" s="3">
        <f ca="1"/>
        <v>0</v>
      </c>
      <c r="O652" s="3">
        <f ca="1"/>
        <v>0</v>
      </c>
    </row>
    <row r="653" spans="2:15" ht="13">
      <c r="B653" s="3"/>
      <c r="C653" s="3"/>
      <c r="D653" s="3"/>
      <c r="E653" s="3"/>
      <c r="F653" s="3"/>
      <c r="G653" s="3"/>
      <c r="I653" s="3">
        <f ca="1"/>
        <v>0</v>
      </c>
      <c r="J653" s="3">
        <f ca="1"/>
        <v>0</v>
      </c>
      <c r="K653" s="3">
        <f ca="1"/>
        <v>0</v>
      </c>
      <c r="M653" s="3">
        <f ca="1"/>
        <v>0</v>
      </c>
      <c r="N653" s="3">
        <f ca="1"/>
        <v>0</v>
      </c>
      <c r="O653" s="3">
        <f ca="1"/>
        <v>0</v>
      </c>
    </row>
    <row r="654" spans="2:15" ht="13">
      <c r="B654" s="3"/>
      <c r="C654" s="3"/>
      <c r="D654" s="3"/>
      <c r="E654" s="3"/>
      <c r="F654" s="3"/>
      <c r="G654" s="3"/>
      <c r="I654" s="3">
        <f ca="1"/>
        <v>0</v>
      </c>
      <c r="J654" s="3">
        <f ca="1"/>
        <v>0</v>
      </c>
      <c r="K654" s="3">
        <f ca="1"/>
        <v>0</v>
      </c>
      <c r="M654" s="3">
        <f ca="1"/>
        <v>0</v>
      </c>
      <c r="N654" s="3">
        <f ca="1"/>
        <v>0</v>
      </c>
      <c r="O654" s="3">
        <f ca="1"/>
        <v>0</v>
      </c>
    </row>
    <row r="655" spans="2:15" ht="13">
      <c r="B655" s="3"/>
      <c r="C655" s="3"/>
      <c r="D655" s="3"/>
      <c r="E655" s="3"/>
      <c r="F655" s="3"/>
      <c r="G655" s="3"/>
      <c r="I655" s="3">
        <f ca="1"/>
        <v>0</v>
      </c>
      <c r="J655" s="3">
        <f ca="1"/>
        <v>0</v>
      </c>
      <c r="K655" s="3">
        <f ca="1"/>
        <v>0</v>
      </c>
      <c r="M655" s="3">
        <f ca="1"/>
        <v>0</v>
      </c>
      <c r="N655" s="3">
        <f ca="1"/>
        <v>0</v>
      </c>
      <c r="O655" s="3">
        <f ca="1"/>
        <v>0</v>
      </c>
    </row>
    <row r="656" spans="2:15" ht="13">
      <c r="B656" s="3"/>
      <c r="C656" s="3"/>
      <c r="D656" s="3"/>
      <c r="E656" s="3"/>
      <c r="F656" s="3"/>
      <c r="G656" s="3"/>
      <c r="I656" s="3">
        <f ca="1"/>
        <v>0</v>
      </c>
      <c r="J656" s="3">
        <f ca="1"/>
        <v>0</v>
      </c>
      <c r="K656" s="3">
        <f ca="1"/>
        <v>0</v>
      </c>
      <c r="M656" s="3">
        <f ca="1"/>
        <v>0</v>
      </c>
      <c r="N656" s="3">
        <f ca="1"/>
        <v>0</v>
      </c>
      <c r="O656" s="3">
        <f ca="1"/>
        <v>0</v>
      </c>
    </row>
    <row r="657" spans="2:15" ht="13">
      <c r="B657" s="3"/>
      <c r="C657" s="3"/>
      <c r="D657" s="3"/>
      <c r="E657" s="3"/>
      <c r="F657" s="3"/>
      <c r="G657" s="3"/>
      <c r="I657" s="3">
        <f ca="1"/>
        <v>0</v>
      </c>
      <c r="J657" s="3">
        <f ca="1"/>
        <v>0</v>
      </c>
      <c r="K657" s="3">
        <f ca="1"/>
        <v>0</v>
      </c>
      <c r="M657" s="3">
        <f ca="1"/>
        <v>0</v>
      </c>
      <c r="N657" s="3">
        <f ca="1"/>
        <v>0</v>
      </c>
      <c r="O657" s="3">
        <f ca="1"/>
        <v>0</v>
      </c>
    </row>
    <row r="658" spans="2:15" ht="13">
      <c r="B658" s="3"/>
      <c r="C658" s="3"/>
      <c r="D658" s="3"/>
      <c r="E658" s="3"/>
      <c r="F658" s="3"/>
      <c r="G658" s="3"/>
      <c r="I658" s="3">
        <f ca="1"/>
        <v>0</v>
      </c>
      <c r="J658" s="3">
        <f ca="1"/>
        <v>0</v>
      </c>
      <c r="K658" s="3">
        <f ca="1"/>
        <v>0</v>
      </c>
      <c r="M658" s="3">
        <f ca="1"/>
        <v>0</v>
      </c>
      <c r="N658" s="3">
        <f ca="1"/>
        <v>0</v>
      </c>
      <c r="O658" s="3">
        <f ca="1"/>
        <v>0</v>
      </c>
    </row>
    <row r="659" spans="2:15" ht="13">
      <c r="B659" s="3"/>
      <c r="C659" s="3"/>
      <c r="D659" s="3"/>
      <c r="E659" s="3"/>
      <c r="F659" s="3"/>
      <c r="G659" s="3"/>
      <c r="I659" s="3">
        <f ca="1"/>
        <v>0</v>
      </c>
      <c r="J659" s="3">
        <f ca="1"/>
        <v>0</v>
      </c>
      <c r="K659" s="3">
        <f ca="1"/>
        <v>0</v>
      </c>
      <c r="M659" s="3">
        <f ca="1"/>
        <v>0</v>
      </c>
      <c r="N659" s="3">
        <f ca="1"/>
        <v>0</v>
      </c>
      <c r="O659" s="3">
        <f ca="1"/>
        <v>0</v>
      </c>
    </row>
    <row r="660" spans="2:15" ht="13">
      <c r="B660" s="3"/>
      <c r="C660" s="3"/>
      <c r="D660" s="3"/>
      <c r="E660" s="3"/>
      <c r="F660" s="3"/>
      <c r="G660" s="3"/>
      <c r="I660" s="3">
        <f ca="1"/>
        <v>0</v>
      </c>
      <c r="J660" s="3">
        <f ca="1"/>
        <v>0</v>
      </c>
      <c r="K660" s="3">
        <f ca="1"/>
        <v>0</v>
      </c>
      <c r="M660" s="3">
        <f ca="1"/>
        <v>0</v>
      </c>
      <c r="N660" s="3">
        <f ca="1"/>
        <v>0</v>
      </c>
      <c r="O660" s="3">
        <f ca="1"/>
        <v>0</v>
      </c>
    </row>
    <row r="661" spans="2:15" ht="13">
      <c r="B661" s="3"/>
      <c r="C661" s="3"/>
      <c r="D661" s="3"/>
      <c r="E661" s="3"/>
      <c r="F661" s="3"/>
      <c r="G661" s="3"/>
      <c r="I661" s="3">
        <f ca="1"/>
        <v>0</v>
      </c>
      <c r="J661" s="3">
        <f ca="1"/>
        <v>0</v>
      </c>
      <c r="K661" s="3">
        <f ca="1"/>
        <v>0</v>
      </c>
      <c r="M661" s="3">
        <f ca="1"/>
        <v>0</v>
      </c>
      <c r="N661" s="3">
        <f ca="1"/>
        <v>0</v>
      </c>
      <c r="O661" s="3">
        <f ca="1"/>
        <v>0</v>
      </c>
    </row>
    <row r="662" spans="2:15" ht="13">
      <c r="B662" s="3"/>
      <c r="C662" s="3"/>
      <c r="D662" s="3"/>
      <c r="E662" s="3"/>
      <c r="F662" s="3"/>
      <c r="G662" s="3"/>
      <c r="I662" s="3">
        <f ca="1"/>
        <v>0</v>
      </c>
      <c r="J662" s="3">
        <f ca="1"/>
        <v>0</v>
      </c>
      <c r="K662" s="3">
        <f ca="1"/>
        <v>0</v>
      </c>
      <c r="M662" s="3">
        <f ca="1"/>
        <v>0</v>
      </c>
      <c r="N662" s="3">
        <f ca="1"/>
        <v>0</v>
      </c>
      <c r="O662" s="3">
        <f ca="1"/>
        <v>0</v>
      </c>
    </row>
    <row r="663" spans="2:15" ht="13">
      <c r="B663" s="3"/>
      <c r="C663" s="3"/>
      <c r="D663" s="3"/>
      <c r="E663" s="3"/>
      <c r="F663" s="3"/>
      <c r="G663" s="3"/>
      <c r="I663" s="3">
        <f ca="1"/>
        <v>0</v>
      </c>
      <c r="J663" s="3">
        <f ca="1"/>
        <v>0</v>
      </c>
      <c r="K663" s="3">
        <f ca="1"/>
        <v>0</v>
      </c>
      <c r="M663" s="3">
        <f ca="1"/>
        <v>0</v>
      </c>
      <c r="N663" s="3">
        <f ca="1"/>
        <v>0</v>
      </c>
      <c r="O663" s="3">
        <f ca="1"/>
        <v>0</v>
      </c>
    </row>
    <row r="664" spans="2:15" ht="13">
      <c r="B664" s="3"/>
      <c r="C664" s="3"/>
      <c r="D664" s="3"/>
      <c r="E664" s="3"/>
      <c r="F664" s="3"/>
      <c r="G664" s="3"/>
      <c r="I664" s="3">
        <f ca="1"/>
        <v>0</v>
      </c>
      <c r="J664" s="3">
        <f ca="1"/>
        <v>0</v>
      </c>
      <c r="K664" s="3">
        <f ca="1"/>
        <v>0</v>
      </c>
      <c r="M664" s="3">
        <f ca="1"/>
        <v>0</v>
      </c>
      <c r="N664" s="3">
        <f ca="1"/>
        <v>0</v>
      </c>
      <c r="O664" s="3">
        <f ca="1"/>
        <v>0</v>
      </c>
    </row>
    <row r="665" spans="2:15" ht="13">
      <c r="B665" s="3"/>
      <c r="C665" s="3"/>
      <c r="D665" s="3"/>
      <c r="E665" s="3"/>
      <c r="F665" s="3"/>
      <c r="G665" s="3"/>
      <c r="I665" s="3">
        <f ca="1"/>
        <v>0</v>
      </c>
      <c r="J665" s="3">
        <f ca="1"/>
        <v>0</v>
      </c>
      <c r="K665" s="3">
        <f ca="1"/>
        <v>0</v>
      </c>
      <c r="M665" s="3">
        <f ca="1"/>
        <v>0</v>
      </c>
      <c r="N665" s="3">
        <f ca="1"/>
        <v>0</v>
      </c>
      <c r="O665" s="3">
        <f ca="1"/>
        <v>0</v>
      </c>
    </row>
    <row r="666" spans="2:15" ht="13">
      <c r="B666" s="3"/>
      <c r="C666" s="3"/>
      <c r="D666" s="3"/>
      <c r="E666" s="3"/>
      <c r="F666" s="3"/>
      <c r="G666" s="3"/>
      <c r="I666" s="3">
        <f ca="1"/>
        <v>0</v>
      </c>
      <c r="J666" s="3">
        <f ca="1"/>
        <v>0</v>
      </c>
      <c r="K666" s="3">
        <f ca="1"/>
        <v>0</v>
      </c>
      <c r="M666" s="3">
        <f ca="1"/>
        <v>0</v>
      </c>
      <c r="N666" s="3">
        <f ca="1"/>
        <v>0</v>
      </c>
      <c r="O666" s="3">
        <f ca="1"/>
        <v>0</v>
      </c>
    </row>
    <row r="667" spans="2:15" ht="13">
      <c r="B667" s="3"/>
      <c r="C667" s="3"/>
      <c r="D667" s="3"/>
      <c r="E667" s="3"/>
      <c r="F667" s="3"/>
      <c r="G667" s="3"/>
      <c r="I667" s="3">
        <f ca="1"/>
        <v>0</v>
      </c>
      <c r="J667" s="3">
        <f ca="1"/>
        <v>0</v>
      </c>
      <c r="K667" s="3">
        <f ca="1"/>
        <v>0</v>
      </c>
      <c r="M667" s="3">
        <f ca="1"/>
        <v>0</v>
      </c>
      <c r="N667" s="3">
        <f ca="1"/>
        <v>0</v>
      </c>
      <c r="O667" s="3">
        <f ca="1"/>
        <v>0</v>
      </c>
    </row>
    <row r="668" spans="2:15" ht="13">
      <c r="B668" s="3"/>
      <c r="C668" s="3"/>
      <c r="D668" s="3"/>
      <c r="E668" s="3"/>
      <c r="F668" s="3"/>
      <c r="G668" s="3"/>
      <c r="I668" s="3">
        <f ca="1"/>
        <v>0</v>
      </c>
      <c r="J668" s="3">
        <f ca="1"/>
        <v>0</v>
      </c>
      <c r="K668" s="3">
        <f ca="1"/>
        <v>0</v>
      </c>
      <c r="M668" s="3">
        <f ca="1"/>
        <v>0</v>
      </c>
      <c r="N668" s="3">
        <f ca="1"/>
        <v>0</v>
      </c>
      <c r="O668" s="3">
        <f ca="1"/>
        <v>0</v>
      </c>
    </row>
    <row r="669" spans="2:15" ht="13">
      <c r="B669" s="3"/>
      <c r="C669" s="3"/>
      <c r="D669" s="3"/>
      <c r="E669" s="3"/>
      <c r="F669" s="3"/>
      <c r="G669" s="3"/>
      <c r="I669" s="3">
        <f ca="1"/>
        <v>0</v>
      </c>
      <c r="J669" s="3">
        <f ca="1"/>
        <v>0</v>
      </c>
      <c r="K669" s="3">
        <f ca="1"/>
        <v>0</v>
      </c>
      <c r="M669" s="3">
        <f ca="1"/>
        <v>0</v>
      </c>
      <c r="N669" s="3">
        <f ca="1"/>
        <v>0</v>
      </c>
      <c r="O669" s="3">
        <f ca="1"/>
        <v>0</v>
      </c>
    </row>
    <row r="670" spans="2:15" ht="13">
      <c r="B670" s="3"/>
      <c r="C670" s="3"/>
      <c r="D670" s="3"/>
      <c r="E670" s="3"/>
      <c r="F670" s="3"/>
      <c r="G670" s="3"/>
      <c r="I670" s="3">
        <f ca="1"/>
        <v>0</v>
      </c>
      <c r="J670" s="3">
        <f ca="1"/>
        <v>0</v>
      </c>
      <c r="K670" s="3">
        <f ca="1"/>
        <v>0</v>
      </c>
      <c r="M670" s="3">
        <f ca="1"/>
        <v>0</v>
      </c>
      <c r="N670" s="3">
        <f ca="1"/>
        <v>0</v>
      </c>
      <c r="O670" s="3">
        <f ca="1"/>
        <v>0</v>
      </c>
    </row>
    <row r="671" spans="2:15" ht="13">
      <c r="B671" s="3"/>
      <c r="C671" s="3"/>
      <c r="D671" s="3"/>
      <c r="E671" s="3"/>
      <c r="F671" s="3"/>
      <c r="G671" s="3"/>
      <c r="I671" s="3">
        <f ca="1"/>
        <v>0</v>
      </c>
      <c r="J671" s="3">
        <f ca="1"/>
        <v>0</v>
      </c>
      <c r="K671" s="3">
        <f ca="1"/>
        <v>0</v>
      </c>
      <c r="M671" s="3">
        <f ca="1"/>
        <v>0</v>
      </c>
      <c r="N671" s="3">
        <f ca="1"/>
        <v>0</v>
      </c>
      <c r="O671" s="3">
        <f ca="1"/>
        <v>0</v>
      </c>
    </row>
    <row r="672" spans="2:15" ht="13">
      <c r="B672" s="3"/>
      <c r="C672" s="3"/>
      <c r="D672" s="3"/>
      <c r="E672" s="3"/>
      <c r="F672" s="3"/>
      <c r="G672" s="3"/>
      <c r="I672" s="3">
        <f ca="1"/>
        <v>0</v>
      </c>
      <c r="J672" s="3">
        <f ca="1"/>
        <v>0</v>
      </c>
      <c r="K672" s="3">
        <f ca="1"/>
        <v>0</v>
      </c>
      <c r="M672" s="3">
        <f ca="1"/>
        <v>0</v>
      </c>
      <c r="N672" s="3">
        <f ca="1"/>
        <v>0</v>
      </c>
      <c r="O672" s="3">
        <f ca="1"/>
        <v>0</v>
      </c>
    </row>
    <row r="673" spans="2:15" ht="13">
      <c r="B673" s="3"/>
      <c r="C673" s="3"/>
      <c r="D673" s="3"/>
      <c r="E673" s="3"/>
      <c r="F673" s="3"/>
      <c r="G673" s="3"/>
      <c r="I673" s="3">
        <f ca="1"/>
        <v>0</v>
      </c>
      <c r="J673" s="3">
        <f ca="1"/>
        <v>0</v>
      </c>
      <c r="K673" s="3">
        <f ca="1"/>
        <v>0</v>
      </c>
      <c r="M673" s="3">
        <f ca="1"/>
        <v>0</v>
      </c>
      <c r="N673" s="3">
        <f ca="1"/>
        <v>0</v>
      </c>
      <c r="O673" s="3">
        <f ca="1"/>
        <v>0</v>
      </c>
    </row>
    <row r="674" spans="2:15" ht="13">
      <c r="B674" s="3"/>
      <c r="C674" s="3"/>
      <c r="D674" s="3"/>
      <c r="E674" s="3"/>
      <c r="F674" s="3"/>
      <c r="G674" s="3"/>
      <c r="I674" s="3">
        <f ca="1"/>
        <v>0</v>
      </c>
      <c r="J674" s="3">
        <f ca="1"/>
        <v>0</v>
      </c>
      <c r="K674" s="3">
        <f ca="1"/>
        <v>0</v>
      </c>
      <c r="M674" s="3">
        <f ca="1"/>
        <v>0</v>
      </c>
      <c r="N674" s="3">
        <f ca="1"/>
        <v>0</v>
      </c>
      <c r="O674" s="3">
        <f ca="1"/>
        <v>0</v>
      </c>
    </row>
    <row r="675" spans="2:15" ht="13">
      <c r="B675" s="3"/>
      <c r="C675" s="3"/>
      <c r="D675" s="3"/>
      <c r="E675" s="3"/>
      <c r="F675" s="3"/>
      <c r="G675" s="3"/>
      <c r="I675" s="3">
        <f ca="1"/>
        <v>0</v>
      </c>
      <c r="J675" s="3">
        <f ca="1"/>
        <v>0</v>
      </c>
      <c r="K675" s="3">
        <f ca="1"/>
        <v>0</v>
      </c>
      <c r="M675" s="3">
        <f ca="1"/>
        <v>0</v>
      </c>
      <c r="N675" s="3">
        <f ca="1"/>
        <v>0</v>
      </c>
      <c r="O675" s="3">
        <f ca="1"/>
        <v>0</v>
      </c>
    </row>
    <row r="676" spans="2:15" ht="13">
      <c r="B676" s="3"/>
      <c r="C676" s="3"/>
      <c r="D676" s="3"/>
      <c r="E676" s="3"/>
      <c r="F676" s="3"/>
      <c r="G676" s="3"/>
      <c r="I676" s="3">
        <f ca="1"/>
        <v>0</v>
      </c>
      <c r="J676" s="3">
        <f ca="1"/>
        <v>0</v>
      </c>
      <c r="K676" s="3">
        <f ca="1"/>
        <v>0</v>
      </c>
      <c r="M676" s="3">
        <f ca="1"/>
        <v>0</v>
      </c>
      <c r="N676" s="3">
        <f ca="1"/>
        <v>0</v>
      </c>
      <c r="O676" s="3">
        <f ca="1"/>
        <v>0</v>
      </c>
    </row>
    <row r="677" spans="2:15" ht="13">
      <c r="B677" s="3"/>
      <c r="C677" s="3"/>
      <c r="D677" s="3"/>
      <c r="E677" s="3"/>
      <c r="F677" s="3"/>
      <c r="G677" s="3"/>
      <c r="I677" s="3">
        <f ca="1"/>
        <v>0</v>
      </c>
      <c r="J677" s="3">
        <f ca="1"/>
        <v>0</v>
      </c>
      <c r="K677" s="3">
        <f ca="1"/>
        <v>0</v>
      </c>
      <c r="M677" s="3">
        <f ca="1"/>
        <v>0</v>
      </c>
      <c r="N677" s="3">
        <f ca="1"/>
        <v>0</v>
      </c>
      <c r="O677" s="3">
        <f ca="1"/>
        <v>0</v>
      </c>
    </row>
    <row r="678" spans="2:15" ht="13">
      <c r="B678" s="3"/>
      <c r="C678" s="3"/>
      <c r="D678" s="3"/>
      <c r="E678" s="3"/>
      <c r="F678" s="3"/>
      <c r="G678" s="3"/>
      <c r="I678" s="3">
        <f ca="1"/>
        <v>0</v>
      </c>
      <c r="J678" s="3">
        <f ca="1"/>
        <v>0</v>
      </c>
      <c r="K678" s="3">
        <f ca="1"/>
        <v>0</v>
      </c>
      <c r="M678" s="3">
        <f ca="1"/>
        <v>0</v>
      </c>
      <c r="N678" s="3">
        <f ca="1"/>
        <v>0</v>
      </c>
      <c r="O678" s="3">
        <f ca="1"/>
        <v>0</v>
      </c>
    </row>
    <row r="679" spans="2:15" ht="13">
      <c r="B679" s="3"/>
      <c r="C679" s="3"/>
      <c r="D679" s="3"/>
      <c r="E679" s="3"/>
      <c r="F679" s="3"/>
      <c r="G679" s="3"/>
      <c r="I679" s="3">
        <f ca="1"/>
        <v>0</v>
      </c>
      <c r="J679" s="3">
        <f ca="1"/>
        <v>0</v>
      </c>
      <c r="K679" s="3">
        <f ca="1"/>
        <v>0</v>
      </c>
      <c r="M679" s="3">
        <f ca="1"/>
        <v>0</v>
      </c>
      <c r="N679" s="3">
        <f ca="1"/>
        <v>0</v>
      </c>
      <c r="O679" s="3">
        <f ca="1"/>
        <v>0</v>
      </c>
    </row>
    <row r="680" spans="2:15" ht="13">
      <c r="B680" s="3"/>
      <c r="C680" s="3"/>
      <c r="D680" s="3"/>
      <c r="E680" s="3"/>
      <c r="F680" s="3"/>
      <c r="G680" s="3"/>
      <c r="I680" s="3">
        <f ca="1"/>
        <v>0</v>
      </c>
      <c r="J680" s="3">
        <f ca="1"/>
        <v>0</v>
      </c>
      <c r="K680" s="3">
        <f ca="1"/>
        <v>0</v>
      </c>
      <c r="M680" s="3">
        <f ca="1"/>
        <v>0</v>
      </c>
      <c r="N680" s="3">
        <f ca="1"/>
        <v>0</v>
      </c>
      <c r="O680" s="3">
        <f ca="1"/>
        <v>0</v>
      </c>
    </row>
    <row r="681" spans="2:15" ht="13">
      <c r="B681" s="3"/>
      <c r="C681" s="3"/>
      <c r="D681" s="3"/>
      <c r="E681" s="3"/>
      <c r="F681" s="3"/>
      <c r="G681" s="3"/>
      <c r="I681" s="3">
        <f ca="1"/>
        <v>0</v>
      </c>
      <c r="J681" s="3">
        <f ca="1"/>
        <v>0</v>
      </c>
      <c r="K681" s="3">
        <f ca="1"/>
        <v>0</v>
      </c>
      <c r="M681" s="3">
        <f ca="1"/>
        <v>0</v>
      </c>
      <c r="N681" s="3">
        <f ca="1"/>
        <v>0</v>
      </c>
      <c r="O681" s="3">
        <f ca="1"/>
        <v>0</v>
      </c>
    </row>
    <row r="682" spans="2:15" ht="13">
      <c r="B682" s="3"/>
      <c r="C682" s="3"/>
      <c r="D682" s="3"/>
      <c r="E682" s="3"/>
      <c r="F682" s="3"/>
      <c r="G682" s="3"/>
      <c r="I682" s="3">
        <f ca="1"/>
        <v>0</v>
      </c>
      <c r="J682" s="3">
        <f ca="1"/>
        <v>0</v>
      </c>
      <c r="K682" s="3">
        <f ca="1"/>
        <v>0</v>
      </c>
      <c r="M682" s="3">
        <f ca="1"/>
        <v>0</v>
      </c>
      <c r="N682" s="3">
        <f ca="1"/>
        <v>0</v>
      </c>
      <c r="O682" s="3">
        <f ca="1"/>
        <v>0</v>
      </c>
    </row>
    <row r="683" spans="2:15" ht="13">
      <c r="B683" s="3"/>
      <c r="C683" s="3"/>
      <c r="D683" s="3"/>
      <c r="E683" s="3"/>
      <c r="F683" s="3"/>
      <c r="G683" s="3"/>
      <c r="I683" s="3">
        <f ca="1"/>
        <v>0</v>
      </c>
      <c r="J683" s="3">
        <f ca="1"/>
        <v>0</v>
      </c>
      <c r="K683" s="3">
        <f ca="1"/>
        <v>0</v>
      </c>
      <c r="M683" s="3">
        <f ca="1"/>
        <v>0</v>
      </c>
      <c r="N683" s="3">
        <f ca="1"/>
        <v>0</v>
      </c>
      <c r="O683" s="3">
        <f ca="1"/>
        <v>0</v>
      </c>
    </row>
    <row r="684" spans="2:15" ht="13">
      <c r="B684" s="3"/>
      <c r="C684" s="3"/>
      <c r="D684" s="3"/>
      <c r="E684" s="3"/>
      <c r="F684" s="3"/>
      <c r="G684" s="3"/>
      <c r="I684" s="3">
        <f ca="1"/>
        <v>0</v>
      </c>
      <c r="J684" s="3">
        <f ca="1"/>
        <v>0</v>
      </c>
      <c r="K684" s="3">
        <f ca="1"/>
        <v>0</v>
      </c>
      <c r="M684" s="3">
        <f ca="1"/>
        <v>0</v>
      </c>
      <c r="N684" s="3">
        <f ca="1"/>
        <v>0</v>
      </c>
      <c r="O684" s="3">
        <f ca="1"/>
        <v>0</v>
      </c>
    </row>
    <row r="685" spans="2:15" ht="13">
      <c r="B685" s="3"/>
      <c r="C685" s="3"/>
      <c r="D685" s="3"/>
      <c r="E685" s="3"/>
      <c r="F685" s="3"/>
      <c r="G685" s="3"/>
      <c r="I685" s="3">
        <f ca="1"/>
        <v>0</v>
      </c>
      <c r="J685" s="3">
        <f ca="1"/>
        <v>0</v>
      </c>
      <c r="K685" s="3">
        <f ca="1"/>
        <v>0</v>
      </c>
      <c r="M685" s="3">
        <f ca="1"/>
        <v>0</v>
      </c>
      <c r="N685" s="3">
        <f ca="1"/>
        <v>0</v>
      </c>
      <c r="O685" s="3">
        <f ca="1"/>
        <v>0</v>
      </c>
    </row>
    <row r="686" spans="2:15" ht="13">
      <c r="B686" s="3"/>
      <c r="C686" s="3"/>
      <c r="D686" s="3"/>
      <c r="E686" s="3"/>
      <c r="F686" s="3"/>
      <c r="G686" s="3"/>
      <c r="I686" s="3">
        <f ca="1"/>
        <v>0</v>
      </c>
      <c r="J686" s="3">
        <f ca="1"/>
        <v>0</v>
      </c>
      <c r="K686" s="3">
        <f ca="1"/>
        <v>0</v>
      </c>
      <c r="M686" s="3">
        <f ca="1"/>
        <v>0</v>
      </c>
      <c r="N686" s="3">
        <f ca="1"/>
        <v>0</v>
      </c>
      <c r="O686" s="3">
        <f ca="1"/>
        <v>0</v>
      </c>
    </row>
    <row r="687" spans="2:15" ht="13">
      <c r="B687" s="3"/>
      <c r="C687" s="3"/>
      <c r="D687" s="3"/>
      <c r="E687" s="3"/>
      <c r="F687" s="3"/>
      <c r="G687" s="3"/>
      <c r="I687" s="3">
        <f ca="1"/>
        <v>0</v>
      </c>
      <c r="J687" s="3">
        <f ca="1"/>
        <v>0</v>
      </c>
      <c r="K687" s="3">
        <f ca="1"/>
        <v>0</v>
      </c>
      <c r="M687" s="3">
        <f ca="1"/>
        <v>0</v>
      </c>
      <c r="N687" s="3">
        <f ca="1"/>
        <v>0</v>
      </c>
      <c r="O687" s="3">
        <f ca="1"/>
        <v>0</v>
      </c>
    </row>
    <row r="688" spans="2:15" ht="13">
      <c r="B688" s="3"/>
      <c r="C688" s="3"/>
      <c r="D688" s="3"/>
      <c r="E688" s="3"/>
      <c r="F688" s="3"/>
      <c r="G688" s="3"/>
      <c r="I688" s="3">
        <f ca="1"/>
        <v>0</v>
      </c>
      <c r="J688" s="3">
        <f ca="1"/>
        <v>0</v>
      </c>
      <c r="K688" s="3">
        <f ca="1"/>
        <v>0</v>
      </c>
      <c r="M688" s="3">
        <f ca="1"/>
        <v>0</v>
      </c>
      <c r="N688" s="3">
        <f ca="1"/>
        <v>0</v>
      </c>
      <c r="O688" s="3">
        <f ca="1"/>
        <v>0</v>
      </c>
    </row>
    <row r="689" spans="2:15" ht="13">
      <c r="B689" s="3"/>
      <c r="C689" s="3"/>
      <c r="D689" s="3"/>
      <c r="E689" s="3"/>
      <c r="F689" s="3"/>
      <c r="G689" s="3"/>
      <c r="I689" s="3">
        <f ca="1"/>
        <v>0</v>
      </c>
      <c r="J689" s="3">
        <f ca="1"/>
        <v>0</v>
      </c>
      <c r="K689" s="3">
        <f ca="1"/>
        <v>0</v>
      </c>
      <c r="M689" s="3">
        <f ca="1"/>
        <v>0</v>
      </c>
      <c r="N689" s="3">
        <f ca="1"/>
        <v>0</v>
      </c>
      <c r="O689" s="3">
        <f ca="1"/>
        <v>0</v>
      </c>
    </row>
    <row r="690" spans="2:15" ht="13">
      <c r="B690" s="3"/>
      <c r="C690" s="3"/>
      <c r="D690" s="3"/>
      <c r="E690" s="3"/>
      <c r="F690" s="3"/>
      <c r="G690" s="3"/>
      <c r="I690" s="3">
        <f ca="1"/>
        <v>0</v>
      </c>
      <c r="J690" s="3">
        <f ca="1"/>
        <v>0</v>
      </c>
      <c r="K690" s="3">
        <f ca="1"/>
        <v>0</v>
      </c>
      <c r="M690" s="3">
        <f ca="1"/>
        <v>0</v>
      </c>
      <c r="N690" s="3">
        <f ca="1"/>
        <v>0</v>
      </c>
      <c r="O690" s="3">
        <f ca="1"/>
        <v>0</v>
      </c>
    </row>
    <row r="691" spans="2:15" ht="13">
      <c r="B691" s="3"/>
      <c r="C691" s="3"/>
      <c r="D691" s="3"/>
      <c r="E691" s="3"/>
      <c r="F691" s="3"/>
      <c r="G691" s="3"/>
      <c r="I691" s="3">
        <f ca="1"/>
        <v>0</v>
      </c>
      <c r="J691" s="3">
        <f ca="1"/>
        <v>0</v>
      </c>
      <c r="K691" s="3">
        <f ca="1"/>
        <v>0</v>
      </c>
      <c r="M691" s="3">
        <f ca="1"/>
        <v>0</v>
      </c>
      <c r="N691" s="3">
        <f ca="1"/>
        <v>0</v>
      </c>
      <c r="O691" s="3">
        <f ca="1"/>
        <v>0</v>
      </c>
    </row>
    <row r="692" spans="2:15" ht="13">
      <c r="B692" s="3"/>
      <c r="C692" s="3"/>
      <c r="D692" s="3"/>
      <c r="E692" s="3"/>
      <c r="F692" s="3"/>
      <c r="G692" s="3"/>
      <c r="I692" s="3">
        <f ca="1"/>
        <v>0</v>
      </c>
      <c r="J692" s="3">
        <f ca="1"/>
        <v>0</v>
      </c>
      <c r="K692" s="3">
        <f ca="1"/>
        <v>0</v>
      </c>
      <c r="M692" s="3">
        <f ca="1"/>
        <v>0</v>
      </c>
      <c r="N692" s="3">
        <f ca="1"/>
        <v>0</v>
      </c>
      <c r="O692" s="3">
        <f ca="1"/>
        <v>0</v>
      </c>
    </row>
    <row r="693" spans="2:15" ht="13">
      <c r="B693" s="3"/>
      <c r="C693" s="3"/>
      <c r="D693" s="3"/>
      <c r="E693" s="3"/>
      <c r="F693" s="3"/>
      <c r="G693" s="3"/>
      <c r="I693" s="3">
        <f ca="1"/>
        <v>0</v>
      </c>
      <c r="J693" s="3">
        <f ca="1"/>
        <v>0</v>
      </c>
      <c r="K693" s="3">
        <f ca="1"/>
        <v>0</v>
      </c>
      <c r="M693" s="3">
        <f ca="1"/>
        <v>0</v>
      </c>
      <c r="N693" s="3">
        <f ca="1"/>
        <v>0</v>
      </c>
      <c r="O693" s="3">
        <f ca="1"/>
        <v>0</v>
      </c>
    </row>
    <row r="694" spans="2:15" ht="13">
      <c r="B694" s="3"/>
      <c r="C694" s="3"/>
      <c r="D694" s="3"/>
      <c r="E694" s="3"/>
      <c r="F694" s="3"/>
      <c r="G694" s="3"/>
      <c r="I694" s="3">
        <f ca="1"/>
        <v>0</v>
      </c>
      <c r="J694" s="3">
        <f ca="1"/>
        <v>0</v>
      </c>
      <c r="K694" s="3">
        <f ca="1"/>
        <v>0</v>
      </c>
      <c r="M694" s="3">
        <f ca="1"/>
        <v>0</v>
      </c>
      <c r="N694" s="3">
        <f ca="1"/>
        <v>0</v>
      </c>
      <c r="O694" s="3">
        <f ca="1"/>
        <v>0</v>
      </c>
    </row>
    <row r="695" spans="2:15" ht="13">
      <c r="B695" s="3"/>
      <c r="C695" s="3"/>
      <c r="D695" s="3"/>
      <c r="E695" s="3"/>
      <c r="F695" s="3"/>
      <c r="G695" s="3"/>
      <c r="I695" s="3">
        <f ca="1"/>
        <v>0</v>
      </c>
      <c r="J695" s="3">
        <f ca="1"/>
        <v>0</v>
      </c>
      <c r="K695" s="3">
        <f ca="1"/>
        <v>0</v>
      </c>
      <c r="M695" s="3">
        <f ca="1"/>
        <v>0</v>
      </c>
      <c r="N695" s="3">
        <f ca="1"/>
        <v>0</v>
      </c>
      <c r="O695" s="3">
        <f ca="1"/>
        <v>0</v>
      </c>
    </row>
    <row r="696" spans="2:15" ht="13">
      <c r="B696" s="3"/>
      <c r="C696" s="3"/>
      <c r="D696" s="3"/>
      <c r="E696" s="3"/>
      <c r="F696" s="3"/>
      <c r="G696" s="3"/>
      <c r="I696" s="3">
        <f ca="1"/>
        <v>0</v>
      </c>
      <c r="J696" s="3">
        <f ca="1"/>
        <v>0</v>
      </c>
      <c r="K696" s="3">
        <f ca="1"/>
        <v>0</v>
      </c>
      <c r="M696" s="3">
        <f ca="1"/>
        <v>0</v>
      </c>
      <c r="N696" s="3">
        <f ca="1"/>
        <v>0</v>
      </c>
      <c r="O696" s="3">
        <f ca="1"/>
        <v>0</v>
      </c>
    </row>
    <row r="697" spans="2:15" ht="13">
      <c r="B697" s="3"/>
      <c r="C697" s="3"/>
      <c r="D697" s="3"/>
      <c r="E697" s="3"/>
      <c r="F697" s="3"/>
      <c r="G697" s="3"/>
      <c r="I697" s="3">
        <f ca="1"/>
        <v>0</v>
      </c>
      <c r="J697" s="3">
        <f ca="1"/>
        <v>0</v>
      </c>
      <c r="K697" s="3">
        <f ca="1"/>
        <v>0</v>
      </c>
      <c r="M697" s="3">
        <f ca="1"/>
        <v>0</v>
      </c>
      <c r="N697" s="3">
        <f ca="1"/>
        <v>0</v>
      </c>
      <c r="O697" s="3">
        <f ca="1"/>
        <v>0</v>
      </c>
    </row>
    <row r="698" spans="2:15" ht="13">
      <c r="B698" s="3"/>
      <c r="C698" s="3"/>
      <c r="D698" s="3"/>
      <c r="E698" s="3"/>
      <c r="F698" s="3"/>
      <c r="G698" s="3"/>
      <c r="I698" s="3">
        <f ca="1"/>
        <v>0</v>
      </c>
      <c r="J698" s="3">
        <f ca="1"/>
        <v>0</v>
      </c>
      <c r="K698" s="3">
        <f ca="1"/>
        <v>0</v>
      </c>
      <c r="M698" s="3">
        <f ca="1"/>
        <v>0</v>
      </c>
      <c r="N698" s="3">
        <f ca="1"/>
        <v>0</v>
      </c>
      <c r="O698" s="3">
        <f ca="1"/>
        <v>0</v>
      </c>
    </row>
    <row r="699" spans="2:15" ht="13">
      <c r="B699" s="3"/>
      <c r="C699" s="3"/>
      <c r="D699" s="3"/>
      <c r="E699" s="3"/>
      <c r="F699" s="3"/>
      <c r="G699" s="3"/>
      <c r="I699" s="3">
        <f ca="1"/>
        <v>0</v>
      </c>
      <c r="J699" s="3">
        <f ca="1"/>
        <v>0</v>
      </c>
      <c r="K699" s="3">
        <f ca="1"/>
        <v>0</v>
      </c>
      <c r="M699" s="3">
        <f ca="1"/>
        <v>0</v>
      </c>
      <c r="N699" s="3">
        <f ca="1"/>
        <v>0</v>
      </c>
      <c r="O699" s="3">
        <f ca="1"/>
        <v>0</v>
      </c>
    </row>
    <row r="700" spans="2:15" ht="13">
      <c r="B700" s="3"/>
      <c r="C700" s="3"/>
      <c r="D700" s="3"/>
      <c r="E700" s="3"/>
      <c r="F700" s="3"/>
      <c r="G700" s="3"/>
      <c r="I700" s="3">
        <f ca="1"/>
        <v>0</v>
      </c>
      <c r="J700" s="3">
        <f ca="1"/>
        <v>0</v>
      </c>
      <c r="K700" s="3">
        <f ca="1"/>
        <v>0</v>
      </c>
      <c r="M700" s="3">
        <f ca="1"/>
        <v>0</v>
      </c>
      <c r="N700" s="3">
        <f ca="1"/>
        <v>0</v>
      </c>
      <c r="O700" s="3">
        <f ca="1"/>
        <v>0</v>
      </c>
    </row>
    <row r="701" spans="2:15" ht="13">
      <c r="B701" s="3"/>
      <c r="C701" s="3"/>
      <c r="D701" s="3"/>
      <c r="E701" s="3"/>
      <c r="F701" s="3"/>
      <c r="G701" s="3"/>
      <c r="I701" s="3">
        <f ca="1"/>
        <v>0</v>
      </c>
      <c r="J701" s="3">
        <f ca="1"/>
        <v>0</v>
      </c>
      <c r="K701" s="3">
        <f ca="1"/>
        <v>0</v>
      </c>
      <c r="M701" s="3">
        <f ca="1"/>
        <v>0</v>
      </c>
      <c r="N701" s="3">
        <f ca="1"/>
        <v>0</v>
      </c>
      <c r="O701" s="3">
        <f ca="1"/>
        <v>0</v>
      </c>
    </row>
    <row r="702" spans="2:15" ht="13">
      <c r="B702" s="3"/>
      <c r="C702" s="3"/>
      <c r="D702" s="3"/>
      <c r="E702" s="3"/>
      <c r="F702" s="3"/>
      <c r="G702" s="3"/>
      <c r="I702" s="3">
        <f ca="1"/>
        <v>0</v>
      </c>
      <c r="J702" s="3">
        <f ca="1"/>
        <v>0</v>
      </c>
      <c r="K702" s="3">
        <f ca="1"/>
        <v>0</v>
      </c>
      <c r="M702" s="3">
        <f ca="1"/>
        <v>0</v>
      </c>
      <c r="N702" s="3">
        <f ca="1"/>
        <v>0</v>
      </c>
      <c r="O702" s="3">
        <f ca="1"/>
        <v>0</v>
      </c>
    </row>
    <row r="703" spans="2:15" ht="13">
      <c r="B703" s="3"/>
      <c r="C703" s="3"/>
      <c r="D703" s="3"/>
      <c r="E703" s="3"/>
      <c r="F703" s="3"/>
      <c r="G703" s="3"/>
      <c r="I703" s="3">
        <f ca="1"/>
        <v>0</v>
      </c>
      <c r="J703" s="3">
        <f ca="1"/>
        <v>0</v>
      </c>
      <c r="K703" s="3">
        <f ca="1"/>
        <v>0</v>
      </c>
      <c r="M703" s="3">
        <f ca="1"/>
        <v>0</v>
      </c>
      <c r="N703" s="3">
        <f ca="1"/>
        <v>0</v>
      </c>
      <c r="O703" s="3">
        <f ca="1"/>
        <v>0</v>
      </c>
    </row>
    <row r="704" spans="2:15" ht="13">
      <c r="B704" s="3"/>
      <c r="C704" s="3"/>
      <c r="D704" s="3"/>
      <c r="E704" s="3"/>
      <c r="F704" s="3"/>
      <c r="G704" s="3"/>
      <c r="I704" s="3">
        <f ca="1"/>
        <v>0</v>
      </c>
      <c r="J704" s="3">
        <f ca="1"/>
        <v>0</v>
      </c>
      <c r="K704" s="3">
        <f ca="1"/>
        <v>0</v>
      </c>
      <c r="M704" s="3">
        <f ca="1"/>
        <v>0</v>
      </c>
      <c r="N704" s="3">
        <f ca="1"/>
        <v>0</v>
      </c>
      <c r="O704" s="3">
        <f ca="1"/>
        <v>0</v>
      </c>
    </row>
    <row r="705" spans="2:15" ht="13">
      <c r="B705" s="3"/>
      <c r="C705" s="3"/>
      <c r="D705" s="3"/>
      <c r="E705" s="3"/>
      <c r="F705" s="3"/>
      <c r="G705" s="3"/>
      <c r="I705" s="3">
        <f ca="1"/>
        <v>0</v>
      </c>
      <c r="J705" s="3">
        <f ca="1"/>
        <v>0</v>
      </c>
      <c r="K705" s="3">
        <f ca="1"/>
        <v>0</v>
      </c>
      <c r="M705" s="3">
        <f ca="1"/>
        <v>0</v>
      </c>
      <c r="N705" s="3">
        <f ca="1"/>
        <v>0</v>
      </c>
      <c r="O705" s="3">
        <f ca="1"/>
        <v>0</v>
      </c>
    </row>
    <row r="706" spans="2:15" ht="13">
      <c r="B706" s="3"/>
      <c r="C706" s="3"/>
      <c r="D706" s="3"/>
      <c r="E706" s="3"/>
      <c r="F706" s="3"/>
      <c r="G706" s="3"/>
      <c r="I706" s="3">
        <f ca="1"/>
        <v>0</v>
      </c>
      <c r="J706" s="3">
        <f ca="1"/>
        <v>0</v>
      </c>
      <c r="K706" s="3">
        <f ca="1"/>
        <v>0</v>
      </c>
      <c r="M706" s="3">
        <f ca="1"/>
        <v>0</v>
      </c>
      <c r="N706" s="3">
        <f ca="1"/>
        <v>0</v>
      </c>
      <c r="O706" s="3">
        <f ca="1"/>
        <v>0</v>
      </c>
    </row>
    <row r="707" spans="2:15" ht="13">
      <c r="B707" s="3"/>
      <c r="C707" s="3"/>
      <c r="D707" s="3"/>
      <c r="E707" s="3"/>
      <c r="F707" s="3"/>
      <c r="G707" s="3"/>
      <c r="I707" s="3">
        <f ca="1"/>
        <v>0</v>
      </c>
      <c r="J707" s="3">
        <f ca="1"/>
        <v>0</v>
      </c>
      <c r="K707" s="3">
        <f ca="1"/>
        <v>0</v>
      </c>
      <c r="M707" s="3">
        <f ca="1"/>
        <v>0</v>
      </c>
      <c r="N707" s="3">
        <f ca="1"/>
        <v>0</v>
      </c>
      <c r="O707" s="3">
        <f ca="1"/>
        <v>0</v>
      </c>
    </row>
    <row r="708" spans="2:15" ht="13">
      <c r="B708" s="3"/>
      <c r="C708" s="3"/>
      <c r="D708" s="3"/>
      <c r="E708" s="3"/>
      <c r="F708" s="3"/>
      <c r="G708" s="3"/>
      <c r="I708" s="3">
        <f ca="1"/>
        <v>0</v>
      </c>
      <c r="J708" s="3">
        <f ca="1"/>
        <v>0</v>
      </c>
      <c r="K708" s="3">
        <f ca="1"/>
        <v>0</v>
      </c>
      <c r="M708" s="3">
        <f ca="1"/>
        <v>0</v>
      </c>
      <c r="N708" s="3">
        <f ca="1"/>
        <v>0</v>
      </c>
      <c r="O708" s="3">
        <f ca="1"/>
        <v>0</v>
      </c>
    </row>
    <row r="709" spans="2:15" ht="13">
      <c r="B709" s="3"/>
      <c r="C709" s="3"/>
      <c r="D709" s="3"/>
      <c r="E709" s="3"/>
      <c r="F709" s="3"/>
      <c r="G709" s="3"/>
      <c r="I709" s="3">
        <f ca="1"/>
        <v>0</v>
      </c>
      <c r="J709" s="3">
        <f ca="1"/>
        <v>0</v>
      </c>
      <c r="K709" s="3">
        <f ca="1"/>
        <v>0</v>
      </c>
      <c r="M709" s="3">
        <f ca="1"/>
        <v>0</v>
      </c>
      <c r="N709" s="3">
        <f ca="1"/>
        <v>0</v>
      </c>
      <c r="O709" s="3">
        <f ca="1"/>
        <v>0</v>
      </c>
    </row>
    <row r="710" spans="2:15" ht="13">
      <c r="B710" s="3"/>
      <c r="C710" s="3"/>
      <c r="D710" s="3"/>
      <c r="E710" s="3"/>
      <c r="F710" s="3"/>
      <c r="G710" s="3"/>
      <c r="I710" s="3">
        <f ca="1"/>
        <v>0</v>
      </c>
      <c r="J710" s="3">
        <f ca="1"/>
        <v>0</v>
      </c>
      <c r="K710" s="3">
        <f ca="1"/>
        <v>0</v>
      </c>
      <c r="M710" s="3">
        <f ca="1"/>
        <v>0</v>
      </c>
      <c r="N710" s="3">
        <f ca="1"/>
        <v>0</v>
      </c>
      <c r="O710" s="3">
        <f ca="1"/>
        <v>0</v>
      </c>
    </row>
    <row r="711" spans="2:15" ht="13">
      <c r="B711" s="3"/>
      <c r="C711" s="3"/>
      <c r="D711" s="3"/>
      <c r="E711" s="3"/>
      <c r="F711" s="3"/>
      <c r="G711" s="3"/>
      <c r="I711" s="3">
        <f ca="1"/>
        <v>0</v>
      </c>
      <c r="J711" s="3">
        <f ca="1"/>
        <v>0</v>
      </c>
      <c r="K711" s="3">
        <f ca="1"/>
        <v>0</v>
      </c>
      <c r="M711" s="3">
        <f ca="1"/>
        <v>0</v>
      </c>
      <c r="N711" s="3">
        <f ca="1"/>
        <v>0</v>
      </c>
      <c r="O711" s="3">
        <f ca="1"/>
        <v>0</v>
      </c>
    </row>
    <row r="712" spans="2:15" ht="13">
      <c r="B712" s="3"/>
      <c r="C712" s="3"/>
      <c r="D712" s="3"/>
      <c r="E712" s="3"/>
      <c r="F712" s="3"/>
      <c r="G712" s="3"/>
      <c r="I712" s="3">
        <f ca="1"/>
        <v>0</v>
      </c>
      <c r="J712" s="3">
        <f ca="1"/>
        <v>0</v>
      </c>
      <c r="K712" s="3">
        <f ca="1"/>
        <v>0</v>
      </c>
      <c r="M712" s="3">
        <f ca="1"/>
        <v>0</v>
      </c>
      <c r="N712" s="3">
        <f ca="1"/>
        <v>0</v>
      </c>
      <c r="O712" s="3">
        <f ca="1"/>
        <v>0</v>
      </c>
    </row>
    <row r="713" spans="2:15" ht="13">
      <c r="B713" s="3"/>
      <c r="C713" s="3"/>
      <c r="D713" s="3"/>
      <c r="E713" s="3"/>
      <c r="F713" s="3"/>
      <c r="G713" s="3"/>
      <c r="I713" s="3">
        <f ca="1"/>
        <v>0</v>
      </c>
      <c r="J713" s="3">
        <f ca="1"/>
        <v>0</v>
      </c>
      <c r="K713" s="3">
        <f ca="1"/>
        <v>0</v>
      </c>
      <c r="M713" s="3">
        <f ca="1"/>
        <v>0</v>
      </c>
      <c r="N713" s="3">
        <f ca="1"/>
        <v>0</v>
      </c>
      <c r="O713" s="3">
        <f ca="1"/>
        <v>0</v>
      </c>
    </row>
    <row r="714" spans="2:15" ht="13">
      <c r="B714" s="3"/>
      <c r="C714" s="3"/>
      <c r="D714" s="3"/>
      <c r="E714" s="3"/>
      <c r="F714" s="3"/>
      <c r="G714" s="3"/>
      <c r="I714" s="3">
        <f ca="1"/>
        <v>0</v>
      </c>
      <c r="J714" s="3">
        <f ca="1"/>
        <v>0</v>
      </c>
      <c r="K714" s="3">
        <f ca="1"/>
        <v>0</v>
      </c>
      <c r="M714" s="3">
        <f ca="1"/>
        <v>0</v>
      </c>
      <c r="N714" s="3">
        <f ca="1"/>
        <v>0</v>
      </c>
      <c r="O714" s="3">
        <f ca="1"/>
        <v>0</v>
      </c>
    </row>
    <row r="715" spans="2:15" ht="13">
      <c r="B715" s="3"/>
      <c r="C715" s="3"/>
      <c r="D715" s="3"/>
      <c r="E715" s="3"/>
      <c r="F715" s="3"/>
      <c r="G715" s="3"/>
      <c r="I715" s="3">
        <f ca="1"/>
        <v>0</v>
      </c>
      <c r="J715" s="3">
        <f ca="1"/>
        <v>0</v>
      </c>
      <c r="K715" s="3">
        <f ca="1"/>
        <v>0</v>
      </c>
      <c r="M715" s="3">
        <f ca="1"/>
        <v>0</v>
      </c>
      <c r="N715" s="3">
        <f ca="1"/>
        <v>0</v>
      </c>
      <c r="O715" s="3">
        <f ca="1"/>
        <v>0</v>
      </c>
    </row>
    <row r="716" spans="2:15" ht="13">
      <c r="B716" s="3"/>
      <c r="C716" s="3"/>
      <c r="D716" s="3"/>
      <c r="E716" s="3"/>
      <c r="F716" s="3"/>
      <c r="G716" s="3"/>
      <c r="I716" s="3">
        <f ca="1"/>
        <v>0</v>
      </c>
      <c r="J716" s="3">
        <f ca="1"/>
        <v>0</v>
      </c>
      <c r="K716" s="3">
        <f ca="1"/>
        <v>0</v>
      </c>
      <c r="M716" s="3">
        <f ca="1"/>
        <v>0</v>
      </c>
      <c r="N716" s="3">
        <f ca="1"/>
        <v>0</v>
      </c>
      <c r="O716" s="3">
        <f ca="1"/>
        <v>0</v>
      </c>
    </row>
    <row r="717" spans="2:15" ht="13">
      <c r="B717" s="3"/>
      <c r="C717" s="3"/>
      <c r="D717" s="3"/>
      <c r="E717" s="3"/>
      <c r="F717" s="3"/>
      <c r="G717" s="3"/>
      <c r="I717" s="3">
        <f ca="1"/>
        <v>0</v>
      </c>
      <c r="J717" s="3">
        <f ca="1"/>
        <v>0</v>
      </c>
      <c r="K717" s="3">
        <f ca="1"/>
        <v>0</v>
      </c>
      <c r="M717" s="3">
        <f ca="1"/>
        <v>0</v>
      </c>
      <c r="N717" s="3">
        <f ca="1"/>
        <v>0</v>
      </c>
      <c r="O717" s="3">
        <f ca="1"/>
        <v>0</v>
      </c>
    </row>
    <row r="718" spans="2:15" ht="13">
      <c r="B718" s="3"/>
      <c r="C718" s="3"/>
      <c r="D718" s="3"/>
      <c r="E718" s="3"/>
      <c r="F718" s="3"/>
      <c r="G718" s="3"/>
      <c r="I718" s="3">
        <f ca="1"/>
        <v>0</v>
      </c>
      <c r="J718" s="3">
        <f ca="1"/>
        <v>0</v>
      </c>
      <c r="K718" s="3">
        <f ca="1"/>
        <v>0</v>
      </c>
      <c r="M718" s="3">
        <f ca="1"/>
        <v>0</v>
      </c>
      <c r="N718" s="3">
        <f ca="1"/>
        <v>0</v>
      </c>
      <c r="O718" s="3">
        <f ca="1"/>
        <v>0</v>
      </c>
    </row>
    <row r="719" spans="2:15" ht="13">
      <c r="B719" s="3"/>
      <c r="C719" s="3"/>
      <c r="D719" s="3"/>
      <c r="E719" s="3"/>
      <c r="F719" s="3"/>
      <c r="G719" s="3"/>
      <c r="I719" s="3">
        <f ca="1"/>
        <v>0</v>
      </c>
      <c r="J719" s="3">
        <f ca="1"/>
        <v>0</v>
      </c>
      <c r="K719" s="3">
        <f ca="1"/>
        <v>0</v>
      </c>
      <c r="M719" s="3">
        <f ca="1"/>
        <v>0</v>
      </c>
      <c r="N719" s="3">
        <f ca="1"/>
        <v>0</v>
      </c>
      <c r="O719" s="3">
        <f ca="1"/>
        <v>0</v>
      </c>
    </row>
    <row r="720" spans="2:15" ht="13">
      <c r="B720" s="3"/>
      <c r="C720" s="3"/>
      <c r="D720" s="3"/>
      <c r="E720" s="3"/>
      <c r="F720" s="3"/>
      <c r="G720" s="3"/>
      <c r="I720" s="3">
        <f ca="1"/>
        <v>0</v>
      </c>
      <c r="J720" s="3">
        <f ca="1"/>
        <v>0</v>
      </c>
      <c r="K720" s="3">
        <f ca="1"/>
        <v>0</v>
      </c>
      <c r="M720" s="3">
        <f ca="1"/>
        <v>0</v>
      </c>
      <c r="N720" s="3">
        <f ca="1"/>
        <v>0</v>
      </c>
      <c r="O720" s="3">
        <f ca="1"/>
        <v>0</v>
      </c>
    </row>
    <row r="721" spans="2:15" ht="13">
      <c r="B721" s="3"/>
      <c r="C721" s="3"/>
      <c r="D721" s="3"/>
      <c r="E721" s="3"/>
      <c r="F721" s="3"/>
      <c r="G721" s="3"/>
      <c r="I721" s="3">
        <f ca="1"/>
        <v>0</v>
      </c>
      <c r="J721" s="3">
        <f ca="1"/>
        <v>0</v>
      </c>
      <c r="K721" s="3">
        <f ca="1"/>
        <v>0</v>
      </c>
      <c r="M721" s="3">
        <f ca="1"/>
        <v>0</v>
      </c>
      <c r="N721" s="3">
        <f ca="1"/>
        <v>0</v>
      </c>
      <c r="O721" s="3">
        <f ca="1"/>
        <v>0</v>
      </c>
    </row>
    <row r="722" spans="2:15" ht="13">
      <c r="B722" s="3"/>
      <c r="C722" s="3"/>
      <c r="D722" s="3"/>
      <c r="E722" s="3"/>
      <c r="F722" s="3"/>
      <c r="G722" s="3"/>
      <c r="I722" s="3">
        <f ca="1"/>
        <v>0</v>
      </c>
      <c r="J722" s="3">
        <f ca="1"/>
        <v>0</v>
      </c>
      <c r="K722" s="3">
        <f ca="1"/>
        <v>0</v>
      </c>
      <c r="M722" s="3">
        <f ca="1"/>
        <v>0</v>
      </c>
      <c r="N722" s="3">
        <f ca="1"/>
        <v>0</v>
      </c>
      <c r="O722" s="3">
        <f ca="1"/>
        <v>0</v>
      </c>
    </row>
    <row r="723" spans="2:15" ht="13">
      <c r="B723" s="3"/>
      <c r="C723" s="3"/>
      <c r="D723" s="3"/>
      <c r="E723" s="3"/>
      <c r="F723" s="3"/>
      <c r="G723" s="3"/>
      <c r="I723" s="3">
        <f ca="1"/>
        <v>0</v>
      </c>
      <c r="J723" s="3">
        <f ca="1"/>
        <v>0</v>
      </c>
      <c r="K723" s="3">
        <f ca="1"/>
        <v>0</v>
      </c>
      <c r="M723" s="3">
        <f ca="1"/>
        <v>0</v>
      </c>
      <c r="N723" s="3">
        <f ca="1"/>
        <v>0</v>
      </c>
      <c r="O723" s="3">
        <f ca="1"/>
        <v>0</v>
      </c>
    </row>
    <row r="724" spans="2:15" ht="13">
      <c r="B724" s="3"/>
      <c r="C724" s="3"/>
      <c r="D724" s="3"/>
      <c r="E724" s="3"/>
      <c r="F724" s="3"/>
      <c r="G724" s="3"/>
      <c r="I724" s="3">
        <f ca="1"/>
        <v>0</v>
      </c>
      <c r="J724" s="3">
        <f ca="1"/>
        <v>0</v>
      </c>
      <c r="K724" s="3">
        <f ca="1"/>
        <v>0</v>
      </c>
      <c r="M724" s="3">
        <f ca="1"/>
        <v>0</v>
      </c>
      <c r="N724" s="3">
        <f ca="1"/>
        <v>0</v>
      </c>
      <c r="O724" s="3">
        <f ca="1"/>
        <v>0</v>
      </c>
    </row>
    <row r="725" spans="2:15" ht="13">
      <c r="B725" s="3"/>
      <c r="C725" s="3"/>
      <c r="D725" s="3"/>
      <c r="E725" s="3"/>
      <c r="F725" s="3"/>
      <c r="G725" s="3"/>
      <c r="I725" s="3">
        <f ca="1"/>
        <v>0</v>
      </c>
      <c r="J725" s="3">
        <f ca="1"/>
        <v>0</v>
      </c>
      <c r="K725" s="3">
        <f ca="1"/>
        <v>0</v>
      </c>
      <c r="M725" s="3">
        <f ca="1"/>
        <v>0</v>
      </c>
      <c r="N725" s="3">
        <f ca="1"/>
        <v>0</v>
      </c>
      <c r="O725" s="3">
        <f ca="1"/>
        <v>0</v>
      </c>
    </row>
    <row r="726" spans="2:15" ht="13">
      <c r="B726" s="3"/>
      <c r="C726" s="3"/>
      <c r="D726" s="3"/>
      <c r="E726" s="3"/>
      <c r="F726" s="3"/>
      <c r="G726" s="3"/>
      <c r="I726" s="3">
        <f ca="1"/>
        <v>0</v>
      </c>
      <c r="J726" s="3">
        <f ca="1"/>
        <v>0</v>
      </c>
      <c r="K726" s="3">
        <f ca="1"/>
        <v>0</v>
      </c>
      <c r="M726" s="3">
        <f ca="1"/>
        <v>0</v>
      </c>
      <c r="N726" s="3">
        <f ca="1"/>
        <v>0</v>
      </c>
      <c r="O726" s="3">
        <f ca="1"/>
        <v>0</v>
      </c>
    </row>
    <row r="727" spans="2:15" ht="13">
      <c r="B727" s="3"/>
      <c r="C727" s="3"/>
      <c r="D727" s="3"/>
      <c r="E727" s="3"/>
      <c r="F727" s="3"/>
      <c r="G727" s="3"/>
      <c r="I727" s="3">
        <f ca="1"/>
        <v>0</v>
      </c>
      <c r="J727" s="3">
        <f ca="1"/>
        <v>0</v>
      </c>
      <c r="K727" s="3">
        <f ca="1"/>
        <v>0</v>
      </c>
      <c r="M727" s="3">
        <f ca="1"/>
        <v>0</v>
      </c>
      <c r="N727" s="3">
        <f ca="1"/>
        <v>0</v>
      </c>
      <c r="O727" s="3">
        <f ca="1"/>
        <v>0</v>
      </c>
    </row>
    <row r="728" spans="2:15" ht="13">
      <c r="B728" s="3"/>
      <c r="C728" s="3"/>
      <c r="D728" s="3"/>
      <c r="E728" s="3"/>
      <c r="F728" s="3"/>
      <c r="G728" s="3"/>
      <c r="I728" s="3">
        <f ca="1"/>
        <v>0</v>
      </c>
      <c r="J728" s="3">
        <f ca="1"/>
        <v>0</v>
      </c>
      <c r="K728" s="3">
        <f ca="1"/>
        <v>0</v>
      </c>
      <c r="M728" s="3">
        <f ca="1"/>
        <v>0</v>
      </c>
      <c r="N728" s="3">
        <f ca="1"/>
        <v>0</v>
      </c>
      <c r="O728" s="3">
        <f ca="1"/>
        <v>0</v>
      </c>
    </row>
    <row r="729" spans="2:15" ht="13">
      <c r="B729" s="3"/>
      <c r="C729" s="3"/>
      <c r="D729" s="3"/>
      <c r="E729" s="3"/>
      <c r="F729" s="3"/>
      <c r="G729" s="3"/>
      <c r="I729" s="3">
        <f ca="1"/>
        <v>0</v>
      </c>
      <c r="J729" s="3">
        <f ca="1"/>
        <v>0</v>
      </c>
      <c r="K729" s="3">
        <f ca="1"/>
        <v>0</v>
      </c>
      <c r="M729" s="3">
        <f ca="1"/>
        <v>0</v>
      </c>
      <c r="N729" s="3">
        <f ca="1"/>
        <v>0</v>
      </c>
      <c r="O729" s="3">
        <f ca="1"/>
        <v>0</v>
      </c>
    </row>
    <row r="730" spans="2:15" ht="13">
      <c r="B730" s="3"/>
      <c r="C730" s="3"/>
      <c r="D730" s="3"/>
      <c r="E730" s="3"/>
      <c r="F730" s="3"/>
      <c r="G730" s="3"/>
      <c r="I730" s="3">
        <f ca="1"/>
        <v>0</v>
      </c>
      <c r="J730" s="3">
        <f ca="1"/>
        <v>0</v>
      </c>
      <c r="K730" s="3">
        <f ca="1"/>
        <v>0</v>
      </c>
      <c r="M730" s="3">
        <f ca="1"/>
        <v>0</v>
      </c>
      <c r="N730" s="3">
        <f ca="1"/>
        <v>0</v>
      </c>
      <c r="O730" s="3">
        <f ca="1"/>
        <v>0</v>
      </c>
    </row>
    <row r="731" spans="2:15" ht="13">
      <c r="B731" s="3"/>
      <c r="C731" s="3"/>
      <c r="D731" s="3"/>
      <c r="E731" s="3"/>
      <c r="F731" s="3"/>
      <c r="G731" s="3"/>
      <c r="I731" s="3">
        <f ca="1"/>
        <v>0</v>
      </c>
      <c r="J731" s="3">
        <f ca="1"/>
        <v>0</v>
      </c>
      <c r="K731" s="3">
        <f ca="1"/>
        <v>0</v>
      </c>
      <c r="M731" s="3">
        <f ca="1"/>
        <v>0</v>
      </c>
      <c r="N731" s="3">
        <f ca="1"/>
        <v>0</v>
      </c>
      <c r="O731" s="3">
        <f ca="1"/>
        <v>0</v>
      </c>
    </row>
    <row r="732" spans="2:15" ht="13">
      <c r="B732" s="3"/>
      <c r="C732" s="3"/>
      <c r="D732" s="3"/>
      <c r="E732" s="3"/>
      <c r="F732" s="3"/>
      <c r="G732" s="3"/>
      <c r="I732" s="3">
        <f ca="1"/>
        <v>0</v>
      </c>
      <c r="J732" s="3">
        <f ca="1"/>
        <v>0</v>
      </c>
      <c r="K732" s="3">
        <f ca="1"/>
        <v>0</v>
      </c>
      <c r="M732" s="3">
        <f ca="1"/>
        <v>0</v>
      </c>
      <c r="N732" s="3">
        <f ca="1"/>
        <v>0</v>
      </c>
      <c r="O732" s="3">
        <f ca="1"/>
        <v>0</v>
      </c>
    </row>
    <row r="733" spans="2:15" ht="13">
      <c r="B733" s="3"/>
      <c r="C733" s="3"/>
      <c r="D733" s="3"/>
      <c r="E733" s="3"/>
      <c r="F733" s="3"/>
      <c r="G733" s="3"/>
      <c r="I733" s="3">
        <f ca="1"/>
        <v>0</v>
      </c>
      <c r="J733" s="3">
        <f ca="1"/>
        <v>0</v>
      </c>
      <c r="K733" s="3">
        <f ca="1"/>
        <v>0</v>
      </c>
      <c r="M733" s="3">
        <f ca="1"/>
        <v>0</v>
      </c>
      <c r="N733" s="3">
        <f ca="1"/>
        <v>0</v>
      </c>
      <c r="O733" s="3">
        <f ca="1"/>
        <v>0</v>
      </c>
    </row>
    <row r="734" spans="2:15" ht="13">
      <c r="B734" s="3"/>
      <c r="C734" s="3"/>
      <c r="D734" s="3"/>
      <c r="E734" s="3"/>
      <c r="F734" s="3"/>
      <c r="G734" s="3"/>
      <c r="I734" s="3">
        <f ca="1"/>
        <v>0</v>
      </c>
      <c r="J734" s="3">
        <f ca="1"/>
        <v>0</v>
      </c>
      <c r="K734" s="3">
        <f ca="1"/>
        <v>0</v>
      </c>
      <c r="M734" s="3">
        <f ca="1"/>
        <v>0</v>
      </c>
      <c r="N734" s="3">
        <f ca="1"/>
        <v>0</v>
      </c>
      <c r="O734" s="3">
        <f ca="1"/>
        <v>0</v>
      </c>
    </row>
    <row r="735" spans="2:15" ht="13">
      <c r="B735" s="3"/>
      <c r="C735" s="3"/>
      <c r="D735" s="3"/>
      <c r="E735" s="3"/>
      <c r="F735" s="3"/>
      <c r="G735" s="3"/>
      <c r="I735" s="3">
        <f ca="1"/>
        <v>0</v>
      </c>
      <c r="J735" s="3">
        <f ca="1"/>
        <v>0</v>
      </c>
      <c r="K735" s="3">
        <f ca="1"/>
        <v>0</v>
      </c>
      <c r="M735" s="3">
        <f ca="1"/>
        <v>0</v>
      </c>
      <c r="N735" s="3">
        <f ca="1"/>
        <v>0</v>
      </c>
      <c r="O735" s="3">
        <f ca="1"/>
        <v>0</v>
      </c>
    </row>
    <row r="736" spans="2:15" ht="13">
      <c r="B736" s="3"/>
      <c r="C736" s="3"/>
      <c r="D736" s="3"/>
      <c r="E736" s="3"/>
      <c r="F736" s="3"/>
      <c r="G736" s="3"/>
      <c r="I736" s="3">
        <f ca="1"/>
        <v>0</v>
      </c>
      <c r="J736" s="3">
        <f ca="1"/>
        <v>0</v>
      </c>
      <c r="K736" s="3">
        <f ca="1"/>
        <v>0</v>
      </c>
      <c r="M736" s="3">
        <f ca="1"/>
        <v>0</v>
      </c>
      <c r="N736" s="3">
        <f ca="1"/>
        <v>0</v>
      </c>
      <c r="O736" s="3">
        <f ca="1"/>
        <v>0</v>
      </c>
    </row>
    <row r="737" spans="2:15" ht="13">
      <c r="B737" s="3"/>
      <c r="C737" s="3"/>
      <c r="D737" s="3"/>
      <c r="E737" s="3"/>
      <c r="F737" s="3"/>
      <c r="G737" s="3"/>
      <c r="I737" s="3">
        <f ca="1"/>
        <v>0</v>
      </c>
      <c r="J737" s="3">
        <f ca="1"/>
        <v>0</v>
      </c>
      <c r="K737" s="3">
        <f ca="1"/>
        <v>0</v>
      </c>
      <c r="M737" s="3">
        <f ca="1"/>
        <v>0</v>
      </c>
      <c r="N737" s="3">
        <f ca="1"/>
        <v>0</v>
      </c>
      <c r="O737" s="3">
        <f ca="1"/>
        <v>0</v>
      </c>
    </row>
    <row r="738" spans="2:15" ht="13">
      <c r="B738" s="3"/>
      <c r="C738" s="3"/>
      <c r="D738" s="3"/>
      <c r="E738" s="3"/>
      <c r="F738" s="3"/>
      <c r="G738" s="3"/>
      <c r="I738" s="3">
        <f ca="1"/>
        <v>0</v>
      </c>
      <c r="J738" s="3">
        <f ca="1"/>
        <v>0</v>
      </c>
      <c r="K738" s="3">
        <f ca="1"/>
        <v>0</v>
      </c>
      <c r="M738" s="3">
        <f ca="1"/>
        <v>0</v>
      </c>
      <c r="N738" s="3">
        <f ca="1"/>
        <v>0</v>
      </c>
      <c r="O738" s="3">
        <f ca="1"/>
        <v>0</v>
      </c>
    </row>
    <row r="739" spans="2:15" ht="13">
      <c r="B739" s="3"/>
      <c r="C739" s="3"/>
      <c r="D739" s="3"/>
      <c r="E739" s="3"/>
      <c r="F739" s="3"/>
      <c r="G739" s="3"/>
      <c r="I739" s="3">
        <f ca="1"/>
        <v>0</v>
      </c>
      <c r="J739" s="3">
        <f ca="1"/>
        <v>0</v>
      </c>
      <c r="K739" s="3">
        <f ca="1"/>
        <v>0</v>
      </c>
      <c r="M739" s="3">
        <f ca="1"/>
        <v>0</v>
      </c>
      <c r="N739" s="3">
        <f ca="1"/>
        <v>0</v>
      </c>
      <c r="O739" s="3">
        <f ca="1"/>
        <v>0</v>
      </c>
    </row>
    <row r="740" spans="2:15" ht="13">
      <c r="B740" s="3"/>
      <c r="C740" s="3"/>
      <c r="D740" s="3"/>
      <c r="E740" s="3"/>
      <c r="F740" s="3"/>
      <c r="G740" s="3"/>
      <c r="I740" s="3">
        <f ca="1"/>
        <v>0</v>
      </c>
      <c r="J740" s="3">
        <f ca="1"/>
        <v>0</v>
      </c>
      <c r="K740" s="3">
        <f ca="1"/>
        <v>0</v>
      </c>
      <c r="M740" s="3">
        <f ca="1"/>
        <v>0</v>
      </c>
      <c r="N740" s="3">
        <f ca="1"/>
        <v>0</v>
      </c>
      <c r="O740" s="3">
        <f ca="1"/>
        <v>0</v>
      </c>
    </row>
    <row r="741" spans="2:15" ht="13">
      <c r="B741" s="3"/>
      <c r="C741" s="3"/>
      <c r="D741" s="3"/>
      <c r="E741" s="3"/>
      <c r="F741" s="3"/>
      <c r="G741" s="3"/>
      <c r="I741" s="3">
        <f ca="1"/>
        <v>0</v>
      </c>
      <c r="J741" s="3">
        <f ca="1"/>
        <v>0</v>
      </c>
      <c r="K741" s="3">
        <f ca="1"/>
        <v>0</v>
      </c>
      <c r="M741" s="3">
        <f ca="1"/>
        <v>0</v>
      </c>
      <c r="N741" s="3">
        <f ca="1"/>
        <v>0</v>
      </c>
      <c r="O741" s="3">
        <f ca="1"/>
        <v>0</v>
      </c>
    </row>
    <row r="742" spans="2:15" ht="13">
      <c r="B742" s="3"/>
      <c r="C742" s="3"/>
      <c r="D742" s="3"/>
      <c r="E742" s="3"/>
      <c r="F742" s="3"/>
      <c r="G742" s="3"/>
      <c r="I742" s="3">
        <f ca="1"/>
        <v>0</v>
      </c>
      <c r="J742" s="3">
        <f ca="1"/>
        <v>0</v>
      </c>
      <c r="K742" s="3">
        <f ca="1"/>
        <v>0</v>
      </c>
      <c r="M742" s="3">
        <f ca="1"/>
        <v>0</v>
      </c>
      <c r="N742" s="3">
        <f ca="1"/>
        <v>0</v>
      </c>
      <c r="O742" s="3">
        <f ca="1"/>
        <v>0</v>
      </c>
    </row>
    <row r="743" spans="2:15" ht="13">
      <c r="B743" s="3"/>
      <c r="C743" s="3"/>
      <c r="D743" s="3"/>
      <c r="E743" s="3"/>
      <c r="F743" s="3"/>
      <c r="G743" s="3"/>
      <c r="I743" s="3">
        <f ca="1"/>
        <v>0</v>
      </c>
      <c r="J743" s="3">
        <f ca="1"/>
        <v>0</v>
      </c>
      <c r="K743" s="3">
        <f ca="1"/>
        <v>0</v>
      </c>
      <c r="M743" s="3">
        <f ca="1"/>
        <v>0</v>
      </c>
      <c r="N743" s="3">
        <f ca="1"/>
        <v>0</v>
      </c>
      <c r="O743" s="3">
        <f ca="1"/>
        <v>0</v>
      </c>
    </row>
    <row r="744" spans="2:15" ht="13">
      <c r="B744" s="3"/>
      <c r="C744" s="3"/>
      <c r="D744" s="3"/>
      <c r="E744" s="3"/>
      <c r="F744" s="3"/>
      <c r="G744" s="3"/>
      <c r="I744" s="3">
        <f ca="1"/>
        <v>0</v>
      </c>
      <c r="J744" s="3">
        <f ca="1"/>
        <v>0</v>
      </c>
      <c r="K744" s="3">
        <f ca="1"/>
        <v>0</v>
      </c>
      <c r="M744" s="3">
        <f ca="1"/>
        <v>0</v>
      </c>
      <c r="N744" s="3">
        <f ca="1"/>
        <v>0</v>
      </c>
      <c r="O744" s="3">
        <f ca="1"/>
        <v>0</v>
      </c>
    </row>
    <row r="745" spans="2:15" ht="13">
      <c r="B745" s="3"/>
      <c r="C745" s="3"/>
      <c r="D745" s="3"/>
      <c r="E745" s="3"/>
      <c r="F745" s="3"/>
      <c r="G745" s="3"/>
      <c r="I745" s="3">
        <f ca="1"/>
        <v>0</v>
      </c>
      <c r="J745" s="3">
        <f ca="1"/>
        <v>0</v>
      </c>
      <c r="K745" s="3">
        <f ca="1"/>
        <v>0</v>
      </c>
      <c r="M745" s="3">
        <f ca="1"/>
        <v>0</v>
      </c>
      <c r="N745" s="3">
        <f ca="1"/>
        <v>0</v>
      </c>
      <c r="O745" s="3">
        <f ca="1"/>
        <v>0</v>
      </c>
    </row>
    <row r="746" spans="2:15" ht="13">
      <c r="B746" s="3"/>
      <c r="C746" s="3"/>
      <c r="D746" s="3"/>
      <c r="E746" s="3"/>
      <c r="F746" s="3"/>
      <c r="G746" s="3"/>
      <c r="I746" s="3">
        <f ca="1"/>
        <v>0</v>
      </c>
      <c r="J746" s="3">
        <f ca="1"/>
        <v>0</v>
      </c>
      <c r="K746" s="3">
        <f ca="1"/>
        <v>0</v>
      </c>
      <c r="M746" s="3">
        <f ca="1"/>
        <v>0</v>
      </c>
      <c r="N746" s="3">
        <f ca="1"/>
        <v>0</v>
      </c>
      <c r="O746" s="3">
        <f ca="1"/>
        <v>0</v>
      </c>
    </row>
    <row r="747" spans="2:15" ht="13">
      <c r="B747" s="3"/>
      <c r="C747" s="3"/>
      <c r="D747" s="3"/>
      <c r="E747" s="3"/>
      <c r="F747" s="3"/>
      <c r="G747" s="3"/>
      <c r="I747" s="3">
        <f ca="1"/>
        <v>0</v>
      </c>
      <c r="J747" s="3">
        <f ca="1"/>
        <v>0</v>
      </c>
      <c r="K747" s="3">
        <f ca="1"/>
        <v>0</v>
      </c>
      <c r="M747" s="3">
        <f ca="1"/>
        <v>0</v>
      </c>
      <c r="N747" s="3">
        <f ca="1"/>
        <v>0</v>
      </c>
      <c r="O747" s="3">
        <f ca="1"/>
        <v>0</v>
      </c>
    </row>
    <row r="748" spans="2:15" ht="13">
      <c r="B748" s="3"/>
      <c r="C748" s="3"/>
      <c r="D748" s="3"/>
      <c r="E748" s="3"/>
      <c r="F748" s="3"/>
      <c r="G748" s="3"/>
      <c r="I748" s="3">
        <f ca="1"/>
        <v>0</v>
      </c>
      <c r="J748" s="3">
        <f ca="1"/>
        <v>0</v>
      </c>
      <c r="K748" s="3">
        <f ca="1"/>
        <v>0</v>
      </c>
      <c r="M748" s="3">
        <f ca="1"/>
        <v>0</v>
      </c>
      <c r="N748" s="3">
        <f ca="1"/>
        <v>0</v>
      </c>
      <c r="O748" s="3">
        <f ca="1"/>
        <v>0</v>
      </c>
    </row>
    <row r="749" spans="2:15" ht="13">
      <c r="B749" s="3"/>
      <c r="C749" s="3"/>
      <c r="D749" s="3"/>
      <c r="E749" s="3"/>
      <c r="F749" s="3"/>
      <c r="G749" s="3"/>
      <c r="I749" s="3">
        <f ca="1"/>
        <v>0</v>
      </c>
      <c r="J749" s="3">
        <f ca="1"/>
        <v>0</v>
      </c>
      <c r="K749" s="3">
        <f ca="1"/>
        <v>0</v>
      </c>
      <c r="M749" s="3">
        <f ca="1"/>
        <v>0</v>
      </c>
      <c r="N749" s="3">
        <f ca="1"/>
        <v>0</v>
      </c>
      <c r="O749" s="3">
        <f ca="1"/>
        <v>0</v>
      </c>
    </row>
    <row r="750" spans="2:15" ht="13">
      <c r="B750" s="3"/>
      <c r="C750" s="3"/>
      <c r="D750" s="3"/>
      <c r="E750" s="3"/>
      <c r="F750" s="3"/>
      <c r="G750" s="3"/>
      <c r="I750" s="3">
        <f ca="1"/>
        <v>0</v>
      </c>
      <c r="J750" s="3">
        <f ca="1"/>
        <v>0</v>
      </c>
      <c r="K750" s="3">
        <f ca="1"/>
        <v>0</v>
      </c>
      <c r="M750" s="3">
        <f ca="1"/>
        <v>0</v>
      </c>
      <c r="N750" s="3">
        <f ca="1"/>
        <v>0</v>
      </c>
      <c r="O750" s="3">
        <f ca="1"/>
        <v>0</v>
      </c>
    </row>
    <row r="751" spans="2:15" ht="13">
      <c r="B751" s="3"/>
      <c r="C751" s="3"/>
      <c r="D751" s="3"/>
      <c r="E751" s="3"/>
      <c r="F751" s="3"/>
      <c r="G751" s="3"/>
      <c r="I751" s="3">
        <f ca="1"/>
        <v>0</v>
      </c>
      <c r="J751" s="3">
        <f ca="1"/>
        <v>0</v>
      </c>
      <c r="K751" s="3">
        <f ca="1"/>
        <v>0</v>
      </c>
      <c r="M751" s="3">
        <f ca="1"/>
        <v>0</v>
      </c>
      <c r="N751" s="3">
        <f ca="1"/>
        <v>0</v>
      </c>
      <c r="O751" s="3">
        <f ca="1"/>
        <v>0</v>
      </c>
    </row>
    <row r="752" spans="2:15" ht="13">
      <c r="B752" s="3"/>
      <c r="C752" s="3"/>
      <c r="D752" s="3"/>
      <c r="E752" s="3"/>
      <c r="F752" s="3"/>
      <c r="G752" s="3"/>
      <c r="I752" s="3">
        <f ca="1"/>
        <v>0</v>
      </c>
      <c r="J752" s="3">
        <f ca="1"/>
        <v>0</v>
      </c>
      <c r="K752" s="3">
        <f ca="1"/>
        <v>0</v>
      </c>
      <c r="M752" s="3">
        <f ca="1"/>
        <v>0</v>
      </c>
      <c r="N752" s="3">
        <f ca="1"/>
        <v>0</v>
      </c>
      <c r="O752" s="3">
        <f ca="1"/>
        <v>0</v>
      </c>
    </row>
    <row r="753" spans="2:15" ht="13">
      <c r="B753" s="3"/>
      <c r="C753" s="3"/>
      <c r="D753" s="3"/>
      <c r="E753" s="3"/>
      <c r="F753" s="3"/>
      <c r="G753" s="3"/>
      <c r="I753" s="3">
        <f ca="1"/>
        <v>0</v>
      </c>
      <c r="J753" s="3">
        <f ca="1"/>
        <v>0</v>
      </c>
      <c r="K753" s="3">
        <f ca="1"/>
        <v>0</v>
      </c>
      <c r="M753" s="3">
        <f ca="1"/>
        <v>0</v>
      </c>
      <c r="N753" s="3">
        <f ca="1"/>
        <v>0</v>
      </c>
      <c r="O753" s="3">
        <f ca="1"/>
        <v>0</v>
      </c>
    </row>
    <row r="754" spans="2:15" ht="13">
      <c r="B754" s="3"/>
      <c r="C754" s="3"/>
      <c r="D754" s="3"/>
      <c r="E754" s="3"/>
      <c r="F754" s="3"/>
      <c r="G754" s="3"/>
      <c r="I754" s="3">
        <f ca="1"/>
        <v>0</v>
      </c>
      <c r="J754" s="3">
        <f ca="1"/>
        <v>0</v>
      </c>
      <c r="K754" s="3">
        <f ca="1"/>
        <v>0</v>
      </c>
      <c r="M754" s="3">
        <f ca="1"/>
        <v>0</v>
      </c>
      <c r="N754" s="3">
        <f ca="1"/>
        <v>0</v>
      </c>
      <c r="O754" s="3">
        <f ca="1"/>
        <v>0</v>
      </c>
    </row>
    <row r="755" spans="2:15" ht="13">
      <c r="B755" s="3"/>
      <c r="C755" s="3"/>
      <c r="D755" s="3"/>
      <c r="E755" s="3"/>
      <c r="F755" s="3"/>
      <c r="G755" s="3"/>
      <c r="I755" s="3">
        <f ca="1"/>
        <v>0</v>
      </c>
      <c r="J755" s="3">
        <f ca="1"/>
        <v>0</v>
      </c>
      <c r="K755" s="3">
        <f ca="1"/>
        <v>0</v>
      </c>
      <c r="M755" s="3">
        <f ca="1"/>
        <v>0</v>
      </c>
      <c r="N755" s="3">
        <f ca="1"/>
        <v>0</v>
      </c>
      <c r="O755" s="3">
        <f ca="1"/>
        <v>0</v>
      </c>
    </row>
    <row r="756" spans="2:15" ht="13">
      <c r="B756" s="3"/>
      <c r="C756" s="3"/>
      <c r="D756" s="3"/>
      <c r="E756" s="3"/>
      <c r="F756" s="3"/>
      <c r="G756" s="3"/>
      <c r="I756" s="3">
        <f ca="1"/>
        <v>0</v>
      </c>
      <c r="J756" s="3">
        <f ca="1"/>
        <v>0</v>
      </c>
      <c r="K756" s="3">
        <f ca="1"/>
        <v>0</v>
      </c>
      <c r="M756" s="3">
        <f ca="1"/>
        <v>0</v>
      </c>
      <c r="N756" s="3">
        <f ca="1"/>
        <v>0</v>
      </c>
      <c r="O756" s="3">
        <f ca="1"/>
        <v>0</v>
      </c>
    </row>
    <row r="757" spans="2:15" ht="13">
      <c r="B757" s="3"/>
      <c r="C757" s="3"/>
      <c r="D757" s="3"/>
      <c r="E757" s="3"/>
      <c r="F757" s="3"/>
      <c r="G757" s="3"/>
      <c r="I757" s="3">
        <f ca="1"/>
        <v>0</v>
      </c>
      <c r="J757" s="3">
        <f ca="1"/>
        <v>0</v>
      </c>
      <c r="K757" s="3">
        <f ca="1"/>
        <v>0</v>
      </c>
      <c r="M757" s="3">
        <f ca="1"/>
        <v>0</v>
      </c>
      <c r="N757" s="3">
        <f ca="1"/>
        <v>0</v>
      </c>
      <c r="O757" s="3">
        <f ca="1"/>
        <v>0</v>
      </c>
    </row>
    <row r="758" spans="2:15" ht="13">
      <c r="B758" s="3"/>
      <c r="C758" s="3"/>
      <c r="D758" s="3"/>
      <c r="E758" s="3"/>
      <c r="F758" s="3"/>
      <c r="G758" s="3"/>
      <c r="I758" s="3">
        <f ca="1"/>
        <v>0</v>
      </c>
      <c r="J758" s="3">
        <f ca="1"/>
        <v>0</v>
      </c>
      <c r="K758" s="3">
        <f ca="1"/>
        <v>0</v>
      </c>
      <c r="M758" s="3">
        <f ca="1"/>
        <v>0</v>
      </c>
      <c r="N758" s="3">
        <f ca="1"/>
        <v>0</v>
      </c>
      <c r="O758" s="3">
        <f ca="1"/>
        <v>0</v>
      </c>
    </row>
    <row r="759" spans="2:15" ht="13">
      <c r="B759" s="3"/>
      <c r="C759" s="3"/>
      <c r="D759" s="3"/>
      <c r="E759" s="3"/>
      <c r="F759" s="3"/>
      <c r="G759" s="3"/>
      <c r="I759" s="3">
        <f ca="1"/>
        <v>0</v>
      </c>
      <c r="J759" s="3">
        <f ca="1"/>
        <v>0</v>
      </c>
      <c r="K759" s="3">
        <f ca="1"/>
        <v>0</v>
      </c>
      <c r="M759" s="3">
        <f ca="1"/>
        <v>0</v>
      </c>
      <c r="N759" s="3">
        <f ca="1"/>
        <v>0</v>
      </c>
      <c r="O759" s="3">
        <f ca="1"/>
        <v>0</v>
      </c>
    </row>
    <row r="760" spans="2:15" ht="13">
      <c r="B760" s="3"/>
      <c r="C760" s="3"/>
      <c r="D760" s="3"/>
      <c r="E760" s="3"/>
      <c r="F760" s="3"/>
      <c r="G760" s="3"/>
      <c r="I760" s="3">
        <f ca="1"/>
        <v>0</v>
      </c>
      <c r="J760" s="3">
        <f ca="1"/>
        <v>0</v>
      </c>
      <c r="K760" s="3">
        <f ca="1"/>
        <v>0</v>
      </c>
      <c r="M760" s="3">
        <f ca="1"/>
        <v>0</v>
      </c>
      <c r="N760" s="3">
        <f ca="1"/>
        <v>0</v>
      </c>
      <c r="O760" s="3">
        <f ca="1"/>
        <v>0</v>
      </c>
    </row>
    <row r="761" spans="2:15" ht="13">
      <c r="B761" s="3"/>
      <c r="C761" s="3"/>
      <c r="D761" s="3"/>
      <c r="E761" s="3"/>
      <c r="F761" s="3"/>
      <c r="G761" s="3"/>
      <c r="I761" s="3">
        <f ca="1"/>
        <v>0</v>
      </c>
      <c r="J761" s="3">
        <f ca="1"/>
        <v>0</v>
      </c>
      <c r="K761" s="3">
        <f ca="1"/>
        <v>0</v>
      </c>
      <c r="M761" s="3">
        <f ca="1"/>
        <v>0</v>
      </c>
      <c r="N761" s="3">
        <f ca="1"/>
        <v>0</v>
      </c>
      <c r="O761" s="3">
        <f ca="1"/>
        <v>0</v>
      </c>
    </row>
    <row r="762" spans="2:15" ht="13">
      <c r="B762" s="3"/>
      <c r="C762" s="3"/>
      <c r="D762" s="3"/>
      <c r="E762" s="3"/>
      <c r="F762" s="3"/>
      <c r="G762" s="3"/>
      <c r="I762" s="3">
        <f ca="1"/>
        <v>0</v>
      </c>
      <c r="J762" s="3">
        <f ca="1"/>
        <v>0</v>
      </c>
      <c r="K762" s="3">
        <f ca="1"/>
        <v>0</v>
      </c>
      <c r="M762" s="3">
        <f ca="1"/>
        <v>0</v>
      </c>
      <c r="N762" s="3">
        <f ca="1"/>
        <v>0</v>
      </c>
      <c r="O762" s="3">
        <f ca="1"/>
        <v>0</v>
      </c>
    </row>
    <row r="763" spans="2:15" ht="13">
      <c r="B763" s="3"/>
      <c r="C763" s="3"/>
      <c r="D763" s="3"/>
      <c r="E763" s="3"/>
      <c r="F763" s="3"/>
      <c r="G763" s="3"/>
      <c r="I763" s="3">
        <f ca="1"/>
        <v>0</v>
      </c>
      <c r="J763" s="3">
        <f ca="1"/>
        <v>0</v>
      </c>
      <c r="K763" s="3">
        <f ca="1"/>
        <v>0</v>
      </c>
      <c r="M763" s="3">
        <f ca="1"/>
        <v>0</v>
      </c>
      <c r="N763" s="3">
        <f ca="1"/>
        <v>0</v>
      </c>
      <c r="O763" s="3">
        <f ca="1"/>
        <v>0</v>
      </c>
    </row>
    <row r="764" spans="2:15" ht="13">
      <c r="B764" s="3"/>
      <c r="C764" s="3"/>
      <c r="D764" s="3"/>
      <c r="E764" s="3"/>
      <c r="F764" s="3"/>
      <c r="G764" s="3"/>
      <c r="I764" s="3">
        <f ca="1"/>
        <v>0</v>
      </c>
      <c r="J764" s="3">
        <f ca="1"/>
        <v>0</v>
      </c>
      <c r="K764" s="3">
        <f ca="1"/>
        <v>0</v>
      </c>
      <c r="M764" s="3">
        <f ca="1"/>
        <v>0</v>
      </c>
      <c r="N764" s="3">
        <f ca="1"/>
        <v>0</v>
      </c>
      <c r="O764" s="3">
        <f ca="1"/>
        <v>0</v>
      </c>
    </row>
    <row r="765" spans="2:15" ht="13">
      <c r="B765" s="3"/>
      <c r="C765" s="3"/>
      <c r="D765" s="3"/>
      <c r="E765" s="3"/>
      <c r="F765" s="3"/>
      <c r="G765" s="3"/>
      <c r="I765" s="3">
        <f ca="1"/>
        <v>0</v>
      </c>
      <c r="J765" s="3">
        <f ca="1"/>
        <v>0</v>
      </c>
      <c r="K765" s="3">
        <f ca="1"/>
        <v>0</v>
      </c>
      <c r="M765" s="3">
        <f ca="1"/>
        <v>0</v>
      </c>
      <c r="N765" s="3">
        <f ca="1"/>
        <v>0</v>
      </c>
      <c r="O765" s="3">
        <f ca="1"/>
        <v>0</v>
      </c>
    </row>
    <row r="766" spans="2:15" ht="13">
      <c r="B766" s="3"/>
      <c r="C766" s="3"/>
      <c r="D766" s="3"/>
      <c r="E766" s="3"/>
      <c r="F766" s="3"/>
      <c r="G766" s="3"/>
      <c r="I766" s="3">
        <f ca="1"/>
        <v>0</v>
      </c>
      <c r="J766" s="3">
        <f ca="1"/>
        <v>0</v>
      </c>
      <c r="K766" s="3">
        <f ca="1"/>
        <v>0</v>
      </c>
      <c r="M766" s="3">
        <f ca="1"/>
        <v>0</v>
      </c>
      <c r="N766" s="3">
        <f ca="1"/>
        <v>0</v>
      </c>
      <c r="O766" s="3">
        <f ca="1"/>
        <v>0</v>
      </c>
    </row>
    <row r="767" spans="2:15" ht="13">
      <c r="B767" s="3"/>
      <c r="C767" s="3"/>
      <c r="D767" s="3"/>
      <c r="E767" s="3"/>
      <c r="F767" s="3"/>
      <c r="G767" s="3"/>
      <c r="I767" s="3">
        <f ca="1"/>
        <v>0</v>
      </c>
      <c r="J767" s="3">
        <f ca="1"/>
        <v>0</v>
      </c>
      <c r="K767" s="3">
        <f ca="1"/>
        <v>0</v>
      </c>
      <c r="M767" s="3">
        <f ca="1"/>
        <v>0</v>
      </c>
      <c r="N767" s="3">
        <f ca="1"/>
        <v>0</v>
      </c>
      <c r="O767" s="3">
        <f ca="1"/>
        <v>0</v>
      </c>
    </row>
    <row r="768" spans="2:15" ht="13">
      <c r="B768" s="3"/>
      <c r="C768" s="3"/>
      <c r="D768" s="3"/>
      <c r="E768" s="3"/>
      <c r="F768" s="3"/>
      <c r="G768" s="3"/>
      <c r="I768" s="3">
        <f ca="1"/>
        <v>0</v>
      </c>
      <c r="J768" s="3">
        <f ca="1"/>
        <v>0</v>
      </c>
      <c r="K768" s="3">
        <f ca="1"/>
        <v>0</v>
      </c>
      <c r="M768" s="3">
        <f ca="1"/>
        <v>0</v>
      </c>
      <c r="N768" s="3">
        <f ca="1"/>
        <v>0</v>
      </c>
      <c r="O768" s="3">
        <f ca="1"/>
        <v>0</v>
      </c>
    </row>
    <row r="769" spans="2:15" ht="13">
      <c r="B769" s="3"/>
      <c r="C769" s="3"/>
      <c r="D769" s="3"/>
      <c r="E769" s="3"/>
      <c r="F769" s="3"/>
      <c r="G769" s="3"/>
      <c r="I769" s="3">
        <f ca="1"/>
        <v>0</v>
      </c>
      <c r="J769" s="3">
        <f ca="1"/>
        <v>0</v>
      </c>
      <c r="K769" s="3">
        <f ca="1"/>
        <v>0</v>
      </c>
      <c r="M769" s="3">
        <f ca="1"/>
        <v>0</v>
      </c>
      <c r="N769" s="3">
        <f ca="1"/>
        <v>0</v>
      </c>
      <c r="O769" s="3">
        <f ca="1"/>
        <v>0</v>
      </c>
    </row>
    <row r="770" spans="2:15" ht="13">
      <c r="B770" s="3"/>
      <c r="C770" s="3"/>
      <c r="D770" s="3"/>
      <c r="E770" s="3"/>
      <c r="F770" s="3"/>
      <c r="G770" s="3"/>
      <c r="I770" s="3">
        <f ca="1"/>
        <v>0</v>
      </c>
      <c r="J770" s="3">
        <f ca="1"/>
        <v>0</v>
      </c>
      <c r="K770" s="3">
        <f ca="1"/>
        <v>0</v>
      </c>
      <c r="M770" s="3">
        <f ca="1"/>
        <v>0</v>
      </c>
      <c r="N770" s="3">
        <f ca="1"/>
        <v>0</v>
      </c>
      <c r="O770" s="3">
        <f ca="1"/>
        <v>0</v>
      </c>
    </row>
    <row r="771" spans="2:15" ht="13">
      <c r="B771" s="3"/>
      <c r="C771" s="3"/>
      <c r="D771" s="3"/>
      <c r="E771" s="3"/>
      <c r="F771" s="3"/>
      <c r="G771" s="3"/>
      <c r="I771" s="3">
        <f ca="1"/>
        <v>0</v>
      </c>
      <c r="J771" s="3">
        <f ca="1"/>
        <v>0</v>
      </c>
      <c r="K771" s="3">
        <f ca="1"/>
        <v>0</v>
      </c>
      <c r="M771" s="3">
        <f ca="1"/>
        <v>0</v>
      </c>
      <c r="N771" s="3">
        <f ca="1"/>
        <v>0</v>
      </c>
      <c r="O771" s="3">
        <f ca="1"/>
        <v>0</v>
      </c>
    </row>
    <row r="772" spans="2:15" ht="13">
      <c r="B772" s="3"/>
      <c r="C772" s="3"/>
      <c r="D772" s="3"/>
      <c r="E772" s="3"/>
      <c r="F772" s="3"/>
      <c r="G772" s="3"/>
      <c r="I772" s="3">
        <f ca="1"/>
        <v>0</v>
      </c>
      <c r="J772" s="3">
        <f ca="1"/>
        <v>0</v>
      </c>
      <c r="K772" s="3">
        <f ca="1"/>
        <v>0</v>
      </c>
      <c r="M772" s="3">
        <f ca="1"/>
        <v>0</v>
      </c>
      <c r="N772" s="3">
        <f ca="1"/>
        <v>0</v>
      </c>
      <c r="O772" s="3">
        <f ca="1"/>
        <v>0</v>
      </c>
    </row>
    <row r="773" spans="2:15" ht="13">
      <c r="B773" s="3"/>
      <c r="C773" s="3"/>
      <c r="D773" s="3"/>
      <c r="E773" s="3"/>
      <c r="F773" s="3"/>
      <c r="G773" s="3"/>
      <c r="I773" s="3">
        <f ca="1"/>
        <v>0</v>
      </c>
      <c r="J773" s="3">
        <f ca="1"/>
        <v>0</v>
      </c>
      <c r="K773" s="3">
        <f ca="1"/>
        <v>0</v>
      </c>
      <c r="M773" s="3">
        <f ca="1"/>
        <v>0</v>
      </c>
      <c r="N773" s="3">
        <f ca="1"/>
        <v>0</v>
      </c>
      <c r="O773" s="3">
        <f ca="1"/>
        <v>0</v>
      </c>
    </row>
    <row r="774" spans="2:15" ht="13">
      <c r="B774" s="3"/>
      <c r="C774" s="3"/>
      <c r="D774" s="3"/>
      <c r="E774" s="3"/>
      <c r="F774" s="3"/>
      <c r="G774" s="3"/>
      <c r="I774" s="3">
        <f ca="1"/>
        <v>0</v>
      </c>
      <c r="J774" s="3">
        <f ca="1"/>
        <v>0</v>
      </c>
      <c r="K774" s="3">
        <f ca="1"/>
        <v>0</v>
      </c>
      <c r="M774" s="3">
        <f ca="1"/>
        <v>0</v>
      </c>
      <c r="N774" s="3">
        <f ca="1"/>
        <v>0</v>
      </c>
      <c r="O774" s="3">
        <f ca="1"/>
        <v>0</v>
      </c>
    </row>
    <row r="775" spans="2:15" ht="13">
      <c r="B775" s="3"/>
      <c r="C775" s="3"/>
      <c r="D775" s="3"/>
      <c r="E775" s="3"/>
      <c r="F775" s="3"/>
      <c r="G775" s="3"/>
      <c r="I775" s="3">
        <f ca="1"/>
        <v>0</v>
      </c>
      <c r="J775" s="3">
        <f ca="1"/>
        <v>0</v>
      </c>
      <c r="K775" s="3">
        <f ca="1"/>
        <v>0</v>
      </c>
      <c r="M775" s="3">
        <f ca="1"/>
        <v>0</v>
      </c>
      <c r="N775" s="3">
        <f ca="1"/>
        <v>0</v>
      </c>
      <c r="O775" s="3">
        <f ca="1"/>
        <v>0</v>
      </c>
    </row>
    <row r="776" spans="2:15" ht="13">
      <c r="B776" s="3"/>
      <c r="C776" s="3"/>
      <c r="D776" s="3"/>
      <c r="E776" s="3"/>
      <c r="F776" s="3"/>
      <c r="G776" s="3"/>
      <c r="I776" s="3">
        <f ca="1"/>
        <v>0</v>
      </c>
      <c r="J776" s="3">
        <f ca="1"/>
        <v>0</v>
      </c>
      <c r="K776" s="3">
        <f ca="1"/>
        <v>0</v>
      </c>
      <c r="M776" s="3">
        <f ca="1"/>
        <v>0</v>
      </c>
      <c r="N776" s="3">
        <f ca="1"/>
        <v>0</v>
      </c>
      <c r="O776" s="3">
        <f ca="1"/>
        <v>0</v>
      </c>
    </row>
    <row r="777" spans="2:15" ht="13">
      <c r="B777" s="3"/>
      <c r="C777" s="3"/>
      <c r="D777" s="3"/>
      <c r="E777" s="3"/>
      <c r="F777" s="3"/>
      <c r="G777" s="3"/>
      <c r="I777" s="3">
        <f ca="1"/>
        <v>0</v>
      </c>
      <c r="J777" s="3">
        <f ca="1"/>
        <v>0</v>
      </c>
      <c r="K777" s="3">
        <f ca="1"/>
        <v>0</v>
      </c>
      <c r="M777" s="3">
        <f ca="1"/>
        <v>0</v>
      </c>
      <c r="N777" s="3">
        <f ca="1"/>
        <v>0</v>
      </c>
      <c r="O777" s="3">
        <f ca="1"/>
        <v>0</v>
      </c>
    </row>
    <row r="778" spans="2:15" ht="13">
      <c r="B778" s="3"/>
      <c r="C778" s="3"/>
      <c r="D778" s="3"/>
      <c r="E778" s="3"/>
      <c r="F778" s="3"/>
      <c r="G778" s="3"/>
      <c r="I778" s="3">
        <f ca="1"/>
        <v>0</v>
      </c>
      <c r="J778" s="3">
        <f ca="1"/>
        <v>0</v>
      </c>
      <c r="K778" s="3">
        <f ca="1"/>
        <v>0</v>
      </c>
      <c r="M778" s="3">
        <f ca="1"/>
        <v>0</v>
      </c>
      <c r="N778" s="3">
        <f ca="1"/>
        <v>0</v>
      </c>
      <c r="O778" s="3">
        <f ca="1"/>
        <v>0</v>
      </c>
    </row>
    <row r="779" spans="2:15" ht="13">
      <c r="B779" s="3"/>
      <c r="C779" s="3"/>
      <c r="D779" s="3"/>
      <c r="E779" s="3"/>
      <c r="F779" s="3"/>
      <c r="G779" s="3"/>
      <c r="I779" s="3">
        <f ca="1"/>
        <v>0</v>
      </c>
      <c r="J779" s="3">
        <f ca="1"/>
        <v>0</v>
      </c>
      <c r="K779" s="3">
        <f ca="1"/>
        <v>0</v>
      </c>
      <c r="M779" s="3">
        <f ca="1"/>
        <v>0</v>
      </c>
      <c r="N779" s="3">
        <f ca="1"/>
        <v>0</v>
      </c>
      <c r="O779" s="3">
        <f ca="1"/>
        <v>0</v>
      </c>
    </row>
    <row r="780" spans="2:15" ht="13">
      <c r="B780" s="3"/>
      <c r="C780" s="3"/>
      <c r="D780" s="3"/>
      <c r="E780" s="3"/>
      <c r="F780" s="3"/>
      <c r="G780" s="3"/>
      <c r="I780" s="3">
        <f ca="1"/>
        <v>0</v>
      </c>
      <c r="J780" s="3">
        <f ca="1"/>
        <v>0</v>
      </c>
      <c r="K780" s="3">
        <f ca="1"/>
        <v>0</v>
      </c>
      <c r="M780" s="3">
        <f ca="1"/>
        <v>0</v>
      </c>
      <c r="N780" s="3">
        <f ca="1"/>
        <v>0</v>
      </c>
      <c r="O780" s="3">
        <f ca="1"/>
        <v>0</v>
      </c>
    </row>
    <row r="781" spans="2:15" ht="13">
      <c r="B781" s="3"/>
      <c r="C781" s="3"/>
      <c r="D781" s="3"/>
      <c r="E781" s="3"/>
      <c r="F781" s="3"/>
      <c r="G781" s="3"/>
      <c r="I781" s="3">
        <f ca="1"/>
        <v>0</v>
      </c>
      <c r="J781" s="3">
        <f ca="1"/>
        <v>0</v>
      </c>
      <c r="K781" s="3">
        <f ca="1"/>
        <v>0</v>
      </c>
      <c r="M781" s="3">
        <f ca="1"/>
        <v>0</v>
      </c>
      <c r="N781" s="3">
        <f ca="1"/>
        <v>0</v>
      </c>
      <c r="O781" s="3">
        <f ca="1"/>
        <v>0</v>
      </c>
    </row>
    <row r="782" spans="2:15" ht="13">
      <c r="B782" s="3"/>
      <c r="C782" s="3"/>
      <c r="D782" s="3"/>
      <c r="E782" s="3"/>
      <c r="F782" s="3"/>
      <c r="G782" s="3"/>
      <c r="I782" s="3">
        <f ca="1"/>
        <v>0</v>
      </c>
      <c r="J782" s="3">
        <f ca="1"/>
        <v>0</v>
      </c>
      <c r="K782" s="3">
        <f ca="1"/>
        <v>0</v>
      </c>
      <c r="M782" s="3">
        <f ca="1"/>
        <v>0</v>
      </c>
      <c r="N782" s="3">
        <f ca="1"/>
        <v>0</v>
      </c>
      <c r="O782" s="3">
        <f ca="1"/>
        <v>0</v>
      </c>
    </row>
    <row r="783" spans="2:15" ht="13">
      <c r="B783" s="3"/>
      <c r="C783" s="3"/>
      <c r="D783" s="3"/>
      <c r="E783" s="3"/>
      <c r="F783" s="3"/>
      <c r="G783" s="3"/>
      <c r="I783" s="3">
        <f ca="1"/>
        <v>0</v>
      </c>
      <c r="J783" s="3">
        <f ca="1"/>
        <v>0</v>
      </c>
      <c r="K783" s="3">
        <f ca="1"/>
        <v>0</v>
      </c>
      <c r="M783" s="3">
        <f ca="1"/>
        <v>0</v>
      </c>
      <c r="N783" s="3">
        <f ca="1"/>
        <v>0</v>
      </c>
      <c r="O783" s="3">
        <f ca="1"/>
        <v>0</v>
      </c>
    </row>
    <row r="784" spans="2:15" ht="13">
      <c r="B784" s="3"/>
      <c r="C784" s="3"/>
      <c r="D784" s="3"/>
      <c r="E784" s="3"/>
      <c r="F784" s="3"/>
      <c r="G784" s="3"/>
      <c r="I784" s="3">
        <f ca="1"/>
        <v>0</v>
      </c>
      <c r="J784" s="3">
        <f ca="1"/>
        <v>0</v>
      </c>
      <c r="K784" s="3">
        <f ca="1"/>
        <v>0</v>
      </c>
      <c r="M784" s="3">
        <f ca="1"/>
        <v>0</v>
      </c>
      <c r="N784" s="3">
        <f ca="1"/>
        <v>0</v>
      </c>
      <c r="O784" s="3">
        <f ca="1"/>
        <v>0</v>
      </c>
    </row>
    <row r="785" spans="2:15" ht="13">
      <c r="B785" s="3"/>
      <c r="C785" s="3"/>
      <c r="D785" s="3"/>
      <c r="E785" s="3"/>
      <c r="F785" s="3"/>
      <c r="G785" s="3"/>
      <c r="I785" s="3">
        <f ca="1"/>
        <v>0</v>
      </c>
      <c r="J785" s="3">
        <f ca="1"/>
        <v>0</v>
      </c>
      <c r="K785" s="3">
        <f ca="1"/>
        <v>0</v>
      </c>
      <c r="M785" s="3">
        <f ca="1"/>
        <v>0</v>
      </c>
      <c r="N785" s="3">
        <f ca="1"/>
        <v>0</v>
      </c>
      <c r="O785" s="3">
        <f ca="1"/>
        <v>0</v>
      </c>
    </row>
    <row r="786" spans="2:15" ht="13">
      <c r="B786" s="3"/>
      <c r="C786" s="3"/>
      <c r="D786" s="3"/>
      <c r="E786" s="3"/>
      <c r="F786" s="3"/>
      <c r="G786" s="3"/>
      <c r="I786" s="3">
        <f ca="1"/>
        <v>0</v>
      </c>
      <c r="J786" s="3">
        <f ca="1"/>
        <v>0</v>
      </c>
      <c r="K786" s="3">
        <f ca="1"/>
        <v>0</v>
      </c>
      <c r="M786" s="3">
        <f ca="1"/>
        <v>0</v>
      </c>
      <c r="N786" s="3">
        <f ca="1"/>
        <v>0</v>
      </c>
      <c r="O786" s="3">
        <f ca="1"/>
        <v>0</v>
      </c>
    </row>
    <row r="787" spans="2:15" ht="13">
      <c r="B787" s="3"/>
      <c r="C787" s="3"/>
      <c r="D787" s="3"/>
      <c r="E787" s="3"/>
      <c r="F787" s="3"/>
      <c r="G787" s="3"/>
      <c r="I787" s="3">
        <f ca="1"/>
        <v>0</v>
      </c>
      <c r="J787" s="3">
        <f ca="1"/>
        <v>0</v>
      </c>
      <c r="K787" s="3">
        <f ca="1"/>
        <v>0</v>
      </c>
      <c r="M787" s="3">
        <f ca="1"/>
        <v>0</v>
      </c>
      <c r="N787" s="3">
        <f ca="1"/>
        <v>0</v>
      </c>
      <c r="O787" s="3">
        <f ca="1"/>
        <v>0</v>
      </c>
    </row>
    <row r="788" spans="2:15" ht="13">
      <c r="B788" s="3"/>
      <c r="C788" s="3"/>
      <c r="D788" s="3"/>
      <c r="E788" s="3"/>
      <c r="F788" s="3"/>
      <c r="G788" s="3"/>
      <c r="I788" s="3">
        <f ca="1"/>
        <v>0</v>
      </c>
      <c r="J788" s="3">
        <f ca="1"/>
        <v>0</v>
      </c>
      <c r="K788" s="3">
        <f ca="1"/>
        <v>0</v>
      </c>
      <c r="M788" s="3">
        <f ca="1"/>
        <v>0</v>
      </c>
      <c r="N788" s="3">
        <f ca="1"/>
        <v>0</v>
      </c>
      <c r="O788" s="3">
        <f ca="1"/>
        <v>0</v>
      </c>
    </row>
    <row r="789" spans="2:15" ht="13">
      <c r="B789" s="3"/>
      <c r="C789" s="3"/>
      <c r="D789" s="3"/>
      <c r="E789" s="3"/>
      <c r="F789" s="3"/>
      <c r="G789" s="3"/>
      <c r="I789" s="3">
        <f ca="1"/>
        <v>0</v>
      </c>
      <c r="J789" s="3">
        <f ca="1"/>
        <v>0</v>
      </c>
      <c r="K789" s="3">
        <f ca="1"/>
        <v>0</v>
      </c>
      <c r="M789" s="3">
        <f ca="1"/>
        <v>0</v>
      </c>
      <c r="N789" s="3">
        <f ca="1"/>
        <v>0</v>
      </c>
      <c r="O789" s="3">
        <f ca="1"/>
        <v>0</v>
      </c>
    </row>
    <row r="790" spans="2:15" ht="13">
      <c r="B790" s="3"/>
      <c r="C790" s="3"/>
      <c r="D790" s="3"/>
      <c r="E790" s="3"/>
      <c r="F790" s="3"/>
      <c r="G790" s="3"/>
      <c r="I790" s="3">
        <f ca="1"/>
        <v>0</v>
      </c>
      <c r="J790" s="3">
        <f ca="1"/>
        <v>0</v>
      </c>
      <c r="K790" s="3">
        <f ca="1"/>
        <v>0</v>
      </c>
      <c r="M790" s="3">
        <f ca="1"/>
        <v>0</v>
      </c>
      <c r="N790" s="3">
        <f ca="1"/>
        <v>0</v>
      </c>
      <c r="O790" s="3">
        <f ca="1"/>
        <v>0</v>
      </c>
    </row>
    <row r="791" spans="2:15" ht="13">
      <c r="B791" s="3"/>
      <c r="C791" s="3"/>
      <c r="D791" s="3"/>
      <c r="E791" s="3"/>
      <c r="F791" s="3"/>
      <c r="G791" s="3"/>
      <c r="I791" s="3">
        <f ca="1"/>
        <v>0</v>
      </c>
      <c r="J791" s="3">
        <f ca="1"/>
        <v>0</v>
      </c>
      <c r="K791" s="3">
        <f ca="1"/>
        <v>0</v>
      </c>
      <c r="M791" s="3">
        <f ca="1"/>
        <v>0</v>
      </c>
      <c r="N791" s="3">
        <f ca="1"/>
        <v>0</v>
      </c>
      <c r="O791" s="3">
        <f ca="1"/>
        <v>0</v>
      </c>
    </row>
    <row r="792" spans="2:15" ht="13">
      <c r="B792" s="3"/>
      <c r="C792" s="3"/>
      <c r="D792" s="3"/>
      <c r="E792" s="3"/>
      <c r="F792" s="3"/>
      <c r="G792" s="3"/>
      <c r="I792" s="3">
        <f ca="1"/>
        <v>0</v>
      </c>
      <c r="J792" s="3">
        <f ca="1"/>
        <v>0</v>
      </c>
      <c r="K792" s="3">
        <f ca="1"/>
        <v>0</v>
      </c>
      <c r="M792" s="3">
        <f ca="1"/>
        <v>0</v>
      </c>
      <c r="N792" s="3">
        <f ca="1"/>
        <v>0</v>
      </c>
      <c r="O792" s="3">
        <f ca="1"/>
        <v>0</v>
      </c>
    </row>
    <row r="793" spans="2:15" ht="13">
      <c r="B793" s="3"/>
      <c r="C793" s="3"/>
      <c r="D793" s="3"/>
      <c r="E793" s="3"/>
      <c r="F793" s="3"/>
      <c r="G793" s="3"/>
      <c r="I793" s="3">
        <f ca="1"/>
        <v>0</v>
      </c>
      <c r="J793" s="3">
        <f ca="1"/>
        <v>0</v>
      </c>
      <c r="K793" s="3">
        <f ca="1"/>
        <v>0</v>
      </c>
      <c r="M793" s="3">
        <f ca="1"/>
        <v>0</v>
      </c>
      <c r="N793" s="3">
        <f ca="1"/>
        <v>0</v>
      </c>
      <c r="O793" s="3">
        <f ca="1"/>
        <v>0</v>
      </c>
    </row>
    <row r="794" spans="2:15" ht="13">
      <c r="B794" s="3"/>
      <c r="C794" s="3"/>
      <c r="D794" s="3"/>
      <c r="E794" s="3"/>
      <c r="F794" s="3"/>
      <c r="G794" s="3"/>
      <c r="I794" s="3">
        <f ca="1"/>
        <v>0</v>
      </c>
      <c r="J794" s="3">
        <f ca="1"/>
        <v>0</v>
      </c>
      <c r="K794" s="3">
        <f ca="1"/>
        <v>0</v>
      </c>
      <c r="M794" s="3">
        <f ca="1"/>
        <v>0</v>
      </c>
      <c r="N794" s="3">
        <f ca="1"/>
        <v>0</v>
      </c>
      <c r="O794" s="3">
        <f ca="1"/>
        <v>0</v>
      </c>
    </row>
    <row r="795" spans="2:15" ht="13">
      <c r="B795" s="3"/>
      <c r="C795" s="3"/>
      <c r="D795" s="3"/>
      <c r="E795" s="3"/>
      <c r="F795" s="3"/>
      <c r="G795" s="3"/>
      <c r="I795" s="3">
        <f ca="1"/>
        <v>0</v>
      </c>
      <c r="J795" s="3">
        <f ca="1"/>
        <v>0</v>
      </c>
      <c r="K795" s="3">
        <f ca="1"/>
        <v>0</v>
      </c>
      <c r="M795" s="3">
        <f ca="1"/>
        <v>0</v>
      </c>
      <c r="N795" s="3">
        <f ca="1"/>
        <v>0</v>
      </c>
      <c r="O795" s="3">
        <f ca="1"/>
        <v>0</v>
      </c>
    </row>
    <row r="796" spans="2:15" ht="13">
      <c r="B796" s="3"/>
      <c r="C796" s="3"/>
      <c r="D796" s="3"/>
      <c r="E796" s="3"/>
      <c r="F796" s="3"/>
      <c r="G796" s="3"/>
      <c r="I796" s="3">
        <f ca="1"/>
        <v>0</v>
      </c>
      <c r="J796" s="3">
        <f ca="1"/>
        <v>0</v>
      </c>
      <c r="K796" s="3">
        <f ca="1"/>
        <v>0</v>
      </c>
      <c r="M796" s="3">
        <f ca="1"/>
        <v>0</v>
      </c>
      <c r="N796" s="3">
        <f ca="1"/>
        <v>0</v>
      </c>
      <c r="O796" s="3">
        <f ca="1"/>
        <v>0</v>
      </c>
    </row>
    <row r="797" spans="2:15" ht="13">
      <c r="B797" s="3"/>
      <c r="C797" s="3"/>
      <c r="D797" s="3"/>
      <c r="E797" s="3"/>
      <c r="F797" s="3"/>
      <c r="G797" s="3"/>
      <c r="I797" s="3">
        <f ca="1"/>
        <v>0</v>
      </c>
      <c r="J797" s="3">
        <f ca="1"/>
        <v>0</v>
      </c>
      <c r="K797" s="3">
        <f ca="1"/>
        <v>0</v>
      </c>
      <c r="M797" s="3">
        <f ca="1"/>
        <v>0</v>
      </c>
      <c r="N797" s="3">
        <f ca="1"/>
        <v>0</v>
      </c>
      <c r="O797" s="3">
        <f ca="1"/>
        <v>0</v>
      </c>
    </row>
    <row r="798" spans="2:15" ht="13">
      <c r="B798" s="3"/>
      <c r="C798" s="3"/>
      <c r="D798" s="3"/>
      <c r="E798" s="3"/>
      <c r="F798" s="3"/>
      <c r="G798" s="3"/>
      <c r="I798" s="3">
        <f ca="1"/>
        <v>0</v>
      </c>
      <c r="J798" s="3">
        <f ca="1"/>
        <v>0</v>
      </c>
      <c r="K798" s="3">
        <f ca="1"/>
        <v>0</v>
      </c>
      <c r="M798" s="3">
        <f ca="1"/>
        <v>0</v>
      </c>
      <c r="N798" s="3">
        <f ca="1"/>
        <v>0</v>
      </c>
      <c r="O798" s="3">
        <f ca="1"/>
        <v>0</v>
      </c>
    </row>
    <row r="799" spans="2:15" ht="13">
      <c r="B799" s="3"/>
      <c r="C799" s="3"/>
      <c r="D799" s="3"/>
      <c r="E799" s="3"/>
      <c r="F799" s="3"/>
      <c r="G799" s="3"/>
      <c r="I799" s="3">
        <f ca="1"/>
        <v>0</v>
      </c>
      <c r="J799" s="3">
        <f ca="1"/>
        <v>0</v>
      </c>
      <c r="K799" s="3">
        <f ca="1"/>
        <v>0</v>
      </c>
      <c r="M799" s="3">
        <f ca="1"/>
        <v>0</v>
      </c>
      <c r="N799" s="3">
        <f ca="1"/>
        <v>0</v>
      </c>
      <c r="O799" s="3">
        <f ca="1"/>
        <v>0</v>
      </c>
    </row>
    <row r="800" spans="2:15" ht="13">
      <c r="B800" s="3"/>
      <c r="C800" s="3"/>
      <c r="D800" s="3"/>
      <c r="E800" s="3"/>
      <c r="F800" s="3"/>
      <c r="G800" s="3"/>
      <c r="I800" s="3">
        <f ca="1"/>
        <v>0</v>
      </c>
      <c r="J800" s="3">
        <f ca="1"/>
        <v>0</v>
      </c>
      <c r="K800" s="3">
        <f ca="1"/>
        <v>0</v>
      </c>
      <c r="M800" s="3">
        <f ca="1"/>
        <v>0</v>
      </c>
      <c r="N800" s="3">
        <f ca="1"/>
        <v>0</v>
      </c>
      <c r="O800" s="3">
        <f ca="1"/>
        <v>0</v>
      </c>
    </row>
    <row r="801" spans="2:15" ht="13">
      <c r="B801" s="3"/>
      <c r="C801" s="3"/>
      <c r="D801" s="3"/>
      <c r="E801" s="3"/>
      <c r="F801" s="3"/>
      <c r="G801" s="3"/>
      <c r="I801" s="3">
        <f ca="1"/>
        <v>0</v>
      </c>
      <c r="J801" s="3">
        <f ca="1"/>
        <v>0</v>
      </c>
      <c r="K801" s="3">
        <f ca="1"/>
        <v>0</v>
      </c>
      <c r="M801" s="3">
        <f ca="1"/>
        <v>0</v>
      </c>
      <c r="N801" s="3">
        <f ca="1"/>
        <v>0</v>
      </c>
      <c r="O801" s="3">
        <f ca="1"/>
        <v>0</v>
      </c>
    </row>
    <row r="802" spans="2:15" ht="13">
      <c r="B802" s="3"/>
      <c r="C802" s="3"/>
      <c r="D802" s="3"/>
      <c r="E802" s="3"/>
      <c r="F802" s="3"/>
      <c r="G802" s="3"/>
      <c r="I802" s="3">
        <f ca="1"/>
        <v>0</v>
      </c>
      <c r="J802" s="3">
        <f ca="1"/>
        <v>0</v>
      </c>
      <c r="K802" s="3">
        <f ca="1"/>
        <v>0</v>
      </c>
      <c r="M802" s="3">
        <f ca="1"/>
        <v>0</v>
      </c>
      <c r="N802" s="3">
        <f ca="1"/>
        <v>0</v>
      </c>
      <c r="O802" s="3">
        <f ca="1"/>
        <v>0</v>
      </c>
    </row>
    <row r="803" spans="2:15" ht="13">
      <c r="B803" s="3"/>
      <c r="C803" s="3"/>
      <c r="D803" s="3"/>
      <c r="E803" s="3"/>
      <c r="F803" s="3"/>
      <c r="G803" s="3"/>
      <c r="I803" s="3">
        <f ca="1"/>
        <v>0</v>
      </c>
      <c r="J803" s="3">
        <f ca="1"/>
        <v>0</v>
      </c>
      <c r="K803" s="3">
        <f ca="1"/>
        <v>0</v>
      </c>
      <c r="M803" s="3">
        <f ca="1"/>
        <v>0</v>
      </c>
      <c r="N803" s="3">
        <f ca="1"/>
        <v>0</v>
      </c>
      <c r="O803" s="3">
        <f ca="1"/>
        <v>0</v>
      </c>
    </row>
    <row r="804" spans="2:15" ht="13">
      <c r="B804" s="3"/>
      <c r="C804" s="3"/>
      <c r="D804" s="3"/>
      <c r="E804" s="3"/>
      <c r="F804" s="3"/>
      <c r="G804" s="3"/>
      <c r="I804" s="3">
        <f ca="1"/>
        <v>0</v>
      </c>
      <c r="J804" s="3">
        <f ca="1"/>
        <v>0</v>
      </c>
      <c r="K804" s="3">
        <f ca="1"/>
        <v>0</v>
      </c>
      <c r="M804" s="3">
        <f ca="1"/>
        <v>0</v>
      </c>
      <c r="N804" s="3">
        <f ca="1"/>
        <v>0</v>
      </c>
      <c r="O804" s="3">
        <f ca="1"/>
        <v>0</v>
      </c>
    </row>
    <row r="805" spans="2:15" ht="13">
      <c r="B805" s="3"/>
      <c r="C805" s="3"/>
      <c r="D805" s="3"/>
      <c r="E805" s="3"/>
      <c r="F805" s="3"/>
      <c r="G805" s="3"/>
      <c r="I805" s="3">
        <f ca="1"/>
        <v>0</v>
      </c>
      <c r="J805" s="3">
        <f ca="1"/>
        <v>0</v>
      </c>
      <c r="K805" s="3">
        <f ca="1"/>
        <v>0</v>
      </c>
      <c r="M805" s="3">
        <f ca="1"/>
        <v>0</v>
      </c>
      <c r="N805" s="3">
        <f ca="1"/>
        <v>0</v>
      </c>
      <c r="O805" s="3">
        <f ca="1"/>
        <v>0</v>
      </c>
    </row>
    <row r="806" spans="2:15" ht="13">
      <c r="B806" s="3"/>
      <c r="C806" s="3"/>
      <c r="D806" s="3"/>
      <c r="E806" s="3"/>
      <c r="F806" s="3"/>
      <c r="G806" s="3"/>
      <c r="I806" s="3">
        <f ca="1"/>
        <v>0</v>
      </c>
      <c r="J806" s="3">
        <f ca="1"/>
        <v>0</v>
      </c>
      <c r="K806" s="3">
        <f ca="1"/>
        <v>0</v>
      </c>
      <c r="M806" s="3">
        <f ca="1"/>
        <v>0</v>
      </c>
      <c r="N806" s="3">
        <f ca="1"/>
        <v>0</v>
      </c>
      <c r="O806" s="3">
        <f ca="1"/>
        <v>0</v>
      </c>
    </row>
    <row r="807" spans="2:15" ht="13">
      <c r="B807" s="3"/>
      <c r="C807" s="3"/>
      <c r="D807" s="3"/>
      <c r="E807" s="3"/>
      <c r="F807" s="3"/>
      <c r="G807" s="3"/>
      <c r="I807" s="3">
        <f ca="1"/>
        <v>0</v>
      </c>
      <c r="J807" s="3">
        <f ca="1"/>
        <v>0</v>
      </c>
      <c r="K807" s="3">
        <f ca="1"/>
        <v>0</v>
      </c>
      <c r="M807" s="3">
        <f ca="1"/>
        <v>0</v>
      </c>
      <c r="N807" s="3">
        <f ca="1"/>
        <v>0</v>
      </c>
      <c r="O807" s="3">
        <f ca="1"/>
        <v>0</v>
      </c>
    </row>
    <row r="808" spans="2:15" ht="13">
      <c r="B808" s="3"/>
      <c r="C808" s="3"/>
      <c r="D808" s="3"/>
      <c r="E808" s="3"/>
      <c r="F808" s="3"/>
      <c r="G808" s="3"/>
      <c r="I808" s="3">
        <f ca="1"/>
        <v>0</v>
      </c>
      <c r="J808" s="3">
        <f ca="1"/>
        <v>0</v>
      </c>
      <c r="K808" s="3">
        <f ca="1"/>
        <v>0</v>
      </c>
      <c r="M808" s="3">
        <f ca="1"/>
        <v>0</v>
      </c>
      <c r="N808" s="3">
        <f ca="1"/>
        <v>0</v>
      </c>
      <c r="O808" s="3">
        <f ca="1"/>
        <v>0</v>
      </c>
    </row>
    <row r="809" spans="2:15" ht="13">
      <c r="B809" s="3"/>
      <c r="C809" s="3"/>
      <c r="D809" s="3"/>
      <c r="E809" s="3"/>
      <c r="F809" s="3"/>
      <c r="G809" s="3"/>
      <c r="I809" s="3">
        <f ca="1"/>
        <v>0</v>
      </c>
      <c r="J809" s="3">
        <f ca="1"/>
        <v>0</v>
      </c>
      <c r="K809" s="3">
        <f ca="1"/>
        <v>0</v>
      </c>
      <c r="M809" s="3">
        <f ca="1"/>
        <v>0</v>
      </c>
      <c r="N809" s="3">
        <f ca="1"/>
        <v>0</v>
      </c>
      <c r="O809" s="3">
        <f ca="1"/>
        <v>0</v>
      </c>
    </row>
    <row r="810" spans="2:15" ht="13">
      <c r="B810" s="3"/>
      <c r="C810" s="3"/>
      <c r="D810" s="3"/>
      <c r="E810" s="3"/>
      <c r="F810" s="3"/>
      <c r="G810" s="3"/>
      <c r="I810" s="3">
        <f ca="1"/>
        <v>0</v>
      </c>
      <c r="J810" s="3">
        <f ca="1"/>
        <v>0</v>
      </c>
      <c r="K810" s="3">
        <f ca="1"/>
        <v>0</v>
      </c>
      <c r="M810" s="3">
        <f ca="1"/>
        <v>0</v>
      </c>
      <c r="N810" s="3">
        <f ca="1"/>
        <v>0</v>
      </c>
      <c r="O810" s="3">
        <f ca="1"/>
        <v>0</v>
      </c>
    </row>
    <row r="811" spans="2:15" ht="13">
      <c r="B811" s="3"/>
      <c r="C811" s="3"/>
      <c r="D811" s="3"/>
      <c r="E811" s="3"/>
      <c r="F811" s="3"/>
      <c r="G811" s="3"/>
      <c r="I811" s="3">
        <f ca="1"/>
        <v>0</v>
      </c>
      <c r="J811" s="3">
        <f ca="1"/>
        <v>0</v>
      </c>
      <c r="K811" s="3">
        <f ca="1"/>
        <v>0</v>
      </c>
      <c r="M811" s="3">
        <f ca="1"/>
        <v>0</v>
      </c>
      <c r="N811" s="3">
        <f ca="1"/>
        <v>0</v>
      </c>
      <c r="O811" s="3">
        <f ca="1"/>
        <v>0</v>
      </c>
    </row>
    <row r="812" spans="2:15" ht="13">
      <c r="B812" s="3"/>
      <c r="C812" s="3"/>
      <c r="D812" s="3"/>
      <c r="E812" s="3"/>
      <c r="F812" s="3"/>
      <c r="G812" s="3"/>
      <c r="I812" s="3">
        <f ca="1"/>
        <v>0</v>
      </c>
      <c r="J812" s="3">
        <f ca="1"/>
        <v>0</v>
      </c>
      <c r="K812" s="3">
        <f ca="1"/>
        <v>0</v>
      </c>
      <c r="M812" s="3">
        <f ca="1"/>
        <v>0</v>
      </c>
      <c r="N812" s="3">
        <f ca="1"/>
        <v>0</v>
      </c>
      <c r="O812" s="3">
        <f ca="1"/>
        <v>0</v>
      </c>
    </row>
    <row r="813" spans="2:15" ht="13">
      <c r="B813" s="3"/>
      <c r="C813" s="3"/>
      <c r="D813" s="3"/>
      <c r="E813" s="3"/>
      <c r="F813" s="3"/>
      <c r="G813" s="3"/>
      <c r="I813" s="3">
        <f ca="1"/>
        <v>0</v>
      </c>
      <c r="J813" s="3">
        <f ca="1"/>
        <v>0</v>
      </c>
      <c r="K813" s="3">
        <f ca="1"/>
        <v>0</v>
      </c>
      <c r="M813" s="3">
        <f ca="1"/>
        <v>0</v>
      </c>
      <c r="N813" s="3">
        <f ca="1"/>
        <v>0</v>
      </c>
      <c r="O813" s="3">
        <f ca="1"/>
        <v>0</v>
      </c>
    </row>
    <row r="814" spans="2:15" ht="13">
      <c r="B814" s="3"/>
      <c r="C814" s="3"/>
      <c r="D814" s="3"/>
      <c r="E814" s="3"/>
      <c r="F814" s="3"/>
      <c r="G814" s="3"/>
      <c r="I814" s="3">
        <f ca="1"/>
        <v>0</v>
      </c>
      <c r="J814" s="3">
        <f ca="1"/>
        <v>0</v>
      </c>
      <c r="K814" s="3">
        <f ca="1"/>
        <v>0</v>
      </c>
      <c r="M814" s="3">
        <f ca="1"/>
        <v>0</v>
      </c>
      <c r="N814" s="3">
        <f ca="1"/>
        <v>0</v>
      </c>
      <c r="O814" s="3">
        <f ca="1"/>
        <v>0</v>
      </c>
    </row>
    <row r="815" spans="2:15" ht="13">
      <c r="B815" s="3"/>
      <c r="C815" s="3"/>
      <c r="D815" s="3"/>
      <c r="E815" s="3"/>
      <c r="F815" s="3"/>
      <c r="G815" s="3"/>
      <c r="I815" s="3">
        <f ca="1"/>
        <v>0</v>
      </c>
      <c r="J815" s="3">
        <f ca="1"/>
        <v>0</v>
      </c>
      <c r="K815" s="3">
        <f ca="1"/>
        <v>0</v>
      </c>
      <c r="M815" s="3">
        <f ca="1"/>
        <v>0</v>
      </c>
      <c r="N815" s="3">
        <f ca="1"/>
        <v>0</v>
      </c>
      <c r="O815" s="3">
        <f ca="1"/>
        <v>0</v>
      </c>
    </row>
    <row r="816" spans="2:15" ht="13">
      <c r="B816" s="3"/>
      <c r="C816" s="3"/>
      <c r="D816" s="3"/>
      <c r="E816" s="3"/>
      <c r="F816" s="3"/>
      <c r="G816" s="3"/>
      <c r="I816" s="3">
        <f ca="1"/>
        <v>0</v>
      </c>
      <c r="J816" s="3">
        <f ca="1"/>
        <v>0</v>
      </c>
      <c r="K816" s="3">
        <f ca="1"/>
        <v>0</v>
      </c>
      <c r="M816" s="3">
        <f ca="1"/>
        <v>0</v>
      </c>
      <c r="N816" s="3">
        <f ca="1"/>
        <v>0</v>
      </c>
      <c r="O816" s="3">
        <f ca="1"/>
        <v>0</v>
      </c>
    </row>
    <row r="817" spans="2:15" ht="13">
      <c r="B817" s="3"/>
      <c r="C817" s="3"/>
      <c r="D817" s="3"/>
      <c r="E817" s="3"/>
      <c r="F817" s="3"/>
      <c r="G817" s="3"/>
      <c r="I817" s="3">
        <f ca="1"/>
        <v>0</v>
      </c>
      <c r="J817" s="3">
        <f ca="1"/>
        <v>0</v>
      </c>
      <c r="K817" s="3">
        <f ca="1"/>
        <v>0</v>
      </c>
      <c r="M817" s="3">
        <f ca="1"/>
        <v>0</v>
      </c>
      <c r="N817" s="3">
        <f ca="1"/>
        <v>0</v>
      </c>
      <c r="O817" s="3">
        <f ca="1"/>
        <v>0</v>
      </c>
    </row>
    <row r="818" spans="2:15" ht="13">
      <c r="B818" s="3"/>
      <c r="C818" s="3"/>
      <c r="D818" s="3"/>
      <c r="E818" s="3"/>
      <c r="F818" s="3"/>
      <c r="G818" s="3"/>
      <c r="I818" s="3">
        <f ca="1"/>
        <v>0</v>
      </c>
      <c r="J818" s="3">
        <f ca="1"/>
        <v>0</v>
      </c>
      <c r="K818" s="3">
        <f ca="1"/>
        <v>0</v>
      </c>
      <c r="M818" s="3">
        <f ca="1"/>
        <v>0</v>
      </c>
      <c r="N818" s="3">
        <f ca="1"/>
        <v>0</v>
      </c>
      <c r="O818" s="3">
        <f ca="1"/>
        <v>0</v>
      </c>
    </row>
    <row r="819" spans="2:15" ht="13">
      <c r="B819" s="3"/>
      <c r="C819" s="3"/>
      <c r="D819" s="3"/>
      <c r="E819" s="3"/>
      <c r="F819" s="3"/>
      <c r="G819" s="3"/>
      <c r="I819" s="3">
        <f ca="1"/>
        <v>0</v>
      </c>
      <c r="J819" s="3">
        <f ca="1"/>
        <v>0</v>
      </c>
      <c r="K819" s="3">
        <f ca="1"/>
        <v>0</v>
      </c>
      <c r="M819" s="3">
        <f ca="1"/>
        <v>0</v>
      </c>
      <c r="N819" s="3">
        <f ca="1"/>
        <v>0</v>
      </c>
      <c r="O819" s="3">
        <f ca="1"/>
        <v>0</v>
      </c>
    </row>
    <row r="820" spans="2:15" ht="13">
      <c r="B820" s="3"/>
      <c r="C820" s="3"/>
      <c r="D820" s="3"/>
      <c r="E820" s="3"/>
      <c r="F820" s="3"/>
      <c r="G820" s="3"/>
      <c r="I820" s="3">
        <f ca="1"/>
        <v>0</v>
      </c>
      <c r="J820" s="3">
        <f ca="1"/>
        <v>0</v>
      </c>
      <c r="K820" s="3">
        <f ca="1"/>
        <v>0</v>
      </c>
      <c r="M820" s="3">
        <f ca="1"/>
        <v>0</v>
      </c>
      <c r="N820" s="3">
        <f ca="1"/>
        <v>0</v>
      </c>
      <c r="O820" s="3">
        <f ca="1"/>
        <v>0</v>
      </c>
    </row>
    <row r="821" spans="2:15" ht="13">
      <c r="B821" s="3"/>
      <c r="C821" s="3"/>
      <c r="D821" s="3"/>
      <c r="E821" s="3"/>
      <c r="F821" s="3"/>
      <c r="G821" s="3"/>
      <c r="I821" s="3">
        <f ca="1"/>
        <v>0</v>
      </c>
      <c r="J821" s="3">
        <f ca="1"/>
        <v>0</v>
      </c>
      <c r="K821" s="3">
        <f ca="1"/>
        <v>0</v>
      </c>
      <c r="M821" s="3">
        <f ca="1"/>
        <v>0</v>
      </c>
      <c r="N821" s="3">
        <f ca="1"/>
        <v>0</v>
      </c>
      <c r="O821" s="3">
        <f ca="1"/>
        <v>0</v>
      </c>
    </row>
    <row r="822" spans="2:15" ht="13">
      <c r="B822" s="3"/>
      <c r="C822" s="3"/>
      <c r="D822" s="3"/>
      <c r="E822" s="3"/>
      <c r="F822" s="3"/>
      <c r="G822" s="3"/>
      <c r="I822" s="3">
        <f ca="1"/>
        <v>0</v>
      </c>
      <c r="J822" s="3">
        <f ca="1"/>
        <v>0</v>
      </c>
      <c r="K822" s="3">
        <f ca="1"/>
        <v>0</v>
      </c>
      <c r="M822" s="3">
        <f ca="1"/>
        <v>0</v>
      </c>
      <c r="N822" s="3">
        <f ca="1"/>
        <v>0</v>
      </c>
      <c r="O822" s="3">
        <f ca="1"/>
        <v>0</v>
      </c>
    </row>
    <row r="823" spans="2:15" ht="13">
      <c r="B823" s="3"/>
      <c r="C823" s="3"/>
      <c r="D823" s="3"/>
      <c r="E823" s="3"/>
      <c r="F823" s="3"/>
      <c r="G823" s="3"/>
      <c r="I823" s="3">
        <f ca="1"/>
        <v>0</v>
      </c>
      <c r="J823" s="3">
        <f ca="1"/>
        <v>0</v>
      </c>
      <c r="K823" s="3">
        <f ca="1"/>
        <v>0</v>
      </c>
      <c r="M823" s="3">
        <f ca="1"/>
        <v>0</v>
      </c>
      <c r="N823" s="3">
        <f ca="1"/>
        <v>0</v>
      </c>
      <c r="O823" s="3">
        <f ca="1"/>
        <v>0</v>
      </c>
    </row>
    <row r="824" spans="2:15" ht="13">
      <c r="B824" s="3"/>
      <c r="C824" s="3"/>
      <c r="D824" s="3"/>
      <c r="E824" s="3"/>
      <c r="F824" s="3"/>
      <c r="G824" s="3"/>
      <c r="I824" s="3">
        <f ca="1"/>
        <v>0</v>
      </c>
      <c r="J824" s="3">
        <f ca="1"/>
        <v>0</v>
      </c>
      <c r="K824" s="3">
        <f ca="1"/>
        <v>0</v>
      </c>
      <c r="M824" s="3">
        <f ca="1"/>
        <v>0</v>
      </c>
      <c r="N824" s="3">
        <f ca="1"/>
        <v>0</v>
      </c>
      <c r="O824" s="3">
        <f ca="1"/>
        <v>0</v>
      </c>
    </row>
    <row r="825" spans="2:15" ht="13">
      <c r="B825" s="3"/>
      <c r="C825" s="3"/>
      <c r="D825" s="3"/>
      <c r="E825" s="3"/>
      <c r="F825" s="3"/>
      <c r="G825" s="3"/>
      <c r="I825" s="3">
        <f ca="1"/>
        <v>0</v>
      </c>
      <c r="J825" s="3">
        <f ca="1"/>
        <v>0</v>
      </c>
      <c r="K825" s="3">
        <f ca="1"/>
        <v>0</v>
      </c>
      <c r="M825" s="3">
        <f ca="1"/>
        <v>0</v>
      </c>
      <c r="N825" s="3">
        <f ca="1"/>
        <v>0</v>
      </c>
      <c r="O825" s="3">
        <f ca="1"/>
        <v>0</v>
      </c>
    </row>
    <row r="826" spans="2:15" ht="13">
      <c r="B826" s="3"/>
      <c r="C826" s="3"/>
      <c r="D826" s="3"/>
      <c r="E826" s="3"/>
      <c r="F826" s="3"/>
      <c r="G826" s="3"/>
      <c r="I826" s="3">
        <f ca="1"/>
        <v>0</v>
      </c>
      <c r="J826" s="3">
        <f ca="1"/>
        <v>0</v>
      </c>
      <c r="K826" s="3">
        <f ca="1"/>
        <v>0</v>
      </c>
      <c r="M826" s="3">
        <f ca="1"/>
        <v>0</v>
      </c>
      <c r="N826" s="3">
        <f ca="1"/>
        <v>0</v>
      </c>
      <c r="O826" s="3">
        <f ca="1"/>
        <v>0</v>
      </c>
    </row>
    <row r="827" spans="2:15" ht="13">
      <c r="B827" s="3"/>
      <c r="C827" s="3"/>
      <c r="D827" s="3"/>
      <c r="E827" s="3"/>
      <c r="F827" s="3"/>
      <c r="G827" s="3"/>
      <c r="I827" s="3">
        <f ca="1"/>
        <v>0</v>
      </c>
      <c r="J827" s="3">
        <f ca="1"/>
        <v>0</v>
      </c>
      <c r="K827" s="3">
        <f ca="1"/>
        <v>0</v>
      </c>
      <c r="M827" s="3">
        <f ca="1"/>
        <v>0</v>
      </c>
      <c r="N827" s="3">
        <f ca="1"/>
        <v>0</v>
      </c>
      <c r="O827" s="3">
        <f ca="1"/>
        <v>0</v>
      </c>
    </row>
    <row r="828" spans="2:15" ht="13">
      <c r="B828" s="3"/>
      <c r="C828" s="3"/>
      <c r="D828" s="3"/>
      <c r="E828" s="3"/>
      <c r="F828" s="3"/>
      <c r="G828" s="3"/>
      <c r="I828" s="3">
        <f ca="1"/>
        <v>0</v>
      </c>
      <c r="J828" s="3">
        <f ca="1"/>
        <v>0</v>
      </c>
      <c r="K828" s="3">
        <f ca="1"/>
        <v>0</v>
      </c>
      <c r="M828" s="3">
        <f ca="1"/>
        <v>0</v>
      </c>
      <c r="N828" s="3">
        <f ca="1"/>
        <v>0</v>
      </c>
      <c r="O828" s="3">
        <f ca="1"/>
        <v>0</v>
      </c>
    </row>
    <row r="829" spans="2:15" ht="13">
      <c r="B829" s="3"/>
      <c r="C829" s="3"/>
      <c r="D829" s="3"/>
      <c r="E829" s="3"/>
      <c r="F829" s="3"/>
      <c r="G829" s="3"/>
      <c r="I829" s="3">
        <f ca="1"/>
        <v>0</v>
      </c>
      <c r="J829" s="3">
        <f ca="1"/>
        <v>0</v>
      </c>
      <c r="K829" s="3">
        <f ca="1"/>
        <v>0</v>
      </c>
      <c r="M829" s="3">
        <f ca="1"/>
        <v>0</v>
      </c>
      <c r="N829" s="3">
        <f ca="1"/>
        <v>0</v>
      </c>
      <c r="O829" s="3">
        <f ca="1"/>
        <v>0</v>
      </c>
    </row>
    <row r="830" spans="2:15" ht="13">
      <c r="B830" s="3"/>
      <c r="C830" s="3"/>
      <c r="D830" s="3"/>
      <c r="E830" s="3"/>
      <c r="F830" s="3"/>
      <c r="G830" s="3"/>
      <c r="I830" s="3">
        <f ca="1"/>
        <v>0</v>
      </c>
      <c r="J830" s="3">
        <f ca="1"/>
        <v>0</v>
      </c>
      <c r="K830" s="3">
        <f ca="1"/>
        <v>0</v>
      </c>
      <c r="M830" s="3">
        <f ca="1"/>
        <v>0</v>
      </c>
      <c r="N830" s="3">
        <f ca="1"/>
        <v>0</v>
      </c>
      <c r="O830" s="3">
        <f ca="1"/>
        <v>0</v>
      </c>
    </row>
    <row r="831" spans="2:15" ht="13">
      <c r="B831" s="3"/>
      <c r="C831" s="3"/>
      <c r="D831" s="3"/>
      <c r="E831" s="3"/>
      <c r="F831" s="3"/>
      <c r="G831" s="3"/>
      <c r="I831" s="3">
        <f ca="1"/>
        <v>0</v>
      </c>
      <c r="J831" s="3">
        <f ca="1"/>
        <v>0</v>
      </c>
      <c r="K831" s="3">
        <f ca="1"/>
        <v>0</v>
      </c>
      <c r="M831" s="3">
        <f ca="1"/>
        <v>0</v>
      </c>
      <c r="N831" s="3">
        <f ca="1"/>
        <v>0</v>
      </c>
      <c r="O831" s="3">
        <f ca="1"/>
        <v>0</v>
      </c>
    </row>
    <row r="832" spans="2:15" ht="13">
      <c r="B832" s="3"/>
      <c r="C832" s="3"/>
      <c r="D832" s="3"/>
      <c r="E832" s="3"/>
      <c r="F832" s="3"/>
      <c r="G832" s="3"/>
      <c r="I832" s="3">
        <f ca="1"/>
        <v>0</v>
      </c>
      <c r="J832" s="3">
        <f ca="1"/>
        <v>0</v>
      </c>
      <c r="K832" s="3">
        <f ca="1"/>
        <v>0</v>
      </c>
      <c r="M832" s="3">
        <f ca="1"/>
        <v>0</v>
      </c>
      <c r="N832" s="3">
        <f ca="1"/>
        <v>0</v>
      </c>
      <c r="O832" s="3">
        <f ca="1"/>
        <v>0</v>
      </c>
    </row>
    <row r="833" spans="2:15" ht="13">
      <c r="B833" s="3"/>
      <c r="C833" s="3"/>
      <c r="D833" s="3"/>
      <c r="E833" s="3"/>
      <c r="F833" s="3"/>
      <c r="G833" s="3"/>
      <c r="I833" s="3">
        <f ca="1"/>
        <v>0</v>
      </c>
      <c r="J833" s="3">
        <f ca="1"/>
        <v>0</v>
      </c>
      <c r="K833" s="3">
        <f ca="1"/>
        <v>0</v>
      </c>
      <c r="M833" s="3">
        <f ca="1"/>
        <v>0</v>
      </c>
      <c r="N833" s="3">
        <f ca="1"/>
        <v>0</v>
      </c>
      <c r="O833" s="3">
        <f ca="1"/>
        <v>0</v>
      </c>
    </row>
    <row r="834" spans="2:15" ht="13">
      <c r="B834" s="3"/>
      <c r="C834" s="3"/>
      <c r="D834" s="3"/>
      <c r="E834" s="3"/>
      <c r="F834" s="3"/>
      <c r="G834" s="3"/>
      <c r="I834" s="3">
        <f ca="1"/>
        <v>0</v>
      </c>
      <c r="J834" s="3">
        <f ca="1"/>
        <v>0</v>
      </c>
      <c r="K834" s="3">
        <f ca="1"/>
        <v>0</v>
      </c>
      <c r="M834" s="3">
        <f ca="1"/>
        <v>0</v>
      </c>
      <c r="N834" s="3">
        <f ca="1"/>
        <v>0</v>
      </c>
      <c r="O834" s="3">
        <f ca="1"/>
        <v>0</v>
      </c>
    </row>
    <row r="835" spans="2:15" ht="13">
      <c r="B835" s="3"/>
      <c r="C835" s="3"/>
      <c r="D835" s="3"/>
      <c r="E835" s="3"/>
      <c r="F835" s="3"/>
      <c r="G835" s="3"/>
      <c r="I835" s="3">
        <f ca="1"/>
        <v>0</v>
      </c>
      <c r="J835" s="3">
        <f ca="1"/>
        <v>0</v>
      </c>
      <c r="K835" s="3">
        <f ca="1"/>
        <v>0</v>
      </c>
      <c r="M835" s="3">
        <f ca="1"/>
        <v>0</v>
      </c>
      <c r="N835" s="3">
        <f ca="1"/>
        <v>0</v>
      </c>
      <c r="O835" s="3">
        <f ca="1"/>
        <v>0</v>
      </c>
    </row>
    <row r="836" spans="2:15" ht="13">
      <c r="B836" s="3"/>
      <c r="C836" s="3"/>
      <c r="D836" s="3"/>
      <c r="E836" s="3"/>
      <c r="F836" s="3"/>
      <c r="G836" s="3"/>
      <c r="I836" s="3">
        <f ca="1"/>
        <v>0</v>
      </c>
      <c r="J836" s="3">
        <f ca="1"/>
        <v>0</v>
      </c>
      <c r="K836" s="3">
        <f ca="1"/>
        <v>0</v>
      </c>
      <c r="M836" s="3">
        <f ca="1"/>
        <v>0</v>
      </c>
      <c r="N836" s="3">
        <f ca="1"/>
        <v>0</v>
      </c>
      <c r="O836" s="3">
        <f ca="1"/>
        <v>0</v>
      </c>
    </row>
    <row r="837" spans="2:15" ht="13">
      <c r="B837" s="3"/>
      <c r="C837" s="3"/>
      <c r="D837" s="3"/>
      <c r="E837" s="3"/>
      <c r="F837" s="3"/>
      <c r="G837" s="3"/>
      <c r="I837" s="3">
        <f ca="1"/>
        <v>0</v>
      </c>
      <c r="J837" s="3">
        <f ca="1"/>
        <v>0</v>
      </c>
      <c r="K837" s="3">
        <f ca="1"/>
        <v>0</v>
      </c>
      <c r="M837" s="3">
        <f ca="1"/>
        <v>0</v>
      </c>
      <c r="N837" s="3">
        <f ca="1"/>
        <v>0</v>
      </c>
      <c r="O837" s="3">
        <f ca="1"/>
        <v>0</v>
      </c>
    </row>
    <row r="838" spans="2:15" ht="13">
      <c r="B838" s="3"/>
      <c r="C838" s="3"/>
      <c r="D838" s="3"/>
      <c r="E838" s="3"/>
      <c r="F838" s="3"/>
      <c r="G838" s="3"/>
      <c r="I838" s="3">
        <f ca="1"/>
        <v>0</v>
      </c>
      <c r="J838" s="3">
        <f ca="1"/>
        <v>0</v>
      </c>
      <c r="K838" s="3">
        <f ca="1"/>
        <v>0</v>
      </c>
      <c r="M838" s="3">
        <f ca="1"/>
        <v>0</v>
      </c>
      <c r="N838" s="3">
        <f ca="1"/>
        <v>0</v>
      </c>
      <c r="O838" s="3">
        <f ca="1"/>
        <v>0</v>
      </c>
    </row>
    <row r="839" spans="2:15" ht="13">
      <c r="B839" s="3"/>
      <c r="C839" s="3"/>
      <c r="D839" s="3"/>
      <c r="E839" s="3"/>
      <c r="F839" s="3"/>
      <c r="G839" s="3"/>
      <c r="I839" s="3">
        <f ca="1"/>
        <v>0</v>
      </c>
      <c r="J839" s="3">
        <f ca="1"/>
        <v>0</v>
      </c>
      <c r="K839" s="3">
        <f ca="1"/>
        <v>0</v>
      </c>
      <c r="M839" s="3">
        <f ca="1"/>
        <v>0</v>
      </c>
      <c r="N839" s="3">
        <f ca="1"/>
        <v>0</v>
      </c>
      <c r="O839" s="3">
        <f ca="1"/>
        <v>0</v>
      </c>
    </row>
    <row r="840" spans="2:15" ht="13">
      <c r="B840" s="3"/>
      <c r="C840" s="3"/>
      <c r="D840" s="3"/>
      <c r="E840" s="3"/>
      <c r="F840" s="3"/>
      <c r="G840" s="3"/>
      <c r="I840" s="3">
        <f ca="1"/>
        <v>0</v>
      </c>
      <c r="J840" s="3">
        <f ca="1"/>
        <v>0</v>
      </c>
      <c r="K840" s="3">
        <f ca="1"/>
        <v>0</v>
      </c>
      <c r="M840" s="3">
        <f ca="1"/>
        <v>0</v>
      </c>
      <c r="N840" s="3">
        <f ca="1"/>
        <v>0</v>
      </c>
      <c r="O840" s="3">
        <f ca="1"/>
        <v>0</v>
      </c>
    </row>
    <row r="841" spans="2:15" ht="13">
      <c r="B841" s="3"/>
      <c r="C841" s="3"/>
      <c r="D841" s="3"/>
      <c r="E841" s="3"/>
      <c r="F841" s="3"/>
      <c r="G841" s="3"/>
      <c r="I841" s="3">
        <f ca="1"/>
        <v>0</v>
      </c>
      <c r="J841" s="3">
        <f ca="1"/>
        <v>0</v>
      </c>
      <c r="K841" s="3">
        <f ca="1"/>
        <v>0</v>
      </c>
      <c r="M841" s="3">
        <f ca="1"/>
        <v>0</v>
      </c>
      <c r="N841" s="3">
        <f ca="1"/>
        <v>0</v>
      </c>
      <c r="O841" s="3">
        <f ca="1"/>
        <v>0</v>
      </c>
    </row>
    <row r="842" spans="2:15" ht="13">
      <c r="B842" s="3"/>
      <c r="C842" s="3"/>
      <c r="D842" s="3"/>
      <c r="E842" s="3"/>
      <c r="F842" s="3"/>
      <c r="G842" s="3"/>
      <c r="I842" s="3">
        <f ca="1"/>
        <v>0</v>
      </c>
      <c r="J842" s="3">
        <f ca="1"/>
        <v>0</v>
      </c>
      <c r="K842" s="3">
        <f ca="1"/>
        <v>0</v>
      </c>
      <c r="M842" s="3">
        <f ca="1"/>
        <v>0</v>
      </c>
      <c r="N842" s="3">
        <f ca="1"/>
        <v>0</v>
      </c>
      <c r="O842" s="3">
        <f ca="1"/>
        <v>0</v>
      </c>
    </row>
    <row r="843" spans="2:15" ht="13">
      <c r="B843" s="3"/>
      <c r="C843" s="3"/>
      <c r="D843" s="3"/>
      <c r="E843" s="3"/>
      <c r="F843" s="3"/>
      <c r="G843" s="3"/>
      <c r="I843" s="3">
        <f ca="1"/>
        <v>0</v>
      </c>
      <c r="J843" s="3">
        <f ca="1"/>
        <v>0</v>
      </c>
      <c r="K843" s="3">
        <f ca="1"/>
        <v>0</v>
      </c>
      <c r="M843" s="3">
        <f ca="1"/>
        <v>0</v>
      </c>
      <c r="N843" s="3">
        <f ca="1"/>
        <v>0</v>
      </c>
      <c r="O843" s="3">
        <f ca="1"/>
        <v>0</v>
      </c>
    </row>
    <row r="844" spans="2:15" ht="13">
      <c r="B844" s="3"/>
      <c r="C844" s="3"/>
      <c r="D844" s="3"/>
      <c r="E844" s="3"/>
      <c r="F844" s="3"/>
      <c r="G844" s="3"/>
      <c r="I844" s="3">
        <f ca="1"/>
        <v>0</v>
      </c>
      <c r="J844" s="3">
        <f ca="1"/>
        <v>0</v>
      </c>
      <c r="K844" s="3">
        <f ca="1"/>
        <v>0</v>
      </c>
      <c r="M844" s="3">
        <f ca="1"/>
        <v>0</v>
      </c>
      <c r="N844" s="3">
        <f ca="1"/>
        <v>0</v>
      </c>
      <c r="O844" s="3">
        <f ca="1"/>
        <v>0</v>
      </c>
    </row>
    <row r="845" spans="2:15" ht="13">
      <c r="B845" s="3"/>
      <c r="C845" s="3"/>
      <c r="D845" s="3"/>
      <c r="E845" s="3"/>
      <c r="F845" s="3"/>
      <c r="G845" s="3"/>
      <c r="I845" s="3">
        <f ca="1"/>
        <v>0</v>
      </c>
      <c r="J845" s="3">
        <f ca="1"/>
        <v>0</v>
      </c>
      <c r="K845" s="3">
        <f ca="1"/>
        <v>0</v>
      </c>
      <c r="M845" s="3">
        <f ca="1"/>
        <v>0</v>
      </c>
      <c r="N845" s="3">
        <f ca="1"/>
        <v>0</v>
      </c>
      <c r="O845" s="3">
        <f ca="1"/>
        <v>0</v>
      </c>
    </row>
    <row r="846" spans="2:15" ht="13">
      <c r="B846" s="3"/>
      <c r="C846" s="3"/>
      <c r="D846" s="3"/>
      <c r="E846" s="3"/>
      <c r="F846" s="3"/>
      <c r="G846" s="3"/>
      <c r="I846" s="3">
        <f ca="1"/>
        <v>0</v>
      </c>
      <c r="J846" s="3">
        <f ca="1"/>
        <v>0</v>
      </c>
      <c r="K846" s="3">
        <f ca="1"/>
        <v>0</v>
      </c>
      <c r="M846" s="3">
        <f ca="1"/>
        <v>0</v>
      </c>
      <c r="N846" s="3">
        <f ca="1"/>
        <v>0</v>
      </c>
      <c r="O846" s="3">
        <f ca="1"/>
        <v>0</v>
      </c>
    </row>
    <row r="847" spans="2:15" ht="13">
      <c r="B847" s="3"/>
      <c r="C847" s="3"/>
      <c r="D847" s="3"/>
      <c r="E847" s="3"/>
      <c r="F847" s="3"/>
      <c r="G847" s="3"/>
      <c r="I847" s="3">
        <f ca="1"/>
        <v>0</v>
      </c>
      <c r="J847" s="3">
        <f ca="1"/>
        <v>0</v>
      </c>
      <c r="K847" s="3">
        <f ca="1"/>
        <v>0</v>
      </c>
      <c r="M847" s="3">
        <f ca="1"/>
        <v>0</v>
      </c>
      <c r="N847" s="3">
        <f ca="1"/>
        <v>0</v>
      </c>
      <c r="O847" s="3">
        <f ca="1"/>
        <v>0</v>
      </c>
    </row>
    <row r="848" spans="2:15" ht="13">
      <c r="B848" s="3"/>
      <c r="C848" s="3"/>
      <c r="D848" s="3"/>
      <c r="E848" s="3"/>
      <c r="F848" s="3"/>
      <c r="G848" s="3"/>
      <c r="I848" s="3">
        <f ca="1"/>
        <v>0</v>
      </c>
      <c r="J848" s="3">
        <f ca="1"/>
        <v>0</v>
      </c>
      <c r="K848" s="3">
        <f ca="1"/>
        <v>0</v>
      </c>
      <c r="M848" s="3">
        <f ca="1"/>
        <v>0</v>
      </c>
      <c r="N848" s="3">
        <f ca="1"/>
        <v>0</v>
      </c>
      <c r="O848" s="3">
        <f ca="1"/>
        <v>0</v>
      </c>
    </row>
    <row r="849" spans="2:15" ht="13">
      <c r="B849" s="3"/>
      <c r="C849" s="3"/>
      <c r="D849" s="3"/>
      <c r="E849" s="3"/>
      <c r="F849" s="3"/>
      <c r="G849" s="3"/>
      <c r="I849" s="3">
        <f ca="1"/>
        <v>0</v>
      </c>
      <c r="J849" s="3">
        <f ca="1"/>
        <v>0</v>
      </c>
      <c r="K849" s="3">
        <f ca="1"/>
        <v>0</v>
      </c>
      <c r="M849" s="3">
        <f ca="1"/>
        <v>0</v>
      </c>
      <c r="N849" s="3">
        <f ca="1"/>
        <v>0</v>
      </c>
      <c r="O849" s="3">
        <f ca="1"/>
        <v>0</v>
      </c>
    </row>
    <row r="850" spans="2:15" ht="13">
      <c r="B850" s="3"/>
      <c r="C850" s="3"/>
      <c r="D850" s="3"/>
      <c r="E850" s="3"/>
      <c r="F850" s="3"/>
      <c r="G850" s="3"/>
      <c r="I850" s="3">
        <f ca="1"/>
        <v>0</v>
      </c>
      <c r="J850" s="3">
        <f ca="1"/>
        <v>0</v>
      </c>
      <c r="K850" s="3">
        <f ca="1"/>
        <v>0</v>
      </c>
      <c r="M850" s="3">
        <f ca="1"/>
        <v>0</v>
      </c>
      <c r="N850" s="3">
        <f ca="1"/>
        <v>0</v>
      </c>
      <c r="O850" s="3">
        <f ca="1"/>
        <v>0</v>
      </c>
    </row>
    <row r="851" spans="2:15" ht="13">
      <c r="B851" s="3"/>
      <c r="C851" s="3"/>
      <c r="D851" s="3"/>
      <c r="E851" s="3"/>
      <c r="F851" s="3"/>
      <c r="G851" s="3"/>
      <c r="I851" s="3">
        <f ca="1"/>
        <v>0</v>
      </c>
      <c r="J851" s="3">
        <f ca="1"/>
        <v>0</v>
      </c>
      <c r="K851" s="3">
        <f ca="1"/>
        <v>0</v>
      </c>
      <c r="M851" s="3">
        <f ca="1"/>
        <v>0</v>
      </c>
      <c r="N851" s="3">
        <f ca="1"/>
        <v>0</v>
      </c>
      <c r="O851" s="3">
        <f ca="1"/>
        <v>0</v>
      </c>
    </row>
    <row r="852" spans="2:15" ht="13">
      <c r="B852" s="3"/>
      <c r="C852" s="3"/>
      <c r="D852" s="3"/>
      <c r="E852" s="3"/>
      <c r="F852" s="3"/>
      <c r="G852" s="3"/>
      <c r="I852" s="3">
        <f ca="1"/>
        <v>0</v>
      </c>
      <c r="J852" s="3">
        <f ca="1"/>
        <v>0</v>
      </c>
      <c r="K852" s="3">
        <f ca="1"/>
        <v>0</v>
      </c>
      <c r="M852" s="3">
        <f ca="1"/>
        <v>0</v>
      </c>
      <c r="N852" s="3">
        <f ca="1"/>
        <v>0</v>
      </c>
      <c r="O852" s="3">
        <f ca="1"/>
        <v>0</v>
      </c>
    </row>
    <row r="853" spans="2:15" ht="13">
      <c r="B853" s="3"/>
      <c r="C853" s="3"/>
      <c r="D853" s="3"/>
      <c r="E853" s="3"/>
      <c r="F853" s="3"/>
      <c r="G853" s="3"/>
      <c r="I853" s="3">
        <f ca="1"/>
        <v>0</v>
      </c>
      <c r="J853" s="3">
        <f ca="1"/>
        <v>0</v>
      </c>
      <c r="K853" s="3">
        <f ca="1"/>
        <v>0</v>
      </c>
      <c r="M853" s="3">
        <f ca="1"/>
        <v>0</v>
      </c>
      <c r="N853" s="3">
        <f ca="1"/>
        <v>0</v>
      </c>
      <c r="O853" s="3">
        <f ca="1"/>
        <v>0</v>
      </c>
    </row>
    <row r="854" spans="2:15" ht="13">
      <c r="B854" s="3"/>
      <c r="C854" s="3"/>
      <c r="D854" s="3"/>
      <c r="E854" s="3"/>
      <c r="F854" s="3"/>
      <c r="G854" s="3"/>
      <c r="I854" s="3">
        <f ca="1"/>
        <v>0</v>
      </c>
      <c r="J854" s="3">
        <f ca="1"/>
        <v>0</v>
      </c>
      <c r="K854" s="3">
        <f ca="1"/>
        <v>0</v>
      </c>
      <c r="M854" s="3">
        <f ca="1"/>
        <v>0</v>
      </c>
      <c r="N854" s="3">
        <f ca="1"/>
        <v>0</v>
      </c>
      <c r="O854" s="3">
        <f ca="1"/>
        <v>0</v>
      </c>
    </row>
    <row r="855" spans="2:15" ht="13">
      <c r="B855" s="3"/>
      <c r="C855" s="3"/>
      <c r="D855" s="3"/>
      <c r="E855" s="3"/>
      <c r="F855" s="3"/>
      <c r="G855" s="3"/>
      <c r="I855" s="3">
        <f ca="1"/>
        <v>0</v>
      </c>
      <c r="J855" s="3">
        <f ca="1"/>
        <v>0</v>
      </c>
      <c r="K855" s="3">
        <f ca="1"/>
        <v>0</v>
      </c>
      <c r="M855" s="3">
        <f ca="1"/>
        <v>0</v>
      </c>
      <c r="N855" s="3">
        <f ca="1"/>
        <v>0</v>
      </c>
      <c r="O855" s="3">
        <f ca="1"/>
        <v>0</v>
      </c>
    </row>
    <row r="856" spans="2:15" ht="13">
      <c r="B856" s="3"/>
      <c r="C856" s="3"/>
      <c r="D856" s="3"/>
      <c r="E856" s="3"/>
      <c r="F856" s="3"/>
      <c r="G856" s="3"/>
      <c r="I856" s="3">
        <f ca="1"/>
        <v>0</v>
      </c>
      <c r="J856" s="3">
        <f ca="1"/>
        <v>0</v>
      </c>
      <c r="K856" s="3">
        <f ca="1"/>
        <v>0</v>
      </c>
      <c r="M856" s="3">
        <f ca="1"/>
        <v>0</v>
      </c>
      <c r="N856" s="3">
        <f ca="1"/>
        <v>0</v>
      </c>
      <c r="O856" s="3">
        <f ca="1"/>
        <v>0</v>
      </c>
    </row>
    <row r="857" spans="2:15" ht="13">
      <c r="B857" s="3"/>
      <c r="C857" s="3"/>
      <c r="D857" s="3"/>
      <c r="E857" s="3"/>
      <c r="F857" s="3"/>
      <c r="G857" s="3"/>
      <c r="I857" s="3">
        <f ca="1"/>
        <v>0</v>
      </c>
      <c r="J857" s="3">
        <f ca="1"/>
        <v>0</v>
      </c>
      <c r="K857" s="3">
        <f ca="1"/>
        <v>0</v>
      </c>
      <c r="M857" s="3">
        <f ca="1"/>
        <v>0</v>
      </c>
      <c r="N857" s="3">
        <f ca="1"/>
        <v>0</v>
      </c>
      <c r="O857" s="3">
        <f ca="1"/>
        <v>0</v>
      </c>
    </row>
    <row r="858" spans="2:15" ht="13">
      <c r="B858" s="3"/>
      <c r="C858" s="3"/>
      <c r="D858" s="3"/>
      <c r="E858" s="3"/>
      <c r="F858" s="3"/>
      <c r="G858" s="3"/>
      <c r="I858" s="3">
        <f ca="1"/>
        <v>0</v>
      </c>
      <c r="J858" s="3">
        <f ca="1"/>
        <v>0</v>
      </c>
      <c r="K858" s="3">
        <f ca="1"/>
        <v>0</v>
      </c>
      <c r="M858" s="3">
        <f ca="1"/>
        <v>0</v>
      </c>
      <c r="N858" s="3">
        <f ca="1"/>
        <v>0</v>
      </c>
      <c r="O858" s="3">
        <f ca="1"/>
        <v>0</v>
      </c>
    </row>
    <row r="859" spans="2:15" ht="13">
      <c r="B859" s="3"/>
      <c r="C859" s="3"/>
      <c r="D859" s="3"/>
      <c r="E859" s="3"/>
      <c r="F859" s="3"/>
      <c r="G859" s="3"/>
      <c r="I859" s="3">
        <f ca="1"/>
        <v>0</v>
      </c>
      <c r="J859" s="3">
        <f ca="1"/>
        <v>0</v>
      </c>
      <c r="K859" s="3">
        <f ca="1"/>
        <v>0</v>
      </c>
      <c r="M859" s="3">
        <f ca="1"/>
        <v>0</v>
      </c>
      <c r="N859" s="3">
        <f ca="1"/>
        <v>0</v>
      </c>
      <c r="O859" s="3">
        <f ca="1"/>
        <v>0</v>
      </c>
    </row>
    <row r="860" spans="2:15" ht="13">
      <c r="B860" s="3"/>
      <c r="C860" s="3"/>
      <c r="D860" s="3"/>
      <c r="E860" s="3"/>
      <c r="F860" s="3"/>
      <c r="G860" s="3"/>
      <c r="I860" s="3">
        <f ca="1"/>
        <v>0</v>
      </c>
      <c r="J860" s="3">
        <f ca="1"/>
        <v>0</v>
      </c>
      <c r="K860" s="3">
        <f ca="1"/>
        <v>0</v>
      </c>
      <c r="M860" s="3">
        <f ca="1"/>
        <v>0</v>
      </c>
      <c r="N860" s="3">
        <f ca="1"/>
        <v>0</v>
      </c>
      <c r="O860" s="3">
        <f ca="1"/>
        <v>0</v>
      </c>
    </row>
    <row r="861" spans="2:15" ht="13">
      <c r="B861" s="3"/>
      <c r="C861" s="3"/>
      <c r="D861" s="3"/>
      <c r="E861" s="3"/>
      <c r="F861" s="3"/>
      <c r="G861" s="3"/>
      <c r="I861" s="3">
        <f ca="1"/>
        <v>0</v>
      </c>
      <c r="J861" s="3">
        <f ca="1"/>
        <v>0</v>
      </c>
      <c r="K861" s="3">
        <f ca="1"/>
        <v>0</v>
      </c>
      <c r="M861" s="3">
        <f ca="1"/>
        <v>0</v>
      </c>
      <c r="N861" s="3">
        <f ca="1"/>
        <v>0</v>
      </c>
      <c r="O861" s="3">
        <f ca="1"/>
        <v>0</v>
      </c>
    </row>
    <row r="862" spans="2:15" ht="13">
      <c r="B862" s="3"/>
      <c r="C862" s="3"/>
      <c r="D862" s="3"/>
      <c r="E862" s="3"/>
      <c r="F862" s="3"/>
      <c r="G862" s="3"/>
      <c r="I862" s="3">
        <f ca="1"/>
        <v>0</v>
      </c>
      <c r="J862" s="3">
        <f ca="1"/>
        <v>0</v>
      </c>
      <c r="K862" s="3">
        <f ca="1"/>
        <v>0</v>
      </c>
      <c r="M862" s="3">
        <f ca="1"/>
        <v>0</v>
      </c>
      <c r="N862" s="3">
        <f ca="1"/>
        <v>0</v>
      </c>
      <c r="O862" s="3">
        <f ca="1"/>
        <v>0</v>
      </c>
    </row>
    <row r="863" spans="2:15" ht="13">
      <c r="B863" s="3"/>
      <c r="C863" s="3"/>
      <c r="D863" s="3"/>
      <c r="E863" s="3"/>
      <c r="F863" s="3"/>
      <c r="G863" s="3"/>
      <c r="I863" s="3">
        <f ca="1"/>
        <v>0</v>
      </c>
      <c r="J863" s="3">
        <f ca="1"/>
        <v>0</v>
      </c>
      <c r="K863" s="3">
        <f ca="1"/>
        <v>0</v>
      </c>
      <c r="M863" s="3">
        <f ca="1"/>
        <v>0</v>
      </c>
      <c r="N863" s="3">
        <f ca="1"/>
        <v>0</v>
      </c>
      <c r="O863" s="3">
        <f ca="1"/>
        <v>0</v>
      </c>
    </row>
    <row r="864" spans="2:15" ht="13">
      <c r="B864" s="3"/>
      <c r="C864" s="3"/>
      <c r="D864" s="3"/>
      <c r="E864" s="3"/>
      <c r="F864" s="3"/>
      <c r="G864" s="3"/>
      <c r="I864" s="3">
        <f ca="1"/>
        <v>0</v>
      </c>
      <c r="J864" s="3">
        <f ca="1"/>
        <v>0</v>
      </c>
      <c r="K864" s="3">
        <f ca="1"/>
        <v>0</v>
      </c>
      <c r="M864" s="3">
        <f ca="1"/>
        <v>0</v>
      </c>
      <c r="N864" s="3">
        <f ca="1"/>
        <v>0</v>
      </c>
      <c r="O864" s="3">
        <f ca="1"/>
        <v>0</v>
      </c>
    </row>
    <row r="865" spans="2:15" ht="13">
      <c r="B865" s="3"/>
      <c r="C865" s="3"/>
      <c r="D865" s="3"/>
      <c r="E865" s="3"/>
      <c r="F865" s="3"/>
      <c r="G865" s="3"/>
      <c r="I865" s="3">
        <f ca="1"/>
        <v>0</v>
      </c>
      <c r="J865" s="3">
        <f ca="1"/>
        <v>0</v>
      </c>
      <c r="K865" s="3">
        <f ca="1"/>
        <v>0</v>
      </c>
      <c r="M865" s="3">
        <f ca="1"/>
        <v>0</v>
      </c>
      <c r="N865" s="3">
        <f ca="1"/>
        <v>0</v>
      </c>
      <c r="O865" s="3">
        <f ca="1"/>
        <v>0</v>
      </c>
    </row>
    <row r="866" spans="2:15" ht="13">
      <c r="B866" s="3"/>
      <c r="C866" s="3"/>
      <c r="D866" s="3"/>
      <c r="E866" s="3"/>
      <c r="F866" s="3"/>
      <c r="G866" s="3"/>
      <c r="I866" s="3">
        <f ca="1"/>
        <v>0</v>
      </c>
      <c r="J866" s="3">
        <f ca="1"/>
        <v>0</v>
      </c>
      <c r="K866" s="3">
        <f ca="1"/>
        <v>0</v>
      </c>
      <c r="M866" s="3">
        <f ca="1"/>
        <v>0</v>
      </c>
      <c r="N866" s="3">
        <f ca="1"/>
        <v>0</v>
      </c>
      <c r="O866" s="3">
        <f ca="1"/>
        <v>0</v>
      </c>
    </row>
    <row r="867" spans="2:15" ht="13">
      <c r="B867" s="3"/>
      <c r="C867" s="3"/>
      <c r="D867" s="3"/>
      <c r="E867" s="3"/>
      <c r="F867" s="3"/>
      <c r="G867" s="3"/>
      <c r="I867" s="3">
        <f ca="1"/>
        <v>0</v>
      </c>
      <c r="J867" s="3">
        <f ca="1"/>
        <v>0</v>
      </c>
      <c r="K867" s="3">
        <f ca="1"/>
        <v>0</v>
      </c>
      <c r="M867" s="3">
        <f ca="1"/>
        <v>0</v>
      </c>
      <c r="N867" s="3">
        <f ca="1"/>
        <v>0</v>
      </c>
      <c r="O867" s="3">
        <f ca="1"/>
        <v>0</v>
      </c>
    </row>
    <row r="868" spans="2:15" ht="13">
      <c r="B868" s="3"/>
      <c r="C868" s="3"/>
      <c r="D868" s="3"/>
      <c r="E868" s="3"/>
      <c r="F868" s="3"/>
      <c r="G868" s="3"/>
      <c r="I868" s="3">
        <f ca="1"/>
        <v>0</v>
      </c>
      <c r="J868" s="3">
        <f ca="1"/>
        <v>0</v>
      </c>
      <c r="K868" s="3">
        <f ca="1"/>
        <v>0</v>
      </c>
      <c r="M868" s="3">
        <f ca="1"/>
        <v>0</v>
      </c>
      <c r="N868" s="3">
        <f ca="1"/>
        <v>0</v>
      </c>
      <c r="O868" s="3">
        <f ca="1"/>
        <v>0</v>
      </c>
    </row>
    <row r="869" spans="2:15" ht="13">
      <c r="B869" s="3"/>
      <c r="C869" s="3"/>
      <c r="D869" s="3"/>
      <c r="E869" s="3"/>
      <c r="F869" s="3"/>
      <c r="G869" s="3"/>
      <c r="I869" s="3">
        <f ca="1"/>
        <v>0</v>
      </c>
      <c r="J869" s="3">
        <f ca="1"/>
        <v>0</v>
      </c>
      <c r="K869" s="3">
        <f ca="1"/>
        <v>0</v>
      </c>
      <c r="M869" s="3">
        <f ca="1"/>
        <v>0</v>
      </c>
      <c r="N869" s="3">
        <f ca="1"/>
        <v>0</v>
      </c>
      <c r="O869" s="3">
        <f ca="1"/>
        <v>0</v>
      </c>
    </row>
    <row r="870" spans="2:15" ht="13">
      <c r="B870" s="3"/>
      <c r="C870" s="3"/>
      <c r="D870" s="3"/>
      <c r="E870" s="3"/>
      <c r="F870" s="3"/>
      <c r="G870" s="3"/>
      <c r="I870" s="3">
        <f ca="1"/>
        <v>0</v>
      </c>
      <c r="J870" s="3">
        <f ca="1"/>
        <v>0</v>
      </c>
      <c r="K870" s="3">
        <f ca="1"/>
        <v>0</v>
      </c>
      <c r="M870" s="3">
        <f ca="1"/>
        <v>0</v>
      </c>
      <c r="N870" s="3">
        <f ca="1"/>
        <v>0</v>
      </c>
      <c r="O870" s="3">
        <f ca="1"/>
        <v>0</v>
      </c>
    </row>
    <row r="871" spans="2:15" ht="13">
      <c r="B871" s="3"/>
      <c r="C871" s="3"/>
      <c r="D871" s="3"/>
      <c r="E871" s="3"/>
      <c r="F871" s="3"/>
      <c r="G871" s="3"/>
      <c r="I871" s="3">
        <f ca="1"/>
        <v>0</v>
      </c>
      <c r="J871" s="3">
        <f ca="1"/>
        <v>0</v>
      </c>
      <c r="K871" s="3">
        <f ca="1"/>
        <v>0</v>
      </c>
      <c r="M871" s="3">
        <f ca="1"/>
        <v>0</v>
      </c>
      <c r="N871" s="3">
        <f ca="1"/>
        <v>0</v>
      </c>
      <c r="O871" s="3">
        <f ca="1"/>
        <v>0</v>
      </c>
    </row>
    <row r="872" spans="2:15" ht="13">
      <c r="B872" s="3"/>
      <c r="C872" s="3"/>
      <c r="D872" s="3"/>
      <c r="E872" s="3"/>
      <c r="F872" s="3"/>
      <c r="G872" s="3"/>
      <c r="I872" s="3">
        <f ca="1"/>
        <v>0</v>
      </c>
      <c r="J872" s="3">
        <f ca="1"/>
        <v>0</v>
      </c>
      <c r="K872" s="3">
        <f ca="1"/>
        <v>0</v>
      </c>
      <c r="M872" s="3">
        <f ca="1"/>
        <v>0</v>
      </c>
      <c r="N872" s="3">
        <f ca="1"/>
        <v>0</v>
      </c>
      <c r="O872" s="3">
        <f ca="1"/>
        <v>0</v>
      </c>
    </row>
    <row r="873" spans="2:15" ht="13">
      <c r="B873" s="3"/>
      <c r="C873" s="3"/>
      <c r="D873" s="3"/>
      <c r="E873" s="3"/>
      <c r="F873" s="3"/>
      <c r="G873" s="3"/>
      <c r="I873" s="3">
        <f ca="1"/>
        <v>0</v>
      </c>
      <c r="J873" s="3">
        <f ca="1"/>
        <v>0</v>
      </c>
      <c r="K873" s="3">
        <f ca="1"/>
        <v>0</v>
      </c>
      <c r="M873" s="3">
        <f ca="1"/>
        <v>0</v>
      </c>
      <c r="N873" s="3">
        <f ca="1"/>
        <v>0</v>
      </c>
      <c r="O873" s="3">
        <f ca="1"/>
        <v>0</v>
      </c>
    </row>
    <row r="874" spans="2:15" ht="13">
      <c r="B874" s="3"/>
      <c r="C874" s="3"/>
      <c r="D874" s="3"/>
      <c r="E874" s="3"/>
      <c r="F874" s="3"/>
      <c r="G874" s="3"/>
      <c r="I874" s="3">
        <f ca="1"/>
        <v>0</v>
      </c>
      <c r="J874" s="3">
        <f ca="1"/>
        <v>0</v>
      </c>
      <c r="K874" s="3">
        <f ca="1"/>
        <v>0</v>
      </c>
      <c r="M874" s="3">
        <f ca="1"/>
        <v>0</v>
      </c>
      <c r="N874" s="3">
        <f ca="1"/>
        <v>0</v>
      </c>
      <c r="O874" s="3">
        <f ca="1"/>
        <v>0</v>
      </c>
    </row>
    <row r="875" spans="2:15" ht="13">
      <c r="B875" s="3"/>
      <c r="C875" s="3"/>
      <c r="D875" s="3"/>
      <c r="E875" s="3"/>
      <c r="F875" s="3"/>
      <c r="G875" s="3"/>
      <c r="I875" s="3">
        <f ca="1"/>
        <v>0</v>
      </c>
      <c r="J875" s="3">
        <f ca="1"/>
        <v>0</v>
      </c>
      <c r="K875" s="3">
        <f ca="1"/>
        <v>0</v>
      </c>
      <c r="M875" s="3">
        <f ca="1"/>
        <v>0</v>
      </c>
      <c r="N875" s="3">
        <f ca="1"/>
        <v>0</v>
      </c>
      <c r="O875" s="3">
        <f ca="1"/>
        <v>0</v>
      </c>
    </row>
    <row r="876" spans="2:15" ht="13">
      <c r="B876" s="3"/>
      <c r="C876" s="3"/>
      <c r="D876" s="3"/>
      <c r="E876" s="3"/>
      <c r="F876" s="3"/>
      <c r="G876" s="3"/>
      <c r="I876" s="3">
        <f ca="1"/>
        <v>0</v>
      </c>
      <c r="J876" s="3">
        <f ca="1"/>
        <v>0</v>
      </c>
      <c r="K876" s="3">
        <f ca="1"/>
        <v>0</v>
      </c>
      <c r="M876" s="3">
        <f ca="1"/>
        <v>0</v>
      </c>
      <c r="N876" s="3">
        <f ca="1"/>
        <v>0</v>
      </c>
      <c r="O876" s="3">
        <f ca="1"/>
        <v>0</v>
      </c>
    </row>
    <row r="877" spans="2:15" ht="13">
      <c r="B877" s="3"/>
      <c r="C877" s="3"/>
      <c r="D877" s="3"/>
      <c r="E877" s="3"/>
      <c r="F877" s="3"/>
      <c r="G877" s="3"/>
      <c r="I877" s="3">
        <f ca="1"/>
        <v>0</v>
      </c>
      <c r="J877" s="3">
        <f ca="1"/>
        <v>0</v>
      </c>
      <c r="K877" s="3">
        <f ca="1"/>
        <v>0</v>
      </c>
      <c r="M877" s="3">
        <f ca="1"/>
        <v>0</v>
      </c>
      <c r="N877" s="3">
        <f ca="1"/>
        <v>0</v>
      </c>
      <c r="O877" s="3">
        <f ca="1"/>
        <v>0</v>
      </c>
    </row>
    <row r="878" spans="2:15" ht="13">
      <c r="B878" s="3"/>
      <c r="C878" s="3"/>
      <c r="D878" s="3"/>
      <c r="E878" s="3"/>
      <c r="F878" s="3"/>
      <c r="G878" s="3"/>
      <c r="I878" s="3">
        <f ca="1"/>
        <v>0</v>
      </c>
      <c r="J878" s="3">
        <f ca="1"/>
        <v>0</v>
      </c>
      <c r="K878" s="3">
        <f ca="1"/>
        <v>0</v>
      </c>
      <c r="M878" s="3">
        <f ca="1"/>
        <v>0</v>
      </c>
      <c r="N878" s="3">
        <f ca="1"/>
        <v>0</v>
      </c>
      <c r="O878" s="3">
        <f ca="1"/>
        <v>0</v>
      </c>
    </row>
    <row r="879" spans="2:15" ht="13">
      <c r="B879" s="3"/>
      <c r="C879" s="3"/>
      <c r="D879" s="3"/>
      <c r="E879" s="3"/>
      <c r="F879" s="3"/>
      <c r="G879" s="3"/>
      <c r="I879" s="3">
        <f ca="1"/>
        <v>0</v>
      </c>
      <c r="J879" s="3">
        <f ca="1"/>
        <v>0</v>
      </c>
      <c r="K879" s="3">
        <f ca="1"/>
        <v>0</v>
      </c>
      <c r="M879" s="3">
        <f ca="1"/>
        <v>0</v>
      </c>
      <c r="N879" s="3">
        <f ca="1"/>
        <v>0</v>
      </c>
      <c r="O879" s="3">
        <f ca="1"/>
        <v>0</v>
      </c>
    </row>
    <row r="880" spans="2:15" ht="13">
      <c r="B880" s="3"/>
      <c r="C880" s="3"/>
      <c r="D880" s="3"/>
      <c r="E880" s="3"/>
      <c r="F880" s="3"/>
      <c r="G880" s="3"/>
      <c r="I880" s="3">
        <f ca="1"/>
        <v>0</v>
      </c>
      <c r="J880" s="3">
        <f ca="1"/>
        <v>0</v>
      </c>
      <c r="K880" s="3">
        <f ca="1"/>
        <v>0</v>
      </c>
      <c r="M880" s="3">
        <f ca="1"/>
        <v>0</v>
      </c>
      <c r="N880" s="3">
        <f ca="1"/>
        <v>0</v>
      </c>
      <c r="O880" s="3">
        <f ca="1"/>
        <v>0</v>
      </c>
    </row>
    <row r="881" spans="2:15" ht="13">
      <c r="B881" s="3"/>
      <c r="C881" s="3"/>
      <c r="D881" s="3"/>
      <c r="E881" s="3"/>
      <c r="F881" s="3"/>
      <c r="G881" s="3"/>
      <c r="I881" s="3">
        <f ca="1"/>
        <v>0</v>
      </c>
      <c r="J881" s="3">
        <f ca="1"/>
        <v>0</v>
      </c>
      <c r="K881" s="3">
        <f ca="1"/>
        <v>0</v>
      </c>
      <c r="M881" s="3">
        <f ca="1"/>
        <v>0</v>
      </c>
      <c r="N881" s="3">
        <f ca="1"/>
        <v>0</v>
      </c>
      <c r="O881" s="3">
        <f ca="1"/>
        <v>0</v>
      </c>
    </row>
    <row r="882" spans="2:15" ht="13">
      <c r="B882" s="3"/>
      <c r="C882" s="3"/>
      <c r="D882" s="3"/>
      <c r="E882" s="3"/>
      <c r="F882" s="3"/>
      <c r="G882" s="3"/>
      <c r="I882" s="3">
        <f ca="1"/>
        <v>0</v>
      </c>
      <c r="J882" s="3">
        <f ca="1"/>
        <v>0</v>
      </c>
      <c r="K882" s="3">
        <f ca="1"/>
        <v>0</v>
      </c>
      <c r="M882" s="3">
        <f ca="1"/>
        <v>0</v>
      </c>
      <c r="N882" s="3">
        <f ca="1"/>
        <v>0</v>
      </c>
      <c r="O882" s="3">
        <f ca="1"/>
        <v>0</v>
      </c>
    </row>
    <row r="883" spans="2:15" ht="13">
      <c r="B883" s="3"/>
      <c r="C883" s="3"/>
      <c r="D883" s="3"/>
      <c r="E883" s="3"/>
      <c r="F883" s="3"/>
      <c r="G883" s="3"/>
      <c r="I883" s="3">
        <f ca="1"/>
        <v>0</v>
      </c>
      <c r="J883" s="3">
        <f ca="1"/>
        <v>0</v>
      </c>
      <c r="K883" s="3">
        <f ca="1"/>
        <v>0</v>
      </c>
      <c r="M883" s="3">
        <f ca="1"/>
        <v>0</v>
      </c>
      <c r="N883" s="3">
        <f ca="1"/>
        <v>0</v>
      </c>
      <c r="O883" s="3">
        <f ca="1"/>
        <v>0</v>
      </c>
    </row>
    <row r="884" spans="2:15" ht="13">
      <c r="B884" s="3"/>
      <c r="C884" s="3"/>
      <c r="D884" s="3"/>
      <c r="E884" s="3"/>
      <c r="F884" s="3"/>
      <c r="G884" s="3"/>
      <c r="I884" s="3">
        <f ca="1"/>
        <v>0</v>
      </c>
      <c r="J884" s="3">
        <f ca="1"/>
        <v>0</v>
      </c>
      <c r="K884" s="3">
        <f ca="1"/>
        <v>0</v>
      </c>
      <c r="M884" s="3">
        <f ca="1"/>
        <v>0</v>
      </c>
      <c r="N884" s="3">
        <f ca="1"/>
        <v>0</v>
      </c>
      <c r="O884" s="3">
        <f ca="1"/>
        <v>0</v>
      </c>
    </row>
    <row r="885" spans="2:15" ht="13">
      <c r="B885" s="3"/>
      <c r="C885" s="3"/>
      <c r="D885" s="3"/>
      <c r="E885" s="3"/>
      <c r="F885" s="3"/>
      <c r="G885" s="3"/>
      <c r="I885" s="3">
        <f ca="1"/>
        <v>0</v>
      </c>
      <c r="J885" s="3">
        <f ca="1"/>
        <v>0</v>
      </c>
      <c r="K885" s="3">
        <f ca="1"/>
        <v>0</v>
      </c>
      <c r="M885" s="3">
        <f ca="1"/>
        <v>0</v>
      </c>
      <c r="N885" s="3">
        <f ca="1"/>
        <v>0</v>
      </c>
      <c r="O885" s="3">
        <f ca="1"/>
        <v>0</v>
      </c>
    </row>
    <row r="886" spans="2:15" ht="13">
      <c r="B886" s="3"/>
      <c r="C886" s="3"/>
      <c r="D886" s="3"/>
      <c r="E886" s="3"/>
      <c r="F886" s="3"/>
      <c r="G886" s="3"/>
      <c r="I886" s="3">
        <f ca="1"/>
        <v>0</v>
      </c>
      <c r="J886" s="3">
        <f ca="1"/>
        <v>0</v>
      </c>
      <c r="K886" s="3">
        <f ca="1"/>
        <v>0</v>
      </c>
      <c r="M886" s="3">
        <f ca="1"/>
        <v>0</v>
      </c>
      <c r="N886" s="3">
        <f ca="1"/>
        <v>0</v>
      </c>
      <c r="O886" s="3">
        <f ca="1"/>
        <v>0</v>
      </c>
    </row>
    <row r="887" spans="2:15" ht="13">
      <c r="B887" s="3"/>
      <c r="C887" s="3"/>
      <c r="D887" s="3"/>
      <c r="E887" s="3"/>
      <c r="F887" s="3"/>
      <c r="G887" s="3"/>
      <c r="I887" s="3">
        <f ca="1"/>
        <v>0</v>
      </c>
      <c r="J887" s="3">
        <f ca="1"/>
        <v>0</v>
      </c>
      <c r="K887" s="3">
        <f ca="1"/>
        <v>0</v>
      </c>
      <c r="M887" s="3">
        <f ca="1"/>
        <v>0</v>
      </c>
      <c r="N887" s="3">
        <f ca="1"/>
        <v>0</v>
      </c>
      <c r="O887" s="3">
        <f ca="1"/>
        <v>0</v>
      </c>
    </row>
    <row r="888" spans="2:15" ht="13">
      <c r="B888" s="3"/>
      <c r="C888" s="3"/>
      <c r="D888" s="3"/>
      <c r="E888" s="3"/>
      <c r="F888" s="3"/>
      <c r="G888" s="3"/>
      <c r="I888" s="3">
        <f ca="1"/>
        <v>0</v>
      </c>
      <c r="J888" s="3">
        <f ca="1"/>
        <v>0</v>
      </c>
      <c r="K888" s="3">
        <f ca="1"/>
        <v>0</v>
      </c>
      <c r="M888" s="3">
        <f ca="1"/>
        <v>0</v>
      </c>
      <c r="N888" s="3">
        <f ca="1"/>
        <v>0</v>
      </c>
      <c r="O888" s="3">
        <f ca="1"/>
        <v>0</v>
      </c>
    </row>
    <row r="889" spans="2:15" ht="13">
      <c r="B889" s="3"/>
      <c r="C889" s="3"/>
      <c r="D889" s="3"/>
      <c r="E889" s="3"/>
      <c r="F889" s="3"/>
      <c r="G889" s="3"/>
      <c r="I889" s="3">
        <f ca="1"/>
        <v>0</v>
      </c>
      <c r="J889" s="3">
        <f ca="1"/>
        <v>0</v>
      </c>
      <c r="K889" s="3">
        <f ca="1"/>
        <v>0</v>
      </c>
      <c r="M889" s="3">
        <f ca="1"/>
        <v>0</v>
      </c>
      <c r="N889" s="3">
        <f ca="1"/>
        <v>0</v>
      </c>
      <c r="O889" s="3">
        <f ca="1"/>
        <v>0</v>
      </c>
    </row>
    <row r="890" spans="2:15" ht="13">
      <c r="B890" s="3"/>
      <c r="C890" s="3"/>
      <c r="D890" s="3"/>
      <c r="E890" s="3"/>
      <c r="F890" s="3"/>
      <c r="G890" s="3"/>
      <c r="I890" s="3">
        <f ca="1"/>
        <v>0</v>
      </c>
      <c r="J890" s="3">
        <f ca="1"/>
        <v>0</v>
      </c>
      <c r="K890" s="3">
        <f ca="1"/>
        <v>0</v>
      </c>
      <c r="M890" s="3">
        <f ca="1"/>
        <v>0</v>
      </c>
      <c r="N890" s="3">
        <f ca="1"/>
        <v>0</v>
      </c>
      <c r="O890" s="3">
        <f ca="1"/>
        <v>0</v>
      </c>
    </row>
    <row r="891" spans="2:15" ht="13">
      <c r="B891" s="3"/>
      <c r="C891" s="3"/>
      <c r="D891" s="3"/>
      <c r="E891" s="3"/>
      <c r="F891" s="3"/>
      <c r="G891" s="3"/>
      <c r="I891" s="3">
        <f ca="1"/>
        <v>0</v>
      </c>
      <c r="J891" s="3">
        <f ca="1"/>
        <v>0</v>
      </c>
      <c r="K891" s="3">
        <f ca="1"/>
        <v>0</v>
      </c>
      <c r="M891" s="3">
        <f ca="1"/>
        <v>0</v>
      </c>
      <c r="N891" s="3">
        <f ca="1"/>
        <v>0</v>
      </c>
      <c r="O891" s="3">
        <f ca="1"/>
        <v>0</v>
      </c>
    </row>
    <row r="892" spans="2:15" ht="13">
      <c r="B892" s="3"/>
      <c r="C892" s="3"/>
      <c r="D892" s="3"/>
      <c r="E892" s="3"/>
      <c r="F892" s="3"/>
      <c r="G892" s="3"/>
      <c r="I892" s="3">
        <f ca="1"/>
        <v>0</v>
      </c>
      <c r="J892" s="3">
        <f ca="1"/>
        <v>0</v>
      </c>
      <c r="K892" s="3">
        <f ca="1"/>
        <v>0</v>
      </c>
      <c r="M892" s="3">
        <f ca="1"/>
        <v>0</v>
      </c>
      <c r="N892" s="3">
        <f ca="1"/>
        <v>0</v>
      </c>
      <c r="O892" s="3">
        <f ca="1"/>
        <v>0</v>
      </c>
    </row>
    <row r="893" spans="2:15" ht="13">
      <c r="B893" s="3"/>
      <c r="C893" s="3"/>
      <c r="D893" s="3"/>
      <c r="E893" s="3"/>
      <c r="F893" s="3"/>
      <c r="G893" s="3"/>
      <c r="I893" s="3">
        <f ca="1"/>
        <v>0</v>
      </c>
      <c r="J893" s="3">
        <f ca="1"/>
        <v>0</v>
      </c>
      <c r="K893" s="3">
        <f ca="1"/>
        <v>0</v>
      </c>
      <c r="M893" s="3">
        <f ca="1"/>
        <v>0</v>
      </c>
      <c r="N893" s="3">
        <f ca="1"/>
        <v>0</v>
      </c>
      <c r="O893" s="3">
        <f ca="1"/>
        <v>0</v>
      </c>
    </row>
    <row r="894" spans="2:15" ht="13">
      <c r="B894" s="3"/>
      <c r="C894" s="3"/>
      <c r="D894" s="3"/>
      <c r="E894" s="3"/>
      <c r="F894" s="3"/>
      <c r="G894" s="3"/>
      <c r="I894" s="3">
        <f ca="1"/>
        <v>0</v>
      </c>
      <c r="J894" s="3">
        <f ca="1"/>
        <v>0</v>
      </c>
      <c r="K894" s="3">
        <f ca="1"/>
        <v>0</v>
      </c>
      <c r="M894" s="3">
        <f ca="1"/>
        <v>0</v>
      </c>
      <c r="N894" s="3">
        <f ca="1"/>
        <v>0</v>
      </c>
      <c r="O894" s="3">
        <f ca="1"/>
        <v>0</v>
      </c>
    </row>
    <row r="895" spans="2:15" ht="13">
      <c r="B895" s="3"/>
      <c r="C895" s="3"/>
      <c r="D895" s="3"/>
      <c r="E895" s="3"/>
      <c r="F895" s="3"/>
      <c r="G895" s="3"/>
      <c r="I895" s="3">
        <f ca="1"/>
        <v>0</v>
      </c>
      <c r="J895" s="3">
        <f ca="1"/>
        <v>0</v>
      </c>
      <c r="K895" s="3">
        <f ca="1"/>
        <v>0</v>
      </c>
      <c r="M895" s="3">
        <f ca="1"/>
        <v>0</v>
      </c>
      <c r="N895" s="3">
        <f ca="1"/>
        <v>0</v>
      </c>
      <c r="O895" s="3">
        <f ca="1"/>
        <v>0</v>
      </c>
    </row>
    <row r="896" spans="2:15" ht="13">
      <c r="B896" s="3"/>
      <c r="C896" s="3"/>
      <c r="D896" s="3"/>
      <c r="E896" s="3"/>
      <c r="F896" s="3"/>
      <c r="G896" s="3"/>
      <c r="I896" s="3">
        <f ca="1"/>
        <v>0</v>
      </c>
      <c r="J896" s="3">
        <f ca="1"/>
        <v>0</v>
      </c>
      <c r="K896" s="3">
        <f ca="1"/>
        <v>0</v>
      </c>
      <c r="M896" s="3">
        <f ca="1"/>
        <v>0</v>
      </c>
      <c r="N896" s="3">
        <f ca="1"/>
        <v>0</v>
      </c>
      <c r="O896" s="3">
        <f ca="1"/>
        <v>0</v>
      </c>
    </row>
    <row r="897" spans="2:15" ht="13">
      <c r="B897" s="3"/>
      <c r="C897" s="3"/>
      <c r="D897" s="3"/>
      <c r="E897" s="3"/>
      <c r="F897" s="3"/>
      <c r="G897" s="3"/>
      <c r="I897" s="3">
        <f ca="1"/>
        <v>0</v>
      </c>
      <c r="J897" s="3">
        <f ca="1"/>
        <v>0</v>
      </c>
      <c r="K897" s="3">
        <f ca="1"/>
        <v>0</v>
      </c>
      <c r="M897" s="3">
        <f ca="1"/>
        <v>0</v>
      </c>
      <c r="N897" s="3">
        <f ca="1"/>
        <v>0</v>
      </c>
      <c r="O897" s="3">
        <f ca="1"/>
        <v>0</v>
      </c>
    </row>
    <row r="898" spans="2:15" ht="13">
      <c r="B898" s="3"/>
      <c r="C898" s="3"/>
      <c r="D898" s="3"/>
      <c r="E898" s="3"/>
      <c r="F898" s="3"/>
      <c r="G898" s="3"/>
      <c r="I898" s="3">
        <f ca="1"/>
        <v>0</v>
      </c>
      <c r="J898" s="3">
        <f ca="1"/>
        <v>0</v>
      </c>
      <c r="K898" s="3">
        <f ca="1"/>
        <v>0</v>
      </c>
      <c r="M898" s="3">
        <f ca="1"/>
        <v>0</v>
      </c>
      <c r="N898" s="3">
        <f ca="1"/>
        <v>0</v>
      </c>
      <c r="O898" s="3">
        <f ca="1"/>
        <v>0</v>
      </c>
    </row>
    <row r="899" spans="2:15" ht="13">
      <c r="B899" s="3"/>
      <c r="C899" s="3"/>
      <c r="D899" s="3"/>
      <c r="E899" s="3"/>
      <c r="F899" s="3"/>
      <c r="G899" s="3"/>
      <c r="I899" s="3">
        <f ca="1"/>
        <v>0</v>
      </c>
      <c r="J899" s="3">
        <f ca="1"/>
        <v>0</v>
      </c>
      <c r="K899" s="3">
        <f ca="1"/>
        <v>0</v>
      </c>
      <c r="M899" s="3">
        <f ca="1"/>
        <v>0</v>
      </c>
      <c r="N899" s="3">
        <f ca="1"/>
        <v>0</v>
      </c>
      <c r="O899" s="3">
        <f ca="1"/>
        <v>0</v>
      </c>
    </row>
    <row r="900" spans="2:15" ht="13">
      <c r="B900" s="3"/>
      <c r="C900" s="3"/>
      <c r="D900" s="3"/>
      <c r="E900" s="3"/>
      <c r="F900" s="3"/>
      <c r="G900" s="3"/>
      <c r="I900" s="3">
        <f ca="1"/>
        <v>0</v>
      </c>
      <c r="J900" s="3">
        <f ca="1"/>
        <v>0</v>
      </c>
      <c r="K900" s="3">
        <f ca="1"/>
        <v>0</v>
      </c>
      <c r="M900" s="3">
        <f ca="1"/>
        <v>0</v>
      </c>
      <c r="N900" s="3">
        <f ca="1"/>
        <v>0</v>
      </c>
      <c r="O900" s="3">
        <f ca="1"/>
        <v>0</v>
      </c>
    </row>
    <row r="901" spans="2:15" ht="13">
      <c r="B901" s="3"/>
      <c r="C901" s="3"/>
      <c r="D901" s="3"/>
      <c r="E901" s="3"/>
      <c r="F901" s="3"/>
      <c r="G901" s="3"/>
      <c r="I901" s="3">
        <f ca="1"/>
        <v>0</v>
      </c>
      <c r="J901" s="3">
        <f ca="1"/>
        <v>0</v>
      </c>
      <c r="K901" s="3">
        <f ca="1"/>
        <v>0</v>
      </c>
      <c r="M901" s="3">
        <f ca="1"/>
        <v>0</v>
      </c>
      <c r="N901" s="3">
        <f ca="1"/>
        <v>0</v>
      </c>
      <c r="O901" s="3">
        <f ca="1"/>
        <v>0</v>
      </c>
    </row>
    <row r="902" spans="2:15" ht="13">
      <c r="B902" s="3"/>
      <c r="C902" s="3"/>
      <c r="D902" s="3"/>
      <c r="E902" s="3"/>
      <c r="F902" s="3"/>
      <c r="G902" s="3"/>
      <c r="I902" s="3">
        <f ca="1"/>
        <v>0</v>
      </c>
      <c r="J902" s="3">
        <f ca="1"/>
        <v>0</v>
      </c>
      <c r="K902" s="3">
        <f ca="1"/>
        <v>0</v>
      </c>
      <c r="M902" s="3">
        <f ca="1"/>
        <v>0</v>
      </c>
      <c r="N902" s="3">
        <f ca="1"/>
        <v>0</v>
      </c>
      <c r="O902" s="3">
        <f ca="1"/>
        <v>0</v>
      </c>
    </row>
    <row r="903" spans="2:15" ht="13">
      <c r="B903" s="3"/>
      <c r="C903" s="3"/>
      <c r="D903" s="3"/>
      <c r="E903" s="3"/>
      <c r="F903" s="3"/>
      <c r="G903" s="3"/>
      <c r="I903" s="3">
        <f ca="1"/>
        <v>0</v>
      </c>
      <c r="J903" s="3">
        <f ca="1"/>
        <v>0</v>
      </c>
      <c r="K903" s="3">
        <f ca="1"/>
        <v>0</v>
      </c>
      <c r="M903" s="3">
        <f ca="1"/>
        <v>0</v>
      </c>
      <c r="N903" s="3">
        <f ca="1"/>
        <v>0</v>
      </c>
      <c r="O903" s="3">
        <f ca="1"/>
        <v>0</v>
      </c>
    </row>
    <row r="904" spans="2:15" ht="13">
      <c r="B904" s="3"/>
      <c r="C904" s="3"/>
      <c r="D904" s="3"/>
      <c r="E904" s="3"/>
      <c r="F904" s="3"/>
      <c r="G904" s="3"/>
      <c r="I904" s="3">
        <f ca="1"/>
        <v>0</v>
      </c>
      <c r="J904" s="3">
        <f ca="1"/>
        <v>0</v>
      </c>
      <c r="K904" s="3">
        <f ca="1"/>
        <v>0</v>
      </c>
      <c r="M904" s="3">
        <f ca="1"/>
        <v>0</v>
      </c>
      <c r="N904" s="3">
        <f ca="1"/>
        <v>0</v>
      </c>
      <c r="O904" s="3">
        <f ca="1"/>
        <v>0</v>
      </c>
    </row>
    <row r="905" spans="2:15" ht="13">
      <c r="B905" s="3"/>
      <c r="C905" s="3"/>
      <c r="D905" s="3"/>
      <c r="E905" s="3"/>
      <c r="F905" s="3"/>
      <c r="G905" s="3"/>
      <c r="I905" s="3">
        <f ca="1"/>
        <v>0</v>
      </c>
      <c r="J905" s="3">
        <f ca="1"/>
        <v>0</v>
      </c>
      <c r="K905" s="3">
        <f ca="1"/>
        <v>0</v>
      </c>
      <c r="M905" s="3">
        <f ca="1"/>
        <v>0</v>
      </c>
      <c r="N905" s="3">
        <f ca="1"/>
        <v>0</v>
      </c>
      <c r="O905" s="3">
        <f ca="1"/>
        <v>0</v>
      </c>
    </row>
    <row r="906" spans="2:15" ht="13">
      <c r="B906" s="3"/>
      <c r="C906" s="3"/>
      <c r="D906" s="3"/>
      <c r="E906" s="3"/>
      <c r="F906" s="3"/>
      <c r="G906" s="3"/>
      <c r="I906" s="3">
        <f ca="1"/>
        <v>0</v>
      </c>
      <c r="J906" s="3">
        <f ca="1"/>
        <v>0</v>
      </c>
      <c r="K906" s="3">
        <f ca="1"/>
        <v>0</v>
      </c>
      <c r="M906" s="3">
        <f ca="1"/>
        <v>0</v>
      </c>
      <c r="N906" s="3">
        <f ca="1"/>
        <v>0</v>
      </c>
      <c r="O906" s="3">
        <f ca="1"/>
        <v>0</v>
      </c>
    </row>
    <row r="907" spans="2:15" ht="13">
      <c r="B907" s="3"/>
      <c r="C907" s="3"/>
      <c r="D907" s="3"/>
      <c r="E907" s="3"/>
      <c r="F907" s="3"/>
      <c r="G907" s="3"/>
      <c r="I907" s="3">
        <f ca="1"/>
        <v>0</v>
      </c>
      <c r="J907" s="3">
        <f ca="1"/>
        <v>0</v>
      </c>
      <c r="K907" s="3">
        <f ca="1"/>
        <v>0</v>
      </c>
      <c r="M907" s="3">
        <f ca="1"/>
        <v>0</v>
      </c>
      <c r="N907" s="3">
        <f ca="1"/>
        <v>0</v>
      </c>
      <c r="O907" s="3">
        <f ca="1"/>
        <v>0</v>
      </c>
    </row>
    <row r="908" spans="2:15" ht="13">
      <c r="B908" s="3"/>
      <c r="C908" s="3"/>
      <c r="D908" s="3"/>
      <c r="E908" s="3"/>
      <c r="F908" s="3"/>
      <c r="G908" s="3"/>
      <c r="I908" s="3">
        <f ca="1"/>
        <v>0</v>
      </c>
      <c r="J908" s="3">
        <f ca="1"/>
        <v>0</v>
      </c>
      <c r="K908" s="3">
        <f ca="1"/>
        <v>0</v>
      </c>
      <c r="M908" s="3">
        <f ca="1"/>
        <v>0</v>
      </c>
      <c r="N908" s="3">
        <f ca="1"/>
        <v>0</v>
      </c>
      <c r="O908" s="3">
        <f ca="1"/>
        <v>0</v>
      </c>
    </row>
    <row r="909" spans="2:15" ht="13">
      <c r="B909" s="3"/>
      <c r="C909" s="3"/>
      <c r="D909" s="3"/>
      <c r="E909" s="3"/>
      <c r="F909" s="3"/>
      <c r="G909" s="3"/>
      <c r="I909" s="3">
        <f ca="1"/>
        <v>0</v>
      </c>
      <c r="J909" s="3">
        <f ca="1"/>
        <v>0</v>
      </c>
      <c r="K909" s="3">
        <f ca="1"/>
        <v>0</v>
      </c>
      <c r="M909" s="3">
        <f ca="1"/>
        <v>0</v>
      </c>
      <c r="N909" s="3">
        <f ca="1"/>
        <v>0</v>
      </c>
      <c r="O909" s="3">
        <f ca="1"/>
        <v>0</v>
      </c>
    </row>
    <row r="910" spans="2:15" ht="13">
      <c r="B910" s="3"/>
      <c r="C910" s="3"/>
      <c r="D910" s="3"/>
      <c r="E910" s="3"/>
      <c r="F910" s="3"/>
      <c r="G910" s="3"/>
      <c r="I910" s="3">
        <f ca="1"/>
        <v>0</v>
      </c>
      <c r="J910" s="3">
        <f ca="1"/>
        <v>0</v>
      </c>
      <c r="K910" s="3">
        <f ca="1"/>
        <v>0</v>
      </c>
      <c r="M910" s="3">
        <f ca="1"/>
        <v>0</v>
      </c>
      <c r="N910" s="3">
        <f ca="1"/>
        <v>0</v>
      </c>
      <c r="O910" s="3">
        <f ca="1"/>
        <v>0</v>
      </c>
    </row>
    <row r="911" spans="2:15" ht="13">
      <c r="B911" s="3"/>
      <c r="C911" s="3"/>
      <c r="D911" s="3"/>
      <c r="E911" s="3"/>
      <c r="F911" s="3"/>
      <c r="G911" s="3"/>
      <c r="I911" s="3">
        <f ca="1"/>
        <v>0</v>
      </c>
      <c r="J911" s="3">
        <f ca="1"/>
        <v>0</v>
      </c>
      <c r="K911" s="3">
        <f ca="1"/>
        <v>0</v>
      </c>
      <c r="M911" s="3">
        <f ca="1"/>
        <v>0</v>
      </c>
      <c r="N911" s="3">
        <f ca="1"/>
        <v>0</v>
      </c>
      <c r="O911" s="3">
        <f ca="1"/>
        <v>0</v>
      </c>
    </row>
    <row r="912" spans="2:15" ht="13">
      <c r="B912" s="3"/>
      <c r="C912" s="3"/>
      <c r="D912" s="3"/>
      <c r="E912" s="3"/>
      <c r="F912" s="3"/>
      <c r="G912" s="3"/>
      <c r="I912" s="3">
        <f ca="1"/>
        <v>0</v>
      </c>
      <c r="J912" s="3">
        <f ca="1"/>
        <v>0</v>
      </c>
      <c r="K912" s="3">
        <f ca="1"/>
        <v>0</v>
      </c>
      <c r="M912" s="3">
        <f ca="1"/>
        <v>0</v>
      </c>
      <c r="N912" s="3">
        <f ca="1"/>
        <v>0</v>
      </c>
      <c r="O912" s="3">
        <f ca="1"/>
        <v>0</v>
      </c>
    </row>
    <row r="913" spans="2:15" ht="13">
      <c r="B913" s="3"/>
      <c r="C913" s="3"/>
      <c r="D913" s="3"/>
      <c r="E913" s="3"/>
      <c r="F913" s="3"/>
      <c r="G913" s="3"/>
      <c r="I913" s="3">
        <f ca="1"/>
        <v>0</v>
      </c>
      <c r="J913" s="3">
        <f ca="1"/>
        <v>0</v>
      </c>
      <c r="K913" s="3">
        <f ca="1"/>
        <v>0</v>
      </c>
      <c r="M913" s="3">
        <f ca="1"/>
        <v>0</v>
      </c>
      <c r="N913" s="3">
        <f ca="1"/>
        <v>0</v>
      </c>
      <c r="O913" s="3">
        <f ca="1"/>
        <v>0</v>
      </c>
    </row>
    <row r="914" spans="2:15" ht="13">
      <c r="B914" s="3"/>
      <c r="C914" s="3"/>
      <c r="D914" s="3"/>
      <c r="E914" s="3"/>
      <c r="F914" s="3"/>
      <c r="G914" s="3"/>
      <c r="I914" s="3">
        <f ca="1"/>
        <v>0</v>
      </c>
      <c r="J914" s="3">
        <f ca="1"/>
        <v>0</v>
      </c>
      <c r="K914" s="3">
        <f ca="1"/>
        <v>0</v>
      </c>
      <c r="M914" s="3">
        <f ca="1"/>
        <v>0</v>
      </c>
      <c r="N914" s="3">
        <f ca="1"/>
        <v>0</v>
      </c>
      <c r="O914" s="3">
        <f ca="1"/>
        <v>0</v>
      </c>
    </row>
    <row r="915" spans="2:15" ht="13">
      <c r="B915" s="3"/>
      <c r="C915" s="3"/>
      <c r="D915" s="3"/>
      <c r="E915" s="3"/>
      <c r="F915" s="3"/>
      <c r="G915" s="3"/>
      <c r="I915" s="3">
        <f ca="1"/>
        <v>0</v>
      </c>
      <c r="J915" s="3">
        <f ca="1"/>
        <v>0</v>
      </c>
      <c r="K915" s="3">
        <f ca="1"/>
        <v>0</v>
      </c>
      <c r="M915" s="3">
        <f ca="1"/>
        <v>0</v>
      </c>
      <c r="N915" s="3">
        <f ca="1"/>
        <v>0</v>
      </c>
      <c r="O915" s="3">
        <f ca="1"/>
        <v>0</v>
      </c>
    </row>
    <row r="916" spans="2:15" ht="13">
      <c r="B916" s="3"/>
      <c r="C916" s="3"/>
      <c r="D916" s="3"/>
      <c r="E916" s="3"/>
      <c r="F916" s="3"/>
      <c r="G916" s="3"/>
      <c r="I916" s="3">
        <f ca="1"/>
        <v>0</v>
      </c>
      <c r="J916" s="3">
        <f ca="1"/>
        <v>0</v>
      </c>
      <c r="K916" s="3">
        <f ca="1"/>
        <v>0</v>
      </c>
      <c r="M916" s="3">
        <f ca="1"/>
        <v>0</v>
      </c>
      <c r="N916" s="3">
        <f ca="1"/>
        <v>0</v>
      </c>
      <c r="O916" s="3">
        <f ca="1"/>
        <v>0</v>
      </c>
    </row>
    <row r="917" spans="2:15" ht="13">
      <c r="B917" s="3"/>
      <c r="C917" s="3"/>
      <c r="D917" s="3"/>
      <c r="E917" s="3"/>
      <c r="F917" s="3"/>
      <c r="G917" s="3"/>
      <c r="I917" s="3">
        <f ca="1"/>
        <v>0</v>
      </c>
      <c r="J917" s="3">
        <f ca="1"/>
        <v>0</v>
      </c>
      <c r="K917" s="3">
        <f ca="1"/>
        <v>0</v>
      </c>
      <c r="M917" s="3">
        <f ca="1"/>
        <v>0</v>
      </c>
      <c r="N917" s="3">
        <f ca="1"/>
        <v>0</v>
      </c>
      <c r="O917" s="3">
        <f ca="1"/>
        <v>0</v>
      </c>
    </row>
    <row r="918" spans="2:15" ht="13">
      <c r="B918" s="3"/>
      <c r="C918" s="3"/>
      <c r="D918" s="3"/>
      <c r="E918" s="3"/>
      <c r="F918" s="3"/>
      <c r="G918" s="3"/>
      <c r="I918" s="3">
        <f ca="1"/>
        <v>0</v>
      </c>
      <c r="J918" s="3">
        <f ca="1"/>
        <v>0</v>
      </c>
      <c r="K918" s="3">
        <f ca="1"/>
        <v>0</v>
      </c>
      <c r="M918" s="3">
        <f ca="1"/>
        <v>0</v>
      </c>
      <c r="N918" s="3">
        <f ca="1"/>
        <v>0</v>
      </c>
      <c r="O918" s="3">
        <f ca="1"/>
        <v>0</v>
      </c>
    </row>
    <row r="919" spans="2:15" ht="13">
      <c r="B919" s="3"/>
      <c r="C919" s="3"/>
      <c r="D919" s="3"/>
      <c r="E919" s="3"/>
      <c r="F919" s="3"/>
      <c r="G919" s="3"/>
      <c r="I919" s="3">
        <f ca="1"/>
        <v>0</v>
      </c>
      <c r="J919" s="3">
        <f ca="1"/>
        <v>0</v>
      </c>
      <c r="K919" s="3">
        <f ca="1"/>
        <v>0</v>
      </c>
      <c r="M919" s="3">
        <f ca="1"/>
        <v>0</v>
      </c>
      <c r="N919" s="3">
        <f ca="1"/>
        <v>0</v>
      </c>
      <c r="O919" s="3">
        <f ca="1"/>
        <v>0</v>
      </c>
    </row>
    <row r="920" spans="2:15" ht="13">
      <c r="B920" s="3"/>
      <c r="C920" s="3"/>
      <c r="D920" s="3"/>
      <c r="E920" s="3"/>
      <c r="F920" s="3"/>
      <c r="G920" s="3"/>
      <c r="I920" s="3">
        <f ca="1"/>
        <v>0</v>
      </c>
      <c r="J920" s="3">
        <f ca="1"/>
        <v>0</v>
      </c>
      <c r="K920" s="3">
        <f ca="1"/>
        <v>0</v>
      </c>
      <c r="M920" s="3">
        <f ca="1"/>
        <v>0</v>
      </c>
      <c r="N920" s="3">
        <f ca="1"/>
        <v>0</v>
      </c>
      <c r="O920" s="3">
        <f ca="1"/>
        <v>0</v>
      </c>
    </row>
    <row r="921" spans="2:15" ht="13">
      <c r="B921" s="3"/>
      <c r="C921" s="3"/>
      <c r="D921" s="3"/>
      <c r="E921" s="3"/>
      <c r="F921" s="3"/>
      <c r="G921" s="3"/>
      <c r="I921" s="3">
        <f ca="1"/>
        <v>0</v>
      </c>
      <c r="J921" s="3">
        <f ca="1"/>
        <v>0</v>
      </c>
      <c r="K921" s="3">
        <f ca="1"/>
        <v>0</v>
      </c>
      <c r="M921" s="3">
        <f ca="1"/>
        <v>0</v>
      </c>
      <c r="N921" s="3">
        <f ca="1"/>
        <v>0</v>
      </c>
      <c r="O921" s="3">
        <f ca="1"/>
        <v>0</v>
      </c>
    </row>
    <row r="922" spans="2:15" ht="13">
      <c r="B922" s="3"/>
      <c r="C922" s="3"/>
      <c r="D922" s="3"/>
      <c r="E922" s="3"/>
      <c r="F922" s="3"/>
      <c r="G922" s="3"/>
      <c r="I922" s="3">
        <f ca="1"/>
        <v>0</v>
      </c>
      <c r="J922" s="3">
        <f ca="1"/>
        <v>0</v>
      </c>
      <c r="K922" s="3">
        <f ca="1"/>
        <v>0</v>
      </c>
      <c r="M922" s="3">
        <f ca="1"/>
        <v>0</v>
      </c>
      <c r="N922" s="3">
        <f ca="1"/>
        <v>0</v>
      </c>
      <c r="O922" s="3">
        <f ca="1"/>
        <v>0</v>
      </c>
    </row>
    <row r="923" spans="2:15" ht="13">
      <c r="B923" s="3"/>
      <c r="C923" s="3"/>
      <c r="D923" s="3"/>
      <c r="E923" s="3"/>
      <c r="F923" s="3"/>
      <c r="G923" s="3"/>
      <c r="I923" s="3">
        <f ca="1"/>
        <v>0</v>
      </c>
      <c r="J923" s="3">
        <f ca="1"/>
        <v>0</v>
      </c>
      <c r="K923" s="3">
        <f ca="1"/>
        <v>0</v>
      </c>
      <c r="M923" s="3">
        <f ca="1"/>
        <v>0</v>
      </c>
      <c r="N923" s="3">
        <f ca="1"/>
        <v>0</v>
      </c>
      <c r="O923" s="3">
        <f ca="1"/>
        <v>0</v>
      </c>
    </row>
    <row r="924" spans="2:15" ht="13">
      <c r="B924" s="3"/>
      <c r="C924" s="3"/>
      <c r="D924" s="3"/>
      <c r="E924" s="3"/>
      <c r="F924" s="3"/>
      <c r="G924" s="3"/>
      <c r="I924" s="3">
        <f ca="1"/>
        <v>0</v>
      </c>
      <c r="J924" s="3">
        <f ca="1"/>
        <v>0</v>
      </c>
      <c r="K924" s="3">
        <f ca="1"/>
        <v>0</v>
      </c>
      <c r="M924" s="3">
        <f ca="1"/>
        <v>0</v>
      </c>
      <c r="N924" s="3">
        <f ca="1"/>
        <v>0</v>
      </c>
      <c r="O924" s="3">
        <f ca="1"/>
        <v>0</v>
      </c>
    </row>
    <row r="925" spans="2:15" ht="13">
      <c r="B925" s="3"/>
      <c r="C925" s="3"/>
      <c r="D925" s="3"/>
      <c r="E925" s="3"/>
      <c r="F925" s="3"/>
      <c r="G925" s="3"/>
      <c r="I925" s="3">
        <f ca="1"/>
        <v>0</v>
      </c>
      <c r="J925" s="3">
        <f ca="1"/>
        <v>0</v>
      </c>
      <c r="K925" s="3">
        <f ca="1"/>
        <v>0</v>
      </c>
      <c r="M925" s="3">
        <f ca="1"/>
        <v>0</v>
      </c>
      <c r="N925" s="3">
        <f ca="1"/>
        <v>0</v>
      </c>
      <c r="O925" s="3">
        <f ca="1"/>
        <v>0</v>
      </c>
    </row>
    <row r="926" spans="2:15" ht="13">
      <c r="B926" s="3"/>
      <c r="C926" s="3"/>
      <c r="D926" s="3"/>
      <c r="E926" s="3"/>
      <c r="F926" s="3"/>
      <c r="G926" s="3"/>
      <c r="I926" s="3">
        <f ca="1"/>
        <v>0</v>
      </c>
      <c r="J926" s="3">
        <f ca="1"/>
        <v>0</v>
      </c>
      <c r="K926" s="3">
        <f ca="1"/>
        <v>0</v>
      </c>
      <c r="M926" s="3">
        <f ca="1"/>
        <v>0</v>
      </c>
      <c r="N926" s="3">
        <f ca="1"/>
        <v>0</v>
      </c>
      <c r="O926" s="3">
        <f ca="1"/>
        <v>0</v>
      </c>
    </row>
    <row r="927" spans="2:15" ht="13">
      <c r="B927" s="3"/>
      <c r="C927" s="3"/>
      <c r="D927" s="3"/>
      <c r="E927" s="3"/>
      <c r="F927" s="3"/>
      <c r="G927" s="3"/>
      <c r="I927" s="3">
        <f ca="1"/>
        <v>0</v>
      </c>
      <c r="J927" s="3">
        <f ca="1"/>
        <v>0</v>
      </c>
      <c r="K927" s="3">
        <f ca="1"/>
        <v>0</v>
      </c>
      <c r="M927" s="3">
        <f ca="1"/>
        <v>0</v>
      </c>
      <c r="N927" s="3">
        <f ca="1"/>
        <v>0</v>
      </c>
      <c r="O927" s="3">
        <f ca="1"/>
        <v>0</v>
      </c>
    </row>
    <row r="928" spans="2:15" ht="13">
      <c r="B928" s="3"/>
      <c r="C928" s="3"/>
      <c r="D928" s="3"/>
      <c r="E928" s="3"/>
      <c r="F928" s="3"/>
      <c r="G928" s="3"/>
      <c r="I928" s="3">
        <f ca="1"/>
        <v>0</v>
      </c>
      <c r="J928" s="3">
        <f ca="1"/>
        <v>0</v>
      </c>
      <c r="K928" s="3">
        <f ca="1"/>
        <v>0</v>
      </c>
      <c r="M928" s="3">
        <f ca="1"/>
        <v>0</v>
      </c>
      <c r="N928" s="3">
        <f ca="1"/>
        <v>0</v>
      </c>
      <c r="O928" s="3">
        <f ca="1"/>
        <v>0</v>
      </c>
    </row>
    <row r="929" spans="2:15" ht="13">
      <c r="B929" s="3"/>
      <c r="C929" s="3"/>
      <c r="D929" s="3"/>
      <c r="E929" s="3"/>
      <c r="F929" s="3"/>
      <c r="G929" s="3"/>
      <c r="I929" s="3">
        <f ca="1"/>
        <v>0</v>
      </c>
      <c r="J929" s="3">
        <f ca="1"/>
        <v>0</v>
      </c>
      <c r="K929" s="3">
        <f ca="1"/>
        <v>0</v>
      </c>
      <c r="M929" s="3">
        <f ca="1"/>
        <v>0</v>
      </c>
      <c r="N929" s="3">
        <f ca="1"/>
        <v>0</v>
      </c>
      <c r="O929" s="3">
        <f ca="1"/>
        <v>0</v>
      </c>
    </row>
    <row r="930" spans="2:15" ht="13">
      <c r="B930" s="3"/>
      <c r="C930" s="3"/>
      <c r="D930" s="3"/>
      <c r="E930" s="3"/>
      <c r="F930" s="3"/>
      <c r="G930" s="3"/>
      <c r="I930" s="3">
        <f ca="1"/>
        <v>0</v>
      </c>
      <c r="J930" s="3">
        <f ca="1"/>
        <v>0</v>
      </c>
      <c r="K930" s="3">
        <f ca="1"/>
        <v>0</v>
      </c>
      <c r="M930" s="3">
        <f ca="1"/>
        <v>0</v>
      </c>
      <c r="N930" s="3">
        <f ca="1"/>
        <v>0</v>
      </c>
      <c r="O930" s="3">
        <f ca="1"/>
        <v>0</v>
      </c>
    </row>
    <row r="931" spans="2:15" ht="13">
      <c r="B931" s="3"/>
      <c r="C931" s="3"/>
      <c r="D931" s="3"/>
      <c r="E931" s="3"/>
      <c r="F931" s="3"/>
      <c r="G931" s="3"/>
      <c r="I931" s="3">
        <f ca="1"/>
        <v>0</v>
      </c>
      <c r="J931" s="3">
        <f ca="1"/>
        <v>0</v>
      </c>
      <c r="K931" s="3">
        <f ca="1"/>
        <v>0</v>
      </c>
      <c r="M931" s="3">
        <f ca="1"/>
        <v>0</v>
      </c>
      <c r="N931" s="3">
        <f ca="1"/>
        <v>0</v>
      </c>
      <c r="O931" s="3">
        <f ca="1"/>
        <v>0</v>
      </c>
    </row>
    <row r="932" spans="2:15" ht="13">
      <c r="B932" s="3"/>
      <c r="C932" s="3"/>
      <c r="D932" s="3"/>
      <c r="E932" s="3"/>
      <c r="F932" s="3"/>
      <c r="G932" s="3"/>
      <c r="I932" s="3">
        <f ca="1"/>
        <v>0</v>
      </c>
      <c r="J932" s="3">
        <f ca="1"/>
        <v>0</v>
      </c>
      <c r="K932" s="3">
        <f ca="1"/>
        <v>0</v>
      </c>
      <c r="M932" s="3">
        <f ca="1"/>
        <v>0</v>
      </c>
      <c r="N932" s="3">
        <f ca="1"/>
        <v>0</v>
      </c>
      <c r="O932" s="3">
        <f ca="1"/>
        <v>0</v>
      </c>
    </row>
    <row r="933" spans="2:15" ht="13">
      <c r="B933" s="3"/>
      <c r="C933" s="3"/>
      <c r="D933" s="3"/>
      <c r="E933" s="3"/>
      <c r="F933" s="3"/>
      <c r="G933" s="3"/>
      <c r="I933" s="3">
        <f ca="1"/>
        <v>0</v>
      </c>
      <c r="J933" s="3">
        <f ca="1"/>
        <v>0</v>
      </c>
      <c r="K933" s="3">
        <f ca="1"/>
        <v>0</v>
      </c>
      <c r="M933" s="3">
        <f ca="1"/>
        <v>0</v>
      </c>
      <c r="N933" s="3">
        <f ca="1"/>
        <v>0</v>
      </c>
      <c r="O933" s="3">
        <f ca="1"/>
        <v>0</v>
      </c>
    </row>
    <row r="934" spans="2:15" ht="13">
      <c r="B934" s="3"/>
      <c r="C934" s="3"/>
      <c r="D934" s="3"/>
      <c r="E934" s="3"/>
      <c r="F934" s="3"/>
      <c r="G934" s="3"/>
      <c r="I934" s="3">
        <f ca="1"/>
        <v>0</v>
      </c>
      <c r="J934" s="3">
        <f ca="1"/>
        <v>0</v>
      </c>
      <c r="K934" s="3">
        <f ca="1"/>
        <v>0</v>
      </c>
      <c r="M934" s="3">
        <f ca="1"/>
        <v>0</v>
      </c>
      <c r="N934" s="3">
        <f ca="1"/>
        <v>0</v>
      </c>
      <c r="O934" s="3">
        <f ca="1"/>
        <v>0</v>
      </c>
    </row>
    <row r="935" spans="2:15" ht="13">
      <c r="B935" s="3"/>
      <c r="C935" s="3"/>
      <c r="D935" s="3"/>
      <c r="E935" s="3"/>
      <c r="F935" s="3"/>
      <c r="G935" s="3"/>
      <c r="I935" s="3">
        <f ca="1"/>
        <v>0</v>
      </c>
      <c r="J935" s="3">
        <f ca="1"/>
        <v>0</v>
      </c>
      <c r="K935" s="3">
        <f ca="1"/>
        <v>0</v>
      </c>
      <c r="M935" s="3">
        <f ca="1"/>
        <v>0</v>
      </c>
      <c r="N935" s="3">
        <f ca="1"/>
        <v>0</v>
      </c>
      <c r="O935" s="3">
        <f ca="1"/>
        <v>0</v>
      </c>
    </row>
    <row r="936" spans="2:15" ht="13">
      <c r="B936" s="3"/>
      <c r="C936" s="3"/>
      <c r="D936" s="3"/>
      <c r="E936" s="3"/>
      <c r="F936" s="3"/>
      <c r="G936" s="3"/>
      <c r="I936" s="3">
        <f ca="1"/>
        <v>0</v>
      </c>
      <c r="J936" s="3">
        <f ca="1"/>
        <v>0</v>
      </c>
      <c r="K936" s="3">
        <f ca="1"/>
        <v>0</v>
      </c>
      <c r="M936" s="3">
        <f ca="1"/>
        <v>0</v>
      </c>
      <c r="N936" s="3">
        <f ca="1"/>
        <v>0</v>
      </c>
      <c r="O936" s="3">
        <f ca="1"/>
        <v>0</v>
      </c>
    </row>
    <row r="937" spans="2:15" ht="13">
      <c r="B937" s="3"/>
      <c r="C937" s="3"/>
      <c r="D937" s="3"/>
      <c r="E937" s="3"/>
      <c r="F937" s="3"/>
      <c r="G937" s="3"/>
      <c r="I937" s="3">
        <f ca="1"/>
        <v>0</v>
      </c>
      <c r="J937" s="3">
        <f ca="1"/>
        <v>0</v>
      </c>
      <c r="K937" s="3">
        <f ca="1"/>
        <v>0</v>
      </c>
      <c r="M937" s="3">
        <f ca="1"/>
        <v>0</v>
      </c>
      <c r="N937" s="3">
        <f ca="1"/>
        <v>0</v>
      </c>
      <c r="O937" s="3">
        <f ca="1"/>
        <v>0</v>
      </c>
    </row>
    <row r="938" spans="2:15" ht="13">
      <c r="B938" s="3"/>
      <c r="C938" s="3"/>
      <c r="D938" s="3"/>
      <c r="E938" s="3"/>
      <c r="F938" s="3"/>
      <c r="G938" s="3"/>
      <c r="I938" s="3">
        <f ca="1"/>
        <v>0</v>
      </c>
      <c r="J938" s="3">
        <f ca="1"/>
        <v>0</v>
      </c>
      <c r="K938" s="3">
        <f ca="1"/>
        <v>0</v>
      </c>
      <c r="M938" s="3">
        <f ca="1"/>
        <v>0</v>
      </c>
      <c r="N938" s="3">
        <f ca="1"/>
        <v>0</v>
      </c>
      <c r="O938" s="3">
        <f ca="1"/>
        <v>0</v>
      </c>
    </row>
    <row r="939" spans="2:15" ht="13">
      <c r="B939" s="3"/>
      <c r="C939" s="3"/>
      <c r="D939" s="3"/>
      <c r="E939" s="3"/>
      <c r="F939" s="3"/>
      <c r="G939" s="3"/>
      <c r="I939" s="3">
        <f ca="1"/>
        <v>0</v>
      </c>
      <c r="J939" s="3">
        <f ca="1"/>
        <v>0</v>
      </c>
      <c r="K939" s="3">
        <f ca="1"/>
        <v>0</v>
      </c>
      <c r="M939" s="3">
        <f ca="1"/>
        <v>0</v>
      </c>
      <c r="N939" s="3">
        <f ca="1"/>
        <v>0</v>
      </c>
      <c r="O939" s="3">
        <f ca="1"/>
        <v>0</v>
      </c>
    </row>
    <row r="940" spans="2:15" ht="13">
      <c r="B940" s="3"/>
      <c r="C940" s="3"/>
      <c r="D940" s="3"/>
      <c r="E940" s="3"/>
      <c r="F940" s="3"/>
      <c r="G940" s="3"/>
      <c r="I940" s="3">
        <f ca="1"/>
        <v>0</v>
      </c>
      <c r="J940" s="3">
        <f ca="1"/>
        <v>0</v>
      </c>
      <c r="K940" s="3">
        <f ca="1"/>
        <v>0</v>
      </c>
      <c r="M940" s="3">
        <f ca="1"/>
        <v>0</v>
      </c>
      <c r="N940" s="3">
        <f ca="1"/>
        <v>0</v>
      </c>
      <c r="O940" s="3">
        <f ca="1"/>
        <v>0</v>
      </c>
    </row>
    <row r="941" spans="2:15" ht="13">
      <c r="B941" s="3"/>
      <c r="C941" s="3"/>
      <c r="D941" s="3"/>
      <c r="E941" s="3"/>
      <c r="F941" s="3"/>
      <c r="G941" s="3"/>
      <c r="I941" s="3">
        <f ca="1"/>
        <v>0</v>
      </c>
      <c r="J941" s="3">
        <f ca="1"/>
        <v>0</v>
      </c>
      <c r="K941" s="3">
        <f ca="1"/>
        <v>0</v>
      </c>
      <c r="M941" s="3">
        <f ca="1"/>
        <v>0</v>
      </c>
      <c r="N941" s="3">
        <f ca="1"/>
        <v>0</v>
      </c>
      <c r="O941" s="3">
        <f ca="1"/>
        <v>0</v>
      </c>
    </row>
    <row r="942" spans="2:15" ht="13">
      <c r="B942" s="3"/>
      <c r="C942" s="3"/>
      <c r="D942" s="3"/>
      <c r="E942" s="3"/>
      <c r="F942" s="3"/>
      <c r="G942" s="3"/>
      <c r="I942" s="3">
        <f ca="1"/>
        <v>0</v>
      </c>
      <c r="J942" s="3">
        <f ca="1"/>
        <v>0</v>
      </c>
      <c r="K942" s="3">
        <f ca="1"/>
        <v>0</v>
      </c>
      <c r="M942" s="3">
        <f ca="1"/>
        <v>0</v>
      </c>
      <c r="N942" s="3">
        <f ca="1"/>
        <v>0</v>
      </c>
      <c r="O942" s="3">
        <f ca="1"/>
        <v>0</v>
      </c>
    </row>
    <row r="943" spans="2:15" ht="13">
      <c r="B943" s="3"/>
      <c r="C943" s="3"/>
      <c r="D943" s="3"/>
      <c r="E943" s="3"/>
      <c r="F943" s="3"/>
      <c r="G943" s="3"/>
      <c r="I943" s="3">
        <f ca="1"/>
        <v>0</v>
      </c>
      <c r="J943" s="3">
        <f ca="1"/>
        <v>0</v>
      </c>
      <c r="K943" s="3">
        <f ca="1"/>
        <v>0</v>
      </c>
      <c r="M943" s="3">
        <f ca="1"/>
        <v>0</v>
      </c>
      <c r="N943" s="3">
        <f ca="1"/>
        <v>0</v>
      </c>
      <c r="O943" s="3">
        <f ca="1"/>
        <v>0</v>
      </c>
    </row>
    <row r="944" spans="2:15" ht="13">
      <c r="B944" s="3"/>
      <c r="C944" s="3"/>
      <c r="D944" s="3"/>
      <c r="E944" s="3"/>
      <c r="F944" s="3"/>
      <c r="G944" s="3"/>
      <c r="I944" s="3">
        <f ca="1"/>
        <v>0</v>
      </c>
      <c r="J944" s="3">
        <f ca="1"/>
        <v>0</v>
      </c>
      <c r="K944" s="3">
        <f ca="1"/>
        <v>0</v>
      </c>
      <c r="M944" s="3">
        <f ca="1"/>
        <v>0</v>
      </c>
      <c r="N944" s="3">
        <f ca="1"/>
        <v>0</v>
      </c>
      <c r="O944" s="3">
        <f ca="1"/>
        <v>0</v>
      </c>
    </row>
    <row r="945" spans="2:15" ht="13">
      <c r="B945" s="3"/>
      <c r="C945" s="3"/>
      <c r="D945" s="3"/>
      <c r="E945" s="3"/>
      <c r="F945" s="3"/>
      <c r="G945" s="3"/>
      <c r="I945" s="3">
        <f ca="1"/>
        <v>0</v>
      </c>
      <c r="J945" s="3">
        <f ca="1"/>
        <v>0</v>
      </c>
      <c r="K945" s="3">
        <f ca="1"/>
        <v>0</v>
      </c>
      <c r="M945" s="3">
        <f ca="1"/>
        <v>0</v>
      </c>
      <c r="N945" s="3">
        <f ca="1"/>
        <v>0</v>
      </c>
      <c r="O945" s="3">
        <f ca="1"/>
        <v>0</v>
      </c>
    </row>
    <row r="946" spans="2:15" ht="13">
      <c r="B946" s="3"/>
      <c r="C946" s="3"/>
      <c r="D946" s="3"/>
      <c r="E946" s="3"/>
      <c r="F946" s="3"/>
      <c r="G946" s="3"/>
      <c r="I946" s="3">
        <f ca="1"/>
        <v>0</v>
      </c>
      <c r="J946" s="3">
        <f ca="1"/>
        <v>0</v>
      </c>
      <c r="K946" s="3">
        <f ca="1"/>
        <v>0</v>
      </c>
      <c r="M946" s="3">
        <f ca="1"/>
        <v>0</v>
      </c>
      <c r="N946" s="3">
        <f ca="1"/>
        <v>0</v>
      </c>
      <c r="O946" s="3">
        <f ca="1"/>
        <v>0</v>
      </c>
    </row>
    <row r="947" spans="2:15" ht="13">
      <c r="B947" s="3"/>
      <c r="C947" s="3"/>
      <c r="D947" s="3"/>
      <c r="E947" s="3"/>
      <c r="F947" s="3"/>
      <c r="G947" s="3"/>
      <c r="I947" s="3">
        <f ca="1"/>
        <v>0</v>
      </c>
      <c r="J947" s="3">
        <f ca="1"/>
        <v>0</v>
      </c>
      <c r="K947" s="3">
        <f ca="1"/>
        <v>0</v>
      </c>
      <c r="M947" s="3">
        <f ca="1"/>
        <v>0</v>
      </c>
      <c r="N947" s="3">
        <f ca="1"/>
        <v>0</v>
      </c>
      <c r="O947" s="3">
        <f ca="1"/>
        <v>0</v>
      </c>
    </row>
    <row r="948" spans="2:15" ht="13">
      <c r="B948" s="3"/>
      <c r="C948" s="3"/>
      <c r="D948" s="3"/>
      <c r="E948" s="3"/>
      <c r="F948" s="3"/>
      <c r="G948" s="3"/>
      <c r="I948" s="3">
        <f ca="1"/>
        <v>0</v>
      </c>
      <c r="J948" s="3">
        <f ca="1"/>
        <v>0</v>
      </c>
      <c r="K948" s="3">
        <f ca="1"/>
        <v>0</v>
      </c>
      <c r="M948" s="3">
        <f ca="1"/>
        <v>0</v>
      </c>
      <c r="N948" s="3">
        <f ca="1"/>
        <v>0</v>
      </c>
      <c r="O948" s="3">
        <f ca="1"/>
        <v>0</v>
      </c>
    </row>
    <row r="949" spans="2:15" ht="13">
      <c r="B949" s="3"/>
      <c r="C949" s="3"/>
      <c r="D949" s="3"/>
      <c r="E949" s="3"/>
      <c r="F949" s="3"/>
      <c r="G949" s="3"/>
      <c r="I949" s="3">
        <f ca="1"/>
        <v>0</v>
      </c>
      <c r="J949" s="3">
        <f ca="1"/>
        <v>0</v>
      </c>
      <c r="K949" s="3">
        <f ca="1"/>
        <v>0</v>
      </c>
      <c r="M949" s="3">
        <f ca="1"/>
        <v>0</v>
      </c>
      <c r="N949" s="3">
        <f ca="1"/>
        <v>0</v>
      </c>
      <c r="O949" s="3">
        <f ca="1"/>
        <v>0</v>
      </c>
    </row>
    <row r="950" spans="2:15" ht="13">
      <c r="B950" s="3"/>
      <c r="C950" s="3"/>
      <c r="D950" s="3"/>
      <c r="E950" s="3"/>
      <c r="F950" s="3"/>
      <c r="G950" s="3"/>
      <c r="I950" s="3">
        <f ca="1"/>
        <v>0</v>
      </c>
      <c r="J950" s="3">
        <f ca="1"/>
        <v>0</v>
      </c>
      <c r="K950" s="3">
        <f ca="1"/>
        <v>0</v>
      </c>
      <c r="M950" s="3">
        <f ca="1"/>
        <v>0</v>
      </c>
      <c r="N950" s="3">
        <f ca="1"/>
        <v>0</v>
      </c>
      <c r="O950" s="3">
        <f ca="1"/>
        <v>0</v>
      </c>
    </row>
    <row r="951" spans="2:15" ht="13">
      <c r="B951" s="3"/>
      <c r="C951" s="3"/>
      <c r="D951" s="3"/>
      <c r="E951" s="3"/>
      <c r="F951" s="3"/>
      <c r="G951" s="3"/>
      <c r="I951" s="3">
        <f ca="1"/>
        <v>0</v>
      </c>
      <c r="J951" s="3">
        <f ca="1"/>
        <v>0</v>
      </c>
      <c r="K951" s="3">
        <f ca="1"/>
        <v>0</v>
      </c>
      <c r="M951" s="3">
        <f ca="1"/>
        <v>0</v>
      </c>
      <c r="N951" s="3">
        <f ca="1"/>
        <v>0</v>
      </c>
      <c r="O951" s="3">
        <f ca="1"/>
        <v>0</v>
      </c>
    </row>
    <row r="952" spans="2:15" ht="13">
      <c r="B952" s="3"/>
      <c r="C952" s="3"/>
      <c r="D952" s="3"/>
      <c r="E952" s="3"/>
      <c r="F952" s="3"/>
      <c r="G952" s="3"/>
      <c r="I952" s="3">
        <f ca="1"/>
        <v>0</v>
      </c>
      <c r="J952" s="3">
        <f ca="1"/>
        <v>0</v>
      </c>
      <c r="K952" s="3">
        <f ca="1"/>
        <v>0</v>
      </c>
      <c r="M952" s="3">
        <f ca="1"/>
        <v>0</v>
      </c>
      <c r="N952" s="3">
        <f ca="1"/>
        <v>0</v>
      </c>
      <c r="O952" s="3">
        <f ca="1"/>
        <v>0</v>
      </c>
    </row>
    <row r="953" spans="2:15" ht="13">
      <c r="B953" s="3"/>
      <c r="C953" s="3"/>
      <c r="D953" s="3"/>
      <c r="E953" s="3"/>
      <c r="F953" s="3"/>
      <c r="G953" s="3"/>
      <c r="I953" s="3">
        <f ca="1"/>
        <v>0</v>
      </c>
      <c r="J953" s="3">
        <f ca="1"/>
        <v>0</v>
      </c>
      <c r="K953" s="3">
        <f ca="1"/>
        <v>0</v>
      </c>
      <c r="M953" s="3">
        <f ca="1"/>
        <v>0</v>
      </c>
      <c r="N953" s="3">
        <f ca="1"/>
        <v>0</v>
      </c>
      <c r="O953" s="3">
        <f ca="1"/>
        <v>0</v>
      </c>
    </row>
    <row r="954" spans="2:15" ht="13">
      <c r="B954" s="3"/>
      <c r="C954" s="3"/>
      <c r="D954" s="3"/>
      <c r="E954" s="3"/>
      <c r="F954" s="3"/>
      <c r="G954" s="3"/>
      <c r="I954" s="3">
        <f ca="1"/>
        <v>0</v>
      </c>
      <c r="J954" s="3">
        <f ca="1"/>
        <v>0</v>
      </c>
      <c r="K954" s="3">
        <f ca="1"/>
        <v>0</v>
      </c>
      <c r="M954" s="3">
        <f ca="1"/>
        <v>0</v>
      </c>
      <c r="N954" s="3">
        <f ca="1"/>
        <v>0</v>
      </c>
      <c r="O954" s="3">
        <f ca="1"/>
        <v>0</v>
      </c>
    </row>
    <row r="955" spans="2:15" ht="13">
      <c r="B955" s="3"/>
      <c r="C955" s="3"/>
      <c r="D955" s="3"/>
      <c r="E955" s="3"/>
      <c r="F955" s="3"/>
      <c r="G955" s="3"/>
      <c r="I955" s="3">
        <f ca="1"/>
        <v>0</v>
      </c>
      <c r="J955" s="3">
        <f ca="1"/>
        <v>0</v>
      </c>
      <c r="K955" s="3">
        <f ca="1"/>
        <v>0</v>
      </c>
      <c r="M955" s="3">
        <f ca="1"/>
        <v>0</v>
      </c>
      <c r="N955" s="3">
        <f ca="1"/>
        <v>0</v>
      </c>
      <c r="O955" s="3">
        <f ca="1"/>
        <v>0</v>
      </c>
    </row>
    <row r="956" spans="2:15" ht="13">
      <c r="B956" s="3"/>
      <c r="C956" s="3"/>
      <c r="D956" s="3"/>
      <c r="E956" s="3"/>
      <c r="F956" s="3"/>
      <c r="G956" s="3"/>
      <c r="I956" s="3">
        <f ca="1"/>
        <v>0</v>
      </c>
      <c r="J956" s="3">
        <f ca="1"/>
        <v>0</v>
      </c>
      <c r="K956" s="3">
        <f ca="1"/>
        <v>0</v>
      </c>
      <c r="M956" s="3">
        <f ca="1"/>
        <v>0</v>
      </c>
      <c r="N956" s="3">
        <f ca="1"/>
        <v>0</v>
      </c>
      <c r="O956" s="3">
        <f ca="1"/>
        <v>0</v>
      </c>
    </row>
    <row r="957" spans="2:15" ht="13">
      <c r="B957" s="3"/>
      <c r="C957" s="3"/>
      <c r="D957" s="3"/>
      <c r="E957" s="3"/>
      <c r="F957" s="3"/>
      <c r="G957" s="3"/>
      <c r="I957" s="3">
        <f ca="1"/>
        <v>0</v>
      </c>
      <c r="J957" s="3">
        <f ca="1"/>
        <v>0</v>
      </c>
      <c r="K957" s="3">
        <f ca="1"/>
        <v>0</v>
      </c>
      <c r="M957" s="3">
        <f ca="1"/>
        <v>0</v>
      </c>
      <c r="N957" s="3">
        <f ca="1"/>
        <v>0</v>
      </c>
      <c r="O957" s="3">
        <f ca="1"/>
        <v>0</v>
      </c>
    </row>
    <row r="958" spans="2:15" ht="13">
      <c r="B958" s="3"/>
      <c r="C958" s="3"/>
      <c r="D958" s="3"/>
      <c r="E958" s="3"/>
      <c r="F958" s="3"/>
      <c r="G958" s="3"/>
      <c r="I958" s="3">
        <f ca="1"/>
        <v>0</v>
      </c>
      <c r="J958" s="3">
        <f ca="1"/>
        <v>0</v>
      </c>
      <c r="K958" s="3">
        <f ca="1"/>
        <v>0</v>
      </c>
      <c r="M958" s="3">
        <f ca="1"/>
        <v>0</v>
      </c>
      <c r="N958" s="3">
        <f ca="1"/>
        <v>0</v>
      </c>
      <c r="O958" s="3">
        <f ca="1"/>
        <v>0</v>
      </c>
    </row>
    <row r="959" spans="2:15" ht="13">
      <c r="B959" s="3"/>
      <c r="C959" s="3"/>
      <c r="D959" s="3"/>
      <c r="E959" s="3"/>
      <c r="F959" s="3"/>
      <c r="G959" s="3"/>
      <c r="I959" s="3">
        <f ca="1"/>
        <v>0</v>
      </c>
      <c r="J959" s="3">
        <f ca="1"/>
        <v>0</v>
      </c>
      <c r="K959" s="3">
        <f ca="1"/>
        <v>0</v>
      </c>
      <c r="M959" s="3">
        <f ca="1"/>
        <v>0</v>
      </c>
      <c r="N959" s="3">
        <f ca="1"/>
        <v>0</v>
      </c>
      <c r="O959" s="3">
        <f ca="1"/>
        <v>0</v>
      </c>
    </row>
    <row r="960" spans="2:15" ht="13">
      <c r="B960" s="3"/>
      <c r="C960" s="3"/>
      <c r="D960" s="3"/>
      <c r="E960" s="3"/>
      <c r="F960" s="3"/>
      <c r="G960" s="3"/>
      <c r="I960" s="3">
        <f ca="1"/>
        <v>0</v>
      </c>
      <c r="J960" s="3">
        <f ca="1"/>
        <v>0</v>
      </c>
      <c r="K960" s="3">
        <f ca="1"/>
        <v>0</v>
      </c>
      <c r="M960" s="3">
        <f ca="1"/>
        <v>0</v>
      </c>
      <c r="N960" s="3">
        <f ca="1"/>
        <v>0</v>
      </c>
      <c r="O960" s="3">
        <f ca="1"/>
        <v>0</v>
      </c>
    </row>
    <row r="961" spans="2:15" ht="13">
      <c r="B961" s="3"/>
      <c r="C961" s="3"/>
      <c r="D961" s="3"/>
      <c r="E961" s="3"/>
      <c r="F961" s="3"/>
      <c r="G961" s="3"/>
      <c r="I961" s="3">
        <f ca="1"/>
        <v>0</v>
      </c>
      <c r="J961" s="3">
        <f ca="1"/>
        <v>0</v>
      </c>
      <c r="K961" s="3">
        <f ca="1"/>
        <v>0</v>
      </c>
      <c r="M961" s="3">
        <f ca="1"/>
        <v>0</v>
      </c>
      <c r="N961" s="3">
        <f ca="1"/>
        <v>0</v>
      </c>
      <c r="O961" s="3">
        <f ca="1"/>
        <v>0</v>
      </c>
    </row>
    <row r="962" spans="2:15" ht="13">
      <c r="B962" s="3"/>
      <c r="C962" s="3"/>
      <c r="D962" s="3"/>
      <c r="E962" s="3"/>
      <c r="F962" s="3"/>
      <c r="G962" s="3"/>
      <c r="I962" s="3">
        <f ca="1"/>
        <v>0</v>
      </c>
      <c r="J962" s="3">
        <f ca="1"/>
        <v>0</v>
      </c>
      <c r="K962" s="3">
        <f ca="1"/>
        <v>0</v>
      </c>
      <c r="M962" s="3">
        <f ca="1"/>
        <v>0</v>
      </c>
      <c r="N962" s="3">
        <f ca="1"/>
        <v>0</v>
      </c>
      <c r="O962" s="3">
        <f ca="1"/>
        <v>0</v>
      </c>
    </row>
    <row r="963" spans="2:15" ht="13">
      <c r="B963" s="3"/>
      <c r="C963" s="3"/>
      <c r="D963" s="3"/>
      <c r="E963" s="3"/>
      <c r="F963" s="3"/>
      <c r="G963" s="3"/>
      <c r="I963" s="3">
        <f ca="1"/>
        <v>0</v>
      </c>
      <c r="J963" s="3">
        <f ca="1"/>
        <v>0</v>
      </c>
      <c r="K963" s="3">
        <f ca="1"/>
        <v>0</v>
      </c>
      <c r="M963" s="3">
        <f ca="1"/>
        <v>0</v>
      </c>
      <c r="N963" s="3">
        <f ca="1"/>
        <v>0</v>
      </c>
      <c r="O963" s="3">
        <f ca="1"/>
        <v>0</v>
      </c>
    </row>
    <row r="964" spans="2:15" ht="13">
      <c r="B964" s="3"/>
      <c r="C964" s="3"/>
      <c r="D964" s="3"/>
      <c r="E964" s="3"/>
      <c r="F964" s="3"/>
      <c r="G964" s="3"/>
      <c r="I964" s="3">
        <f ca="1"/>
        <v>0</v>
      </c>
      <c r="J964" s="3">
        <f ca="1"/>
        <v>0</v>
      </c>
      <c r="K964" s="3">
        <f ca="1"/>
        <v>0</v>
      </c>
      <c r="M964" s="3">
        <f ca="1"/>
        <v>0</v>
      </c>
      <c r="N964" s="3">
        <f ca="1"/>
        <v>0</v>
      </c>
      <c r="O964" s="3">
        <f ca="1"/>
        <v>0</v>
      </c>
    </row>
    <row r="965" spans="2:15" ht="13">
      <c r="B965" s="3"/>
      <c r="C965" s="3"/>
      <c r="D965" s="3"/>
      <c r="E965" s="3"/>
      <c r="F965" s="3"/>
      <c r="G965" s="3"/>
      <c r="I965" s="3">
        <f ca="1"/>
        <v>0</v>
      </c>
      <c r="J965" s="3">
        <f ca="1"/>
        <v>0</v>
      </c>
      <c r="K965" s="3">
        <f ca="1"/>
        <v>0</v>
      </c>
      <c r="M965" s="3">
        <f ca="1"/>
        <v>0</v>
      </c>
      <c r="N965" s="3">
        <f ca="1"/>
        <v>0</v>
      </c>
      <c r="O965" s="3">
        <f ca="1"/>
        <v>0</v>
      </c>
    </row>
    <row r="966" spans="2:15" ht="13">
      <c r="B966" s="3"/>
      <c r="C966" s="3"/>
      <c r="D966" s="3"/>
      <c r="E966" s="3"/>
      <c r="F966" s="3"/>
      <c r="G966" s="3"/>
      <c r="I966" s="3">
        <f ca="1"/>
        <v>0</v>
      </c>
      <c r="J966" s="3">
        <f ca="1"/>
        <v>0</v>
      </c>
      <c r="K966" s="3">
        <f ca="1"/>
        <v>0</v>
      </c>
      <c r="M966" s="3">
        <f ca="1"/>
        <v>0</v>
      </c>
      <c r="N966" s="3">
        <f ca="1"/>
        <v>0</v>
      </c>
      <c r="O966" s="3">
        <f ca="1"/>
        <v>0</v>
      </c>
    </row>
    <row r="967" spans="2:15" ht="13">
      <c r="B967" s="3"/>
      <c r="C967" s="3"/>
      <c r="D967" s="3"/>
      <c r="E967" s="3"/>
      <c r="F967" s="3"/>
      <c r="G967" s="3"/>
      <c r="I967" s="3">
        <f ca="1"/>
        <v>0</v>
      </c>
      <c r="J967" s="3">
        <f ca="1"/>
        <v>0</v>
      </c>
      <c r="K967" s="3">
        <f ca="1"/>
        <v>0</v>
      </c>
      <c r="M967" s="3">
        <f ca="1"/>
        <v>0</v>
      </c>
      <c r="N967" s="3">
        <f ca="1"/>
        <v>0</v>
      </c>
      <c r="O967" s="3">
        <f ca="1"/>
        <v>0</v>
      </c>
    </row>
    <row r="968" spans="2:15" ht="13">
      <c r="B968" s="3"/>
      <c r="C968" s="3"/>
      <c r="D968" s="3"/>
      <c r="E968" s="3"/>
      <c r="F968" s="3"/>
      <c r="G968" s="3"/>
      <c r="I968" s="3">
        <f ca="1"/>
        <v>0</v>
      </c>
      <c r="J968" s="3">
        <f ca="1"/>
        <v>0</v>
      </c>
      <c r="K968" s="3">
        <f ca="1"/>
        <v>0</v>
      </c>
      <c r="M968" s="3">
        <f ca="1"/>
        <v>0</v>
      </c>
      <c r="N968" s="3">
        <f ca="1"/>
        <v>0</v>
      </c>
      <c r="O968" s="3">
        <f ca="1"/>
        <v>0</v>
      </c>
    </row>
    <row r="969" spans="2:15" ht="13">
      <c r="B969" s="3"/>
      <c r="C969" s="3"/>
      <c r="D969" s="3"/>
      <c r="E969" s="3"/>
      <c r="F969" s="3"/>
      <c r="G969" s="3"/>
      <c r="I969" s="3">
        <f ca="1"/>
        <v>0</v>
      </c>
      <c r="J969" s="3">
        <f ca="1"/>
        <v>0</v>
      </c>
      <c r="K969" s="3">
        <f ca="1"/>
        <v>0</v>
      </c>
      <c r="M969" s="3">
        <f ca="1"/>
        <v>0</v>
      </c>
      <c r="N969" s="3">
        <f ca="1"/>
        <v>0</v>
      </c>
      <c r="O969" s="3">
        <f ca="1"/>
        <v>0</v>
      </c>
    </row>
    <row r="970" spans="2:15" ht="13">
      <c r="B970" s="3"/>
      <c r="C970" s="3"/>
      <c r="D970" s="3"/>
      <c r="E970" s="3"/>
      <c r="F970" s="3"/>
      <c r="G970" s="3"/>
      <c r="I970" s="3">
        <f ca="1"/>
        <v>0</v>
      </c>
      <c r="J970" s="3">
        <f ca="1"/>
        <v>0</v>
      </c>
      <c r="K970" s="3">
        <f ca="1"/>
        <v>0</v>
      </c>
      <c r="M970" s="3">
        <f ca="1"/>
        <v>0</v>
      </c>
      <c r="N970" s="3">
        <f ca="1"/>
        <v>0</v>
      </c>
      <c r="O970" s="3">
        <f ca="1"/>
        <v>0</v>
      </c>
    </row>
    <row r="971" spans="2:15" ht="13">
      <c r="B971" s="3"/>
      <c r="C971" s="3"/>
      <c r="D971" s="3"/>
      <c r="E971" s="3"/>
      <c r="F971" s="3"/>
      <c r="G971" s="3"/>
      <c r="I971" s="3">
        <f ca="1"/>
        <v>0</v>
      </c>
      <c r="J971" s="3">
        <f ca="1"/>
        <v>0</v>
      </c>
      <c r="K971" s="3">
        <f ca="1"/>
        <v>0</v>
      </c>
      <c r="M971" s="3">
        <f ca="1"/>
        <v>0</v>
      </c>
      <c r="N971" s="3">
        <f ca="1"/>
        <v>0</v>
      </c>
      <c r="O971" s="3">
        <f ca="1"/>
        <v>0</v>
      </c>
    </row>
    <row r="972" spans="2:15" ht="13">
      <c r="B972" s="3"/>
      <c r="C972" s="3"/>
      <c r="D972" s="3"/>
      <c r="E972" s="3"/>
      <c r="F972" s="3"/>
      <c r="G972" s="3"/>
      <c r="I972" s="3">
        <f ca="1"/>
        <v>0</v>
      </c>
      <c r="J972" s="3">
        <f ca="1"/>
        <v>0</v>
      </c>
      <c r="K972" s="3">
        <f ca="1"/>
        <v>0</v>
      </c>
      <c r="M972" s="3">
        <f ca="1"/>
        <v>0</v>
      </c>
      <c r="N972" s="3">
        <f ca="1"/>
        <v>0</v>
      </c>
      <c r="O972" s="3">
        <f ca="1"/>
        <v>0</v>
      </c>
    </row>
    <row r="973" spans="2:15" ht="13">
      <c r="B973" s="3"/>
      <c r="C973" s="3"/>
      <c r="D973" s="3"/>
      <c r="E973" s="3"/>
      <c r="F973" s="3"/>
      <c r="G973" s="3"/>
      <c r="I973" s="3">
        <f ca="1"/>
        <v>0</v>
      </c>
      <c r="J973" s="3">
        <f ca="1"/>
        <v>0</v>
      </c>
      <c r="K973" s="3">
        <f ca="1"/>
        <v>0</v>
      </c>
      <c r="M973" s="3">
        <f ca="1"/>
        <v>0</v>
      </c>
      <c r="N973" s="3">
        <f ca="1"/>
        <v>0</v>
      </c>
      <c r="O973" s="3">
        <f ca="1"/>
        <v>0</v>
      </c>
    </row>
    <row r="974" spans="2:15" ht="13">
      <c r="B974" s="3"/>
      <c r="C974" s="3"/>
      <c r="D974" s="3"/>
      <c r="E974" s="3"/>
      <c r="F974" s="3"/>
      <c r="G974" s="3"/>
      <c r="I974" s="3">
        <f ca="1"/>
        <v>0</v>
      </c>
      <c r="J974" s="3">
        <f ca="1"/>
        <v>0</v>
      </c>
      <c r="K974" s="3">
        <f ca="1"/>
        <v>0</v>
      </c>
      <c r="M974" s="3">
        <f ca="1"/>
        <v>0</v>
      </c>
      <c r="N974" s="3">
        <f ca="1"/>
        <v>0</v>
      </c>
      <c r="O974" s="3">
        <f ca="1"/>
        <v>0</v>
      </c>
    </row>
    <row r="975" spans="2:15" ht="13">
      <c r="B975" s="3"/>
      <c r="C975" s="3"/>
      <c r="D975" s="3"/>
      <c r="E975" s="3"/>
      <c r="F975" s="3"/>
      <c r="G975" s="3"/>
      <c r="I975" s="3">
        <f ca="1"/>
        <v>0</v>
      </c>
      <c r="J975" s="3">
        <f ca="1"/>
        <v>0</v>
      </c>
      <c r="K975" s="3">
        <f ca="1"/>
        <v>0</v>
      </c>
      <c r="M975" s="3">
        <f ca="1"/>
        <v>0</v>
      </c>
      <c r="N975" s="3">
        <f ca="1"/>
        <v>0</v>
      </c>
      <c r="O975" s="3">
        <f ca="1"/>
        <v>0</v>
      </c>
    </row>
    <row r="976" spans="2:15" ht="13">
      <c r="B976" s="3"/>
      <c r="C976" s="3"/>
      <c r="D976" s="3"/>
      <c r="E976" s="3"/>
      <c r="F976" s="3"/>
      <c r="G976" s="3"/>
      <c r="I976" s="3">
        <f ca="1"/>
        <v>0</v>
      </c>
      <c r="J976" s="3">
        <f ca="1"/>
        <v>0</v>
      </c>
      <c r="K976" s="3">
        <f ca="1"/>
        <v>0</v>
      </c>
      <c r="M976" s="3">
        <f ca="1"/>
        <v>0</v>
      </c>
      <c r="N976" s="3">
        <f ca="1"/>
        <v>0</v>
      </c>
      <c r="O976" s="3">
        <f ca="1"/>
        <v>0</v>
      </c>
    </row>
    <row r="977" spans="2:15" ht="13">
      <c r="B977" s="3"/>
      <c r="C977" s="3"/>
      <c r="D977" s="3"/>
      <c r="E977" s="3"/>
      <c r="F977" s="3"/>
      <c r="G977" s="3"/>
      <c r="I977" s="3">
        <f ca="1"/>
        <v>0</v>
      </c>
      <c r="J977" s="3">
        <f ca="1"/>
        <v>0</v>
      </c>
      <c r="K977" s="3">
        <f ca="1"/>
        <v>0</v>
      </c>
      <c r="M977" s="3">
        <f ca="1"/>
        <v>0</v>
      </c>
      <c r="N977" s="3">
        <f ca="1"/>
        <v>0</v>
      </c>
      <c r="O977" s="3">
        <f ca="1"/>
        <v>0</v>
      </c>
    </row>
    <row r="978" spans="2:15" ht="13">
      <c r="B978" s="3"/>
      <c r="C978" s="3"/>
      <c r="D978" s="3"/>
      <c r="E978" s="3"/>
      <c r="F978" s="3"/>
      <c r="G978" s="3"/>
      <c r="I978" s="3">
        <f ca="1"/>
        <v>0</v>
      </c>
      <c r="J978" s="3">
        <f ca="1"/>
        <v>0</v>
      </c>
      <c r="K978" s="3">
        <f ca="1"/>
        <v>0</v>
      </c>
      <c r="M978" s="3">
        <f ca="1"/>
        <v>0</v>
      </c>
      <c r="N978" s="3">
        <f ca="1"/>
        <v>0</v>
      </c>
      <c r="O978" s="3">
        <f ca="1"/>
        <v>0</v>
      </c>
    </row>
    <row r="979" spans="2:15" ht="13">
      <c r="B979" s="3"/>
      <c r="C979" s="3"/>
      <c r="D979" s="3"/>
      <c r="E979" s="3"/>
      <c r="F979" s="3"/>
      <c r="G979" s="3"/>
      <c r="I979" s="3">
        <f ca="1"/>
        <v>0</v>
      </c>
      <c r="J979" s="3">
        <f ca="1"/>
        <v>0</v>
      </c>
      <c r="K979" s="3">
        <f ca="1"/>
        <v>0</v>
      </c>
      <c r="M979" s="3">
        <f ca="1"/>
        <v>0</v>
      </c>
      <c r="N979" s="3">
        <f ca="1"/>
        <v>0</v>
      </c>
      <c r="O979" s="3">
        <f ca="1"/>
        <v>0</v>
      </c>
    </row>
    <row r="980" spans="2:15" ht="13">
      <c r="B980" s="3"/>
      <c r="C980" s="3"/>
      <c r="D980" s="3"/>
      <c r="E980" s="3"/>
      <c r="F980" s="3"/>
      <c r="G980" s="3"/>
      <c r="I980" s="3">
        <f ca="1"/>
        <v>0</v>
      </c>
      <c r="J980" s="3">
        <f ca="1"/>
        <v>0</v>
      </c>
      <c r="K980" s="3">
        <f ca="1"/>
        <v>0</v>
      </c>
      <c r="M980" s="3">
        <f ca="1"/>
        <v>0</v>
      </c>
      <c r="N980" s="3">
        <f ca="1"/>
        <v>0</v>
      </c>
      <c r="O980" s="3">
        <f ca="1"/>
        <v>0</v>
      </c>
    </row>
    <row r="981" spans="2:15" ht="13">
      <c r="B981" s="3"/>
      <c r="C981" s="3"/>
      <c r="D981" s="3"/>
      <c r="E981" s="3"/>
      <c r="F981" s="3"/>
      <c r="G981" s="3"/>
      <c r="I981" s="3">
        <f ca="1"/>
        <v>0</v>
      </c>
      <c r="J981" s="3">
        <f ca="1"/>
        <v>0</v>
      </c>
      <c r="K981" s="3">
        <f ca="1"/>
        <v>0</v>
      </c>
      <c r="M981" s="3">
        <f ca="1"/>
        <v>0</v>
      </c>
      <c r="N981" s="3">
        <f ca="1"/>
        <v>0</v>
      </c>
      <c r="O981" s="3">
        <f ca="1"/>
        <v>0</v>
      </c>
    </row>
    <row r="982" spans="2:15" ht="13">
      <c r="B982" s="3"/>
      <c r="C982" s="3"/>
      <c r="D982" s="3"/>
      <c r="E982" s="3"/>
      <c r="F982" s="3"/>
      <c r="G982" s="3"/>
      <c r="I982" s="3">
        <f ca="1"/>
        <v>0</v>
      </c>
      <c r="J982" s="3">
        <f ca="1"/>
        <v>0</v>
      </c>
      <c r="K982" s="3">
        <f ca="1"/>
        <v>0</v>
      </c>
      <c r="M982" s="3">
        <f ca="1"/>
        <v>0</v>
      </c>
      <c r="N982" s="3">
        <f ca="1"/>
        <v>0</v>
      </c>
      <c r="O982" s="3">
        <f ca="1"/>
        <v>0</v>
      </c>
    </row>
    <row r="983" spans="2:15" ht="13">
      <c r="B983" s="3"/>
      <c r="C983" s="3"/>
      <c r="D983" s="3"/>
      <c r="E983" s="3"/>
      <c r="F983" s="3"/>
      <c r="G983" s="3"/>
      <c r="I983" s="3">
        <f ca="1"/>
        <v>0</v>
      </c>
      <c r="J983" s="3">
        <f ca="1"/>
        <v>0</v>
      </c>
      <c r="K983" s="3">
        <f ca="1"/>
        <v>0</v>
      </c>
      <c r="M983" s="3">
        <f ca="1"/>
        <v>0</v>
      </c>
      <c r="N983" s="3">
        <f ca="1"/>
        <v>0</v>
      </c>
      <c r="O983" s="3">
        <f ca="1"/>
        <v>0</v>
      </c>
    </row>
    <row r="984" spans="2:15" ht="13">
      <c r="B984" s="3"/>
      <c r="C984" s="3"/>
      <c r="D984" s="3"/>
      <c r="E984" s="3"/>
      <c r="F984" s="3"/>
      <c r="G984" s="3"/>
      <c r="I984" s="3">
        <f ca="1"/>
        <v>0</v>
      </c>
      <c r="J984" s="3">
        <f ca="1"/>
        <v>0</v>
      </c>
      <c r="K984" s="3">
        <f ca="1"/>
        <v>0</v>
      </c>
      <c r="M984" s="3">
        <f ca="1"/>
        <v>0</v>
      </c>
      <c r="N984" s="3">
        <f ca="1"/>
        <v>0</v>
      </c>
      <c r="O984" s="3">
        <f ca="1"/>
        <v>0</v>
      </c>
    </row>
    <row r="985" spans="2:15" ht="13">
      <c r="B985" s="3"/>
      <c r="C985" s="3"/>
      <c r="D985" s="3"/>
      <c r="E985" s="3"/>
      <c r="F985" s="3"/>
      <c r="G985" s="3"/>
      <c r="I985" s="3">
        <f ca="1"/>
        <v>0</v>
      </c>
      <c r="J985" s="3">
        <f ca="1"/>
        <v>0</v>
      </c>
      <c r="K985" s="3">
        <f ca="1"/>
        <v>0</v>
      </c>
      <c r="M985" s="3">
        <f ca="1"/>
        <v>0</v>
      </c>
      <c r="N985" s="3">
        <f ca="1"/>
        <v>0</v>
      </c>
      <c r="O985" s="3">
        <f ca="1"/>
        <v>0</v>
      </c>
    </row>
    <row r="986" spans="2:15" ht="13">
      <c r="B986" s="3"/>
      <c r="C986" s="3"/>
      <c r="D986" s="3"/>
      <c r="E986" s="3"/>
      <c r="F986" s="3"/>
      <c r="G986" s="3"/>
      <c r="I986" s="3">
        <f ca="1"/>
        <v>0</v>
      </c>
      <c r="J986" s="3">
        <f ca="1"/>
        <v>0</v>
      </c>
      <c r="K986" s="3">
        <f ca="1"/>
        <v>0</v>
      </c>
      <c r="M986" s="3">
        <f ca="1"/>
        <v>0</v>
      </c>
      <c r="N986" s="3">
        <f ca="1"/>
        <v>0</v>
      </c>
      <c r="O986" s="3">
        <f ca="1"/>
        <v>0</v>
      </c>
    </row>
    <row r="987" spans="2:15" ht="13">
      <c r="B987" s="3"/>
      <c r="C987" s="3"/>
      <c r="D987" s="3"/>
      <c r="E987" s="3"/>
      <c r="F987" s="3"/>
      <c r="G987" s="3"/>
      <c r="I987" s="3">
        <f ca="1"/>
        <v>0</v>
      </c>
      <c r="J987" s="3">
        <f ca="1"/>
        <v>0</v>
      </c>
      <c r="K987" s="3">
        <f ca="1"/>
        <v>0</v>
      </c>
      <c r="M987" s="3">
        <f ca="1"/>
        <v>0</v>
      </c>
      <c r="N987" s="3">
        <f ca="1"/>
        <v>0</v>
      </c>
      <c r="O987" s="3">
        <f ca="1"/>
        <v>0</v>
      </c>
    </row>
    <row r="988" spans="2:15" ht="13">
      <c r="B988" s="3"/>
      <c r="C988" s="3"/>
      <c r="D988" s="3"/>
      <c r="E988" s="3"/>
      <c r="F988" s="3"/>
      <c r="G988" s="3"/>
      <c r="I988" s="3">
        <f ca="1"/>
        <v>0</v>
      </c>
      <c r="J988" s="3">
        <f ca="1"/>
        <v>0</v>
      </c>
      <c r="K988" s="3">
        <f ca="1"/>
        <v>0</v>
      </c>
      <c r="M988" s="3">
        <f ca="1"/>
        <v>0</v>
      </c>
      <c r="N988" s="3">
        <f ca="1"/>
        <v>0</v>
      </c>
      <c r="O988" s="3">
        <f ca="1"/>
        <v>0</v>
      </c>
    </row>
    <row r="989" spans="2:15" ht="13">
      <c r="B989" s="3"/>
      <c r="C989" s="3"/>
      <c r="D989" s="3"/>
      <c r="E989" s="3"/>
      <c r="F989" s="3"/>
      <c r="G989" s="3"/>
      <c r="I989" s="3">
        <f ca="1"/>
        <v>0</v>
      </c>
      <c r="J989" s="3">
        <f ca="1"/>
        <v>0</v>
      </c>
      <c r="K989" s="3">
        <f ca="1"/>
        <v>0</v>
      </c>
      <c r="M989" s="3">
        <f ca="1"/>
        <v>0</v>
      </c>
      <c r="N989" s="3">
        <f ca="1"/>
        <v>0</v>
      </c>
      <c r="O989" s="3">
        <f ca="1"/>
        <v>0</v>
      </c>
    </row>
    <row r="990" spans="2:15" ht="13">
      <c r="B990" s="3"/>
      <c r="C990" s="3"/>
      <c r="D990" s="3"/>
      <c r="E990" s="3"/>
      <c r="F990" s="3"/>
      <c r="G990" s="3"/>
      <c r="I990" s="3">
        <f ca="1"/>
        <v>0</v>
      </c>
      <c r="J990" s="3">
        <f ca="1"/>
        <v>0</v>
      </c>
      <c r="K990" s="3">
        <f ca="1"/>
        <v>0</v>
      </c>
      <c r="M990" s="3">
        <f ca="1"/>
        <v>0</v>
      </c>
      <c r="N990" s="3">
        <f ca="1"/>
        <v>0</v>
      </c>
      <c r="O990" s="3">
        <f ca="1"/>
        <v>0</v>
      </c>
    </row>
    <row r="991" spans="2:15" ht="13">
      <c r="B991" s="3"/>
      <c r="C991" s="3"/>
      <c r="D991" s="3"/>
      <c r="E991" s="3"/>
      <c r="F991" s="3"/>
      <c r="G991" s="3"/>
      <c r="I991" s="3">
        <f ca="1"/>
        <v>0</v>
      </c>
      <c r="J991" s="3">
        <f ca="1"/>
        <v>0</v>
      </c>
      <c r="K991" s="3">
        <f ca="1"/>
        <v>0</v>
      </c>
      <c r="M991" s="3">
        <f ca="1"/>
        <v>0</v>
      </c>
      <c r="N991" s="3">
        <f ca="1"/>
        <v>0</v>
      </c>
      <c r="O991" s="3">
        <f ca="1"/>
        <v>0</v>
      </c>
    </row>
    <row r="992" spans="2:15" ht="13">
      <c r="B992" s="3"/>
      <c r="C992" s="3"/>
      <c r="D992" s="3"/>
      <c r="E992" s="3"/>
      <c r="F992" s="3"/>
      <c r="G992" s="3"/>
      <c r="I992" s="3">
        <f ca="1"/>
        <v>0</v>
      </c>
      <c r="J992" s="3">
        <f ca="1"/>
        <v>0</v>
      </c>
      <c r="K992" s="3">
        <f ca="1"/>
        <v>0</v>
      </c>
      <c r="M992" s="3">
        <f ca="1"/>
        <v>0</v>
      </c>
      <c r="N992" s="3">
        <f ca="1"/>
        <v>0</v>
      </c>
      <c r="O992" s="3">
        <f ca="1"/>
        <v>0</v>
      </c>
    </row>
    <row r="993" spans="2:15" ht="13">
      <c r="B993" s="3"/>
      <c r="C993" s="3"/>
      <c r="D993" s="3"/>
      <c r="E993" s="3"/>
      <c r="F993" s="3"/>
      <c r="G993" s="3"/>
      <c r="I993" s="3">
        <f ca="1"/>
        <v>0</v>
      </c>
      <c r="J993" s="3">
        <f ca="1"/>
        <v>0</v>
      </c>
      <c r="K993" s="3">
        <f ca="1"/>
        <v>0</v>
      </c>
      <c r="M993" s="3">
        <f ca="1"/>
        <v>0</v>
      </c>
      <c r="N993" s="3">
        <f ca="1"/>
        <v>0</v>
      </c>
      <c r="O993" s="3">
        <f ca="1"/>
        <v>0</v>
      </c>
    </row>
    <row r="994" spans="2:15" ht="13">
      <c r="B994" s="3"/>
      <c r="C994" s="3"/>
      <c r="D994" s="3"/>
      <c r="E994" s="3"/>
      <c r="F994" s="3"/>
      <c r="G994" s="3"/>
      <c r="I994" s="3">
        <f ca="1"/>
        <v>0</v>
      </c>
      <c r="J994" s="3">
        <f ca="1"/>
        <v>0</v>
      </c>
      <c r="K994" s="3">
        <f ca="1"/>
        <v>0</v>
      </c>
      <c r="M994" s="3">
        <f ca="1"/>
        <v>0</v>
      </c>
      <c r="N994" s="3">
        <f ca="1"/>
        <v>0</v>
      </c>
      <c r="O994" s="3">
        <f ca="1"/>
        <v>0</v>
      </c>
    </row>
    <row r="995" spans="2:15" ht="13">
      <c r="B995" s="3"/>
      <c r="C995" s="3"/>
      <c r="D995" s="3"/>
      <c r="E995" s="3"/>
      <c r="F995" s="3"/>
      <c r="G995" s="3"/>
      <c r="I995" s="3">
        <f ca="1"/>
        <v>0</v>
      </c>
      <c r="J995" s="3">
        <f ca="1"/>
        <v>0</v>
      </c>
      <c r="K995" s="3">
        <f ca="1"/>
        <v>0</v>
      </c>
      <c r="M995" s="3">
        <f ca="1"/>
        <v>0</v>
      </c>
      <c r="N995" s="3">
        <f ca="1"/>
        <v>0</v>
      </c>
      <c r="O995" s="3">
        <f ca="1"/>
        <v>0</v>
      </c>
    </row>
    <row r="996" spans="2:15" ht="13">
      <c r="B996" s="3"/>
      <c r="C996" s="3"/>
      <c r="D996" s="3"/>
      <c r="E996" s="3"/>
      <c r="F996" s="3"/>
      <c r="G996" s="3"/>
      <c r="I996" s="3">
        <f ca="1"/>
        <v>0</v>
      </c>
      <c r="J996" s="3">
        <f ca="1"/>
        <v>0</v>
      </c>
      <c r="K996" s="3">
        <f ca="1"/>
        <v>0</v>
      </c>
      <c r="M996" s="3">
        <f ca="1"/>
        <v>0</v>
      </c>
      <c r="N996" s="3">
        <f ca="1"/>
        <v>0</v>
      </c>
      <c r="O996" s="3">
        <f ca="1"/>
        <v>0</v>
      </c>
    </row>
    <row r="997" spans="2:15" ht="13">
      <c r="B997" s="3"/>
      <c r="C997" s="3"/>
      <c r="D997" s="3"/>
      <c r="E997" s="3"/>
      <c r="F997" s="3"/>
      <c r="G997" s="3"/>
      <c r="I997" s="3">
        <f ca="1"/>
        <v>0</v>
      </c>
      <c r="J997" s="3">
        <f ca="1"/>
        <v>0</v>
      </c>
      <c r="K997" s="3">
        <f ca="1"/>
        <v>0</v>
      </c>
      <c r="M997" s="3">
        <f ca="1"/>
        <v>0</v>
      </c>
      <c r="N997" s="3">
        <f ca="1"/>
        <v>0</v>
      </c>
      <c r="O997" s="3">
        <f ca="1"/>
        <v>0</v>
      </c>
    </row>
    <row r="998" spans="2:15" ht="13">
      <c r="B998" s="3"/>
      <c r="C998" s="3"/>
      <c r="D998" s="3"/>
      <c r="E998" s="3"/>
      <c r="F998" s="3"/>
      <c r="G998" s="3"/>
      <c r="I998" s="3">
        <f ca="1"/>
        <v>0</v>
      </c>
      <c r="J998" s="3">
        <f ca="1"/>
        <v>0</v>
      </c>
      <c r="K998" s="3">
        <f ca="1"/>
        <v>0</v>
      </c>
      <c r="M998" s="3">
        <f ca="1"/>
        <v>0</v>
      </c>
      <c r="N998" s="3">
        <f ca="1"/>
        <v>0</v>
      </c>
      <c r="O998" s="3">
        <f ca="1"/>
        <v>0</v>
      </c>
    </row>
    <row r="999" spans="2:15" ht="13">
      <c r="B999" s="3"/>
      <c r="C999" s="3"/>
      <c r="D999" s="3"/>
      <c r="E999" s="3"/>
      <c r="F999" s="3"/>
      <c r="G999" s="3"/>
      <c r="I999" s="3">
        <f ca="1"/>
        <v>0</v>
      </c>
      <c r="J999" s="3">
        <f ca="1"/>
        <v>0</v>
      </c>
      <c r="K999" s="3">
        <f ca="1"/>
        <v>0</v>
      </c>
      <c r="M999" s="3">
        <f ca="1"/>
        <v>0</v>
      </c>
      <c r="N999" s="3">
        <f ca="1"/>
        <v>0</v>
      </c>
      <c r="O999" s="3">
        <f ca="1"/>
        <v>0</v>
      </c>
    </row>
    <row r="1000" spans="2:15" ht="13">
      <c r="B1000" s="3"/>
      <c r="C1000" s="3"/>
      <c r="D1000" s="3"/>
      <c r="E1000" s="3"/>
      <c r="F1000" s="3"/>
      <c r="G1000" s="3"/>
      <c r="I1000" s="3">
        <f ca="1"/>
        <v>0</v>
      </c>
      <c r="J1000" s="3">
        <f ca="1"/>
        <v>0</v>
      </c>
      <c r="K1000" s="3">
        <f ca="1"/>
        <v>0</v>
      </c>
      <c r="M1000" s="3">
        <f ca="1"/>
        <v>0</v>
      </c>
      <c r="N1000" s="3">
        <f ca="1"/>
        <v>0</v>
      </c>
      <c r="O1000" s="3">
        <f ca="1"/>
        <v>0</v>
      </c>
    </row>
  </sheetData>
  <dataValidations count="2">
    <dataValidation type="custom" allowBlank="1" showDropDown="1" sqref="D2:S55" xr:uid="{00000000-0002-0000-0300-000000000000}">
      <formula1>AND(ISNUMBER(D2),(NOT(OR(NOT(ISERROR(DATEVALUE(D2))), AND(ISNUMBER(D2), LEFT(CELL("format", D2))="D")))))</formula1>
    </dataValidation>
    <dataValidation allowBlank="1" showDropDown="1" sqref="A2:C55" xr:uid="{00000000-0002-0000-0300-000001000000}"/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L4"/>
  <sheetViews>
    <sheetView workbookViewId="0"/>
  </sheetViews>
  <sheetFormatPr baseColWidth="10" defaultColWidth="12.6640625" defaultRowHeight="15" customHeight="1"/>
  <sheetData>
    <row r="1" spans="1:12" ht="15" customHeight="1">
      <c r="A1" s="3" t="s">
        <v>14216</v>
      </c>
      <c r="B1" s="3" t="s">
        <v>14217</v>
      </c>
      <c r="D1" s="3" t="s">
        <v>14218</v>
      </c>
      <c r="E1" s="3" t="s">
        <v>14217</v>
      </c>
      <c r="H1" s="3" t="s">
        <v>14218</v>
      </c>
      <c r="I1" s="3" t="s">
        <v>14219</v>
      </c>
      <c r="K1" s="3" t="s">
        <v>7</v>
      </c>
      <c r="L1" s="3" t="s">
        <v>14217</v>
      </c>
    </row>
    <row r="2" spans="1:12" ht="15" customHeight="1">
      <c r="A2" s="9" t="e">
        <f t="array" aca="1" ref="A2:A3" ca="1">_xludf.UNIQUE(Unique_Dashers!C2:C54)</f>
        <v>#NAME?</v>
      </c>
      <c r="B2" s="3">
        <f ca="1">SUMIF(Unique_Dashers!$C$2:$C$55, A2, Unique_Dashers!$D$2:$D$55)</f>
        <v>0</v>
      </c>
      <c r="D2" s="9" t="e">
        <f t="array" aca="1" ref="D2:D3" ca="1">_xludf.UNIQUE(Unique_Dashers!B2:B54)</f>
        <v>#NAME?</v>
      </c>
      <c r="E2" s="3">
        <f ca="1">SUMIF(Unique_Dashers!$B$2:$B$54, D2, Unique_Dashers!$D$2:$D$54)</f>
        <v>0</v>
      </c>
      <c r="H2" s="9" t="e">
        <f t="array" aca="1" ref="H2:H3" ca="1">_xludf.UNIQUE(Unique_Dashers!B2:B54)</f>
        <v>#NAME?</v>
      </c>
      <c r="I2" s="3" t="e">
        <f ca="1" xml:space="preserve"> SUMIF(#REF!, H2,#REF!)</f>
        <v>#REF!</v>
      </c>
      <c r="K2" s="9" t="e">
        <f t="array" aca="1" ref="K2:K3" ca="1">_xludf.UNIQUE(Unique_Dashers!C2:C54)</f>
        <v>#NAME?</v>
      </c>
      <c r="L2" s="3" t="e">
        <f ca="1" xml:space="preserve"> SUMIF(#REF!, A2,#REF!)</f>
        <v>#REF!</v>
      </c>
    </row>
    <row r="3" spans="1:12" ht="15" customHeight="1">
      <c r="A3" s="9" t="e">
        <f ca="1"/>
        <v>#NAME?</v>
      </c>
      <c r="B3" s="3">
        <f ca="1">SUMIF(Unique_Dashers!$C$2:$C$55, A3, Unique_Dashers!$D$2:$D$55)</f>
        <v>0</v>
      </c>
      <c r="D3" s="9" t="e">
        <f ca="1"/>
        <v>#NAME?</v>
      </c>
      <c r="E3" s="3">
        <f ca="1">SUMIF(Unique_Dashers!$B$2:$B$54, D3, Unique_Dashers!$D$2:$D$54)</f>
        <v>0</v>
      </c>
      <c r="H3" s="9" t="e">
        <f ca="1"/>
        <v>#NAME?</v>
      </c>
      <c r="I3" s="3">
        <f ca="1">SUMIF(Unique_Dashers!$B$2:$B$54, H3, Unique_Dashers!$H$2:$H$54)</f>
        <v>0</v>
      </c>
      <c r="K3" s="9" t="e">
        <f ca="1"/>
        <v>#NAME?</v>
      </c>
      <c r="L3" s="3" t="e">
        <f ca="1" xml:space="preserve"> SUMIF(#REF!, A3,#REF!)</f>
        <v>#REF!</v>
      </c>
    </row>
    <row r="4" spans="1:12" ht="15" customHeight="1">
      <c r="B4" s="3">
        <f ca="1">SUM(B2:B3)</f>
        <v>0</v>
      </c>
      <c r="E4" s="3">
        <f ca="1">SUM(E2:E3)</f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F56"/>
  <sheetViews>
    <sheetView workbookViewId="0"/>
  </sheetViews>
  <sheetFormatPr baseColWidth="10" defaultColWidth="12.6640625" defaultRowHeight="15" customHeight="1"/>
  <cols>
    <col min="1" max="1" width="12.6640625" customWidth="1"/>
    <col min="2" max="2" width="27.1640625" customWidth="1"/>
    <col min="3" max="3" width="21" customWidth="1"/>
  </cols>
  <sheetData>
    <row r="1" spans="1:32" ht="15" customHeight="1">
      <c r="A1" s="3" t="s">
        <v>14215</v>
      </c>
      <c r="B1" s="3" t="s">
        <v>14220</v>
      </c>
      <c r="C1" s="3" t="s">
        <v>14221</v>
      </c>
      <c r="F1" s="3" t="s">
        <v>14215</v>
      </c>
      <c r="G1" s="3" t="s">
        <v>14222</v>
      </c>
      <c r="H1" s="3" t="s">
        <v>14223</v>
      </c>
      <c r="J1" s="3" t="s">
        <v>14224</v>
      </c>
      <c r="K1" s="3" t="s">
        <v>14225</v>
      </c>
    </row>
    <row r="2" spans="1:32" ht="15" customHeight="1">
      <c r="A2" s="3">
        <v>1</v>
      </c>
      <c r="B2" s="3" t="s">
        <v>280</v>
      </c>
      <c r="C2" s="3">
        <v>34</v>
      </c>
      <c r="F2" s="3">
        <v>1</v>
      </c>
      <c r="G2" s="3" t="s">
        <v>5675</v>
      </c>
      <c r="H2" s="3">
        <v>49</v>
      </c>
      <c r="AF2" s="3" t="str">
        <f ca="1">IFERROR(__xludf.DUMMYFUNCTION("QUERY(SORT(FILTER(Unique_Dashers!A2:A55, Unique_Dashers!B2:B55=""Dashattan""), Unique_Dashers!AD2:AD55, TRUE), ""LIMIT 10"", 0)"),"#N/A")</f>
        <v>#N/A</v>
      </c>
    </row>
    <row r="3" spans="1:32" ht="15" customHeight="1">
      <c r="A3" s="3">
        <v>2</v>
      </c>
      <c r="B3" s="3" t="s">
        <v>220</v>
      </c>
      <c r="C3" s="3">
        <v>45</v>
      </c>
      <c r="F3" s="3">
        <v>2</v>
      </c>
      <c r="G3" s="3" t="s">
        <v>2021</v>
      </c>
      <c r="H3" s="3">
        <v>9</v>
      </c>
    </row>
    <row r="4" spans="1:32" ht="15" customHeight="1">
      <c r="A4" s="3">
        <v>3</v>
      </c>
      <c r="B4" s="3" t="s">
        <v>341</v>
      </c>
      <c r="C4" s="3">
        <v>10</v>
      </c>
      <c r="F4" s="3">
        <v>3</v>
      </c>
      <c r="G4" s="3" t="s">
        <v>1238</v>
      </c>
      <c r="H4" s="3">
        <v>41</v>
      </c>
    </row>
    <row r="5" spans="1:32" ht="15" customHeight="1">
      <c r="A5" s="3">
        <v>4</v>
      </c>
      <c r="B5" s="3" t="s">
        <v>116</v>
      </c>
      <c r="C5" s="3">
        <v>29</v>
      </c>
      <c r="F5" s="3">
        <v>4</v>
      </c>
      <c r="G5" s="3" t="s">
        <v>206</v>
      </c>
      <c r="H5" s="3">
        <v>26</v>
      </c>
    </row>
    <row r="6" spans="1:32" ht="15" customHeight="1">
      <c r="A6" s="3">
        <v>5</v>
      </c>
      <c r="B6" s="3" t="s">
        <v>1348</v>
      </c>
      <c r="C6" s="3">
        <v>36</v>
      </c>
      <c r="F6" s="3">
        <v>5</v>
      </c>
      <c r="G6" s="3" t="s">
        <v>2044</v>
      </c>
      <c r="H6" s="3">
        <v>48</v>
      </c>
    </row>
    <row r="7" spans="1:32" ht="15" customHeight="1">
      <c r="A7" s="3">
        <v>6</v>
      </c>
      <c r="B7" s="3" t="s">
        <v>1153</v>
      </c>
      <c r="C7" s="3">
        <v>37</v>
      </c>
      <c r="F7" s="3">
        <v>6</v>
      </c>
      <c r="G7" s="3" t="s">
        <v>414</v>
      </c>
      <c r="H7" s="3">
        <v>17</v>
      </c>
    </row>
    <row r="8" spans="1:32" ht="15" customHeight="1">
      <c r="A8" s="3">
        <v>7</v>
      </c>
      <c r="B8" s="3" t="s">
        <v>173</v>
      </c>
      <c r="C8" s="3">
        <v>49</v>
      </c>
      <c r="F8" s="3">
        <v>7</v>
      </c>
      <c r="G8" s="3" t="s">
        <v>3239</v>
      </c>
      <c r="H8" s="3">
        <v>33</v>
      </c>
    </row>
    <row r="9" spans="1:32" ht="15" customHeight="1">
      <c r="A9" s="3">
        <v>8</v>
      </c>
      <c r="B9" s="3" t="s">
        <v>40</v>
      </c>
      <c r="C9" s="3">
        <v>24</v>
      </c>
      <c r="F9" s="3">
        <v>8</v>
      </c>
      <c r="G9" s="3" t="s">
        <v>7434</v>
      </c>
      <c r="H9" s="3">
        <v>37</v>
      </c>
    </row>
    <row r="10" spans="1:32" ht="15" customHeight="1">
      <c r="A10" s="3">
        <v>9</v>
      </c>
      <c r="B10" s="3" t="s">
        <v>2021</v>
      </c>
      <c r="C10" s="3">
        <v>2</v>
      </c>
      <c r="F10" s="3">
        <v>9</v>
      </c>
      <c r="G10" s="3" t="s">
        <v>305</v>
      </c>
      <c r="H10" s="3">
        <v>32</v>
      </c>
    </row>
    <row r="11" spans="1:32" ht="15" customHeight="1">
      <c r="A11" s="3">
        <v>10</v>
      </c>
      <c r="B11" s="3" t="s">
        <v>232</v>
      </c>
      <c r="C11" s="3">
        <v>28</v>
      </c>
      <c r="F11" s="3">
        <v>10</v>
      </c>
      <c r="G11" s="3" t="s">
        <v>341</v>
      </c>
      <c r="H11" s="3">
        <v>3</v>
      </c>
      <c r="M11" s="3" t="s">
        <v>14226</v>
      </c>
    </row>
    <row r="12" spans="1:32" ht="15" customHeight="1">
      <c r="A12" s="3">
        <v>11</v>
      </c>
      <c r="B12" s="3" t="s">
        <v>92</v>
      </c>
      <c r="C12" s="3">
        <v>17</v>
      </c>
      <c r="F12" s="3">
        <v>11</v>
      </c>
      <c r="G12" s="3" t="s">
        <v>2811</v>
      </c>
      <c r="H12" s="3">
        <v>53</v>
      </c>
      <c r="L12" s="3" t="s">
        <v>38</v>
      </c>
      <c r="M12" s="3" t="s">
        <v>51</v>
      </c>
      <c r="N12" s="3" t="s">
        <v>41</v>
      </c>
      <c r="O12" s="3" t="s">
        <v>53</v>
      </c>
    </row>
    <row r="13" spans="1:32" ht="15" customHeight="1">
      <c r="A13" s="3">
        <v>12</v>
      </c>
      <c r="B13" s="3" t="s">
        <v>532</v>
      </c>
      <c r="C13" s="3">
        <v>18</v>
      </c>
      <c r="F13" s="3">
        <v>12</v>
      </c>
      <c r="G13" s="3" t="s">
        <v>160</v>
      </c>
      <c r="H13" s="3">
        <v>28</v>
      </c>
      <c r="L13" s="3" t="str">
        <f ca="1">IFERROR(__xludf.DUMMYFUNCTION("QUERY(SORT(FILTER(Unique_Dashers!A2:Y55, Unique_Dashers!B2:B55=""Doorlanta"", Unique_Dashers!Y2:Y55&gt;0), 25, TRUE), ""SELECT Col1 LIMIT 10"", 0)"),"Cate")</f>
        <v>Cate</v>
      </c>
      <c r="M13" s="3" t="str">
        <f ca="1">IFERROR(__xludf.DUMMYFUNCTION("QUERY(SORT(FILTER(Unique_Dashers!A2:Y55, Unique_Dashers!B2:B55=""Dashattan"", Unique_Dashers!Y2:Y55&gt;0), 25, TRUE), ""SELECT Col1 LIMIT 10"", 0)"),"KC")</f>
        <v>KC</v>
      </c>
      <c r="N13" s="3" t="str">
        <f ca="1">IFERROR(__xludf.DUMMYFUNCTION("QUERY(SORT(FILTER(Unique_Dashers!A2:Y55, Unique_Dashers!C2:C55=""car"", Unique_Dashers!Y2:Y55&gt;0), 25, TRUE), ""SELECT Col1 LIMIT 10"", 0)"),"Cate")</f>
        <v>Cate</v>
      </c>
      <c r="O13" s="3" t="str">
        <f ca="1">IFERROR(__xludf.DUMMYFUNCTION("QUERY(SORT(FILTER(Unique_Dashers!A2:Y55, Unique_Dashers!C2:C55=""bicycle"", Unique_Dashers!Y2:Y55&gt;0), 25, TRUE), ""SELECT Col1 LIMIT 10"", 0)"),"Brian")</f>
        <v>Brian</v>
      </c>
    </row>
    <row r="14" spans="1:32" ht="15" customHeight="1">
      <c r="A14" s="3">
        <v>13</v>
      </c>
      <c r="B14" s="3" t="s">
        <v>451</v>
      </c>
      <c r="C14" s="3">
        <v>25</v>
      </c>
      <c r="F14" s="3">
        <v>13</v>
      </c>
      <c r="G14" s="3" t="s">
        <v>648</v>
      </c>
      <c r="H14" s="3">
        <v>22</v>
      </c>
      <c r="L14" s="3" t="str">
        <f ca="1">IFERROR(__xludf.DUMMYFUNCTION("""COMPUTED_VALUE"""),"Lauran")</f>
        <v>Lauran</v>
      </c>
      <c r="M14" s="3" t="str">
        <f ca="1">IFERROR(__xludf.DUMMYFUNCTION("""COMPUTED_VALUE"""),"Brian")</f>
        <v>Brian</v>
      </c>
      <c r="N14" s="3" t="str">
        <f ca="1">IFERROR(__xludf.DUMMYFUNCTION("""COMPUTED_VALUE"""),"Lauran")</f>
        <v>Lauran</v>
      </c>
      <c r="O14" s="3" t="str">
        <f ca="1">IFERROR(__xludf.DUMMYFUNCTION("""COMPUTED_VALUE"""),"Ron")</f>
        <v>Ron</v>
      </c>
    </row>
    <row r="15" spans="1:32" ht="15" customHeight="1">
      <c r="A15" s="3">
        <v>14</v>
      </c>
      <c r="B15" s="3" t="s">
        <v>486</v>
      </c>
      <c r="C15" s="3">
        <v>27</v>
      </c>
      <c r="F15" s="3">
        <v>14</v>
      </c>
      <c r="G15" s="3" t="s">
        <v>390</v>
      </c>
      <c r="H15" s="3">
        <v>16</v>
      </c>
      <c r="L15" s="3" t="str">
        <f ca="1">IFERROR(__xludf.DUMMYFUNCTION("""COMPUTED_VALUE"""),"Jagar")</f>
        <v>Jagar</v>
      </c>
      <c r="M15" s="3" t="str">
        <f ca="1">IFERROR(__xludf.DUMMYFUNCTION("""COMPUTED_VALUE"""),"Ron")</f>
        <v>Ron</v>
      </c>
      <c r="N15" s="3" t="str">
        <f ca="1">IFERROR(__xludf.DUMMYFUNCTION("""COMPUTED_VALUE"""),"KC")</f>
        <v>KC</v>
      </c>
      <c r="O15" s="3" t="str">
        <f ca="1">IFERROR(__xludf.DUMMYFUNCTION("""COMPUTED_VALUE"""),"Awstin")</f>
        <v>Awstin</v>
      </c>
    </row>
    <row r="16" spans="1:32" ht="15" customHeight="1">
      <c r="A16" s="3">
        <v>15</v>
      </c>
      <c r="B16" s="3" t="s">
        <v>1456</v>
      </c>
      <c r="C16" s="3">
        <v>32</v>
      </c>
      <c r="F16" s="3">
        <v>15</v>
      </c>
      <c r="G16" s="3" t="s">
        <v>510</v>
      </c>
      <c r="H16" s="3">
        <v>44</v>
      </c>
      <c r="L16" s="3" t="str">
        <f ca="1">IFERROR(__xludf.DUMMYFUNCTION("""COMPUTED_VALUE"""),"Hanna")</f>
        <v>Hanna</v>
      </c>
      <c r="M16" s="3" t="str">
        <f ca="1">IFERROR(__xludf.DUMMYFUNCTION("""COMPUTED_VALUE"""),"Samm")</f>
        <v>Samm</v>
      </c>
      <c r="N16" s="3" t="str">
        <f ca="1">IFERROR(__xludf.DUMMYFUNCTION("""COMPUTED_VALUE"""),"Jagar")</f>
        <v>Jagar</v>
      </c>
      <c r="O16" s="3" t="str">
        <f ca="1">IFERROR(__xludf.DUMMYFUNCTION("""COMPUTED_VALUE"""),"Rojan")</f>
        <v>Rojan</v>
      </c>
    </row>
    <row r="17" spans="1:15" ht="15" customHeight="1">
      <c r="A17" s="3">
        <v>16</v>
      </c>
      <c r="B17" s="3" t="s">
        <v>390</v>
      </c>
      <c r="C17" s="3">
        <v>14</v>
      </c>
      <c r="F17" s="3">
        <v>16</v>
      </c>
      <c r="G17" s="3" t="s">
        <v>4003</v>
      </c>
      <c r="H17" s="3">
        <v>50</v>
      </c>
      <c r="L17" s="3" t="str">
        <f ca="1">IFERROR(__xludf.DUMMYFUNCTION("""COMPUTED_VALUE"""),"Merissa")</f>
        <v>Merissa</v>
      </c>
      <c r="M17" s="3" t="str">
        <f ca="1">IFERROR(__xludf.DUMMYFUNCTION("""COMPUTED_VALUE"""),"Awstin")</f>
        <v>Awstin</v>
      </c>
      <c r="N17" s="3" t="str">
        <f ca="1">IFERROR(__xludf.DUMMYFUNCTION("""COMPUTED_VALUE"""),"Hanna")</f>
        <v>Hanna</v>
      </c>
      <c r="O17" s="3" t="str">
        <f ca="1">IFERROR(__xludf.DUMMYFUNCTION("""COMPUTED_VALUE"""),"Bunje")</f>
        <v>Bunje</v>
      </c>
    </row>
    <row r="18" spans="1:15" ht="15" customHeight="1">
      <c r="A18" s="3">
        <v>17</v>
      </c>
      <c r="B18" s="3" t="s">
        <v>414</v>
      </c>
      <c r="C18" s="3">
        <v>6</v>
      </c>
      <c r="F18" s="3">
        <v>17</v>
      </c>
      <c r="G18" s="3" t="s">
        <v>92</v>
      </c>
      <c r="H18" s="3">
        <v>11</v>
      </c>
      <c r="L18" s="3" t="str">
        <f ca="1">IFERROR(__xludf.DUMMYFUNCTION("""COMPUTED_VALUE"""),"Matt")</f>
        <v>Matt</v>
      </c>
      <c r="M18" s="3" t="str">
        <f ca="1">IFERROR(__xludf.DUMMYFUNCTION("""COMPUTED_VALUE"""),"Rojan")</f>
        <v>Rojan</v>
      </c>
      <c r="N18" s="3" t="str">
        <f ca="1">IFERROR(__xludf.DUMMYFUNCTION("""COMPUTED_VALUE"""),"Merissa")</f>
        <v>Merissa</v>
      </c>
      <c r="O18" s="3" t="str">
        <f ca="1">IFERROR(__xludf.DUMMYFUNCTION("""COMPUTED_VALUE"""),"Mike")</f>
        <v>Mike</v>
      </c>
    </row>
    <row r="19" spans="1:15" ht="15" customHeight="1">
      <c r="A19" s="3">
        <v>18</v>
      </c>
      <c r="B19" s="3" t="s">
        <v>1092</v>
      </c>
      <c r="C19" s="3">
        <v>40</v>
      </c>
      <c r="F19" s="3">
        <v>18</v>
      </c>
      <c r="G19" s="3" t="s">
        <v>532</v>
      </c>
      <c r="H19" s="3">
        <v>12</v>
      </c>
      <c r="L19" s="3" t="str">
        <f ca="1">IFERROR(__xludf.DUMMYFUNCTION("""COMPUTED_VALUE"""),"Katelynn")</f>
        <v>Katelynn</v>
      </c>
      <c r="M19" s="3" t="str">
        <f ca="1">IFERROR(__xludf.DUMMYFUNCTION("""COMPUTED_VALUE"""),"Carlee")</f>
        <v>Carlee</v>
      </c>
      <c r="N19" s="3" t="str">
        <f ca="1">IFERROR(__xludf.DUMMYFUNCTION("""COMPUTED_VALUE"""),"Matt")</f>
        <v>Matt</v>
      </c>
      <c r="O19" s="3" t="str">
        <f ca="1">IFERROR(__xludf.DUMMYFUNCTION("""COMPUTED_VALUE"""),"J")</f>
        <v>J</v>
      </c>
    </row>
    <row r="20" spans="1:15" ht="15" customHeight="1">
      <c r="A20" s="3">
        <v>19</v>
      </c>
      <c r="B20" s="3" t="s">
        <v>104</v>
      </c>
      <c r="C20" s="3">
        <v>44</v>
      </c>
      <c r="F20" s="3">
        <v>19</v>
      </c>
      <c r="G20" s="3" t="s">
        <v>1915</v>
      </c>
      <c r="H20" s="3">
        <v>25</v>
      </c>
      <c r="L20" s="3" t="str">
        <f ca="1">IFERROR(__xludf.DUMMYFUNCTION("""COMPUTED_VALUE"""),"Benn")</f>
        <v>Benn</v>
      </c>
      <c r="M20" s="3" t="str">
        <f ca="1">IFERROR(__xludf.DUMMYFUNCTION("""COMPUTED_VALUE"""),"Bunje")</f>
        <v>Bunje</v>
      </c>
      <c r="N20" s="3" t="str">
        <f ca="1">IFERROR(__xludf.DUMMYFUNCTION("""COMPUTED_VALUE"""),"Katelynn")</f>
        <v>Katelynn</v>
      </c>
      <c r="O20" s="3" t="str">
        <f ca="1">IFERROR(__xludf.DUMMYFUNCTION("""COMPUTED_VALUE"""),"Sean")</f>
        <v>Sean</v>
      </c>
    </row>
    <row r="21" spans="1:15" ht="15" customHeight="1">
      <c r="A21" s="3">
        <v>20</v>
      </c>
      <c r="B21" s="3" t="s">
        <v>1323</v>
      </c>
      <c r="C21" s="3">
        <v>31</v>
      </c>
      <c r="F21" s="3">
        <v>20</v>
      </c>
      <c r="G21" s="3" t="s">
        <v>195</v>
      </c>
      <c r="H21" s="3">
        <v>31</v>
      </c>
      <c r="L21" s="3" t="str">
        <f ca="1">IFERROR(__xludf.DUMMYFUNCTION("""COMPUTED_VALUE"""),"Anisha")</f>
        <v>Anisha</v>
      </c>
      <c r="M21" s="3" t="str">
        <f ca="1">IFERROR(__xludf.DUMMYFUNCTION("""COMPUTED_VALUE"""),"Bret")</f>
        <v>Bret</v>
      </c>
      <c r="N21" s="3" t="str">
        <f ca="1">IFERROR(__xludf.DUMMYFUNCTION("""COMPUTED_VALUE"""),"Samm")</f>
        <v>Samm</v>
      </c>
      <c r="O21" s="3" t="str">
        <f ca="1">IFERROR(__xludf.DUMMYFUNCTION("""COMPUTED_VALUE"""),"Cass")</f>
        <v>Cass</v>
      </c>
    </row>
    <row r="22" spans="1:15" ht="15" customHeight="1">
      <c r="A22" s="3">
        <v>21</v>
      </c>
      <c r="B22" s="3" t="s">
        <v>695</v>
      </c>
      <c r="C22" s="3">
        <v>47</v>
      </c>
      <c r="F22" s="3">
        <v>21</v>
      </c>
      <c r="G22" s="3" t="s">
        <v>708</v>
      </c>
      <c r="H22" s="3">
        <v>30</v>
      </c>
      <c r="L22" s="3" t="str">
        <f ca="1">IFERROR(__xludf.DUMMYFUNCTION("""COMPUTED_VALUE"""),"Hersh")</f>
        <v>Hersh</v>
      </c>
      <c r="M22" s="3" t="str">
        <f ca="1">IFERROR(__xludf.DUMMYFUNCTION("""COMPUTED_VALUE"""),"Mike")</f>
        <v>Mike</v>
      </c>
      <c r="N22" s="3" t="str">
        <f ca="1">IFERROR(__xludf.DUMMYFUNCTION("""COMPUTED_VALUE"""),"Benn")</f>
        <v>Benn</v>
      </c>
      <c r="O22" s="3" t="str">
        <f ca="1">IFERROR(__xludf.DUMMYFUNCTION("""COMPUTED_VALUE"""),"Barry")</f>
        <v>Barry</v>
      </c>
    </row>
    <row r="23" spans="1:15" ht="15" customHeight="1">
      <c r="A23" s="3">
        <v>22</v>
      </c>
      <c r="B23" s="3" t="s">
        <v>648</v>
      </c>
      <c r="C23" s="3">
        <v>13</v>
      </c>
      <c r="F23" s="3">
        <v>22</v>
      </c>
      <c r="G23" s="3" t="s">
        <v>1372</v>
      </c>
      <c r="H23" s="3">
        <v>24</v>
      </c>
    </row>
    <row r="24" spans="1:15" ht="15" customHeight="1">
      <c r="A24" s="3">
        <v>23</v>
      </c>
      <c r="B24" s="3" t="s">
        <v>67</v>
      </c>
      <c r="C24" s="3">
        <v>48</v>
      </c>
      <c r="F24" s="3">
        <v>23</v>
      </c>
      <c r="G24" s="3" t="s">
        <v>2338</v>
      </c>
      <c r="H24" s="3">
        <v>39</v>
      </c>
    </row>
    <row r="25" spans="1:15" ht="15" customHeight="1">
      <c r="A25" s="3">
        <v>24</v>
      </c>
      <c r="B25" s="3" t="s">
        <v>1372</v>
      </c>
      <c r="C25" s="3">
        <v>22</v>
      </c>
      <c r="F25" s="3">
        <v>24</v>
      </c>
      <c r="G25" s="3" t="s">
        <v>40</v>
      </c>
      <c r="H25" s="3">
        <v>8</v>
      </c>
    </row>
    <row r="26" spans="1:15" ht="15" customHeight="1">
      <c r="A26" s="3">
        <v>25</v>
      </c>
      <c r="B26" s="3" t="s">
        <v>1915</v>
      </c>
      <c r="C26" s="3">
        <v>19</v>
      </c>
      <c r="F26" s="3">
        <v>25</v>
      </c>
      <c r="G26" s="3" t="s">
        <v>451</v>
      </c>
      <c r="H26" s="3">
        <v>13</v>
      </c>
    </row>
    <row r="27" spans="1:15" ht="15" customHeight="1">
      <c r="A27" s="3">
        <v>26</v>
      </c>
      <c r="B27" s="3" t="s">
        <v>206</v>
      </c>
      <c r="C27" s="3">
        <v>4</v>
      </c>
      <c r="F27" s="3">
        <v>26</v>
      </c>
      <c r="G27" s="3" t="s">
        <v>365</v>
      </c>
      <c r="H27" s="3">
        <v>40</v>
      </c>
    </row>
    <row r="28" spans="1:15" ht="15" customHeight="1">
      <c r="A28" s="3">
        <v>27</v>
      </c>
      <c r="B28" s="3" t="s">
        <v>3397</v>
      </c>
      <c r="C28" s="3">
        <v>50</v>
      </c>
      <c r="F28" s="3">
        <v>27</v>
      </c>
      <c r="G28" s="3" t="s">
        <v>486</v>
      </c>
      <c r="H28" s="3">
        <v>14</v>
      </c>
    </row>
    <row r="29" spans="1:15" ht="15" customHeight="1">
      <c r="A29" s="3">
        <v>28</v>
      </c>
      <c r="B29" s="3" t="s">
        <v>160</v>
      </c>
      <c r="C29" s="3">
        <v>12</v>
      </c>
      <c r="F29" s="3">
        <v>28</v>
      </c>
      <c r="G29" s="3" t="s">
        <v>232</v>
      </c>
      <c r="H29" s="3">
        <v>10</v>
      </c>
    </row>
    <row r="30" spans="1:15" ht="15" customHeight="1">
      <c r="A30" s="3">
        <v>29</v>
      </c>
      <c r="B30" s="3" t="s">
        <v>1645</v>
      </c>
      <c r="C30" s="3">
        <v>42</v>
      </c>
      <c r="F30" s="3">
        <v>29</v>
      </c>
      <c r="G30" s="3" t="s">
        <v>116</v>
      </c>
      <c r="H30" s="3">
        <v>4</v>
      </c>
    </row>
    <row r="31" spans="1:15" ht="15" customHeight="1">
      <c r="A31" s="3">
        <v>30</v>
      </c>
      <c r="B31" s="3" t="s">
        <v>708</v>
      </c>
      <c r="C31" s="3">
        <v>21</v>
      </c>
      <c r="F31" s="3">
        <v>30</v>
      </c>
      <c r="G31" s="3" t="s">
        <v>52</v>
      </c>
      <c r="H31" s="3">
        <v>46</v>
      </c>
    </row>
    <row r="32" spans="1:15" ht="15" customHeight="1">
      <c r="A32" s="3">
        <v>31</v>
      </c>
      <c r="B32" s="3" t="s">
        <v>195</v>
      </c>
      <c r="C32" s="3">
        <v>20</v>
      </c>
      <c r="F32" s="3">
        <v>31</v>
      </c>
      <c r="G32" s="3" t="s">
        <v>1323</v>
      </c>
      <c r="H32" s="3">
        <v>20</v>
      </c>
    </row>
    <row r="33" spans="1:8" ht="15" customHeight="1">
      <c r="A33" s="3">
        <v>32</v>
      </c>
      <c r="B33" s="3" t="s">
        <v>305</v>
      </c>
      <c r="C33" s="3">
        <v>9</v>
      </c>
      <c r="F33" s="3">
        <v>32</v>
      </c>
      <c r="G33" s="3" t="s">
        <v>1456</v>
      </c>
      <c r="H33" s="3">
        <v>15</v>
      </c>
    </row>
    <row r="34" spans="1:8" ht="15" customHeight="1">
      <c r="A34" s="3">
        <v>33</v>
      </c>
      <c r="B34" s="3" t="s">
        <v>3239</v>
      </c>
      <c r="C34" s="3">
        <v>7</v>
      </c>
      <c r="F34" s="3">
        <v>33</v>
      </c>
      <c r="G34" s="3" t="s">
        <v>914</v>
      </c>
      <c r="H34" s="3">
        <v>51</v>
      </c>
    </row>
    <row r="35" spans="1:8" ht="15" customHeight="1">
      <c r="A35" s="3">
        <v>34</v>
      </c>
      <c r="B35" s="3" t="s">
        <v>745</v>
      </c>
      <c r="C35" s="3">
        <v>41</v>
      </c>
      <c r="F35" s="3">
        <v>34</v>
      </c>
      <c r="G35" s="3" t="s">
        <v>280</v>
      </c>
      <c r="H35" s="3">
        <v>1</v>
      </c>
    </row>
    <row r="36" spans="1:8" ht="15" customHeight="1">
      <c r="A36" s="3">
        <v>35</v>
      </c>
      <c r="B36" s="3" t="s">
        <v>1104</v>
      </c>
      <c r="C36" s="3">
        <v>38</v>
      </c>
      <c r="F36" s="3">
        <v>35</v>
      </c>
      <c r="G36" s="3" t="s">
        <v>4721</v>
      </c>
      <c r="H36" s="3">
        <v>43</v>
      </c>
    </row>
    <row r="37" spans="1:8" ht="15" customHeight="1">
      <c r="A37" s="3">
        <v>36</v>
      </c>
      <c r="B37" s="3" t="s">
        <v>3372</v>
      </c>
      <c r="C37" s="3">
        <v>39</v>
      </c>
      <c r="F37" s="3">
        <v>36</v>
      </c>
      <c r="G37" s="3" t="s">
        <v>1348</v>
      </c>
      <c r="H37" s="3">
        <v>5</v>
      </c>
    </row>
    <row r="38" spans="1:8" ht="15" customHeight="1">
      <c r="A38" s="3">
        <v>37</v>
      </c>
      <c r="B38" s="3" t="s">
        <v>7434</v>
      </c>
      <c r="C38" s="3">
        <v>8</v>
      </c>
      <c r="F38" s="3">
        <v>37</v>
      </c>
      <c r="G38" s="3" t="s">
        <v>1153</v>
      </c>
      <c r="H38" s="3">
        <v>6</v>
      </c>
    </row>
    <row r="39" spans="1:8" ht="15" customHeight="1">
      <c r="A39" s="3">
        <v>38</v>
      </c>
      <c r="B39" s="3" t="s">
        <v>6034</v>
      </c>
      <c r="C39" s="3">
        <v>51</v>
      </c>
      <c r="F39" s="3">
        <v>38</v>
      </c>
      <c r="G39" s="3" t="s">
        <v>1104</v>
      </c>
      <c r="H39" s="3">
        <v>35</v>
      </c>
    </row>
    <row r="40" spans="1:8" ht="15" customHeight="1">
      <c r="A40" s="3">
        <v>39</v>
      </c>
      <c r="B40" s="3" t="s">
        <v>2338</v>
      </c>
      <c r="C40" s="3">
        <v>23</v>
      </c>
      <c r="F40" s="3">
        <v>39</v>
      </c>
      <c r="G40" s="3" t="s">
        <v>3372</v>
      </c>
      <c r="H40" s="3">
        <v>36</v>
      </c>
    </row>
    <row r="41" spans="1:8" ht="15" customHeight="1">
      <c r="A41" s="3">
        <v>40</v>
      </c>
      <c r="B41" s="3" t="s">
        <v>365</v>
      </c>
      <c r="C41" s="3">
        <v>26</v>
      </c>
      <c r="F41" s="3">
        <v>40</v>
      </c>
      <c r="G41" s="3" t="s">
        <v>1092</v>
      </c>
      <c r="H41" s="3">
        <v>18</v>
      </c>
    </row>
    <row r="42" spans="1:8" ht="15" customHeight="1">
      <c r="A42" s="3">
        <v>41</v>
      </c>
      <c r="B42" s="3" t="s">
        <v>1238</v>
      </c>
      <c r="C42" s="3">
        <v>3</v>
      </c>
      <c r="F42" s="3">
        <v>41</v>
      </c>
      <c r="G42" s="3" t="s">
        <v>745</v>
      </c>
      <c r="H42" s="3">
        <v>34</v>
      </c>
    </row>
    <row r="43" spans="1:8" ht="15" customHeight="1">
      <c r="A43" s="3">
        <v>42</v>
      </c>
      <c r="B43" s="3" t="s">
        <v>3110</v>
      </c>
      <c r="C43" s="3">
        <v>43</v>
      </c>
      <c r="F43" s="3">
        <v>42</v>
      </c>
      <c r="G43" s="3" t="s">
        <v>1645</v>
      </c>
      <c r="H43" s="3">
        <v>29</v>
      </c>
    </row>
    <row r="44" spans="1:8" ht="15" customHeight="1">
      <c r="A44" s="3">
        <v>43</v>
      </c>
      <c r="B44" s="3" t="s">
        <v>4721</v>
      </c>
      <c r="C44" s="3">
        <v>35</v>
      </c>
      <c r="F44" s="3">
        <v>43</v>
      </c>
      <c r="G44" s="3" t="s">
        <v>3110</v>
      </c>
      <c r="H44" s="3">
        <v>42</v>
      </c>
    </row>
    <row r="45" spans="1:8" ht="15" customHeight="1">
      <c r="A45" s="3">
        <v>44</v>
      </c>
      <c r="B45" s="3" t="s">
        <v>510</v>
      </c>
      <c r="C45" s="3">
        <v>15</v>
      </c>
      <c r="F45" s="3">
        <v>44</v>
      </c>
      <c r="G45" s="3" t="s">
        <v>104</v>
      </c>
      <c r="H45" s="3">
        <v>19</v>
      </c>
    </row>
    <row r="46" spans="1:8" ht="13">
      <c r="A46" s="3">
        <v>45</v>
      </c>
      <c r="B46" s="3" t="s">
        <v>1820</v>
      </c>
      <c r="C46" s="3">
        <v>46</v>
      </c>
      <c r="F46" s="3">
        <v>45</v>
      </c>
      <c r="G46" s="3" t="s">
        <v>220</v>
      </c>
      <c r="H46" s="3">
        <v>2</v>
      </c>
    </row>
    <row r="47" spans="1:8" ht="13">
      <c r="A47" s="3">
        <v>46</v>
      </c>
      <c r="B47" s="3" t="s">
        <v>52</v>
      </c>
      <c r="C47" s="3">
        <v>30</v>
      </c>
      <c r="F47" s="3">
        <v>46</v>
      </c>
      <c r="G47" s="3" t="s">
        <v>1820</v>
      </c>
      <c r="H47" s="3">
        <v>45</v>
      </c>
    </row>
    <row r="48" spans="1:8" ht="13">
      <c r="A48" s="3">
        <v>47</v>
      </c>
      <c r="B48" s="3" t="s">
        <v>7339</v>
      </c>
      <c r="C48" s="3">
        <v>54</v>
      </c>
      <c r="F48" s="3">
        <v>47</v>
      </c>
      <c r="G48" s="3" t="s">
        <v>695</v>
      </c>
      <c r="H48" s="3">
        <v>21</v>
      </c>
    </row>
    <row r="49" spans="1:8" ht="13">
      <c r="A49" s="3">
        <v>48</v>
      </c>
      <c r="B49" s="3" t="s">
        <v>2044</v>
      </c>
      <c r="C49" s="3">
        <v>5</v>
      </c>
      <c r="F49" s="3">
        <v>48</v>
      </c>
      <c r="G49" s="3" t="s">
        <v>67</v>
      </c>
      <c r="H49" s="3">
        <v>23</v>
      </c>
    </row>
    <row r="50" spans="1:8" ht="13">
      <c r="A50" s="3">
        <v>49</v>
      </c>
      <c r="B50" s="3" t="s">
        <v>5675</v>
      </c>
      <c r="C50" s="3">
        <v>1</v>
      </c>
      <c r="F50" s="3">
        <v>49</v>
      </c>
      <c r="G50" s="3" t="s">
        <v>173</v>
      </c>
      <c r="H50" s="3">
        <v>7</v>
      </c>
    </row>
    <row r="51" spans="1:8" ht="13">
      <c r="A51" s="3">
        <v>50</v>
      </c>
      <c r="B51" s="3" t="s">
        <v>4003</v>
      </c>
      <c r="C51" s="3">
        <v>16</v>
      </c>
      <c r="F51" s="3">
        <v>50</v>
      </c>
      <c r="G51" s="3" t="s">
        <v>3397</v>
      </c>
      <c r="H51" s="3">
        <v>27</v>
      </c>
    </row>
    <row r="52" spans="1:8" ht="13">
      <c r="A52" s="3">
        <v>51</v>
      </c>
      <c r="B52" s="3" t="s">
        <v>914</v>
      </c>
      <c r="C52" s="3">
        <v>33</v>
      </c>
      <c r="F52" s="3">
        <v>51</v>
      </c>
      <c r="G52" s="3" t="s">
        <v>6034</v>
      </c>
      <c r="H52" s="3">
        <v>38</v>
      </c>
    </row>
    <row r="53" spans="1:8" ht="13">
      <c r="A53" s="3">
        <v>52</v>
      </c>
      <c r="B53" s="3" t="s">
        <v>151</v>
      </c>
      <c r="C53" s="3">
        <v>52</v>
      </c>
      <c r="F53" s="3">
        <v>52</v>
      </c>
      <c r="G53" s="3" t="s">
        <v>151</v>
      </c>
      <c r="H53" s="3">
        <v>52</v>
      </c>
    </row>
    <row r="54" spans="1:8" ht="13">
      <c r="A54" s="3">
        <v>53</v>
      </c>
      <c r="B54" s="3" t="s">
        <v>2811</v>
      </c>
      <c r="C54" s="3">
        <v>11</v>
      </c>
      <c r="F54" s="3">
        <v>53</v>
      </c>
      <c r="G54" s="3" t="s">
        <v>13616</v>
      </c>
      <c r="H54" s="3">
        <v>54</v>
      </c>
    </row>
    <row r="55" spans="1:8" ht="13">
      <c r="A55" s="3">
        <v>54</v>
      </c>
      <c r="B55" s="3" t="s">
        <v>13616</v>
      </c>
      <c r="C55" s="3">
        <v>53</v>
      </c>
      <c r="F55" s="3">
        <v>54</v>
      </c>
      <c r="G55" s="3" t="s">
        <v>7339</v>
      </c>
      <c r="H55" s="3">
        <v>47</v>
      </c>
    </row>
    <row r="56" spans="1:8" ht="13">
      <c r="A56" s="3">
        <f>Unique_Dashers!A56:AW56</f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2:E4"/>
  <sheetViews>
    <sheetView workbookViewId="0"/>
  </sheetViews>
  <sheetFormatPr baseColWidth="10" defaultColWidth="12.6640625" defaultRowHeight="15" customHeight="1"/>
  <cols>
    <col min="3" max="3" width="18.1640625" customWidth="1"/>
    <col min="4" max="4" width="20.5" customWidth="1"/>
  </cols>
  <sheetData>
    <row r="2" spans="1:5" ht="15" customHeight="1">
      <c r="A2" s="3" t="s">
        <v>14227</v>
      </c>
      <c r="B2" s="3" t="s">
        <v>14228</v>
      </c>
      <c r="C2" s="3" t="s">
        <v>14229</v>
      </c>
      <c r="D2" s="3" t="s">
        <v>14230</v>
      </c>
      <c r="E2" s="3" t="s">
        <v>14231</v>
      </c>
    </row>
    <row r="3" spans="1:5" ht="15" customHeight="1">
      <c r="A3" s="3" t="s">
        <v>14232</v>
      </c>
      <c r="B3" s="3">
        <f>COUNTIF(Unique_Dashers!C:C, "car")</f>
        <v>38</v>
      </c>
      <c r="C3" s="3">
        <f ca="1">AVERAGEIF(Unique_Dashers!C:C, "car", Unique_Dashers!K:K)</f>
        <v>5.0526315789473681</v>
      </c>
      <c r="D3" s="3">
        <f ca="1">AVERAGEIF(Unique_Dashers!C:C, "car", Unique_Dashers!P:P)</f>
        <v>41.104401693948674</v>
      </c>
      <c r="E3" s="3">
        <f ca="1">AVERAGEIF(Unique_Dashers!C:C, "car", Unique_Dashers!L:L)</f>
        <v>4.4148076964252496</v>
      </c>
    </row>
    <row r="4" spans="1:5" ht="15" customHeight="1">
      <c r="A4" s="3" t="s">
        <v>14233</v>
      </c>
      <c r="B4" s="3">
        <f>COUNTIF(Unique_Dashers!C:C, "bicycle")</f>
        <v>16</v>
      </c>
      <c r="C4" s="3">
        <f ca="1">AVERAGEIF(Unique_Dashers!C:C, "bicycle", Unique_Dashers!K:K)</f>
        <v>4.3125</v>
      </c>
      <c r="D4" s="3">
        <f ca="1">AVERAGEIF(Unique_Dashers!C:C, "bicycle", Unique_Dashers!P:P)</f>
        <v>37.339205718499556</v>
      </c>
      <c r="E4" s="3">
        <f ca="1">AVERAGEIF(Unique_Dashers!C:C, "bicycle", Unique_Dashers!L:L)</f>
        <v>4.0713521780604971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F1701"/>
  <sheetViews>
    <sheetView workbookViewId="0"/>
  </sheetViews>
  <sheetFormatPr baseColWidth="10" defaultColWidth="12.6640625" defaultRowHeight="15" customHeight="1"/>
  <sheetData>
    <row r="1" spans="1:6" ht="15" customHeight="1">
      <c r="A1" s="1" t="s">
        <v>25</v>
      </c>
      <c r="E1" s="3" t="s">
        <v>14234</v>
      </c>
      <c r="F1" s="3" t="s">
        <v>14235</v>
      </c>
    </row>
    <row r="2" spans="1:6" ht="15" customHeight="1">
      <c r="A2" s="1"/>
      <c r="C2" s="3" t="str">
        <f t="shared" ref="C2:C256" si="0">IF(B2&gt;0.1, B2, "")</f>
        <v/>
      </c>
      <c r="E2" s="3">
        <v>2</v>
      </c>
      <c r="F2" s="3">
        <f t="array" ref="F2:F41">FREQUENCY(C2:C1201, E2:E40)</f>
        <v>106</v>
      </c>
    </row>
    <row r="3" spans="1:6" ht="15" customHeight="1">
      <c r="A3" s="10">
        <v>343</v>
      </c>
      <c r="B3" s="3">
        <f t="shared" ref="B3:B257" si="1">A3/60</f>
        <v>5.7166666666666668</v>
      </c>
      <c r="C3" s="3">
        <f t="shared" si="0"/>
        <v>5.7166666666666668</v>
      </c>
      <c r="E3" s="3">
        <v>4</v>
      </c>
      <c r="F3" s="3">
        <v>181</v>
      </c>
    </row>
    <row r="4" spans="1:6" ht="15" customHeight="1">
      <c r="A4" s="10">
        <v>3133</v>
      </c>
      <c r="B4" s="3">
        <f t="shared" si="1"/>
        <v>52.216666666666669</v>
      </c>
      <c r="C4" s="3">
        <f t="shared" si="0"/>
        <v>52.216666666666669</v>
      </c>
      <c r="E4" s="3">
        <v>6</v>
      </c>
      <c r="F4" s="3">
        <v>155</v>
      </c>
    </row>
    <row r="5" spans="1:6" ht="15" customHeight="1">
      <c r="A5" s="10">
        <v>105</v>
      </c>
      <c r="B5" s="3">
        <f t="shared" si="1"/>
        <v>1.75</v>
      </c>
      <c r="C5" s="3">
        <f t="shared" si="0"/>
        <v>1.75</v>
      </c>
      <c r="E5" s="3">
        <v>8</v>
      </c>
      <c r="F5" s="3">
        <v>117</v>
      </c>
    </row>
    <row r="6" spans="1:6" ht="15" customHeight="1">
      <c r="A6" s="10">
        <v>896</v>
      </c>
      <c r="B6" s="3">
        <f t="shared" si="1"/>
        <v>14.933333333333334</v>
      </c>
      <c r="C6" s="3">
        <f t="shared" si="0"/>
        <v>14.933333333333334</v>
      </c>
      <c r="E6" s="3">
        <v>10</v>
      </c>
      <c r="F6" s="3">
        <v>82</v>
      </c>
    </row>
    <row r="7" spans="1:6" ht="15" customHeight="1">
      <c r="A7" s="10">
        <v>443</v>
      </c>
      <c r="B7" s="3">
        <f t="shared" si="1"/>
        <v>7.3833333333333337</v>
      </c>
      <c r="C7" s="3">
        <f t="shared" si="0"/>
        <v>7.3833333333333337</v>
      </c>
      <c r="E7" s="3">
        <v>12</v>
      </c>
      <c r="F7" s="3">
        <v>68</v>
      </c>
    </row>
    <row r="8" spans="1:6" ht="15" customHeight="1">
      <c r="A8" s="10">
        <v>1823</v>
      </c>
      <c r="B8" s="3">
        <f t="shared" si="1"/>
        <v>30.383333333333333</v>
      </c>
      <c r="C8" s="3">
        <f t="shared" si="0"/>
        <v>30.383333333333333</v>
      </c>
      <c r="E8" s="3">
        <v>14</v>
      </c>
      <c r="F8" s="3">
        <v>47</v>
      </c>
    </row>
    <row r="9" spans="1:6" ht="15" customHeight="1">
      <c r="A9" s="10">
        <v>1977</v>
      </c>
      <c r="B9" s="3">
        <f t="shared" si="1"/>
        <v>32.950000000000003</v>
      </c>
      <c r="C9" s="3">
        <f t="shared" si="0"/>
        <v>32.950000000000003</v>
      </c>
      <c r="E9" s="3">
        <v>16</v>
      </c>
      <c r="F9" s="3">
        <v>54</v>
      </c>
    </row>
    <row r="10" spans="1:6" ht="15" customHeight="1">
      <c r="A10" s="10">
        <v>270</v>
      </c>
      <c r="B10" s="3">
        <f t="shared" si="1"/>
        <v>4.5</v>
      </c>
      <c r="C10" s="3">
        <f t="shared" si="0"/>
        <v>4.5</v>
      </c>
      <c r="E10" s="3">
        <v>18</v>
      </c>
      <c r="F10" s="3">
        <v>38</v>
      </c>
    </row>
    <row r="11" spans="1:6" ht="15" customHeight="1">
      <c r="A11" s="1"/>
      <c r="B11" s="3">
        <f t="shared" si="1"/>
        <v>0</v>
      </c>
      <c r="C11" s="3" t="str">
        <f t="shared" si="0"/>
        <v/>
      </c>
      <c r="E11" s="3">
        <v>20</v>
      </c>
      <c r="F11" s="3">
        <v>26</v>
      </c>
    </row>
    <row r="12" spans="1:6" ht="15" customHeight="1">
      <c r="A12" s="10">
        <v>347</v>
      </c>
      <c r="B12" s="3">
        <f t="shared" si="1"/>
        <v>5.7833333333333332</v>
      </c>
      <c r="C12" s="3">
        <f t="shared" si="0"/>
        <v>5.7833333333333332</v>
      </c>
      <c r="E12" s="3">
        <v>22</v>
      </c>
      <c r="F12" s="3">
        <v>21</v>
      </c>
    </row>
    <row r="13" spans="1:6" ht="15" customHeight="1">
      <c r="A13" s="10">
        <v>2257</v>
      </c>
      <c r="B13" s="3">
        <f t="shared" si="1"/>
        <v>37.616666666666667</v>
      </c>
      <c r="C13" s="3">
        <f t="shared" si="0"/>
        <v>37.616666666666667</v>
      </c>
      <c r="E13" s="3">
        <v>24</v>
      </c>
      <c r="F13" s="3">
        <v>23</v>
      </c>
    </row>
    <row r="14" spans="1:6" ht="15" customHeight="1">
      <c r="A14" s="10">
        <v>1345</v>
      </c>
      <c r="B14" s="3">
        <f t="shared" si="1"/>
        <v>22.416666666666668</v>
      </c>
      <c r="C14" s="3">
        <f t="shared" si="0"/>
        <v>22.416666666666668</v>
      </c>
      <c r="E14" s="3">
        <v>26</v>
      </c>
      <c r="F14" s="3">
        <v>16</v>
      </c>
    </row>
    <row r="15" spans="1:6" ht="15" customHeight="1">
      <c r="A15" s="1"/>
      <c r="B15" s="3">
        <f t="shared" si="1"/>
        <v>0</v>
      </c>
      <c r="C15" s="3" t="str">
        <f t="shared" si="0"/>
        <v/>
      </c>
      <c r="E15" s="3">
        <v>28</v>
      </c>
      <c r="F15" s="3">
        <v>9</v>
      </c>
    </row>
    <row r="16" spans="1:6" ht="15" customHeight="1">
      <c r="A16" s="10">
        <v>560</v>
      </c>
      <c r="B16" s="3">
        <f t="shared" si="1"/>
        <v>9.3333333333333339</v>
      </c>
      <c r="C16" s="3">
        <f t="shared" si="0"/>
        <v>9.3333333333333339</v>
      </c>
      <c r="E16" s="3">
        <v>30</v>
      </c>
      <c r="F16" s="3">
        <v>7</v>
      </c>
    </row>
    <row r="17" spans="1:6" ht="16">
      <c r="A17" s="10">
        <v>1087</v>
      </c>
      <c r="B17" s="3">
        <f t="shared" si="1"/>
        <v>18.116666666666667</v>
      </c>
      <c r="C17" s="3">
        <f t="shared" si="0"/>
        <v>18.116666666666667</v>
      </c>
      <c r="D17" s="11"/>
      <c r="E17" s="3">
        <v>32</v>
      </c>
      <c r="F17" s="11">
        <v>8</v>
      </c>
    </row>
    <row r="18" spans="1:6" ht="16">
      <c r="A18" s="10">
        <v>878</v>
      </c>
      <c r="B18" s="3">
        <f t="shared" si="1"/>
        <v>14.633333333333333</v>
      </c>
      <c r="C18" s="3">
        <f t="shared" si="0"/>
        <v>14.633333333333333</v>
      </c>
      <c r="D18" s="11"/>
      <c r="E18" s="3">
        <v>34</v>
      </c>
      <c r="F18" s="11">
        <v>11</v>
      </c>
    </row>
    <row r="19" spans="1:6" ht="16">
      <c r="A19" s="10">
        <v>192</v>
      </c>
      <c r="B19" s="3">
        <f t="shared" si="1"/>
        <v>3.2</v>
      </c>
      <c r="C19" s="3">
        <f t="shared" si="0"/>
        <v>3.2</v>
      </c>
      <c r="D19" s="11"/>
      <c r="E19" s="3">
        <v>36</v>
      </c>
      <c r="F19" s="11">
        <v>6</v>
      </c>
    </row>
    <row r="20" spans="1:6" ht="15" customHeight="1">
      <c r="A20" s="10">
        <v>1815</v>
      </c>
      <c r="B20" s="3">
        <f t="shared" si="1"/>
        <v>30.25</v>
      </c>
      <c r="C20" s="3">
        <f t="shared" si="0"/>
        <v>30.25</v>
      </c>
      <c r="E20" s="3">
        <v>38</v>
      </c>
      <c r="F20" s="3">
        <v>4</v>
      </c>
    </row>
    <row r="21" spans="1:6" ht="15" customHeight="1">
      <c r="A21" s="10">
        <v>2582</v>
      </c>
      <c r="B21" s="3">
        <f t="shared" si="1"/>
        <v>43.033333333333331</v>
      </c>
      <c r="C21" s="3">
        <f t="shared" si="0"/>
        <v>43.033333333333331</v>
      </c>
      <c r="E21" s="3">
        <v>40</v>
      </c>
      <c r="F21" s="3">
        <v>2</v>
      </c>
    </row>
    <row r="22" spans="1:6" ht="15" customHeight="1">
      <c r="A22" s="10">
        <v>686</v>
      </c>
      <c r="B22" s="3">
        <f t="shared" si="1"/>
        <v>11.433333333333334</v>
      </c>
      <c r="C22" s="3">
        <f t="shared" si="0"/>
        <v>11.433333333333334</v>
      </c>
      <c r="E22" s="3">
        <v>42</v>
      </c>
      <c r="F22" s="3">
        <v>3</v>
      </c>
    </row>
    <row r="23" spans="1:6" ht="15" customHeight="1">
      <c r="A23" s="10">
        <v>683</v>
      </c>
      <c r="B23" s="3">
        <f t="shared" si="1"/>
        <v>11.383333333333333</v>
      </c>
      <c r="C23" s="3">
        <f t="shared" si="0"/>
        <v>11.383333333333333</v>
      </c>
      <c r="E23" s="3">
        <v>44</v>
      </c>
      <c r="F23" s="3">
        <v>4</v>
      </c>
    </row>
    <row r="24" spans="1:6" ht="15" customHeight="1">
      <c r="A24" s="10">
        <v>630</v>
      </c>
      <c r="B24" s="3">
        <f t="shared" si="1"/>
        <v>10.5</v>
      </c>
      <c r="C24" s="3">
        <f t="shared" si="0"/>
        <v>10.5</v>
      </c>
      <c r="E24" s="3">
        <v>46</v>
      </c>
      <c r="F24" s="3">
        <v>3</v>
      </c>
    </row>
    <row r="25" spans="1:6" ht="15" customHeight="1">
      <c r="A25" s="10">
        <v>861</v>
      </c>
      <c r="B25" s="3">
        <f t="shared" si="1"/>
        <v>14.35</v>
      </c>
      <c r="C25" s="3">
        <f t="shared" si="0"/>
        <v>14.35</v>
      </c>
      <c r="E25" s="3">
        <v>48</v>
      </c>
      <c r="F25" s="3">
        <v>1</v>
      </c>
    </row>
    <row r="26" spans="1:6" ht="15" customHeight="1">
      <c r="A26" s="10">
        <v>2289</v>
      </c>
      <c r="B26" s="3">
        <f t="shared" si="1"/>
        <v>38.15</v>
      </c>
      <c r="C26" s="3">
        <f t="shared" si="0"/>
        <v>38.15</v>
      </c>
      <c r="E26" s="3">
        <v>50</v>
      </c>
      <c r="F26" s="3">
        <v>1</v>
      </c>
    </row>
    <row r="27" spans="1:6" ht="15" customHeight="1">
      <c r="A27" s="10">
        <v>441</v>
      </c>
      <c r="B27" s="3">
        <f t="shared" si="1"/>
        <v>7.35</v>
      </c>
      <c r="C27" s="3">
        <f t="shared" si="0"/>
        <v>7.35</v>
      </c>
      <c r="E27" s="3">
        <v>52</v>
      </c>
      <c r="F27" s="3">
        <v>1</v>
      </c>
    </row>
    <row r="28" spans="1:6" ht="15" customHeight="1">
      <c r="A28" s="10">
        <v>908</v>
      </c>
      <c r="B28" s="3">
        <f t="shared" si="1"/>
        <v>15.133333333333333</v>
      </c>
      <c r="C28" s="3">
        <f t="shared" si="0"/>
        <v>15.133333333333333</v>
      </c>
      <c r="E28" s="3">
        <v>54</v>
      </c>
      <c r="F28" s="3">
        <v>1</v>
      </c>
    </row>
    <row r="29" spans="1:6" ht="15" customHeight="1">
      <c r="A29" s="10">
        <v>728</v>
      </c>
      <c r="B29" s="3">
        <f t="shared" si="1"/>
        <v>12.133333333333333</v>
      </c>
      <c r="C29" s="3">
        <f t="shared" si="0"/>
        <v>12.133333333333333</v>
      </c>
      <c r="E29" s="3">
        <v>56</v>
      </c>
      <c r="F29" s="3">
        <v>0</v>
      </c>
    </row>
    <row r="30" spans="1:6" ht="15" customHeight="1">
      <c r="A30" s="10">
        <v>1962</v>
      </c>
      <c r="B30" s="3">
        <f t="shared" si="1"/>
        <v>32.700000000000003</v>
      </c>
      <c r="C30" s="3">
        <f t="shared" si="0"/>
        <v>32.700000000000003</v>
      </c>
      <c r="E30" s="3">
        <v>58</v>
      </c>
      <c r="F30" s="3">
        <v>0</v>
      </c>
    </row>
    <row r="31" spans="1:6" ht="15" customHeight="1">
      <c r="A31" s="10">
        <v>963</v>
      </c>
      <c r="B31" s="3">
        <f t="shared" si="1"/>
        <v>16.05</v>
      </c>
      <c r="C31" s="3">
        <f t="shared" si="0"/>
        <v>16.05</v>
      </c>
      <c r="E31" s="3">
        <v>60</v>
      </c>
      <c r="F31" s="3">
        <v>0</v>
      </c>
    </row>
    <row r="32" spans="1:6" ht="15" customHeight="1">
      <c r="A32" s="10">
        <v>1817</v>
      </c>
      <c r="B32" s="3">
        <f t="shared" si="1"/>
        <v>30.283333333333335</v>
      </c>
      <c r="C32" s="3">
        <f t="shared" si="0"/>
        <v>30.283333333333335</v>
      </c>
      <c r="E32" s="3">
        <v>62</v>
      </c>
      <c r="F32" s="3">
        <v>2</v>
      </c>
    </row>
    <row r="33" spans="1:6" ht="15" customHeight="1">
      <c r="A33" s="10">
        <v>703</v>
      </c>
      <c r="B33" s="3">
        <f t="shared" si="1"/>
        <v>11.716666666666667</v>
      </c>
      <c r="C33" s="3">
        <f t="shared" si="0"/>
        <v>11.716666666666667</v>
      </c>
      <c r="E33" s="3">
        <v>64</v>
      </c>
      <c r="F33" s="3">
        <v>1</v>
      </c>
    </row>
    <row r="34" spans="1:6" ht="15" customHeight="1">
      <c r="A34" s="10">
        <v>1779</v>
      </c>
      <c r="B34" s="3">
        <f t="shared" si="1"/>
        <v>29.65</v>
      </c>
      <c r="C34" s="3">
        <f t="shared" si="0"/>
        <v>29.65</v>
      </c>
      <c r="E34" s="3">
        <v>66</v>
      </c>
      <c r="F34" s="3">
        <v>0</v>
      </c>
    </row>
    <row r="35" spans="1:6" ht="15" customHeight="1">
      <c r="A35" s="10">
        <v>792</v>
      </c>
      <c r="B35" s="3">
        <f t="shared" si="1"/>
        <v>13.2</v>
      </c>
      <c r="C35" s="3">
        <f t="shared" si="0"/>
        <v>13.2</v>
      </c>
      <c r="E35" s="3">
        <v>68</v>
      </c>
      <c r="F35" s="3">
        <v>0</v>
      </c>
    </row>
    <row r="36" spans="1:6" ht="15" customHeight="1">
      <c r="A36" s="1"/>
      <c r="B36" s="3">
        <f t="shared" si="1"/>
        <v>0</v>
      </c>
      <c r="C36" s="3" t="str">
        <f t="shared" si="0"/>
        <v/>
      </c>
      <c r="E36" s="3">
        <v>70</v>
      </c>
      <c r="F36" s="3">
        <v>0</v>
      </c>
    </row>
    <row r="37" spans="1:6" ht="15" customHeight="1">
      <c r="A37" s="10">
        <v>381</v>
      </c>
      <c r="B37" s="3">
        <f t="shared" si="1"/>
        <v>6.35</v>
      </c>
      <c r="C37" s="3">
        <f t="shared" si="0"/>
        <v>6.35</v>
      </c>
      <c r="E37" s="3">
        <v>72</v>
      </c>
      <c r="F37" s="3">
        <v>0</v>
      </c>
    </row>
    <row r="38" spans="1:6" ht="15" customHeight="1">
      <c r="A38" s="10">
        <v>251</v>
      </c>
      <c r="B38" s="3">
        <f t="shared" si="1"/>
        <v>4.1833333333333336</v>
      </c>
      <c r="C38" s="3">
        <f t="shared" si="0"/>
        <v>4.1833333333333336</v>
      </c>
      <c r="E38" s="3">
        <v>74</v>
      </c>
      <c r="F38" s="3">
        <v>0</v>
      </c>
    </row>
    <row r="39" spans="1:6" ht="15" customHeight="1">
      <c r="A39" s="10">
        <v>953</v>
      </c>
      <c r="B39" s="3">
        <f t="shared" si="1"/>
        <v>15.883333333333333</v>
      </c>
      <c r="C39" s="3">
        <f t="shared" si="0"/>
        <v>15.883333333333333</v>
      </c>
      <c r="E39" s="3">
        <v>76</v>
      </c>
      <c r="F39" s="3">
        <v>1</v>
      </c>
    </row>
    <row r="40" spans="1:6" ht="15" customHeight="1">
      <c r="A40" s="10">
        <v>482</v>
      </c>
      <c r="B40" s="3">
        <f t="shared" si="1"/>
        <v>8.0333333333333332</v>
      </c>
      <c r="C40" s="3">
        <f t="shared" si="0"/>
        <v>8.0333333333333332</v>
      </c>
      <c r="E40" s="3">
        <v>78</v>
      </c>
      <c r="F40" s="3">
        <v>1</v>
      </c>
    </row>
    <row r="41" spans="1:6" ht="15" customHeight="1">
      <c r="A41" s="10">
        <v>2712</v>
      </c>
      <c r="B41" s="3">
        <f t="shared" si="1"/>
        <v>45.2</v>
      </c>
      <c r="C41" s="3">
        <f t="shared" si="0"/>
        <v>45.2</v>
      </c>
      <c r="F41" s="3">
        <v>0</v>
      </c>
    </row>
    <row r="42" spans="1:6" ht="15" customHeight="1">
      <c r="A42" s="1"/>
      <c r="B42" s="3">
        <f t="shared" si="1"/>
        <v>0</v>
      </c>
      <c r="C42" s="3" t="str">
        <f t="shared" si="0"/>
        <v/>
      </c>
    </row>
    <row r="43" spans="1:6" ht="15" customHeight="1">
      <c r="A43" s="10">
        <v>1264</v>
      </c>
      <c r="B43" s="3">
        <f t="shared" si="1"/>
        <v>21.066666666666666</v>
      </c>
      <c r="C43" s="3">
        <f t="shared" si="0"/>
        <v>21.066666666666666</v>
      </c>
    </row>
    <row r="44" spans="1:6" ht="15" customHeight="1">
      <c r="A44" s="10">
        <v>511</v>
      </c>
      <c r="B44" s="3">
        <f t="shared" si="1"/>
        <v>8.5166666666666675</v>
      </c>
      <c r="C44" s="3">
        <f t="shared" si="0"/>
        <v>8.5166666666666675</v>
      </c>
    </row>
    <row r="45" spans="1:6" ht="15" customHeight="1">
      <c r="A45" s="10">
        <v>1982</v>
      </c>
      <c r="B45" s="3">
        <f t="shared" si="1"/>
        <v>33.033333333333331</v>
      </c>
      <c r="C45" s="3">
        <f t="shared" si="0"/>
        <v>33.033333333333331</v>
      </c>
    </row>
    <row r="46" spans="1:6" ht="13">
      <c r="A46" s="10">
        <v>1069</v>
      </c>
      <c r="B46" s="3">
        <f t="shared" si="1"/>
        <v>17.816666666666666</v>
      </c>
      <c r="C46" s="3">
        <f t="shared" si="0"/>
        <v>17.816666666666666</v>
      </c>
    </row>
    <row r="47" spans="1:6" ht="13">
      <c r="A47" s="10">
        <v>2128</v>
      </c>
      <c r="B47" s="3">
        <f t="shared" si="1"/>
        <v>35.466666666666669</v>
      </c>
      <c r="C47" s="3">
        <f t="shared" si="0"/>
        <v>35.466666666666669</v>
      </c>
    </row>
    <row r="48" spans="1:6" ht="13">
      <c r="A48" s="10">
        <v>899</v>
      </c>
      <c r="B48" s="3">
        <f t="shared" si="1"/>
        <v>14.983333333333333</v>
      </c>
      <c r="C48" s="3">
        <f t="shared" si="0"/>
        <v>14.983333333333333</v>
      </c>
    </row>
    <row r="49" spans="1:3" ht="13">
      <c r="A49" s="10">
        <v>420</v>
      </c>
      <c r="B49" s="3">
        <f t="shared" si="1"/>
        <v>7</v>
      </c>
      <c r="C49" s="3">
        <f t="shared" si="0"/>
        <v>7</v>
      </c>
    </row>
    <row r="50" spans="1:3" ht="13">
      <c r="A50" s="10">
        <v>192</v>
      </c>
      <c r="B50" s="3">
        <f t="shared" si="1"/>
        <v>3.2</v>
      </c>
      <c r="C50" s="3">
        <f t="shared" si="0"/>
        <v>3.2</v>
      </c>
    </row>
    <row r="51" spans="1:3" ht="13">
      <c r="A51" s="1"/>
      <c r="B51" s="3">
        <f t="shared" si="1"/>
        <v>0</v>
      </c>
      <c r="C51" s="3" t="str">
        <f t="shared" si="0"/>
        <v/>
      </c>
    </row>
    <row r="52" spans="1:3" ht="13">
      <c r="A52" s="10">
        <v>2268</v>
      </c>
      <c r="B52" s="3">
        <f t="shared" si="1"/>
        <v>37.799999999999997</v>
      </c>
      <c r="C52" s="3">
        <f t="shared" si="0"/>
        <v>37.799999999999997</v>
      </c>
    </row>
    <row r="53" spans="1:3" ht="13">
      <c r="A53" s="10">
        <v>956</v>
      </c>
      <c r="B53" s="3">
        <f t="shared" si="1"/>
        <v>15.933333333333334</v>
      </c>
      <c r="C53" s="3">
        <f t="shared" si="0"/>
        <v>15.933333333333334</v>
      </c>
    </row>
    <row r="54" spans="1:3" ht="13">
      <c r="A54" s="10">
        <v>881</v>
      </c>
      <c r="B54" s="3">
        <f t="shared" si="1"/>
        <v>14.683333333333334</v>
      </c>
      <c r="C54" s="3">
        <f t="shared" si="0"/>
        <v>14.683333333333334</v>
      </c>
    </row>
    <row r="55" spans="1:3" ht="13">
      <c r="A55" s="1"/>
      <c r="B55" s="3">
        <f t="shared" si="1"/>
        <v>0</v>
      </c>
      <c r="C55" s="3" t="str">
        <f t="shared" si="0"/>
        <v/>
      </c>
    </row>
    <row r="56" spans="1:3" ht="13">
      <c r="A56" s="10">
        <v>282</v>
      </c>
      <c r="B56" s="3">
        <f t="shared" si="1"/>
        <v>4.7</v>
      </c>
      <c r="C56" s="3">
        <f t="shared" si="0"/>
        <v>4.7</v>
      </c>
    </row>
    <row r="57" spans="1:3" ht="13">
      <c r="A57" s="10">
        <v>1129</v>
      </c>
      <c r="B57" s="3">
        <f t="shared" si="1"/>
        <v>18.816666666666666</v>
      </c>
      <c r="C57" s="3">
        <f t="shared" si="0"/>
        <v>18.816666666666666</v>
      </c>
    </row>
    <row r="58" spans="1:3" ht="13">
      <c r="A58" s="1"/>
      <c r="B58" s="3">
        <f t="shared" si="1"/>
        <v>0</v>
      </c>
      <c r="C58" s="3" t="str">
        <f t="shared" si="0"/>
        <v/>
      </c>
    </row>
    <row r="59" spans="1:3" ht="13">
      <c r="A59" s="10">
        <v>202</v>
      </c>
      <c r="B59" s="3">
        <f t="shared" si="1"/>
        <v>3.3666666666666667</v>
      </c>
      <c r="C59" s="3">
        <f t="shared" si="0"/>
        <v>3.3666666666666667</v>
      </c>
    </row>
    <row r="60" spans="1:3" ht="13">
      <c r="A60" s="10">
        <v>522</v>
      </c>
      <c r="B60" s="3">
        <f t="shared" si="1"/>
        <v>8.6999999999999993</v>
      </c>
      <c r="C60" s="3">
        <f t="shared" si="0"/>
        <v>8.6999999999999993</v>
      </c>
    </row>
    <row r="61" spans="1:3" ht="13">
      <c r="A61" s="10">
        <v>1654</v>
      </c>
      <c r="B61" s="3">
        <f t="shared" si="1"/>
        <v>27.566666666666666</v>
      </c>
      <c r="C61" s="3">
        <f t="shared" si="0"/>
        <v>27.566666666666666</v>
      </c>
    </row>
    <row r="62" spans="1:3" ht="13">
      <c r="A62" s="10">
        <v>926</v>
      </c>
      <c r="B62" s="3">
        <f t="shared" si="1"/>
        <v>15.433333333333334</v>
      </c>
      <c r="C62" s="3">
        <f t="shared" si="0"/>
        <v>15.433333333333334</v>
      </c>
    </row>
    <row r="63" spans="1:3" ht="13">
      <c r="A63" s="10">
        <v>181</v>
      </c>
      <c r="B63" s="3">
        <f t="shared" si="1"/>
        <v>3.0166666666666666</v>
      </c>
      <c r="C63" s="3">
        <f t="shared" si="0"/>
        <v>3.0166666666666666</v>
      </c>
    </row>
    <row r="64" spans="1:3" ht="13">
      <c r="A64" s="1"/>
      <c r="B64" s="3">
        <f t="shared" si="1"/>
        <v>0</v>
      </c>
      <c r="C64" s="3" t="str">
        <f t="shared" si="0"/>
        <v/>
      </c>
    </row>
    <row r="65" spans="1:3" ht="13">
      <c r="A65" s="10">
        <v>1109</v>
      </c>
      <c r="B65" s="3">
        <f t="shared" si="1"/>
        <v>18.483333333333334</v>
      </c>
      <c r="C65" s="3">
        <f t="shared" si="0"/>
        <v>18.483333333333334</v>
      </c>
    </row>
    <row r="66" spans="1:3" ht="13">
      <c r="A66" s="10">
        <v>1729</v>
      </c>
      <c r="B66" s="3">
        <f t="shared" si="1"/>
        <v>28.816666666666666</v>
      </c>
      <c r="C66" s="3">
        <f t="shared" si="0"/>
        <v>28.816666666666666</v>
      </c>
    </row>
    <row r="67" spans="1:3" ht="13">
      <c r="A67" s="10">
        <v>835</v>
      </c>
      <c r="B67" s="3">
        <f t="shared" si="1"/>
        <v>13.916666666666666</v>
      </c>
      <c r="C67" s="3">
        <f t="shared" si="0"/>
        <v>13.916666666666666</v>
      </c>
    </row>
    <row r="68" spans="1:3" ht="13">
      <c r="A68" s="10">
        <v>160</v>
      </c>
      <c r="B68" s="3">
        <f t="shared" si="1"/>
        <v>2.6666666666666665</v>
      </c>
      <c r="C68" s="3">
        <f t="shared" si="0"/>
        <v>2.6666666666666665</v>
      </c>
    </row>
    <row r="69" spans="1:3" ht="13">
      <c r="A69" s="10">
        <v>628</v>
      </c>
      <c r="B69" s="3">
        <f t="shared" si="1"/>
        <v>10.466666666666667</v>
      </c>
      <c r="C69" s="3">
        <f t="shared" si="0"/>
        <v>10.466666666666667</v>
      </c>
    </row>
    <row r="70" spans="1:3" ht="13">
      <c r="A70" s="10">
        <v>1265</v>
      </c>
      <c r="B70" s="3">
        <f t="shared" si="1"/>
        <v>21.083333333333332</v>
      </c>
      <c r="C70" s="3">
        <f t="shared" si="0"/>
        <v>21.083333333333332</v>
      </c>
    </row>
    <row r="71" spans="1:3" ht="13">
      <c r="A71" s="1"/>
      <c r="B71" s="3">
        <f t="shared" si="1"/>
        <v>0</v>
      </c>
      <c r="C71" s="3" t="str">
        <f t="shared" si="0"/>
        <v/>
      </c>
    </row>
    <row r="72" spans="1:3" ht="13">
      <c r="A72" s="10">
        <v>512</v>
      </c>
      <c r="B72" s="3">
        <f t="shared" si="1"/>
        <v>8.5333333333333332</v>
      </c>
      <c r="C72" s="3">
        <f t="shared" si="0"/>
        <v>8.5333333333333332</v>
      </c>
    </row>
    <row r="73" spans="1:3" ht="13">
      <c r="A73" s="10">
        <v>3113</v>
      </c>
      <c r="B73" s="3">
        <f t="shared" si="1"/>
        <v>51.883333333333333</v>
      </c>
      <c r="C73" s="3">
        <f t="shared" si="0"/>
        <v>51.883333333333333</v>
      </c>
    </row>
    <row r="74" spans="1:3" ht="13">
      <c r="A74" s="10">
        <v>376</v>
      </c>
      <c r="B74" s="3">
        <f t="shared" si="1"/>
        <v>6.2666666666666666</v>
      </c>
      <c r="C74" s="3">
        <f t="shared" si="0"/>
        <v>6.2666666666666666</v>
      </c>
    </row>
    <row r="75" spans="1:3" ht="13">
      <c r="A75" s="10">
        <v>403</v>
      </c>
      <c r="B75" s="3">
        <f t="shared" si="1"/>
        <v>6.7166666666666668</v>
      </c>
      <c r="C75" s="3">
        <f t="shared" si="0"/>
        <v>6.7166666666666668</v>
      </c>
    </row>
    <row r="76" spans="1:3" ht="13">
      <c r="A76" s="10">
        <v>1621</v>
      </c>
      <c r="B76" s="3">
        <f t="shared" si="1"/>
        <v>27.016666666666666</v>
      </c>
      <c r="C76" s="3">
        <f t="shared" si="0"/>
        <v>27.016666666666666</v>
      </c>
    </row>
    <row r="77" spans="1:3" ht="13">
      <c r="A77" s="10">
        <v>250</v>
      </c>
      <c r="B77" s="3">
        <f t="shared" si="1"/>
        <v>4.166666666666667</v>
      </c>
      <c r="C77" s="3">
        <f t="shared" si="0"/>
        <v>4.166666666666667</v>
      </c>
    </row>
    <row r="78" spans="1:3" ht="13">
      <c r="A78" s="1"/>
      <c r="B78" s="3">
        <f t="shared" si="1"/>
        <v>0</v>
      </c>
      <c r="C78" s="3" t="str">
        <f t="shared" si="0"/>
        <v/>
      </c>
    </row>
    <row r="79" spans="1:3" ht="13">
      <c r="A79" s="10">
        <v>301</v>
      </c>
      <c r="B79" s="3">
        <f t="shared" si="1"/>
        <v>5.0166666666666666</v>
      </c>
      <c r="C79" s="3">
        <f t="shared" si="0"/>
        <v>5.0166666666666666</v>
      </c>
    </row>
    <row r="80" spans="1:3" ht="13">
      <c r="A80" s="10">
        <v>200</v>
      </c>
      <c r="B80" s="3">
        <f t="shared" si="1"/>
        <v>3.3333333333333335</v>
      </c>
      <c r="C80" s="3">
        <f t="shared" si="0"/>
        <v>3.3333333333333335</v>
      </c>
    </row>
    <row r="81" spans="1:3" ht="13">
      <c r="A81" s="10">
        <v>1605</v>
      </c>
      <c r="B81" s="3">
        <f t="shared" si="1"/>
        <v>26.75</v>
      </c>
      <c r="C81" s="3">
        <f t="shared" si="0"/>
        <v>26.75</v>
      </c>
    </row>
    <row r="82" spans="1:3" ht="13">
      <c r="A82" s="10">
        <v>723</v>
      </c>
      <c r="B82" s="3">
        <f t="shared" si="1"/>
        <v>12.05</v>
      </c>
      <c r="C82" s="3">
        <f t="shared" si="0"/>
        <v>12.05</v>
      </c>
    </row>
    <row r="83" spans="1:3" ht="13">
      <c r="A83" s="10">
        <v>1508</v>
      </c>
      <c r="B83" s="3">
        <f t="shared" si="1"/>
        <v>25.133333333333333</v>
      </c>
      <c r="C83" s="3">
        <f t="shared" si="0"/>
        <v>25.133333333333333</v>
      </c>
    </row>
    <row r="84" spans="1:3" ht="13">
      <c r="A84" s="10">
        <v>19</v>
      </c>
      <c r="B84" s="3">
        <f t="shared" si="1"/>
        <v>0.31666666666666665</v>
      </c>
      <c r="C84" s="3">
        <f t="shared" si="0"/>
        <v>0.31666666666666665</v>
      </c>
    </row>
    <row r="85" spans="1:3" ht="13">
      <c r="A85" s="10">
        <v>1073</v>
      </c>
      <c r="B85" s="3">
        <f t="shared" si="1"/>
        <v>17.883333333333333</v>
      </c>
      <c r="C85" s="3">
        <f t="shared" si="0"/>
        <v>17.883333333333333</v>
      </c>
    </row>
    <row r="86" spans="1:3" ht="13">
      <c r="A86" s="10">
        <v>1504</v>
      </c>
      <c r="B86" s="3">
        <f t="shared" si="1"/>
        <v>25.066666666666666</v>
      </c>
      <c r="C86" s="3">
        <f t="shared" si="0"/>
        <v>25.066666666666666</v>
      </c>
    </row>
    <row r="87" spans="1:3" ht="13">
      <c r="A87" s="10">
        <v>405</v>
      </c>
      <c r="B87" s="3">
        <f t="shared" si="1"/>
        <v>6.75</v>
      </c>
      <c r="C87" s="3">
        <f t="shared" si="0"/>
        <v>6.75</v>
      </c>
    </row>
    <row r="88" spans="1:3" ht="13">
      <c r="A88" s="10">
        <v>2040</v>
      </c>
      <c r="B88" s="3">
        <f t="shared" si="1"/>
        <v>34</v>
      </c>
      <c r="C88" s="3">
        <f t="shared" si="0"/>
        <v>34</v>
      </c>
    </row>
    <row r="89" spans="1:3" ht="13">
      <c r="A89" s="10">
        <v>175</v>
      </c>
      <c r="B89" s="3">
        <f t="shared" si="1"/>
        <v>2.9166666666666665</v>
      </c>
      <c r="C89" s="3">
        <f t="shared" si="0"/>
        <v>2.9166666666666665</v>
      </c>
    </row>
    <row r="90" spans="1:3" ht="13">
      <c r="A90" s="10">
        <v>149</v>
      </c>
      <c r="B90" s="3">
        <f t="shared" si="1"/>
        <v>2.4833333333333334</v>
      </c>
      <c r="C90" s="3">
        <f t="shared" si="0"/>
        <v>2.4833333333333334</v>
      </c>
    </row>
    <row r="91" spans="1:3" ht="13">
      <c r="A91" s="10">
        <v>1349</v>
      </c>
      <c r="B91" s="3">
        <f t="shared" si="1"/>
        <v>22.483333333333334</v>
      </c>
      <c r="C91" s="3">
        <f t="shared" si="0"/>
        <v>22.483333333333334</v>
      </c>
    </row>
    <row r="92" spans="1:3" ht="13">
      <c r="A92" s="10">
        <v>152</v>
      </c>
      <c r="B92" s="3">
        <f t="shared" si="1"/>
        <v>2.5333333333333332</v>
      </c>
      <c r="C92" s="3">
        <f t="shared" si="0"/>
        <v>2.5333333333333332</v>
      </c>
    </row>
    <row r="93" spans="1:3" ht="13">
      <c r="A93" s="10">
        <v>2137</v>
      </c>
      <c r="B93" s="3">
        <f t="shared" si="1"/>
        <v>35.616666666666667</v>
      </c>
      <c r="C93" s="3">
        <f t="shared" si="0"/>
        <v>35.616666666666667</v>
      </c>
    </row>
    <row r="94" spans="1:3" ht="13">
      <c r="A94" s="10">
        <v>1071</v>
      </c>
      <c r="B94" s="3">
        <f t="shared" si="1"/>
        <v>17.850000000000001</v>
      </c>
      <c r="C94" s="3">
        <f t="shared" si="0"/>
        <v>17.850000000000001</v>
      </c>
    </row>
    <row r="95" spans="1:3" ht="13">
      <c r="A95" s="10">
        <v>4587</v>
      </c>
      <c r="B95" s="3">
        <f t="shared" si="1"/>
        <v>76.45</v>
      </c>
      <c r="C95" s="3">
        <f t="shared" si="0"/>
        <v>76.45</v>
      </c>
    </row>
    <row r="96" spans="1:3" ht="13">
      <c r="A96" s="10">
        <v>215</v>
      </c>
      <c r="B96" s="3">
        <f t="shared" si="1"/>
        <v>3.5833333333333335</v>
      </c>
      <c r="C96" s="3">
        <f t="shared" si="0"/>
        <v>3.5833333333333335</v>
      </c>
    </row>
    <row r="97" spans="1:3" ht="13">
      <c r="A97" s="10">
        <v>704</v>
      </c>
      <c r="B97" s="3">
        <f t="shared" si="1"/>
        <v>11.733333333333333</v>
      </c>
      <c r="C97" s="3">
        <f t="shared" si="0"/>
        <v>11.733333333333333</v>
      </c>
    </row>
    <row r="98" spans="1:3" ht="13">
      <c r="A98" s="10">
        <v>1316</v>
      </c>
      <c r="B98" s="3">
        <f t="shared" si="1"/>
        <v>21.933333333333334</v>
      </c>
      <c r="C98" s="3">
        <f t="shared" si="0"/>
        <v>21.933333333333334</v>
      </c>
    </row>
    <row r="99" spans="1:3" ht="13">
      <c r="A99" s="10">
        <v>826</v>
      </c>
      <c r="B99" s="3">
        <f t="shared" si="1"/>
        <v>13.766666666666667</v>
      </c>
      <c r="C99" s="3">
        <f t="shared" si="0"/>
        <v>13.766666666666667</v>
      </c>
    </row>
    <row r="100" spans="1:3" ht="13">
      <c r="A100" s="10">
        <v>21</v>
      </c>
      <c r="B100" s="3">
        <f t="shared" si="1"/>
        <v>0.35</v>
      </c>
      <c r="C100" s="3">
        <f t="shared" si="0"/>
        <v>0.35</v>
      </c>
    </row>
    <row r="101" spans="1:3" ht="13">
      <c r="A101" s="10">
        <v>1071</v>
      </c>
      <c r="B101" s="3">
        <f t="shared" si="1"/>
        <v>17.850000000000001</v>
      </c>
      <c r="C101" s="3">
        <f t="shared" si="0"/>
        <v>17.850000000000001</v>
      </c>
    </row>
    <row r="102" spans="1:3" ht="13">
      <c r="A102" s="10">
        <v>730</v>
      </c>
      <c r="B102" s="3">
        <f t="shared" si="1"/>
        <v>12.166666666666666</v>
      </c>
      <c r="C102" s="3">
        <f t="shared" si="0"/>
        <v>12.166666666666666</v>
      </c>
    </row>
    <row r="103" spans="1:3" ht="13">
      <c r="A103" s="10">
        <v>468</v>
      </c>
      <c r="B103" s="3">
        <f t="shared" si="1"/>
        <v>7.8</v>
      </c>
      <c r="C103" s="3">
        <f t="shared" si="0"/>
        <v>7.8</v>
      </c>
    </row>
    <row r="104" spans="1:3" ht="13">
      <c r="A104" s="1"/>
      <c r="B104" s="3">
        <f t="shared" si="1"/>
        <v>0</v>
      </c>
      <c r="C104" s="3" t="str">
        <f t="shared" si="0"/>
        <v/>
      </c>
    </row>
    <row r="105" spans="1:3" ht="13">
      <c r="A105" s="10">
        <v>131</v>
      </c>
      <c r="B105" s="3">
        <f t="shared" si="1"/>
        <v>2.1833333333333331</v>
      </c>
      <c r="C105" s="3">
        <f t="shared" si="0"/>
        <v>2.1833333333333331</v>
      </c>
    </row>
    <row r="106" spans="1:3" ht="13">
      <c r="A106" s="10">
        <v>1086</v>
      </c>
      <c r="B106" s="3">
        <f t="shared" si="1"/>
        <v>18.100000000000001</v>
      </c>
      <c r="C106" s="3">
        <f t="shared" si="0"/>
        <v>18.100000000000001</v>
      </c>
    </row>
    <row r="107" spans="1:3" ht="13">
      <c r="A107" s="10">
        <v>740</v>
      </c>
      <c r="B107" s="3">
        <f t="shared" si="1"/>
        <v>12.333333333333334</v>
      </c>
      <c r="C107" s="3">
        <f t="shared" si="0"/>
        <v>12.333333333333334</v>
      </c>
    </row>
    <row r="108" spans="1:3" ht="13">
      <c r="A108" s="10">
        <v>630</v>
      </c>
      <c r="B108" s="3">
        <f t="shared" si="1"/>
        <v>10.5</v>
      </c>
      <c r="C108" s="3">
        <f t="shared" si="0"/>
        <v>10.5</v>
      </c>
    </row>
    <row r="109" spans="1:3" ht="13">
      <c r="A109" s="10">
        <v>358</v>
      </c>
      <c r="B109" s="3">
        <f t="shared" si="1"/>
        <v>5.9666666666666668</v>
      </c>
      <c r="C109" s="3">
        <f t="shared" si="0"/>
        <v>5.9666666666666668</v>
      </c>
    </row>
    <row r="110" spans="1:3" ht="13">
      <c r="A110" s="10">
        <v>595</v>
      </c>
      <c r="B110" s="3">
        <f t="shared" si="1"/>
        <v>9.9166666666666661</v>
      </c>
      <c r="C110" s="3">
        <f t="shared" si="0"/>
        <v>9.9166666666666661</v>
      </c>
    </row>
    <row r="111" spans="1:3" ht="13">
      <c r="A111" s="10">
        <v>1488</v>
      </c>
      <c r="B111" s="3">
        <f t="shared" si="1"/>
        <v>24.8</v>
      </c>
      <c r="C111" s="3">
        <f t="shared" si="0"/>
        <v>24.8</v>
      </c>
    </row>
    <row r="112" spans="1:3" ht="13">
      <c r="A112" s="10">
        <v>447</v>
      </c>
      <c r="B112" s="3">
        <f t="shared" si="1"/>
        <v>7.45</v>
      </c>
      <c r="C112" s="3">
        <f t="shared" si="0"/>
        <v>7.45</v>
      </c>
    </row>
    <row r="113" spans="1:3" ht="13">
      <c r="A113" s="10">
        <v>197</v>
      </c>
      <c r="B113" s="3">
        <f t="shared" si="1"/>
        <v>3.2833333333333332</v>
      </c>
      <c r="C113" s="3">
        <f t="shared" si="0"/>
        <v>3.2833333333333332</v>
      </c>
    </row>
    <row r="114" spans="1:3" ht="13">
      <c r="A114" s="10">
        <v>102</v>
      </c>
      <c r="B114" s="3">
        <f t="shared" si="1"/>
        <v>1.7</v>
      </c>
      <c r="C114" s="3">
        <f t="shared" si="0"/>
        <v>1.7</v>
      </c>
    </row>
    <row r="115" spans="1:3" ht="13">
      <c r="A115" s="10">
        <v>922</v>
      </c>
      <c r="B115" s="3">
        <f t="shared" si="1"/>
        <v>15.366666666666667</v>
      </c>
      <c r="C115" s="3">
        <f t="shared" si="0"/>
        <v>15.366666666666667</v>
      </c>
    </row>
    <row r="116" spans="1:3" ht="13">
      <c r="A116" s="10">
        <v>673</v>
      </c>
      <c r="B116" s="3">
        <f t="shared" si="1"/>
        <v>11.216666666666667</v>
      </c>
      <c r="C116" s="3">
        <f t="shared" si="0"/>
        <v>11.216666666666667</v>
      </c>
    </row>
    <row r="117" spans="1:3" ht="13">
      <c r="A117" s="10">
        <v>1227</v>
      </c>
      <c r="B117" s="3">
        <f t="shared" si="1"/>
        <v>20.45</v>
      </c>
      <c r="C117" s="3">
        <f t="shared" si="0"/>
        <v>20.45</v>
      </c>
    </row>
    <row r="118" spans="1:3" ht="13">
      <c r="A118" s="10">
        <v>287</v>
      </c>
      <c r="B118" s="3">
        <f t="shared" si="1"/>
        <v>4.7833333333333332</v>
      </c>
      <c r="C118" s="3">
        <f t="shared" si="0"/>
        <v>4.7833333333333332</v>
      </c>
    </row>
    <row r="119" spans="1:3" ht="13">
      <c r="A119" s="10">
        <v>66</v>
      </c>
      <c r="B119" s="3">
        <f t="shared" si="1"/>
        <v>1.1000000000000001</v>
      </c>
      <c r="C119" s="3">
        <f t="shared" si="0"/>
        <v>1.1000000000000001</v>
      </c>
    </row>
    <row r="120" spans="1:3" ht="13">
      <c r="A120" s="10">
        <v>112</v>
      </c>
      <c r="B120" s="3">
        <f t="shared" si="1"/>
        <v>1.8666666666666667</v>
      </c>
      <c r="C120" s="3">
        <f t="shared" si="0"/>
        <v>1.8666666666666667</v>
      </c>
    </row>
    <row r="121" spans="1:3" ht="13">
      <c r="A121" s="10">
        <v>565</v>
      </c>
      <c r="B121" s="3">
        <f t="shared" si="1"/>
        <v>9.4166666666666661</v>
      </c>
      <c r="C121" s="3">
        <f t="shared" si="0"/>
        <v>9.4166666666666661</v>
      </c>
    </row>
    <row r="122" spans="1:3" ht="13">
      <c r="A122" s="1"/>
      <c r="B122" s="3">
        <f t="shared" si="1"/>
        <v>0</v>
      </c>
      <c r="C122" s="3" t="str">
        <f t="shared" si="0"/>
        <v/>
      </c>
    </row>
    <row r="123" spans="1:3" ht="13">
      <c r="A123" s="10">
        <v>287</v>
      </c>
      <c r="B123" s="3">
        <f t="shared" si="1"/>
        <v>4.7833333333333332</v>
      </c>
      <c r="C123" s="3">
        <f t="shared" si="0"/>
        <v>4.7833333333333332</v>
      </c>
    </row>
    <row r="124" spans="1:3" ht="13">
      <c r="A124" s="10">
        <v>592</v>
      </c>
      <c r="B124" s="3">
        <f t="shared" si="1"/>
        <v>9.8666666666666671</v>
      </c>
      <c r="C124" s="3">
        <f t="shared" si="0"/>
        <v>9.8666666666666671</v>
      </c>
    </row>
    <row r="125" spans="1:3" ht="13">
      <c r="A125" s="1"/>
      <c r="B125" s="3">
        <f t="shared" si="1"/>
        <v>0</v>
      </c>
      <c r="C125" s="3" t="str">
        <f t="shared" si="0"/>
        <v/>
      </c>
    </row>
    <row r="126" spans="1:3" ht="13">
      <c r="A126" s="10">
        <v>280</v>
      </c>
      <c r="B126" s="3">
        <f t="shared" si="1"/>
        <v>4.666666666666667</v>
      </c>
      <c r="C126" s="3">
        <f t="shared" si="0"/>
        <v>4.666666666666667</v>
      </c>
    </row>
    <row r="127" spans="1:3" ht="13">
      <c r="A127" s="10">
        <v>773</v>
      </c>
      <c r="B127" s="3">
        <f t="shared" si="1"/>
        <v>12.883333333333333</v>
      </c>
      <c r="C127" s="3">
        <f t="shared" si="0"/>
        <v>12.883333333333333</v>
      </c>
    </row>
    <row r="128" spans="1:3" ht="13">
      <c r="A128" s="10">
        <v>165</v>
      </c>
      <c r="B128" s="3">
        <f t="shared" si="1"/>
        <v>2.75</v>
      </c>
      <c r="C128" s="3">
        <f t="shared" si="0"/>
        <v>2.75</v>
      </c>
    </row>
    <row r="129" spans="1:3" ht="13">
      <c r="A129" s="10">
        <v>299</v>
      </c>
      <c r="B129" s="3">
        <f t="shared" si="1"/>
        <v>4.9833333333333334</v>
      </c>
      <c r="C129" s="3">
        <f t="shared" si="0"/>
        <v>4.9833333333333334</v>
      </c>
    </row>
    <row r="130" spans="1:3" ht="13">
      <c r="A130" s="10">
        <v>5</v>
      </c>
      <c r="B130" s="3">
        <f t="shared" si="1"/>
        <v>8.3333333333333329E-2</v>
      </c>
      <c r="C130" s="3" t="str">
        <f t="shared" si="0"/>
        <v/>
      </c>
    </row>
    <row r="131" spans="1:3" ht="13">
      <c r="A131" s="10">
        <v>155</v>
      </c>
      <c r="B131" s="3">
        <f t="shared" si="1"/>
        <v>2.5833333333333335</v>
      </c>
      <c r="C131" s="3">
        <f t="shared" si="0"/>
        <v>2.5833333333333335</v>
      </c>
    </row>
    <row r="132" spans="1:3" ht="13">
      <c r="A132" s="10">
        <v>469</v>
      </c>
      <c r="B132" s="3">
        <f t="shared" si="1"/>
        <v>7.8166666666666664</v>
      </c>
      <c r="C132" s="3">
        <f t="shared" si="0"/>
        <v>7.8166666666666664</v>
      </c>
    </row>
    <row r="133" spans="1:3" ht="13">
      <c r="A133" s="1"/>
      <c r="B133" s="3">
        <f t="shared" si="1"/>
        <v>0</v>
      </c>
      <c r="C133" s="3" t="str">
        <f t="shared" si="0"/>
        <v/>
      </c>
    </row>
    <row r="134" spans="1:3" ht="13">
      <c r="A134" s="10">
        <v>357</v>
      </c>
      <c r="B134" s="3">
        <f t="shared" si="1"/>
        <v>5.95</v>
      </c>
      <c r="C134" s="3">
        <f t="shared" si="0"/>
        <v>5.95</v>
      </c>
    </row>
    <row r="135" spans="1:3" ht="13">
      <c r="A135" s="1"/>
      <c r="B135" s="3">
        <f t="shared" si="1"/>
        <v>0</v>
      </c>
      <c r="C135" s="3" t="str">
        <f t="shared" si="0"/>
        <v/>
      </c>
    </row>
    <row r="136" spans="1:3" ht="13">
      <c r="A136" s="10">
        <v>270</v>
      </c>
      <c r="B136" s="3">
        <f t="shared" si="1"/>
        <v>4.5</v>
      </c>
      <c r="C136" s="3">
        <f t="shared" si="0"/>
        <v>4.5</v>
      </c>
    </row>
    <row r="137" spans="1:3" ht="13">
      <c r="A137" s="10">
        <v>372</v>
      </c>
      <c r="B137" s="3">
        <f t="shared" si="1"/>
        <v>6.2</v>
      </c>
      <c r="C137" s="3">
        <f t="shared" si="0"/>
        <v>6.2</v>
      </c>
    </row>
    <row r="138" spans="1:3" ht="13">
      <c r="A138" s="1"/>
      <c r="B138" s="3">
        <f t="shared" si="1"/>
        <v>0</v>
      </c>
      <c r="C138" s="3" t="str">
        <f t="shared" si="0"/>
        <v/>
      </c>
    </row>
    <row r="139" spans="1:3" ht="13">
      <c r="A139" s="10">
        <v>545</v>
      </c>
      <c r="B139" s="3">
        <f t="shared" si="1"/>
        <v>9.0833333333333339</v>
      </c>
      <c r="C139" s="3">
        <f t="shared" si="0"/>
        <v>9.0833333333333339</v>
      </c>
    </row>
    <row r="140" spans="1:3" ht="13">
      <c r="A140" s="10">
        <v>397</v>
      </c>
      <c r="B140" s="3">
        <f t="shared" si="1"/>
        <v>6.6166666666666663</v>
      </c>
      <c r="C140" s="3">
        <f t="shared" si="0"/>
        <v>6.6166666666666663</v>
      </c>
    </row>
    <row r="141" spans="1:3" ht="13">
      <c r="A141" s="10">
        <v>103</v>
      </c>
      <c r="B141" s="3">
        <f t="shared" si="1"/>
        <v>1.7166666666666666</v>
      </c>
      <c r="C141" s="3">
        <f t="shared" si="0"/>
        <v>1.7166666666666666</v>
      </c>
    </row>
    <row r="142" spans="1:3" ht="13">
      <c r="A142" s="10">
        <v>256</v>
      </c>
      <c r="B142" s="3">
        <f t="shared" si="1"/>
        <v>4.2666666666666666</v>
      </c>
      <c r="C142" s="3">
        <f t="shared" si="0"/>
        <v>4.2666666666666666</v>
      </c>
    </row>
    <row r="143" spans="1:3" ht="13">
      <c r="A143" s="1"/>
      <c r="B143" s="3">
        <f t="shared" si="1"/>
        <v>0</v>
      </c>
      <c r="C143" s="3" t="str">
        <f t="shared" si="0"/>
        <v/>
      </c>
    </row>
    <row r="144" spans="1:3" ht="13">
      <c r="A144" s="10">
        <v>508</v>
      </c>
      <c r="B144" s="3">
        <f t="shared" si="1"/>
        <v>8.4666666666666668</v>
      </c>
      <c r="C144" s="3">
        <f t="shared" si="0"/>
        <v>8.4666666666666668</v>
      </c>
    </row>
    <row r="145" spans="1:3" ht="13">
      <c r="A145" s="10">
        <v>672</v>
      </c>
      <c r="B145" s="3">
        <f t="shared" si="1"/>
        <v>11.2</v>
      </c>
      <c r="C145" s="3">
        <f t="shared" si="0"/>
        <v>11.2</v>
      </c>
    </row>
    <row r="146" spans="1:3" ht="13">
      <c r="A146" s="10">
        <v>168</v>
      </c>
      <c r="B146" s="3">
        <f t="shared" si="1"/>
        <v>2.8</v>
      </c>
      <c r="C146" s="3">
        <f t="shared" si="0"/>
        <v>2.8</v>
      </c>
    </row>
    <row r="147" spans="1:3" ht="13">
      <c r="A147" s="10">
        <v>1361</v>
      </c>
      <c r="B147" s="3">
        <f t="shared" si="1"/>
        <v>22.683333333333334</v>
      </c>
      <c r="C147" s="3">
        <f t="shared" si="0"/>
        <v>22.683333333333334</v>
      </c>
    </row>
    <row r="148" spans="1:3" ht="13">
      <c r="A148" s="1"/>
      <c r="B148" s="3">
        <f t="shared" si="1"/>
        <v>0</v>
      </c>
      <c r="C148" s="3" t="str">
        <f t="shared" si="0"/>
        <v/>
      </c>
    </row>
    <row r="149" spans="1:3" ht="13">
      <c r="A149" s="10">
        <v>1069</v>
      </c>
      <c r="B149" s="3">
        <f t="shared" si="1"/>
        <v>17.816666666666666</v>
      </c>
      <c r="C149" s="3">
        <f t="shared" si="0"/>
        <v>17.816666666666666</v>
      </c>
    </row>
    <row r="150" spans="1:3" ht="13">
      <c r="A150" s="10">
        <v>1120</v>
      </c>
      <c r="B150" s="3">
        <f t="shared" si="1"/>
        <v>18.666666666666668</v>
      </c>
      <c r="C150" s="3">
        <f t="shared" si="0"/>
        <v>18.666666666666668</v>
      </c>
    </row>
    <row r="151" spans="1:3" ht="13">
      <c r="A151" s="1"/>
      <c r="B151" s="3">
        <f t="shared" si="1"/>
        <v>0</v>
      </c>
      <c r="C151" s="3" t="str">
        <f t="shared" si="0"/>
        <v/>
      </c>
    </row>
    <row r="152" spans="1:3" ht="13">
      <c r="A152" s="10">
        <v>1381</v>
      </c>
      <c r="B152" s="3">
        <f t="shared" si="1"/>
        <v>23.016666666666666</v>
      </c>
      <c r="C152" s="3">
        <f t="shared" si="0"/>
        <v>23.016666666666666</v>
      </c>
    </row>
    <row r="153" spans="1:3" ht="13">
      <c r="A153" s="10">
        <v>340</v>
      </c>
      <c r="B153" s="3">
        <f t="shared" si="1"/>
        <v>5.666666666666667</v>
      </c>
      <c r="C153" s="3">
        <f t="shared" si="0"/>
        <v>5.666666666666667</v>
      </c>
    </row>
    <row r="154" spans="1:3" ht="13">
      <c r="A154" s="10">
        <v>249</v>
      </c>
      <c r="B154" s="3">
        <f t="shared" si="1"/>
        <v>4.1500000000000004</v>
      </c>
      <c r="C154" s="3">
        <f t="shared" si="0"/>
        <v>4.1500000000000004</v>
      </c>
    </row>
    <row r="155" spans="1:3" ht="13">
      <c r="A155" s="10">
        <v>1288</v>
      </c>
      <c r="B155" s="3">
        <f t="shared" si="1"/>
        <v>21.466666666666665</v>
      </c>
      <c r="C155" s="3">
        <f t="shared" si="0"/>
        <v>21.466666666666665</v>
      </c>
    </row>
    <row r="156" spans="1:3" ht="13">
      <c r="A156" s="10">
        <v>4</v>
      </c>
      <c r="B156" s="3">
        <f t="shared" si="1"/>
        <v>6.6666666666666666E-2</v>
      </c>
      <c r="C156" s="3" t="str">
        <f t="shared" si="0"/>
        <v/>
      </c>
    </row>
    <row r="157" spans="1:3" ht="13">
      <c r="A157" s="10">
        <v>241</v>
      </c>
      <c r="B157" s="3">
        <f t="shared" si="1"/>
        <v>4.0166666666666666</v>
      </c>
      <c r="C157" s="3">
        <f t="shared" si="0"/>
        <v>4.0166666666666666</v>
      </c>
    </row>
    <row r="158" spans="1:3" ht="13">
      <c r="A158" s="10">
        <v>975</v>
      </c>
      <c r="B158" s="3">
        <f t="shared" si="1"/>
        <v>16.25</v>
      </c>
      <c r="C158" s="3">
        <f t="shared" si="0"/>
        <v>16.25</v>
      </c>
    </row>
    <row r="159" spans="1:3" ht="13">
      <c r="A159" s="10">
        <v>916</v>
      </c>
      <c r="B159" s="3">
        <f t="shared" si="1"/>
        <v>15.266666666666667</v>
      </c>
      <c r="C159" s="3">
        <f t="shared" si="0"/>
        <v>15.266666666666667</v>
      </c>
    </row>
    <row r="160" spans="1:3" ht="13">
      <c r="A160" s="1"/>
      <c r="B160" s="3">
        <f t="shared" si="1"/>
        <v>0</v>
      </c>
      <c r="C160" s="3" t="str">
        <f t="shared" si="0"/>
        <v/>
      </c>
    </row>
    <row r="161" spans="1:3" ht="13">
      <c r="A161" s="10">
        <v>366</v>
      </c>
      <c r="B161" s="3">
        <f t="shared" si="1"/>
        <v>6.1</v>
      </c>
      <c r="C161" s="3">
        <f t="shared" si="0"/>
        <v>6.1</v>
      </c>
    </row>
    <row r="162" spans="1:3" ht="13">
      <c r="A162" s="10">
        <v>953</v>
      </c>
      <c r="B162" s="3">
        <f t="shared" si="1"/>
        <v>15.883333333333333</v>
      </c>
      <c r="C162" s="3">
        <f t="shared" si="0"/>
        <v>15.883333333333333</v>
      </c>
    </row>
    <row r="163" spans="1:3" ht="13">
      <c r="A163" s="10">
        <v>1225</v>
      </c>
      <c r="B163" s="3">
        <f t="shared" si="1"/>
        <v>20.416666666666668</v>
      </c>
      <c r="C163" s="3">
        <f t="shared" si="0"/>
        <v>20.416666666666668</v>
      </c>
    </row>
    <row r="164" spans="1:3" ht="13">
      <c r="A164" s="10">
        <v>78</v>
      </c>
      <c r="B164" s="3">
        <f t="shared" si="1"/>
        <v>1.3</v>
      </c>
      <c r="C164" s="3">
        <f t="shared" si="0"/>
        <v>1.3</v>
      </c>
    </row>
    <row r="165" spans="1:3" ht="13">
      <c r="A165" s="10">
        <v>989</v>
      </c>
      <c r="B165" s="3">
        <f t="shared" si="1"/>
        <v>16.483333333333334</v>
      </c>
      <c r="C165" s="3">
        <f t="shared" si="0"/>
        <v>16.483333333333334</v>
      </c>
    </row>
    <row r="166" spans="1:3" ht="13">
      <c r="A166" s="10">
        <v>1484</v>
      </c>
      <c r="B166" s="3">
        <f t="shared" si="1"/>
        <v>24.733333333333334</v>
      </c>
      <c r="C166" s="3">
        <f t="shared" si="0"/>
        <v>24.733333333333334</v>
      </c>
    </row>
    <row r="167" spans="1:3" ht="13">
      <c r="A167" s="10">
        <v>223</v>
      </c>
      <c r="B167" s="3">
        <f t="shared" si="1"/>
        <v>3.7166666666666668</v>
      </c>
      <c r="C167" s="3">
        <f t="shared" si="0"/>
        <v>3.7166666666666668</v>
      </c>
    </row>
    <row r="168" spans="1:3" ht="13">
      <c r="A168" s="1"/>
      <c r="B168" s="3">
        <f t="shared" si="1"/>
        <v>0</v>
      </c>
      <c r="C168" s="3" t="str">
        <f t="shared" si="0"/>
        <v/>
      </c>
    </row>
    <row r="169" spans="1:3" ht="13">
      <c r="A169" s="10">
        <v>986</v>
      </c>
      <c r="B169" s="3">
        <f t="shared" si="1"/>
        <v>16.433333333333334</v>
      </c>
      <c r="C169" s="3">
        <f t="shared" si="0"/>
        <v>16.433333333333334</v>
      </c>
    </row>
    <row r="170" spans="1:3" ht="13">
      <c r="A170" s="10">
        <v>685</v>
      </c>
      <c r="B170" s="3">
        <f t="shared" si="1"/>
        <v>11.416666666666666</v>
      </c>
      <c r="C170" s="3">
        <f t="shared" si="0"/>
        <v>11.416666666666666</v>
      </c>
    </row>
    <row r="171" spans="1:3" ht="13">
      <c r="A171" s="10">
        <v>1923</v>
      </c>
      <c r="B171" s="3">
        <f t="shared" si="1"/>
        <v>32.049999999999997</v>
      </c>
      <c r="C171" s="3">
        <f t="shared" si="0"/>
        <v>32.049999999999997</v>
      </c>
    </row>
    <row r="172" spans="1:3" ht="13">
      <c r="A172" s="1"/>
      <c r="B172" s="3">
        <f t="shared" si="1"/>
        <v>0</v>
      </c>
      <c r="C172" s="3" t="str">
        <f t="shared" si="0"/>
        <v/>
      </c>
    </row>
    <row r="173" spans="1:3" ht="13">
      <c r="A173" s="10">
        <v>277</v>
      </c>
      <c r="B173" s="3">
        <f t="shared" si="1"/>
        <v>4.6166666666666663</v>
      </c>
      <c r="C173" s="3">
        <f t="shared" si="0"/>
        <v>4.6166666666666663</v>
      </c>
    </row>
    <row r="174" spans="1:3" ht="13">
      <c r="A174" s="10">
        <v>353</v>
      </c>
      <c r="B174" s="3">
        <f t="shared" si="1"/>
        <v>5.8833333333333337</v>
      </c>
      <c r="C174" s="3">
        <f t="shared" si="0"/>
        <v>5.8833333333333337</v>
      </c>
    </row>
    <row r="175" spans="1:3" ht="13">
      <c r="A175" s="10">
        <v>289</v>
      </c>
      <c r="B175" s="3">
        <f t="shared" si="1"/>
        <v>4.8166666666666664</v>
      </c>
      <c r="C175" s="3">
        <f t="shared" si="0"/>
        <v>4.8166666666666664</v>
      </c>
    </row>
    <row r="176" spans="1:3" ht="13">
      <c r="A176" s="1"/>
      <c r="B176" s="3">
        <f t="shared" si="1"/>
        <v>0</v>
      </c>
      <c r="C176" s="3" t="str">
        <f t="shared" si="0"/>
        <v/>
      </c>
    </row>
    <row r="177" spans="1:3" ht="13">
      <c r="A177" s="1"/>
      <c r="B177" s="3">
        <f t="shared" si="1"/>
        <v>0</v>
      </c>
      <c r="C177" s="3" t="str">
        <f t="shared" si="0"/>
        <v/>
      </c>
    </row>
    <row r="178" spans="1:3" ht="13">
      <c r="A178" s="10">
        <v>301</v>
      </c>
      <c r="B178" s="3">
        <f t="shared" si="1"/>
        <v>5.0166666666666666</v>
      </c>
      <c r="C178" s="3">
        <f t="shared" si="0"/>
        <v>5.0166666666666666</v>
      </c>
    </row>
    <row r="179" spans="1:3" ht="13">
      <c r="A179" s="10">
        <v>1637</v>
      </c>
      <c r="B179" s="3">
        <f t="shared" si="1"/>
        <v>27.283333333333335</v>
      </c>
      <c r="C179" s="3">
        <f t="shared" si="0"/>
        <v>27.283333333333335</v>
      </c>
    </row>
    <row r="180" spans="1:3" ht="13">
      <c r="A180" s="10">
        <v>543</v>
      </c>
      <c r="B180" s="3">
        <f t="shared" si="1"/>
        <v>9.0500000000000007</v>
      </c>
      <c r="C180" s="3">
        <f t="shared" si="0"/>
        <v>9.0500000000000007</v>
      </c>
    </row>
    <row r="181" spans="1:3" ht="13">
      <c r="A181" s="10">
        <v>324</v>
      </c>
      <c r="B181" s="3">
        <f t="shared" si="1"/>
        <v>5.4</v>
      </c>
      <c r="C181" s="3">
        <f t="shared" si="0"/>
        <v>5.4</v>
      </c>
    </row>
    <row r="182" spans="1:3" ht="13">
      <c r="A182" s="1"/>
      <c r="B182" s="3">
        <f t="shared" si="1"/>
        <v>0</v>
      </c>
      <c r="C182" s="3" t="str">
        <f t="shared" si="0"/>
        <v/>
      </c>
    </row>
    <row r="183" spans="1:3" ht="13">
      <c r="A183" s="10">
        <v>901</v>
      </c>
      <c r="B183" s="3">
        <f t="shared" si="1"/>
        <v>15.016666666666667</v>
      </c>
      <c r="C183" s="3">
        <f t="shared" si="0"/>
        <v>15.016666666666667</v>
      </c>
    </row>
    <row r="184" spans="1:3" ht="13">
      <c r="A184" s="10">
        <v>1093</v>
      </c>
      <c r="B184" s="3">
        <f t="shared" si="1"/>
        <v>18.216666666666665</v>
      </c>
      <c r="C184" s="3">
        <f t="shared" si="0"/>
        <v>18.216666666666665</v>
      </c>
    </row>
    <row r="185" spans="1:3" ht="13">
      <c r="A185" s="10">
        <v>3</v>
      </c>
      <c r="B185" s="3">
        <f t="shared" si="1"/>
        <v>0.05</v>
      </c>
      <c r="C185" s="3" t="str">
        <f t="shared" si="0"/>
        <v/>
      </c>
    </row>
    <row r="186" spans="1:3" ht="13">
      <c r="A186" s="1"/>
      <c r="B186" s="3">
        <f t="shared" si="1"/>
        <v>0</v>
      </c>
      <c r="C186" s="3" t="str">
        <f t="shared" si="0"/>
        <v/>
      </c>
    </row>
    <row r="187" spans="1:3" ht="13">
      <c r="A187" s="10">
        <v>837</v>
      </c>
      <c r="B187" s="3">
        <f t="shared" si="1"/>
        <v>13.95</v>
      </c>
      <c r="C187" s="3">
        <f t="shared" si="0"/>
        <v>13.95</v>
      </c>
    </row>
    <row r="188" spans="1:3" ht="13">
      <c r="A188" s="10">
        <v>221</v>
      </c>
      <c r="B188" s="3">
        <f t="shared" si="1"/>
        <v>3.6833333333333331</v>
      </c>
      <c r="C188" s="3">
        <f t="shared" si="0"/>
        <v>3.6833333333333331</v>
      </c>
    </row>
    <row r="189" spans="1:3" ht="13">
      <c r="A189" s="10">
        <v>844</v>
      </c>
      <c r="B189" s="3">
        <f t="shared" si="1"/>
        <v>14.066666666666666</v>
      </c>
      <c r="C189" s="3">
        <f t="shared" si="0"/>
        <v>14.066666666666666</v>
      </c>
    </row>
    <row r="190" spans="1:3" ht="13">
      <c r="A190" s="10">
        <v>400</v>
      </c>
      <c r="B190" s="3">
        <f t="shared" si="1"/>
        <v>6.666666666666667</v>
      </c>
      <c r="C190" s="3">
        <f t="shared" si="0"/>
        <v>6.666666666666667</v>
      </c>
    </row>
    <row r="191" spans="1:3" ht="13">
      <c r="A191" s="10">
        <v>801</v>
      </c>
      <c r="B191" s="3">
        <f t="shared" si="1"/>
        <v>13.35</v>
      </c>
      <c r="C191" s="3">
        <f t="shared" si="0"/>
        <v>13.35</v>
      </c>
    </row>
    <row r="192" spans="1:3" ht="13">
      <c r="A192" s="10">
        <v>869</v>
      </c>
      <c r="B192" s="3">
        <f t="shared" si="1"/>
        <v>14.483333333333333</v>
      </c>
      <c r="C192" s="3">
        <f t="shared" si="0"/>
        <v>14.483333333333333</v>
      </c>
    </row>
    <row r="193" spans="1:3" ht="13">
      <c r="A193" s="10">
        <v>434</v>
      </c>
      <c r="B193" s="3">
        <f t="shared" si="1"/>
        <v>7.2333333333333334</v>
      </c>
      <c r="C193" s="3">
        <f t="shared" si="0"/>
        <v>7.2333333333333334</v>
      </c>
    </row>
    <row r="194" spans="1:3" ht="13">
      <c r="A194" s="10">
        <v>1012</v>
      </c>
      <c r="B194" s="3">
        <f t="shared" si="1"/>
        <v>16.866666666666667</v>
      </c>
      <c r="C194" s="3">
        <f t="shared" si="0"/>
        <v>16.866666666666667</v>
      </c>
    </row>
    <row r="195" spans="1:3" ht="13">
      <c r="A195" s="10">
        <v>122</v>
      </c>
      <c r="B195" s="3">
        <f t="shared" si="1"/>
        <v>2.0333333333333332</v>
      </c>
      <c r="C195" s="3">
        <f t="shared" si="0"/>
        <v>2.0333333333333332</v>
      </c>
    </row>
    <row r="196" spans="1:3" ht="13">
      <c r="A196" s="10">
        <v>16</v>
      </c>
      <c r="B196" s="3">
        <f t="shared" si="1"/>
        <v>0.26666666666666666</v>
      </c>
      <c r="C196" s="3">
        <f t="shared" si="0"/>
        <v>0.26666666666666666</v>
      </c>
    </row>
    <row r="197" spans="1:3" ht="13">
      <c r="A197" s="10">
        <v>19</v>
      </c>
      <c r="B197" s="3">
        <f t="shared" si="1"/>
        <v>0.31666666666666665</v>
      </c>
      <c r="C197" s="3">
        <f t="shared" si="0"/>
        <v>0.31666666666666665</v>
      </c>
    </row>
    <row r="198" spans="1:3" ht="13">
      <c r="A198" s="10">
        <v>1258</v>
      </c>
      <c r="B198" s="3">
        <f t="shared" si="1"/>
        <v>20.966666666666665</v>
      </c>
      <c r="C198" s="3">
        <f t="shared" si="0"/>
        <v>20.966666666666665</v>
      </c>
    </row>
    <row r="199" spans="1:3" ht="13">
      <c r="A199" s="10">
        <v>1193</v>
      </c>
      <c r="B199" s="3">
        <f t="shared" si="1"/>
        <v>19.883333333333333</v>
      </c>
      <c r="C199" s="3">
        <f t="shared" si="0"/>
        <v>19.883333333333333</v>
      </c>
    </row>
    <row r="200" spans="1:3" ht="13">
      <c r="A200" s="10">
        <v>327</v>
      </c>
      <c r="B200" s="3">
        <f t="shared" si="1"/>
        <v>5.45</v>
      </c>
      <c r="C200" s="3">
        <f t="shared" si="0"/>
        <v>5.45</v>
      </c>
    </row>
    <row r="201" spans="1:3" ht="13">
      <c r="A201" s="10">
        <v>740</v>
      </c>
      <c r="B201" s="3">
        <f t="shared" si="1"/>
        <v>12.333333333333334</v>
      </c>
      <c r="C201" s="3">
        <f t="shared" si="0"/>
        <v>12.333333333333334</v>
      </c>
    </row>
    <row r="202" spans="1:3" ht="13">
      <c r="A202" s="10">
        <v>298</v>
      </c>
      <c r="B202" s="3">
        <f t="shared" si="1"/>
        <v>4.9666666666666668</v>
      </c>
      <c r="C202" s="3">
        <f t="shared" si="0"/>
        <v>4.9666666666666668</v>
      </c>
    </row>
    <row r="203" spans="1:3" ht="13">
      <c r="A203" s="10">
        <v>180</v>
      </c>
      <c r="B203" s="3">
        <f t="shared" si="1"/>
        <v>3</v>
      </c>
      <c r="C203" s="3">
        <f t="shared" si="0"/>
        <v>3</v>
      </c>
    </row>
    <row r="204" spans="1:3" ht="13">
      <c r="A204" s="10">
        <v>1447</v>
      </c>
      <c r="B204" s="3">
        <f t="shared" si="1"/>
        <v>24.116666666666667</v>
      </c>
      <c r="C204" s="3">
        <f t="shared" si="0"/>
        <v>24.116666666666667</v>
      </c>
    </row>
    <row r="205" spans="1:3" ht="13">
      <c r="A205" s="10">
        <v>728</v>
      </c>
      <c r="B205" s="3">
        <f t="shared" si="1"/>
        <v>12.133333333333333</v>
      </c>
      <c r="C205" s="3">
        <f t="shared" si="0"/>
        <v>12.133333333333333</v>
      </c>
    </row>
    <row r="206" spans="1:3" ht="13">
      <c r="A206" s="10">
        <v>137</v>
      </c>
      <c r="B206" s="3">
        <f t="shared" si="1"/>
        <v>2.2833333333333332</v>
      </c>
      <c r="C206" s="3">
        <f t="shared" si="0"/>
        <v>2.2833333333333332</v>
      </c>
    </row>
    <row r="207" spans="1:3" ht="13">
      <c r="A207" s="1"/>
      <c r="B207" s="3">
        <f t="shared" si="1"/>
        <v>0</v>
      </c>
      <c r="C207" s="3" t="str">
        <f t="shared" si="0"/>
        <v/>
      </c>
    </row>
    <row r="208" spans="1:3" ht="13">
      <c r="A208" s="10">
        <v>370</v>
      </c>
      <c r="B208" s="3">
        <f t="shared" si="1"/>
        <v>6.166666666666667</v>
      </c>
      <c r="C208" s="3">
        <f t="shared" si="0"/>
        <v>6.166666666666667</v>
      </c>
    </row>
    <row r="209" spans="1:3" ht="13">
      <c r="A209" s="10">
        <v>1152</v>
      </c>
      <c r="B209" s="3">
        <f t="shared" si="1"/>
        <v>19.2</v>
      </c>
      <c r="C209" s="3">
        <f t="shared" si="0"/>
        <v>19.2</v>
      </c>
    </row>
    <row r="210" spans="1:3" ht="13">
      <c r="A210" s="10">
        <v>1184</v>
      </c>
      <c r="B210" s="3">
        <f t="shared" si="1"/>
        <v>19.733333333333334</v>
      </c>
      <c r="C210" s="3">
        <f t="shared" si="0"/>
        <v>19.733333333333334</v>
      </c>
    </row>
    <row r="211" spans="1:3" ht="13">
      <c r="A211" s="10">
        <v>1707</v>
      </c>
      <c r="B211" s="3">
        <f t="shared" si="1"/>
        <v>28.45</v>
      </c>
      <c r="C211" s="3">
        <f t="shared" si="0"/>
        <v>28.45</v>
      </c>
    </row>
    <row r="212" spans="1:3" ht="13">
      <c r="A212" s="10">
        <v>19</v>
      </c>
      <c r="B212" s="3">
        <f t="shared" si="1"/>
        <v>0.31666666666666665</v>
      </c>
      <c r="C212" s="3">
        <f t="shared" si="0"/>
        <v>0.31666666666666665</v>
      </c>
    </row>
    <row r="213" spans="1:3" ht="13">
      <c r="A213" s="1"/>
      <c r="B213" s="3">
        <f t="shared" si="1"/>
        <v>0</v>
      </c>
      <c r="C213" s="3" t="str">
        <f t="shared" si="0"/>
        <v/>
      </c>
    </row>
    <row r="214" spans="1:3" ht="13">
      <c r="A214" s="10">
        <v>392</v>
      </c>
      <c r="B214" s="3">
        <f t="shared" si="1"/>
        <v>6.5333333333333332</v>
      </c>
      <c r="C214" s="3">
        <f t="shared" si="0"/>
        <v>6.5333333333333332</v>
      </c>
    </row>
    <row r="215" spans="1:3" ht="13">
      <c r="A215" s="10">
        <v>440</v>
      </c>
      <c r="B215" s="3">
        <f t="shared" si="1"/>
        <v>7.333333333333333</v>
      </c>
      <c r="C215" s="3">
        <f t="shared" si="0"/>
        <v>7.333333333333333</v>
      </c>
    </row>
    <row r="216" spans="1:3" ht="13">
      <c r="A216" s="10">
        <v>2610</v>
      </c>
      <c r="B216" s="3">
        <f t="shared" si="1"/>
        <v>43.5</v>
      </c>
      <c r="C216" s="3">
        <f t="shared" si="0"/>
        <v>43.5</v>
      </c>
    </row>
    <row r="217" spans="1:3" ht="13">
      <c r="A217" s="10">
        <v>777</v>
      </c>
      <c r="B217" s="3">
        <f t="shared" si="1"/>
        <v>12.95</v>
      </c>
      <c r="C217" s="3">
        <f t="shared" si="0"/>
        <v>12.95</v>
      </c>
    </row>
    <row r="218" spans="1:3" ht="13">
      <c r="A218" s="1"/>
      <c r="B218" s="3">
        <f t="shared" si="1"/>
        <v>0</v>
      </c>
      <c r="C218" s="3" t="str">
        <f t="shared" si="0"/>
        <v/>
      </c>
    </row>
    <row r="219" spans="1:3" ht="13">
      <c r="A219" s="10">
        <v>100</v>
      </c>
      <c r="B219" s="3">
        <f t="shared" si="1"/>
        <v>1.6666666666666667</v>
      </c>
      <c r="C219" s="3">
        <f t="shared" si="0"/>
        <v>1.6666666666666667</v>
      </c>
    </row>
    <row r="220" spans="1:3" ht="13">
      <c r="A220" s="10">
        <v>318</v>
      </c>
      <c r="B220" s="3">
        <f t="shared" si="1"/>
        <v>5.3</v>
      </c>
      <c r="C220" s="3">
        <f t="shared" si="0"/>
        <v>5.3</v>
      </c>
    </row>
    <row r="221" spans="1:3" ht="13">
      <c r="A221" s="1"/>
      <c r="B221" s="3">
        <f t="shared" si="1"/>
        <v>0</v>
      </c>
      <c r="C221" s="3" t="str">
        <f t="shared" si="0"/>
        <v/>
      </c>
    </row>
    <row r="222" spans="1:3" ht="13">
      <c r="A222" s="10">
        <v>2898</v>
      </c>
      <c r="B222" s="3">
        <f t="shared" si="1"/>
        <v>48.3</v>
      </c>
      <c r="C222" s="3">
        <f t="shared" si="0"/>
        <v>48.3</v>
      </c>
    </row>
    <row r="223" spans="1:3" ht="13">
      <c r="A223" s="10">
        <v>339</v>
      </c>
      <c r="B223" s="3">
        <f t="shared" si="1"/>
        <v>5.65</v>
      </c>
      <c r="C223" s="3">
        <f t="shared" si="0"/>
        <v>5.65</v>
      </c>
    </row>
    <row r="224" spans="1:3" ht="13">
      <c r="A224" s="10">
        <v>307</v>
      </c>
      <c r="B224" s="3">
        <f t="shared" si="1"/>
        <v>5.1166666666666663</v>
      </c>
      <c r="C224" s="3">
        <f t="shared" si="0"/>
        <v>5.1166666666666663</v>
      </c>
    </row>
    <row r="225" spans="1:3" ht="13">
      <c r="A225" s="10">
        <v>524</v>
      </c>
      <c r="B225" s="3">
        <f t="shared" si="1"/>
        <v>8.7333333333333325</v>
      </c>
      <c r="C225" s="3">
        <f t="shared" si="0"/>
        <v>8.7333333333333325</v>
      </c>
    </row>
    <row r="226" spans="1:3" ht="13">
      <c r="A226" s="10">
        <v>1720</v>
      </c>
      <c r="B226" s="3">
        <f t="shared" si="1"/>
        <v>28.666666666666668</v>
      </c>
      <c r="C226" s="3">
        <f t="shared" si="0"/>
        <v>28.666666666666668</v>
      </c>
    </row>
    <row r="227" spans="1:3" ht="13">
      <c r="A227" s="10">
        <v>1108</v>
      </c>
      <c r="B227" s="3">
        <f t="shared" si="1"/>
        <v>18.466666666666665</v>
      </c>
      <c r="C227" s="3">
        <f t="shared" si="0"/>
        <v>18.466666666666665</v>
      </c>
    </row>
    <row r="228" spans="1:3" ht="13">
      <c r="A228" s="10">
        <v>1034</v>
      </c>
      <c r="B228" s="3">
        <f t="shared" si="1"/>
        <v>17.233333333333334</v>
      </c>
      <c r="C228" s="3">
        <f t="shared" si="0"/>
        <v>17.233333333333334</v>
      </c>
    </row>
    <row r="229" spans="1:3" ht="13">
      <c r="A229" s="10">
        <v>1066</v>
      </c>
      <c r="B229" s="3">
        <f t="shared" si="1"/>
        <v>17.766666666666666</v>
      </c>
      <c r="C229" s="3">
        <f t="shared" si="0"/>
        <v>17.766666666666666</v>
      </c>
    </row>
    <row r="230" spans="1:3" ht="13">
      <c r="A230" s="10">
        <v>1336</v>
      </c>
      <c r="B230" s="3">
        <f t="shared" si="1"/>
        <v>22.266666666666666</v>
      </c>
      <c r="C230" s="3">
        <f t="shared" si="0"/>
        <v>22.266666666666666</v>
      </c>
    </row>
    <row r="231" spans="1:3" ht="13">
      <c r="A231" s="1"/>
      <c r="B231" s="3">
        <f t="shared" si="1"/>
        <v>0</v>
      </c>
      <c r="C231" s="3" t="str">
        <f t="shared" si="0"/>
        <v/>
      </c>
    </row>
    <row r="232" spans="1:3" ht="13">
      <c r="A232" s="10">
        <v>320</v>
      </c>
      <c r="B232" s="3">
        <f t="shared" si="1"/>
        <v>5.333333333333333</v>
      </c>
      <c r="C232" s="3">
        <f t="shared" si="0"/>
        <v>5.333333333333333</v>
      </c>
    </row>
    <row r="233" spans="1:3" ht="13">
      <c r="A233" s="10">
        <v>412</v>
      </c>
      <c r="B233" s="3">
        <f t="shared" si="1"/>
        <v>6.8666666666666663</v>
      </c>
      <c r="C233" s="3">
        <f t="shared" si="0"/>
        <v>6.8666666666666663</v>
      </c>
    </row>
    <row r="234" spans="1:3" ht="13">
      <c r="A234" s="10">
        <v>952</v>
      </c>
      <c r="B234" s="3">
        <f t="shared" si="1"/>
        <v>15.866666666666667</v>
      </c>
      <c r="C234" s="3">
        <f t="shared" si="0"/>
        <v>15.866666666666667</v>
      </c>
    </row>
    <row r="235" spans="1:3" ht="13">
      <c r="A235" s="10">
        <v>950</v>
      </c>
      <c r="B235" s="3">
        <f t="shared" si="1"/>
        <v>15.833333333333334</v>
      </c>
      <c r="C235" s="3">
        <f t="shared" si="0"/>
        <v>15.833333333333334</v>
      </c>
    </row>
    <row r="236" spans="1:3" ht="13">
      <c r="A236" s="10">
        <v>166</v>
      </c>
      <c r="B236" s="3">
        <f t="shared" si="1"/>
        <v>2.7666666666666666</v>
      </c>
      <c r="C236" s="3">
        <f t="shared" si="0"/>
        <v>2.7666666666666666</v>
      </c>
    </row>
    <row r="237" spans="1:3" ht="13">
      <c r="A237" s="1"/>
      <c r="B237" s="3">
        <f t="shared" si="1"/>
        <v>0</v>
      </c>
      <c r="C237" s="3" t="str">
        <f t="shared" si="0"/>
        <v/>
      </c>
    </row>
    <row r="238" spans="1:3" ht="13">
      <c r="A238" s="10">
        <v>1055</v>
      </c>
      <c r="B238" s="3">
        <f t="shared" si="1"/>
        <v>17.583333333333332</v>
      </c>
      <c r="C238" s="3">
        <f t="shared" si="0"/>
        <v>17.583333333333332</v>
      </c>
    </row>
    <row r="239" spans="1:3" ht="13">
      <c r="A239" s="1"/>
      <c r="B239" s="3">
        <f t="shared" si="1"/>
        <v>0</v>
      </c>
      <c r="C239" s="3" t="str">
        <f t="shared" si="0"/>
        <v/>
      </c>
    </row>
    <row r="240" spans="1:3" ht="13">
      <c r="A240" s="1"/>
      <c r="B240" s="3">
        <f t="shared" si="1"/>
        <v>0</v>
      </c>
      <c r="C240" s="3" t="str">
        <f t="shared" si="0"/>
        <v/>
      </c>
    </row>
    <row r="241" spans="1:3" ht="13">
      <c r="A241" s="10">
        <v>250</v>
      </c>
      <c r="B241" s="3">
        <f t="shared" si="1"/>
        <v>4.166666666666667</v>
      </c>
      <c r="C241" s="3">
        <f t="shared" si="0"/>
        <v>4.166666666666667</v>
      </c>
    </row>
    <row r="242" spans="1:3" ht="13">
      <c r="A242" s="10">
        <v>599</v>
      </c>
      <c r="B242" s="3">
        <f t="shared" si="1"/>
        <v>9.9833333333333325</v>
      </c>
      <c r="C242" s="3">
        <f t="shared" si="0"/>
        <v>9.9833333333333325</v>
      </c>
    </row>
    <row r="243" spans="1:3" ht="13">
      <c r="A243" s="10">
        <v>31</v>
      </c>
      <c r="B243" s="3">
        <f t="shared" si="1"/>
        <v>0.51666666666666672</v>
      </c>
      <c r="C243" s="3">
        <f t="shared" si="0"/>
        <v>0.51666666666666672</v>
      </c>
    </row>
    <row r="244" spans="1:3" ht="13">
      <c r="A244" s="10">
        <v>1077</v>
      </c>
      <c r="B244" s="3">
        <f t="shared" si="1"/>
        <v>17.95</v>
      </c>
      <c r="C244" s="3">
        <f t="shared" si="0"/>
        <v>17.95</v>
      </c>
    </row>
    <row r="245" spans="1:3" ht="13">
      <c r="A245" s="10">
        <v>193</v>
      </c>
      <c r="B245" s="3">
        <f t="shared" si="1"/>
        <v>3.2166666666666668</v>
      </c>
      <c r="C245" s="3">
        <f t="shared" si="0"/>
        <v>3.2166666666666668</v>
      </c>
    </row>
    <row r="246" spans="1:3" ht="13">
      <c r="A246" s="10">
        <v>1258</v>
      </c>
      <c r="B246" s="3">
        <f t="shared" si="1"/>
        <v>20.966666666666665</v>
      </c>
      <c r="C246" s="3">
        <f t="shared" si="0"/>
        <v>20.966666666666665</v>
      </c>
    </row>
    <row r="247" spans="1:3" ht="13">
      <c r="A247" s="10">
        <v>440</v>
      </c>
      <c r="B247" s="3">
        <f t="shared" si="1"/>
        <v>7.333333333333333</v>
      </c>
      <c r="C247" s="3">
        <f t="shared" si="0"/>
        <v>7.333333333333333</v>
      </c>
    </row>
    <row r="248" spans="1:3" ht="13">
      <c r="A248" s="10">
        <v>369</v>
      </c>
      <c r="B248" s="3">
        <f t="shared" si="1"/>
        <v>6.15</v>
      </c>
      <c r="C248" s="3">
        <f t="shared" si="0"/>
        <v>6.15</v>
      </c>
    </row>
    <row r="249" spans="1:3" ht="13">
      <c r="A249" s="10">
        <v>386</v>
      </c>
      <c r="B249" s="3">
        <f t="shared" si="1"/>
        <v>6.4333333333333336</v>
      </c>
      <c r="C249" s="3">
        <f t="shared" si="0"/>
        <v>6.4333333333333336</v>
      </c>
    </row>
    <row r="250" spans="1:3" ht="13">
      <c r="A250" s="10">
        <v>69</v>
      </c>
      <c r="B250" s="3">
        <f t="shared" si="1"/>
        <v>1.1499999999999999</v>
      </c>
      <c r="C250" s="3">
        <f t="shared" si="0"/>
        <v>1.1499999999999999</v>
      </c>
    </row>
    <row r="251" spans="1:3" ht="13">
      <c r="A251" s="10">
        <v>85</v>
      </c>
      <c r="B251" s="3">
        <f t="shared" si="1"/>
        <v>1.4166666666666667</v>
      </c>
      <c r="C251" s="3">
        <f t="shared" si="0"/>
        <v>1.4166666666666667</v>
      </c>
    </row>
    <row r="252" spans="1:3" ht="13">
      <c r="A252" s="10">
        <v>373</v>
      </c>
      <c r="B252" s="3">
        <f t="shared" si="1"/>
        <v>6.2166666666666668</v>
      </c>
      <c r="C252" s="3">
        <f t="shared" si="0"/>
        <v>6.2166666666666668</v>
      </c>
    </row>
    <row r="253" spans="1:3" ht="13">
      <c r="A253" s="1"/>
      <c r="B253" s="3">
        <f t="shared" si="1"/>
        <v>0</v>
      </c>
      <c r="C253" s="3" t="str">
        <f t="shared" si="0"/>
        <v/>
      </c>
    </row>
    <row r="254" spans="1:3" ht="13">
      <c r="A254" s="10">
        <v>623</v>
      </c>
      <c r="B254" s="3">
        <f t="shared" si="1"/>
        <v>10.383333333333333</v>
      </c>
      <c r="C254" s="3">
        <f t="shared" si="0"/>
        <v>10.383333333333333</v>
      </c>
    </row>
    <row r="255" spans="1:3" ht="13">
      <c r="A255" s="10">
        <v>1075</v>
      </c>
      <c r="B255" s="3">
        <f t="shared" si="1"/>
        <v>17.916666666666668</v>
      </c>
      <c r="C255" s="3">
        <f t="shared" si="0"/>
        <v>17.916666666666668</v>
      </c>
    </row>
    <row r="256" spans="1:3" ht="13">
      <c r="A256" s="10">
        <v>324</v>
      </c>
      <c r="B256" s="3">
        <f t="shared" si="1"/>
        <v>5.4</v>
      </c>
      <c r="C256" s="3">
        <f t="shared" si="0"/>
        <v>5.4</v>
      </c>
    </row>
    <row r="257" spans="1:3" ht="13">
      <c r="A257" s="1"/>
      <c r="B257" s="3">
        <f t="shared" si="1"/>
        <v>0</v>
      </c>
      <c r="C257" s="3" t="str">
        <f t="shared" ref="C257:C511" si="2">IF(B257&gt;0.1, B257, "")</f>
        <v/>
      </c>
    </row>
    <row r="258" spans="1:3" ht="13">
      <c r="A258" s="10">
        <v>156</v>
      </c>
      <c r="B258" s="3">
        <f t="shared" ref="B258:B512" si="3">A258/60</f>
        <v>2.6</v>
      </c>
      <c r="C258" s="3">
        <f t="shared" si="2"/>
        <v>2.6</v>
      </c>
    </row>
    <row r="259" spans="1:3" ht="13">
      <c r="A259" s="10">
        <v>175</v>
      </c>
      <c r="B259" s="3">
        <f t="shared" si="3"/>
        <v>2.9166666666666665</v>
      </c>
      <c r="C259" s="3">
        <f t="shared" si="2"/>
        <v>2.9166666666666665</v>
      </c>
    </row>
    <row r="260" spans="1:3" ht="13">
      <c r="A260" s="1"/>
      <c r="B260" s="3">
        <f t="shared" si="3"/>
        <v>0</v>
      </c>
      <c r="C260" s="3" t="str">
        <f t="shared" si="2"/>
        <v/>
      </c>
    </row>
    <row r="261" spans="1:3" ht="13">
      <c r="A261" s="10">
        <v>1015</v>
      </c>
      <c r="B261" s="3">
        <f t="shared" si="3"/>
        <v>16.916666666666668</v>
      </c>
      <c r="C261" s="3">
        <f t="shared" si="2"/>
        <v>16.916666666666668</v>
      </c>
    </row>
    <row r="262" spans="1:3" ht="13">
      <c r="A262" s="10">
        <v>875</v>
      </c>
      <c r="B262" s="3">
        <f t="shared" si="3"/>
        <v>14.583333333333334</v>
      </c>
      <c r="C262" s="3">
        <f t="shared" si="2"/>
        <v>14.583333333333334</v>
      </c>
    </row>
    <row r="263" spans="1:3" ht="13">
      <c r="A263" s="1"/>
      <c r="B263" s="3">
        <f t="shared" si="3"/>
        <v>0</v>
      </c>
      <c r="C263" s="3" t="str">
        <f t="shared" si="2"/>
        <v/>
      </c>
    </row>
    <row r="264" spans="1:3" ht="13">
      <c r="A264" s="1"/>
      <c r="B264" s="3">
        <f t="shared" si="3"/>
        <v>0</v>
      </c>
      <c r="C264" s="3" t="str">
        <f t="shared" si="2"/>
        <v/>
      </c>
    </row>
    <row r="265" spans="1:3" ht="13">
      <c r="A265" s="10">
        <v>1371</v>
      </c>
      <c r="B265" s="3">
        <f t="shared" si="3"/>
        <v>22.85</v>
      </c>
      <c r="C265" s="3">
        <f t="shared" si="2"/>
        <v>22.85</v>
      </c>
    </row>
    <row r="266" spans="1:3" ht="13">
      <c r="A266" s="10">
        <v>7</v>
      </c>
      <c r="B266" s="3">
        <f t="shared" si="3"/>
        <v>0.11666666666666667</v>
      </c>
      <c r="C266" s="3">
        <f t="shared" si="2"/>
        <v>0.11666666666666667</v>
      </c>
    </row>
    <row r="267" spans="1:3" ht="13">
      <c r="A267" s="10">
        <v>237</v>
      </c>
      <c r="B267" s="3">
        <f t="shared" si="3"/>
        <v>3.95</v>
      </c>
      <c r="C267" s="3">
        <f t="shared" si="2"/>
        <v>3.95</v>
      </c>
    </row>
    <row r="268" spans="1:3" ht="13">
      <c r="A268" s="10">
        <v>486</v>
      </c>
      <c r="B268" s="3">
        <f t="shared" si="3"/>
        <v>8.1</v>
      </c>
      <c r="C268" s="3">
        <f t="shared" si="2"/>
        <v>8.1</v>
      </c>
    </row>
    <row r="269" spans="1:3" ht="13">
      <c r="A269" s="1"/>
      <c r="B269" s="3">
        <f t="shared" si="3"/>
        <v>0</v>
      </c>
      <c r="C269" s="3" t="str">
        <f t="shared" si="2"/>
        <v/>
      </c>
    </row>
    <row r="270" spans="1:3" ht="13">
      <c r="A270" s="10">
        <v>407</v>
      </c>
      <c r="B270" s="3">
        <f t="shared" si="3"/>
        <v>6.7833333333333332</v>
      </c>
      <c r="C270" s="3">
        <f t="shared" si="2"/>
        <v>6.7833333333333332</v>
      </c>
    </row>
    <row r="271" spans="1:3" ht="13">
      <c r="A271" s="10">
        <v>267</v>
      </c>
      <c r="B271" s="3">
        <f t="shared" si="3"/>
        <v>4.45</v>
      </c>
      <c r="C271" s="3">
        <f t="shared" si="2"/>
        <v>4.45</v>
      </c>
    </row>
    <row r="272" spans="1:3" ht="13">
      <c r="A272" s="10">
        <v>107</v>
      </c>
      <c r="B272" s="3">
        <f t="shared" si="3"/>
        <v>1.7833333333333334</v>
      </c>
      <c r="C272" s="3">
        <f t="shared" si="2"/>
        <v>1.7833333333333334</v>
      </c>
    </row>
    <row r="273" spans="1:3" ht="13">
      <c r="A273" s="10">
        <v>795</v>
      </c>
      <c r="B273" s="3">
        <f t="shared" si="3"/>
        <v>13.25</v>
      </c>
      <c r="C273" s="3">
        <f t="shared" si="2"/>
        <v>13.25</v>
      </c>
    </row>
    <row r="274" spans="1:3" ht="13">
      <c r="A274" s="10">
        <v>1341</v>
      </c>
      <c r="B274" s="3">
        <f t="shared" si="3"/>
        <v>22.35</v>
      </c>
      <c r="C274" s="3">
        <f t="shared" si="2"/>
        <v>22.35</v>
      </c>
    </row>
    <row r="275" spans="1:3" ht="13">
      <c r="A275" s="10">
        <v>899</v>
      </c>
      <c r="B275" s="3">
        <f t="shared" si="3"/>
        <v>14.983333333333333</v>
      </c>
      <c r="C275" s="3">
        <f t="shared" si="2"/>
        <v>14.983333333333333</v>
      </c>
    </row>
    <row r="276" spans="1:3" ht="13">
      <c r="A276" s="10">
        <v>576</v>
      </c>
      <c r="B276" s="3">
        <f t="shared" si="3"/>
        <v>9.6</v>
      </c>
      <c r="C276" s="3">
        <f t="shared" si="2"/>
        <v>9.6</v>
      </c>
    </row>
    <row r="277" spans="1:3" ht="13">
      <c r="A277" s="10">
        <v>3737</v>
      </c>
      <c r="B277" s="3">
        <f t="shared" si="3"/>
        <v>62.283333333333331</v>
      </c>
      <c r="C277" s="3">
        <f t="shared" si="2"/>
        <v>62.283333333333331</v>
      </c>
    </row>
    <row r="278" spans="1:3" ht="13">
      <c r="A278" s="10">
        <v>754</v>
      </c>
      <c r="B278" s="3">
        <f t="shared" si="3"/>
        <v>12.566666666666666</v>
      </c>
      <c r="C278" s="3">
        <f t="shared" si="2"/>
        <v>12.566666666666666</v>
      </c>
    </row>
    <row r="279" spans="1:3" ht="13">
      <c r="A279" s="10">
        <v>917</v>
      </c>
      <c r="B279" s="3">
        <f t="shared" si="3"/>
        <v>15.283333333333333</v>
      </c>
      <c r="C279" s="3">
        <f t="shared" si="2"/>
        <v>15.283333333333333</v>
      </c>
    </row>
    <row r="280" spans="1:3" ht="13">
      <c r="A280" s="10">
        <v>313</v>
      </c>
      <c r="B280" s="3">
        <f t="shared" si="3"/>
        <v>5.2166666666666668</v>
      </c>
      <c r="C280" s="3">
        <f t="shared" si="2"/>
        <v>5.2166666666666668</v>
      </c>
    </row>
    <row r="281" spans="1:3" ht="13">
      <c r="A281" s="10">
        <v>697</v>
      </c>
      <c r="B281" s="3">
        <f t="shared" si="3"/>
        <v>11.616666666666667</v>
      </c>
      <c r="C281" s="3">
        <f t="shared" si="2"/>
        <v>11.616666666666667</v>
      </c>
    </row>
    <row r="282" spans="1:3" ht="13">
      <c r="A282" s="10">
        <v>670</v>
      </c>
      <c r="B282" s="3">
        <f t="shared" si="3"/>
        <v>11.166666666666666</v>
      </c>
      <c r="C282" s="3">
        <f t="shared" si="2"/>
        <v>11.166666666666666</v>
      </c>
    </row>
    <row r="283" spans="1:3" ht="13">
      <c r="A283" s="10">
        <v>914</v>
      </c>
      <c r="B283" s="3">
        <f t="shared" si="3"/>
        <v>15.233333333333333</v>
      </c>
      <c r="C283" s="3">
        <f t="shared" si="2"/>
        <v>15.233333333333333</v>
      </c>
    </row>
    <row r="284" spans="1:3" ht="13">
      <c r="A284" s="10">
        <v>281</v>
      </c>
      <c r="B284" s="3">
        <f t="shared" si="3"/>
        <v>4.6833333333333336</v>
      </c>
      <c r="C284" s="3">
        <f t="shared" si="2"/>
        <v>4.6833333333333336</v>
      </c>
    </row>
    <row r="285" spans="1:3" ht="13">
      <c r="A285" s="10">
        <v>315</v>
      </c>
      <c r="B285" s="3">
        <f t="shared" si="3"/>
        <v>5.25</v>
      </c>
      <c r="C285" s="3">
        <f t="shared" si="2"/>
        <v>5.25</v>
      </c>
    </row>
    <row r="286" spans="1:3" ht="13">
      <c r="A286" s="10">
        <v>144</v>
      </c>
      <c r="B286" s="3">
        <f t="shared" si="3"/>
        <v>2.4</v>
      </c>
      <c r="C286" s="3">
        <f t="shared" si="2"/>
        <v>2.4</v>
      </c>
    </row>
    <row r="287" spans="1:3" ht="13">
      <c r="A287" s="10">
        <v>148</v>
      </c>
      <c r="B287" s="3">
        <f t="shared" si="3"/>
        <v>2.4666666666666668</v>
      </c>
      <c r="C287" s="3">
        <f t="shared" si="2"/>
        <v>2.4666666666666668</v>
      </c>
    </row>
    <row r="288" spans="1:3" ht="13">
      <c r="A288" s="10">
        <v>123</v>
      </c>
      <c r="B288" s="3">
        <f t="shared" si="3"/>
        <v>2.0499999999999998</v>
      </c>
      <c r="C288" s="3">
        <f t="shared" si="2"/>
        <v>2.0499999999999998</v>
      </c>
    </row>
    <row r="289" spans="1:3" ht="13">
      <c r="A289" s="1"/>
      <c r="B289" s="3">
        <f t="shared" si="3"/>
        <v>0</v>
      </c>
      <c r="C289" s="3" t="str">
        <f t="shared" si="2"/>
        <v/>
      </c>
    </row>
    <row r="290" spans="1:3" ht="13">
      <c r="A290" s="10">
        <v>379</v>
      </c>
      <c r="B290" s="3">
        <f t="shared" si="3"/>
        <v>6.3166666666666664</v>
      </c>
      <c r="C290" s="3">
        <f t="shared" si="2"/>
        <v>6.3166666666666664</v>
      </c>
    </row>
    <row r="291" spans="1:3" ht="13">
      <c r="A291" s="10">
        <v>341</v>
      </c>
      <c r="B291" s="3">
        <f t="shared" si="3"/>
        <v>5.6833333333333336</v>
      </c>
      <c r="C291" s="3">
        <f t="shared" si="2"/>
        <v>5.6833333333333336</v>
      </c>
    </row>
    <row r="292" spans="1:3" ht="13">
      <c r="A292" s="10">
        <v>382</v>
      </c>
      <c r="B292" s="3">
        <f t="shared" si="3"/>
        <v>6.3666666666666663</v>
      </c>
      <c r="C292" s="3">
        <f t="shared" si="2"/>
        <v>6.3666666666666663</v>
      </c>
    </row>
    <row r="293" spans="1:3" ht="13">
      <c r="A293" s="10">
        <v>592</v>
      </c>
      <c r="B293" s="3">
        <f t="shared" si="3"/>
        <v>9.8666666666666671</v>
      </c>
      <c r="C293" s="3">
        <f t="shared" si="2"/>
        <v>9.8666666666666671</v>
      </c>
    </row>
    <row r="294" spans="1:3" ht="13">
      <c r="A294" s="10">
        <v>320</v>
      </c>
      <c r="B294" s="3">
        <f t="shared" si="3"/>
        <v>5.333333333333333</v>
      </c>
      <c r="C294" s="3">
        <f t="shared" si="2"/>
        <v>5.333333333333333</v>
      </c>
    </row>
    <row r="295" spans="1:3" ht="13">
      <c r="A295" s="10">
        <v>1034</v>
      </c>
      <c r="B295" s="3">
        <f t="shared" si="3"/>
        <v>17.233333333333334</v>
      </c>
      <c r="C295" s="3">
        <f t="shared" si="2"/>
        <v>17.233333333333334</v>
      </c>
    </row>
    <row r="296" spans="1:3" ht="13">
      <c r="A296" s="10">
        <v>85</v>
      </c>
      <c r="B296" s="3">
        <f t="shared" si="3"/>
        <v>1.4166666666666667</v>
      </c>
      <c r="C296" s="3">
        <f t="shared" si="2"/>
        <v>1.4166666666666667</v>
      </c>
    </row>
    <row r="297" spans="1:3" ht="13">
      <c r="A297" s="10">
        <v>1030</v>
      </c>
      <c r="B297" s="3">
        <f t="shared" si="3"/>
        <v>17.166666666666668</v>
      </c>
      <c r="C297" s="3">
        <f t="shared" si="2"/>
        <v>17.166666666666668</v>
      </c>
    </row>
    <row r="298" spans="1:3" ht="13">
      <c r="A298" s="10">
        <v>259</v>
      </c>
      <c r="B298" s="3">
        <f t="shared" si="3"/>
        <v>4.3166666666666664</v>
      </c>
      <c r="C298" s="3">
        <f t="shared" si="2"/>
        <v>4.3166666666666664</v>
      </c>
    </row>
    <row r="299" spans="1:3" ht="13">
      <c r="A299" s="10">
        <v>129</v>
      </c>
      <c r="B299" s="3">
        <f t="shared" si="3"/>
        <v>2.15</v>
      </c>
      <c r="C299" s="3">
        <f t="shared" si="2"/>
        <v>2.15</v>
      </c>
    </row>
    <row r="300" spans="1:3" ht="13">
      <c r="A300" s="10">
        <v>586</v>
      </c>
      <c r="B300" s="3">
        <f t="shared" si="3"/>
        <v>9.7666666666666675</v>
      </c>
      <c r="C300" s="3">
        <f t="shared" si="2"/>
        <v>9.7666666666666675</v>
      </c>
    </row>
    <row r="301" spans="1:3" ht="13">
      <c r="A301" s="10">
        <v>1344</v>
      </c>
      <c r="B301" s="3">
        <f t="shared" si="3"/>
        <v>22.4</v>
      </c>
      <c r="C301" s="3">
        <f t="shared" si="2"/>
        <v>22.4</v>
      </c>
    </row>
    <row r="302" spans="1:3" ht="13">
      <c r="A302" s="10">
        <v>1153</v>
      </c>
      <c r="B302" s="3">
        <f t="shared" si="3"/>
        <v>19.216666666666665</v>
      </c>
      <c r="C302" s="3">
        <f t="shared" si="2"/>
        <v>19.216666666666665</v>
      </c>
    </row>
    <row r="303" spans="1:3" ht="13">
      <c r="A303" s="10">
        <v>240</v>
      </c>
      <c r="B303" s="3">
        <f t="shared" si="3"/>
        <v>4</v>
      </c>
      <c r="C303" s="3">
        <f t="shared" si="2"/>
        <v>4</v>
      </c>
    </row>
    <row r="304" spans="1:3" ht="13">
      <c r="A304" s="10">
        <v>1867</v>
      </c>
      <c r="B304" s="3">
        <f t="shared" si="3"/>
        <v>31.116666666666667</v>
      </c>
      <c r="C304" s="3">
        <f t="shared" si="2"/>
        <v>31.116666666666667</v>
      </c>
    </row>
    <row r="305" spans="1:3" ht="13">
      <c r="A305" s="1"/>
      <c r="B305" s="3">
        <f t="shared" si="3"/>
        <v>0</v>
      </c>
      <c r="C305" s="3" t="str">
        <f t="shared" si="2"/>
        <v/>
      </c>
    </row>
    <row r="306" spans="1:3" ht="13">
      <c r="A306" s="10">
        <v>215</v>
      </c>
      <c r="B306" s="3">
        <f t="shared" si="3"/>
        <v>3.5833333333333335</v>
      </c>
      <c r="C306" s="3">
        <f t="shared" si="2"/>
        <v>3.5833333333333335</v>
      </c>
    </row>
    <row r="307" spans="1:3" ht="13">
      <c r="A307" s="10">
        <v>634</v>
      </c>
      <c r="B307" s="3">
        <f t="shared" si="3"/>
        <v>10.566666666666666</v>
      </c>
      <c r="C307" s="3">
        <f t="shared" si="2"/>
        <v>10.566666666666666</v>
      </c>
    </row>
    <row r="308" spans="1:3" ht="13">
      <c r="A308" s="1"/>
      <c r="B308" s="3">
        <f t="shared" si="3"/>
        <v>0</v>
      </c>
      <c r="C308" s="3" t="str">
        <f t="shared" si="2"/>
        <v/>
      </c>
    </row>
    <row r="309" spans="1:3" ht="13">
      <c r="A309" s="10">
        <v>2171</v>
      </c>
      <c r="B309" s="3">
        <f t="shared" si="3"/>
        <v>36.18333333333333</v>
      </c>
      <c r="C309" s="3">
        <f t="shared" si="2"/>
        <v>36.18333333333333</v>
      </c>
    </row>
    <row r="310" spans="1:3" ht="13">
      <c r="A310" s="10">
        <v>673</v>
      </c>
      <c r="B310" s="3">
        <f t="shared" si="3"/>
        <v>11.216666666666667</v>
      </c>
      <c r="C310" s="3">
        <f t="shared" si="2"/>
        <v>11.216666666666667</v>
      </c>
    </row>
    <row r="311" spans="1:3" ht="13">
      <c r="A311" s="10">
        <v>616</v>
      </c>
      <c r="B311" s="3">
        <f t="shared" si="3"/>
        <v>10.266666666666667</v>
      </c>
      <c r="C311" s="3">
        <f t="shared" si="2"/>
        <v>10.266666666666667</v>
      </c>
    </row>
    <row r="312" spans="1:3" ht="13">
      <c r="A312" s="10">
        <v>523</v>
      </c>
      <c r="B312" s="3">
        <f t="shared" si="3"/>
        <v>8.7166666666666668</v>
      </c>
      <c r="C312" s="3">
        <f t="shared" si="2"/>
        <v>8.7166666666666668</v>
      </c>
    </row>
    <row r="313" spans="1:3" ht="13">
      <c r="A313" s="1"/>
      <c r="B313" s="3">
        <f t="shared" si="3"/>
        <v>0</v>
      </c>
      <c r="C313" s="3" t="str">
        <f t="shared" si="2"/>
        <v/>
      </c>
    </row>
    <row r="314" spans="1:3" ht="13">
      <c r="A314" s="10">
        <v>134</v>
      </c>
      <c r="B314" s="3">
        <f t="shared" si="3"/>
        <v>2.2333333333333334</v>
      </c>
      <c r="C314" s="3">
        <f t="shared" si="2"/>
        <v>2.2333333333333334</v>
      </c>
    </row>
    <row r="315" spans="1:3" ht="13">
      <c r="A315" s="10">
        <v>32</v>
      </c>
      <c r="B315" s="3">
        <f t="shared" si="3"/>
        <v>0.53333333333333333</v>
      </c>
      <c r="C315" s="3">
        <f t="shared" si="2"/>
        <v>0.53333333333333333</v>
      </c>
    </row>
    <row r="316" spans="1:3" ht="13">
      <c r="A316" s="10">
        <v>267</v>
      </c>
      <c r="B316" s="3">
        <f t="shared" si="3"/>
        <v>4.45</v>
      </c>
      <c r="C316" s="3">
        <f t="shared" si="2"/>
        <v>4.45</v>
      </c>
    </row>
    <row r="317" spans="1:3" ht="13">
      <c r="A317" s="10">
        <v>764</v>
      </c>
      <c r="B317" s="3">
        <f t="shared" si="3"/>
        <v>12.733333333333333</v>
      </c>
      <c r="C317" s="3">
        <f t="shared" si="2"/>
        <v>12.733333333333333</v>
      </c>
    </row>
    <row r="318" spans="1:3" ht="13">
      <c r="A318" s="10">
        <v>914</v>
      </c>
      <c r="B318" s="3">
        <f t="shared" si="3"/>
        <v>15.233333333333333</v>
      </c>
      <c r="C318" s="3">
        <f t="shared" si="2"/>
        <v>15.233333333333333</v>
      </c>
    </row>
    <row r="319" spans="1:3" ht="13">
      <c r="A319" s="10">
        <v>114</v>
      </c>
      <c r="B319" s="3">
        <f t="shared" si="3"/>
        <v>1.9</v>
      </c>
      <c r="C319" s="3">
        <f t="shared" si="2"/>
        <v>1.9</v>
      </c>
    </row>
    <row r="320" spans="1:3" ht="13">
      <c r="A320" s="10">
        <v>686</v>
      </c>
      <c r="B320" s="3">
        <f t="shared" si="3"/>
        <v>11.433333333333334</v>
      </c>
      <c r="C320" s="3">
        <f t="shared" si="2"/>
        <v>11.433333333333334</v>
      </c>
    </row>
    <row r="321" spans="1:3" ht="13">
      <c r="A321" s="10">
        <v>1190</v>
      </c>
      <c r="B321" s="3">
        <f t="shared" si="3"/>
        <v>19.833333333333332</v>
      </c>
      <c r="C321" s="3">
        <f t="shared" si="2"/>
        <v>19.833333333333332</v>
      </c>
    </row>
    <row r="322" spans="1:3" ht="13">
      <c r="A322" s="10">
        <v>289</v>
      </c>
      <c r="B322" s="3">
        <f t="shared" si="3"/>
        <v>4.8166666666666664</v>
      </c>
      <c r="C322" s="3">
        <f t="shared" si="2"/>
        <v>4.8166666666666664</v>
      </c>
    </row>
    <row r="323" spans="1:3" ht="13">
      <c r="A323" s="1"/>
      <c r="B323" s="3">
        <f t="shared" si="3"/>
        <v>0</v>
      </c>
      <c r="C323" s="3" t="str">
        <f t="shared" si="2"/>
        <v/>
      </c>
    </row>
    <row r="324" spans="1:3" ht="13">
      <c r="A324" s="1"/>
      <c r="B324" s="3">
        <f t="shared" si="3"/>
        <v>0</v>
      </c>
      <c r="C324" s="3" t="str">
        <f t="shared" si="2"/>
        <v/>
      </c>
    </row>
    <row r="325" spans="1:3" ht="13">
      <c r="A325" s="10">
        <v>284</v>
      </c>
      <c r="B325" s="3">
        <f t="shared" si="3"/>
        <v>4.7333333333333334</v>
      </c>
      <c r="C325" s="3">
        <f t="shared" si="2"/>
        <v>4.7333333333333334</v>
      </c>
    </row>
    <row r="326" spans="1:3" ht="13">
      <c r="A326" s="1"/>
      <c r="B326" s="3">
        <f t="shared" si="3"/>
        <v>0</v>
      </c>
      <c r="C326" s="3" t="str">
        <f t="shared" si="2"/>
        <v/>
      </c>
    </row>
    <row r="327" spans="1:3" ht="13">
      <c r="A327" s="1"/>
      <c r="B327" s="3">
        <f t="shared" si="3"/>
        <v>0</v>
      </c>
      <c r="C327" s="3" t="str">
        <f t="shared" si="2"/>
        <v/>
      </c>
    </row>
    <row r="328" spans="1:3" ht="13">
      <c r="A328" s="10">
        <v>919</v>
      </c>
      <c r="B328" s="3">
        <f t="shared" si="3"/>
        <v>15.316666666666666</v>
      </c>
      <c r="C328" s="3">
        <f t="shared" si="2"/>
        <v>15.316666666666666</v>
      </c>
    </row>
    <row r="329" spans="1:3" ht="13">
      <c r="A329" s="10">
        <v>2039</v>
      </c>
      <c r="B329" s="3">
        <f t="shared" si="3"/>
        <v>33.983333333333334</v>
      </c>
      <c r="C329" s="3">
        <f t="shared" si="2"/>
        <v>33.983333333333334</v>
      </c>
    </row>
    <row r="330" spans="1:3" ht="13">
      <c r="A330" s="1"/>
      <c r="B330" s="3">
        <f t="shared" si="3"/>
        <v>0</v>
      </c>
      <c r="C330" s="3" t="str">
        <f t="shared" si="2"/>
        <v/>
      </c>
    </row>
    <row r="331" spans="1:3" ht="13">
      <c r="A331" s="10">
        <v>369</v>
      </c>
      <c r="B331" s="3">
        <f t="shared" si="3"/>
        <v>6.15</v>
      </c>
      <c r="C331" s="3">
        <f t="shared" si="2"/>
        <v>6.15</v>
      </c>
    </row>
    <row r="332" spans="1:3" ht="13">
      <c r="A332" s="10">
        <v>2284</v>
      </c>
      <c r="B332" s="3">
        <f t="shared" si="3"/>
        <v>38.06666666666667</v>
      </c>
      <c r="C332" s="3">
        <f t="shared" si="2"/>
        <v>38.06666666666667</v>
      </c>
    </row>
    <row r="333" spans="1:3" ht="13">
      <c r="A333" s="10">
        <v>698</v>
      </c>
      <c r="B333" s="3">
        <f t="shared" si="3"/>
        <v>11.633333333333333</v>
      </c>
      <c r="C333" s="3">
        <f t="shared" si="2"/>
        <v>11.633333333333333</v>
      </c>
    </row>
    <row r="334" spans="1:3" ht="13">
      <c r="A334" s="10">
        <v>927</v>
      </c>
      <c r="B334" s="3">
        <f t="shared" si="3"/>
        <v>15.45</v>
      </c>
      <c r="C334" s="3">
        <f t="shared" si="2"/>
        <v>15.45</v>
      </c>
    </row>
    <row r="335" spans="1:3" ht="13">
      <c r="A335" s="10">
        <v>168</v>
      </c>
      <c r="B335" s="3">
        <f t="shared" si="3"/>
        <v>2.8</v>
      </c>
      <c r="C335" s="3">
        <f t="shared" si="2"/>
        <v>2.8</v>
      </c>
    </row>
    <row r="336" spans="1:3" ht="13">
      <c r="A336" s="10">
        <v>158</v>
      </c>
      <c r="B336" s="3">
        <f t="shared" si="3"/>
        <v>2.6333333333333333</v>
      </c>
      <c r="C336" s="3">
        <f t="shared" si="2"/>
        <v>2.6333333333333333</v>
      </c>
    </row>
    <row r="337" spans="1:3" ht="13">
      <c r="A337" s="10">
        <v>663</v>
      </c>
      <c r="B337" s="3">
        <f t="shared" si="3"/>
        <v>11.05</v>
      </c>
      <c r="C337" s="3">
        <f t="shared" si="2"/>
        <v>11.05</v>
      </c>
    </row>
    <row r="338" spans="1:3" ht="13">
      <c r="A338" s="10">
        <v>246</v>
      </c>
      <c r="B338" s="3">
        <f t="shared" si="3"/>
        <v>4.0999999999999996</v>
      </c>
      <c r="C338" s="3">
        <f t="shared" si="2"/>
        <v>4.0999999999999996</v>
      </c>
    </row>
    <row r="339" spans="1:3" ht="13">
      <c r="A339" s="10">
        <v>778</v>
      </c>
      <c r="B339" s="3">
        <f t="shared" si="3"/>
        <v>12.966666666666667</v>
      </c>
      <c r="C339" s="3">
        <f t="shared" si="2"/>
        <v>12.966666666666667</v>
      </c>
    </row>
    <row r="340" spans="1:3" ht="13">
      <c r="A340" s="1"/>
      <c r="B340" s="3">
        <f t="shared" si="3"/>
        <v>0</v>
      </c>
      <c r="C340" s="3" t="str">
        <f t="shared" si="2"/>
        <v/>
      </c>
    </row>
    <row r="341" spans="1:3" ht="13">
      <c r="A341" s="1"/>
      <c r="B341" s="3">
        <f t="shared" si="3"/>
        <v>0</v>
      </c>
      <c r="C341" s="3" t="str">
        <f t="shared" si="2"/>
        <v/>
      </c>
    </row>
    <row r="342" spans="1:3" ht="13">
      <c r="A342" s="1"/>
      <c r="B342" s="3">
        <f t="shared" si="3"/>
        <v>0</v>
      </c>
      <c r="C342" s="3" t="str">
        <f t="shared" si="2"/>
        <v/>
      </c>
    </row>
    <row r="343" spans="1:3" ht="13">
      <c r="A343" s="10">
        <v>110</v>
      </c>
      <c r="B343" s="3">
        <f t="shared" si="3"/>
        <v>1.8333333333333333</v>
      </c>
      <c r="C343" s="3">
        <f t="shared" si="2"/>
        <v>1.8333333333333333</v>
      </c>
    </row>
    <row r="344" spans="1:3" ht="13">
      <c r="A344" s="10">
        <v>181</v>
      </c>
      <c r="B344" s="3">
        <f t="shared" si="3"/>
        <v>3.0166666666666666</v>
      </c>
      <c r="C344" s="3">
        <f t="shared" si="2"/>
        <v>3.0166666666666666</v>
      </c>
    </row>
    <row r="345" spans="1:3" ht="13">
      <c r="A345" s="1"/>
      <c r="B345" s="3">
        <f t="shared" si="3"/>
        <v>0</v>
      </c>
      <c r="C345" s="3" t="str">
        <f t="shared" si="2"/>
        <v/>
      </c>
    </row>
    <row r="346" spans="1:3" ht="13">
      <c r="A346" s="10">
        <v>316</v>
      </c>
      <c r="B346" s="3">
        <f t="shared" si="3"/>
        <v>5.2666666666666666</v>
      </c>
      <c r="C346" s="3">
        <f t="shared" si="2"/>
        <v>5.2666666666666666</v>
      </c>
    </row>
    <row r="347" spans="1:3" ht="13">
      <c r="A347" s="10">
        <v>108</v>
      </c>
      <c r="B347" s="3">
        <f t="shared" si="3"/>
        <v>1.8</v>
      </c>
      <c r="C347" s="3">
        <f t="shared" si="2"/>
        <v>1.8</v>
      </c>
    </row>
    <row r="348" spans="1:3" ht="13">
      <c r="A348" s="10">
        <v>1414</v>
      </c>
      <c r="B348" s="3">
        <f t="shared" si="3"/>
        <v>23.566666666666666</v>
      </c>
      <c r="C348" s="3">
        <f t="shared" si="2"/>
        <v>23.566666666666666</v>
      </c>
    </row>
    <row r="349" spans="1:3" ht="13">
      <c r="A349" s="10">
        <v>817</v>
      </c>
      <c r="B349" s="3">
        <f t="shared" si="3"/>
        <v>13.616666666666667</v>
      </c>
      <c r="C349" s="3">
        <f t="shared" si="2"/>
        <v>13.616666666666667</v>
      </c>
    </row>
    <row r="350" spans="1:3" ht="13">
      <c r="A350" s="1"/>
      <c r="B350" s="3">
        <f t="shared" si="3"/>
        <v>0</v>
      </c>
      <c r="C350" s="3" t="str">
        <f t="shared" si="2"/>
        <v/>
      </c>
    </row>
    <row r="351" spans="1:3" ht="13">
      <c r="A351" s="10">
        <v>844</v>
      </c>
      <c r="B351" s="3">
        <f t="shared" si="3"/>
        <v>14.066666666666666</v>
      </c>
      <c r="C351" s="3">
        <f t="shared" si="2"/>
        <v>14.066666666666666</v>
      </c>
    </row>
    <row r="352" spans="1:3" ht="13">
      <c r="A352" s="1"/>
      <c r="B352" s="3">
        <f t="shared" si="3"/>
        <v>0</v>
      </c>
      <c r="C352" s="3" t="str">
        <f t="shared" si="2"/>
        <v/>
      </c>
    </row>
    <row r="353" spans="1:3" ht="13">
      <c r="A353" s="1"/>
      <c r="B353" s="3">
        <f t="shared" si="3"/>
        <v>0</v>
      </c>
      <c r="C353" s="3" t="str">
        <f t="shared" si="2"/>
        <v/>
      </c>
    </row>
    <row r="354" spans="1:3" ht="13">
      <c r="A354" s="10">
        <v>1292</v>
      </c>
      <c r="B354" s="3">
        <f t="shared" si="3"/>
        <v>21.533333333333335</v>
      </c>
      <c r="C354" s="3">
        <f t="shared" si="2"/>
        <v>21.533333333333335</v>
      </c>
    </row>
    <row r="355" spans="1:3" ht="13">
      <c r="A355" s="10">
        <v>455</v>
      </c>
      <c r="B355" s="3">
        <f t="shared" si="3"/>
        <v>7.583333333333333</v>
      </c>
      <c r="C355" s="3">
        <f t="shared" si="2"/>
        <v>7.583333333333333</v>
      </c>
    </row>
    <row r="356" spans="1:3" ht="13">
      <c r="A356" s="10">
        <v>1241</v>
      </c>
      <c r="B356" s="3">
        <f t="shared" si="3"/>
        <v>20.683333333333334</v>
      </c>
      <c r="C356" s="3">
        <f t="shared" si="2"/>
        <v>20.683333333333334</v>
      </c>
    </row>
    <row r="357" spans="1:3" ht="13">
      <c r="A357" s="10">
        <v>200</v>
      </c>
      <c r="B357" s="3">
        <f t="shared" si="3"/>
        <v>3.3333333333333335</v>
      </c>
      <c r="C357" s="3">
        <f t="shared" si="2"/>
        <v>3.3333333333333335</v>
      </c>
    </row>
    <row r="358" spans="1:3" ht="13">
      <c r="A358" s="10">
        <v>172</v>
      </c>
      <c r="B358" s="3">
        <f t="shared" si="3"/>
        <v>2.8666666666666667</v>
      </c>
      <c r="C358" s="3">
        <f t="shared" si="2"/>
        <v>2.8666666666666667</v>
      </c>
    </row>
    <row r="359" spans="1:3" ht="13">
      <c r="A359" s="10">
        <v>265</v>
      </c>
      <c r="B359" s="3">
        <f t="shared" si="3"/>
        <v>4.416666666666667</v>
      </c>
      <c r="C359" s="3">
        <f t="shared" si="2"/>
        <v>4.416666666666667</v>
      </c>
    </row>
    <row r="360" spans="1:3" ht="13">
      <c r="A360" s="10">
        <v>240</v>
      </c>
      <c r="B360" s="3">
        <f t="shared" si="3"/>
        <v>4</v>
      </c>
      <c r="C360" s="3">
        <f t="shared" si="2"/>
        <v>4</v>
      </c>
    </row>
    <row r="361" spans="1:3" ht="13">
      <c r="A361" s="10">
        <v>407</v>
      </c>
      <c r="B361" s="3">
        <f t="shared" si="3"/>
        <v>6.7833333333333332</v>
      </c>
      <c r="C361" s="3">
        <f t="shared" si="2"/>
        <v>6.7833333333333332</v>
      </c>
    </row>
    <row r="362" spans="1:3" ht="13">
      <c r="A362" s="10">
        <v>153</v>
      </c>
      <c r="B362" s="3">
        <f t="shared" si="3"/>
        <v>2.5499999999999998</v>
      </c>
      <c r="C362" s="3">
        <f t="shared" si="2"/>
        <v>2.5499999999999998</v>
      </c>
    </row>
    <row r="363" spans="1:3" ht="13">
      <c r="A363" s="10">
        <v>411</v>
      </c>
      <c r="B363" s="3">
        <f t="shared" si="3"/>
        <v>6.85</v>
      </c>
      <c r="C363" s="3">
        <f t="shared" si="2"/>
        <v>6.85</v>
      </c>
    </row>
    <row r="364" spans="1:3" ht="13">
      <c r="A364" s="10">
        <v>177</v>
      </c>
      <c r="B364" s="3">
        <f t="shared" si="3"/>
        <v>2.95</v>
      </c>
      <c r="C364" s="3">
        <f t="shared" si="2"/>
        <v>2.95</v>
      </c>
    </row>
    <row r="365" spans="1:3" ht="13">
      <c r="A365" s="10">
        <v>754</v>
      </c>
      <c r="B365" s="3">
        <f t="shared" si="3"/>
        <v>12.566666666666666</v>
      </c>
      <c r="C365" s="3">
        <f t="shared" si="2"/>
        <v>12.566666666666666</v>
      </c>
    </row>
    <row r="366" spans="1:3" ht="13">
      <c r="A366" s="10">
        <v>427</v>
      </c>
      <c r="B366" s="3">
        <f t="shared" si="3"/>
        <v>7.1166666666666663</v>
      </c>
      <c r="C366" s="3">
        <f t="shared" si="2"/>
        <v>7.1166666666666663</v>
      </c>
    </row>
    <row r="367" spans="1:3" ht="13">
      <c r="A367" s="10">
        <v>49</v>
      </c>
      <c r="B367" s="3">
        <f t="shared" si="3"/>
        <v>0.81666666666666665</v>
      </c>
      <c r="C367" s="3">
        <f t="shared" si="2"/>
        <v>0.81666666666666665</v>
      </c>
    </row>
    <row r="368" spans="1:3" ht="13">
      <c r="A368" s="10">
        <v>668</v>
      </c>
      <c r="B368" s="3">
        <f t="shared" si="3"/>
        <v>11.133333333333333</v>
      </c>
      <c r="C368" s="3">
        <f t="shared" si="2"/>
        <v>11.133333333333333</v>
      </c>
    </row>
    <row r="369" spans="1:3" ht="13">
      <c r="A369" s="10">
        <v>274</v>
      </c>
      <c r="B369" s="3">
        <f t="shared" si="3"/>
        <v>4.5666666666666664</v>
      </c>
      <c r="C369" s="3">
        <f t="shared" si="2"/>
        <v>4.5666666666666664</v>
      </c>
    </row>
    <row r="370" spans="1:3" ht="13">
      <c r="A370" s="10">
        <v>1143</v>
      </c>
      <c r="B370" s="3">
        <f t="shared" si="3"/>
        <v>19.05</v>
      </c>
      <c r="C370" s="3">
        <f t="shared" si="2"/>
        <v>19.05</v>
      </c>
    </row>
    <row r="371" spans="1:3" ht="13">
      <c r="A371" s="10">
        <v>206</v>
      </c>
      <c r="B371" s="3">
        <f t="shared" si="3"/>
        <v>3.4333333333333331</v>
      </c>
      <c r="C371" s="3">
        <f t="shared" si="2"/>
        <v>3.4333333333333331</v>
      </c>
    </row>
    <row r="372" spans="1:3" ht="13">
      <c r="A372" s="10">
        <v>1582</v>
      </c>
      <c r="B372" s="3">
        <f t="shared" si="3"/>
        <v>26.366666666666667</v>
      </c>
      <c r="C372" s="3">
        <f t="shared" si="2"/>
        <v>26.366666666666667</v>
      </c>
    </row>
    <row r="373" spans="1:3" ht="13">
      <c r="A373" s="10">
        <v>1387</v>
      </c>
      <c r="B373" s="3">
        <f t="shared" si="3"/>
        <v>23.116666666666667</v>
      </c>
      <c r="C373" s="3">
        <f t="shared" si="2"/>
        <v>23.116666666666667</v>
      </c>
    </row>
    <row r="374" spans="1:3" ht="13">
      <c r="A374" s="10">
        <v>932</v>
      </c>
      <c r="B374" s="3">
        <f t="shared" si="3"/>
        <v>15.533333333333333</v>
      </c>
      <c r="C374" s="3">
        <f t="shared" si="2"/>
        <v>15.533333333333333</v>
      </c>
    </row>
    <row r="375" spans="1:3" ht="13">
      <c r="A375" s="1"/>
      <c r="B375" s="3">
        <f t="shared" si="3"/>
        <v>0</v>
      </c>
      <c r="C375" s="3" t="str">
        <f t="shared" si="2"/>
        <v/>
      </c>
    </row>
    <row r="376" spans="1:3" ht="13">
      <c r="A376" s="10">
        <v>620</v>
      </c>
      <c r="B376" s="3">
        <f t="shared" si="3"/>
        <v>10.333333333333334</v>
      </c>
      <c r="C376" s="3">
        <f t="shared" si="2"/>
        <v>10.333333333333334</v>
      </c>
    </row>
    <row r="377" spans="1:3" ht="13">
      <c r="A377" s="10">
        <v>602</v>
      </c>
      <c r="B377" s="3">
        <f t="shared" si="3"/>
        <v>10.033333333333333</v>
      </c>
      <c r="C377" s="3">
        <f t="shared" si="2"/>
        <v>10.033333333333333</v>
      </c>
    </row>
    <row r="378" spans="1:3" ht="13">
      <c r="A378" s="10">
        <v>899</v>
      </c>
      <c r="B378" s="3">
        <f t="shared" si="3"/>
        <v>14.983333333333333</v>
      </c>
      <c r="C378" s="3">
        <f t="shared" si="2"/>
        <v>14.983333333333333</v>
      </c>
    </row>
    <row r="379" spans="1:3" ht="13">
      <c r="A379" s="10">
        <v>445</v>
      </c>
      <c r="B379" s="3">
        <f t="shared" si="3"/>
        <v>7.416666666666667</v>
      </c>
      <c r="C379" s="3">
        <f t="shared" si="2"/>
        <v>7.416666666666667</v>
      </c>
    </row>
    <row r="380" spans="1:3" ht="13">
      <c r="A380" s="10">
        <v>942</v>
      </c>
      <c r="B380" s="3">
        <f t="shared" si="3"/>
        <v>15.7</v>
      </c>
      <c r="C380" s="3">
        <f t="shared" si="2"/>
        <v>15.7</v>
      </c>
    </row>
    <row r="381" spans="1:3" ht="13">
      <c r="A381" s="1"/>
      <c r="B381" s="3">
        <f t="shared" si="3"/>
        <v>0</v>
      </c>
      <c r="C381" s="3" t="str">
        <f t="shared" si="2"/>
        <v/>
      </c>
    </row>
    <row r="382" spans="1:3" ht="13">
      <c r="A382" s="1"/>
      <c r="B382" s="3">
        <f t="shared" si="3"/>
        <v>0</v>
      </c>
      <c r="C382" s="3" t="str">
        <f t="shared" si="2"/>
        <v/>
      </c>
    </row>
    <row r="383" spans="1:3" ht="13">
      <c r="A383" s="10">
        <v>586</v>
      </c>
      <c r="B383" s="3">
        <f t="shared" si="3"/>
        <v>9.7666666666666675</v>
      </c>
      <c r="C383" s="3">
        <f t="shared" si="2"/>
        <v>9.7666666666666675</v>
      </c>
    </row>
    <row r="384" spans="1:3" ht="13">
      <c r="A384" s="10">
        <v>338</v>
      </c>
      <c r="B384" s="3">
        <f t="shared" si="3"/>
        <v>5.6333333333333337</v>
      </c>
      <c r="C384" s="3">
        <f t="shared" si="2"/>
        <v>5.6333333333333337</v>
      </c>
    </row>
    <row r="385" spans="1:3" ht="13">
      <c r="A385" s="10">
        <v>586</v>
      </c>
      <c r="B385" s="3">
        <f t="shared" si="3"/>
        <v>9.7666666666666675</v>
      </c>
      <c r="C385" s="3">
        <f t="shared" si="2"/>
        <v>9.7666666666666675</v>
      </c>
    </row>
    <row r="386" spans="1:3" ht="13">
      <c r="A386" s="10">
        <v>426</v>
      </c>
      <c r="B386" s="3">
        <f t="shared" si="3"/>
        <v>7.1</v>
      </c>
      <c r="C386" s="3">
        <f t="shared" si="2"/>
        <v>7.1</v>
      </c>
    </row>
    <row r="387" spans="1:3" ht="13">
      <c r="A387" s="10">
        <v>202</v>
      </c>
      <c r="B387" s="3">
        <f t="shared" si="3"/>
        <v>3.3666666666666667</v>
      </c>
      <c r="C387" s="3">
        <f t="shared" si="2"/>
        <v>3.3666666666666667</v>
      </c>
    </row>
    <row r="388" spans="1:3" ht="13">
      <c r="A388" s="10">
        <v>159</v>
      </c>
      <c r="B388" s="3">
        <f t="shared" si="3"/>
        <v>2.65</v>
      </c>
      <c r="C388" s="3">
        <f t="shared" si="2"/>
        <v>2.65</v>
      </c>
    </row>
    <row r="389" spans="1:3" ht="13">
      <c r="A389" s="10">
        <v>219</v>
      </c>
      <c r="B389" s="3">
        <f t="shared" si="3"/>
        <v>3.65</v>
      </c>
      <c r="C389" s="3">
        <f t="shared" si="2"/>
        <v>3.65</v>
      </c>
    </row>
    <row r="390" spans="1:3" ht="13">
      <c r="A390" s="10">
        <v>135</v>
      </c>
      <c r="B390" s="3">
        <f t="shared" si="3"/>
        <v>2.25</v>
      </c>
      <c r="C390" s="3">
        <f t="shared" si="2"/>
        <v>2.25</v>
      </c>
    </row>
    <row r="391" spans="1:3" ht="13">
      <c r="A391" s="10">
        <v>1086</v>
      </c>
      <c r="B391" s="3">
        <f t="shared" si="3"/>
        <v>18.100000000000001</v>
      </c>
      <c r="C391" s="3">
        <f t="shared" si="2"/>
        <v>18.100000000000001</v>
      </c>
    </row>
    <row r="392" spans="1:3" ht="13">
      <c r="A392" s="10">
        <v>679</v>
      </c>
      <c r="B392" s="3">
        <f t="shared" si="3"/>
        <v>11.316666666666666</v>
      </c>
      <c r="C392" s="3">
        <f t="shared" si="2"/>
        <v>11.316666666666666</v>
      </c>
    </row>
    <row r="393" spans="1:3" ht="13">
      <c r="A393" s="10">
        <v>237</v>
      </c>
      <c r="B393" s="3">
        <f t="shared" si="3"/>
        <v>3.95</v>
      </c>
      <c r="C393" s="3">
        <f t="shared" si="2"/>
        <v>3.95</v>
      </c>
    </row>
    <row r="394" spans="1:3" ht="13">
      <c r="A394" s="1"/>
      <c r="B394" s="3">
        <f t="shared" si="3"/>
        <v>0</v>
      </c>
      <c r="C394" s="3" t="str">
        <f t="shared" si="2"/>
        <v/>
      </c>
    </row>
    <row r="395" spans="1:3" ht="13">
      <c r="A395" s="10">
        <v>390</v>
      </c>
      <c r="B395" s="3">
        <f t="shared" si="3"/>
        <v>6.5</v>
      </c>
      <c r="C395" s="3">
        <f t="shared" si="2"/>
        <v>6.5</v>
      </c>
    </row>
    <row r="396" spans="1:3" ht="13">
      <c r="A396" s="1"/>
      <c r="B396" s="3">
        <f t="shared" si="3"/>
        <v>0</v>
      </c>
      <c r="C396" s="3" t="str">
        <f t="shared" si="2"/>
        <v/>
      </c>
    </row>
    <row r="397" spans="1:3" ht="13">
      <c r="A397" s="10">
        <v>665</v>
      </c>
      <c r="B397" s="3">
        <f t="shared" si="3"/>
        <v>11.083333333333334</v>
      </c>
      <c r="C397" s="3">
        <f t="shared" si="2"/>
        <v>11.083333333333334</v>
      </c>
    </row>
    <row r="398" spans="1:3" ht="13">
      <c r="A398" s="10">
        <v>1466</v>
      </c>
      <c r="B398" s="3">
        <f t="shared" si="3"/>
        <v>24.433333333333334</v>
      </c>
      <c r="C398" s="3">
        <f t="shared" si="2"/>
        <v>24.433333333333334</v>
      </c>
    </row>
    <row r="399" spans="1:3" ht="13">
      <c r="A399" s="10">
        <v>638</v>
      </c>
      <c r="B399" s="3">
        <f t="shared" si="3"/>
        <v>10.633333333333333</v>
      </c>
      <c r="C399" s="3">
        <f t="shared" si="2"/>
        <v>10.633333333333333</v>
      </c>
    </row>
    <row r="400" spans="1:3" ht="13">
      <c r="A400" s="10">
        <v>649</v>
      </c>
      <c r="B400" s="3">
        <f t="shared" si="3"/>
        <v>10.816666666666666</v>
      </c>
      <c r="C400" s="3">
        <f t="shared" si="2"/>
        <v>10.816666666666666</v>
      </c>
    </row>
    <row r="401" spans="1:3" ht="13">
      <c r="A401" s="10">
        <v>503</v>
      </c>
      <c r="B401" s="3">
        <f t="shared" si="3"/>
        <v>8.3833333333333329</v>
      </c>
      <c r="C401" s="3">
        <f t="shared" si="2"/>
        <v>8.3833333333333329</v>
      </c>
    </row>
    <row r="402" spans="1:3" ht="13">
      <c r="A402" s="10">
        <v>1236</v>
      </c>
      <c r="B402" s="3">
        <f t="shared" si="3"/>
        <v>20.6</v>
      </c>
      <c r="C402" s="3">
        <f t="shared" si="2"/>
        <v>20.6</v>
      </c>
    </row>
    <row r="403" spans="1:3" ht="13">
      <c r="A403" s="10">
        <v>181</v>
      </c>
      <c r="B403" s="3">
        <f t="shared" si="3"/>
        <v>3.0166666666666666</v>
      </c>
      <c r="C403" s="3">
        <f t="shared" si="2"/>
        <v>3.0166666666666666</v>
      </c>
    </row>
    <row r="404" spans="1:3" ht="13">
      <c r="A404" s="10">
        <v>537</v>
      </c>
      <c r="B404" s="3">
        <f t="shared" si="3"/>
        <v>8.9499999999999993</v>
      </c>
      <c r="C404" s="3">
        <f t="shared" si="2"/>
        <v>8.9499999999999993</v>
      </c>
    </row>
    <row r="405" spans="1:3" ht="13">
      <c r="A405" s="10">
        <v>393</v>
      </c>
      <c r="B405" s="3">
        <f t="shared" si="3"/>
        <v>6.55</v>
      </c>
      <c r="C405" s="3">
        <f t="shared" si="2"/>
        <v>6.55</v>
      </c>
    </row>
    <row r="406" spans="1:3" ht="13">
      <c r="A406" s="10">
        <v>913</v>
      </c>
      <c r="B406" s="3">
        <f t="shared" si="3"/>
        <v>15.216666666666667</v>
      </c>
      <c r="C406" s="3">
        <f t="shared" si="2"/>
        <v>15.216666666666667</v>
      </c>
    </row>
    <row r="407" spans="1:3" ht="13">
      <c r="A407" s="1"/>
      <c r="B407" s="3">
        <f t="shared" si="3"/>
        <v>0</v>
      </c>
      <c r="C407" s="3" t="str">
        <f t="shared" si="2"/>
        <v/>
      </c>
    </row>
    <row r="408" spans="1:3" ht="13">
      <c r="A408" s="10">
        <v>724</v>
      </c>
      <c r="B408" s="3">
        <f t="shared" si="3"/>
        <v>12.066666666666666</v>
      </c>
      <c r="C408" s="3">
        <f t="shared" si="2"/>
        <v>12.066666666666666</v>
      </c>
    </row>
    <row r="409" spans="1:3" ht="13">
      <c r="A409" s="10">
        <v>338</v>
      </c>
      <c r="B409" s="3">
        <f t="shared" si="3"/>
        <v>5.6333333333333337</v>
      </c>
      <c r="C409" s="3">
        <f t="shared" si="2"/>
        <v>5.6333333333333337</v>
      </c>
    </row>
    <row r="410" spans="1:3" ht="13">
      <c r="A410" s="10">
        <v>1179</v>
      </c>
      <c r="B410" s="3">
        <f t="shared" si="3"/>
        <v>19.649999999999999</v>
      </c>
      <c r="C410" s="3">
        <f t="shared" si="2"/>
        <v>19.649999999999999</v>
      </c>
    </row>
    <row r="411" spans="1:3" ht="13">
      <c r="A411" s="10">
        <v>361</v>
      </c>
      <c r="B411" s="3">
        <f t="shared" si="3"/>
        <v>6.0166666666666666</v>
      </c>
      <c r="C411" s="3">
        <f t="shared" si="2"/>
        <v>6.0166666666666666</v>
      </c>
    </row>
    <row r="412" spans="1:3" ht="13">
      <c r="A412" s="10">
        <v>139</v>
      </c>
      <c r="B412" s="3">
        <f t="shared" si="3"/>
        <v>2.3166666666666669</v>
      </c>
      <c r="C412" s="3">
        <f t="shared" si="2"/>
        <v>2.3166666666666669</v>
      </c>
    </row>
    <row r="413" spans="1:3" ht="13">
      <c r="A413" s="10">
        <v>743</v>
      </c>
      <c r="B413" s="3">
        <f t="shared" si="3"/>
        <v>12.383333333333333</v>
      </c>
      <c r="C413" s="3">
        <f t="shared" si="2"/>
        <v>12.383333333333333</v>
      </c>
    </row>
    <row r="414" spans="1:3" ht="13">
      <c r="A414" s="10">
        <v>1622</v>
      </c>
      <c r="B414" s="3">
        <f t="shared" si="3"/>
        <v>27.033333333333335</v>
      </c>
      <c r="C414" s="3">
        <f t="shared" si="2"/>
        <v>27.033333333333335</v>
      </c>
    </row>
    <row r="415" spans="1:3" ht="13">
      <c r="A415" s="10">
        <v>257</v>
      </c>
      <c r="B415" s="3">
        <f t="shared" si="3"/>
        <v>4.2833333333333332</v>
      </c>
      <c r="C415" s="3">
        <f t="shared" si="2"/>
        <v>4.2833333333333332</v>
      </c>
    </row>
    <row r="416" spans="1:3" ht="13">
      <c r="A416" s="10">
        <v>1317</v>
      </c>
      <c r="B416" s="3">
        <f t="shared" si="3"/>
        <v>21.95</v>
      </c>
      <c r="C416" s="3">
        <f t="shared" si="2"/>
        <v>21.95</v>
      </c>
    </row>
    <row r="417" spans="1:3" ht="13">
      <c r="A417" s="10">
        <v>779</v>
      </c>
      <c r="B417" s="3">
        <f t="shared" si="3"/>
        <v>12.983333333333333</v>
      </c>
      <c r="C417" s="3">
        <f t="shared" si="2"/>
        <v>12.983333333333333</v>
      </c>
    </row>
    <row r="418" spans="1:3" ht="13">
      <c r="A418" s="10">
        <v>243</v>
      </c>
      <c r="B418" s="3">
        <f t="shared" si="3"/>
        <v>4.05</v>
      </c>
      <c r="C418" s="3">
        <f t="shared" si="2"/>
        <v>4.05</v>
      </c>
    </row>
    <row r="419" spans="1:3" ht="13">
      <c r="A419" s="1"/>
      <c r="B419" s="3">
        <f t="shared" si="3"/>
        <v>0</v>
      </c>
      <c r="C419" s="3" t="str">
        <f t="shared" si="2"/>
        <v/>
      </c>
    </row>
    <row r="420" spans="1:3" ht="13">
      <c r="A420" s="10">
        <v>525</v>
      </c>
      <c r="B420" s="3">
        <f t="shared" si="3"/>
        <v>8.75</v>
      </c>
      <c r="C420" s="3">
        <f t="shared" si="2"/>
        <v>8.75</v>
      </c>
    </row>
    <row r="421" spans="1:3" ht="13">
      <c r="A421" s="10">
        <v>346</v>
      </c>
      <c r="B421" s="3">
        <f t="shared" si="3"/>
        <v>5.7666666666666666</v>
      </c>
      <c r="C421" s="3">
        <f t="shared" si="2"/>
        <v>5.7666666666666666</v>
      </c>
    </row>
    <row r="422" spans="1:3" ht="13">
      <c r="A422" s="10">
        <v>1267</v>
      </c>
      <c r="B422" s="3">
        <f t="shared" si="3"/>
        <v>21.116666666666667</v>
      </c>
      <c r="C422" s="3">
        <f t="shared" si="2"/>
        <v>21.116666666666667</v>
      </c>
    </row>
    <row r="423" spans="1:3" ht="13">
      <c r="A423" s="10">
        <v>2125</v>
      </c>
      <c r="B423" s="3">
        <f t="shared" si="3"/>
        <v>35.416666666666664</v>
      </c>
      <c r="C423" s="3">
        <f t="shared" si="2"/>
        <v>35.416666666666664</v>
      </c>
    </row>
    <row r="424" spans="1:3" ht="13">
      <c r="A424" s="10">
        <v>587</v>
      </c>
      <c r="B424" s="3">
        <f t="shared" si="3"/>
        <v>9.7833333333333332</v>
      </c>
      <c r="C424" s="3">
        <f t="shared" si="2"/>
        <v>9.7833333333333332</v>
      </c>
    </row>
    <row r="425" spans="1:3" ht="13">
      <c r="A425" s="10">
        <v>902</v>
      </c>
      <c r="B425" s="3">
        <f t="shared" si="3"/>
        <v>15.033333333333333</v>
      </c>
      <c r="C425" s="3">
        <f t="shared" si="2"/>
        <v>15.033333333333333</v>
      </c>
    </row>
    <row r="426" spans="1:3" ht="13">
      <c r="A426" s="10">
        <v>229</v>
      </c>
      <c r="B426" s="3">
        <f t="shared" si="3"/>
        <v>3.8166666666666669</v>
      </c>
      <c r="C426" s="3">
        <f t="shared" si="2"/>
        <v>3.8166666666666669</v>
      </c>
    </row>
    <row r="427" spans="1:3" ht="13">
      <c r="A427" s="10">
        <v>215</v>
      </c>
      <c r="B427" s="3">
        <f t="shared" si="3"/>
        <v>3.5833333333333335</v>
      </c>
      <c r="C427" s="3">
        <f t="shared" si="2"/>
        <v>3.5833333333333335</v>
      </c>
    </row>
    <row r="428" spans="1:3" ht="13">
      <c r="A428" s="10">
        <v>22</v>
      </c>
      <c r="B428" s="3">
        <f t="shared" si="3"/>
        <v>0.36666666666666664</v>
      </c>
      <c r="C428" s="3">
        <f t="shared" si="2"/>
        <v>0.36666666666666664</v>
      </c>
    </row>
    <row r="429" spans="1:3" ht="13">
      <c r="A429" s="10">
        <v>402</v>
      </c>
      <c r="B429" s="3">
        <f t="shared" si="3"/>
        <v>6.7</v>
      </c>
      <c r="C429" s="3">
        <f t="shared" si="2"/>
        <v>6.7</v>
      </c>
    </row>
    <row r="430" spans="1:3" ht="13">
      <c r="A430" s="10">
        <v>349</v>
      </c>
      <c r="B430" s="3">
        <f t="shared" si="3"/>
        <v>5.8166666666666664</v>
      </c>
      <c r="C430" s="3">
        <f t="shared" si="2"/>
        <v>5.8166666666666664</v>
      </c>
    </row>
    <row r="431" spans="1:3" ht="13">
      <c r="A431" s="10">
        <v>62</v>
      </c>
      <c r="B431" s="3">
        <f t="shared" si="3"/>
        <v>1.0333333333333334</v>
      </c>
      <c r="C431" s="3">
        <f t="shared" si="2"/>
        <v>1.0333333333333334</v>
      </c>
    </row>
    <row r="432" spans="1:3" ht="13">
      <c r="A432" s="10">
        <v>489</v>
      </c>
      <c r="B432" s="3">
        <f t="shared" si="3"/>
        <v>8.15</v>
      </c>
      <c r="C432" s="3">
        <f t="shared" si="2"/>
        <v>8.15</v>
      </c>
    </row>
    <row r="433" spans="1:3" ht="13">
      <c r="A433" s="1"/>
      <c r="B433" s="3">
        <f t="shared" si="3"/>
        <v>0</v>
      </c>
      <c r="C433" s="3" t="str">
        <f t="shared" si="2"/>
        <v/>
      </c>
    </row>
    <row r="434" spans="1:3" ht="13">
      <c r="A434" s="10">
        <v>516</v>
      </c>
      <c r="B434" s="3">
        <f t="shared" si="3"/>
        <v>8.6</v>
      </c>
      <c r="C434" s="3">
        <f t="shared" si="2"/>
        <v>8.6</v>
      </c>
    </row>
    <row r="435" spans="1:3" ht="13">
      <c r="A435" s="10">
        <v>35</v>
      </c>
      <c r="B435" s="3">
        <f t="shared" si="3"/>
        <v>0.58333333333333337</v>
      </c>
      <c r="C435" s="3">
        <f t="shared" si="2"/>
        <v>0.58333333333333337</v>
      </c>
    </row>
    <row r="436" spans="1:3" ht="13">
      <c r="A436" s="1"/>
      <c r="B436" s="3">
        <f t="shared" si="3"/>
        <v>0</v>
      </c>
      <c r="C436" s="3" t="str">
        <f t="shared" si="2"/>
        <v/>
      </c>
    </row>
    <row r="437" spans="1:3" ht="13">
      <c r="A437" s="10">
        <v>201</v>
      </c>
      <c r="B437" s="3">
        <f t="shared" si="3"/>
        <v>3.35</v>
      </c>
      <c r="C437" s="3">
        <f t="shared" si="2"/>
        <v>3.35</v>
      </c>
    </row>
    <row r="438" spans="1:3" ht="13">
      <c r="A438" s="10">
        <v>2789</v>
      </c>
      <c r="B438" s="3">
        <f t="shared" si="3"/>
        <v>46.483333333333334</v>
      </c>
      <c r="C438" s="3">
        <f t="shared" si="2"/>
        <v>46.483333333333334</v>
      </c>
    </row>
    <row r="439" spans="1:3" ht="13">
      <c r="A439" s="10">
        <v>733</v>
      </c>
      <c r="B439" s="3">
        <f t="shared" si="3"/>
        <v>12.216666666666667</v>
      </c>
      <c r="C439" s="3">
        <f t="shared" si="2"/>
        <v>12.216666666666667</v>
      </c>
    </row>
    <row r="440" spans="1:3" ht="13">
      <c r="A440" s="10">
        <v>133</v>
      </c>
      <c r="B440" s="3">
        <f t="shared" si="3"/>
        <v>2.2166666666666668</v>
      </c>
      <c r="C440" s="3">
        <f t="shared" si="2"/>
        <v>2.2166666666666668</v>
      </c>
    </row>
    <row r="441" spans="1:3" ht="13">
      <c r="A441" s="10">
        <v>241</v>
      </c>
      <c r="B441" s="3">
        <f t="shared" si="3"/>
        <v>4.0166666666666666</v>
      </c>
      <c r="C441" s="3">
        <f t="shared" si="2"/>
        <v>4.0166666666666666</v>
      </c>
    </row>
    <row r="442" spans="1:3" ht="13">
      <c r="A442" s="1"/>
      <c r="B442" s="3">
        <f t="shared" si="3"/>
        <v>0</v>
      </c>
      <c r="C442" s="3" t="str">
        <f t="shared" si="2"/>
        <v/>
      </c>
    </row>
    <row r="443" spans="1:3" ht="13">
      <c r="A443" s="10">
        <v>625</v>
      </c>
      <c r="B443" s="3">
        <f t="shared" si="3"/>
        <v>10.416666666666666</v>
      </c>
      <c r="C443" s="3">
        <f t="shared" si="2"/>
        <v>10.416666666666666</v>
      </c>
    </row>
    <row r="444" spans="1:3" ht="13">
      <c r="A444" s="1"/>
      <c r="B444" s="3">
        <f t="shared" si="3"/>
        <v>0</v>
      </c>
      <c r="C444" s="3" t="str">
        <f t="shared" si="2"/>
        <v/>
      </c>
    </row>
    <row r="445" spans="1:3" ht="13">
      <c r="A445" s="10">
        <v>471</v>
      </c>
      <c r="B445" s="3">
        <f t="shared" si="3"/>
        <v>7.85</v>
      </c>
      <c r="C445" s="3">
        <f t="shared" si="2"/>
        <v>7.85</v>
      </c>
    </row>
    <row r="446" spans="1:3" ht="13">
      <c r="A446" s="10">
        <v>554</v>
      </c>
      <c r="B446" s="3">
        <f t="shared" si="3"/>
        <v>9.2333333333333325</v>
      </c>
      <c r="C446" s="3">
        <f t="shared" si="2"/>
        <v>9.2333333333333325</v>
      </c>
    </row>
    <row r="447" spans="1:3" ht="13">
      <c r="A447" s="10">
        <v>143</v>
      </c>
      <c r="B447" s="3">
        <f t="shared" si="3"/>
        <v>2.3833333333333333</v>
      </c>
      <c r="C447" s="3">
        <f t="shared" si="2"/>
        <v>2.3833333333333333</v>
      </c>
    </row>
    <row r="448" spans="1:3" ht="13">
      <c r="A448" s="1"/>
      <c r="B448" s="3">
        <f t="shared" si="3"/>
        <v>0</v>
      </c>
      <c r="C448" s="3" t="str">
        <f t="shared" si="2"/>
        <v/>
      </c>
    </row>
    <row r="449" spans="1:3" ht="13">
      <c r="A449" s="10">
        <v>236</v>
      </c>
      <c r="B449" s="3">
        <f t="shared" si="3"/>
        <v>3.9333333333333331</v>
      </c>
      <c r="C449" s="3">
        <f t="shared" si="2"/>
        <v>3.9333333333333331</v>
      </c>
    </row>
    <row r="450" spans="1:3" ht="13">
      <c r="A450" s="1"/>
      <c r="B450" s="3">
        <f t="shared" si="3"/>
        <v>0</v>
      </c>
      <c r="C450" s="3" t="str">
        <f t="shared" si="2"/>
        <v/>
      </c>
    </row>
    <row r="451" spans="1:3" ht="13">
      <c r="A451" s="10">
        <v>166</v>
      </c>
      <c r="B451" s="3">
        <f t="shared" si="3"/>
        <v>2.7666666666666666</v>
      </c>
      <c r="C451" s="3">
        <f t="shared" si="2"/>
        <v>2.7666666666666666</v>
      </c>
    </row>
    <row r="452" spans="1:3" ht="13">
      <c r="A452" s="10">
        <v>427</v>
      </c>
      <c r="B452" s="3">
        <f t="shared" si="3"/>
        <v>7.1166666666666663</v>
      </c>
      <c r="C452" s="3">
        <f t="shared" si="2"/>
        <v>7.1166666666666663</v>
      </c>
    </row>
    <row r="453" spans="1:3" ht="13">
      <c r="A453" s="10">
        <v>971</v>
      </c>
      <c r="B453" s="3">
        <f t="shared" si="3"/>
        <v>16.183333333333334</v>
      </c>
      <c r="C453" s="3">
        <f t="shared" si="2"/>
        <v>16.183333333333334</v>
      </c>
    </row>
    <row r="454" spans="1:3" ht="13">
      <c r="A454" s="10">
        <v>503</v>
      </c>
      <c r="B454" s="3">
        <f t="shared" si="3"/>
        <v>8.3833333333333329</v>
      </c>
      <c r="C454" s="3">
        <f t="shared" si="2"/>
        <v>8.3833333333333329</v>
      </c>
    </row>
    <row r="455" spans="1:3" ht="13">
      <c r="A455" s="10">
        <v>469</v>
      </c>
      <c r="B455" s="3">
        <f t="shared" si="3"/>
        <v>7.8166666666666664</v>
      </c>
      <c r="C455" s="3">
        <f t="shared" si="2"/>
        <v>7.8166666666666664</v>
      </c>
    </row>
    <row r="456" spans="1:3" ht="13">
      <c r="A456" s="1"/>
      <c r="B456" s="3">
        <f t="shared" si="3"/>
        <v>0</v>
      </c>
      <c r="C456" s="3" t="str">
        <f t="shared" si="2"/>
        <v/>
      </c>
    </row>
    <row r="457" spans="1:3" ht="13">
      <c r="A457" s="1"/>
      <c r="B457" s="3">
        <f t="shared" si="3"/>
        <v>0</v>
      </c>
      <c r="C457" s="3" t="str">
        <f t="shared" si="2"/>
        <v/>
      </c>
    </row>
    <row r="458" spans="1:3" ht="13">
      <c r="A458" s="10">
        <v>713</v>
      </c>
      <c r="B458" s="3">
        <f t="shared" si="3"/>
        <v>11.883333333333333</v>
      </c>
      <c r="C458" s="3">
        <f t="shared" si="2"/>
        <v>11.883333333333333</v>
      </c>
    </row>
    <row r="459" spans="1:3" ht="13">
      <c r="A459" s="10">
        <v>187</v>
      </c>
      <c r="B459" s="3">
        <f t="shared" si="3"/>
        <v>3.1166666666666667</v>
      </c>
      <c r="C459" s="3">
        <f t="shared" si="2"/>
        <v>3.1166666666666667</v>
      </c>
    </row>
    <row r="460" spans="1:3" ht="13">
      <c r="A460" s="10">
        <v>186</v>
      </c>
      <c r="B460" s="3">
        <f t="shared" si="3"/>
        <v>3.1</v>
      </c>
      <c r="C460" s="3">
        <f t="shared" si="2"/>
        <v>3.1</v>
      </c>
    </row>
    <row r="461" spans="1:3" ht="13">
      <c r="A461" s="10">
        <v>215</v>
      </c>
      <c r="B461" s="3">
        <f t="shared" si="3"/>
        <v>3.5833333333333335</v>
      </c>
      <c r="C461" s="3">
        <f t="shared" si="2"/>
        <v>3.5833333333333335</v>
      </c>
    </row>
    <row r="462" spans="1:3" ht="13">
      <c r="A462" s="10">
        <v>313</v>
      </c>
      <c r="B462" s="3">
        <f t="shared" si="3"/>
        <v>5.2166666666666668</v>
      </c>
      <c r="C462" s="3">
        <f t="shared" si="2"/>
        <v>5.2166666666666668</v>
      </c>
    </row>
    <row r="463" spans="1:3" ht="13">
      <c r="A463" s="10">
        <v>79</v>
      </c>
      <c r="B463" s="3">
        <f t="shared" si="3"/>
        <v>1.3166666666666667</v>
      </c>
      <c r="C463" s="3">
        <f t="shared" si="2"/>
        <v>1.3166666666666667</v>
      </c>
    </row>
    <row r="464" spans="1:3" ht="13">
      <c r="A464" s="10">
        <v>1533</v>
      </c>
      <c r="B464" s="3">
        <f t="shared" si="3"/>
        <v>25.55</v>
      </c>
      <c r="C464" s="3">
        <f t="shared" si="2"/>
        <v>25.55</v>
      </c>
    </row>
    <row r="465" spans="1:3" ht="13">
      <c r="A465" s="10">
        <v>670</v>
      </c>
      <c r="B465" s="3">
        <f t="shared" si="3"/>
        <v>11.166666666666666</v>
      </c>
      <c r="C465" s="3">
        <f t="shared" si="2"/>
        <v>11.166666666666666</v>
      </c>
    </row>
    <row r="466" spans="1:3" ht="13">
      <c r="A466" s="10">
        <v>717</v>
      </c>
      <c r="B466" s="3">
        <f t="shared" si="3"/>
        <v>11.95</v>
      </c>
      <c r="C466" s="3">
        <f t="shared" si="2"/>
        <v>11.95</v>
      </c>
    </row>
    <row r="467" spans="1:3" ht="13">
      <c r="A467" s="10">
        <v>881</v>
      </c>
      <c r="B467" s="3">
        <f t="shared" si="3"/>
        <v>14.683333333333334</v>
      </c>
      <c r="C467" s="3">
        <f t="shared" si="2"/>
        <v>14.683333333333334</v>
      </c>
    </row>
    <row r="468" spans="1:3" ht="13">
      <c r="A468" s="1"/>
      <c r="B468" s="3">
        <f t="shared" si="3"/>
        <v>0</v>
      </c>
      <c r="C468" s="3" t="str">
        <f t="shared" si="2"/>
        <v/>
      </c>
    </row>
    <row r="469" spans="1:3" ht="13">
      <c r="A469" s="10">
        <v>1066</v>
      </c>
      <c r="B469" s="3">
        <f t="shared" si="3"/>
        <v>17.766666666666666</v>
      </c>
      <c r="C469" s="3">
        <f t="shared" si="2"/>
        <v>17.766666666666666</v>
      </c>
    </row>
    <row r="470" spans="1:3" ht="13">
      <c r="A470" s="10">
        <v>715</v>
      </c>
      <c r="B470" s="3">
        <f t="shared" si="3"/>
        <v>11.916666666666666</v>
      </c>
      <c r="C470" s="3">
        <f t="shared" si="2"/>
        <v>11.916666666666666</v>
      </c>
    </row>
    <row r="471" spans="1:3" ht="13">
      <c r="A471" s="10">
        <v>1881</v>
      </c>
      <c r="B471" s="3">
        <f t="shared" si="3"/>
        <v>31.35</v>
      </c>
      <c r="C471" s="3">
        <f t="shared" si="2"/>
        <v>31.35</v>
      </c>
    </row>
    <row r="472" spans="1:3" ht="13">
      <c r="A472" s="10">
        <v>877</v>
      </c>
      <c r="B472" s="3">
        <f t="shared" si="3"/>
        <v>14.616666666666667</v>
      </c>
      <c r="C472" s="3">
        <f t="shared" si="2"/>
        <v>14.616666666666667</v>
      </c>
    </row>
    <row r="473" spans="1:3" ht="13">
      <c r="A473" s="10">
        <v>1080</v>
      </c>
      <c r="B473" s="3">
        <f t="shared" si="3"/>
        <v>18</v>
      </c>
      <c r="C473" s="3">
        <f t="shared" si="2"/>
        <v>18</v>
      </c>
    </row>
    <row r="474" spans="1:3" ht="13">
      <c r="A474" s="10">
        <v>27</v>
      </c>
      <c r="B474" s="3">
        <f t="shared" si="3"/>
        <v>0.45</v>
      </c>
      <c r="C474" s="3">
        <f t="shared" si="2"/>
        <v>0.45</v>
      </c>
    </row>
    <row r="475" spans="1:3" ht="13">
      <c r="A475" s="10">
        <v>912</v>
      </c>
      <c r="B475" s="3">
        <f t="shared" si="3"/>
        <v>15.2</v>
      </c>
      <c r="C475" s="3">
        <f t="shared" si="2"/>
        <v>15.2</v>
      </c>
    </row>
    <row r="476" spans="1:3" ht="13">
      <c r="A476" s="1"/>
      <c r="B476" s="3">
        <f t="shared" si="3"/>
        <v>0</v>
      </c>
      <c r="C476" s="3" t="str">
        <f t="shared" si="2"/>
        <v/>
      </c>
    </row>
    <row r="477" spans="1:3" ht="13">
      <c r="A477" s="10">
        <v>370</v>
      </c>
      <c r="B477" s="3">
        <f t="shared" si="3"/>
        <v>6.166666666666667</v>
      </c>
      <c r="C477" s="3">
        <f t="shared" si="2"/>
        <v>6.166666666666667</v>
      </c>
    </row>
    <row r="478" spans="1:3" ht="13">
      <c r="A478" s="10">
        <v>315</v>
      </c>
      <c r="B478" s="3">
        <f t="shared" si="3"/>
        <v>5.25</v>
      </c>
      <c r="C478" s="3">
        <f t="shared" si="2"/>
        <v>5.25</v>
      </c>
    </row>
    <row r="479" spans="1:3" ht="13">
      <c r="A479" s="10">
        <v>715</v>
      </c>
      <c r="B479" s="3">
        <f t="shared" si="3"/>
        <v>11.916666666666666</v>
      </c>
      <c r="C479" s="3">
        <f t="shared" si="2"/>
        <v>11.916666666666666</v>
      </c>
    </row>
    <row r="480" spans="1:3" ht="13">
      <c r="A480" s="10">
        <v>313</v>
      </c>
      <c r="B480" s="3">
        <f t="shared" si="3"/>
        <v>5.2166666666666668</v>
      </c>
      <c r="C480" s="3">
        <f t="shared" si="2"/>
        <v>5.2166666666666668</v>
      </c>
    </row>
    <row r="481" spans="1:3" ht="13">
      <c r="A481" s="10">
        <v>144</v>
      </c>
      <c r="B481" s="3">
        <f t="shared" si="3"/>
        <v>2.4</v>
      </c>
      <c r="C481" s="3">
        <f t="shared" si="2"/>
        <v>2.4</v>
      </c>
    </row>
    <row r="482" spans="1:3" ht="13">
      <c r="A482" s="10">
        <v>70</v>
      </c>
      <c r="B482" s="3">
        <f t="shared" si="3"/>
        <v>1.1666666666666667</v>
      </c>
      <c r="C482" s="3">
        <f t="shared" si="2"/>
        <v>1.1666666666666667</v>
      </c>
    </row>
    <row r="483" spans="1:3" ht="13">
      <c r="A483" s="10">
        <v>899</v>
      </c>
      <c r="B483" s="3">
        <f t="shared" si="3"/>
        <v>14.983333333333333</v>
      </c>
      <c r="C483" s="3">
        <f t="shared" si="2"/>
        <v>14.983333333333333</v>
      </c>
    </row>
    <row r="484" spans="1:3" ht="13">
      <c r="A484" s="10">
        <v>683</v>
      </c>
      <c r="B484" s="3">
        <f t="shared" si="3"/>
        <v>11.383333333333333</v>
      </c>
      <c r="C484" s="3">
        <f t="shared" si="2"/>
        <v>11.383333333333333</v>
      </c>
    </row>
    <row r="485" spans="1:3" ht="13">
      <c r="A485" s="10">
        <v>122</v>
      </c>
      <c r="B485" s="3">
        <f t="shared" si="3"/>
        <v>2.0333333333333332</v>
      </c>
      <c r="C485" s="3">
        <f t="shared" si="2"/>
        <v>2.0333333333333332</v>
      </c>
    </row>
    <row r="486" spans="1:3" ht="13">
      <c r="A486" s="1"/>
      <c r="B486" s="3">
        <f t="shared" si="3"/>
        <v>0</v>
      </c>
      <c r="C486" s="3" t="str">
        <f t="shared" si="2"/>
        <v/>
      </c>
    </row>
    <row r="487" spans="1:3" ht="13">
      <c r="A487" s="1"/>
      <c r="B487" s="3">
        <f t="shared" si="3"/>
        <v>0</v>
      </c>
      <c r="C487" s="3" t="str">
        <f t="shared" si="2"/>
        <v/>
      </c>
    </row>
    <row r="488" spans="1:3" ht="13">
      <c r="A488" s="10">
        <v>161</v>
      </c>
      <c r="B488" s="3">
        <f t="shared" si="3"/>
        <v>2.6833333333333331</v>
      </c>
      <c r="C488" s="3">
        <f t="shared" si="2"/>
        <v>2.6833333333333331</v>
      </c>
    </row>
    <row r="489" spans="1:3" ht="13">
      <c r="A489" s="10">
        <v>1991</v>
      </c>
      <c r="B489" s="3">
        <f t="shared" si="3"/>
        <v>33.18333333333333</v>
      </c>
      <c r="C489" s="3">
        <f t="shared" si="2"/>
        <v>33.18333333333333</v>
      </c>
    </row>
    <row r="490" spans="1:3" ht="13">
      <c r="A490" s="10">
        <v>1398</v>
      </c>
      <c r="B490" s="3">
        <f t="shared" si="3"/>
        <v>23.3</v>
      </c>
      <c r="C490" s="3">
        <f t="shared" si="2"/>
        <v>23.3</v>
      </c>
    </row>
    <row r="491" spans="1:3" ht="13">
      <c r="A491" s="10">
        <v>363</v>
      </c>
      <c r="B491" s="3">
        <f t="shared" si="3"/>
        <v>6.05</v>
      </c>
      <c r="C491" s="3">
        <f t="shared" si="2"/>
        <v>6.05</v>
      </c>
    </row>
    <row r="492" spans="1:3" ht="13">
      <c r="A492" s="10">
        <v>929</v>
      </c>
      <c r="B492" s="3">
        <f t="shared" si="3"/>
        <v>15.483333333333333</v>
      </c>
      <c r="C492" s="3">
        <f t="shared" si="2"/>
        <v>15.483333333333333</v>
      </c>
    </row>
    <row r="493" spans="1:3" ht="13">
      <c r="A493" s="10">
        <v>496</v>
      </c>
      <c r="B493" s="3">
        <f t="shared" si="3"/>
        <v>8.2666666666666675</v>
      </c>
      <c r="C493" s="3">
        <f t="shared" si="2"/>
        <v>8.2666666666666675</v>
      </c>
    </row>
    <row r="494" spans="1:3" ht="13">
      <c r="A494" s="10">
        <v>301</v>
      </c>
      <c r="B494" s="3">
        <f t="shared" si="3"/>
        <v>5.0166666666666666</v>
      </c>
      <c r="C494" s="3">
        <f t="shared" si="2"/>
        <v>5.0166666666666666</v>
      </c>
    </row>
    <row r="495" spans="1:3" ht="13">
      <c r="A495" s="1"/>
      <c r="B495" s="3">
        <f t="shared" si="3"/>
        <v>0</v>
      </c>
      <c r="C495" s="3" t="str">
        <f t="shared" si="2"/>
        <v/>
      </c>
    </row>
    <row r="496" spans="1:3" ht="13">
      <c r="A496" s="1"/>
      <c r="B496" s="3">
        <f t="shared" si="3"/>
        <v>0</v>
      </c>
      <c r="C496" s="3" t="str">
        <f t="shared" si="2"/>
        <v/>
      </c>
    </row>
    <row r="497" spans="1:3" ht="13">
      <c r="A497" s="10">
        <v>579</v>
      </c>
      <c r="B497" s="3">
        <f t="shared" si="3"/>
        <v>9.65</v>
      </c>
      <c r="C497" s="3">
        <f t="shared" si="2"/>
        <v>9.65</v>
      </c>
    </row>
    <row r="498" spans="1:3" ht="13">
      <c r="A498" s="10">
        <v>157</v>
      </c>
      <c r="B498" s="3">
        <f t="shared" si="3"/>
        <v>2.6166666666666667</v>
      </c>
      <c r="C498" s="3">
        <f t="shared" si="2"/>
        <v>2.6166666666666667</v>
      </c>
    </row>
    <row r="499" spans="1:3" ht="13">
      <c r="A499" s="10">
        <v>158</v>
      </c>
      <c r="B499" s="3">
        <f t="shared" si="3"/>
        <v>2.6333333333333333</v>
      </c>
      <c r="C499" s="3">
        <f t="shared" si="2"/>
        <v>2.6333333333333333</v>
      </c>
    </row>
    <row r="500" spans="1:3" ht="13">
      <c r="A500" s="10">
        <v>497</v>
      </c>
      <c r="B500" s="3">
        <f t="shared" si="3"/>
        <v>8.2833333333333332</v>
      </c>
      <c r="C500" s="3">
        <f t="shared" si="2"/>
        <v>8.2833333333333332</v>
      </c>
    </row>
    <row r="501" spans="1:3" ht="13">
      <c r="A501" s="10">
        <v>319</v>
      </c>
      <c r="B501" s="3">
        <f t="shared" si="3"/>
        <v>5.3166666666666664</v>
      </c>
      <c r="C501" s="3">
        <f t="shared" si="2"/>
        <v>5.3166666666666664</v>
      </c>
    </row>
    <row r="502" spans="1:3" ht="13">
      <c r="A502" s="10">
        <v>253</v>
      </c>
      <c r="B502" s="3">
        <f t="shared" si="3"/>
        <v>4.2166666666666668</v>
      </c>
      <c r="C502" s="3">
        <f t="shared" si="2"/>
        <v>4.2166666666666668</v>
      </c>
    </row>
    <row r="503" spans="1:3" ht="13">
      <c r="A503" s="10">
        <v>1221</v>
      </c>
      <c r="B503" s="3">
        <f t="shared" si="3"/>
        <v>20.350000000000001</v>
      </c>
      <c r="C503" s="3">
        <f t="shared" si="2"/>
        <v>20.350000000000001</v>
      </c>
    </row>
    <row r="504" spans="1:3" ht="13">
      <c r="A504" s="10">
        <v>2654</v>
      </c>
      <c r="B504" s="3">
        <f t="shared" si="3"/>
        <v>44.233333333333334</v>
      </c>
      <c r="C504" s="3">
        <f t="shared" si="2"/>
        <v>44.233333333333334</v>
      </c>
    </row>
    <row r="505" spans="1:3" ht="13">
      <c r="A505" s="10">
        <v>1</v>
      </c>
      <c r="B505" s="3">
        <f t="shared" si="3"/>
        <v>1.6666666666666666E-2</v>
      </c>
      <c r="C505" s="3" t="str">
        <f t="shared" si="2"/>
        <v/>
      </c>
    </row>
    <row r="506" spans="1:3" ht="13">
      <c r="A506" s="10">
        <v>77</v>
      </c>
      <c r="B506" s="3">
        <f t="shared" si="3"/>
        <v>1.2833333333333334</v>
      </c>
      <c r="C506" s="3">
        <f t="shared" si="2"/>
        <v>1.2833333333333334</v>
      </c>
    </row>
    <row r="507" spans="1:3" ht="13">
      <c r="A507" s="10">
        <v>888</v>
      </c>
      <c r="B507" s="3">
        <f t="shared" si="3"/>
        <v>14.8</v>
      </c>
      <c r="C507" s="3">
        <f t="shared" si="2"/>
        <v>14.8</v>
      </c>
    </row>
    <row r="508" spans="1:3" ht="13">
      <c r="A508" s="10">
        <v>79</v>
      </c>
      <c r="B508" s="3">
        <f t="shared" si="3"/>
        <v>1.3166666666666667</v>
      </c>
      <c r="C508" s="3">
        <f t="shared" si="2"/>
        <v>1.3166666666666667</v>
      </c>
    </row>
    <row r="509" spans="1:3" ht="13">
      <c r="A509" s="10">
        <v>1764</v>
      </c>
      <c r="B509" s="3">
        <f t="shared" si="3"/>
        <v>29.4</v>
      </c>
      <c r="C509" s="3">
        <f t="shared" si="2"/>
        <v>29.4</v>
      </c>
    </row>
    <row r="510" spans="1:3" ht="13">
      <c r="A510" s="10">
        <v>601</v>
      </c>
      <c r="B510" s="3">
        <f t="shared" si="3"/>
        <v>10.016666666666667</v>
      </c>
      <c r="C510" s="3">
        <f t="shared" si="2"/>
        <v>10.016666666666667</v>
      </c>
    </row>
    <row r="511" spans="1:3" ht="13">
      <c r="A511" s="10">
        <v>2022</v>
      </c>
      <c r="B511" s="3">
        <f t="shared" si="3"/>
        <v>33.700000000000003</v>
      </c>
      <c r="C511" s="3">
        <f t="shared" si="2"/>
        <v>33.700000000000003</v>
      </c>
    </row>
    <row r="512" spans="1:3" ht="13">
      <c r="A512" s="10">
        <v>125</v>
      </c>
      <c r="B512" s="3">
        <f t="shared" si="3"/>
        <v>2.0833333333333335</v>
      </c>
      <c r="C512" s="3">
        <f t="shared" ref="C512:C766" si="4">IF(B512&gt;0.1, B512, "")</f>
        <v>2.0833333333333335</v>
      </c>
    </row>
    <row r="513" spans="1:3" ht="13">
      <c r="A513" s="10">
        <v>237</v>
      </c>
      <c r="B513" s="3">
        <f t="shared" ref="B513:B767" si="5">A513/60</f>
        <v>3.95</v>
      </c>
      <c r="C513" s="3">
        <f t="shared" si="4"/>
        <v>3.95</v>
      </c>
    </row>
    <row r="514" spans="1:3" ht="13">
      <c r="A514" s="10">
        <v>612</v>
      </c>
      <c r="B514" s="3">
        <f t="shared" si="5"/>
        <v>10.199999999999999</v>
      </c>
      <c r="C514" s="3">
        <f t="shared" si="4"/>
        <v>10.199999999999999</v>
      </c>
    </row>
    <row r="515" spans="1:3" ht="13">
      <c r="A515" s="10">
        <v>1205</v>
      </c>
      <c r="B515" s="3">
        <f t="shared" si="5"/>
        <v>20.083333333333332</v>
      </c>
      <c r="C515" s="3">
        <f t="shared" si="4"/>
        <v>20.083333333333332</v>
      </c>
    </row>
    <row r="516" spans="1:3" ht="13">
      <c r="A516" s="10">
        <v>45</v>
      </c>
      <c r="B516" s="3">
        <f t="shared" si="5"/>
        <v>0.75</v>
      </c>
      <c r="C516" s="3">
        <f t="shared" si="4"/>
        <v>0.75</v>
      </c>
    </row>
    <row r="517" spans="1:3" ht="13">
      <c r="A517" s="10">
        <v>923</v>
      </c>
      <c r="B517" s="3">
        <f t="shared" si="5"/>
        <v>15.383333333333333</v>
      </c>
      <c r="C517" s="3">
        <f t="shared" si="4"/>
        <v>15.383333333333333</v>
      </c>
    </row>
    <row r="518" spans="1:3" ht="13">
      <c r="A518" s="10">
        <v>215</v>
      </c>
      <c r="B518" s="3">
        <f t="shared" si="5"/>
        <v>3.5833333333333335</v>
      </c>
      <c r="C518" s="3">
        <f t="shared" si="4"/>
        <v>3.5833333333333335</v>
      </c>
    </row>
    <row r="519" spans="1:3" ht="13">
      <c r="A519" s="10">
        <v>203</v>
      </c>
      <c r="B519" s="3">
        <f t="shared" si="5"/>
        <v>3.3833333333333333</v>
      </c>
      <c r="C519" s="3">
        <f t="shared" si="4"/>
        <v>3.3833333333333333</v>
      </c>
    </row>
    <row r="520" spans="1:3" ht="13">
      <c r="A520" s="10">
        <v>658</v>
      </c>
      <c r="B520" s="3">
        <f t="shared" si="5"/>
        <v>10.966666666666667</v>
      </c>
      <c r="C520" s="3">
        <f t="shared" si="4"/>
        <v>10.966666666666667</v>
      </c>
    </row>
    <row r="521" spans="1:3" ht="13">
      <c r="A521" s="10">
        <v>79</v>
      </c>
      <c r="B521" s="3">
        <f t="shared" si="5"/>
        <v>1.3166666666666667</v>
      </c>
      <c r="C521" s="3">
        <f t="shared" si="4"/>
        <v>1.3166666666666667</v>
      </c>
    </row>
    <row r="522" spans="1:3" ht="13">
      <c r="A522" s="1"/>
      <c r="B522" s="3">
        <f t="shared" si="5"/>
        <v>0</v>
      </c>
      <c r="C522" s="3" t="str">
        <f t="shared" si="4"/>
        <v/>
      </c>
    </row>
    <row r="523" spans="1:3" ht="13">
      <c r="A523" s="10">
        <v>630</v>
      </c>
      <c r="B523" s="3">
        <f t="shared" si="5"/>
        <v>10.5</v>
      </c>
      <c r="C523" s="3">
        <f t="shared" si="4"/>
        <v>10.5</v>
      </c>
    </row>
    <row r="524" spans="1:3" ht="13">
      <c r="A524" s="10">
        <v>205</v>
      </c>
      <c r="B524" s="3">
        <f t="shared" si="5"/>
        <v>3.4166666666666665</v>
      </c>
      <c r="C524" s="3">
        <f t="shared" si="4"/>
        <v>3.4166666666666665</v>
      </c>
    </row>
    <row r="525" spans="1:3" ht="13">
      <c r="A525" s="10">
        <v>404</v>
      </c>
      <c r="B525" s="3">
        <f t="shared" si="5"/>
        <v>6.7333333333333334</v>
      </c>
      <c r="C525" s="3">
        <f t="shared" si="4"/>
        <v>6.7333333333333334</v>
      </c>
    </row>
    <row r="526" spans="1:3" ht="13">
      <c r="A526" s="10">
        <v>305</v>
      </c>
      <c r="B526" s="3">
        <f t="shared" si="5"/>
        <v>5.083333333333333</v>
      </c>
      <c r="C526" s="3">
        <f t="shared" si="4"/>
        <v>5.083333333333333</v>
      </c>
    </row>
    <row r="527" spans="1:3" ht="13">
      <c r="A527" s="1"/>
      <c r="B527" s="3">
        <f t="shared" si="5"/>
        <v>0</v>
      </c>
      <c r="C527" s="3" t="str">
        <f t="shared" si="4"/>
        <v/>
      </c>
    </row>
    <row r="528" spans="1:3" ht="13">
      <c r="A528" s="1"/>
      <c r="B528" s="3">
        <f t="shared" si="5"/>
        <v>0</v>
      </c>
      <c r="C528" s="3" t="str">
        <f t="shared" si="4"/>
        <v/>
      </c>
    </row>
    <row r="529" spans="1:3" ht="13">
      <c r="A529" s="10">
        <v>224</v>
      </c>
      <c r="B529" s="3">
        <f t="shared" si="5"/>
        <v>3.7333333333333334</v>
      </c>
      <c r="C529" s="3">
        <f t="shared" si="4"/>
        <v>3.7333333333333334</v>
      </c>
    </row>
    <row r="530" spans="1:3" ht="13">
      <c r="A530" s="1"/>
      <c r="B530" s="3">
        <f t="shared" si="5"/>
        <v>0</v>
      </c>
      <c r="C530" s="3" t="str">
        <f t="shared" si="4"/>
        <v/>
      </c>
    </row>
    <row r="531" spans="1:3" ht="13">
      <c r="A531" s="1"/>
      <c r="B531" s="3">
        <f t="shared" si="5"/>
        <v>0</v>
      </c>
      <c r="C531" s="3" t="str">
        <f t="shared" si="4"/>
        <v/>
      </c>
    </row>
    <row r="532" spans="1:3" ht="13">
      <c r="A532" s="1"/>
      <c r="B532" s="3">
        <f t="shared" si="5"/>
        <v>0</v>
      </c>
      <c r="C532" s="3" t="str">
        <f t="shared" si="4"/>
        <v/>
      </c>
    </row>
    <row r="533" spans="1:3" ht="13">
      <c r="A533" s="10">
        <v>502</v>
      </c>
      <c r="B533" s="3">
        <f t="shared" si="5"/>
        <v>8.3666666666666671</v>
      </c>
      <c r="C533" s="3">
        <f t="shared" si="4"/>
        <v>8.3666666666666671</v>
      </c>
    </row>
    <row r="534" spans="1:3" ht="13">
      <c r="A534" s="1"/>
      <c r="B534" s="3">
        <f t="shared" si="5"/>
        <v>0</v>
      </c>
      <c r="C534" s="3" t="str">
        <f t="shared" si="4"/>
        <v/>
      </c>
    </row>
    <row r="535" spans="1:3" ht="13">
      <c r="A535" s="10">
        <v>578</v>
      </c>
      <c r="B535" s="3">
        <f t="shared" si="5"/>
        <v>9.6333333333333329</v>
      </c>
      <c r="C535" s="3">
        <f t="shared" si="4"/>
        <v>9.6333333333333329</v>
      </c>
    </row>
    <row r="536" spans="1:3" ht="13">
      <c r="A536" s="10">
        <v>1412</v>
      </c>
      <c r="B536" s="3">
        <f t="shared" si="5"/>
        <v>23.533333333333335</v>
      </c>
      <c r="C536" s="3">
        <f t="shared" si="4"/>
        <v>23.533333333333335</v>
      </c>
    </row>
    <row r="537" spans="1:3" ht="13">
      <c r="A537" s="10">
        <v>392</v>
      </c>
      <c r="B537" s="3">
        <f t="shared" si="5"/>
        <v>6.5333333333333332</v>
      </c>
      <c r="C537" s="3">
        <f t="shared" si="4"/>
        <v>6.5333333333333332</v>
      </c>
    </row>
    <row r="538" spans="1:3" ht="13">
      <c r="A538" s="10">
        <v>118</v>
      </c>
      <c r="B538" s="3">
        <f t="shared" si="5"/>
        <v>1.9666666666666666</v>
      </c>
      <c r="C538" s="3">
        <f t="shared" si="4"/>
        <v>1.9666666666666666</v>
      </c>
    </row>
    <row r="539" spans="1:3" ht="13">
      <c r="A539" s="1"/>
      <c r="B539" s="3">
        <f t="shared" si="5"/>
        <v>0</v>
      </c>
      <c r="C539" s="3" t="str">
        <f t="shared" si="4"/>
        <v/>
      </c>
    </row>
    <row r="540" spans="1:3" ht="13">
      <c r="A540" s="1"/>
      <c r="B540" s="3">
        <f t="shared" si="5"/>
        <v>0</v>
      </c>
      <c r="C540" s="3" t="str">
        <f t="shared" si="4"/>
        <v/>
      </c>
    </row>
    <row r="541" spans="1:3" ht="13">
      <c r="A541" s="1"/>
      <c r="B541" s="3">
        <f t="shared" si="5"/>
        <v>0</v>
      </c>
      <c r="C541" s="3" t="str">
        <f t="shared" si="4"/>
        <v/>
      </c>
    </row>
    <row r="542" spans="1:3" ht="13">
      <c r="A542" s="10">
        <v>163</v>
      </c>
      <c r="B542" s="3">
        <f t="shared" si="5"/>
        <v>2.7166666666666668</v>
      </c>
      <c r="C542" s="3">
        <f t="shared" si="4"/>
        <v>2.7166666666666668</v>
      </c>
    </row>
    <row r="543" spans="1:3" ht="13">
      <c r="A543" s="10">
        <v>331</v>
      </c>
      <c r="B543" s="3">
        <f t="shared" si="5"/>
        <v>5.5166666666666666</v>
      </c>
      <c r="C543" s="3">
        <f t="shared" si="4"/>
        <v>5.5166666666666666</v>
      </c>
    </row>
    <row r="544" spans="1:3" ht="13">
      <c r="A544" s="10">
        <v>344</v>
      </c>
      <c r="B544" s="3">
        <f t="shared" si="5"/>
        <v>5.7333333333333334</v>
      </c>
      <c r="C544" s="3">
        <f t="shared" si="4"/>
        <v>5.7333333333333334</v>
      </c>
    </row>
    <row r="545" spans="1:3" ht="13">
      <c r="A545" s="10">
        <v>6</v>
      </c>
      <c r="B545" s="3">
        <f t="shared" si="5"/>
        <v>0.1</v>
      </c>
      <c r="C545" s="3" t="str">
        <f t="shared" si="4"/>
        <v/>
      </c>
    </row>
    <row r="546" spans="1:3" ht="13">
      <c r="A546" s="1"/>
      <c r="B546" s="3">
        <f t="shared" si="5"/>
        <v>0</v>
      </c>
      <c r="C546" s="3" t="str">
        <f t="shared" si="4"/>
        <v/>
      </c>
    </row>
    <row r="547" spans="1:3" ht="13">
      <c r="A547" s="10">
        <v>856</v>
      </c>
      <c r="B547" s="3">
        <f t="shared" si="5"/>
        <v>14.266666666666667</v>
      </c>
      <c r="C547" s="3">
        <f t="shared" si="4"/>
        <v>14.266666666666667</v>
      </c>
    </row>
    <row r="548" spans="1:3" ht="13">
      <c r="A548" s="10">
        <v>480</v>
      </c>
      <c r="B548" s="3">
        <f t="shared" si="5"/>
        <v>8</v>
      </c>
      <c r="C548" s="3">
        <f t="shared" si="4"/>
        <v>8</v>
      </c>
    </row>
    <row r="549" spans="1:3" ht="13">
      <c r="A549" s="10">
        <v>466</v>
      </c>
      <c r="B549" s="3">
        <f t="shared" si="5"/>
        <v>7.7666666666666666</v>
      </c>
      <c r="C549" s="3">
        <f t="shared" si="4"/>
        <v>7.7666666666666666</v>
      </c>
    </row>
    <row r="550" spans="1:3" ht="13">
      <c r="A550" s="10">
        <v>3607</v>
      </c>
      <c r="B550" s="3">
        <f t="shared" si="5"/>
        <v>60.116666666666667</v>
      </c>
      <c r="C550" s="3">
        <f t="shared" si="4"/>
        <v>60.116666666666667</v>
      </c>
    </row>
    <row r="551" spans="1:3" ht="13">
      <c r="A551" s="10">
        <v>211</v>
      </c>
      <c r="B551" s="3">
        <f t="shared" si="5"/>
        <v>3.5166666666666666</v>
      </c>
      <c r="C551" s="3">
        <f t="shared" si="4"/>
        <v>3.5166666666666666</v>
      </c>
    </row>
    <row r="552" spans="1:3" ht="13">
      <c r="A552" s="10">
        <v>1625</v>
      </c>
      <c r="B552" s="3">
        <f t="shared" si="5"/>
        <v>27.083333333333332</v>
      </c>
      <c r="C552" s="3">
        <f t="shared" si="4"/>
        <v>27.083333333333332</v>
      </c>
    </row>
    <row r="553" spans="1:3" ht="13">
      <c r="A553" s="1"/>
      <c r="B553" s="3">
        <f t="shared" si="5"/>
        <v>0</v>
      </c>
      <c r="C553" s="3" t="str">
        <f t="shared" si="4"/>
        <v/>
      </c>
    </row>
    <row r="554" spans="1:3" ht="13">
      <c r="A554" s="10">
        <v>418</v>
      </c>
      <c r="B554" s="3">
        <f t="shared" si="5"/>
        <v>6.9666666666666668</v>
      </c>
      <c r="C554" s="3">
        <f t="shared" si="4"/>
        <v>6.9666666666666668</v>
      </c>
    </row>
    <row r="555" spans="1:3" ht="13">
      <c r="A555" s="1"/>
      <c r="B555" s="3">
        <f t="shared" si="5"/>
        <v>0</v>
      </c>
      <c r="C555" s="3" t="str">
        <f t="shared" si="4"/>
        <v/>
      </c>
    </row>
    <row r="556" spans="1:3" ht="13">
      <c r="A556" s="10">
        <v>832</v>
      </c>
      <c r="B556" s="3">
        <f t="shared" si="5"/>
        <v>13.866666666666667</v>
      </c>
      <c r="C556" s="3">
        <f t="shared" si="4"/>
        <v>13.866666666666667</v>
      </c>
    </row>
    <row r="557" spans="1:3" ht="13">
      <c r="A557" s="10">
        <v>417</v>
      </c>
      <c r="B557" s="3">
        <f t="shared" si="5"/>
        <v>6.95</v>
      </c>
      <c r="C557" s="3">
        <f t="shared" si="4"/>
        <v>6.95</v>
      </c>
    </row>
    <row r="558" spans="1:3" ht="13">
      <c r="A558" s="10">
        <v>749</v>
      </c>
      <c r="B558" s="3">
        <f t="shared" si="5"/>
        <v>12.483333333333333</v>
      </c>
      <c r="C558" s="3">
        <f t="shared" si="4"/>
        <v>12.483333333333333</v>
      </c>
    </row>
    <row r="559" spans="1:3" ht="13">
      <c r="A559" s="10">
        <v>204</v>
      </c>
      <c r="B559" s="3">
        <f t="shared" si="5"/>
        <v>3.4</v>
      </c>
      <c r="C559" s="3">
        <f t="shared" si="4"/>
        <v>3.4</v>
      </c>
    </row>
    <row r="560" spans="1:3" ht="13">
      <c r="A560" s="1"/>
      <c r="B560" s="3">
        <f t="shared" si="5"/>
        <v>0</v>
      </c>
      <c r="C560" s="3" t="str">
        <f t="shared" si="4"/>
        <v/>
      </c>
    </row>
    <row r="561" spans="1:3" ht="13">
      <c r="A561" s="10">
        <v>66</v>
      </c>
      <c r="B561" s="3">
        <f t="shared" si="5"/>
        <v>1.1000000000000001</v>
      </c>
      <c r="C561" s="3">
        <f t="shared" si="4"/>
        <v>1.1000000000000001</v>
      </c>
    </row>
    <row r="562" spans="1:3" ht="13">
      <c r="A562" s="10">
        <v>184</v>
      </c>
      <c r="B562" s="3">
        <f t="shared" si="5"/>
        <v>3.0666666666666669</v>
      </c>
      <c r="C562" s="3">
        <f t="shared" si="4"/>
        <v>3.0666666666666669</v>
      </c>
    </row>
    <row r="563" spans="1:3" ht="13">
      <c r="A563" s="1"/>
      <c r="B563" s="3">
        <f t="shared" si="5"/>
        <v>0</v>
      </c>
      <c r="C563" s="3" t="str">
        <f t="shared" si="4"/>
        <v/>
      </c>
    </row>
    <row r="564" spans="1:3" ht="13">
      <c r="A564" s="10">
        <v>973</v>
      </c>
      <c r="B564" s="3">
        <f t="shared" si="5"/>
        <v>16.216666666666665</v>
      </c>
      <c r="C564" s="3">
        <f t="shared" si="4"/>
        <v>16.216666666666665</v>
      </c>
    </row>
    <row r="565" spans="1:3" ht="13">
      <c r="A565" s="10">
        <v>741</v>
      </c>
      <c r="B565" s="3">
        <f t="shared" si="5"/>
        <v>12.35</v>
      </c>
      <c r="C565" s="3">
        <f t="shared" si="4"/>
        <v>12.35</v>
      </c>
    </row>
    <row r="566" spans="1:3" ht="13">
      <c r="A566" s="10">
        <v>635</v>
      </c>
      <c r="B566" s="3">
        <f t="shared" si="5"/>
        <v>10.583333333333334</v>
      </c>
      <c r="C566" s="3">
        <f t="shared" si="4"/>
        <v>10.583333333333334</v>
      </c>
    </row>
    <row r="567" spans="1:3" ht="13">
      <c r="A567" s="10">
        <v>1338</v>
      </c>
      <c r="B567" s="3">
        <f t="shared" si="5"/>
        <v>22.3</v>
      </c>
      <c r="C567" s="3">
        <f t="shared" si="4"/>
        <v>22.3</v>
      </c>
    </row>
    <row r="568" spans="1:3" ht="13">
      <c r="A568" s="10">
        <v>430</v>
      </c>
      <c r="B568" s="3">
        <f t="shared" si="5"/>
        <v>7.166666666666667</v>
      </c>
      <c r="C568" s="3">
        <f t="shared" si="4"/>
        <v>7.166666666666667</v>
      </c>
    </row>
    <row r="569" spans="1:3" ht="13">
      <c r="A569" s="10">
        <v>444</v>
      </c>
      <c r="B569" s="3">
        <f t="shared" si="5"/>
        <v>7.4</v>
      </c>
      <c r="C569" s="3">
        <f t="shared" si="4"/>
        <v>7.4</v>
      </c>
    </row>
    <row r="570" spans="1:3" ht="13">
      <c r="A570" s="10">
        <v>552</v>
      </c>
      <c r="B570" s="3">
        <f t="shared" si="5"/>
        <v>9.1999999999999993</v>
      </c>
      <c r="C570" s="3">
        <f t="shared" si="4"/>
        <v>9.1999999999999993</v>
      </c>
    </row>
    <row r="571" spans="1:3" ht="13">
      <c r="A571" s="10">
        <v>103</v>
      </c>
      <c r="B571" s="3">
        <f t="shared" si="5"/>
        <v>1.7166666666666666</v>
      </c>
      <c r="C571" s="3">
        <f t="shared" si="4"/>
        <v>1.7166666666666666</v>
      </c>
    </row>
    <row r="572" spans="1:3" ht="13">
      <c r="A572" s="1"/>
      <c r="B572" s="3">
        <f t="shared" si="5"/>
        <v>0</v>
      </c>
      <c r="C572" s="3" t="str">
        <f t="shared" si="4"/>
        <v/>
      </c>
    </row>
    <row r="573" spans="1:3" ht="13">
      <c r="A573" s="10">
        <v>453</v>
      </c>
      <c r="B573" s="3">
        <f t="shared" si="5"/>
        <v>7.55</v>
      </c>
      <c r="C573" s="3">
        <f t="shared" si="4"/>
        <v>7.55</v>
      </c>
    </row>
    <row r="574" spans="1:3" ht="13">
      <c r="A574" s="10">
        <v>1412</v>
      </c>
      <c r="B574" s="3">
        <f t="shared" si="5"/>
        <v>23.533333333333335</v>
      </c>
      <c r="C574" s="3">
        <f t="shared" si="4"/>
        <v>23.533333333333335</v>
      </c>
    </row>
    <row r="575" spans="1:3" ht="13">
      <c r="A575" s="1"/>
      <c r="B575" s="3">
        <f t="shared" si="5"/>
        <v>0</v>
      </c>
      <c r="C575" s="3" t="str">
        <f t="shared" si="4"/>
        <v/>
      </c>
    </row>
    <row r="576" spans="1:3" ht="13">
      <c r="A576" s="10">
        <v>279</v>
      </c>
      <c r="B576" s="3">
        <f t="shared" si="5"/>
        <v>4.6500000000000004</v>
      </c>
      <c r="C576" s="3">
        <f t="shared" si="4"/>
        <v>4.6500000000000004</v>
      </c>
    </row>
    <row r="577" spans="1:3" ht="13">
      <c r="A577" s="10">
        <v>2015</v>
      </c>
      <c r="B577" s="3">
        <f t="shared" si="5"/>
        <v>33.583333333333336</v>
      </c>
      <c r="C577" s="3">
        <f t="shared" si="4"/>
        <v>33.583333333333336</v>
      </c>
    </row>
    <row r="578" spans="1:3" ht="13">
      <c r="A578" s="1"/>
      <c r="B578" s="3">
        <f t="shared" si="5"/>
        <v>0</v>
      </c>
      <c r="C578" s="3" t="str">
        <f t="shared" si="4"/>
        <v/>
      </c>
    </row>
    <row r="579" spans="1:3" ht="13">
      <c r="A579" s="10">
        <v>1310</v>
      </c>
      <c r="B579" s="3">
        <f t="shared" si="5"/>
        <v>21.833333333333332</v>
      </c>
      <c r="C579" s="3">
        <f t="shared" si="4"/>
        <v>21.833333333333332</v>
      </c>
    </row>
    <row r="580" spans="1:3" ht="13">
      <c r="A580" s="10">
        <v>2539</v>
      </c>
      <c r="B580" s="3">
        <f t="shared" si="5"/>
        <v>42.31666666666667</v>
      </c>
      <c r="C580" s="3">
        <f t="shared" si="4"/>
        <v>42.31666666666667</v>
      </c>
    </row>
    <row r="581" spans="1:3" ht="13">
      <c r="A581" s="10">
        <v>9</v>
      </c>
      <c r="B581" s="3">
        <f t="shared" si="5"/>
        <v>0.15</v>
      </c>
      <c r="C581" s="3">
        <f t="shared" si="4"/>
        <v>0.15</v>
      </c>
    </row>
    <row r="582" spans="1:3" ht="13">
      <c r="A582" s="10">
        <v>1649</v>
      </c>
      <c r="B582" s="3">
        <f t="shared" si="5"/>
        <v>27.483333333333334</v>
      </c>
      <c r="C582" s="3">
        <f t="shared" si="4"/>
        <v>27.483333333333334</v>
      </c>
    </row>
    <row r="583" spans="1:3" ht="13">
      <c r="A583" s="10">
        <v>2507</v>
      </c>
      <c r="B583" s="3">
        <f t="shared" si="5"/>
        <v>41.783333333333331</v>
      </c>
      <c r="C583" s="3">
        <f t="shared" si="4"/>
        <v>41.783333333333331</v>
      </c>
    </row>
    <row r="584" spans="1:3" ht="13">
      <c r="A584" s="10">
        <v>295</v>
      </c>
      <c r="B584" s="3">
        <f t="shared" si="5"/>
        <v>4.916666666666667</v>
      </c>
      <c r="C584" s="3">
        <f t="shared" si="4"/>
        <v>4.916666666666667</v>
      </c>
    </row>
    <row r="585" spans="1:3" ht="13">
      <c r="A585" s="10">
        <v>519</v>
      </c>
      <c r="B585" s="3">
        <f t="shared" si="5"/>
        <v>8.65</v>
      </c>
      <c r="C585" s="3">
        <f t="shared" si="4"/>
        <v>8.65</v>
      </c>
    </row>
    <row r="586" spans="1:3" ht="13">
      <c r="A586" s="10">
        <v>191</v>
      </c>
      <c r="B586" s="3">
        <f t="shared" si="5"/>
        <v>3.1833333333333331</v>
      </c>
      <c r="C586" s="3">
        <f t="shared" si="4"/>
        <v>3.1833333333333331</v>
      </c>
    </row>
    <row r="587" spans="1:3" ht="13">
      <c r="A587" s="10">
        <v>121</v>
      </c>
      <c r="B587" s="3">
        <f t="shared" si="5"/>
        <v>2.0166666666666666</v>
      </c>
      <c r="C587" s="3">
        <f t="shared" si="4"/>
        <v>2.0166666666666666</v>
      </c>
    </row>
    <row r="588" spans="1:3" ht="13">
      <c r="A588" s="10">
        <v>2025</v>
      </c>
      <c r="B588" s="3">
        <f t="shared" si="5"/>
        <v>33.75</v>
      </c>
      <c r="C588" s="3">
        <f t="shared" si="4"/>
        <v>33.75</v>
      </c>
    </row>
    <row r="589" spans="1:3" ht="13">
      <c r="A589" s="10">
        <v>442</v>
      </c>
      <c r="B589" s="3">
        <f t="shared" si="5"/>
        <v>7.3666666666666663</v>
      </c>
      <c r="C589" s="3">
        <f t="shared" si="4"/>
        <v>7.3666666666666663</v>
      </c>
    </row>
    <row r="590" spans="1:3" ht="13">
      <c r="A590" s="10">
        <v>1411</v>
      </c>
      <c r="B590" s="3">
        <f t="shared" si="5"/>
        <v>23.516666666666666</v>
      </c>
      <c r="C590" s="3">
        <f t="shared" si="4"/>
        <v>23.516666666666666</v>
      </c>
    </row>
    <row r="591" spans="1:3" ht="13">
      <c r="A591" s="10">
        <v>440</v>
      </c>
      <c r="B591" s="3">
        <f t="shared" si="5"/>
        <v>7.333333333333333</v>
      </c>
      <c r="C591" s="3">
        <f t="shared" si="4"/>
        <v>7.333333333333333</v>
      </c>
    </row>
    <row r="592" spans="1:3" ht="13">
      <c r="A592" s="10">
        <v>652</v>
      </c>
      <c r="B592" s="3">
        <f t="shared" si="5"/>
        <v>10.866666666666667</v>
      </c>
      <c r="C592" s="3">
        <f t="shared" si="4"/>
        <v>10.866666666666667</v>
      </c>
    </row>
    <row r="593" spans="1:3" ht="13">
      <c r="A593" s="10">
        <v>419</v>
      </c>
      <c r="B593" s="3">
        <f t="shared" si="5"/>
        <v>6.9833333333333334</v>
      </c>
      <c r="C593" s="3">
        <f t="shared" si="4"/>
        <v>6.9833333333333334</v>
      </c>
    </row>
    <row r="594" spans="1:3" ht="13">
      <c r="A594" s="10">
        <v>175</v>
      </c>
      <c r="B594" s="3">
        <f t="shared" si="5"/>
        <v>2.9166666666666665</v>
      </c>
      <c r="C594" s="3">
        <f t="shared" si="4"/>
        <v>2.9166666666666665</v>
      </c>
    </row>
    <row r="595" spans="1:3" ht="13">
      <c r="A595" s="10">
        <v>337</v>
      </c>
      <c r="B595" s="3">
        <f t="shared" si="5"/>
        <v>5.6166666666666663</v>
      </c>
      <c r="C595" s="3">
        <f t="shared" si="4"/>
        <v>5.6166666666666663</v>
      </c>
    </row>
    <row r="596" spans="1:3" ht="13">
      <c r="A596" s="10">
        <v>252</v>
      </c>
      <c r="B596" s="3">
        <f t="shared" si="5"/>
        <v>4.2</v>
      </c>
      <c r="C596" s="3">
        <f t="shared" si="4"/>
        <v>4.2</v>
      </c>
    </row>
    <row r="597" spans="1:3" ht="13">
      <c r="A597" s="1"/>
      <c r="B597" s="3">
        <f t="shared" si="5"/>
        <v>0</v>
      </c>
      <c r="C597" s="3" t="str">
        <f t="shared" si="4"/>
        <v/>
      </c>
    </row>
    <row r="598" spans="1:3" ht="13">
      <c r="A598" s="10">
        <v>128</v>
      </c>
      <c r="B598" s="3">
        <f t="shared" si="5"/>
        <v>2.1333333333333333</v>
      </c>
      <c r="C598" s="3">
        <f t="shared" si="4"/>
        <v>2.1333333333333333</v>
      </c>
    </row>
    <row r="599" spans="1:3" ht="13">
      <c r="A599" s="10">
        <v>867</v>
      </c>
      <c r="B599" s="3">
        <f t="shared" si="5"/>
        <v>14.45</v>
      </c>
      <c r="C599" s="3">
        <f t="shared" si="4"/>
        <v>14.45</v>
      </c>
    </row>
    <row r="600" spans="1:3" ht="13">
      <c r="A600" s="10">
        <v>104</v>
      </c>
      <c r="B600" s="3">
        <f t="shared" si="5"/>
        <v>1.7333333333333334</v>
      </c>
      <c r="C600" s="3">
        <f t="shared" si="4"/>
        <v>1.7333333333333334</v>
      </c>
    </row>
    <row r="601" spans="1:3" ht="13">
      <c r="A601" s="1"/>
      <c r="B601" s="3">
        <f t="shared" si="5"/>
        <v>0</v>
      </c>
      <c r="C601" s="3" t="str">
        <f t="shared" si="4"/>
        <v/>
      </c>
    </row>
    <row r="602" spans="1:3" ht="13">
      <c r="A602" s="10">
        <v>1486</v>
      </c>
      <c r="B602" s="3">
        <f t="shared" si="5"/>
        <v>24.766666666666666</v>
      </c>
      <c r="C602" s="3">
        <f t="shared" si="4"/>
        <v>24.766666666666666</v>
      </c>
    </row>
    <row r="603" spans="1:3" ht="13">
      <c r="A603" s="1"/>
      <c r="B603" s="3">
        <f t="shared" si="5"/>
        <v>0</v>
      </c>
      <c r="C603" s="3" t="str">
        <f t="shared" si="4"/>
        <v/>
      </c>
    </row>
    <row r="604" spans="1:3" ht="13">
      <c r="A604" s="10">
        <v>295</v>
      </c>
      <c r="B604" s="3">
        <f t="shared" si="5"/>
        <v>4.916666666666667</v>
      </c>
      <c r="C604" s="3">
        <f t="shared" si="4"/>
        <v>4.916666666666667</v>
      </c>
    </row>
    <row r="605" spans="1:3" ht="13">
      <c r="A605" s="10">
        <v>2534</v>
      </c>
      <c r="B605" s="3">
        <f t="shared" si="5"/>
        <v>42.233333333333334</v>
      </c>
      <c r="C605" s="3">
        <f t="shared" si="4"/>
        <v>42.233333333333334</v>
      </c>
    </row>
    <row r="606" spans="1:3" ht="13">
      <c r="A606" s="10">
        <v>130</v>
      </c>
      <c r="B606" s="3">
        <f t="shared" si="5"/>
        <v>2.1666666666666665</v>
      </c>
      <c r="C606" s="3">
        <f t="shared" si="4"/>
        <v>2.1666666666666665</v>
      </c>
    </row>
    <row r="607" spans="1:3" ht="13">
      <c r="A607" s="10">
        <v>476</v>
      </c>
      <c r="B607" s="3">
        <f t="shared" si="5"/>
        <v>7.9333333333333336</v>
      </c>
      <c r="C607" s="3">
        <f t="shared" si="4"/>
        <v>7.9333333333333336</v>
      </c>
    </row>
    <row r="608" spans="1:3" ht="13">
      <c r="A608" s="10">
        <v>1118</v>
      </c>
      <c r="B608" s="3">
        <f t="shared" si="5"/>
        <v>18.633333333333333</v>
      </c>
      <c r="C608" s="3">
        <f t="shared" si="4"/>
        <v>18.633333333333333</v>
      </c>
    </row>
    <row r="609" spans="1:3" ht="13">
      <c r="A609" s="10">
        <v>351</v>
      </c>
      <c r="B609" s="3">
        <f t="shared" si="5"/>
        <v>5.85</v>
      </c>
      <c r="C609" s="3">
        <f t="shared" si="4"/>
        <v>5.85</v>
      </c>
    </row>
    <row r="610" spans="1:3" ht="13">
      <c r="A610" s="10">
        <v>420</v>
      </c>
      <c r="B610" s="3">
        <f t="shared" si="5"/>
        <v>7</v>
      </c>
      <c r="C610" s="3">
        <f t="shared" si="4"/>
        <v>7</v>
      </c>
    </row>
    <row r="611" spans="1:3" ht="13">
      <c r="A611" s="10">
        <v>895</v>
      </c>
      <c r="B611" s="3">
        <f t="shared" si="5"/>
        <v>14.916666666666666</v>
      </c>
      <c r="C611" s="3">
        <f t="shared" si="4"/>
        <v>14.916666666666666</v>
      </c>
    </row>
    <row r="612" spans="1:3" ht="13">
      <c r="A612" s="10">
        <v>1438</v>
      </c>
      <c r="B612" s="3">
        <f t="shared" si="5"/>
        <v>23.966666666666665</v>
      </c>
      <c r="C612" s="3">
        <f t="shared" si="4"/>
        <v>23.966666666666665</v>
      </c>
    </row>
    <row r="613" spans="1:3" ht="13">
      <c r="A613" s="10">
        <v>406</v>
      </c>
      <c r="B613" s="3">
        <f t="shared" si="5"/>
        <v>6.7666666666666666</v>
      </c>
      <c r="C613" s="3">
        <f t="shared" si="4"/>
        <v>6.7666666666666666</v>
      </c>
    </row>
    <row r="614" spans="1:3" ht="13">
      <c r="A614" s="10">
        <v>277</v>
      </c>
      <c r="B614" s="3">
        <f t="shared" si="5"/>
        <v>4.6166666666666663</v>
      </c>
      <c r="C614" s="3">
        <f t="shared" si="4"/>
        <v>4.6166666666666663</v>
      </c>
    </row>
    <row r="615" spans="1:3" ht="13">
      <c r="A615" s="10">
        <v>2688</v>
      </c>
      <c r="B615" s="3">
        <f t="shared" si="5"/>
        <v>44.8</v>
      </c>
      <c r="C615" s="3">
        <f t="shared" si="4"/>
        <v>44.8</v>
      </c>
    </row>
    <row r="616" spans="1:3" ht="13">
      <c r="A616" s="10">
        <v>462</v>
      </c>
      <c r="B616" s="3">
        <f t="shared" si="5"/>
        <v>7.7</v>
      </c>
      <c r="C616" s="3">
        <f t="shared" si="4"/>
        <v>7.7</v>
      </c>
    </row>
    <row r="617" spans="1:3" ht="13">
      <c r="A617" s="10">
        <v>335</v>
      </c>
      <c r="B617" s="3">
        <f t="shared" si="5"/>
        <v>5.583333333333333</v>
      </c>
      <c r="C617" s="3">
        <f t="shared" si="4"/>
        <v>5.583333333333333</v>
      </c>
    </row>
    <row r="618" spans="1:3" ht="13">
      <c r="A618" s="1"/>
      <c r="B618" s="3">
        <f t="shared" si="5"/>
        <v>0</v>
      </c>
      <c r="C618" s="3" t="str">
        <f t="shared" si="4"/>
        <v/>
      </c>
    </row>
    <row r="619" spans="1:3" ht="13">
      <c r="A619" s="10">
        <v>288</v>
      </c>
      <c r="B619" s="3">
        <f t="shared" si="5"/>
        <v>4.8</v>
      </c>
      <c r="C619" s="3">
        <f t="shared" si="4"/>
        <v>4.8</v>
      </c>
    </row>
    <row r="620" spans="1:3" ht="13">
      <c r="A620" s="10">
        <v>208</v>
      </c>
      <c r="B620" s="3">
        <f t="shared" si="5"/>
        <v>3.4666666666666668</v>
      </c>
      <c r="C620" s="3">
        <f t="shared" si="4"/>
        <v>3.4666666666666668</v>
      </c>
    </row>
    <row r="621" spans="1:3" ht="13">
      <c r="A621" s="10">
        <v>59</v>
      </c>
      <c r="B621" s="3">
        <f t="shared" si="5"/>
        <v>0.98333333333333328</v>
      </c>
      <c r="C621" s="3">
        <f t="shared" si="4"/>
        <v>0.98333333333333328</v>
      </c>
    </row>
    <row r="622" spans="1:3" ht="13">
      <c r="A622" s="10">
        <v>441</v>
      </c>
      <c r="B622" s="3">
        <f t="shared" si="5"/>
        <v>7.35</v>
      </c>
      <c r="C622" s="3">
        <f t="shared" si="4"/>
        <v>7.35</v>
      </c>
    </row>
    <row r="623" spans="1:3" ht="13">
      <c r="A623" s="10">
        <v>528</v>
      </c>
      <c r="B623" s="3">
        <f t="shared" si="5"/>
        <v>8.8000000000000007</v>
      </c>
      <c r="C623" s="3">
        <f t="shared" si="4"/>
        <v>8.8000000000000007</v>
      </c>
    </row>
    <row r="624" spans="1:3" ht="13">
      <c r="A624" s="10">
        <v>1487</v>
      </c>
      <c r="B624" s="3">
        <f t="shared" si="5"/>
        <v>24.783333333333335</v>
      </c>
      <c r="C624" s="3">
        <f t="shared" si="4"/>
        <v>24.783333333333335</v>
      </c>
    </row>
    <row r="625" spans="1:3" ht="13">
      <c r="A625" s="10">
        <v>131</v>
      </c>
      <c r="B625" s="3">
        <f t="shared" si="5"/>
        <v>2.1833333333333331</v>
      </c>
      <c r="C625" s="3">
        <f t="shared" si="4"/>
        <v>2.1833333333333331</v>
      </c>
    </row>
    <row r="626" spans="1:3" ht="13">
      <c r="A626" s="10">
        <v>185</v>
      </c>
      <c r="B626" s="3">
        <f t="shared" si="5"/>
        <v>3.0833333333333335</v>
      </c>
      <c r="C626" s="3">
        <f t="shared" si="4"/>
        <v>3.0833333333333335</v>
      </c>
    </row>
    <row r="627" spans="1:3" ht="13">
      <c r="A627" s="1"/>
      <c r="B627" s="3">
        <f t="shared" si="5"/>
        <v>0</v>
      </c>
      <c r="C627" s="3" t="str">
        <f t="shared" si="4"/>
        <v/>
      </c>
    </row>
    <row r="628" spans="1:3" ht="13">
      <c r="A628" s="10">
        <v>821</v>
      </c>
      <c r="B628" s="3">
        <f t="shared" si="5"/>
        <v>13.683333333333334</v>
      </c>
      <c r="C628" s="3">
        <f t="shared" si="4"/>
        <v>13.683333333333334</v>
      </c>
    </row>
    <row r="629" spans="1:3" ht="13">
      <c r="A629" s="1"/>
      <c r="B629" s="3">
        <f t="shared" si="5"/>
        <v>0</v>
      </c>
      <c r="C629" s="3" t="str">
        <f t="shared" si="4"/>
        <v/>
      </c>
    </row>
    <row r="630" spans="1:3" ht="13">
      <c r="A630" s="10">
        <v>157</v>
      </c>
      <c r="B630" s="3">
        <f t="shared" si="5"/>
        <v>2.6166666666666667</v>
      </c>
      <c r="C630" s="3">
        <f t="shared" si="4"/>
        <v>2.6166666666666667</v>
      </c>
    </row>
    <row r="631" spans="1:3" ht="13">
      <c r="A631" s="10">
        <v>345</v>
      </c>
      <c r="B631" s="3">
        <f t="shared" si="5"/>
        <v>5.75</v>
      </c>
      <c r="C631" s="3">
        <f t="shared" si="4"/>
        <v>5.75</v>
      </c>
    </row>
    <row r="632" spans="1:3" ht="13">
      <c r="A632" s="10">
        <v>1775</v>
      </c>
      <c r="B632" s="3">
        <f t="shared" si="5"/>
        <v>29.583333333333332</v>
      </c>
      <c r="C632" s="3">
        <f t="shared" si="4"/>
        <v>29.583333333333332</v>
      </c>
    </row>
    <row r="633" spans="1:3" ht="13">
      <c r="A633" s="10">
        <v>208</v>
      </c>
      <c r="B633" s="3">
        <f t="shared" si="5"/>
        <v>3.4666666666666668</v>
      </c>
      <c r="C633" s="3">
        <f t="shared" si="4"/>
        <v>3.4666666666666668</v>
      </c>
    </row>
    <row r="634" spans="1:3" ht="13">
      <c r="A634" s="10">
        <v>81</v>
      </c>
      <c r="B634" s="3">
        <f t="shared" si="5"/>
        <v>1.35</v>
      </c>
      <c r="C634" s="3">
        <f t="shared" si="4"/>
        <v>1.35</v>
      </c>
    </row>
    <row r="635" spans="1:3" ht="13">
      <c r="A635" s="10">
        <v>257</v>
      </c>
      <c r="B635" s="3">
        <f t="shared" si="5"/>
        <v>4.2833333333333332</v>
      </c>
      <c r="C635" s="3">
        <f t="shared" si="4"/>
        <v>4.2833333333333332</v>
      </c>
    </row>
    <row r="636" spans="1:3" ht="13">
      <c r="A636" s="1"/>
      <c r="B636" s="3">
        <f t="shared" si="5"/>
        <v>0</v>
      </c>
      <c r="C636" s="3" t="str">
        <f t="shared" si="4"/>
        <v/>
      </c>
    </row>
    <row r="637" spans="1:3" ht="13">
      <c r="A637" s="10">
        <v>481</v>
      </c>
      <c r="B637" s="3">
        <f t="shared" si="5"/>
        <v>8.0166666666666675</v>
      </c>
      <c r="C637" s="3">
        <f t="shared" si="4"/>
        <v>8.0166666666666675</v>
      </c>
    </row>
    <row r="638" spans="1:3" ht="13">
      <c r="A638" s="10">
        <v>170</v>
      </c>
      <c r="B638" s="3">
        <f t="shared" si="5"/>
        <v>2.8333333333333335</v>
      </c>
      <c r="C638" s="3">
        <f t="shared" si="4"/>
        <v>2.8333333333333335</v>
      </c>
    </row>
    <row r="639" spans="1:3" ht="13">
      <c r="A639" s="1"/>
      <c r="B639" s="3">
        <f t="shared" si="5"/>
        <v>0</v>
      </c>
      <c r="C639" s="3" t="str">
        <f t="shared" si="4"/>
        <v/>
      </c>
    </row>
    <row r="640" spans="1:3" ht="13">
      <c r="A640" s="1"/>
      <c r="B640" s="3">
        <f t="shared" si="5"/>
        <v>0</v>
      </c>
      <c r="C640" s="3" t="str">
        <f t="shared" si="4"/>
        <v/>
      </c>
    </row>
    <row r="641" spans="1:3" ht="13">
      <c r="A641" s="10">
        <v>633</v>
      </c>
      <c r="B641" s="3">
        <f t="shared" si="5"/>
        <v>10.55</v>
      </c>
      <c r="C641" s="3">
        <f t="shared" si="4"/>
        <v>10.55</v>
      </c>
    </row>
    <row r="642" spans="1:3" ht="13">
      <c r="A642" s="10">
        <v>637</v>
      </c>
      <c r="B642" s="3">
        <f t="shared" si="5"/>
        <v>10.616666666666667</v>
      </c>
      <c r="C642" s="3">
        <f t="shared" si="4"/>
        <v>10.616666666666667</v>
      </c>
    </row>
    <row r="643" spans="1:3" ht="13">
      <c r="A643" s="10">
        <v>409</v>
      </c>
      <c r="B643" s="3">
        <f t="shared" si="5"/>
        <v>6.8166666666666664</v>
      </c>
      <c r="C643" s="3">
        <f t="shared" si="4"/>
        <v>6.8166666666666664</v>
      </c>
    </row>
    <row r="644" spans="1:3" ht="13">
      <c r="A644" s="10">
        <v>493</v>
      </c>
      <c r="B644" s="3">
        <f t="shared" si="5"/>
        <v>8.2166666666666668</v>
      </c>
      <c r="C644" s="3">
        <f t="shared" si="4"/>
        <v>8.2166666666666668</v>
      </c>
    </row>
    <row r="645" spans="1:3" ht="13">
      <c r="A645" s="10">
        <v>213</v>
      </c>
      <c r="B645" s="3">
        <f t="shared" si="5"/>
        <v>3.55</v>
      </c>
      <c r="C645" s="3">
        <f t="shared" si="4"/>
        <v>3.55</v>
      </c>
    </row>
    <row r="646" spans="1:3" ht="13">
      <c r="A646" s="1"/>
      <c r="B646" s="3">
        <f t="shared" si="5"/>
        <v>0</v>
      </c>
      <c r="C646" s="3" t="str">
        <f t="shared" si="4"/>
        <v/>
      </c>
    </row>
    <row r="647" spans="1:3" ht="13">
      <c r="A647" s="10">
        <v>383</v>
      </c>
      <c r="B647" s="3">
        <f t="shared" si="5"/>
        <v>6.3833333333333337</v>
      </c>
      <c r="C647" s="3">
        <f t="shared" si="4"/>
        <v>6.3833333333333337</v>
      </c>
    </row>
    <row r="648" spans="1:3" ht="13">
      <c r="A648" s="10">
        <v>286</v>
      </c>
      <c r="B648" s="3">
        <f t="shared" si="5"/>
        <v>4.7666666666666666</v>
      </c>
      <c r="C648" s="3">
        <f t="shared" si="4"/>
        <v>4.7666666666666666</v>
      </c>
    </row>
    <row r="649" spans="1:3" ht="13">
      <c r="A649" s="1"/>
      <c r="B649" s="3">
        <f t="shared" si="5"/>
        <v>0</v>
      </c>
      <c r="C649" s="3" t="str">
        <f t="shared" si="4"/>
        <v/>
      </c>
    </row>
    <row r="650" spans="1:3" ht="13">
      <c r="A650" s="1"/>
      <c r="B650" s="3">
        <f t="shared" si="5"/>
        <v>0</v>
      </c>
      <c r="C650" s="3" t="str">
        <f t="shared" si="4"/>
        <v/>
      </c>
    </row>
    <row r="651" spans="1:3" ht="13">
      <c r="A651" s="10">
        <v>220</v>
      </c>
      <c r="B651" s="3">
        <f t="shared" si="5"/>
        <v>3.6666666666666665</v>
      </c>
      <c r="C651" s="3">
        <f t="shared" si="4"/>
        <v>3.6666666666666665</v>
      </c>
    </row>
    <row r="652" spans="1:3" ht="13">
      <c r="A652" s="10">
        <v>1041</v>
      </c>
      <c r="B652" s="3">
        <f t="shared" si="5"/>
        <v>17.350000000000001</v>
      </c>
      <c r="C652" s="3">
        <f t="shared" si="4"/>
        <v>17.350000000000001</v>
      </c>
    </row>
    <row r="653" spans="1:3" ht="13">
      <c r="A653" s="10">
        <v>443</v>
      </c>
      <c r="B653" s="3">
        <f t="shared" si="5"/>
        <v>7.3833333333333337</v>
      </c>
      <c r="C653" s="3">
        <f t="shared" si="4"/>
        <v>7.3833333333333337</v>
      </c>
    </row>
    <row r="654" spans="1:3" ht="13">
      <c r="A654" s="10">
        <v>569</v>
      </c>
      <c r="B654" s="3">
        <f t="shared" si="5"/>
        <v>9.4833333333333325</v>
      </c>
      <c r="C654" s="3">
        <f t="shared" si="4"/>
        <v>9.4833333333333325</v>
      </c>
    </row>
    <row r="655" spans="1:3" ht="13">
      <c r="A655" s="10">
        <v>469</v>
      </c>
      <c r="B655" s="3">
        <f t="shared" si="5"/>
        <v>7.8166666666666664</v>
      </c>
      <c r="C655" s="3">
        <f t="shared" si="4"/>
        <v>7.8166666666666664</v>
      </c>
    </row>
    <row r="656" spans="1:3" ht="13">
      <c r="A656" s="10">
        <v>328</v>
      </c>
      <c r="B656" s="3">
        <f t="shared" si="5"/>
        <v>5.4666666666666668</v>
      </c>
      <c r="C656" s="3">
        <f t="shared" si="4"/>
        <v>5.4666666666666668</v>
      </c>
    </row>
    <row r="657" spans="1:3" ht="13">
      <c r="A657" s="10">
        <v>955</v>
      </c>
      <c r="B657" s="3">
        <f t="shared" si="5"/>
        <v>15.916666666666666</v>
      </c>
      <c r="C657" s="3">
        <f t="shared" si="4"/>
        <v>15.916666666666666</v>
      </c>
    </row>
    <row r="658" spans="1:3" ht="13">
      <c r="A658" s="10">
        <v>180</v>
      </c>
      <c r="B658" s="3">
        <f t="shared" si="5"/>
        <v>3</v>
      </c>
      <c r="C658" s="3">
        <f t="shared" si="4"/>
        <v>3</v>
      </c>
    </row>
    <row r="659" spans="1:3" ht="13">
      <c r="A659" s="10">
        <v>263</v>
      </c>
      <c r="B659" s="3">
        <f t="shared" si="5"/>
        <v>4.3833333333333337</v>
      </c>
      <c r="C659" s="3">
        <f t="shared" si="4"/>
        <v>4.3833333333333337</v>
      </c>
    </row>
    <row r="660" spans="1:3" ht="13">
      <c r="A660" s="1"/>
      <c r="B660" s="3">
        <f t="shared" si="5"/>
        <v>0</v>
      </c>
      <c r="C660" s="3" t="str">
        <f t="shared" si="4"/>
        <v/>
      </c>
    </row>
    <row r="661" spans="1:3" ht="13">
      <c r="A661" s="10">
        <v>57</v>
      </c>
      <c r="B661" s="3">
        <f t="shared" si="5"/>
        <v>0.95</v>
      </c>
      <c r="C661" s="3">
        <f t="shared" si="4"/>
        <v>0.95</v>
      </c>
    </row>
    <row r="662" spans="1:3" ht="13">
      <c r="A662" s="10">
        <v>1069</v>
      </c>
      <c r="B662" s="3">
        <f t="shared" si="5"/>
        <v>17.816666666666666</v>
      </c>
      <c r="C662" s="3">
        <f t="shared" si="4"/>
        <v>17.816666666666666</v>
      </c>
    </row>
    <row r="663" spans="1:3" ht="13">
      <c r="A663" s="10">
        <v>912</v>
      </c>
      <c r="B663" s="3">
        <f t="shared" si="5"/>
        <v>15.2</v>
      </c>
      <c r="C663" s="3">
        <f t="shared" si="4"/>
        <v>15.2</v>
      </c>
    </row>
    <row r="664" spans="1:3" ht="13">
      <c r="A664" s="10">
        <v>329</v>
      </c>
      <c r="B664" s="3">
        <f t="shared" si="5"/>
        <v>5.4833333333333334</v>
      </c>
      <c r="C664" s="3">
        <f t="shared" si="4"/>
        <v>5.4833333333333334</v>
      </c>
    </row>
    <row r="665" spans="1:3" ht="13">
      <c r="A665" s="10">
        <v>434</v>
      </c>
      <c r="B665" s="3">
        <f t="shared" si="5"/>
        <v>7.2333333333333334</v>
      </c>
      <c r="C665" s="3">
        <f t="shared" si="4"/>
        <v>7.2333333333333334</v>
      </c>
    </row>
    <row r="666" spans="1:3" ht="13">
      <c r="A666" s="10">
        <v>125</v>
      </c>
      <c r="B666" s="3">
        <f t="shared" si="5"/>
        <v>2.0833333333333335</v>
      </c>
      <c r="C666" s="3">
        <f t="shared" si="4"/>
        <v>2.0833333333333335</v>
      </c>
    </row>
    <row r="667" spans="1:3" ht="13">
      <c r="A667" s="10">
        <v>1472</v>
      </c>
      <c r="B667" s="3">
        <f t="shared" si="5"/>
        <v>24.533333333333335</v>
      </c>
      <c r="C667" s="3">
        <f t="shared" si="4"/>
        <v>24.533333333333335</v>
      </c>
    </row>
    <row r="668" spans="1:3" ht="13">
      <c r="A668" s="10">
        <v>141</v>
      </c>
      <c r="B668" s="3">
        <f t="shared" si="5"/>
        <v>2.35</v>
      </c>
      <c r="C668" s="3">
        <f t="shared" si="4"/>
        <v>2.35</v>
      </c>
    </row>
    <row r="669" spans="1:3" ht="13">
      <c r="A669" s="10">
        <v>599</v>
      </c>
      <c r="B669" s="3">
        <f t="shared" si="5"/>
        <v>9.9833333333333325</v>
      </c>
      <c r="C669" s="3">
        <f t="shared" si="4"/>
        <v>9.9833333333333325</v>
      </c>
    </row>
    <row r="670" spans="1:3" ht="13">
      <c r="A670" s="10">
        <v>191</v>
      </c>
      <c r="B670" s="3">
        <f t="shared" si="5"/>
        <v>3.1833333333333331</v>
      </c>
      <c r="C670" s="3">
        <f t="shared" si="4"/>
        <v>3.1833333333333331</v>
      </c>
    </row>
    <row r="671" spans="1:3" ht="13">
      <c r="A671" s="10">
        <v>515</v>
      </c>
      <c r="B671" s="3">
        <f t="shared" si="5"/>
        <v>8.5833333333333339</v>
      </c>
      <c r="C671" s="3">
        <f t="shared" si="4"/>
        <v>8.5833333333333339</v>
      </c>
    </row>
    <row r="672" spans="1:3" ht="13">
      <c r="A672" s="1"/>
      <c r="B672" s="3">
        <f t="shared" si="5"/>
        <v>0</v>
      </c>
      <c r="C672" s="3" t="str">
        <f t="shared" si="4"/>
        <v/>
      </c>
    </row>
    <row r="673" spans="1:3" ht="13">
      <c r="A673" s="10">
        <v>307</v>
      </c>
      <c r="B673" s="3">
        <f t="shared" si="5"/>
        <v>5.1166666666666663</v>
      </c>
      <c r="C673" s="3">
        <f t="shared" si="4"/>
        <v>5.1166666666666663</v>
      </c>
    </row>
    <row r="674" spans="1:3" ht="13">
      <c r="A674" s="10">
        <v>300</v>
      </c>
      <c r="B674" s="3">
        <f t="shared" si="5"/>
        <v>5</v>
      </c>
      <c r="C674" s="3">
        <f t="shared" si="4"/>
        <v>5</v>
      </c>
    </row>
    <row r="675" spans="1:3" ht="13">
      <c r="A675" s="10">
        <v>292</v>
      </c>
      <c r="B675" s="3">
        <f t="shared" si="5"/>
        <v>4.8666666666666663</v>
      </c>
      <c r="C675" s="3">
        <f t="shared" si="4"/>
        <v>4.8666666666666663</v>
      </c>
    </row>
    <row r="676" spans="1:3" ht="13">
      <c r="A676" s="10">
        <v>206</v>
      </c>
      <c r="B676" s="3">
        <f t="shared" si="5"/>
        <v>3.4333333333333331</v>
      </c>
      <c r="C676" s="3">
        <f t="shared" si="4"/>
        <v>3.4333333333333331</v>
      </c>
    </row>
    <row r="677" spans="1:3" ht="13">
      <c r="A677" s="10">
        <v>327</v>
      </c>
      <c r="B677" s="3">
        <f t="shared" si="5"/>
        <v>5.45</v>
      </c>
      <c r="C677" s="3">
        <f t="shared" si="4"/>
        <v>5.45</v>
      </c>
    </row>
    <row r="678" spans="1:3" ht="13">
      <c r="A678" s="10">
        <v>75</v>
      </c>
      <c r="B678" s="3">
        <f t="shared" si="5"/>
        <v>1.25</v>
      </c>
      <c r="C678" s="3">
        <f t="shared" si="4"/>
        <v>1.25</v>
      </c>
    </row>
    <row r="679" spans="1:3" ht="13">
      <c r="A679" s="10">
        <v>916</v>
      </c>
      <c r="B679" s="3">
        <f t="shared" si="5"/>
        <v>15.266666666666667</v>
      </c>
      <c r="C679" s="3">
        <f t="shared" si="4"/>
        <v>15.266666666666667</v>
      </c>
    </row>
    <row r="680" spans="1:3" ht="13">
      <c r="A680" s="10">
        <v>448</v>
      </c>
      <c r="B680" s="3">
        <f t="shared" si="5"/>
        <v>7.4666666666666668</v>
      </c>
      <c r="C680" s="3">
        <f t="shared" si="4"/>
        <v>7.4666666666666668</v>
      </c>
    </row>
    <row r="681" spans="1:3" ht="13">
      <c r="A681" s="10">
        <v>21</v>
      </c>
      <c r="B681" s="3">
        <f t="shared" si="5"/>
        <v>0.35</v>
      </c>
      <c r="C681" s="3">
        <f t="shared" si="4"/>
        <v>0.35</v>
      </c>
    </row>
    <row r="682" spans="1:3" ht="13">
      <c r="A682" s="10">
        <v>184</v>
      </c>
      <c r="B682" s="3">
        <f t="shared" si="5"/>
        <v>3.0666666666666669</v>
      </c>
      <c r="C682" s="3">
        <f t="shared" si="4"/>
        <v>3.0666666666666669</v>
      </c>
    </row>
    <row r="683" spans="1:3" ht="13">
      <c r="A683" s="10">
        <v>413</v>
      </c>
      <c r="B683" s="3">
        <f t="shared" si="5"/>
        <v>6.8833333333333337</v>
      </c>
      <c r="C683" s="3">
        <f t="shared" si="4"/>
        <v>6.8833333333333337</v>
      </c>
    </row>
    <row r="684" spans="1:3" ht="13">
      <c r="A684" s="10">
        <v>60</v>
      </c>
      <c r="B684" s="3">
        <f t="shared" si="5"/>
        <v>1</v>
      </c>
      <c r="C684" s="3">
        <f t="shared" si="4"/>
        <v>1</v>
      </c>
    </row>
    <row r="685" spans="1:3" ht="13">
      <c r="A685" s="10">
        <v>1123</v>
      </c>
      <c r="B685" s="3">
        <f t="shared" si="5"/>
        <v>18.716666666666665</v>
      </c>
      <c r="C685" s="3">
        <f t="shared" si="4"/>
        <v>18.716666666666665</v>
      </c>
    </row>
    <row r="686" spans="1:3" ht="13">
      <c r="A686" s="10">
        <v>610</v>
      </c>
      <c r="B686" s="3">
        <f t="shared" si="5"/>
        <v>10.166666666666666</v>
      </c>
      <c r="C686" s="3">
        <f t="shared" si="4"/>
        <v>10.166666666666666</v>
      </c>
    </row>
    <row r="687" spans="1:3" ht="13">
      <c r="A687" s="1"/>
      <c r="B687" s="3">
        <f t="shared" si="5"/>
        <v>0</v>
      </c>
      <c r="C687" s="3" t="str">
        <f t="shared" si="4"/>
        <v/>
      </c>
    </row>
    <row r="688" spans="1:3" ht="13">
      <c r="A688" s="10">
        <v>281</v>
      </c>
      <c r="B688" s="3">
        <f t="shared" si="5"/>
        <v>4.6833333333333336</v>
      </c>
      <c r="C688" s="3">
        <f t="shared" si="4"/>
        <v>4.6833333333333336</v>
      </c>
    </row>
    <row r="689" spans="1:3" ht="13">
      <c r="A689" s="10">
        <v>549</v>
      </c>
      <c r="B689" s="3">
        <f t="shared" si="5"/>
        <v>9.15</v>
      </c>
      <c r="C689" s="3">
        <f t="shared" si="4"/>
        <v>9.15</v>
      </c>
    </row>
    <row r="690" spans="1:3" ht="13">
      <c r="A690" s="10">
        <v>479</v>
      </c>
      <c r="B690" s="3">
        <f t="shared" si="5"/>
        <v>7.9833333333333334</v>
      </c>
      <c r="C690" s="3">
        <f t="shared" si="4"/>
        <v>7.9833333333333334</v>
      </c>
    </row>
    <row r="691" spans="1:3" ht="13">
      <c r="A691" s="10">
        <v>244</v>
      </c>
      <c r="B691" s="3">
        <f t="shared" si="5"/>
        <v>4.0666666666666664</v>
      </c>
      <c r="C691" s="3">
        <f t="shared" si="4"/>
        <v>4.0666666666666664</v>
      </c>
    </row>
    <row r="692" spans="1:3" ht="13">
      <c r="A692" s="1"/>
      <c r="B692" s="3">
        <f t="shared" si="5"/>
        <v>0</v>
      </c>
      <c r="C692" s="3" t="str">
        <f t="shared" si="4"/>
        <v/>
      </c>
    </row>
    <row r="693" spans="1:3" ht="13">
      <c r="A693" s="10">
        <v>172</v>
      </c>
      <c r="B693" s="3">
        <f t="shared" si="5"/>
        <v>2.8666666666666667</v>
      </c>
      <c r="C693" s="3">
        <f t="shared" si="4"/>
        <v>2.8666666666666667</v>
      </c>
    </row>
    <row r="694" spans="1:3" ht="13">
      <c r="A694" s="10">
        <v>120</v>
      </c>
      <c r="B694" s="3">
        <f t="shared" si="5"/>
        <v>2</v>
      </c>
      <c r="C694" s="3">
        <f t="shared" si="4"/>
        <v>2</v>
      </c>
    </row>
    <row r="695" spans="1:3" ht="13">
      <c r="A695" s="10">
        <v>320</v>
      </c>
      <c r="B695" s="3">
        <f t="shared" si="5"/>
        <v>5.333333333333333</v>
      </c>
      <c r="C695" s="3">
        <f t="shared" si="4"/>
        <v>5.333333333333333</v>
      </c>
    </row>
    <row r="696" spans="1:3" ht="13">
      <c r="A696" s="10">
        <v>150</v>
      </c>
      <c r="B696" s="3">
        <f t="shared" si="5"/>
        <v>2.5</v>
      </c>
      <c r="C696" s="3">
        <f t="shared" si="4"/>
        <v>2.5</v>
      </c>
    </row>
    <row r="697" spans="1:3" ht="13">
      <c r="A697" s="10">
        <v>1950</v>
      </c>
      <c r="B697" s="3">
        <f t="shared" si="5"/>
        <v>32.5</v>
      </c>
      <c r="C697" s="3">
        <f t="shared" si="4"/>
        <v>32.5</v>
      </c>
    </row>
    <row r="698" spans="1:3" ht="13">
      <c r="A698" s="10">
        <v>395</v>
      </c>
      <c r="B698" s="3">
        <f t="shared" si="5"/>
        <v>6.583333333333333</v>
      </c>
      <c r="C698" s="3">
        <f t="shared" si="4"/>
        <v>6.583333333333333</v>
      </c>
    </row>
    <row r="699" spans="1:3" ht="13">
      <c r="A699" s="10">
        <v>81</v>
      </c>
      <c r="B699" s="3">
        <f t="shared" si="5"/>
        <v>1.35</v>
      </c>
      <c r="C699" s="3">
        <f t="shared" si="4"/>
        <v>1.35</v>
      </c>
    </row>
    <row r="700" spans="1:3" ht="13">
      <c r="A700" s="10">
        <v>141</v>
      </c>
      <c r="B700" s="3">
        <f t="shared" si="5"/>
        <v>2.35</v>
      </c>
      <c r="C700" s="3">
        <f t="shared" si="4"/>
        <v>2.35</v>
      </c>
    </row>
    <row r="701" spans="1:3" ht="13">
      <c r="A701" s="10">
        <v>371</v>
      </c>
      <c r="B701" s="3">
        <f t="shared" si="5"/>
        <v>6.1833333333333336</v>
      </c>
      <c r="C701" s="3">
        <f t="shared" si="4"/>
        <v>6.1833333333333336</v>
      </c>
    </row>
    <row r="702" spans="1:3" ht="13">
      <c r="A702" s="10">
        <v>320</v>
      </c>
      <c r="B702" s="3">
        <f t="shared" si="5"/>
        <v>5.333333333333333</v>
      </c>
      <c r="C702" s="3">
        <f t="shared" si="4"/>
        <v>5.333333333333333</v>
      </c>
    </row>
    <row r="703" spans="1:3" ht="13">
      <c r="A703" s="1"/>
      <c r="B703" s="3">
        <f t="shared" si="5"/>
        <v>0</v>
      </c>
      <c r="C703" s="3" t="str">
        <f t="shared" si="4"/>
        <v/>
      </c>
    </row>
    <row r="704" spans="1:3" ht="13">
      <c r="A704" s="10">
        <v>139</v>
      </c>
      <c r="B704" s="3">
        <f t="shared" si="5"/>
        <v>2.3166666666666669</v>
      </c>
      <c r="C704" s="3">
        <f t="shared" si="4"/>
        <v>2.3166666666666669</v>
      </c>
    </row>
    <row r="705" spans="1:3" ht="13">
      <c r="A705" s="1"/>
      <c r="B705" s="3">
        <f t="shared" si="5"/>
        <v>0</v>
      </c>
      <c r="C705" s="3" t="str">
        <f t="shared" si="4"/>
        <v/>
      </c>
    </row>
    <row r="706" spans="1:3" ht="13">
      <c r="A706" s="10">
        <v>1060</v>
      </c>
      <c r="B706" s="3">
        <f t="shared" si="5"/>
        <v>17.666666666666668</v>
      </c>
      <c r="C706" s="3">
        <f t="shared" si="4"/>
        <v>17.666666666666668</v>
      </c>
    </row>
    <row r="707" spans="1:3" ht="13">
      <c r="A707" s="10">
        <v>608</v>
      </c>
      <c r="B707" s="3">
        <f t="shared" si="5"/>
        <v>10.133333333333333</v>
      </c>
      <c r="C707" s="3">
        <f t="shared" si="4"/>
        <v>10.133333333333333</v>
      </c>
    </row>
    <row r="708" spans="1:3" ht="13">
      <c r="A708" s="1"/>
      <c r="B708" s="3">
        <f t="shared" si="5"/>
        <v>0</v>
      </c>
      <c r="C708" s="3" t="str">
        <f t="shared" si="4"/>
        <v/>
      </c>
    </row>
    <row r="709" spans="1:3" ht="13">
      <c r="A709" s="10">
        <v>5</v>
      </c>
      <c r="B709" s="3">
        <f t="shared" si="5"/>
        <v>8.3333333333333329E-2</v>
      </c>
      <c r="C709" s="3" t="str">
        <f t="shared" si="4"/>
        <v/>
      </c>
    </row>
    <row r="710" spans="1:3" ht="13">
      <c r="A710" s="10">
        <v>146</v>
      </c>
      <c r="B710" s="3">
        <f t="shared" si="5"/>
        <v>2.4333333333333331</v>
      </c>
      <c r="C710" s="3">
        <f t="shared" si="4"/>
        <v>2.4333333333333331</v>
      </c>
    </row>
    <row r="711" spans="1:3" ht="13">
      <c r="A711" s="10">
        <v>95</v>
      </c>
      <c r="B711" s="3">
        <f t="shared" si="5"/>
        <v>1.5833333333333333</v>
      </c>
      <c r="C711" s="3">
        <f t="shared" si="4"/>
        <v>1.5833333333333333</v>
      </c>
    </row>
    <row r="712" spans="1:3" ht="13">
      <c r="A712" s="10">
        <v>310</v>
      </c>
      <c r="B712" s="3">
        <f t="shared" si="5"/>
        <v>5.166666666666667</v>
      </c>
      <c r="C712" s="3">
        <f t="shared" si="4"/>
        <v>5.166666666666667</v>
      </c>
    </row>
    <row r="713" spans="1:3" ht="13">
      <c r="A713" s="10">
        <v>484</v>
      </c>
      <c r="B713" s="3">
        <f t="shared" si="5"/>
        <v>8.0666666666666664</v>
      </c>
      <c r="C713" s="3">
        <f t="shared" si="4"/>
        <v>8.0666666666666664</v>
      </c>
    </row>
    <row r="714" spans="1:3" ht="13">
      <c r="A714" s="10">
        <v>449</v>
      </c>
      <c r="B714" s="3">
        <f t="shared" si="5"/>
        <v>7.4833333333333334</v>
      </c>
      <c r="C714" s="3">
        <f t="shared" si="4"/>
        <v>7.4833333333333334</v>
      </c>
    </row>
    <row r="715" spans="1:3" ht="13">
      <c r="A715" s="10">
        <v>521</v>
      </c>
      <c r="B715" s="3">
        <f t="shared" si="5"/>
        <v>8.6833333333333336</v>
      </c>
      <c r="C715" s="3">
        <f t="shared" si="4"/>
        <v>8.6833333333333336</v>
      </c>
    </row>
    <row r="716" spans="1:3" ht="13">
      <c r="A716" s="10">
        <v>41</v>
      </c>
      <c r="B716" s="3">
        <f t="shared" si="5"/>
        <v>0.68333333333333335</v>
      </c>
      <c r="C716" s="3">
        <f t="shared" si="4"/>
        <v>0.68333333333333335</v>
      </c>
    </row>
    <row r="717" spans="1:3" ht="13">
      <c r="A717" s="10">
        <v>761</v>
      </c>
      <c r="B717" s="3">
        <f t="shared" si="5"/>
        <v>12.683333333333334</v>
      </c>
      <c r="C717" s="3">
        <f t="shared" si="4"/>
        <v>12.683333333333334</v>
      </c>
    </row>
    <row r="718" spans="1:3" ht="13">
      <c r="A718" s="10">
        <v>309</v>
      </c>
      <c r="B718" s="3">
        <f t="shared" si="5"/>
        <v>5.15</v>
      </c>
      <c r="C718" s="3">
        <f t="shared" si="4"/>
        <v>5.15</v>
      </c>
    </row>
    <row r="719" spans="1:3" ht="13">
      <c r="A719" s="10">
        <v>236</v>
      </c>
      <c r="B719" s="3">
        <f t="shared" si="5"/>
        <v>3.9333333333333331</v>
      </c>
      <c r="C719" s="3">
        <f t="shared" si="4"/>
        <v>3.9333333333333331</v>
      </c>
    </row>
    <row r="720" spans="1:3" ht="13">
      <c r="A720" s="10">
        <v>91</v>
      </c>
      <c r="B720" s="3">
        <f t="shared" si="5"/>
        <v>1.5166666666666666</v>
      </c>
      <c r="C720" s="3">
        <f t="shared" si="4"/>
        <v>1.5166666666666666</v>
      </c>
    </row>
    <row r="721" spans="1:3" ht="13">
      <c r="A721" s="10">
        <v>76</v>
      </c>
      <c r="B721" s="3">
        <f t="shared" si="5"/>
        <v>1.2666666666666666</v>
      </c>
      <c r="C721" s="3">
        <f t="shared" si="4"/>
        <v>1.2666666666666666</v>
      </c>
    </row>
    <row r="722" spans="1:3" ht="13">
      <c r="A722" s="10">
        <v>1672</v>
      </c>
      <c r="B722" s="3">
        <f t="shared" si="5"/>
        <v>27.866666666666667</v>
      </c>
      <c r="C722" s="3">
        <f t="shared" si="4"/>
        <v>27.866666666666667</v>
      </c>
    </row>
    <row r="723" spans="1:3" ht="13">
      <c r="A723" s="10">
        <v>111</v>
      </c>
      <c r="B723" s="3">
        <f t="shared" si="5"/>
        <v>1.85</v>
      </c>
      <c r="C723" s="3">
        <f t="shared" si="4"/>
        <v>1.85</v>
      </c>
    </row>
    <row r="724" spans="1:3" ht="13">
      <c r="A724" s="10">
        <v>196</v>
      </c>
      <c r="B724" s="3">
        <f t="shared" si="5"/>
        <v>3.2666666666666666</v>
      </c>
      <c r="C724" s="3">
        <f t="shared" si="4"/>
        <v>3.2666666666666666</v>
      </c>
    </row>
    <row r="725" spans="1:3" ht="13">
      <c r="A725" s="10">
        <v>926</v>
      </c>
      <c r="B725" s="3">
        <f t="shared" si="5"/>
        <v>15.433333333333334</v>
      </c>
      <c r="C725" s="3">
        <f t="shared" si="4"/>
        <v>15.433333333333334</v>
      </c>
    </row>
    <row r="726" spans="1:3" ht="13">
      <c r="A726" s="10">
        <v>6</v>
      </c>
      <c r="B726" s="3">
        <f t="shared" si="5"/>
        <v>0.1</v>
      </c>
      <c r="C726" s="3" t="str">
        <f t="shared" si="4"/>
        <v/>
      </c>
    </row>
    <row r="727" spans="1:3" ht="13">
      <c r="A727" s="10">
        <v>144</v>
      </c>
      <c r="B727" s="3">
        <f t="shared" si="5"/>
        <v>2.4</v>
      </c>
      <c r="C727" s="3">
        <f t="shared" si="4"/>
        <v>2.4</v>
      </c>
    </row>
    <row r="728" spans="1:3" ht="13">
      <c r="A728" s="10">
        <v>305</v>
      </c>
      <c r="B728" s="3">
        <f t="shared" si="5"/>
        <v>5.083333333333333</v>
      </c>
      <c r="C728" s="3">
        <f t="shared" si="4"/>
        <v>5.083333333333333</v>
      </c>
    </row>
    <row r="729" spans="1:3" ht="13">
      <c r="A729" s="1"/>
      <c r="B729" s="3">
        <f t="shared" si="5"/>
        <v>0</v>
      </c>
      <c r="C729" s="3" t="str">
        <f t="shared" si="4"/>
        <v/>
      </c>
    </row>
    <row r="730" spans="1:3" ht="13">
      <c r="A730" s="10">
        <v>686</v>
      </c>
      <c r="B730" s="3">
        <f t="shared" si="5"/>
        <v>11.433333333333334</v>
      </c>
      <c r="C730" s="3">
        <f t="shared" si="4"/>
        <v>11.433333333333334</v>
      </c>
    </row>
    <row r="731" spans="1:3" ht="13">
      <c r="A731" s="10">
        <v>295</v>
      </c>
      <c r="B731" s="3">
        <f t="shared" si="5"/>
        <v>4.916666666666667</v>
      </c>
      <c r="C731" s="3">
        <f t="shared" si="4"/>
        <v>4.916666666666667</v>
      </c>
    </row>
    <row r="732" spans="1:3" ht="13">
      <c r="A732" s="10">
        <v>196</v>
      </c>
      <c r="B732" s="3">
        <f t="shared" si="5"/>
        <v>3.2666666666666666</v>
      </c>
      <c r="C732" s="3">
        <f t="shared" si="4"/>
        <v>3.2666666666666666</v>
      </c>
    </row>
    <row r="733" spans="1:3" ht="13">
      <c r="A733" s="10">
        <v>570</v>
      </c>
      <c r="B733" s="3">
        <f t="shared" si="5"/>
        <v>9.5</v>
      </c>
      <c r="C733" s="3">
        <f t="shared" si="4"/>
        <v>9.5</v>
      </c>
    </row>
    <row r="734" spans="1:3" ht="13">
      <c r="A734" s="10">
        <v>26</v>
      </c>
      <c r="B734" s="3">
        <f t="shared" si="5"/>
        <v>0.43333333333333335</v>
      </c>
      <c r="C734" s="3">
        <f t="shared" si="4"/>
        <v>0.43333333333333335</v>
      </c>
    </row>
    <row r="735" spans="1:3" ht="13">
      <c r="A735" s="10">
        <v>211</v>
      </c>
      <c r="B735" s="3">
        <f t="shared" si="5"/>
        <v>3.5166666666666666</v>
      </c>
      <c r="C735" s="3">
        <f t="shared" si="4"/>
        <v>3.5166666666666666</v>
      </c>
    </row>
    <row r="736" spans="1:3" ht="13">
      <c r="A736" s="10">
        <v>1029</v>
      </c>
      <c r="B736" s="3">
        <f t="shared" si="5"/>
        <v>17.149999999999999</v>
      </c>
      <c r="C736" s="3">
        <f t="shared" si="4"/>
        <v>17.149999999999999</v>
      </c>
    </row>
    <row r="737" spans="1:3" ht="13">
      <c r="A737" s="10">
        <v>526</v>
      </c>
      <c r="B737" s="3">
        <f t="shared" si="5"/>
        <v>8.7666666666666675</v>
      </c>
      <c r="C737" s="3">
        <f t="shared" si="4"/>
        <v>8.7666666666666675</v>
      </c>
    </row>
    <row r="738" spans="1:3" ht="13">
      <c r="A738" s="10">
        <v>96</v>
      </c>
      <c r="B738" s="3">
        <f t="shared" si="5"/>
        <v>1.6</v>
      </c>
      <c r="C738" s="3">
        <f t="shared" si="4"/>
        <v>1.6</v>
      </c>
    </row>
    <row r="739" spans="1:3" ht="13">
      <c r="A739" s="1"/>
      <c r="B739" s="3">
        <f t="shared" si="5"/>
        <v>0</v>
      </c>
      <c r="C739" s="3" t="str">
        <f t="shared" si="4"/>
        <v/>
      </c>
    </row>
    <row r="740" spans="1:3" ht="13">
      <c r="A740" s="10">
        <v>540</v>
      </c>
      <c r="B740" s="3">
        <f t="shared" si="5"/>
        <v>9</v>
      </c>
      <c r="C740" s="3">
        <f t="shared" si="4"/>
        <v>9</v>
      </c>
    </row>
    <row r="741" spans="1:3" ht="13">
      <c r="A741" s="1"/>
      <c r="B741" s="3">
        <f t="shared" si="5"/>
        <v>0</v>
      </c>
      <c r="C741" s="3" t="str">
        <f t="shared" si="4"/>
        <v/>
      </c>
    </row>
    <row r="742" spans="1:3" ht="13">
      <c r="A742" s="1"/>
      <c r="B742" s="3">
        <f t="shared" si="5"/>
        <v>0</v>
      </c>
      <c r="C742" s="3" t="str">
        <f t="shared" si="4"/>
        <v/>
      </c>
    </row>
    <row r="743" spans="1:3" ht="13">
      <c r="A743" s="10">
        <v>499</v>
      </c>
      <c r="B743" s="3">
        <f t="shared" si="5"/>
        <v>8.3166666666666664</v>
      </c>
      <c r="C743" s="3">
        <f t="shared" si="4"/>
        <v>8.3166666666666664</v>
      </c>
    </row>
    <row r="744" spans="1:3" ht="13">
      <c r="A744" s="10">
        <v>908</v>
      </c>
      <c r="B744" s="3">
        <f t="shared" si="5"/>
        <v>15.133333333333333</v>
      </c>
      <c r="C744" s="3">
        <f t="shared" si="4"/>
        <v>15.133333333333333</v>
      </c>
    </row>
    <row r="745" spans="1:3" ht="13">
      <c r="A745" s="10">
        <v>321</v>
      </c>
      <c r="B745" s="3">
        <f t="shared" si="5"/>
        <v>5.35</v>
      </c>
      <c r="C745" s="3">
        <f t="shared" si="4"/>
        <v>5.35</v>
      </c>
    </row>
    <row r="746" spans="1:3" ht="13">
      <c r="A746" s="10">
        <v>512</v>
      </c>
      <c r="B746" s="3">
        <f t="shared" si="5"/>
        <v>8.5333333333333332</v>
      </c>
      <c r="C746" s="3">
        <f t="shared" si="4"/>
        <v>8.5333333333333332</v>
      </c>
    </row>
    <row r="747" spans="1:3" ht="13">
      <c r="A747" s="1"/>
      <c r="B747" s="3">
        <f t="shared" si="5"/>
        <v>0</v>
      </c>
      <c r="C747" s="3" t="str">
        <f t="shared" si="4"/>
        <v/>
      </c>
    </row>
    <row r="748" spans="1:3" ht="13">
      <c r="A748" s="10">
        <v>260</v>
      </c>
      <c r="B748" s="3">
        <f t="shared" si="5"/>
        <v>4.333333333333333</v>
      </c>
      <c r="C748" s="3">
        <f t="shared" si="4"/>
        <v>4.333333333333333</v>
      </c>
    </row>
    <row r="749" spans="1:3" ht="13">
      <c r="A749" s="1"/>
      <c r="B749" s="3">
        <f t="shared" si="5"/>
        <v>0</v>
      </c>
      <c r="C749" s="3" t="str">
        <f t="shared" si="4"/>
        <v/>
      </c>
    </row>
    <row r="750" spans="1:3" ht="13">
      <c r="A750" s="10">
        <v>275</v>
      </c>
      <c r="B750" s="3">
        <f t="shared" si="5"/>
        <v>4.583333333333333</v>
      </c>
      <c r="C750" s="3">
        <f t="shared" si="4"/>
        <v>4.583333333333333</v>
      </c>
    </row>
    <row r="751" spans="1:3" ht="13">
      <c r="A751" s="10">
        <v>171</v>
      </c>
      <c r="B751" s="3">
        <f t="shared" si="5"/>
        <v>2.85</v>
      </c>
      <c r="C751" s="3">
        <f t="shared" si="4"/>
        <v>2.85</v>
      </c>
    </row>
    <row r="752" spans="1:3" ht="13">
      <c r="A752" s="10">
        <v>729</v>
      </c>
      <c r="B752" s="3">
        <f t="shared" si="5"/>
        <v>12.15</v>
      </c>
      <c r="C752" s="3">
        <f t="shared" si="4"/>
        <v>12.15</v>
      </c>
    </row>
    <row r="753" spans="1:3" ht="13">
      <c r="A753" s="10">
        <v>330</v>
      </c>
      <c r="B753" s="3">
        <f t="shared" si="5"/>
        <v>5.5</v>
      </c>
      <c r="C753" s="3">
        <f t="shared" si="4"/>
        <v>5.5</v>
      </c>
    </row>
    <row r="754" spans="1:3" ht="13">
      <c r="A754" s="10">
        <v>122</v>
      </c>
      <c r="B754" s="3">
        <f t="shared" si="5"/>
        <v>2.0333333333333332</v>
      </c>
      <c r="C754" s="3">
        <f t="shared" si="4"/>
        <v>2.0333333333333332</v>
      </c>
    </row>
    <row r="755" spans="1:3" ht="13">
      <c r="A755" s="10">
        <v>725</v>
      </c>
      <c r="B755" s="3">
        <f t="shared" si="5"/>
        <v>12.083333333333334</v>
      </c>
      <c r="C755" s="3">
        <f t="shared" si="4"/>
        <v>12.083333333333334</v>
      </c>
    </row>
    <row r="756" spans="1:3" ht="13">
      <c r="A756" s="10">
        <v>454</v>
      </c>
      <c r="B756" s="3">
        <f t="shared" si="5"/>
        <v>7.5666666666666664</v>
      </c>
      <c r="C756" s="3">
        <f t="shared" si="4"/>
        <v>7.5666666666666664</v>
      </c>
    </row>
    <row r="757" spans="1:3" ht="13">
      <c r="A757" s="10">
        <v>696</v>
      </c>
      <c r="B757" s="3">
        <f t="shared" si="5"/>
        <v>11.6</v>
      </c>
      <c r="C757" s="3">
        <f t="shared" si="4"/>
        <v>11.6</v>
      </c>
    </row>
    <row r="758" spans="1:3" ht="13">
      <c r="A758" s="10">
        <v>181</v>
      </c>
      <c r="B758" s="3">
        <f t="shared" si="5"/>
        <v>3.0166666666666666</v>
      </c>
      <c r="C758" s="3">
        <f t="shared" si="4"/>
        <v>3.0166666666666666</v>
      </c>
    </row>
    <row r="759" spans="1:3" ht="13">
      <c r="A759" s="10">
        <v>297</v>
      </c>
      <c r="B759" s="3">
        <f t="shared" si="5"/>
        <v>4.95</v>
      </c>
      <c r="C759" s="3">
        <f t="shared" si="4"/>
        <v>4.95</v>
      </c>
    </row>
    <row r="760" spans="1:3" ht="13">
      <c r="A760" s="10">
        <v>501</v>
      </c>
      <c r="B760" s="3">
        <f t="shared" si="5"/>
        <v>8.35</v>
      </c>
      <c r="C760" s="3">
        <f t="shared" si="4"/>
        <v>8.35</v>
      </c>
    </row>
    <row r="761" spans="1:3" ht="13">
      <c r="A761" s="10">
        <v>212</v>
      </c>
      <c r="B761" s="3">
        <f t="shared" si="5"/>
        <v>3.5333333333333332</v>
      </c>
      <c r="C761" s="3">
        <f t="shared" si="4"/>
        <v>3.5333333333333332</v>
      </c>
    </row>
    <row r="762" spans="1:3" ht="13">
      <c r="A762" s="10">
        <v>439</v>
      </c>
      <c r="B762" s="3">
        <f t="shared" si="5"/>
        <v>7.3166666666666664</v>
      </c>
      <c r="C762" s="3">
        <f t="shared" si="4"/>
        <v>7.3166666666666664</v>
      </c>
    </row>
    <row r="763" spans="1:3" ht="13">
      <c r="A763" s="10">
        <v>324</v>
      </c>
      <c r="B763" s="3">
        <f t="shared" si="5"/>
        <v>5.4</v>
      </c>
      <c r="C763" s="3">
        <f t="shared" si="4"/>
        <v>5.4</v>
      </c>
    </row>
    <row r="764" spans="1:3" ht="13">
      <c r="A764" s="10">
        <v>360</v>
      </c>
      <c r="B764" s="3">
        <f t="shared" si="5"/>
        <v>6</v>
      </c>
      <c r="C764" s="3">
        <f t="shared" si="4"/>
        <v>6</v>
      </c>
    </row>
    <row r="765" spans="1:3" ht="13">
      <c r="A765" s="10">
        <v>154</v>
      </c>
      <c r="B765" s="3">
        <f t="shared" si="5"/>
        <v>2.5666666666666669</v>
      </c>
      <c r="C765" s="3">
        <f t="shared" si="4"/>
        <v>2.5666666666666669</v>
      </c>
    </row>
    <row r="766" spans="1:3" ht="13">
      <c r="A766" s="10">
        <v>1134</v>
      </c>
      <c r="B766" s="3">
        <f t="shared" si="5"/>
        <v>18.899999999999999</v>
      </c>
      <c r="C766" s="3">
        <f t="shared" si="4"/>
        <v>18.899999999999999</v>
      </c>
    </row>
    <row r="767" spans="1:3" ht="13">
      <c r="A767" s="10">
        <v>61</v>
      </c>
      <c r="B767" s="3">
        <f t="shared" si="5"/>
        <v>1.0166666666666666</v>
      </c>
      <c r="C767" s="3">
        <f t="shared" ref="C767:C1021" si="6">IF(B767&gt;0.1, B767, "")</f>
        <v>1.0166666666666666</v>
      </c>
    </row>
    <row r="768" spans="1:3" ht="13">
      <c r="A768" s="10">
        <v>1099</v>
      </c>
      <c r="B768" s="3">
        <f t="shared" ref="B768:B1022" si="7">A768/60</f>
        <v>18.316666666666666</v>
      </c>
      <c r="C768" s="3">
        <f t="shared" si="6"/>
        <v>18.316666666666666</v>
      </c>
    </row>
    <row r="769" spans="1:3" ht="13">
      <c r="A769" s="1"/>
      <c r="B769" s="3">
        <f t="shared" si="7"/>
        <v>0</v>
      </c>
      <c r="C769" s="3" t="str">
        <f t="shared" si="6"/>
        <v/>
      </c>
    </row>
    <row r="770" spans="1:3" ht="13">
      <c r="A770" s="1"/>
      <c r="B770" s="3">
        <f t="shared" si="7"/>
        <v>0</v>
      </c>
      <c r="C770" s="3" t="str">
        <f t="shared" si="6"/>
        <v/>
      </c>
    </row>
    <row r="771" spans="1:3" ht="13">
      <c r="A771" s="10">
        <v>1861</v>
      </c>
      <c r="B771" s="3">
        <f t="shared" si="7"/>
        <v>31.016666666666666</v>
      </c>
      <c r="C771" s="3">
        <f t="shared" si="6"/>
        <v>31.016666666666666</v>
      </c>
    </row>
    <row r="772" spans="1:3" ht="13">
      <c r="A772" s="1"/>
      <c r="B772" s="3">
        <f t="shared" si="7"/>
        <v>0</v>
      </c>
      <c r="C772" s="3" t="str">
        <f t="shared" si="6"/>
        <v/>
      </c>
    </row>
    <row r="773" spans="1:3" ht="13">
      <c r="A773" s="10">
        <v>2</v>
      </c>
      <c r="B773" s="3">
        <f t="shared" si="7"/>
        <v>3.3333333333333333E-2</v>
      </c>
      <c r="C773" s="3" t="str">
        <f t="shared" si="6"/>
        <v/>
      </c>
    </row>
    <row r="774" spans="1:3" ht="13">
      <c r="A774" s="10">
        <v>71</v>
      </c>
      <c r="B774" s="3">
        <f t="shared" si="7"/>
        <v>1.1833333333333333</v>
      </c>
      <c r="C774" s="3">
        <f t="shared" si="6"/>
        <v>1.1833333333333333</v>
      </c>
    </row>
    <row r="775" spans="1:3" ht="13">
      <c r="A775" s="10">
        <v>11</v>
      </c>
      <c r="B775" s="3">
        <f t="shared" si="7"/>
        <v>0.18333333333333332</v>
      </c>
      <c r="C775" s="3">
        <f t="shared" si="6"/>
        <v>0.18333333333333332</v>
      </c>
    </row>
    <row r="776" spans="1:3" ht="13">
      <c r="A776" s="10">
        <v>71</v>
      </c>
      <c r="B776" s="3">
        <f t="shared" si="7"/>
        <v>1.1833333333333333</v>
      </c>
      <c r="C776" s="3">
        <f t="shared" si="6"/>
        <v>1.1833333333333333</v>
      </c>
    </row>
    <row r="777" spans="1:3" ht="13">
      <c r="A777" s="10">
        <v>443</v>
      </c>
      <c r="B777" s="3">
        <f t="shared" si="7"/>
        <v>7.3833333333333337</v>
      </c>
      <c r="C777" s="3">
        <f t="shared" si="6"/>
        <v>7.3833333333333337</v>
      </c>
    </row>
    <row r="778" spans="1:3" ht="13">
      <c r="A778" s="10">
        <v>172</v>
      </c>
      <c r="B778" s="3">
        <f t="shared" si="7"/>
        <v>2.8666666666666667</v>
      </c>
      <c r="C778" s="3">
        <f t="shared" si="6"/>
        <v>2.8666666666666667</v>
      </c>
    </row>
    <row r="779" spans="1:3" ht="13">
      <c r="A779" s="10">
        <v>430</v>
      </c>
      <c r="B779" s="3">
        <f t="shared" si="7"/>
        <v>7.166666666666667</v>
      </c>
      <c r="C779" s="3">
        <f t="shared" si="6"/>
        <v>7.166666666666667</v>
      </c>
    </row>
    <row r="780" spans="1:3" ht="13">
      <c r="A780" s="10">
        <v>1246</v>
      </c>
      <c r="B780" s="3">
        <f t="shared" si="7"/>
        <v>20.766666666666666</v>
      </c>
      <c r="C780" s="3">
        <f t="shared" si="6"/>
        <v>20.766666666666666</v>
      </c>
    </row>
    <row r="781" spans="1:3" ht="13">
      <c r="A781" s="1"/>
      <c r="B781" s="3">
        <f t="shared" si="7"/>
        <v>0</v>
      </c>
      <c r="C781" s="3" t="str">
        <f t="shared" si="6"/>
        <v/>
      </c>
    </row>
    <row r="782" spans="1:3" ht="13">
      <c r="A782" s="10">
        <v>2045</v>
      </c>
      <c r="B782" s="3">
        <f t="shared" si="7"/>
        <v>34.083333333333336</v>
      </c>
      <c r="C782" s="3">
        <f t="shared" si="6"/>
        <v>34.083333333333336</v>
      </c>
    </row>
    <row r="783" spans="1:3" ht="13">
      <c r="A783" s="10">
        <v>278</v>
      </c>
      <c r="B783" s="3">
        <f t="shared" si="7"/>
        <v>4.6333333333333337</v>
      </c>
      <c r="C783" s="3">
        <f t="shared" si="6"/>
        <v>4.6333333333333337</v>
      </c>
    </row>
    <row r="784" spans="1:3" ht="13">
      <c r="A784" s="10">
        <v>369</v>
      </c>
      <c r="B784" s="3">
        <f t="shared" si="7"/>
        <v>6.15</v>
      </c>
      <c r="C784" s="3">
        <f t="shared" si="6"/>
        <v>6.15</v>
      </c>
    </row>
    <row r="785" spans="1:3" ht="13">
      <c r="A785" s="1"/>
      <c r="B785" s="3">
        <f t="shared" si="7"/>
        <v>0</v>
      </c>
      <c r="C785" s="3" t="str">
        <f t="shared" si="6"/>
        <v/>
      </c>
    </row>
    <row r="786" spans="1:3" ht="13">
      <c r="A786" s="10">
        <v>246</v>
      </c>
      <c r="B786" s="3">
        <f t="shared" si="7"/>
        <v>4.0999999999999996</v>
      </c>
      <c r="C786" s="3">
        <f t="shared" si="6"/>
        <v>4.0999999999999996</v>
      </c>
    </row>
    <row r="787" spans="1:3" ht="13">
      <c r="A787" s="10">
        <v>615</v>
      </c>
      <c r="B787" s="3">
        <f t="shared" si="7"/>
        <v>10.25</v>
      </c>
      <c r="C787" s="3">
        <f t="shared" si="6"/>
        <v>10.25</v>
      </c>
    </row>
    <row r="788" spans="1:3" ht="13">
      <c r="A788" s="10">
        <v>694</v>
      </c>
      <c r="B788" s="3">
        <f t="shared" si="7"/>
        <v>11.566666666666666</v>
      </c>
      <c r="C788" s="3">
        <f t="shared" si="6"/>
        <v>11.566666666666666</v>
      </c>
    </row>
    <row r="789" spans="1:3" ht="13">
      <c r="A789" s="10">
        <v>297</v>
      </c>
      <c r="B789" s="3">
        <f t="shared" si="7"/>
        <v>4.95</v>
      </c>
      <c r="C789" s="3">
        <f t="shared" si="6"/>
        <v>4.95</v>
      </c>
    </row>
    <row r="790" spans="1:3" ht="13">
      <c r="A790" s="10">
        <v>532</v>
      </c>
      <c r="B790" s="3">
        <f t="shared" si="7"/>
        <v>8.8666666666666671</v>
      </c>
      <c r="C790" s="3">
        <f t="shared" si="6"/>
        <v>8.8666666666666671</v>
      </c>
    </row>
    <row r="791" spans="1:3" ht="13">
      <c r="A791" s="10">
        <v>802</v>
      </c>
      <c r="B791" s="3">
        <f t="shared" si="7"/>
        <v>13.366666666666667</v>
      </c>
      <c r="C791" s="3">
        <f t="shared" si="6"/>
        <v>13.366666666666667</v>
      </c>
    </row>
    <row r="792" spans="1:3" ht="13">
      <c r="A792" s="10">
        <v>1118</v>
      </c>
      <c r="B792" s="3">
        <f t="shared" si="7"/>
        <v>18.633333333333333</v>
      </c>
      <c r="C792" s="3">
        <f t="shared" si="6"/>
        <v>18.633333333333333</v>
      </c>
    </row>
    <row r="793" spans="1:3" ht="13">
      <c r="A793" s="10">
        <v>301</v>
      </c>
      <c r="B793" s="3">
        <f t="shared" si="7"/>
        <v>5.0166666666666666</v>
      </c>
      <c r="C793" s="3">
        <f t="shared" si="6"/>
        <v>5.0166666666666666</v>
      </c>
    </row>
    <row r="794" spans="1:3" ht="13">
      <c r="A794" s="10">
        <v>7</v>
      </c>
      <c r="B794" s="3">
        <f t="shared" si="7"/>
        <v>0.11666666666666667</v>
      </c>
      <c r="C794" s="3">
        <f t="shared" si="6"/>
        <v>0.11666666666666667</v>
      </c>
    </row>
    <row r="795" spans="1:3" ht="13">
      <c r="A795" s="1"/>
      <c r="B795" s="3">
        <f t="shared" si="7"/>
        <v>0</v>
      </c>
      <c r="C795" s="3" t="str">
        <f t="shared" si="6"/>
        <v/>
      </c>
    </row>
    <row r="796" spans="1:3" ht="13">
      <c r="A796" s="10">
        <v>189</v>
      </c>
      <c r="B796" s="3">
        <f t="shared" si="7"/>
        <v>3.15</v>
      </c>
      <c r="C796" s="3">
        <f t="shared" si="6"/>
        <v>3.15</v>
      </c>
    </row>
    <row r="797" spans="1:3" ht="13">
      <c r="A797" s="10">
        <v>603</v>
      </c>
      <c r="B797" s="3">
        <f t="shared" si="7"/>
        <v>10.050000000000001</v>
      </c>
      <c r="C797" s="3">
        <f t="shared" si="6"/>
        <v>10.050000000000001</v>
      </c>
    </row>
    <row r="798" spans="1:3" ht="13">
      <c r="A798" s="10">
        <v>437</v>
      </c>
      <c r="B798" s="3">
        <f t="shared" si="7"/>
        <v>7.2833333333333332</v>
      </c>
      <c r="C798" s="3">
        <f t="shared" si="6"/>
        <v>7.2833333333333332</v>
      </c>
    </row>
    <row r="799" spans="1:3" ht="13">
      <c r="A799" s="10">
        <v>608</v>
      </c>
      <c r="B799" s="3">
        <f t="shared" si="7"/>
        <v>10.133333333333333</v>
      </c>
      <c r="C799" s="3">
        <f t="shared" si="6"/>
        <v>10.133333333333333</v>
      </c>
    </row>
    <row r="800" spans="1:3" ht="13">
      <c r="A800" s="10">
        <v>35</v>
      </c>
      <c r="B800" s="3">
        <f t="shared" si="7"/>
        <v>0.58333333333333337</v>
      </c>
      <c r="C800" s="3">
        <f t="shared" si="6"/>
        <v>0.58333333333333337</v>
      </c>
    </row>
    <row r="801" spans="1:3" ht="13">
      <c r="A801" s="10">
        <v>911</v>
      </c>
      <c r="B801" s="3">
        <f t="shared" si="7"/>
        <v>15.183333333333334</v>
      </c>
      <c r="C801" s="3">
        <f t="shared" si="6"/>
        <v>15.183333333333334</v>
      </c>
    </row>
    <row r="802" spans="1:3" ht="13">
      <c r="A802" s="10">
        <v>316</v>
      </c>
      <c r="B802" s="3">
        <f t="shared" si="7"/>
        <v>5.2666666666666666</v>
      </c>
      <c r="C802" s="3">
        <f t="shared" si="6"/>
        <v>5.2666666666666666</v>
      </c>
    </row>
    <row r="803" spans="1:3" ht="13">
      <c r="A803" s="10">
        <v>120</v>
      </c>
      <c r="B803" s="3">
        <f t="shared" si="7"/>
        <v>2</v>
      </c>
      <c r="C803" s="3">
        <f t="shared" si="6"/>
        <v>2</v>
      </c>
    </row>
    <row r="804" spans="1:3" ht="13">
      <c r="A804" s="10">
        <v>824</v>
      </c>
      <c r="B804" s="3">
        <f t="shared" si="7"/>
        <v>13.733333333333333</v>
      </c>
      <c r="C804" s="3">
        <f t="shared" si="6"/>
        <v>13.733333333333333</v>
      </c>
    </row>
    <row r="805" spans="1:3" ht="13">
      <c r="A805" s="10">
        <v>2134</v>
      </c>
      <c r="B805" s="3">
        <f t="shared" si="7"/>
        <v>35.56666666666667</v>
      </c>
      <c r="C805" s="3">
        <f t="shared" si="6"/>
        <v>35.56666666666667</v>
      </c>
    </row>
    <row r="806" spans="1:3" ht="13">
      <c r="A806" s="10">
        <v>317</v>
      </c>
      <c r="B806" s="3">
        <f t="shared" si="7"/>
        <v>5.2833333333333332</v>
      </c>
      <c r="C806" s="3">
        <f t="shared" si="6"/>
        <v>5.2833333333333332</v>
      </c>
    </row>
    <row r="807" spans="1:3" ht="13">
      <c r="A807" s="10">
        <v>120</v>
      </c>
      <c r="B807" s="3">
        <f t="shared" si="7"/>
        <v>2</v>
      </c>
      <c r="C807" s="3">
        <f t="shared" si="6"/>
        <v>2</v>
      </c>
    </row>
    <row r="808" spans="1:3" ht="13">
      <c r="A808" s="10">
        <v>153</v>
      </c>
      <c r="B808" s="3">
        <f t="shared" si="7"/>
        <v>2.5499999999999998</v>
      </c>
      <c r="C808" s="3">
        <f t="shared" si="6"/>
        <v>2.5499999999999998</v>
      </c>
    </row>
    <row r="809" spans="1:3" ht="13">
      <c r="A809" s="10">
        <v>893</v>
      </c>
      <c r="B809" s="3">
        <f t="shared" si="7"/>
        <v>14.883333333333333</v>
      </c>
      <c r="C809" s="3">
        <f t="shared" si="6"/>
        <v>14.883333333333333</v>
      </c>
    </row>
    <row r="810" spans="1:3" ht="13">
      <c r="A810" s="10">
        <v>105</v>
      </c>
      <c r="B810" s="3">
        <f t="shared" si="7"/>
        <v>1.75</v>
      </c>
      <c r="C810" s="3">
        <f t="shared" si="6"/>
        <v>1.75</v>
      </c>
    </row>
    <row r="811" spans="1:3" ht="13">
      <c r="A811" s="10">
        <v>64</v>
      </c>
      <c r="B811" s="3">
        <f t="shared" si="7"/>
        <v>1.0666666666666667</v>
      </c>
      <c r="C811" s="3">
        <f t="shared" si="6"/>
        <v>1.0666666666666667</v>
      </c>
    </row>
    <row r="812" spans="1:3" ht="13">
      <c r="A812" s="10">
        <v>1322</v>
      </c>
      <c r="B812" s="3">
        <f t="shared" si="7"/>
        <v>22.033333333333335</v>
      </c>
      <c r="C812" s="3">
        <f t="shared" si="6"/>
        <v>22.033333333333335</v>
      </c>
    </row>
    <row r="813" spans="1:3" ht="13">
      <c r="A813" s="10">
        <v>127</v>
      </c>
      <c r="B813" s="3">
        <f t="shared" si="7"/>
        <v>2.1166666666666667</v>
      </c>
      <c r="C813" s="3">
        <f t="shared" si="6"/>
        <v>2.1166666666666667</v>
      </c>
    </row>
    <row r="814" spans="1:3" ht="13">
      <c r="A814" s="10">
        <v>216</v>
      </c>
      <c r="B814" s="3">
        <f t="shared" si="7"/>
        <v>3.6</v>
      </c>
      <c r="C814" s="3">
        <f t="shared" si="6"/>
        <v>3.6</v>
      </c>
    </row>
    <row r="815" spans="1:3" ht="13">
      <c r="A815" s="10">
        <v>529</v>
      </c>
      <c r="B815" s="3">
        <f t="shared" si="7"/>
        <v>8.8166666666666664</v>
      </c>
      <c r="C815" s="3">
        <f t="shared" si="6"/>
        <v>8.8166666666666664</v>
      </c>
    </row>
    <row r="816" spans="1:3" ht="13">
      <c r="A816" s="10">
        <v>270</v>
      </c>
      <c r="B816" s="3">
        <f t="shared" si="7"/>
        <v>4.5</v>
      </c>
      <c r="C816" s="3">
        <f t="shared" si="6"/>
        <v>4.5</v>
      </c>
    </row>
    <row r="817" spans="1:3" ht="13">
      <c r="A817" s="10">
        <v>562</v>
      </c>
      <c r="B817" s="3">
        <f t="shared" si="7"/>
        <v>9.3666666666666671</v>
      </c>
      <c r="C817" s="3">
        <f t="shared" si="6"/>
        <v>9.3666666666666671</v>
      </c>
    </row>
    <row r="818" spans="1:3" ht="13">
      <c r="A818" s="10">
        <v>401</v>
      </c>
      <c r="B818" s="3">
        <f t="shared" si="7"/>
        <v>6.6833333333333336</v>
      </c>
      <c r="C818" s="3">
        <f t="shared" si="6"/>
        <v>6.6833333333333336</v>
      </c>
    </row>
    <row r="819" spans="1:3" ht="13">
      <c r="A819" s="10">
        <v>181</v>
      </c>
      <c r="B819" s="3">
        <f t="shared" si="7"/>
        <v>3.0166666666666666</v>
      </c>
      <c r="C819" s="3">
        <f t="shared" si="6"/>
        <v>3.0166666666666666</v>
      </c>
    </row>
    <row r="820" spans="1:3" ht="13">
      <c r="A820" s="10">
        <v>255</v>
      </c>
      <c r="B820" s="3">
        <f t="shared" si="7"/>
        <v>4.25</v>
      </c>
      <c r="C820" s="3">
        <f t="shared" si="6"/>
        <v>4.25</v>
      </c>
    </row>
    <row r="821" spans="1:3" ht="13">
      <c r="A821" s="10">
        <v>186</v>
      </c>
      <c r="B821" s="3">
        <f t="shared" si="7"/>
        <v>3.1</v>
      </c>
      <c r="C821" s="3">
        <f t="shared" si="6"/>
        <v>3.1</v>
      </c>
    </row>
    <row r="822" spans="1:3" ht="13">
      <c r="A822" s="10">
        <v>67</v>
      </c>
      <c r="B822" s="3">
        <f t="shared" si="7"/>
        <v>1.1166666666666667</v>
      </c>
      <c r="C822" s="3">
        <f t="shared" si="6"/>
        <v>1.1166666666666667</v>
      </c>
    </row>
    <row r="823" spans="1:3" ht="13">
      <c r="A823" s="1"/>
      <c r="B823" s="3">
        <f t="shared" si="7"/>
        <v>0</v>
      </c>
      <c r="C823" s="3" t="str">
        <f t="shared" si="6"/>
        <v/>
      </c>
    </row>
    <row r="824" spans="1:3" ht="13">
      <c r="A824" s="10">
        <v>162</v>
      </c>
      <c r="B824" s="3">
        <f t="shared" si="7"/>
        <v>2.7</v>
      </c>
      <c r="C824" s="3">
        <f t="shared" si="6"/>
        <v>2.7</v>
      </c>
    </row>
    <row r="825" spans="1:3" ht="13">
      <c r="A825" s="10">
        <v>484</v>
      </c>
      <c r="B825" s="3">
        <f t="shared" si="7"/>
        <v>8.0666666666666664</v>
      </c>
      <c r="C825" s="3">
        <f t="shared" si="6"/>
        <v>8.0666666666666664</v>
      </c>
    </row>
    <row r="826" spans="1:3" ht="13">
      <c r="A826" s="10">
        <v>699</v>
      </c>
      <c r="B826" s="3">
        <f t="shared" si="7"/>
        <v>11.65</v>
      </c>
      <c r="C826" s="3">
        <f t="shared" si="6"/>
        <v>11.65</v>
      </c>
    </row>
    <row r="827" spans="1:3" ht="13">
      <c r="A827" s="10">
        <v>521</v>
      </c>
      <c r="B827" s="3">
        <f t="shared" si="7"/>
        <v>8.6833333333333336</v>
      </c>
      <c r="C827" s="3">
        <f t="shared" si="6"/>
        <v>8.6833333333333336</v>
      </c>
    </row>
    <row r="828" spans="1:3" ht="13">
      <c r="A828" s="10">
        <v>451</v>
      </c>
      <c r="B828" s="3">
        <f t="shared" si="7"/>
        <v>7.5166666666666666</v>
      </c>
      <c r="C828" s="3">
        <f t="shared" si="6"/>
        <v>7.5166666666666666</v>
      </c>
    </row>
    <row r="829" spans="1:3" ht="13">
      <c r="A829" s="1"/>
      <c r="B829" s="3">
        <f t="shared" si="7"/>
        <v>0</v>
      </c>
      <c r="C829" s="3" t="str">
        <f t="shared" si="6"/>
        <v/>
      </c>
    </row>
    <row r="830" spans="1:3" ht="13">
      <c r="A830" s="10">
        <v>1452</v>
      </c>
      <c r="B830" s="3">
        <f t="shared" si="7"/>
        <v>24.2</v>
      </c>
      <c r="C830" s="3">
        <f t="shared" si="6"/>
        <v>24.2</v>
      </c>
    </row>
    <row r="831" spans="1:3" ht="13">
      <c r="A831" s="10">
        <v>211</v>
      </c>
      <c r="B831" s="3">
        <f t="shared" si="7"/>
        <v>3.5166666666666666</v>
      </c>
      <c r="C831" s="3">
        <f t="shared" si="6"/>
        <v>3.5166666666666666</v>
      </c>
    </row>
    <row r="832" spans="1:3" ht="13">
      <c r="A832" s="10">
        <v>583</v>
      </c>
      <c r="B832" s="3">
        <f t="shared" si="7"/>
        <v>9.7166666666666668</v>
      </c>
      <c r="C832" s="3">
        <f t="shared" si="6"/>
        <v>9.7166666666666668</v>
      </c>
    </row>
    <row r="833" spans="1:3" ht="13">
      <c r="A833" s="10">
        <v>80</v>
      </c>
      <c r="B833" s="3">
        <f t="shared" si="7"/>
        <v>1.3333333333333333</v>
      </c>
      <c r="C833" s="3">
        <f t="shared" si="6"/>
        <v>1.3333333333333333</v>
      </c>
    </row>
    <row r="834" spans="1:3" ht="13">
      <c r="A834" s="1"/>
      <c r="B834" s="3">
        <f t="shared" si="7"/>
        <v>0</v>
      </c>
      <c r="C834" s="3" t="str">
        <f t="shared" si="6"/>
        <v/>
      </c>
    </row>
    <row r="835" spans="1:3" ht="13">
      <c r="A835" s="10">
        <v>639</v>
      </c>
      <c r="B835" s="3">
        <f t="shared" si="7"/>
        <v>10.65</v>
      </c>
      <c r="C835" s="3">
        <f t="shared" si="6"/>
        <v>10.65</v>
      </c>
    </row>
    <row r="836" spans="1:3" ht="13">
      <c r="A836" s="10">
        <v>466</v>
      </c>
      <c r="B836" s="3">
        <f t="shared" si="7"/>
        <v>7.7666666666666666</v>
      </c>
      <c r="C836" s="3">
        <f t="shared" si="6"/>
        <v>7.7666666666666666</v>
      </c>
    </row>
    <row r="837" spans="1:3" ht="13">
      <c r="A837" s="1"/>
      <c r="B837" s="3">
        <f t="shared" si="7"/>
        <v>0</v>
      </c>
      <c r="C837" s="3" t="str">
        <f t="shared" si="6"/>
        <v/>
      </c>
    </row>
    <row r="838" spans="1:3" ht="13">
      <c r="A838" s="10">
        <v>501</v>
      </c>
      <c r="B838" s="3">
        <f t="shared" si="7"/>
        <v>8.35</v>
      </c>
      <c r="C838" s="3">
        <f t="shared" si="6"/>
        <v>8.35</v>
      </c>
    </row>
    <row r="839" spans="1:3" ht="13">
      <c r="A839" s="10">
        <v>391</v>
      </c>
      <c r="B839" s="3">
        <f t="shared" si="7"/>
        <v>6.5166666666666666</v>
      </c>
      <c r="C839" s="3">
        <f t="shared" si="6"/>
        <v>6.5166666666666666</v>
      </c>
    </row>
    <row r="840" spans="1:3" ht="13">
      <c r="A840" s="10">
        <v>283</v>
      </c>
      <c r="B840" s="3">
        <f t="shared" si="7"/>
        <v>4.7166666666666668</v>
      </c>
      <c r="C840" s="3">
        <f t="shared" si="6"/>
        <v>4.7166666666666668</v>
      </c>
    </row>
    <row r="841" spans="1:3" ht="13">
      <c r="A841" s="10">
        <v>116</v>
      </c>
      <c r="B841" s="3">
        <f t="shared" si="7"/>
        <v>1.9333333333333333</v>
      </c>
      <c r="C841" s="3">
        <f t="shared" si="6"/>
        <v>1.9333333333333333</v>
      </c>
    </row>
    <row r="842" spans="1:3" ht="13">
      <c r="A842" s="10">
        <v>296</v>
      </c>
      <c r="B842" s="3">
        <f t="shared" si="7"/>
        <v>4.9333333333333336</v>
      </c>
      <c r="C842" s="3">
        <f t="shared" si="6"/>
        <v>4.9333333333333336</v>
      </c>
    </row>
    <row r="843" spans="1:3" ht="13">
      <c r="A843" s="10">
        <v>1380</v>
      </c>
      <c r="B843" s="3">
        <f t="shared" si="7"/>
        <v>23</v>
      </c>
      <c r="C843" s="3">
        <f t="shared" si="6"/>
        <v>23</v>
      </c>
    </row>
    <row r="844" spans="1:3" ht="13">
      <c r="A844" s="10">
        <v>903</v>
      </c>
      <c r="B844" s="3">
        <f t="shared" si="7"/>
        <v>15.05</v>
      </c>
      <c r="C844" s="3">
        <f t="shared" si="6"/>
        <v>15.05</v>
      </c>
    </row>
    <row r="845" spans="1:3" ht="13">
      <c r="A845" s="10">
        <v>1318</v>
      </c>
      <c r="B845" s="3">
        <f t="shared" si="7"/>
        <v>21.966666666666665</v>
      </c>
      <c r="C845" s="3">
        <f t="shared" si="6"/>
        <v>21.966666666666665</v>
      </c>
    </row>
    <row r="846" spans="1:3" ht="13">
      <c r="A846" s="10">
        <v>243</v>
      </c>
      <c r="B846" s="3">
        <f t="shared" si="7"/>
        <v>4.05</v>
      </c>
      <c r="C846" s="3">
        <f t="shared" si="6"/>
        <v>4.05</v>
      </c>
    </row>
    <row r="847" spans="1:3" ht="13">
      <c r="A847" s="1"/>
      <c r="B847" s="3">
        <f t="shared" si="7"/>
        <v>0</v>
      </c>
      <c r="C847" s="3" t="str">
        <f t="shared" si="6"/>
        <v/>
      </c>
    </row>
    <row r="848" spans="1:3" ht="13">
      <c r="A848" s="10">
        <v>405</v>
      </c>
      <c r="B848" s="3">
        <f t="shared" si="7"/>
        <v>6.75</v>
      </c>
      <c r="C848" s="3">
        <f t="shared" si="6"/>
        <v>6.75</v>
      </c>
    </row>
    <row r="849" spans="1:3" ht="13">
      <c r="A849" s="10">
        <v>205</v>
      </c>
      <c r="B849" s="3">
        <f t="shared" si="7"/>
        <v>3.4166666666666665</v>
      </c>
      <c r="C849" s="3">
        <f t="shared" si="6"/>
        <v>3.4166666666666665</v>
      </c>
    </row>
    <row r="850" spans="1:3" ht="13">
      <c r="A850" s="10">
        <v>300</v>
      </c>
      <c r="B850" s="3">
        <f t="shared" si="7"/>
        <v>5</v>
      </c>
      <c r="C850" s="3">
        <f t="shared" si="6"/>
        <v>5</v>
      </c>
    </row>
    <row r="851" spans="1:3" ht="13">
      <c r="A851" s="10">
        <v>269</v>
      </c>
      <c r="B851" s="3">
        <f t="shared" si="7"/>
        <v>4.4833333333333334</v>
      </c>
      <c r="C851" s="3">
        <f t="shared" si="6"/>
        <v>4.4833333333333334</v>
      </c>
    </row>
    <row r="852" spans="1:3" ht="13">
      <c r="A852" s="10">
        <v>347</v>
      </c>
      <c r="B852" s="3">
        <f t="shared" si="7"/>
        <v>5.7833333333333332</v>
      </c>
      <c r="C852" s="3">
        <f t="shared" si="6"/>
        <v>5.7833333333333332</v>
      </c>
    </row>
    <row r="853" spans="1:3" ht="13">
      <c r="A853" s="10">
        <v>437</v>
      </c>
      <c r="B853" s="3">
        <f t="shared" si="7"/>
        <v>7.2833333333333332</v>
      </c>
      <c r="C853" s="3">
        <f t="shared" si="6"/>
        <v>7.2833333333333332</v>
      </c>
    </row>
    <row r="854" spans="1:3" ht="13">
      <c r="A854" s="10">
        <v>231</v>
      </c>
      <c r="B854" s="3">
        <f t="shared" si="7"/>
        <v>3.85</v>
      </c>
      <c r="C854" s="3">
        <f t="shared" si="6"/>
        <v>3.85</v>
      </c>
    </row>
    <row r="855" spans="1:3" ht="13">
      <c r="A855" s="10">
        <v>311</v>
      </c>
      <c r="B855" s="3">
        <f t="shared" si="7"/>
        <v>5.1833333333333336</v>
      </c>
      <c r="C855" s="3">
        <f t="shared" si="6"/>
        <v>5.1833333333333336</v>
      </c>
    </row>
    <row r="856" spans="1:3" ht="13">
      <c r="A856" s="10">
        <v>357</v>
      </c>
      <c r="B856" s="3">
        <f t="shared" si="7"/>
        <v>5.95</v>
      </c>
      <c r="C856" s="3">
        <f t="shared" si="6"/>
        <v>5.95</v>
      </c>
    </row>
    <row r="857" spans="1:3" ht="13">
      <c r="A857" s="10">
        <v>320</v>
      </c>
      <c r="B857" s="3">
        <f t="shared" si="7"/>
        <v>5.333333333333333</v>
      </c>
      <c r="C857" s="3">
        <f t="shared" si="6"/>
        <v>5.333333333333333</v>
      </c>
    </row>
    <row r="858" spans="1:3" ht="13">
      <c r="A858" s="10">
        <v>282</v>
      </c>
      <c r="B858" s="3">
        <f t="shared" si="7"/>
        <v>4.7</v>
      </c>
      <c r="C858" s="3">
        <f t="shared" si="6"/>
        <v>4.7</v>
      </c>
    </row>
    <row r="859" spans="1:3" ht="13">
      <c r="A859" s="10">
        <v>306</v>
      </c>
      <c r="B859" s="3">
        <f t="shared" si="7"/>
        <v>5.0999999999999996</v>
      </c>
      <c r="C859" s="3">
        <f t="shared" si="6"/>
        <v>5.0999999999999996</v>
      </c>
    </row>
    <row r="860" spans="1:3" ht="13">
      <c r="A860" s="10">
        <v>203</v>
      </c>
      <c r="B860" s="3">
        <f t="shared" si="7"/>
        <v>3.3833333333333333</v>
      </c>
      <c r="C860" s="3">
        <f t="shared" si="6"/>
        <v>3.3833333333333333</v>
      </c>
    </row>
    <row r="861" spans="1:3" ht="13">
      <c r="A861" s="1"/>
      <c r="B861" s="3">
        <f t="shared" si="7"/>
        <v>0</v>
      </c>
      <c r="C861" s="3" t="str">
        <f t="shared" si="6"/>
        <v/>
      </c>
    </row>
    <row r="862" spans="1:3" ht="13">
      <c r="A862" s="10">
        <v>418</v>
      </c>
      <c r="B862" s="3">
        <f t="shared" si="7"/>
        <v>6.9666666666666668</v>
      </c>
      <c r="C862" s="3">
        <f t="shared" si="6"/>
        <v>6.9666666666666668</v>
      </c>
    </row>
    <row r="863" spans="1:3" ht="13">
      <c r="A863" s="10">
        <v>1247</v>
      </c>
      <c r="B863" s="3">
        <f t="shared" si="7"/>
        <v>20.783333333333335</v>
      </c>
      <c r="C863" s="3">
        <f t="shared" si="6"/>
        <v>20.783333333333335</v>
      </c>
    </row>
    <row r="864" spans="1:3" ht="13">
      <c r="A864" s="10">
        <v>721</v>
      </c>
      <c r="B864" s="3">
        <f t="shared" si="7"/>
        <v>12.016666666666667</v>
      </c>
      <c r="C864" s="3">
        <f t="shared" si="6"/>
        <v>12.016666666666667</v>
      </c>
    </row>
    <row r="865" spans="1:3" ht="13">
      <c r="A865" s="10">
        <v>648</v>
      </c>
      <c r="B865" s="3">
        <f t="shared" si="7"/>
        <v>10.8</v>
      </c>
      <c r="C865" s="3">
        <f t="shared" si="6"/>
        <v>10.8</v>
      </c>
    </row>
    <row r="866" spans="1:3" ht="13">
      <c r="A866" s="10">
        <v>470</v>
      </c>
      <c r="B866" s="3">
        <f t="shared" si="7"/>
        <v>7.833333333333333</v>
      </c>
      <c r="C866" s="3">
        <f t="shared" si="6"/>
        <v>7.833333333333333</v>
      </c>
    </row>
    <row r="867" spans="1:3" ht="13">
      <c r="A867" s="10">
        <v>95</v>
      </c>
      <c r="B867" s="3">
        <f t="shared" si="7"/>
        <v>1.5833333333333333</v>
      </c>
      <c r="C867" s="3">
        <f t="shared" si="6"/>
        <v>1.5833333333333333</v>
      </c>
    </row>
    <row r="868" spans="1:3" ht="13">
      <c r="A868" s="10">
        <v>22</v>
      </c>
      <c r="B868" s="3">
        <f t="shared" si="7"/>
        <v>0.36666666666666664</v>
      </c>
      <c r="C868" s="3">
        <f t="shared" si="6"/>
        <v>0.36666666666666664</v>
      </c>
    </row>
    <row r="869" spans="1:3" ht="13">
      <c r="A869" s="10">
        <v>123</v>
      </c>
      <c r="B869" s="3">
        <f t="shared" si="7"/>
        <v>2.0499999999999998</v>
      </c>
      <c r="C869" s="3">
        <f t="shared" si="6"/>
        <v>2.0499999999999998</v>
      </c>
    </row>
    <row r="870" spans="1:3" ht="13">
      <c r="A870" s="10">
        <v>427</v>
      </c>
      <c r="B870" s="3">
        <f t="shared" si="7"/>
        <v>7.1166666666666663</v>
      </c>
      <c r="C870" s="3">
        <f t="shared" si="6"/>
        <v>7.1166666666666663</v>
      </c>
    </row>
    <row r="871" spans="1:3" ht="13">
      <c r="A871" s="10">
        <v>346</v>
      </c>
      <c r="B871" s="3">
        <f t="shared" si="7"/>
        <v>5.7666666666666666</v>
      </c>
      <c r="C871" s="3">
        <f t="shared" si="6"/>
        <v>5.7666666666666666</v>
      </c>
    </row>
    <row r="872" spans="1:3" ht="13">
      <c r="A872" s="10">
        <v>94</v>
      </c>
      <c r="B872" s="3">
        <f t="shared" si="7"/>
        <v>1.5666666666666667</v>
      </c>
      <c r="C872" s="3">
        <f t="shared" si="6"/>
        <v>1.5666666666666667</v>
      </c>
    </row>
    <row r="873" spans="1:3" ht="13">
      <c r="A873" s="10">
        <v>215</v>
      </c>
      <c r="B873" s="3">
        <f t="shared" si="7"/>
        <v>3.5833333333333335</v>
      </c>
      <c r="C873" s="3">
        <f t="shared" si="6"/>
        <v>3.5833333333333335</v>
      </c>
    </row>
    <row r="874" spans="1:3" ht="13">
      <c r="A874" s="10">
        <v>453</v>
      </c>
      <c r="B874" s="3">
        <f t="shared" si="7"/>
        <v>7.55</v>
      </c>
      <c r="C874" s="3">
        <f t="shared" si="6"/>
        <v>7.55</v>
      </c>
    </row>
    <row r="875" spans="1:3" ht="13">
      <c r="A875" s="10">
        <v>980</v>
      </c>
      <c r="B875" s="3">
        <f t="shared" si="7"/>
        <v>16.333333333333332</v>
      </c>
      <c r="C875" s="3">
        <f t="shared" si="6"/>
        <v>16.333333333333332</v>
      </c>
    </row>
    <row r="876" spans="1:3" ht="13">
      <c r="A876" s="10">
        <v>356</v>
      </c>
      <c r="B876" s="3">
        <f t="shared" si="7"/>
        <v>5.9333333333333336</v>
      </c>
      <c r="C876" s="3">
        <f t="shared" si="6"/>
        <v>5.9333333333333336</v>
      </c>
    </row>
    <row r="877" spans="1:3" ht="13">
      <c r="A877" s="10">
        <v>200</v>
      </c>
      <c r="B877" s="3">
        <f t="shared" si="7"/>
        <v>3.3333333333333335</v>
      </c>
      <c r="C877" s="3">
        <f t="shared" si="6"/>
        <v>3.3333333333333335</v>
      </c>
    </row>
    <row r="878" spans="1:3" ht="13">
      <c r="A878" s="10">
        <v>664</v>
      </c>
      <c r="B878" s="3">
        <f t="shared" si="7"/>
        <v>11.066666666666666</v>
      </c>
      <c r="C878" s="3">
        <f t="shared" si="6"/>
        <v>11.066666666666666</v>
      </c>
    </row>
    <row r="879" spans="1:3" ht="13">
      <c r="A879" s="10">
        <v>146</v>
      </c>
      <c r="B879" s="3">
        <f t="shared" si="7"/>
        <v>2.4333333333333331</v>
      </c>
      <c r="C879" s="3">
        <f t="shared" si="6"/>
        <v>2.4333333333333331</v>
      </c>
    </row>
    <row r="880" spans="1:3" ht="13">
      <c r="A880" s="10">
        <v>692</v>
      </c>
      <c r="B880" s="3">
        <f t="shared" si="7"/>
        <v>11.533333333333333</v>
      </c>
      <c r="C880" s="3">
        <f t="shared" si="6"/>
        <v>11.533333333333333</v>
      </c>
    </row>
    <row r="881" spans="1:3" ht="13">
      <c r="A881" s="1"/>
      <c r="B881" s="3">
        <f t="shared" si="7"/>
        <v>0</v>
      </c>
      <c r="C881" s="3" t="str">
        <f t="shared" si="6"/>
        <v/>
      </c>
    </row>
    <row r="882" spans="1:3" ht="13">
      <c r="A882" s="1"/>
      <c r="B882" s="3">
        <f t="shared" si="7"/>
        <v>0</v>
      </c>
      <c r="C882" s="3" t="str">
        <f t="shared" si="6"/>
        <v/>
      </c>
    </row>
    <row r="883" spans="1:3" ht="13">
      <c r="A883" s="10">
        <v>973</v>
      </c>
      <c r="B883" s="3">
        <f t="shared" si="7"/>
        <v>16.216666666666665</v>
      </c>
      <c r="C883" s="3">
        <f t="shared" si="6"/>
        <v>16.216666666666665</v>
      </c>
    </row>
    <row r="884" spans="1:3" ht="13">
      <c r="A884" s="10">
        <v>1071</v>
      </c>
      <c r="B884" s="3">
        <f t="shared" si="7"/>
        <v>17.850000000000001</v>
      </c>
      <c r="C884" s="3">
        <f t="shared" si="6"/>
        <v>17.850000000000001</v>
      </c>
    </row>
    <row r="885" spans="1:3" ht="13">
      <c r="A885" s="10">
        <v>1682</v>
      </c>
      <c r="B885" s="3">
        <f t="shared" si="7"/>
        <v>28.033333333333335</v>
      </c>
      <c r="C885" s="3">
        <f t="shared" si="6"/>
        <v>28.033333333333335</v>
      </c>
    </row>
    <row r="886" spans="1:3" ht="13">
      <c r="A886" s="10">
        <v>433</v>
      </c>
      <c r="B886" s="3">
        <f t="shared" si="7"/>
        <v>7.2166666666666668</v>
      </c>
      <c r="C886" s="3">
        <f t="shared" si="6"/>
        <v>7.2166666666666668</v>
      </c>
    </row>
    <row r="887" spans="1:3" ht="13">
      <c r="A887" s="1"/>
      <c r="B887" s="3">
        <f t="shared" si="7"/>
        <v>0</v>
      </c>
      <c r="C887" s="3" t="str">
        <f t="shared" si="6"/>
        <v/>
      </c>
    </row>
    <row r="888" spans="1:3" ht="13">
      <c r="A888" s="10">
        <v>236</v>
      </c>
      <c r="B888" s="3">
        <f t="shared" si="7"/>
        <v>3.9333333333333331</v>
      </c>
      <c r="C888" s="3">
        <f t="shared" si="6"/>
        <v>3.9333333333333331</v>
      </c>
    </row>
    <row r="889" spans="1:3" ht="13">
      <c r="A889" s="10">
        <v>1180</v>
      </c>
      <c r="B889" s="3">
        <f t="shared" si="7"/>
        <v>19.666666666666668</v>
      </c>
      <c r="C889" s="3">
        <f t="shared" si="6"/>
        <v>19.666666666666668</v>
      </c>
    </row>
    <row r="890" spans="1:3" ht="13">
      <c r="A890" s="10">
        <v>904</v>
      </c>
      <c r="B890" s="3">
        <f t="shared" si="7"/>
        <v>15.066666666666666</v>
      </c>
      <c r="C890" s="3">
        <f t="shared" si="6"/>
        <v>15.066666666666666</v>
      </c>
    </row>
    <row r="891" spans="1:3" ht="13">
      <c r="A891" s="1"/>
      <c r="B891" s="3">
        <f t="shared" si="7"/>
        <v>0</v>
      </c>
      <c r="C891" s="3" t="str">
        <f t="shared" si="6"/>
        <v/>
      </c>
    </row>
    <row r="892" spans="1:3" ht="13">
      <c r="A892" s="10">
        <v>246</v>
      </c>
      <c r="B892" s="3">
        <f t="shared" si="7"/>
        <v>4.0999999999999996</v>
      </c>
      <c r="C892" s="3">
        <f t="shared" si="6"/>
        <v>4.0999999999999996</v>
      </c>
    </row>
    <row r="893" spans="1:3" ht="13">
      <c r="A893" s="10">
        <v>597</v>
      </c>
      <c r="B893" s="3">
        <f t="shared" si="7"/>
        <v>9.9499999999999993</v>
      </c>
      <c r="C893" s="3">
        <f t="shared" si="6"/>
        <v>9.9499999999999993</v>
      </c>
    </row>
    <row r="894" spans="1:3" ht="13">
      <c r="A894" s="10">
        <v>450</v>
      </c>
      <c r="B894" s="3">
        <f t="shared" si="7"/>
        <v>7.5</v>
      </c>
      <c r="C894" s="3">
        <f t="shared" si="6"/>
        <v>7.5</v>
      </c>
    </row>
    <row r="895" spans="1:3" ht="13">
      <c r="A895" s="10">
        <v>666</v>
      </c>
      <c r="B895" s="3">
        <f t="shared" si="7"/>
        <v>11.1</v>
      </c>
      <c r="C895" s="3">
        <f t="shared" si="6"/>
        <v>11.1</v>
      </c>
    </row>
    <row r="896" spans="1:3" ht="13">
      <c r="A896" s="10">
        <v>857</v>
      </c>
      <c r="B896" s="3">
        <f t="shared" si="7"/>
        <v>14.283333333333333</v>
      </c>
      <c r="C896" s="3">
        <f t="shared" si="6"/>
        <v>14.283333333333333</v>
      </c>
    </row>
    <row r="897" spans="1:3" ht="13">
      <c r="A897" s="10">
        <v>537</v>
      </c>
      <c r="B897" s="3">
        <f t="shared" si="7"/>
        <v>8.9499999999999993</v>
      </c>
      <c r="C897" s="3">
        <f t="shared" si="6"/>
        <v>8.9499999999999993</v>
      </c>
    </row>
    <row r="898" spans="1:3" ht="13">
      <c r="A898" s="10">
        <v>356</v>
      </c>
      <c r="B898" s="3">
        <f t="shared" si="7"/>
        <v>5.9333333333333336</v>
      </c>
      <c r="C898" s="3">
        <f t="shared" si="6"/>
        <v>5.9333333333333336</v>
      </c>
    </row>
    <row r="899" spans="1:3" ht="13">
      <c r="A899" s="10">
        <v>116</v>
      </c>
      <c r="B899" s="3">
        <f t="shared" si="7"/>
        <v>1.9333333333333333</v>
      </c>
      <c r="C899" s="3">
        <f t="shared" si="6"/>
        <v>1.9333333333333333</v>
      </c>
    </row>
    <row r="900" spans="1:3" ht="13">
      <c r="A900" s="10">
        <v>247</v>
      </c>
      <c r="B900" s="3">
        <f t="shared" si="7"/>
        <v>4.1166666666666663</v>
      </c>
      <c r="C900" s="3">
        <f t="shared" si="6"/>
        <v>4.1166666666666663</v>
      </c>
    </row>
    <row r="901" spans="1:3" ht="13">
      <c r="A901" s="10">
        <v>1341</v>
      </c>
      <c r="B901" s="3">
        <f t="shared" si="7"/>
        <v>22.35</v>
      </c>
      <c r="C901" s="3">
        <f t="shared" si="6"/>
        <v>22.35</v>
      </c>
    </row>
    <row r="902" spans="1:3" ht="13">
      <c r="A902" s="10">
        <v>115</v>
      </c>
      <c r="B902" s="3">
        <f t="shared" si="7"/>
        <v>1.9166666666666667</v>
      </c>
      <c r="C902" s="3">
        <f t="shared" si="6"/>
        <v>1.9166666666666667</v>
      </c>
    </row>
    <row r="903" spans="1:3" ht="13">
      <c r="A903" s="1"/>
      <c r="B903" s="3">
        <f t="shared" si="7"/>
        <v>0</v>
      </c>
      <c r="C903" s="3" t="str">
        <f t="shared" si="6"/>
        <v/>
      </c>
    </row>
    <row r="904" spans="1:3" ht="13">
      <c r="A904" s="10">
        <v>386</v>
      </c>
      <c r="B904" s="3">
        <f t="shared" si="7"/>
        <v>6.4333333333333336</v>
      </c>
      <c r="C904" s="3">
        <f t="shared" si="6"/>
        <v>6.4333333333333336</v>
      </c>
    </row>
    <row r="905" spans="1:3" ht="13">
      <c r="A905" s="10">
        <v>79</v>
      </c>
      <c r="B905" s="3">
        <f t="shared" si="7"/>
        <v>1.3166666666666667</v>
      </c>
      <c r="C905" s="3">
        <f t="shared" si="6"/>
        <v>1.3166666666666667</v>
      </c>
    </row>
    <row r="906" spans="1:3" ht="13">
      <c r="A906" s="10">
        <v>299</v>
      </c>
      <c r="B906" s="3">
        <f t="shared" si="7"/>
        <v>4.9833333333333334</v>
      </c>
      <c r="C906" s="3">
        <f t="shared" si="6"/>
        <v>4.9833333333333334</v>
      </c>
    </row>
    <row r="907" spans="1:3" ht="13">
      <c r="A907" s="10">
        <v>600</v>
      </c>
      <c r="B907" s="3">
        <f t="shared" si="7"/>
        <v>10</v>
      </c>
      <c r="C907" s="3">
        <f t="shared" si="6"/>
        <v>10</v>
      </c>
    </row>
    <row r="908" spans="1:3" ht="13">
      <c r="A908" s="10">
        <v>219</v>
      </c>
      <c r="B908" s="3">
        <f t="shared" si="7"/>
        <v>3.65</v>
      </c>
      <c r="C908" s="3">
        <f t="shared" si="6"/>
        <v>3.65</v>
      </c>
    </row>
    <row r="909" spans="1:3" ht="13">
      <c r="A909" s="10">
        <v>112</v>
      </c>
      <c r="B909" s="3">
        <f t="shared" si="7"/>
        <v>1.8666666666666667</v>
      </c>
      <c r="C909" s="3">
        <f t="shared" si="6"/>
        <v>1.8666666666666667</v>
      </c>
    </row>
    <row r="910" spans="1:3" ht="13">
      <c r="A910" s="1"/>
      <c r="B910" s="3">
        <f t="shared" si="7"/>
        <v>0</v>
      </c>
      <c r="C910" s="3" t="str">
        <f t="shared" si="6"/>
        <v/>
      </c>
    </row>
    <row r="911" spans="1:3" ht="13">
      <c r="A911" s="10">
        <v>937</v>
      </c>
      <c r="B911" s="3">
        <f t="shared" si="7"/>
        <v>15.616666666666667</v>
      </c>
      <c r="C911" s="3">
        <f t="shared" si="6"/>
        <v>15.616666666666667</v>
      </c>
    </row>
    <row r="912" spans="1:3" ht="13">
      <c r="A912" s="10">
        <v>153</v>
      </c>
      <c r="B912" s="3">
        <f t="shared" si="7"/>
        <v>2.5499999999999998</v>
      </c>
      <c r="C912" s="3">
        <f t="shared" si="6"/>
        <v>2.5499999999999998</v>
      </c>
    </row>
    <row r="913" spans="1:3" ht="13">
      <c r="A913" s="10">
        <v>449</v>
      </c>
      <c r="B913" s="3">
        <f t="shared" si="7"/>
        <v>7.4833333333333334</v>
      </c>
      <c r="C913" s="3">
        <f t="shared" si="6"/>
        <v>7.4833333333333334</v>
      </c>
    </row>
    <row r="914" spans="1:3" ht="13">
      <c r="A914" s="10">
        <v>358</v>
      </c>
      <c r="B914" s="3">
        <f t="shared" si="7"/>
        <v>5.9666666666666668</v>
      </c>
      <c r="C914" s="3">
        <f t="shared" si="6"/>
        <v>5.9666666666666668</v>
      </c>
    </row>
    <row r="915" spans="1:3" ht="13">
      <c r="A915" s="10">
        <v>161</v>
      </c>
      <c r="B915" s="3">
        <f t="shared" si="7"/>
        <v>2.6833333333333331</v>
      </c>
      <c r="C915" s="3">
        <f t="shared" si="6"/>
        <v>2.6833333333333331</v>
      </c>
    </row>
    <row r="916" spans="1:3" ht="13">
      <c r="A916" s="1"/>
      <c r="B916" s="3">
        <f t="shared" si="7"/>
        <v>0</v>
      </c>
      <c r="C916" s="3" t="str">
        <f t="shared" si="6"/>
        <v/>
      </c>
    </row>
    <row r="917" spans="1:3" ht="13">
      <c r="A917" s="10">
        <v>691</v>
      </c>
      <c r="B917" s="3">
        <f t="shared" si="7"/>
        <v>11.516666666666667</v>
      </c>
      <c r="C917" s="3">
        <f t="shared" si="6"/>
        <v>11.516666666666667</v>
      </c>
    </row>
    <row r="918" spans="1:3" ht="13">
      <c r="A918" s="1"/>
      <c r="B918" s="3">
        <f t="shared" si="7"/>
        <v>0</v>
      </c>
      <c r="C918" s="3" t="str">
        <f t="shared" si="6"/>
        <v/>
      </c>
    </row>
    <row r="919" spans="1:3" ht="13">
      <c r="A919" s="10">
        <v>643</v>
      </c>
      <c r="B919" s="3">
        <f t="shared" si="7"/>
        <v>10.716666666666667</v>
      </c>
      <c r="C919" s="3">
        <f t="shared" si="6"/>
        <v>10.716666666666667</v>
      </c>
    </row>
    <row r="920" spans="1:3" ht="13">
      <c r="A920" s="1"/>
      <c r="B920" s="3">
        <f t="shared" si="7"/>
        <v>0</v>
      </c>
      <c r="C920" s="3" t="str">
        <f t="shared" si="6"/>
        <v/>
      </c>
    </row>
    <row r="921" spans="1:3" ht="13">
      <c r="A921" s="10">
        <v>123</v>
      </c>
      <c r="B921" s="3">
        <f t="shared" si="7"/>
        <v>2.0499999999999998</v>
      </c>
      <c r="C921" s="3">
        <f t="shared" si="6"/>
        <v>2.0499999999999998</v>
      </c>
    </row>
    <row r="922" spans="1:3" ht="13">
      <c r="A922" s="10">
        <v>125</v>
      </c>
      <c r="B922" s="3">
        <f t="shared" si="7"/>
        <v>2.0833333333333335</v>
      </c>
      <c r="C922" s="3">
        <f t="shared" si="6"/>
        <v>2.0833333333333335</v>
      </c>
    </row>
    <row r="923" spans="1:3" ht="13">
      <c r="A923" s="1"/>
      <c r="B923" s="3">
        <f t="shared" si="7"/>
        <v>0</v>
      </c>
      <c r="C923" s="3" t="str">
        <f t="shared" si="6"/>
        <v/>
      </c>
    </row>
    <row r="924" spans="1:3" ht="13">
      <c r="A924" s="1"/>
      <c r="B924" s="3">
        <f t="shared" si="7"/>
        <v>0</v>
      </c>
      <c r="C924" s="3" t="str">
        <f t="shared" si="6"/>
        <v/>
      </c>
    </row>
    <row r="925" spans="1:3" ht="13">
      <c r="A925" s="10">
        <v>805</v>
      </c>
      <c r="B925" s="3">
        <f t="shared" si="7"/>
        <v>13.416666666666666</v>
      </c>
      <c r="C925" s="3">
        <f t="shared" si="6"/>
        <v>13.416666666666666</v>
      </c>
    </row>
    <row r="926" spans="1:3" ht="13">
      <c r="A926" s="10">
        <v>1454</v>
      </c>
      <c r="B926" s="3">
        <f t="shared" si="7"/>
        <v>24.233333333333334</v>
      </c>
      <c r="C926" s="3">
        <f t="shared" si="6"/>
        <v>24.233333333333334</v>
      </c>
    </row>
    <row r="927" spans="1:3" ht="13">
      <c r="A927" s="10">
        <v>120</v>
      </c>
      <c r="B927" s="3">
        <f t="shared" si="7"/>
        <v>2</v>
      </c>
      <c r="C927" s="3">
        <f t="shared" si="6"/>
        <v>2</v>
      </c>
    </row>
    <row r="928" spans="1:3" ht="13">
      <c r="A928" s="10">
        <v>698</v>
      </c>
      <c r="B928" s="3">
        <f t="shared" si="7"/>
        <v>11.633333333333333</v>
      </c>
      <c r="C928" s="3">
        <f t="shared" si="6"/>
        <v>11.633333333333333</v>
      </c>
    </row>
    <row r="929" spans="1:3" ht="13">
      <c r="A929" s="10">
        <v>178</v>
      </c>
      <c r="B929" s="3">
        <f t="shared" si="7"/>
        <v>2.9666666666666668</v>
      </c>
      <c r="C929" s="3">
        <f t="shared" si="6"/>
        <v>2.9666666666666668</v>
      </c>
    </row>
    <row r="930" spans="1:3" ht="13">
      <c r="A930" s="1"/>
      <c r="B930" s="3">
        <f t="shared" si="7"/>
        <v>0</v>
      </c>
      <c r="C930" s="3" t="str">
        <f t="shared" si="6"/>
        <v/>
      </c>
    </row>
    <row r="931" spans="1:3" ht="13">
      <c r="A931" s="10">
        <v>435</v>
      </c>
      <c r="B931" s="3">
        <f t="shared" si="7"/>
        <v>7.25</v>
      </c>
      <c r="C931" s="3">
        <f t="shared" si="6"/>
        <v>7.25</v>
      </c>
    </row>
    <row r="932" spans="1:3" ht="13">
      <c r="A932" s="1"/>
      <c r="B932" s="3">
        <f t="shared" si="7"/>
        <v>0</v>
      </c>
      <c r="C932" s="3" t="str">
        <f t="shared" si="6"/>
        <v/>
      </c>
    </row>
    <row r="933" spans="1:3" ht="13">
      <c r="A933" s="10">
        <v>152</v>
      </c>
      <c r="B933" s="3">
        <f t="shared" si="7"/>
        <v>2.5333333333333332</v>
      </c>
      <c r="C933" s="3">
        <f t="shared" si="6"/>
        <v>2.5333333333333332</v>
      </c>
    </row>
    <row r="934" spans="1:3" ht="13">
      <c r="A934" s="10">
        <v>1235</v>
      </c>
      <c r="B934" s="3">
        <f t="shared" si="7"/>
        <v>20.583333333333332</v>
      </c>
      <c r="C934" s="3">
        <f t="shared" si="6"/>
        <v>20.583333333333332</v>
      </c>
    </row>
    <row r="935" spans="1:3" ht="13">
      <c r="A935" s="10">
        <v>94</v>
      </c>
      <c r="B935" s="3">
        <f t="shared" si="7"/>
        <v>1.5666666666666667</v>
      </c>
      <c r="C935" s="3">
        <f t="shared" si="6"/>
        <v>1.5666666666666667</v>
      </c>
    </row>
    <row r="936" spans="1:3" ht="13">
      <c r="A936" s="1"/>
      <c r="B936" s="3">
        <f t="shared" si="7"/>
        <v>0</v>
      </c>
      <c r="C936" s="3" t="str">
        <f t="shared" si="6"/>
        <v/>
      </c>
    </row>
    <row r="937" spans="1:3" ht="13">
      <c r="A937" s="10">
        <v>294</v>
      </c>
      <c r="B937" s="3">
        <f t="shared" si="7"/>
        <v>4.9000000000000004</v>
      </c>
      <c r="C937" s="3">
        <f t="shared" si="6"/>
        <v>4.9000000000000004</v>
      </c>
    </row>
    <row r="938" spans="1:3" ht="13">
      <c r="A938" s="10">
        <v>20</v>
      </c>
      <c r="B938" s="3">
        <f t="shared" si="7"/>
        <v>0.33333333333333331</v>
      </c>
      <c r="C938" s="3">
        <f t="shared" si="6"/>
        <v>0.33333333333333331</v>
      </c>
    </row>
    <row r="939" spans="1:3" ht="13">
      <c r="A939" s="10">
        <v>263</v>
      </c>
      <c r="B939" s="3">
        <f t="shared" si="7"/>
        <v>4.3833333333333337</v>
      </c>
      <c r="C939" s="3">
        <f t="shared" si="6"/>
        <v>4.3833333333333337</v>
      </c>
    </row>
    <row r="940" spans="1:3" ht="13">
      <c r="A940" s="10">
        <v>1301</v>
      </c>
      <c r="B940" s="3">
        <f t="shared" si="7"/>
        <v>21.683333333333334</v>
      </c>
      <c r="C940" s="3">
        <f t="shared" si="6"/>
        <v>21.683333333333334</v>
      </c>
    </row>
    <row r="941" spans="1:3" ht="13">
      <c r="A941" s="10">
        <v>140</v>
      </c>
      <c r="B941" s="3">
        <f t="shared" si="7"/>
        <v>2.3333333333333335</v>
      </c>
      <c r="C941" s="3">
        <f t="shared" si="6"/>
        <v>2.3333333333333335</v>
      </c>
    </row>
    <row r="942" spans="1:3" ht="13">
      <c r="A942" s="10">
        <v>146</v>
      </c>
      <c r="B942" s="3">
        <f t="shared" si="7"/>
        <v>2.4333333333333331</v>
      </c>
      <c r="C942" s="3">
        <f t="shared" si="6"/>
        <v>2.4333333333333331</v>
      </c>
    </row>
    <row r="943" spans="1:3" ht="13">
      <c r="A943" s="10">
        <v>140</v>
      </c>
      <c r="B943" s="3">
        <f t="shared" si="7"/>
        <v>2.3333333333333335</v>
      </c>
      <c r="C943" s="3">
        <f t="shared" si="6"/>
        <v>2.3333333333333335</v>
      </c>
    </row>
    <row r="944" spans="1:3" ht="13">
      <c r="A944" s="10">
        <v>111</v>
      </c>
      <c r="B944" s="3">
        <f t="shared" si="7"/>
        <v>1.85</v>
      </c>
      <c r="C944" s="3">
        <f t="shared" si="6"/>
        <v>1.85</v>
      </c>
    </row>
    <row r="945" spans="1:3" ht="13">
      <c r="A945" s="10">
        <v>493</v>
      </c>
      <c r="B945" s="3">
        <f t="shared" si="7"/>
        <v>8.2166666666666668</v>
      </c>
      <c r="C945" s="3">
        <f t="shared" si="6"/>
        <v>8.2166666666666668</v>
      </c>
    </row>
    <row r="946" spans="1:3" ht="13">
      <c r="A946" s="10">
        <v>1062</v>
      </c>
      <c r="B946" s="3">
        <f t="shared" si="7"/>
        <v>17.7</v>
      </c>
      <c r="C946" s="3">
        <f t="shared" si="6"/>
        <v>17.7</v>
      </c>
    </row>
    <row r="947" spans="1:3" ht="13">
      <c r="A947" s="10">
        <v>620</v>
      </c>
      <c r="B947" s="3">
        <f t="shared" si="7"/>
        <v>10.333333333333334</v>
      </c>
      <c r="C947" s="3">
        <f t="shared" si="6"/>
        <v>10.333333333333334</v>
      </c>
    </row>
    <row r="948" spans="1:3" ht="13">
      <c r="A948" s="1"/>
      <c r="B948" s="3">
        <f t="shared" si="7"/>
        <v>0</v>
      </c>
      <c r="C948" s="3" t="str">
        <f t="shared" si="6"/>
        <v/>
      </c>
    </row>
    <row r="949" spans="1:3" ht="13">
      <c r="A949" s="1"/>
      <c r="B949" s="3">
        <f t="shared" si="7"/>
        <v>0</v>
      </c>
      <c r="C949" s="3" t="str">
        <f t="shared" si="6"/>
        <v/>
      </c>
    </row>
    <row r="950" spans="1:3" ht="13">
      <c r="A950" s="10">
        <v>421</v>
      </c>
      <c r="B950" s="3">
        <f t="shared" si="7"/>
        <v>7.0166666666666666</v>
      </c>
      <c r="C950" s="3">
        <f t="shared" si="6"/>
        <v>7.0166666666666666</v>
      </c>
    </row>
    <row r="951" spans="1:3" ht="13">
      <c r="A951" s="10">
        <v>1379</v>
      </c>
      <c r="B951" s="3">
        <f t="shared" si="7"/>
        <v>22.983333333333334</v>
      </c>
      <c r="C951" s="3">
        <f t="shared" si="6"/>
        <v>22.983333333333334</v>
      </c>
    </row>
    <row r="952" spans="1:3" ht="13">
      <c r="A952" s="10">
        <v>164</v>
      </c>
      <c r="B952" s="3">
        <f t="shared" si="7"/>
        <v>2.7333333333333334</v>
      </c>
      <c r="C952" s="3">
        <f t="shared" si="6"/>
        <v>2.7333333333333334</v>
      </c>
    </row>
    <row r="953" spans="1:3" ht="13">
      <c r="A953" s="10">
        <v>208</v>
      </c>
      <c r="B953" s="3">
        <f t="shared" si="7"/>
        <v>3.4666666666666668</v>
      </c>
      <c r="C953" s="3">
        <f t="shared" si="6"/>
        <v>3.4666666666666668</v>
      </c>
    </row>
    <row r="954" spans="1:3" ht="13">
      <c r="A954" s="10">
        <v>498</v>
      </c>
      <c r="B954" s="3">
        <f t="shared" si="7"/>
        <v>8.3000000000000007</v>
      </c>
      <c r="C954" s="3">
        <f t="shared" si="6"/>
        <v>8.3000000000000007</v>
      </c>
    </row>
    <row r="955" spans="1:3" ht="13">
      <c r="A955" s="1"/>
      <c r="B955" s="3">
        <f t="shared" si="7"/>
        <v>0</v>
      </c>
      <c r="C955" s="3" t="str">
        <f t="shared" si="6"/>
        <v/>
      </c>
    </row>
    <row r="956" spans="1:3" ht="13">
      <c r="A956" s="10">
        <v>598</v>
      </c>
      <c r="B956" s="3">
        <f t="shared" si="7"/>
        <v>9.9666666666666668</v>
      </c>
      <c r="C956" s="3">
        <f t="shared" si="6"/>
        <v>9.9666666666666668</v>
      </c>
    </row>
    <row r="957" spans="1:3" ht="13">
      <c r="A957" s="10">
        <v>108</v>
      </c>
      <c r="B957" s="3">
        <f t="shared" si="7"/>
        <v>1.8</v>
      </c>
      <c r="C957" s="3">
        <f t="shared" si="6"/>
        <v>1.8</v>
      </c>
    </row>
    <row r="958" spans="1:3" ht="13">
      <c r="A958" s="10">
        <v>644</v>
      </c>
      <c r="B958" s="3">
        <f t="shared" si="7"/>
        <v>10.733333333333333</v>
      </c>
      <c r="C958" s="3">
        <f t="shared" si="6"/>
        <v>10.733333333333333</v>
      </c>
    </row>
    <row r="959" spans="1:3" ht="13">
      <c r="A959" s="10">
        <v>231</v>
      </c>
      <c r="B959" s="3">
        <f t="shared" si="7"/>
        <v>3.85</v>
      </c>
      <c r="C959" s="3">
        <f t="shared" si="6"/>
        <v>3.85</v>
      </c>
    </row>
    <row r="960" spans="1:3" ht="13">
      <c r="A960" s="10">
        <v>356</v>
      </c>
      <c r="B960" s="3">
        <f t="shared" si="7"/>
        <v>5.9333333333333336</v>
      </c>
      <c r="C960" s="3">
        <f t="shared" si="6"/>
        <v>5.9333333333333336</v>
      </c>
    </row>
    <row r="961" spans="1:3" ht="13">
      <c r="A961" s="10">
        <v>237</v>
      </c>
      <c r="B961" s="3">
        <f t="shared" si="7"/>
        <v>3.95</v>
      </c>
      <c r="C961" s="3">
        <f t="shared" si="6"/>
        <v>3.95</v>
      </c>
    </row>
    <row r="962" spans="1:3" ht="13">
      <c r="A962" s="10">
        <v>963</v>
      </c>
      <c r="B962" s="3">
        <f t="shared" si="7"/>
        <v>16.05</v>
      </c>
      <c r="C962" s="3">
        <f t="shared" si="6"/>
        <v>16.05</v>
      </c>
    </row>
    <row r="963" spans="1:3" ht="13">
      <c r="A963" s="10">
        <v>423</v>
      </c>
      <c r="B963" s="3">
        <f t="shared" si="7"/>
        <v>7.05</v>
      </c>
      <c r="C963" s="3">
        <f t="shared" si="6"/>
        <v>7.05</v>
      </c>
    </row>
    <row r="964" spans="1:3" ht="13">
      <c r="A964" s="10">
        <v>587</v>
      </c>
      <c r="B964" s="3">
        <f t="shared" si="7"/>
        <v>9.7833333333333332</v>
      </c>
      <c r="C964" s="3">
        <f t="shared" si="6"/>
        <v>9.7833333333333332</v>
      </c>
    </row>
    <row r="965" spans="1:3" ht="13">
      <c r="A965" s="1"/>
      <c r="B965" s="3">
        <f t="shared" si="7"/>
        <v>0</v>
      </c>
      <c r="C965" s="3" t="str">
        <f t="shared" si="6"/>
        <v/>
      </c>
    </row>
    <row r="966" spans="1:3" ht="13">
      <c r="A966" s="10">
        <v>55</v>
      </c>
      <c r="B966" s="3">
        <f t="shared" si="7"/>
        <v>0.91666666666666663</v>
      </c>
      <c r="C966" s="3">
        <f t="shared" si="6"/>
        <v>0.91666666666666663</v>
      </c>
    </row>
    <row r="967" spans="1:3" ht="13">
      <c r="A967" s="10">
        <v>167</v>
      </c>
      <c r="B967" s="3">
        <f t="shared" si="7"/>
        <v>2.7833333333333332</v>
      </c>
      <c r="C967" s="3">
        <f t="shared" si="6"/>
        <v>2.7833333333333332</v>
      </c>
    </row>
    <row r="968" spans="1:3" ht="13">
      <c r="A968" s="10">
        <v>549</v>
      </c>
      <c r="B968" s="3">
        <f t="shared" si="7"/>
        <v>9.15</v>
      </c>
      <c r="C968" s="3">
        <f t="shared" si="6"/>
        <v>9.15</v>
      </c>
    </row>
    <row r="969" spans="1:3" ht="13">
      <c r="A969" s="10">
        <v>1466</v>
      </c>
      <c r="B969" s="3">
        <f t="shared" si="7"/>
        <v>24.433333333333334</v>
      </c>
      <c r="C969" s="3">
        <f t="shared" si="6"/>
        <v>24.433333333333334</v>
      </c>
    </row>
    <row r="970" spans="1:3" ht="13">
      <c r="A970" s="10">
        <v>494</v>
      </c>
      <c r="B970" s="3">
        <f t="shared" si="7"/>
        <v>8.2333333333333325</v>
      </c>
      <c r="C970" s="3">
        <f t="shared" si="6"/>
        <v>8.2333333333333325</v>
      </c>
    </row>
    <row r="971" spans="1:3" ht="13">
      <c r="A971" s="10">
        <v>206</v>
      </c>
      <c r="B971" s="3">
        <f t="shared" si="7"/>
        <v>3.4333333333333331</v>
      </c>
      <c r="C971" s="3">
        <f t="shared" si="6"/>
        <v>3.4333333333333331</v>
      </c>
    </row>
    <row r="972" spans="1:3" ht="13">
      <c r="A972" s="10">
        <v>1173</v>
      </c>
      <c r="B972" s="3">
        <f t="shared" si="7"/>
        <v>19.55</v>
      </c>
      <c r="C972" s="3">
        <f t="shared" si="6"/>
        <v>19.55</v>
      </c>
    </row>
    <row r="973" spans="1:3" ht="13">
      <c r="A973" s="1"/>
      <c r="B973" s="3">
        <f t="shared" si="7"/>
        <v>0</v>
      </c>
      <c r="C973" s="3" t="str">
        <f t="shared" si="6"/>
        <v/>
      </c>
    </row>
    <row r="974" spans="1:3" ht="13">
      <c r="A974" s="10">
        <v>237</v>
      </c>
      <c r="B974" s="3">
        <f t="shared" si="7"/>
        <v>3.95</v>
      </c>
      <c r="C974" s="3">
        <f t="shared" si="6"/>
        <v>3.95</v>
      </c>
    </row>
    <row r="975" spans="1:3" ht="13">
      <c r="A975" s="10">
        <v>177</v>
      </c>
      <c r="B975" s="3">
        <f t="shared" si="7"/>
        <v>2.95</v>
      </c>
      <c r="C975" s="3">
        <f t="shared" si="6"/>
        <v>2.95</v>
      </c>
    </row>
    <row r="976" spans="1:3" ht="13">
      <c r="A976" s="10">
        <v>506</v>
      </c>
      <c r="B976" s="3">
        <f t="shared" si="7"/>
        <v>8.4333333333333336</v>
      </c>
      <c r="C976" s="3">
        <f t="shared" si="6"/>
        <v>8.4333333333333336</v>
      </c>
    </row>
    <row r="977" spans="1:3" ht="13">
      <c r="A977" s="10">
        <v>765</v>
      </c>
      <c r="B977" s="3">
        <f t="shared" si="7"/>
        <v>12.75</v>
      </c>
      <c r="C977" s="3">
        <f t="shared" si="6"/>
        <v>12.75</v>
      </c>
    </row>
    <row r="978" spans="1:3" ht="13">
      <c r="A978" s="10">
        <v>1026</v>
      </c>
      <c r="B978" s="3">
        <f t="shared" si="7"/>
        <v>17.100000000000001</v>
      </c>
      <c r="C978" s="3">
        <f t="shared" si="6"/>
        <v>17.100000000000001</v>
      </c>
    </row>
    <row r="979" spans="1:3" ht="13">
      <c r="A979" s="10">
        <v>196</v>
      </c>
      <c r="B979" s="3">
        <f t="shared" si="7"/>
        <v>3.2666666666666666</v>
      </c>
      <c r="C979" s="3">
        <f t="shared" si="6"/>
        <v>3.2666666666666666</v>
      </c>
    </row>
    <row r="980" spans="1:3" ht="13">
      <c r="A980" s="10">
        <v>179</v>
      </c>
      <c r="B980" s="3">
        <f t="shared" si="7"/>
        <v>2.9833333333333334</v>
      </c>
      <c r="C980" s="3">
        <f t="shared" si="6"/>
        <v>2.9833333333333334</v>
      </c>
    </row>
    <row r="981" spans="1:3" ht="13">
      <c r="A981" s="10">
        <v>292</v>
      </c>
      <c r="B981" s="3">
        <f t="shared" si="7"/>
        <v>4.8666666666666663</v>
      </c>
      <c r="C981" s="3">
        <f t="shared" si="6"/>
        <v>4.8666666666666663</v>
      </c>
    </row>
    <row r="982" spans="1:3" ht="13">
      <c r="A982" s="10">
        <v>758</v>
      </c>
      <c r="B982" s="3">
        <f t="shared" si="7"/>
        <v>12.633333333333333</v>
      </c>
      <c r="C982" s="3">
        <f t="shared" si="6"/>
        <v>12.633333333333333</v>
      </c>
    </row>
    <row r="983" spans="1:3" ht="13">
      <c r="A983" s="10">
        <v>788</v>
      </c>
      <c r="B983" s="3">
        <f t="shared" si="7"/>
        <v>13.133333333333333</v>
      </c>
      <c r="C983" s="3">
        <f t="shared" si="6"/>
        <v>13.133333333333333</v>
      </c>
    </row>
    <row r="984" spans="1:3" ht="13">
      <c r="A984" s="10">
        <v>724</v>
      </c>
      <c r="B984" s="3">
        <f t="shared" si="7"/>
        <v>12.066666666666666</v>
      </c>
      <c r="C984" s="3">
        <f t="shared" si="6"/>
        <v>12.066666666666666</v>
      </c>
    </row>
    <row r="985" spans="1:3" ht="13">
      <c r="A985" s="1"/>
      <c r="B985" s="3">
        <f t="shared" si="7"/>
        <v>0</v>
      </c>
      <c r="C985" s="3" t="str">
        <f t="shared" si="6"/>
        <v/>
      </c>
    </row>
    <row r="986" spans="1:3" ht="13">
      <c r="A986" s="10">
        <v>220</v>
      </c>
      <c r="B986" s="3">
        <f t="shared" si="7"/>
        <v>3.6666666666666665</v>
      </c>
      <c r="C986" s="3">
        <f t="shared" si="6"/>
        <v>3.6666666666666665</v>
      </c>
    </row>
    <row r="987" spans="1:3" ht="13">
      <c r="A987" s="10">
        <v>93</v>
      </c>
      <c r="B987" s="3">
        <f t="shared" si="7"/>
        <v>1.55</v>
      </c>
      <c r="C987" s="3">
        <f t="shared" si="6"/>
        <v>1.55</v>
      </c>
    </row>
    <row r="988" spans="1:3" ht="13">
      <c r="A988" s="10">
        <v>57</v>
      </c>
      <c r="B988" s="3">
        <f t="shared" si="7"/>
        <v>0.95</v>
      </c>
      <c r="C988" s="3">
        <f t="shared" si="6"/>
        <v>0.95</v>
      </c>
    </row>
    <row r="989" spans="1:3" ht="13">
      <c r="A989" s="10">
        <v>1132</v>
      </c>
      <c r="B989" s="3">
        <f t="shared" si="7"/>
        <v>18.866666666666667</v>
      </c>
      <c r="C989" s="3">
        <f t="shared" si="6"/>
        <v>18.866666666666667</v>
      </c>
    </row>
    <row r="990" spans="1:3" ht="13">
      <c r="A990" s="10">
        <v>330</v>
      </c>
      <c r="B990" s="3">
        <f t="shared" si="7"/>
        <v>5.5</v>
      </c>
      <c r="C990" s="3">
        <f t="shared" si="6"/>
        <v>5.5</v>
      </c>
    </row>
    <row r="991" spans="1:3" ht="13">
      <c r="A991" s="10">
        <v>339</v>
      </c>
      <c r="B991" s="3">
        <f t="shared" si="7"/>
        <v>5.65</v>
      </c>
      <c r="C991" s="3">
        <f t="shared" si="6"/>
        <v>5.65</v>
      </c>
    </row>
    <row r="992" spans="1:3" ht="13">
      <c r="A992" s="1"/>
      <c r="B992" s="3">
        <f t="shared" si="7"/>
        <v>0</v>
      </c>
      <c r="C992" s="3" t="str">
        <f t="shared" si="6"/>
        <v/>
      </c>
    </row>
    <row r="993" spans="1:3" ht="13">
      <c r="A993" s="10">
        <v>965</v>
      </c>
      <c r="B993" s="3">
        <f t="shared" si="7"/>
        <v>16.083333333333332</v>
      </c>
      <c r="C993" s="3">
        <f t="shared" si="6"/>
        <v>16.083333333333332</v>
      </c>
    </row>
    <row r="994" spans="1:3" ht="13">
      <c r="A994" s="10">
        <v>697</v>
      </c>
      <c r="B994" s="3">
        <f t="shared" si="7"/>
        <v>11.616666666666667</v>
      </c>
      <c r="C994" s="3">
        <f t="shared" si="6"/>
        <v>11.616666666666667</v>
      </c>
    </row>
    <row r="995" spans="1:3" ht="13">
      <c r="A995" s="10">
        <v>329</v>
      </c>
      <c r="B995" s="3">
        <f t="shared" si="7"/>
        <v>5.4833333333333334</v>
      </c>
      <c r="C995" s="3">
        <f t="shared" si="6"/>
        <v>5.4833333333333334</v>
      </c>
    </row>
    <row r="996" spans="1:3" ht="13">
      <c r="A996" s="10">
        <v>3684</v>
      </c>
      <c r="B996" s="3">
        <f t="shared" si="7"/>
        <v>61.4</v>
      </c>
      <c r="C996" s="3">
        <f t="shared" si="6"/>
        <v>61.4</v>
      </c>
    </row>
    <row r="997" spans="1:3" ht="13">
      <c r="A997" s="10">
        <v>88</v>
      </c>
      <c r="B997" s="3">
        <f t="shared" si="7"/>
        <v>1.4666666666666666</v>
      </c>
      <c r="C997" s="3">
        <f t="shared" si="6"/>
        <v>1.4666666666666666</v>
      </c>
    </row>
    <row r="998" spans="1:3" ht="13">
      <c r="A998" s="10">
        <v>2045</v>
      </c>
      <c r="B998" s="3">
        <f t="shared" si="7"/>
        <v>34.083333333333336</v>
      </c>
      <c r="C998" s="3">
        <f t="shared" si="6"/>
        <v>34.083333333333336</v>
      </c>
    </row>
    <row r="999" spans="1:3" ht="13">
      <c r="A999" s="10">
        <v>434</v>
      </c>
      <c r="B999" s="3">
        <f t="shared" si="7"/>
        <v>7.2333333333333334</v>
      </c>
      <c r="C999" s="3">
        <f t="shared" si="6"/>
        <v>7.2333333333333334</v>
      </c>
    </row>
    <row r="1000" spans="1:3" ht="13">
      <c r="A1000" s="10">
        <v>141</v>
      </c>
      <c r="B1000" s="3">
        <f t="shared" si="7"/>
        <v>2.35</v>
      </c>
      <c r="C1000" s="3">
        <f t="shared" si="6"/>
        <v>2.35</v>
      </c>
    </row>
    <row r="1001" spans="1:3" ht="13">
      <c r="A1001" s="10">
        <v>295</v>
      </c>
      <c r="B1001" s="3">
        <f t="shared" si="7"/>
        <v>4.916666666666667</v>
      </c>
      <c r="C1001" s="3">
        <f t="shared" si="6"/>
        <v>4.916666666666667</v>
      </c>
    </row>
    <row r="1002" spans="1:3" ht="13">
      <c r="A1002" s="10">
        <v>303</v>
      </c>
      <c r="B1002" s="3">
        <f t="shared" si="7"/>
        <v>5.05</v>
      </c>
      <c r="C1002" s="3">
        <f t="shared" si="6"/>
        <v>5.05</v>
      </c>
    </row>
    <row r="1003" spans="1:3" ht="13">
      <c r="A1003" s="10">
        <v>1102</v>
      </c>
      <c r="B1003" s="3">
        <f t="shared" si="7"/>
        <v>18.366666666666667</v>
      </c>
      <c r="C1003" s="3">
        <f t="shared" si="6"/>
        <v>18.366666666666667</v>
      </c>
    </row>
    <row r="1004" spans="1:3" ht="13">
      <c r="A1004" s="10">
        <v>991</v>
      </c>
      <c r="B1004" s="3">
        <f t="shared" si="7"/>
        <v>16.516666666666666</v>
      </c>
      <c r="C1004" s="3">
        <f t="shared" si="6"/>
        <v>16.516666666666666</v>
      </c>
    </row>
    <row r="1005" spans="1:3" ht="13">
      <c r="A1005" s="10">
        <v>329</v>
      </c>
      <c r="B1005" s="3">
        <f t="shared" si="7"/>
        <v>5.4833333333333334</v>
      </c>
      <c r="C1005" s="3">
        <f t="shared" si="6"/>
        <v>5.4833333333333334</v>
      </c>
    </row>
    <row r="1006" spans="1:3" ht="13">
      <c r="A1006" s="10">
        <v>84</v>
      </c>
      <c r="B1006" s="3">
        <f t="shared" si="7"/>
        <v>1.4</v>
      </c>
      <c r="C1006" s="3">
        <f t="shared" si="6"/>
        <v>1.4</v>
      </c>
    </row>
    <row r="1007" spans="1:3" ht="13">
      <c r="A1007" s="10">
        <v>109</v>
      </c>
      <c r="B1007" s="3">
        <f t="shared" si="7"/>
        <v>1.8166666666666667</v>
      </c>
      <c r="C1007" s="3">
        <f t="shared" si="6"/>
        <v>1.8166666666666667</v>
      </c>
    </row>
    <row r="1008" spans="1:3" ht="13">
      <c r="A1008" s="10">
        <v>117</v>
      </c>
      <c r="B1008" s="3">
        <f t="shared" si="7"/>
        <v>1.95</v>
      </c>
      <c r="C1008" s="3">
        <f t="shared" si="6"/>
        <v>1.95</v>
      </c>
    </row>
    <row r="1009" spans="1:3" ht="13">
      <c r="A1009" s="10">
        <v>180</v>
      </c>
      <c r="B1009" s="3">
        <f t="shared" si="7"/>
        <v>3</v>
      </c>
      <c r="C1009" s="3">
        <f t="shared" si="6"/>
        <v>3</v>
      </c>
    </row>
    <row r="1010" spans="1:3" ht="13">
      <c r="A1010" s="10">
        <v>633</v>
      </c>
      <c r="B1010" s="3">
        <f t="shared" si="7"/>
        <v>10.55</v>
      </c>
      <c r="C1010" s="3">
        <f t="shared" si="6"/>
        <v>10.55</v>
      </c>
    </row>
    <row r="1011" spans="1:3" ht="13">
      <c r="A1011" s="10">
        <v>203</v>
      </c>
      <c r="B1011" s="3">
        <f t="shared" si="7"/>
        <v>3.3833333333333333</v>
      </c>
      <c r="C1011" s="3">
        <f t="shared" si="6"/>
        <v>3.3833333333333333</v>
      </c>
    </row>
    <row r="1012" spans="1:3" ht="13">
      <c r="A1012" s="10">
        <v>1385</v>
      </c>
      <c r="B1012" s="3">
        <f t="shared" si="7"/>
        <v>23.083333333333332</v>
      </c>
      <c r="C1012" s="3">
        <f t="shared" si="6"/>
        <v>23.083333333333332</v>
      </c>
    </row>
    <row r="1013" spans="1:3" ht="13">
      <c r="A1013" s="10">
        <v>467</v>
      </c>
      <c r="B1013" s="3">
        <f t="shared" si="7"/>
        <v>7.7833333333333332</v>
      </c>
      <c r="C1013" s="3">
        <f t="shared" si="6"/>
        <v>7.7833333333333332</v>
      </c>
    </row>
    <row r="1014" spans="1:3" ht="13">
      <c r="A1014" s="1"/>
      <c r="B1014" s="3">
        <f t="shared" si="7"/>
        <v>0</v>
      </c>
      <c r="C1014" s="3" t="str">
        <f t="shared" si="6"/>
        <v/>
      </c>
    </row>
    <row r="1015" spans="1:3" ht="13">
      <c r="A1015" s="10">
        <v>162</v>
      </c>
      <c r="B1015" s="3">
        <f t="shared" si="7"/>
        <v>2.7</v>
      </c>
      <c r="C1015" s="3">
        <f t="shared" si="6"/>
        <v>2.7</v>
      </c>
    </row>
    <row r="1016" spans="1:3" ht="13">
      <c r="A1016" s="10">
        <v>1076</v>
      </c>
      <c r="B1016" s="3">
        <f t="shared" si="7"/>
        <v>17.933333333333334</v>
      </c>
      <c r="C1016" s="3">
        <f t="shared" si="6"/>
        <v>17.933333333333334</v>
      </c>
    </row>
    <row r="1017" spans="1:3" ht="13">
      <c r="A1017" s="10">
        <v>51</v>
      </c>
      <c r="B1017" s="3">
        <f t="shared" si="7"/>
        <v>0.85</v>
      </c>
      <c r="C1017" s="3">
        <f t="shared" si="6"/>
        <v>0.85</v>
      </c>
    </row>
    <row r="1018" spans="1:3" ht="13">
      <c r="A1018" s="10">
        <v>1512</v>
      </c>
      <c r="B1018" s="3">
        <f t="shared" si="7"/>
        <v>25.2</v>
      </c>
      <c r="C1018" s="3">
        <f t="shared" si="6"/>
        <v>25.2</v>
      </c>
    </row>
    <row r="1019" spans="1:3" ht="13">
      <c r="A1019" s="10">
        <v>75</v>
      </c>
      <c r="B1019" s="3">
        <f t="shared" si="7"/>
        <v>1.25</v>
      </c>
      <c r="C1019" s="3">
        <f t="shared" si="6"/>
        <v>1.25</v>
      </c>
    </row>
    <row r="1020" spans="1:3" ht="13">
      <c r="A1020" s="10">
        <v>482</v>
      </c>
      <c r="B1020" s="3">
        <f t="shared" si="7"/>
        <v>8.0333333333333332</v>
      </c>
      <c r="C1020" s="3">
        <f t="shared" si="6"/>
        <v>8.0333333333333332</v>
      </c>
    </row>
    <row r="1021" spans="1:3" ht="13">
      <c r="A1021" s="10">
        <v>498</v>
      </c>
      <c r="B1021" s="3">
        <f t="shared" si="7"/>
        <v>8.3000000000000007</v>
      </c>
      <c r="C1021" s="3">
        <f t="shared" si="6"/>
        <v>8.3000000000000007</v>
      </c>
    </row>
    <row r="1022" spans="1:3" ht="13">
      <c r="A1022" s="10">
        <v>161</v>
      </c>
      <c r="B1022" s="3">
        <f t="shared" si="7"/>
        <v>2.6833333333333331</v>
      </c>
      <c r="C1022" s="3">
        <f t="shared" ref="C1022:C1201" si="8">IF(B1022&gt;0.1, B1022, "")</f>
        <v>2.6833333333333331</v>
      </c>
    </row>
    <row r="1023" spans="1:3" ht="13">
      <c r="A1023" s="1"/>
      <c r="B1023" s="3">
        <f t="shared" ref="B1023:B1202" si="9">A1023/60</f>
        <v>0</v>
      </c>
      <c r="C1023" s="3" t="str">
        <f t="shared" si="8"/>
        <v/>
      </c>
    </row>
    <row r="1024" spans="1:3" ht="13">
      <c r="A1024" s="1"/>
      <c r="B1024" s="3">
        <f t="shared" si="9"/>
        <v>0</v>
      </c>
      <c r="C1024" s="3" t="str">
        <f t="shared" si="8"/>
        <v/>
      </c>
    </row>
    <row r="1025" spans="1:3" ht="13">
      <c r="A1025" s="10">
        <v>561</v>
      </c>
      <c r="B1025" s="3">
        <f t="shared" si="9"/>
        <v>9.35</v>
      </c>
      <c r="C1025" s="3">
        <f t="shared" si="8"/>
        <v>9.35</v>
      </c>
    </row>
    <row r="1026" spans="1:3" ht="13">
      <c r="A1026" s="10">
        <v>421</v>
      </c>
      <c r="B1026" s="3">
        <f t="shared" si="9"/>
        <v>7.0166666666666666</v>
      </c>
      <c r="C1026" s="3">
        <f t="shared" si="8"/>
        <v>7.0166666666666666</v>
      </c>
    </row>
    <row r="1027" spans="1:3" ht="13">
      <c r="A1027" s="10">
        <v>97</v>
      </c>
      <c r="B1027" s="3">
        <f t="shared" si="9"/>
        <v>1.6166666666666667</v>
      </c>
      <c r="C1027" s="3">
        <f t="shared" si="8"/>
        <v>1.6166666666666667</v>
      </c>
    </row>
    <row r="1028" spans="1:3" ht="13">
      <c r="A1028" s="1"/>
      <c r="B1028" s="3">
        <f t="shared" si="9"/>
        <v>0</v>
      </c>
      <c r="C1028" s="3" t="str">
        <f t="shared" si="8"/>
        <v/>
      </c>
    </row>
    <row r="1029" spans="1:3" ht="13">
      <c r="A1029" s="10">
        <v>206</v>
      </c>
      <c r="B1029" s="3">
        <f t="shared" si="9"/>
        <v>3.4333333333333331</v>
      </c>
      <c r="C1029" s="3">
        <f t="shared" si="8"/>
        <v>3.4333333333333331</v>
      </c>
    </row>
    <row r="1030" spans="1:3" ht="13">
      <c r="A1030" s="1"/>
      <c r="B1030" s="3">
        <f t="shared" si="9"/>
        <v>0</v>
      </c>
      <c r="C1030" s="3" t="str">
        <f t="shared" si="8"/>
        <v/>
      </c>
    </row>
    <row r="1031" spans="1:3" ht="13">
      <c r="A1031" s="10">
        <v>368</v>
      </c>
      <c r="B1031" s="3">
        <f t="shared" si="9"/>
        <v>6.1333333333333337</v>
      </c>
      <c r="C1031" s="3">
        <f t="shared" si="8"/>
        <v>6.1333333333333337</v>
      </c>
    </row>
    <row r="1032" spans="1:3" ht="13">
      <c r="A1032" s="10">
        <v>391</v>
      </c>
      <c r="B1032" s="3">
        <f t="shared" si="9"/>
        <v>6.5166666666666666</v>
      </c>
      <c r="C1032" s="3">
        <f t="shared" si="8"/>
        <v>6.5166666666666666</v>
      </c>
    </row>
    <row r="1033" spans="1:3" ht="13">
      <c r="A1033" s="10">
        <v>193</v>
      </c>
      <c r="B1033" s="3">
        <f t="shared" si="9"/>
        <v>3.2166666666666668</v>
      </c>
      <c r="C1033" s="3">
        <f t="shared" si="8"/>
        <v>3.2166666666666668</v>
      </c>
    </row>
    <row r="1034" spans="1:3" ht="13">
      <c r="A1034" s="10">
        <v>340</v>
      </c>
      <c r="B1034" s="3">
        <f t="shared" si="9"/>
        <v>5.666666666666667</v>
      </c>
      <c r="C1034" s="3">
        <f t="shared" si="8"/>
        <v>5.666666666666667</v>
      </c>
    </row>
    <row r="1035" spans="1:3" ht="13">
      <c r="A1035" s="10">
        <v>171</v>
      </c>
      <c r="B1035" s="3">
        <f t="shared" si="9"/>
        <v>2.85</v>
      </c>
      <c r="C1035" s="3">
        <f t="shared" si="8"/>
        <v>2.85</v>
      </c>
    </row>
    <row r="1036" spans="1:3" ht="13">
      <c r="A1036" s="10">
        <v>326</v>
      </c>
      <c r="B1036" s="3">
        <f t="shared" si="9"/>
        <v>5.4333333333333336</v>
      </c>
      <c r="C1036" s="3">
        <f t="shared" si="8"/>
        <v>5.4333333333333336</v>
      </c>
    </row>
    <row r="1037" spans="1:3" ht="13">
      <c r="A1037" s="10">
        <v>495</v>
      </c>
      <c r="B1037" s="3">
        <f t="shared" si="9"/>
        <v>8.25</v>
      </c>
      <c r="C1037" s="3">
        <f t="shared" si="8"/>
        <v>8.25</v>
      </c>
    </row>
    <row r="1038" spans="1:3" ht="13">
      <c r="A1038" s="10">
        <v>815</v>
      </c>
      <c r="B1038" s="3">
        <f t="shared" si="9"/>
        <v>13.583333333333334</v>
      </c>
      <c r="C1038" s="3">
        <f t="shared" si="8"/>
        <v>13.583333333333334</v>
      </c>
    </row>
    <row r="1039" spans="1:3" ht="13">
      <c r="A1039" s="10">
        <v>3</v>
      </c>
      <c r="B1039" s="3">
        <f t="shared" si="9"/>
        <v>0.05</v>
      </c>
      <c r="C1039" s="3" t="str">
        <f t="shared" si="8"/>
        <v/>
      </c>
    </row>
    <row r="1040" spans="1:3" ht="13">
      <c r="A1040" s="10">
        <v>4480</v>
      </c>
      <c r="B1040" s="3">
        <f t="shared" si="9"/>
        <v>74.666666666666671</v>
      </c>
      <c r="C1040" s="3">
        <f t="shared" si="8"/>
        <v>74.666666666666671</v>
      </c>
    </row>
    <row r="1041" spans="1:3" ht="13">
      <c r="A1041" s="1"/>
      <c r="B1041" s="3">
        <f t="shared" si="9"/>
        <v>0</v>
      </c>
      <c r="C1041" s="3" t="str">
        <f t="shared" si="8"/>
        <v/>
      </c>
    </row>
    <row r="1042" spans="1:3" ht="13">
      <c r="A1042" s="10">
        <v>360</v>
      </c>
      <c r="B1042" s="3">
        <f t="shared" si="9"/>
        <v>6</v>
      </c>
      <c r="C1042" s="3">
        <f t="shared" si="8"/>
        <v>6</v>
      </c>
    </row>
    <row r="1043" spans="1:3" ht="13">
      <c r="A1043" s="1"/>
      <c r="B1043" s="3">
        <f t="shared" si="9"/>
        <v>0</v>
      </c>
      <c r="C1043" s="3" t="str">
        <f t="shared" si="8"/>
        <v/>
      </c>
    </row>
    <row r="1044" spans="1:3" ht="13">
      <c r="A1044" s="10">
        <v>236</v>
      </c>
      <c r="B1044" s="3">
        <f t="shared" si="9"/>
        <v>3.9333333333333331</v>
      </c>
      <c r="C1044" s="3">
        <f t="shared" si="8"/>
        <v>3.9333333333333331</v>
      </c>
    </row>
    <row r="1045" spans="1:3" ht="13">
      <c r="A1045" s="10">
        <v>12</v>
      </c>
      <c r="B1045" s="3">
        <f t="shared" si="9"/>
        <v>0.2</v>
      </c>
      <c r="C1045" s="3">
        <f t="shared" si="8"/>
        <v>0.2</v>
      </c>
    </row>
    <row r="1046" spans="1:3" ht="13">
      <c r="A1046" s="10">
        <v>34</v>
      </c>
      <c r="B1046" s="3">
        <f t="shared" si="9"/>
        <v>0.56666666666666665</v>
      </c>
      <c r="C1046" s="3">
        <f t="shared" si="8"/>
        <v>0.56666666666666665</v>
      </c>
    </row>
    <row r="1047" spans="1:3" ht="13">
      <c r="A1047" s="10">
        <v>424</v>
      </c>
      <c r="B1047" s="3">
        <f t="shared" si="9"/>
        <v>7.0666666666666664</v>
      </c>
      <c r="C1047" s="3">
        <f t="shared" si="8"/>
        <v>7.0666666666666664</v>
      </c>
    </row>
    <row r="1048" spans="1:3" ht="13">
      <c r="A1048" s="10">
        <v>341</v>
      </c>
      <c r="B1048" s="3">
        <f t="shared" si="9"/>
        <v>5.6833333333333336</v>
      </c>
      <c r="C1048" s="3">
        <f t="shared" si="8"/>
        <v>5.6833333333333336</v>
      </c>
    </row>
    <row r="1049" spans="1:3" ht="13">
      <c r="A1049" s="10">
        <v>460</v>
      </c>
      <c r="B1049" s="3">
        <f t="shared" si="9"/>
        <v>7.666666666666667</v>
      </c>
      <c r="C1049" s="3">
        <f t="shared" si="8"/>
        <v>7.666666666666667</v>
      </c>
    </row>
    <row r="1050" spans="1:3" ht="13">
      <c r="A1050" s="1"/>
      <c r="B1050" s="3">
        <f t="shared" si="9"/>
        <v>0</v>
      </c>
      <c r="C1050" s="3" t="str">
        <f t="shared" si="8"/>
        <v/>
      </c>
    </row>
    <row r="1051" spans="1:3" ht="13">
      <c r="A1051" s="10">
        <v>661</v>
      </c>
      <c r="B1051" s="3">
        <f t="shared" si="9"/>
        <v>11.016666666666667</v>
      </c>
      <c r="C1051" s="3">
        <f t="shared" si="8"/>
        <v>11.016666666666667</v>
      </c>
    </row>
    <row r="1052" spans="1:3" ht="13">
      <c r="A1052" s="1"/>
      <c r="B1052" s="3">
        <f t="shared" si="9"/>
        <v>0</v>
      </c>
      <c r="C1052" s="3" t="str">
        <f t="shared" si="8"/>
        <v/>
      </c>
    </row>
    <row r="1053" spans="1:3" ht="13">
      <c r="A1053" s="1"/>
      <c r="B1053" s="3">
        <f t="shared" si="9"/>
        <v>0</v>
      </c>
      <c r="C1053" s="3" t="str">
        <f t="shared" si="8"/>
        <v/>
      </c>
    </row>
    <row r="1054" spans="1:3" ht="13">
      <c r="A1054" s="10">
        <v>231</v>
      </c>
      <c r="B1054" s="3">
        <f t="shared" si="9"/>
        <v>3.85</v>
      </c>
      <c r="C1054" s="3">
        <f t="shared" si="8"/>
        <v>3.85</v>
      </c>
    </row>
    <row r="1055" spans="1:3" ht="13">
      <c r="A1055" s="10">
        <v>185</v>
      </c>
      <c r="B1055" s="3">
        <f t="shared" si="9"/>
        <v>3.0833333333333335</v>
      </c>
      <c r="C1055" s="3">
        <f t="shared" si="8"/>
        <v>3.0833333333333335</v>
      </c>
    </row>
    <row r="1056" spans="1:3" ht="13">
      <c r="A1056" s="10">
        <v>187</v>
      </c>
      <c r="B1056" s="3">
        <f t="shared" si="9"/>
        <v>3.1166666666666667</v>
      </c>
      <c r="C1056" s="3">
        <f t="shared" si="8"/>
        <v>3.1166666666666667</v>
      </c>
    </row>
    <row r="1057" spans="1:3" ht="13">
      <c r="A1057" s="10">
        <v>833</v>
      </c>
      <c r="B1057" s="3">
        <f t="shared" si="9"/>
        <v>13.883333333333333</v>
      </c>
      <c r="C1057" s="3">
        <f t="shared" si="8"/>
        <v>13.883333333333333</v>
      </c>
    </row>
    <row r="1058" spans="1:3" ht="13">
      <c r="A1058" s="10">
        <v>314</v>
      </c>
      <c r="B1058" s="3">
        <f t="shared" si="9"/>
        <v>5.2333333333333334</v>
      </c>
      <c r="C1058" s="3">
        <f t="shared" si="8"/>
        <v>5.2333333333333334</v>
      </c>
    </row>
    <row r="1059" spans="1:3" ht="13">
      <c r="A1059" s="1"/>
      <c r="B1059" s="3">
        <f t="shared" si="9"/>
        <v>0</v>
      </c>
      <c r="C1059" s="3" t="str">
        <f t="shared" si="8"/>
        <v/>
      </c>
    </row>
    <row r="1060" spans="1:3" ht="13">
      <c r="A1060" s="10">
        <v>59</v>
      </c>
      <c r="B1060" s="3">
        <f t="shared" si="9"/>
        <v>0.98333333333333328</v>
      </c>
      <c r="C1060" s="3">
        <f t="shared" si="8"/>
        <v>0.98333333333333328</v>
      </c>
    </row>
    <row r="1061" spans="1:3" ht="13">
      <c r="A1061" s="10">
        <v>98</v>
      </c>
      <c r="B1061" s="3">
        <f t="shared" si="9"/>
        <v>1.6333333333333333</v>
      </c>
      <c r="C1061" s="3">
        <f t="shared" si="8"/>
        <v>1.6333333333333333</v>
      </c>
    </row>
    <row r="1062" spans="1:3" ht="13">
      <c r="A1062" s="10">
        <v>401</v>
      </c>
      <c r="B1062" s="3">
        <f t="shared" si="9"/>
        <v>6.6833333333333336</v>
      </c>
      <c r="C1062" s="3">
        <f t="shared" si="8"/>
        <v>6.6833333333333336</v>
      </c>
    </row>
    <row r="1063" spans="1:3" ht="13">
      <c r="A1063" s="10">
        <v>239</v>
      </c>
      <c r="B1063" s="3">
        <f t="shared" si="9"/>
        <v>3.9833333333333334</v>
      </c>
      <c r="C1063" s="3">
        <f t="shared" si="8"/>
        <v>3.9833333333333334</v>
      </c>
    </row>
    <row r="1064" spans="1:3" ht="13">
      <c r="A1064" s="10">
        <v>201</v>
      </c>
      <c r="B1064" s="3">
        <f t="shared" si="9"/>
        <v>3.35</v>
      </c>
      <c r="C1064" s="3">
        <f t="shared" si="8"/>
        <v>3.35</v>
      </c>
    </row>
    <row r="1065" spans="1:3" ht="13">
      <c r="A1065" s="10">
        <v>470</v>
      </c>
      <c r="B1065" s="3">
        <f t="shared" si="9"/>
        <v>7.833333333333333</v>
      </c>
      <c r="C1065" s="3">
        <f t="shared" si="8"/>
        <v>7.833333333333333</v>
      </c>
    </row>
    <row r="1066" spans="1:3" ht="13">
      <c r="A1066" s="1"/>
      <c r="B1066" s="3">
        <f t="shared" si="9"/>
        <v>0</v>
      </c>
      <c r="C1066" s="3" t="str">
        <f t="shared" si="8"/>
        <v/>
      </c>
    </row>
    <row r="1067" spans="1:3" ht="13">
      <c r="A1067" s="10">
        <v>396</v>
      </c>
      <c r="B1067" s="3">
        <f t="shared" si="9"/>
        <v>6.6</v>
      </c>
      <c r="C1067" s="3">
        <f t="shared" si="8"/>
        <v>6.6</v>
      </c>
    </row>
    <row r="1068" spans="1:3" ht="13">
      <c r="A1068" s="10">
        <v>135</v>
      </c>
      <c r="B1068" s="3">
        <f t="shared" si="9"/>
        <v>2.25</v>
      </c>
      <c r="C1068" s="3">
        <f t="shared" si="8"/>
        <v>2.25</v>
      </c>
    </row>
    <row r="1069" spans="1:3" ht="13">
      <c r="A1069" s="1"/>
      <c r="B1069" s="3">
        <f t="shared" si="9"/>
        <v>0</v>
      </c>
      <c r="C1069" s="3" t="str">
        <f t="shared" si="8"/>
        <v/>
      </c>
    </row>
    <row r="1070" spans="1:3" ht="13">
      <c r="A1070" s="10">
        <v>94</v>
      </c>
      <c r="B1070" s="3">
        <f t="shared" si="9"/>
        <v>1.5666666666666667</v>
      </c>
      <c r="C1070" s="3">
        <f t="shared" si="8"/>
        <v>1.5666666666666667</v>
      </c>
    </row>
    <row r="1071" spans="1:3" ht="13">
      <c r="A1071" s="1"/>
      <c r="B1071" s="3">
        <f t="shared" si="9"/>
        <v>0</v>
      </c>
      <c r="C1071" s="3" t="str">
        <f t="shared" si="8"/>
        <v/>
      </c>
    </row>
    <row r="1072" spans="1:3" ht="13">
      <c r="A1072" s="10">
        <v>296</v>
      </c>
      <c r="B1072" s="3">
        <f t="shared" si="9"/>
        <v>4.9333333333333336</v>
      </c>
      <c r="C1072" s="3">
        <f t="shared" si="8"/>
        <v>4.9333333333333336</v>
      </c>
    </row>
    <row r="1073" spans="1:3" ht="13">
      <c r="A1073" s="1"/>
      <c r="B1073" s="3">
        <f t="shared" si="9"/>
        <v>0</v>
      </c>
      <c r="C1073" s="3" t="str">
        <f t="shared" si="8"/>
        <v/>
      </c>
    </row>
    <row r="1074" spans="1:3" ht="13">
      <c r="A1074" s="10">
        <v>541</v>
      </c>
      <c r="B1074" s="3">
        <f t="shared" si="9"/>
        <v>9.0166666666666675</v>
      </c>
      <c r="C1074" s="3">
        <f t="shared" si="8"/>
        <v>9.0166666666666675</v>
      </c>
    </row>
    <row r="1075" spans="1:3" ht="13">
      <c r="A1075" s="10">
        <v>294</v>
      </c>
      <c r="B1075" s="3">
        <f t="shared" si="9"/>
        <v>4.9000000000000004</v>
      </c>
      <c r="C1075" s="3">
        <f t="shared" si="8"/>
        <v>4.9000000000000004</v>
      </c>
    </row>
    <row r="1076" spans="1:3" ht="13">
      <c r="A1076" s="10">
        <v>77</v>
      </c>
      <c r="B1076" s="3">
        <f t="shared" si="9"/>
        <v>1.2833333333333334</v>
      </c>
      <c r="C1076" s="3">
        <f t="shared" si="8"/>
        <v>1.2833333333333334</v>
      </c>
    </row>
    <row r="1077" spans="1:3" ht="13">
      <c r="A1077" s="10">
        <v>840</v>
      </c>
      <c r="B1077" s="3">
        <f t="shared" si="9"/>
        <v>14</v>
      </c>
      <c r="C1077" s="3">
        <f t="shared" si="8"/>
        <v>14</v>
      </c>
    </row>
    <row r="1078" spans="1:3" ht="13">
      <c r="A1078" s="1"/>
      <c r="B1078" s="3">
        <f t="shared" si="9"/>
        <v>0</v>
      </c>
      <c r="C1078" s="3" t="str">
        <f t="shared" si="8"/>
        <v/>
      </c>
    </row>
    <row r="1079" spans="1:3" ht="13">
      <c r="A1079" s="10">
        <v>234</v>
      </c>
      <c r="B1079" s="3">
        <f t="shared" si="9"/>
        <v>3.9</v>
      </c>
      <c r="C1079" s="3">
        <f t="shared" si="8"/>
        <v>3.9</v>
      </c>
    </row>
    <row r="1080" spans="1:3" ht="13">
      <c r="A1080" s="10">
        <v>128</v>
      </c>
      <c r="B1080" s="3">
        <f t="shared" si="9"/>
        <v>2.1333333333333333</v>
      </c>
      <c r="C1080" s="3">
        <f t="shared" si="8"/>
        <v>2.1333333333333333</v>
      </c>
    </row>
    <row r="1081" spans="1:3" ht="13">
      <c r="A1081" s="10">
        <v>113</v>
      </c>
      <c r="B1081" s="3">
        <f t="shared" si="9"/>
        <v>1.8833333333333333</v>
      </c>
      <c r="C1081" s="3">
        <f t="shared" si="8"/>
        <v>1.8833333333333333</v>
      </c>
    </row>
    <row r="1082" spans="1:3" ht="13">
      <c r="A1082" s="10">
        <v>111</v>
      </c>
      <c r="B1082" s="3">
        <f t="shared" si="9"/>
        <v>1.85</v>
      </c>
      <c r="C1082" s="3">
        <f t="shared" si="8"/>
        <v>1.85</v>
      </c>
    </row>
    <row r="1083" spans="1:3" ht="13">
      <c r="A1083" s="10">
        <v>173</v>
      </c>
      <c r="B1083" s="3">
        <f t="shared" si="9"/>
        <v>2.8833333333333333</v>
      </c>
      <c r="C1083" s="3">
        <f t="shared" si="8"/>
        <v>2.8833333333333333</v>
      </c>
    </row>
    <row r="1084" spans="1:3" ht="13">
      <c r="A1084" s="10">
        <v>740</v>
      </c>
      <c r="B1084" s="3">
        <f t="shared" si="9"/>
        <v>12.333333333333334</v>
      </c>
      <c r="C1084" s="3">
        <f t="shared" si="8"/>
        <v>12.333333333333334</v>
      </c>
    </row>
    <row r="1085" spans="1:3" ht="13">
      <c r="A1085" s="10">
        <v>600</v>
      </c>
      <c r="B1085" s="3">
        <f t="shared" si="9"/>
        <v>10</v>
      </c>
      <c r="C1085" s="3">
        <f t="shared" si="8"/>
        <v>10</v>
      </c>
    </row>
    <row r="1086" spans="1:3" ht="13">
      <c r="A1086" s="10">
        <v>316</v>
      </c>
      <c r="B1086" s="3">
        <f t="shared" si="9"/>
        <v>5.2666666666666666</v>
      </c>
      <c r="C1086" s="3">
        <f t="shared" si="8"/>
        <v>5.2666666666666666</v>
      </c>
    </row>
    <row r="1087" spans="1:3" ht="13">
      <c r="A1087" s="10">
        <v>193</v>
      </c>
      <c r="B1087" s="3">
        <f t="shared" si="9"/>
        <v>3.2166666666666668</v>
      </c>
      <c r="C1087" s="3">
        <f t="shared" si="8"/>
        <v>3.2166666666666668</v>
      </c>
    </row>
    <row r="1088" spans="1:3" ht="13">
      <c r="A1088" s="10">
        <v>203</v>
      </c>
      <c r="B1088" s="3">
        <f t="shared" si="9"/>
        <v>3.3833333333333333</v>
      </c>
      <c r="C1088" s="3">
        <f t="shared" si="8"/>
        <v>3.3833333333333333</v>
      </c>
    </row>
    <row r="1089" spans="1:3" ht="13">
      <c r="A1089" s="1"/>
      <c r="B1089" s="3">
        <f t="shared" si="9"/>
        <v>0</v>
      </c>
      <c r="C1089" s="3" t="str">
        <f t="shared" si="8"/>
        <v/>
      </c>
    </row>
    <row r="1090" spans="1:3" ht="13">
      <c r="A1090" s="10">
        <v>18</v>
      </c>
      <c r="B1090" s="3">
        <f t="shared" si="9"/>
        <v>0.3</v>
      </c>
      <c r="C1090" s="3">
        <f t="shared" si="8"/>
        <v>0.3</v>
      </c>
    </row>
    <row r="1091" spans="1:3" ht="13">
      <c r="A1091" s="10">
        <v>363</v>
      </c>
      <c r="B1091" s="3">
        <f t="shared" si="9"/>
        <v>6.05</v>
      </c>
      <c r="C1091" s="3">
        <f t="shared" si="8"/>
        <v>6.05</v>
      </c>
    </row>
    <row r="1092" spans="1:3" ht="13">
      <c r="A1092" s="10">
        <v>149</v>
      </c>
      <c r="B1092" s="3">
        <f t="shared" si="9"/>
        <v>2.4833333333333334</v>
      </c>
      <c r="C1092" s="3">
        <f t="shared" si="8"/>
        <v>2.4833333333333334</v>
      </c>
    </row>
    <row r="1093" spans="1:3" ht="13">
      <c r="A1093" s="1"/>
      <c r="B1093" s="3">
        <f t="shared" si="9"/>
        <v>0</v>
      </c>
      <c r="C1093" s="3" t="str">
        <f t="shared" si="8"/>
        <v/>
      </c>
    </row>
    <row r="1094" spans="1:3" ht="13">
      <c r="A1094" s="10">
        <v>258</v>
      </c>
      <c r="B1094" s="3">
        <f t="shared" si="9"/>
        <v>4.3</v>
      </c>
      <c r="C1094" s="3">
        <f t="shared" si="8"/>
        <v>4.3</v>
      </c>
    </row>
    <row r="1095" spans="1:3" ht="13">
      <c r="A1095" s="10">
        <v>414</v>
      </c>
      <c r="B1095" s="3">
        <f t="shared" si="9"/>
        <v>6.9</v>
      </c>
      <c r="C1095" s="3">
        <f t="shared" si="8"/>
        <v>6.9</v>
      </c>
    </row>
    <row r="1096" spans="1:3" ht="13">
      <c r="A1096" s="10">
        <v>189</v>
      </c>
      <c r="B1096" s="3">
        <f t="shared" si="9"/>
        <v>3.15</v>
      </c>
      <c r="C1096" s="3">
        <f t="shared" si="8"/>
        <v>3.15</v>
      </c>
    </row>
    <row r="1097" spans="1:3" ht="13">
      <c r="A1097" s="1"/>
      <c r="B1097" s="3">
        <f t="shared" si="9"/>
        <v>0</v>
      </c>
      <c r="C1097" s="3" t="str">
        <f t="shared" si="8"/>
        <v/>
      </c>
    </row>
    <row r="1098" spans="1:3" ht="13">
      <c r="A1098" s="10">
        <v>191</v>
      </c>
      <c r="B1098" s="3">
        <f t="shared" si="9"/>
        <v>3.1833333333333331</v>
      </c>
      <c r="C1098" s="3">
        <f t="shared" si="8"/>
        <v>3.1833333333333331</v>
      </c>
    </row>
    <row r="1099" spans="1:3" ht="13">
      <c r="A1099" s="10">
        <v>315</v>
      </c>
      <c r="B1099" s="3">
        <f t="shared" si="9"/>
        <v>5.25</v>
      </c>
      <c r="C1099" s="3">
        <f t="shared" si="8"/>
        <v>5.25</v>
      </c>
    </row>
    <row r="1100" spans="1:3" ht="13">
      <c r="A1100" s="10">
        <v>217</v>
      </c>
      <c r="B1100" s="3">
        <f t="shared" si="9"/>
        <v>3.6166666666666667</v>
      </c>
      <c r="C1100" s="3">
        <f t="shared" si="8"/>
        <v>3.6166666666666667</v>
      </c>
    </row>
    <row r="1101" spans="1:3" ht="13">
      <c r="A1101" s="10">
        <v>10</v>
      </c>
      <c r="B1101" s="3">
        <f t="shared" si="9"/>
        <v>0.16666666666666666</v>
      </c>
      <c r="C1101" s="3">
        <f t="shared" si="8"/>
        <v>0.16666666666666666</v>
      </c>
    </row>
    <row r="1102" spans="1:3" ht="13">
      <c r="A1102" s="10">
        <v>623</v>
      </c>
      <c r="B1102" s="3">
        <f t="shared" si="9"/>
        <v>10.383333333333333</v>
      </c>
      <c r="C1102" s="3">
        <f t="shared" si="8"/>
        <v>10.383333333333333</v>
      </c>
    </row>
    <row r="1103" spans="1:3" ht="13">
      <c r="A1103" s="10">
        <v>240</v>
      </c>
      <c r="B1103" s="3">
        <f t="shared" si="9"/>
        <v>4</v>
      </c>
      <c r="C1103" s="3">
        <f t="shared" si="8"/>
        <v>4</v>
      </c>
    </row>
    <row r="1104" spans="1:3" ht="13">
      <c r="A1104" s="10">
        <v>196</v>
      </c>
      <c r="B1104" s="3">
        <f t="shared" si="9"/>
        <v>3.2666666666666666</v>
      </c>
      <c r="C1104" s="3">
        <f t="shared" si="8"/>
        <v>3.2666666666666666</v>
      </c>
    </row>
    <row r="1105" spans="1:3" ht="13">
      <c r="A1105" s="1"/>
      <c r="B1105" s="3">
        <f t="shared" si="9"/>
        <v>0</v>
      </c>
      <c r="C1105" s="3" t="str">
        <f t="shared" si="8"/>
        <v/>
      </c>
    </row>
    <row r="1106" spans="1:3" ht="13">
      <c r="A1106" s="10">
        <v>1806</v>
      </c>
      <c r="B1106" s="3">
        <f t="shared" si="9"/>
        <v>30.1</v>
      </c>
      <c r="C1106" s="3">
        <f t="shared" si="8"/>
        <v>30.1</v>
      </c>
    </row>
    <row r="1107" spans="1:3" ht="13">
      <c r="A1107" s="10">
        <v>296</v>
      </c>
      <c r="B1107" s="3">
        <f t="shared" si="9"/>
        <v>4.9333333333333336</v>
      </c>
      <c r="C1107" s="3">
        <f t="shared" si="8"/>
        <v>4.9333333333333336</v>
      </c>
    </row>
    <row r="1108" spans="1:3" ht="13">
      <c r="A1108" s="10">
        <v>1841</v>
      </c>
      <c r="B1108" s="3">
        <f t="shared" si="9"/>
        <v>30.683333333333334</v>
      </c>
      <c r="C1108" s="3">
        <f t="shared" si="8"/>
        <v>30.683333333333334</v>
      </c>
    </row>
    <row r="1109" spans="1:3" ht="13">
      <c r="A1109" s="10">
        <v>14</v>
      </c>
      <c r="B1109" s="3">
        <f t="shared" si="9"/>
        <v>0.23333333333333334</v>
      </c>
      <c r="C1109" s="3">
        <f t="shared" si="8"/>
        <v>0.23333333333333334</v>
      </c>
    </row>
    <row r="1110" spans="1:3" ht="13">
      <c r="A1110" s="10">
        <v>264</v>
      </c>
      <c r="B1110" s="3">
        <f t="shared" si="9"/>
        <v>4.4000000000000004</v>
      </c>
      <c r="C1110" s="3">
        <f t="shared" si="8"/>
        <v>4.4000000000000004</v>
      </c>
    </row>
    <row r="1111" spans="1:3" ht="13">
      <c r="A1111" s="10">
        <v>219</v>
      </c>
      <c r="B1111" s="3">
        <f t="shared" si="9"/>
        <v>3.65</v>
      </c>
      <c r="C1111" s="3">
        <f t="shared" si="8"/>
        <v>3.65</v>
      </c>
    </row>
    <row r="1112" spans="1:3" ht="13">
      <c r="A1112" s="10">
        <v>1405</v>
      </c>
      <c r="B1112" s="3">
        <f t="shared" si="9"/>
        <v>23.416666666666668</v>
      </c>
      <c r="C1112" s="3">
        <f t="shared" si="8"/>
        <v>23.416666666666668</v>
      </c>
    </row>
    <row r="1113" spans="1:3" ht="13">
      <c r="A1113" s="1"/>
      <c r="B1113" s="3">
        <f t="shared" si="9"/>
        <v>0</v>
      </c>
      <c r="C1113" s="3" t="str">
        <f t="shared" si="8"/>
        <v/>
      </c>
    </row>
    <row r="1114" spans="1:3" ht="13">
      <c r="A1114" s="10">
        <v>510</v>
      </c>
      <c r="B1114" s="3">
        <f t="shared" si="9"/>
        <v>8.5</v>
      </c>
      <c r="C1114" s="3">
        <f t="shared" si="8"/>
        <v>8.5</v>
      </c>
    </row>
    <row r="1115" spans="1:3" ht="13">
      <c r="A1115" s="10">
        <v>354</v>
      </c>
      <c r="B1115" s="3">
        <f t="shared" si="9"/>
        <v>5.9</v>
      </c>
      <c r="C1115" s="3">
        <f t="shared" si="8"/>
        <v>5.9</v>
      </c>
    </row>
    <row r="1116" spans="1:3" ht="13">
      <c r="A1116" s="10">
        <v>260</v>
      </c>
      <c r="B1116" s="3">
        <f t="shared" si="9"/>
        <v>4.333333333333333</v>
      </c>
      <c r="C1116" s="3">
        <f t="shared" si="8"/>
        <v>4.333333333333333</v>
      </c>
    </row>
    <row r="1117" spans="1:3" ht="13">
      <c r="A1117" s="10">
        <v>483</v>
      </c>
      <c r="B1117" s="3">
        <f t="shared" si="9"/>
        <v>8.0500000000000007</v>
      </c>
      <c r="C1117" s="3">
        <f t="shared" si="8"/>
        <v>8.0500000000000007</v>
      </c>
    </row>
    <row r="1118" spans="1:3" ht="13">
      <c r="A1118" s="10">
        <v>332</v>
      </c>
      <c r="B1118" s="3">
        <f t="shared" si="9"/>
        <v>5.5333333333333332</v>
      </c>
      <c r="C1118" s="3">
        <f t="shared" si="8"/>
        <v>5.5333333333333332</v>
      </c>
    </row>
    <row r="1119" spans="1:3" ht="13">
      <c r="A1119" s="1"/>
      <c r="B1119" s="3">
        <f t="shared" si="9"/>
        <v>0</v>
      </c>
      <c r="C1119" s="3" t="str">
        <f t="shared" si="8"/>
        <v/>
      </c>
    </row>
    <row r="1120" spans="1:3" ht="13">
      <c r="A1120" s="10">
        <v>365</v>
      </c>
      <c r="B1120" s="3">
        <f t="shared" si="9"/>
        <v>6.083333333333333</v>
      </c>
      <c r="C1120" s="3">
        <f t="shared" si="8"/>
        <v>6.083333333333333</v>
      </c>
    </row>
    <row r="1121" spans="1:3" ht="13">
      <c r="A1121" s="10">
        <v>244</v>
      </c>
      <c r="B1121" s="3">
        <f t="shared" si="9"/>
        <v>4.0666666666666664</v>
      </c>
      <c r="C1121" s="3">
        <f t="shared" si="8"/>
        <v>4.0666666666666664</v>
      </c>
    </row>
    <row r="1122" spans="1:3" ht="13">
      <c r="A1122" s="10">
        <v>50</v>
      </c>
      <c r="B1122" s="3">
        <f t="shared" si="9"/>
        <v>0.83333333333333337</v>
      </c>
      <c r="C1122" s="3">
        <f t="shared" si="8"/>
        <v>0.83333333333333337</v>
      </c>
    </row>
    <row r="1123" spans="1:3" ht="13">
      <c r="A1123" s="10">
        <v>1031</v>
      </c>
      <c r="B1123" s="3">
        <f t="shared" si="9"/>
        <v>17.183333333333334</v>
      </c>
      <c r="C1123" s="3">
        <f t="shared" si="8"/>
        <v>17.183333333333334</v>
      </c>
    </row>
    <row r="1124" spans="1:3" ht="13">
      <c r="A1124" s="10">
        <v>151</v>
      </c>
      <c r="B1124" s="3">
        <f t="shared" si="9"/>
        <v>2.5166666666666666</v>
      </c>
      <c r="C1124" s="3">
        <f t="shared" si="8"/>
        <v>2.5166666666666666</v>
      </c>
    </row>
    <row r="1125" spans="1:3" ht="13">
      <c r="A1125" s="10">
        <v>229</v>
      </c>
      <c r="B1125" s="3">
        <f t="shared" si="9"/>
        <v>3.8166666666666669</v>
      </c>
      <c r="C1125" s="3">
        <f t="shared" si="8"/>
        <v>3.8166666666666669</v>
      </c>
    </row>
    <row r="1126" spans="1:3" ht="13">
      <c r="A1126" s="10">
        <v>1418</v>
      </c>
      <c r="B1126" s="3">
        <f t="shared" si="9"/>
        <v>23.633333333333333</v>
      </c>
      <c r="C1126" s="3">
        <f t="shared" si="8"/>
        <v>23.633333333333333</v>
      </c>
    </row>
    <row r="1127" spans="1:3" ht="13">
      <c r="A1127" s="10">
        <v>384</v>
      </c>
      <c r="B1127" s="3">
        <f t="shared" si="9"/>
        <v>6.4</v>
      </c>
      <c r="C1127" s="3">
        <f t="shared" si="8"/>
        <v>6.4</v>
      </c>
    </row>
    <row r="1128" spans="1:3" ht="13">
      <c r="A1128" s="10">
        <v>372</v>
      </c>
      <c r="B1128" s="3">
        <f t="shared" si="9"/>
        <v>6.2</v>
      </c>
      <c r="C1128" s="3">
        <f t="shared" si="8"/>
        <v>6.2</v>
      </c>
    </row>
    <row r="1129" spans="1:3" ht="13">
      <c r="A1129" s="10">
        <v>908</v>
      </c>
      <c r="B1129" s="3">
        <f t="shared" si="9"/>
        <v>15.133333333333333</v>
      </c>
      <c r="C1129" s="3">
        <f t="shared" si="8"/>
        <v>15.133333333333333</v>
      </c>
    </row>
    <row r="1130" spans="1:3" ht="13">
      <c r="A1130" s="1"/>
      <c r="B1130" s="3">
        <f t="shared" si="9"/>
        <v>0</v>
      </c>
      <c r="C1130" s="3" t="str">
        <f t="shared" si="8"/>
        <v/>
      </c>
    </row>
    <row r="1131" spans="1:3" ht="13">
      <c r="A1131" s="10">
        <v>2189</v>
      </c>
      <c r="B1131" s="3">
        <f t="shared" si="9"/>
        <v>36.483333333333334</v>
      </c>
      <c r="C1131" s="3">
        <f t="shared" si="8"/>
        <v>36.483333333333334</v>
      </c>
    </row>
    <row r="1132" spans="1:3" ht="13">
      <c r="A1132" s="10">
        <v>429</v>
      </c>
      <c r="B1132" s="3">
        <f t="shared" si="9"/>
        <v>7.15</v>
      </c>
      <c r="C1132" s="3">
        <f t="shared" si="8"/>
        <v>7.15</v>
      </c>
    </row>
    <row r="1133" spans="1:3" ht="13">
      <c r="A1133" s="10">
        <v>715</v>
      </c>
      <c r="B1133" s="3">
        <f t="shared" si="9"/>
        <v>11.916666666666666</v>
      </c>
      <c r="C1133" s="3">
        <f t="shared" si="8"/>
        <v>11.916666666666666</v>
      </c>
    </row>
    <row r="1134" spans="1:3" ht="13">
      <c r="A1134" s="1"/>
      <c r="B1134" s="3">
        <f t="shared" si="9"/>
        <v>0</v>
      </c>
      <c r="C1134" s="3" t="str">
        <f t="shared" si="8"/>
        <v/>
      </c>
    </row>
    <row r="1135" spans="1:3" ht="13">
      <c r="A1135" s="10">
        <v>1145</v>
      </c>
      <c r="B1135" s="3">
        <f t="shared" si="9"/>
        <v>19.083333333333332</v>
      </c>
      <c r="C1135" s="3">
        <f t="shared" si="8"/>
        <v>19.083333333333332</v>
      </c>
    </row>
    <row r="1136" spans="1:3" ht="13">
      <c r="A1136" s="10">
        <v>385</v>
      </c>
      <c r="B1136" s="3">
        <f t="shared" si="9"/>
        <v>6.416666666666667</v>
      </c>
      <c r="C1136" s="3">
        <f t="shared" si="8"/>
        <v>6.416666666666667</v>
      </c>
    </row>
    <row r="1137" spans="1:3" ht="13">
      <c r="A1137" s="10">
        <v>540</v>
      </c>
      <c r="B1137" s="3">
        <f t="shared" si="9"/>
        <v>9</v>
      </c>
      <c r="C1137" s="3">
        <f t="shared" si="8"/>
        <v>9</v>
      </c>
    </row>
    <row r="1138" spans="1:3" ht="13">
      <c r="A1138" s="10">
        <v>2407</v>
      </c>
      <c r="B1138" s="3">
        <f t="shared" si="9"/>
        <v>40.116666666666667</v>
      </c>
      <c r="C1138" s="3">
        <f t="shared" si="8"/>
        <v>40.116666666666667</v>
      </c>
    </row>
    <row r="1139" spans="1:3" ht="13">
      <c r="A1139" s="10">
        <v>177</v>
      </c>
      <c r="B1139" s="3">
        <f t="shared" si="9"/>
        <v>2.95</v>
      </c>
      <c r="C1139" s="3">
        <f t="shared" si="8"/>
        <v>2.95</v>
      </c>
    </row>
    <row r="1140" spans="1:3" ht="13">
      <c r="A1140" s="10">
        <v>321</v>
      </c>
      <c r="B1140" s="3">
        <f t="shared" si="9"/>
        <v>5.35</v>
      </c>
      <c r="C1140" s="3">
        <f t="shared" si="8"/>
        <v>5.35</v>
      </c>
    </row>
    <row r="1141" spans="1:3" ht="13">
      <c r="A1141" s="10">
        <v>479</v>
      </c>
      <c r="B1141" s="3">
        <f t="shared" si="9"/>
        <v>7.9833333333333334</v>
      </c>
      <c r="C1141" s="3">
        <f t="shared" si="8"/>
        <v>7.9833333333333334</v>
      </c>
    </row>
    <row r="1142" spans="1:3" ht="13">
      <c r="A1142" s="10">
        <v>470</v>
      </c>
      <c r="B1142" s="3">
        <f t="shared" si="9"/>
        <v>7.833333333333333</v>
      </c>
      <c r="C1142" s="3">
        <f t="shared" si="8"/>
        <v>7.833333333333333</v>
      </c>
    </row>
    <row r="1143" spans="1:3" ht="13">
      <c r="A1143" s="1"/>
      <c r="B1143" s="3">
        <f t="shared" si="9"/>
        <v>0</v>
      </c>
      <c r="C1143" s="3" t="str">
        <f t="shared" si="8"/>
        <v/>
      </c>
    </row>
    <row r="1144" spans="1:3" ht="13">
      <c r="A1144" s="10">
        <v>1116</v>
      </c>
      <c r="B1144" s="3">
        <f t="shared" si="9"/>
        <v>18.600000000000001</v>
      </c>
      <c r="C1144" s="3">
        <f t="shared" si="8"/>
        <v>18.600000000000001</v>
      </c>
    </row>
    <row r="1145" spans="1:3" ht="13">
      <c r="A1145" s="10">
        <v>1497</v>
      </c>
      <c r="B1145" s="3">
        <f t="shared" si="9"/>
        <v>24.95</v>
      </c>
      <c r="C1145" s="3">
        <f t="shared" si="8"/>
        <v>24.95</v>
      </c>
    </row>
    <row r="1146" spans="1:3" ht="13">
      <c r="A1146" s="10">
        <v>440</v>
      </c>
      <c r="B1146" s="3">
        <f t="shared" si="9"/>
        <v>7.333333333333333</v>
      </c>
      <c r="C1146" s="3">
        <f t="shared" si="8"/>
        <v>7.333333333333333</v>
      </c>
    </row>
    <row r="1147" spans="1:3" ht="13">
      <c r="A1147" s="10">
        <v>839</v>
      </c>
      <c r="B1147" s="3">
        <f t="shared" si="9"/>
        <v>13.983333333333333</v>
      </c>
      <c r="C1147" s="3">
        <f t="shared" si="8"/>
        <v>13.983333333333333</v>
      </c>
    </row>
    <row r="1148" spans="1:3" ht="13">
      <c r="A1148" s="1"/>
      <c r="B1148" s="3">
        <f t="shared" si="9"/>
        <v>0</v>
      </c>
      <c r="C1148" s="3" t="str">
        <f t="shared" si="8"/>
        <v/>
      </c>
    </row>
    <row r="1149" spans="1:3" ht="13">
      <c r="A1149" s="1"/>
      <c r="B1149" s="3">
        <f t="shared" si="9"/>
        <v>0</v>
      </c>
      <c r="C1149" s="3" t="str">
        <f t="shared" si="8"/>
        <v/>
      </c>
    </row>
    <row r="1150" spans="1:3" ht="13">
      <c r="A1150" s="1"/>
      <c r="B1150" s="3">
        <f t="shared" si="9"/>
        <v>0</v>
      </c>
      <c r="C1150" s="3" t="str">
        <f t="shared" si="8"/>
        <v/>
      </c>
    </row>
    <row r="1151" spans="1:3" ht="13">
      <c r="A1151" s="10">
        <v>47</v>
      </c>
      <c r="B1151" s="3">
        <f t="shared" si="9"/>
        <v>0.78333333333333333</v>
      </c>
      <c r="C1151" s="3">
        <f t="shared" si="8"/>
        <v>0.78333333333333333</v>
      </c>
    </row>
    <row r="1152" spans="1:3" ht="13">
      <c r="A1152" s="10">
        <v>170</v>
      </c>
      <c r="B1152" s="3">
        <f t="shared" si="9"/>
        <v>2.8333333333333335</v>
      </c>
      <c r="C1152" s="3">
        <f t="shared" si="8"/>
        <v>2.8333333333333335</v>
      </c>
    </row>
    <row r="1153" spans="1:3" ht="13">
      <c r="A1153" s="10">
        <v>132</v>
      </c>
      <c r="B1153" s="3">
        <f t="shared" si="9"/>
        <v>2.2000000000000002</v>
      </c>
      <c r="C1153" s="3">
        <f t="shared" si="8"/>
        <v>2.2000000000000002</v>
      </c>
    </row>
    <row r="1154" spans="1:3" ht="13">
      <c r="A1154" s="1"/>
      <c r="B1154" s="3">
        <f t="shared" si="9"/>
        <v>0</v>
      </c>
      <c r="C1154" s="3" t="str">
        <f t="shared" si="8"/>
        <v/>
      </c>
    </row>
    <row r="1155" spans="1:3" ht="13">
      <c r="A1155" s="10">
        <v>622</v>
      </c>
      <c r="B1155" s="3">
        <f t="shared" si="9"/>
        <v>10.366666666666667</v>
      </c>
      <c r="C1155" s="3">
        <f t="shared" si="8"/>
        <v>10.366666666666667</v>
      </c>
    </row>
    <row r="1156" spans="1:3" ht="13">
      <c r="A1156" s="10">
        <v>1004</v>
      </c>
      <c r="B1156" s="3">
        <f t="shared" si="9"/>
        <v>16.733333333333334</v>
      </c>
      <c r="C1156" s="3">
        <f t="shared" si="8"/>
        <v>16.733333333333334</v>
      </c>
    </row>
    <row r="1157" spans="1:3" ht="13">
      <c r="A1157" s="10">
        <v>346</v>
      </c>
      <c r="B1157" s="3">
        <f t="shared" si="9"/>
        <v>5.7666666666666666</v>
      </c>
      <c r="C1157" s="3">
        <f t="shared" si="8"/>
        <v>5.7666666666666666</v>
      </c>
    </row>
    <row r="1158" spans="1:3" ht="13">
      <c r="A1158" s="1"/>
      <c r="B1158" s="3">
        <f t="shared" si="9"/>
        <v>0</v>
      </c>
      <c r="C1158" s="3" t="str">
        <f t="shared" si="8"/>
        <v/>
      </c>
    </row>
    <row r="1159" spans="1:3" ht="13">
      <c r="A1159" s="10">
        <v>487</v>
      </c>
      <c r="B1159" s="3">
        <f t="shared" si="9"/>
        <v>8.1166666666666671</v>
      </c>
      <c r="C1159" s="3">
        <f t="shared" si="8"/>
        <v>8.1166666666666671</v>
      </c>
    </row>
    <row r="1160" spans="1:3" ht="13">
      <c r="A1160" s="10">
        <v>326</v>
      </c>
      <c r="B1160" s="3">
        <f t="shared" si="9"/>
        <v>5.4333333333333336</v>
      </c>
      <c r="C1160" s="3">
        <f t="shared" si="8"/>
        <v>5.4333333333333336</v>
      </c>
    </row>
    <row r="1161" spans="1:3" ht="13">
      <c r="A1161" s="10">
        <v>1038</v>
      </c>
      <c r="B1161" s="3">
        <f t="shared" si="9"/>
        <v>17.3</v>
      </c>
      <c r="C1161" s="3">
        <f t="shared" si="8"/>
        <v>17.3</v>
      </c>
    </row>
    <row r="1162" spans="1:3" ht="13">
      <c r="A1162" s="1"/>
      <c r="B1162" s="3">
        <f t="shared" si="9"/>
        <v>0</v>
      </c>
      <c r="C1162" s="3" t="str">
        <f t="shared" si="8"/>
        <v/>
      </c>
    </row>
    <row r="1163" spans="1:3" ht="13">
      <c r="A1163" s="10">
        <v>880</v>
      </c>
      <c r="B1163" s="3">
        <f t="shared" si="9"/>
        <v>14.666666666666666</v>
      </c>
      <c r="C1163" s="3">
        <f t="shared" si="8"/>
        <v>14.666666666666666</v>
      </c>
    </row>
    <row r="1164" spans="1:3" ht="13">
      <c r="A1164" s="10">
        <v>7</v>
      </c>
      <c r="B1164" s="3">
        <f t="shared" si="9"/>
        <v>0.11666666666666667</v>
      </c>
      <c r="C1164" s="3">
        <f t="shared" si="8"/>
        <v>0.11666666666666667</v>
      </c>
    </row>
    <row r="1165" spans="1:3" ht="13">
      <c r="A1165" s="10">
        <v>337</v>
      </c>
      <c r="B1165" s="3">
        <f t="shared" si="9"/>
        <v>5.6166666666666663</v>
      </c>
      <c r="C1165" s="3">
        <f t="shared" si="8"/>
        <v>5.6166666666666663</v>
      </c>
    </row>
    <row r="1166" spans="1:3" ht="13">
      <c r="A1166" s="1"/>
      <c r="B1166" s="3">
        <f t="shared" si="9"/>
        <v>0</v>
      </c>
      <c r="C1166" s="3" t="str">
        <f t="shared" si="8"/>
        <v/>
      </c>
    </row>
    <row r="1167" spans="1:3" ht="13">
      <c r="A1167" s="10">
        <v>834</v>
      </c>
      <c r="B1167" s="3">
        <f t="shared" si="9"/>
        <v>13.9</v>
      </c>
      <c r="C1167" s="3">
        <f t="shared" si="8"/>
        <v>13.9</v>
      </c>
    </row>
    <row r="1168" spans="1:3" ht="13">
      <c r="A1168" s="1"/>
      <c r="B1168" s="3">
        <f t="shared" si="9"/>
        <v>0</v>
      </c>
      <c r="C1168" s="3" t="str">
        <f t="shared" si="8"/>
        <v/>
      </c>
    </row>
    <row r="1169" spans="1:3" ht="13">
      <c r="A1169" s="10">
        <v>143</v>
      </c>
      <c r="B1169" s="3">
        <f t="shared" si="9"/>
        <v>2.3833333333333333</v>
      </c>
      <c r="C1169" s="3">
        <f t="shared" si="8"/>
        <v>2.3833333333333333</v>
      </c>
    </row>
    <row r="1170" spans="1:3" ht="13">
      <c r="A1170" s="10">
        <v>23</v>
      </c>
      <c r="B1170" s="3">
        <f t="shared" si="9"/>
        <v>0.38333333333333336</v>
      </c>
      <c r="C1170" s="3">
        <f t="shared" si="8"/>
        <v>0.38333333333333336</v>
      </c>
    </row>
    <row r="1171" spans="1:3" ht="13">
      <c r="A1171" s="10">
        <v>120</v>
      </c>
      <c r="B1171" s="3">
        <f t="shared" si="9"/>
        <v>2</v>
      </c>
      <c r="C1171" s="3">
        <f t="shared" si="8"/>
        <v>2</v>
      </c>
    </row>
    <row r="1172" spans="1:3" ht="13">
      <c r="A1172" s="10">
        <v>631</v>
      </c>
      <c r="B1172" s="3">
        <f t="shared" si="9"/>
        <v>10.516666666666667</v>
      </c>
      <c r="C1172" s="3">
        <f t="shared" si="8"/>
        <v>10.516666666666667</v>
      </c>
    </row>
    <row r="1173" spans="1:3" ht="13">
      <c r="A1173" s="1"/>
      <c r="B1173" s="3">
        <f t="shared" si="9"/>
        <v>0</v>
      </c>
      <c r="C1173" s="3" t="str">
        <f t="shared" si="8"/>
        <v/>
      </c>
    </row>
    <row r="1174" spans="1:3" ht="13">
      <c r="A1174" s="10">
        <v>597</v>
      </c>
      <c r="B1174" s="3">
        <f t="shared" si="9"/>
        <v>9.9499999999999993</v>
      </c>
      <c r="C1174" s="3">
        <f t="shared" si="8"/>
        <v>9.9499999999999993</v>
      </c>
    </row>
    <row r="1175" spans="1:3" ht="13">
      <c r="A1175" s="10">
        <v>1500</v>
      </c>
      <c r="B1175" s="3">
        <f t="shared" si="9"/>
        <v>25</v>
      </c>
      <c r="C1175" s="3">
        <f t="shared" si="8"/>
        <v>25</v>
      </c>
    </row>
    <row r="1176" spans="1:3" ht="13">
      <c r="A1176" s="10">
        <v>77</v>
      </c>
      <c r="B1176" s="3">
        <f t="shared" si="9"/>
        <v>1.2833333333333334</v>
      </c>
      <c r="C1176" s="3">
        <f t="shared" si="8"/>
        <v>1.2833333333333334</v>
      </c>
    </row>
    <row r="1177" spans="1:3" ht="13">
      <c r="A1177" s="10">
        <v>381</v>
      </c>
      <c r="B1177" s="3">
        <f t="shared" si="9"/>
        <v>6.35</v>
      </c>
      <c r="C1177" s="3">
        <f t="shared" si="8"/>
        <v>6.35</v>
      </c>
    </row>
    <row r="1178" spans="1:3" ht="13">
      <c r="A1178" s="10">
        <v>2411</v>
      </c>
      <c r="B1178" s="3">
        <f t="shared" si="9"/>
        <v>40.18333333333333</v>
      </c>
      <c r="C1178" s="3">
        <f t="shared" si="8"/>
        <v>40.18333333333333</v>
      </c>
    </row>
    <row r="1179" spans="1:3" ht="13">
      <c r="A1179" s="10">
        <v>149</v>
      </c>
      <c r="B1179" s="3">
        <f t="shared" si="9"/>
        <v>2.4833333333333334</v>
      </c>
      <c r="C1179" s="3">
        <f t="shared" si="8"/>
        <v>2.4833333333333334</v>
      </c>
    </row>
    <row r="1180" spans="1:3" ht="13">
      <c r="A1180" s="10">
        <v>26</v>
      </c>
      <c r="B1180" s="3">
        <f t="shared" si="9"/>
        <v>0.43333333333333335</v>
      </c>
      <c r="C1180" s="3">
        <f t="shared" si="8"/>
        <v>0.43333333333333335</v>
      </c>
    </row>
    <row r="1181" spans="1:3" ht="13">
      <c r="A1181" s="10">
        <v>314</v>
      </c>
      <c r="B1181" s="3">
        <f t="shared" si="9"/>
        <v>5.2333333333333334</v>
      </c>
      <c r="C1181" s="3">
        <f t="shared" si="8"/>
        <v>5.2333333333333334</v>
      </c>
    </row>
    <row r="1182" spans="1:3" ht="13">
      <c r="A1182" s="10">
        <v>366</v>
      </c>
      <c r="B1182" s="3">
        <f t="shared" si="9"/>
        <v>6.1</v>
      </c>
      <c r="C1182" s="3">
        <f t="shared" si="8"/>
        <v>6.1</v>
      </c>
    </row>
    <row r="1183" spans="1:3" ht="13">
      <c r="A1183" s="10">
        <v>568</v>
      </c>
      <c r="B1183" s="3">
        <f t="shared" si="9"/>
        <v>9.4666666666666668</v>
      </c>
      <c r="C1183" s="3">
        <f t="shared" si="8"/>
        <v>9.4666666666666668</v>
      </c>
    </row>
    <row r="1184" spans="1:3" ht="13">
      <c r="A1184" s="10">
        <v>263</v>
      </c>
      <c r="B1184" s="3">
        <f t="shared" si="9"/>
        <v>4.3833333333333337</v>
      </c>
      <c r="C1184" s="3">
        <f t="shared" si="8"/>
        <v>4.3833333333333337</v>
      </c>
    </row>
    <row r="1185" spans="1:3" ht="13">
      <c r="A1185" s="10">
        <v>887</v>
      </c>
      <c r="B1185" s="3">
        <f t="shared" si="9"/>
        <v>14.783333333333333</v>
      </c>
      <c r="C1185" s="3">
        <f t="shared" si="8"/>
        <v>14.783333333333333</v>
      </c>
    </row>
    <row r="1186" spans="1:3" ht="13">
      <c r="A1186" s="10">
        <v>657</v>
      </c>
      <c r="B1186" s="3">
        <f t="shared" si="9"/>
        <v>10.95</v>
      </c>
      <c r="C1186" s="3">
        <f t="shared" si="8"/>
        <v>10.95</v>
      </c>
    </row>
    <row r="1187" spans="1:3" ht="13">
      <c r="A1187" s="10">
        <v>289</v>
      </c>
      <c r="B1187" s="3">
        <f t="shared" si="9"/>
        <v>4.8166666666666664</v>
      </c>
      <c r="C1187" s="3">
        <f t="shared" si="8"/>
        <v>4.8166666666666664</v>
      </c>
    </row>
    <row r="1188" spans="1:3" ht="13">
      <c r="A1188" s="10">
        <v>221</v>
      </c>
      <c r="B1188" s="3">
        <f t="shared" si="9"/>
        <v>3.6833333333333331</v>
      </c>
      <c r="C1188" s="3">
        <f t="shared" si="8"/>
        <v>3.6833333333333331</v>
      </c>
    </row>
    <row r="1189" spans="1:3" ht="13">
      <c r="A1189" s="10">
        <v>421</v>
      </c>
      <c r="B1189" s="3">
        <f t="shared" si="9"/>
        <v>7.0166666666666666</v>
      </c>
      <c r="C1189" s="3">
        <f t="shared" si="8"/>
        <v>7.0166666666666666</v>
      </c>
    </row>
    <row r="1190" spans="1:3" ht="13">
      <c r="A1190" s="10">
        <v>527</v>
      </c>
      <c r="B1190" s="3">
        <f t="shared" si="9"/>
        <v>8.7833333333333332</v>
      </c>
      <c r="C1190" s="3">
        <f t="shared" si="8"/>
        <v>8.7833333333333332</v>
      </c>
    </row>
    <row r="1191" spans="1:3" ht="13">
      <c r="A1191" s="1"/>
      <c r="B1191" s="3">
        <f t="shared" si="9"/>
        <v>0</v>
      </c>
      <c r="C1191" s="3" t="str">
        <f t="shared" si="8"/>
        <v/>
      </c>
    </row>
    <row r="1192" spans="1:3" ht="13">
      <c r="A1192" s="10">
        <v>130</v>
      </c>
      <c r="B1192" s="3">
        <f t="shared" si="9"/>
        <v>2.1666666666666665</v>
      </c>
      <c r="C1192" s="3">
        <f t="shared" si="8"/>
        <v>2.1666666666666665</v>
      </c>
    </row>
    <row r="1193" spans="1:3" ht="13">
      <c r="A1193" s="10">
        <v>738</v>
      </c>
      <c r="B1193" s="3">
        <f t="shared" si="9"/>
        <v>12.3</v>
      </c>
      <c r="C1193" s="3">
        <f t="shared" si="8"/>
        <v>12.3</v>
      </c>
    </row>
    <row r="1194" spans="1:3" ht="13">
      <c r="A1194" s="10">
        <v>768</v>
      </c>
      <c r="B1194" s="3">
        <f t="shared" si="9"/>
        <v>12.8</v>
      </c>
      <c r="C1194" s="3">
        <f t="shared" si="8"/>
        <v>12.8</v>
      </c>
    </row>
    <row r="1195" spans="1:3" ht="13">
      <c r="A1195" s="10">
        <v>801</v>
      </c>
      <c r="B1195" s="3">
        <f t="shared" si="9"/>
        <v>13.35</v>
      </c>
      <c r="C1195" s="3">
        <f t="shared" si="8"/>
        <v>13.35</v>
      </c>
    </row>
    <row r="1196" spans="1:3" ht="13">
      <c r="A1196" s="1"/>
      <c r="B1196" s="3">
        <f t="shared" si="9"/>
        <v>0</v>
      </c>
      <c r="C1196" s="3" t="str">
        <f t="shared" si="8"/>
        <v/>
      </c>
    </row>
    <row r="1197" spans="1:3" ht="13">
      <c r="A1197" s="1"/>
      <c r="B1197" s="3">
        <f t="shared" si="9"/>
        <v>0</v>
      </c>
      <c r="C1197" s="3" t="str">
        <f t="shared" si="8"/>
        <v/>
      </c>
    </row>
    <row r="1198" spans="1:3" ht="13">
      <c r="A1198" s="10">
        <v>488</v>
      </c>
      <c r="B1198" s="3">
        <f t="shared" si="9"/>
        <v>8.1333333333333329</v>
      </c>
      <c r="C1198" s="3">
        <f t="shared" si="8"/>
        <v>8.1333333333333329</v>
      </c>
    </row>
    <row r="1199" spans="1:3" ht="13">
      <c r="A1199" s="10">
        <v>300</v>
      </c>
      <c r="B1199" s="3">
        <f t="shared" si="9"/>
        <v>5</v>
      </c>
      <c r="C1199" s="3">
        <f t="shared" si="8"/>
        <v>5</v>
      </c>
    </row>
    <row r="1200" spans="1:3" ht="13">
      <c r="A1200" s="10">
        <v>515</v>
      </c>
      <c r="B1200" s="3">
        <f t="shared" si="9"/>
        <v>8.5833333333333339</v>
      </c>
      <c r="C1200" s="3">
        <f t="shared" si="8"/>
        <v>8.5833333333333339</v>
      </c>
    </row>
    <row r="1201" spans="1:3" ht="13">
      <c r="A1201" s="10">
        <v>383</v>
      </c>
      <c r="B1201" s="3">
        <f t="shared" si="9"/>
        <v>6.3833333333333337</v>
      </c>
      <c r="C1201" s="3">
        <f t="shared" si="8"/>
        <v>6.3833333333333337</v>
      </c>
    </row>
    <row r="1202" spans="1:3" ht="13">
      <c r="A1202" s="10">
        <f>MAX(A2:A1201)</f>
        <v>4587</v>
      </c>
      <c r="B1202" s="3">
        <f t="shared" si="9"/>
        <v>76.45</v>
      </c>
    </row>
    <row r="1203" spans="1:3" ht="13">
      <c r="A1203" s="1"/>
    </row>
    <row r="1204" spans="1:3" ht="13">
      <c r="A1204" s="1"/>
    </row>
    <row r="1205" spans="1:3" ht="13">
      <c r="A1205" s="1"/>
    </row>
    <row r="1206" spans="1:3" ht="13">
      <c r="A1206" s="1"/>
    </row>
    <row r="1207" spans="1:3" ht="13">
      <c r="A1207" s="1"/>
    </row>
    <row r="1208" spans="1:3" ht="13">
      <c r="A1208" s="1"/>
    </row>
    <row r="1209" spans="1:3" ht="13">
      <c r="A1209" s="1"/>
    </row>
    <row r="1210" spans="1:3" ht="13">
      <c r="A1210" s="1"/>
    </row>
    <row r="1211" spans="1:3" ht="13">
      <c r="A1211" s="1"/>
    </row>
    <row r="1212" spans="1:3" ht="13">
      <c r="A1212" s="1"/>
    </row>
    <row r="1213" spans="1:3" ht="13">
      <c r="A1213" s="1"/>
    </row>
    <row r="1214" spans="1:3" ht="13">
      <c r="A1214" s="1"/>
    </row>
    <row r="1215" spans="1:3" ht="13">
      <c r="A1215" s="1"/>
    </row>
    <row r="1216" spans="1:3" ht="13">
      <c r="A1216" s="1"/>
    </row>
    <row r="1217" spans="1:1" ht="13">
      <c r="A1217" s="1"/>
    </row>
    <row r="1218" spans="1:1" ht="13">
      <c r="A1218" s="1"/>
    </row>
    <row r="1219" spans="1:1" ht="13">
      <c r="A1219" s="1"/>
    </row>
    <row r="1220" spans="1:1" ht="13">
      <c r="A1220" s="1"/>
    </row>
    <row r="1221" spans="1:1" ht="13">
      <c r="A1221" s="1"/>
    </row>
    <row r="1222" spans="1:1" ht="13">
      <c r="A1222" s="1"/>
    </row>
    <row r="1223" spans="1:1" ht="13">
      <c r="A1223" s="1"/>
    </row>
    <row r="1224" spans="1:1" ht="13">
      <c r="A1224" s="1"/>
    </row>
    <row r="1225" spans="1:1" ht="13">
      <c r="A1225" s="1"/>
    </row>
    <row r="1226" spans="1:1" ht="13">
      <c r="A1226" s="1"/>
    </row>
    <row r="1227" spans="1:1" ht="13">
      <c r="A1227" s="1"/>
    </row>
    <row r="1228" spans="1:1" ht="13">
      <c r="A1228" s="1"/>
    </row>
    <row r="1229" spans="1:1" ht="13">
      <c r="A1229" s="1"/>
    </row>
    <row r="1230" spans="1:1" ht="13">
      <c r="A1230" s="1"/>
    </row>
    <row r="1231" spans="1:1" ht="13">
      <c r="A1231" s="1"/>
    </row>
    <row r="1232" spans="1:1" ht="13">
      <c r="A1232" s="1"/>
    </row>
    <row r="1233" spans="1:1" ht="13">
      <c r="A1233" s="1"/>
    </row>
    <row r="1234" spans="1:1" ht="13">
      <c r="A1234" s="1"/>
    </row>
    <row r="1235" spans="1:1" ht="13">
      <c r="A1235" s="1"/>
    </row>
    <row r="1236" spans="1:1" ht="13">
      <c r="A1236" s="1"/>
    </row>
    <row r="1237" spans="1:1" ht="13">
      <c r="A1237" s="1"/>
    </row>
    <row r="1238" spans="1:1" ht="13">
      <c r="A1238" s="1"/>
    </row>
    <row r="1239" spans="1:1" ht="13">
      <c r="A1239" s="1"/>
    </row>
    <row r="1240" spans="1:1" ht="13">
      <c r="A1240" s="1"/>
    </row>
    <row r="1241" spans="1:1" ht="13">
      <c r="A1241" s="1"/>
    </row>
    <row r="1242" spans="1:1" ht="13">
      <c r="A1242" s="1"/>
    </row>
    <row r="1243" spans="1:1" ht="13">
      <c r="A1243" s="1"/>
    </row>
    <row r="1244" spans="1:1" ht="13">
      <c r="A1244" s="1"/>
    </row>
    <row r="1245" spans="1:1" ht="13">
      <c r="A1245" s="1"/>
    </row>
    <row r="1246" spans="1:1" ht="13">
      <c r="A1246" s="1"/>
    </row>
    <row r="1247" spans="1:1" ht="13">
      <c r="A1247" s="1"/>
    </row>
    <row r="1248" spans="1:1" ht="13">
      <c r="A1248" s="1"/>
    </row>
    <row r="1249" spans="1:1" ht="13">
      <c r="A1249" s="1"/>
    </row>
    <row r="1250" spans="1:1" ht="13">
      <c r="A1250" s="1"/>
    </row>
    <row r="1251" spans="1:1" ht="13">
      <c r="A1251" s="1"/>
    </row>
    <row r="1252" spans="1:1" ht="13">
      <c r="A1252" s="1"/>
    </row>
    <row r="1253" spans="1:1" ht="13">
      <c r="A1253" s="1"/>
    </row>
    <row r="1254" spans="1:1" ht="13">
      <c r="A1254" s="1"/>
    </row>
    <row r="1255" spans="1:1" ht="13">
      <c r="A1255" s="1"/>
    </row>
    <row r="1256" spans="1:1" ht="13">
      <c r="A1256" s="1"/>
    </row>
    <row r="1257" spans="1:1" ht="13">
      <c r="A1257" s="1"/>
    </row>
    <row r="1258" spans="1:1" ht="13">
      <c r="A1258" s="1"/>
    </row>
    <row r="1259" spans="1:1" ht="13">
      <c r="A1259" s="1"/>
    </row>
    <row r="1260" spans="1:1" ht="13">
      <c r="A1260" s="1"/>
    </row>
    <row r="1261" spans="1:1" ht="13">
      <c r="A1261" s="1"/>
    </row>
    <row r="1262" spans="1:1" ht="13">
      <c r="A1262" s="1"/>
    </row>
    <row r="1263" spans="1:1" ht="13">
      <c r="A1263" s="1"/>
    </row>
    <row r="1264" spans="1:1" ht="13">
      <c r="A1264" s="1"/>
    </row>
    <row r="1265" spans="1:1" ht="13">
      <c r="A1265" s="1"/>
    </row>
    <row r="1266" spans="1:1" ht="13">
      <c r="A1266" s="1"/>
    </row>
    <row r="1267" spans="1:1" ht="13">
      <c r="A1267" s="1"/>
    </row>
    <row r="1268" spans="1:1" ht="13">
      <c r="A1268" s="1"/>
    </row>
    <row r="1269" spans="1:1" ht="13">
      <c r="A1269" s="1"/>
    </row>
    <row r="1270" spans="1:1" ht="13">
      <c r="A1270" s="1"/>
    </row>
    <row r="1271" spans="1:1" ht="13">
      <c r="A1271" s="1"/>
    </row>
    <row r="1272" spans="1:1" ht="13">
      <c r="A1272" s="1"/>
    </row>
    <row r="1273" spans="1:1" ht="13">
      <c r="A1273" s="1"/>
    </row>
    <row r="1274" spans="1:1" ht="13">
      <c r="A1274" s="1"/>
    </row>
    <row r="1275" spans="1:1" ht="13">
      <c r="A1275" s="1"/>
    </row>
    <row r="1276" spans="1:1" ht="13">
      <c r="A1276" s="1"/>
    </row>
    <row r="1277" spans="1:1" ht="13">
      <c r="A1277" s="1"/>
    </row>
    <row r="1278" spans="1:1" ht="13">
      <c r="A1278" s="1"/>
    </row>
    <row r="1279" spans="1:1" ht="13">
      <c r="A1279" s="1"/>
    </row>
    <row r="1280" spans="1:1" ht="13">
      <c r="A1280" s="1"/>
    </row>
    <row r="1281" spans="1:1" ht="13">
      <c r="A1281" s="1"/>
    </row>
    <row r="1282" spans="1:1" ht="13">
      <c r="A1282" s="1"/>
    </row>
    <row r="1283" spans="1:1" ht="13">
      <c r="A1283" s="1"/>
    </row>
    <row r="1284" spans="1:1" ht="13">
      <c r="A1284" s="1"/>
    </row>
    <row r="1285" spans="1:1" ht="13">
      <c r="A1285" s="1"/>
    </row>
    <row r="1286" spans="1:1" ht="13">
      <c r="A1286" s="1"/>
    </row>
    <row r="1287" spans="1:1" ht="13">
      <c r="A1287" s="1"/>
    </row>
    <row r="1288" spans="1:1" ht="13">
      <c r="A1288" s="1"/>
    </row>
    <row r="1289" spans="1:1" ht="13">
      <c r="A1289" s="1"/>
    </row>
    <row r="1290" spans="1:1" ht="13">
      <c r="A1290" s="1"/>
    </row>
    <row r="1291" spans="1:1" ht="13">
      <c r="A1291" s="1"/>
    </row>
    <row r="1292" spans="1:1" ht="13">
      <c r="A1292" s="1"/>
    </row>
    <row r="1293" spans="1:1" ht="13">
      <c r="A1293" s="1"/>
    </row>
    <row r="1294" spans="1:1" ht="13">
      <c r="A1294" s="1"/>
    </row>
    <row r="1295" spans="1:1" ht="13">
      <c r="A1295" s="1"/>
    </row>
    <row r="1296" spans="1:1" ht="13">
      <c r="A1296" s="1"/>
    </row>
    <row r="1297" spans="1:1" ht="13">
      <c r="A1297" s="1"/>
    </row>
    <row r="1298" spans="1:1" ht="13">
      <c r="A1298" s="1"/>
    </row>
    <row r="1299" spans="1:1" ht="13">
      <c r="A1299" s="1"/>
    </row>
    <row r="1300" spans="1:1" ht="13">
      <c r="A1300" s="1"/>
    </row>
    <row r="1301" spans="1:1" ht="13">
      <c r="A1301" s="1"/>
    </row>
    <row r="1302" spans="1:1" ht="13">
      <c r="A1302" s="1"/>
    </row>
    <row r="1303" spans="1:1" ht="13">
      <c r="A1303" s="1"/>
    </row>
    <row r="1304" spans="1:1" ht="13">
      <c r="A1304" s="1"/>
    </row>
    <row r="1305" spans="1:1" ht="13">
      <c r="A1305" s="1"/>
    </row>
    <row r="1306" spans="1:1" ht="13">
      <c r="A1306" s="1"/>
    </row>
    <row r="1307" spans="1:1" ht="13">
      <c r="A1307" s="1"/>
    </row>
    <row r="1308" spans="1:1" ht="13">
      <c r="A1308" s="1"/>
    </row>
    <row r="1309" spans="1:1" ht="13">
      <c r="A1309" s="1"/>
    </row>
    <row r="1310" spans="1:1" ht="13">
      <c r="A1310" s="1"/>
    </row>
    <row r="1311" spans="1:1" ht="13">
      <c r="A1311" s="1"/>
    </row>
    <row r="1312" spans="1:1" ht="13">
      <c r="A1312" s="1"/>
    </row>
    <row r="1313" spans="1:1" ht="13">
      <c r="A1313" s="1"/>
    </row>
    <row r="1314" spans="1:1" ht="13">
      <c r="A1314" s="1"/>
    </row>
    <row r="1315" spans="1:1" ht="13">
      <c r="A1315" s="1"/>
    </row>
    <row r="1316" spans="1:1" ht="13">
      <c r="A1316" s="1"/>
    </row>
    <row r="1317" spans="1:1" ht="13">
      <c r="A1317" s="1"/>
    </row>
    <row r="1318" spans="1:1" ht="13">
      <c r="A1318" s="1"/>
    </row>
    <row r="1319" spans="1:1" ht="13">
      <c r="A1319" s="1"/>
    </row>
    <row r="1320" spans="1:1" ht="13">
      <c r="A1320" s="1"/>
    </row>
    <row r="1321" spans="1:1" ht="13">
      <c r="A1321" s="1"/>
    </row>
    <row r="1322" spans="1:1" ht="13">
      <c r="A1322" s="1"/>
    </row>
    <row r="1323" spans="1:1" ht="13">
      <c r="A1323" s="1"/>
    </row>
    <row r="1324" spans="1:1" ht="13">
      <c r="A1324" s="1"/>
    </row>
    <row r="1325" spans="1:1" ht="13">
      <c r="A1325" s="1"/>
    </row>
    <row r="1326" spans="1:1" ht="13">
      <c r="A1326" s="1"/>
    </row>
    <row r="1327" spans="1:1" ht="13">
      <c r="A1327" s="1"/>
    </row>
    <row r="1328" spans="1:1" ht="13">
      <c r="A1328" s="1"/>
    </row>
    <row r="1329" spans="1:1" ht="13">
      <c r="A1329" s="1"/>
    </row>
    <row r="1330" spans="1:1" ht="13">
      <c r="A1330" s="1"/>
    </row>
    <row r="1331" spans="1:1" ht="13">
      <c r="A1331" s="1"/>
    </row>
    <row r="1332" spans="1:1" ht="13">
      <c r="A1332" s="1"/>
    </row>
    <row r="1333" spans="1:1" ht="13">
      <c r="A1333" s="1"/>
    </row>
    <row r="1334" spans="1:1" ht="13">
      <c r="A1334" s="1"/>
    </row>
    <row r="1335" spans="1:1" ht="13">
      <c r="A1335" s="1"/>
    </row>
    <row r="1336" spans="1:1" ht="13">
      <c r="A1336" s="1"/>
    </row>
    <row r="1337" spans="1:1" ht="13">
      <c r="A1337" s="1"/>
    </row>
    <row r="1338" spans="1:1" ht="13">
      <c r="A1338" s="1"/>
    </row>
    <row r="1339" spans="1:1" ht="13">
      <c r="A1339" s="1"/>
    </row>
    <row r="1340" spans="1:1" ht="13">
      <c r="A1340" s="1"/>
    </row>
    <row r="1341" spans="1:1" ht="13">
      <c r="A1341" s="1"/>
    </row>
    <row r="1342" spans="1:1" ht="13">
      <c r="A1342" s="1"/>
    </row>
    <row r="1343" spans="1:1" ht="13">
      <c r="A1343" s="1"/>
    </row>
    <row r="1344" spans="1:1" ht="13">
      <c r="A1344" s="1"/>
    </row>
    <row r="1345" spans="1:1" ht="13">
      <c r="A1345" s="1"/>
    </row>
    <row r="1346" spans="1:1" ht="13">
      <c r="A1346" s="1"/>
    </row>
    <row r="1347" spans="1:1" ht="13">
      <c r="A1347" s="1"/>
    </row>
    <row r="1348" spans="1:1" ht="13">
      <c r="A1348" s="1"/>
    </row>
    <row r="1349" spans="1:1" ht="13">
      <c r="A1349" s="1"/>
    </row>
    <row r="1350" spans="1:1" ht="13">
      <c r="A1350" s="1"/>
    </row>
    <row r="1351" spans="1:1" ht="13">
      <c r="A1351" s="1"/>
    </row>
    <row r="1352" spans="1:1" ht="13">
      <c r="A1352" s="1"/>
    </row>
    <row r="1353" spans="1:1" ht="13">
      <c r="A1353" s="1"/>
    </row>
    <row r="1354" spans="1:1" ht="13">
      <c r="A1354" s="1"/>
    </row>
    <row r="1355" spans="1:1" ht="13">
      <c r="A1355" s="1"/>
    </row>
    <row r="1356" spans="1:1" ht="13">
      <c r="A1356" s="1"/>
    </row>
    <row r="1357" spans="1:1" ht="13">
      <c r="A1357" s="1"/>
    </row>
    <row r="1358" spans="1:1" ht="13">
      <c r="A1358" s="1"/>
    </row>
    <row r="1359" spans="1:1" ht="13">
      <c r="A1359" s="1"/>
    </row>
    <row r="1360" spans="1:1" ht="13">
      <c r="A1360" s="1"/>
    </row>
    <row r="1361" spans="1:1" ht="13">
      <c r="A1361" s="1"/>
    </row>
    <row r="1362" spans="1:1" ht="13">
      <c r="A1362" s="1"/>
    </row>
    <row r="1363" spans="1:1" ht="13">
      <c r="A1363" s="1"/>
    </row>
    <row r="1364" spans="1:1" ht="13">
      <c r="A1364" s="1"/>
    </row>
    <row r="1365" spans="1:1" ht="13">
      <c r="A1365" s="1"/>
    </row>
    <row r="1366" spans="1:1" ht="13">
      <c r="A1366" s="1"/>
    </row>
    <row r="1367" spans="1:1" ht="13">
      <c r="A1367" s="1"/>
    </row>
    <row r="1368" spans="1:1" ht="13">
      <c r="A1368" s="1"/>
    </row>
    <row r="1369" spans="1:1" ht="13">
      <c r="A1369" s="1"/>
    </row>
    <row r="1370" spans="1:1" ht="13">
      <c r="A1370" s="1"/>
    </row>
    <row r="1371" spans="1:1" ht="13">
      <c r="A1371" s="1"/>
    </row>
    <row r="1372" spans="1:1" ht="13">
      <c r="A1372" s="1"/>
    </row>
    <row r="1373" spans="1:1" ht="13">
      <c r="A1373" s="1"/>
    </row>
    <row r="1374" spans="1:1" ht="13">
      <c r="A1374" s="1"/>
    </row>
    <row r="1375" spans="1:1" ht="13">
      <c r="A1375" s="1"/>
    </row>
    <row r="1376" spans="1:1" ht="13">
      <c r="A1376" s="1"/>
    </row>
    <row r="1377" spans="1:1" ht="13">
      <c r="A1377" s="1"/>
    </row>
    <row r="1378" spans="1:1" ht="13">
      <c r="A1378" s="1"/>
    </row>
    <row r="1379" spans="1:1" ht="13">
      <c r="A1379" s="1"/>
    </row>
    <row r="1380" spans="1:1" ht="13">
      <c r="A1380" s="1"/>
    </row>
    <row r="1381" spans="1:1" ht="13">
      <c r="A1381" s="1"/>
    </row>
    <row r="1382" spans="1:1" ht="13">
      <c r="A1382" s="1"/>
    </row>
    <row r="1383" spans="1:1" ht="13">
      <c r="A1383" s="1"/>
    </row>
    <row r="1384" spans="1:1" ht="13">
      <c r="A1384" s="1"/>
    </row>
    <row r="1385" spans="1:1" ht="13">
      <c r="A1385" s="1"/>
    </row>
    <row r="1386" spans="1:1" ht="13">
      <c r="A1386" s="1"/>
    </row>
    <row r="1387" spans="1:1" ht="13">
      <c r="A1387" s="1"/>
    </row>
    <row r="1388" spans="1:1" ht="13">
      <c r="A1388" s="1"/>
    </row>
    <row r="1389" spans="1:1" ht="13">
      <c r="A1389" s="1"/>
    </row>
    <row r="1390" spans="1:1" ht="13">
      <c r="A1390" s="1"/>
    </row>
    <row r="1391" spans="1:1" ht="13">
      <c r="A1391" s="1"/>
    </row>
    <row r="1392" spans="1:1" ht="13">
      <c r="A1392" s="1"/>
    </row>
    <row r="1393" spans="1:1" ht="13">
      <c r="A1393" s="1"/>
    </row>
    <row r="1394" spans="1:1" ht="13">
      <c r="A1394" s="1"/>
    </row>
    <row r="1395" spans="1:1" ht="13">
      <c r="A1395" s="1"/>
    </row>
    <row r="1396" spans="1:1" ht="13">
      <c r="A1396" s="1"/>
    </row>
    <row r="1397" spans="1:1" ht="13">
      <c r="A1397" s="1"/>
    </row>
    <row r="1398" spans="1:1" ht="13">
      <c r="A1398" s="1"/>
    </row>
    <row r="1399" spans="1:1" ht="13">
      <c r="A1399" s="1"/>
    </row>
    <row r="1400" spans="1:1" ht="13">
      <c r="A1400" s="1"/>
    </row>
    <row r="1401" spans="1:1" ht="13">
      <c r="A1401" s="1"/>
    </row>
    <row r="1402" spans="1:1" ht="13">
      <c r="A1402" s="1"/>
    </row>
    <row r="1403" spans="1:1" ht="13">
      <c r="A1403" s="1"/>
    </row>
    <row r="1404" spans="1:1" ht="13">
      <c r="A1404" s="1"/>
    </row>
    <row r="1405" spans="1:1" ht="13">
      <c r="A1405" s="1"/>
    </row>
    <row r="1406" spans="1:1" ht="13">
      <c r="A1406" s="1"/>
    </row>
    <row r="1407" spans="1:1" ht="13">
      <c r="A1407" s="1"/>
    </row>
    <row r="1408" spans="1:1" ht="13">
      <c r="A1408" s="1"/>
    </row>
    <row r="1409" spans="1:1" ht="13">
      <c r="A1409" s="1"/>
    </row>
    <row r="1410" spans="1:1" ht="13">
      <c r="A1410" s="1"/>
    </row>
    <row r="1411" spans="1:1" ht="13">
      <c r="A1411" s="1"/>
    </row>
    <row r="1412" spans="1:1" ht="13">
      <c r="A1412" s="1"/>
    </row>
    <row r="1413" spans="1:1" ht="13">
      <c r="A1413" s="1"/>
    </row>
    <row r="1414" spans="1:1" ht="13">
      <c r="A1414" s="1"/>
    </row>
    <row r="1415" spans="1:1" ht="13">
      <c r="A1415" s="1"/>
    </row>
    <row r="1416" spans="1:1" ht="13">
      <c r="A1416" s="1"/>
    </row>
    <row r="1417" spans="1:1" ht="13">
      <c r="A1417" s="1"/>
    </row>
    <row r="1418" spans="1:1" ht="13">
      <c r="A1418" s="1"/>
    </row>
    <row r="1419" spans="1:1" ht="13">
      <c r="A1419" s="1"/>
    </row>
    <row r="1420" spans="1:1" ht="13">
      <c r="A1420" s="1"/>
    </row>
    <row r="1421" spans="1:1" ht="13">
      <c r="A1421" s="1"/>
    </row>
    <row r="1422" spans="1:1" ht="13">
      <c r="A1422" s="1"/>
    </row>
    <row r="1423" spans="1:1" ht="13">
      <c r="A1423" s="1"/>
    </row>
    <row r="1424" spans="1:1" ht="13">
      <c r="A1424" s="1"/>
    </row>
    <row r="1425" spans="1:1" ht="13">
      <c r="A1425" s="1"/>
    </row>
    <row r="1426" spans="1:1" ht="13">
      <c r="A1426" s="1"/>
    </row>
    <row r="1427" spans="1:1" ht="13">
      <c r="A1427" s="1"/>
    </row>
    <row r="1428" spans="1:1" ht="13">
      <c r="A1428" s="1"/>
    </row>
    <row r="1429" spans="1:1" ht="13">
      <c r="A1429" s="1"/>
    </row>
    <row r="1430" spans="1:1" ht="13">
      <c r="A1430" s="1"/>
    </row>
    <row r="1431" spans="1:1" ht="13">
      <c r="A1431" s="1"/>
    </row>
    <row r="1432" spans="1:1" ht="13">
      <c r="A1432" s="1"/>
    </row>
    <row r="1433" spans="1:1" ht="13">
      <c r="A1433" s="1"/>
    </row>
    <row r="1434" spans="1:1" ht="13">
      <c r="A1434" s="1"/>
    </row>
    <row r="1435" spans="1:1" ht="13">
      <c r="A1435" s="1"/>
    </row>
    <row r="1436" spans="1:1" ht="13">
      <c r="A1436" s="1"/>
    </row>
    <row r="1437" spans="1:1" ht="13">
      <c r="A1437" s="1"/>
    </row>
    <row r="1438" spans="1:1" ht="13">
      <c r="A1438" s="1"/>
    </row>
    <row r="1439" spans="1:1" ht="13">
      <c r="A1439" s="1"/>
    </row>
    <row r="1440" spans="1:1" ht="13">
      <c r="A1440" s="1"/>
    </row>
    <row r="1441" spans="1:1" ht="13">
      <c r="A1441" s="1"/>
    </row>
    <row r="1442" spans="1:1" ht="13">
      <c r="A1442" s="1"/>
    </row>
    <row r="1443" spans="1:1" ht="13">
      <c r="A1443" s="1"/>
    </row>
    <row r="1444" spans="1:1" ht="13">
      <c r="A1444" s="1"/>
    </row>
    <row r="1445" spans="1:1" ht="13">
      <c r="A1445" s="1"/>
    </row>
    <row r="1446" spans="1:1" ht="13">
      <c r="A1446" s="1"/>
    </row>
    <row r="1447" spans="1:1" ht="13">
      <c r="A1447" s="1"/>
    </row>
    <row r="1448" spans="1:1" ht="13">
      <c r="A1448" s="1"/>
    </row>
    <row r="1449" spans="1:1" ht="13">
      <c r="A1449" s="1"/>
    </row>
    <row r="1450" spans="1:1" ht="13">
      <c r="A1450" s="1"/>
    </row>
    <row r="1451" spans="1:1" ht="13">
      <c r="A1451" s="1"/>
    </row>
    <row r="1452" spans="1:1" ht="13">
      <c r="A1452" s="1"/>
    </row>
    <row r="1453" spans="1:1" ht="13">
      <c r="A1453" s="1"/>
    </row>
    <row r="1454" spans="1:1" ht="13">
      <c r="A1454" s="1"/>
    </row>
    <row r="1455" spans="1:1" ht="13">
      <c r="A1455" s="1"/>
    </row>
    <row r="1456" spans="1:1" ht="13">
      <c r="A1456" s="1"/>
    </row>
    <row r="1457" spans="1:1" ht="13">
      <c r="A1457" s="1"/>
    </row>
    <row r="1458" spans="1:1" ht="13">
      <c r="A1458" s="1"/>
    </row>
    <row r="1459" spans="1:1" ht="13">
      <c r="A1459" s="1"/>
    </row>
    <row r="1460" spans="1:1" ht="13">
      <c r="A1460" s="1"/>
    </row>
    <row r="1461" spans="1:1" ht="13">
      <c r="A1461" s="1"/>
    </row>
    <row r="1462" spans="1:1" ht="13">
      <c r="A1462" s="1"/>
    </row>
    <row r="1463" spans="1:1" ht="13">
      <c r="A1463" s="1"/>
    </row>
    <row r="1464" spans="1:1" ht="13">
      <c r="A1464" s="1"/>
    </row>
    <row r="1465" spans="1:1" ht="13">
      <c r="A1465" s="1"/>
    </row>
    <row r="1466" spans="1:1" ht="13">
      <c r="A1466" s="1"/>
    </row>
    <row r="1467" spans="1:1" ht="13">
      <c r="A1467" s="1"/>
    </row>
    <row r="1468" spans="1:1" ht="13">
      <c r="A1468" s="1"/>
    </row>
    <row r="1469" spans="1:1" ht="13">
      <c r="A1469" s="1"/>
    </row>
    <row r="1470" spans="1:1" ht="13">
      <c r="A1470" s="1"/>
    </row>
    <row r="1471" spans="1:1" ht="13">
      <c r="A1471" s="1"/>
    </row>
    <row r="1472" spans="1:1" ht="13">
      <c r="A1472" s="1"/>
    </row>
    <row r="1473" spans="1:1" ht="13">
      <c r="A1473" s="1"/>
    </row>
    <row r="1474" spans="1:1" ht="13">
      <c r="A1474" s="1"/>
    </row>
    <row r="1475" spans="1:1" ht="13">
      <c r="A1475" s="1"/>
    </row>
    <row r="1476" spans="1:1" ht="13">
      <c r="A1476" s="1"/>
    </row>
    <row r="1477" spans="1:1" ht="13">
      <c r="A1477" s="1"/>
    </row>
    <row r="1478" spans="1:1" ht="13">
      <c r="A1478" s="1"/>
    </row>
    <row r="1479" spans="1:1" ht="13">
      <c r="A1479" s="1"/>
    </row>
    <row r="1480" spans="1:1" ht="13">
      <c r="A1480" s="1"/>
    </row>
    <row r="1481" spans="1:1" ht="13">
      <c r="A1481" s="1"/>
    </row>
    <row r="1482" spans="1:1" ht="13">
      <c r="A1482" s="1"/>
    </row>
    <row r="1483" spans="1:1" ht="13">
      <c r="A1483" s="1"/>
    </row>
    <row r="1484" spans="1:1" ht="13">
      <c r="A1484" s="1"/>
    </row>
    <row r="1485" spans="1:1" ht="13">
      <c r="A1485" s="1"/>
    </row>
    <row r="1486" spans="1:1" ht="13">
      <c r="A1486" s="1"/>
    </row>
    <row r="1487" spans="1:1" ht="13">
      <c r="A1487" s="1"/>
    </row>
    <row r="1488" spans="1:1" ht="13">
      <c r="A1488" s="1"/>
    </row>
    <row r="1489" spans="1:1" ht="13">
      <c r="A1489" s="1"/>
    </row>
    <row r="1490" spans="1:1" ht="13">
      <c r="A1490" s="1"/>
    </row>
    <row r="1491" spans="1:1" ht="13">
      <c r="A1491" s="1"/>
    </row>
    <row r="1492" spans="1:1" ht="13">
      <c r="A1492" s="1"/>
    </row>
    <row r="1493" spans="1:1" ht="13">
      <c r="A1493" s="1"/>
    </row>
    <row r="1494" spans="1:1" ht="13">
      <c r="A1494" s="1"/>
    </row>
    <row r="1495" spans="1:1" ht="13">
      <c r="A1495" s="1"/>
    </row>
    <row r="1496" spans="1:1" ht="13">
      <c r="A1496" s="1"/>
    </row>
    <row r="1497" spans="1:1" ht="13">
      <c r="A1497" s="1"/>
    </row>
    <row r="1498" spans="1:1" ht="13">
      <c r="A1498" s="1"/>
    </row>
    <row r="1499" spans="1:1" ht="13">
      <c r="A1499" s="1"/>
    </row>
    <row r="1500" spans="1:1" ht="13">
      <c r="A1500" s="1"/>
    </row>
    <row r="1501" spans="1:1" ht="13">
      <c r="A1501" s="1"/>
    </row>
    <row r="1502" spans="1:1" ht="13">
      <c r="A1502" s="1"/>
    </row>
    <row r="1503" spans="1:1" ht="13">
      <c r="A1503" s="1"/>
    </row>
    <row r="1504" spans="1:1" ht="13">
      <c r="A1504" s="1"/>
    </row>
    <row r="1505" spans="1:1" ht="13">
      <c r="A1505" s="1"/>
    </row>
    <row r="1506" spans="1:1" ht="13">
      <c r="A1506" s="1"/>
    </row>
    <row r="1507" spans="1:1" ht="13">
      <c r="A1507" s="1"/>
    </row>
    <row r="1508" spans="1:1" ht="13">
      <c r="A1508" s="1"/>
    </row>
    <row r="1509" spans="1:1" ht="13">
      <c r="A1509" s="1"/>
    </row>
    <row r="1510" spans="1:1" ht="13">
      <c r="A1510" s="1"/>
    </row>
    <row r="1511" spans="1:1" ht="13">
      <c r="A1511" s="1"/>
    </row>
    <row r="1512" spans="1:1" ht="13">
      <c r="A1512" s="1"/>
    </row>
    <row r="1513" spans="1:1" ht="13">
      <c r="A1513" s="1"/>
    </row>
    <row r="1514" spans="1:1" ht="13">
      <c r="A1514" s="1"/>
    </row>
    <row r="1515" spans="1:1" ht="13">
      <c r="A1515" s="1"/>
    </row>
    <row r="1516" spans="1:1" ht="13">
      <c r="A1516" s="1"/>
    </row>
    <row r="1517" spans="1:1" ht="13">
      <c r="A1517" s="1"/>
    </row>
    <row r="1518" spans="1:1" ht="13">
      <c r="A1518" s="1"/>
    </row>
    <row r="1519" spans="1:1" ht="13">
      <c r="A1519" s="1"/>
    </row>
    <row r="1520" spans="1:1" ht="13">
      <c r="A1520" s="1"/>
    </row>
    <row r="1521" spans="1:1" ht="13">
      <c r="A1521" s="1"/>
    </row>
    <row r="1522" spans="1:1" ht="13">
      <c r="A1522" s="1"/>
    </row>
    <row r="1523" spans="1:1" ht="13">
      <c r="A1523" s="1"/>
    </row>
    <row r="1524" spans="1:1" ht="13">
      <c r="A1524" s="1"/>
    </row>
    <row r="1525" spans="1:1" ht="13">
      <c r="A1525" s="1"/>
    </row>
    <row r="1526" spans="1:1" ht="13">
      <c r="A1526" s="1"/>
    </row>
    <row r="1527" spans="1:1" ht="13">
      <c r="A1527" s="1"/>
    </row>
    <row r="1528" spans="1:1" ht="13">
      <c r="A1528" s="1"/>
    </row>
    <row r="1529" spans="1:1" ht="13">
      <c r="A1529" s="1"/>
    </row>
    <row r="1530" spans="1:1" ht="13">
      <c r="A1530" s="1"/>
    </row>
    <row r="1531" spans="1:1" ht="13">
      <c r="A1531" s="1"/>
    </row>
    <row r="1532" spans="1:1" ht="13">
      <c r="A1532" s="1"/>
    </row>
    <row r="1533" spans="1:1" ht="13">
      <c r="A1533" s="1"/>
    </row>
    <row r="1534" spans="1:1" ht="13">
      <c r="A1534" s="1"/>
    </row>
    <row r="1535" spans="1:1" ht="13">
      <c r="A1535" s="1"/>
    </row>
    <row r="1536" spans="1:1" ht="13">
      <c r="A1536" s="1"/>
    </row>
    <row r="1537" spans="1:1" ht="13">
      <c r="A1537" s="1"/>
    </row>
    <row r="1538" spans="1:1" ht="13">
      <c r="A1538" s="1"/>
    </row>
    <row r="1539" spans="1:1" ht="13">
      <c r="A1539" s="1"/>
    </row>
    <row r="1540" spans="1:1" ht="13">
      <c r="A1540" s="1"/>
    </row>
    <row r="1541" spans="1:1" ht="13">
      <c r="A1541" s="1"/>
    </row>
    <row r="1542" spans="1:1" ht="13">
      <c r="A1542" s="1"/>
    </row>
    <row r="1543" spans="1:1" ht="13">
      <c r="A1543" s="1"/>
    </row>
    <row r="1544" spans="1:1" ht="13">
      <c r="A1544" s="1"/>
    </row>
    <row r="1545" spans="1:1" ht="13">
      <c r="A1545" s="1"/>
    </row>
    <row r="1546" spans="1:1" ht="13">
      <c r="A1546" s="1"/>
    </row>
    <row r="1547" spans="1:1" ht="13">
      <c r="A1547" s="1"/>
    </row>
    <row r="1548" spans="1:1" ht="13">
      <c r="A1548" s="1"/>
    </row>
    <row r="1549" spans="1:1" ht="13">
      <c r="A1549" s="1"/>
    </row>
    <row r="1550" spans="1:1" ht="13">
      <c r="A1550" s="1"/>
    </row>
    <row r="1551" spans="1:1" ht="13">
      <c r="A1551" s="1"/>
    </row>
    <row r="1552" spans="1:1" ht="13">
      <c r="A1552" s="1"/>
    </row>
    <row r="1553" spans="1:1" ht="13">
      <c r="A1553" s="1"/>
    </row>
    <row r="1554" spans="1:1" ht="13">
      <c r="A1554" s="1"/>
    </row>
    <row r="1555" spans="1:1" ht="13">
      <c r="A1555" s="1"/>
    </row>
    <row r="1556" spans="1:1" ht="13">
      <c r="A1556" s="1"/>
    </row>
    <row r="1557" spans="1:1" ht="13">
      <c r="A1557" s="1"/>
    </row>
    <row r="1558" spans="1:1" ht="13">
      <c r="A1558" s="1"/>
    </row>
    <row r="1559" spans="1:1" ht="13">
      <c r="A1559" s="1"/>
    </row>
    <row r="1560" spans="1:1" ht="13">
      <c r="A1560" s="1"/>
    </row>
    <row r="1561" spans="1:1" ht="13">
      <c r="A1561" s="1"/>
    </row>
    <row r="1562" spans="1:1" ht="13">
      <c r="A1562" s="1"/>
    </row>
    <row r="1563" spans="1:1" ht="13">
      <c r="A1563" s="1"/>
    </row>
    <row r="1564" spans="1:1" ht="13">
      <c r="A1564" s="1"/>
    </row>
    <row r="1565" spans="1:1" ht="13">
      <c r="A1565" s="1"/>
    </row>
    <row r="1566" spans="1:1" ht="13">
      <c r="A1566" s="1"/>
    </row>
    <row r="1567" spans="1:1" ht="13">
      <c r="A1567" s="1"/>
    </row>
    <row r="1568" spans="1:1" ht="13">
      <c r="A1568" s="1"/>
    </row>
    <row r="1569" spans="1:1" ht="13">
      <c r="A1569" s="1"/>
    </row>
    <row r="1570" spans="1:1" ht="13">
      <c r="A1570" s="1"/>
    </row>
    <row r="1571" spans="1:1" ht="13">
      <c r="A1571" s="1"/>
    </row>
    <row r="1572" spans="1:1" ht="13">
      <c r="A1572" s="1"/>
    </row>
    <row r="1573" spans="1:1" ht="13">
      <c r="A1573" s="1"/>
    </row>
    <row r="1574" spans="1:1" ht="13">
      <c r="A1574" s="1"/>
    </row>
    <row r="1575" spans="1:1" ht="13">
      <c r="A1575" s="1"/>
    </row>
    <row r="1576" spans="1:1" ht="13">
      <c r="A1576" s="1"/>
    </row>
    <row r="1577" spans="1:1" ht="13">
      <c r="A1577" s="1"/>
    </row>
    <row r="1578" spans="1:1" ht="13">
      <c r="A1578" s="1"/>
    </row>
    <row r="1579" spans="1:1" ht="13">
      <c r="A1579" s="1"/>
    </row>
    <row r="1580" spans="1:1" ht="13">
      <c r="A1580" s="1"/>
    </row>
    <row r="1581" spans="1:1" ht="13">
      <c r="A1581" s="1"/>
    </row>
    <row r="1582" spans="1:1" ht="13">
      <c r="A1582" s="1"/>
    </row>
    <row r="1583" spans="1:1" ht="13">
      <c r="A1583" s="1"/>
    </row>
    <row r="1584" spans="1:1" ht="13">
      <c r="A1584" s="1"/>
    </row>
    <row r="1585" spans="1:1" ht="13">
      <c r="A1585" s="1"/>
    </row>
    <row r="1586" spans="1:1" ht="13">
      <c r="A1586" s="1"/>
    </row>
    <row r="1587" spans="1:1" ht="13">
      <c r="A1587" s="1"/>
    </row>
    <row r="1588" spans="1:1" ht="13">
      <c r="A1588" s="1"/>
    </row>
    <row r="1589" spans="1:1" ht="13">
      <c r="A1589" s="1"/>
    </row>
    <row r="1590" spans="1:1" ht="13">
      <c r="A1590" s="1"/>
    </row>
    <row r="1591" spans="1:1" ht="13">
      <c r="A1591" s="1"/>
    </row>
    <row r="1592" spans="1:1" ht="13">
      <c r="A1592" s="1"/>
    </row>
    <row r="1593" spans="1:1" ht="13">
      <c r="A1593" s="1"/>
    </row>
    <row r="1594" spans="1:1" ht="13">
      <c r="A1594" s="1"/>
    </row>
    <row r="1595" spans="1:1" ht="13">
      <c r="A1595" s="1"/>
    </row>
    <row r="1596" spans="1:1" ht="13">
      <c r="A1596" s="1"/>
    </row>
    <row r="1597" spans="1:1" ht="13">
      <c r="A1597" s="1"/>
    </row>
    <row r="1598" spans="1:1" ht="13">
      <c r="A1598" s="1"/>
    </row>
    <row r="1599" spans="1:1" ht="13">
      <c r="A1599" s="1"/>
    </row>
    <row r="1600" spans="1:1" ht="13">
      <c r="A1600" s="1"/>
    </row>
    <row r="1601" spans="1:1" ht="13">
      <c r="A1601" s="1"/>
    </row>
    <row r="1602" spans="1:1" ht="13">
      <c r="A1602" s="1"/>
    </row>
    <row r="1603" spans="1:1" ht="13">
      <c r="A1603" s="1"/>
    </row>
    <row r="1604" spans="1:1" ht="13">
      <c r="A1604" s="1"/>
    </row>
    <row r="1605" spans="1:1" ht="13">
      <c r="A1605" s="1"/>
    </row>
    <row r="1606" spans="1:1" ht="13">
      <c r="A1606" s="1"/>
    </row>
    <row r="1607" spans="1:1" ht="13">
      <c r="A1607" s="1"/>
    </row>
    <row r="1608" spans="1:1" ht="13">
      <c r="A1608" s="1"/>
    </row>
    <row r="1609" spans="1:1" ht="13">
      <c r="A1609" s="1"/>
    </row>
    <row r="1610" spans="1:1" ht="13">
      <c r="A1610" s="1"/>
    </row>
    <row r="1611" spans="1:1" ht="13">
      <c r="A1611" s="1"/>
    </row>
    <row r="1612" spans="1:1" ht="13">
      <c r="A1612" s="1"/>
    </row>
    <row r="1613" spans="1:1" ht="13">
      <c r="A1613" s="1"/>
    </row>
    <row r="1614" spans="1:1" ht="13">
      <c r="A1614" s="1"/>
    </row>
    <row r="1615" spans="1:1" ht="13">
      <c r="A1615" s="1"/>
    </row>
    <row r="1616" spans="1:1" ht="13">
      <c r="A1616" s="1"/>
    </row>
    <row r="1617" spans="1:1" ht="13">
      <c r="A1617" s="1"/>
    </row>
    <row r="1618" spans="1:1" ht="13">
      <c r="A1618" s="1"/>
    </row>
    <row r="1619" spans="1:1" ht="13">
      <c r="A1619" s="1"/>
    </row>
    <row r="1620" spans="1:1" ht="13">
      <c r="A1620" s="1"/>
    </row>
    <row r="1621" spans="1:1" ht="13">
      <c r="A1621" s="1"/>
    </row>
    <row r="1622" spans="1:1" ht="13">
      <c r="A1622" s="1"/>
    </row>
    <row r="1623" spans="1:1" ht="13">
      <c r="A1623" s="1"/>
    </row>
    <row r="1624" spans="1:1" ht="13">
      <c r="A1624" s="1"/>
    </row>
    <row r="1625" spans="1:1" ht="13">
      <c r="A1625" s="1"/>
    </row>
    <row r="1626" spans="1:1" ht="13">
      <c r="A1626" s="1"/>
    </row>
    <row r="1627" spans="1:1" ht="13">
      <c r="A1627" s="1"/>
    </row>
    <row r="1628" spans="1:1" ht="13">
      <c r="A1628" s="1"/>
    </row>
    <row r="1629" spans="1:1" ht="13">
      <c r="A1629" s="1"/>
    </row>
    <row r="1630" spans="1:1" ht="13">
      <c r="A1630" s="1"/>
    </row>
    <row r="1631" spans="1:1" ht="13">
      <c r="A1631" s="1"/>
    </row>
    <row r="1632" spans="1:1" ht="13">
      <c r="A1632" s="1"/>
    </row>
    <row r="1633" spans="1:1" ht="13">
      <c r="A1633" s="1"/>
    </row>
    <row r="1634" spans="1:1" ht="13">
      <c r="A1634" s="1"/>
    </row>
    <row r="1635" spans="1:1" ht="13">
      <c r="A1635" s="1"/>
    </row>
    <row r="1636" spans="1:1" ht="13">
      <c r="A1636" s="1"/>
    </row>
    <row r="1637" spans="1:1" ht="13">
      <c r="A1637" s="1"/>
    </row>
    <row r="1638" spans="1:1" ht="13">
      <c r="A1638" s="1"/>
    </row>
    <row r="1639" spans="1:1" ht="13">
      <c r="A1639" s="1"/>
    </row>
    <row r="1640" spans="1:1" ht="13">
      <c r="A1640" s="1"/>
    </row>
    <row r="1641" spans="1:1" ht="13">
      <c r="A1641" s="1"/>
    </row>
    <row r="1642" spans="1:1" ht="13">
      <c r="A1642" s="1"/>
    </row>
    <row r="1643" spans="1:1" ht="13">
      <c r="A1643" s="1"/>
    </row>
    <row r="1644" spans="1:1" ht="13">
      <c r="A1644" s="1"/>
    </row>
    <row r="1645" spans="1:1" ht="13">
      <c r="A1645" s="1"/>
    </row>
    <row r="1646" spans="1:1" ht="13">
      <c r="A1646" s="1"/>
    </row>
    <row r="1647" spans="1:1" ht="13">
      <c r="A1647" s="1"/>
    </row>
    <row r="1648" spans="1:1" ht="13">
      <c r="A1648" s="1"/>
    </row>
    <row r="1649" spans="1:1" ht="13">
      <c r="A1649" s="1"/>
    </row>
    <row r="1650" spans="1:1" ht="13">
      <c r="A1650" s="1"/>
    </row>
    <row r="1651" spans="1:1" ht="13">
      <c r="A1651" s="1"/>
    </row>
    <row r="1652" spans="1:1" ht="13">
      <c r="A1652" s="1"/>
    </row>
    <row r="1653" spans="1:1" ht="13">
      <c r="A1653" s="1"/>
    </row>
    <row r="1654" spans="1:1" ht="13">
      <c r="A1654" s="1"/>
    </row>
    <row r="1655" spans="1:1" ht="13">
      <c r="A1655" s="1"/>
    </row>
    <row r="1656" spans="1:1" ht="13">
      <c r="A1656" s="1"/>
    </row>
    <row r="1657" spans="1:1" ht="13">
      <c r="A1657" s="1"/>
    </row>
    <row r="1658" spans="1:1" ht="13">
      <c r="A1658" s="1"/>
    </row>
    <row r="1659" spans="1:1" ht="13">
      <c r="A1659" s="1"/>
    </row>
    <row r="1660" spans="1:1" ht="13">
      <c r="A1660" s="1"/>
    </row>
    <row r="1661" spans="1:1" ht="13">
      <c r="A1661" s="1"/>
    </row>
    <row r="1662" spans="1:1" ht="13">
      <c r="A1662" s="1"/>
    </row>
    <row r="1663" spans="1:1" ht="13">
      <c r="A1663" s="1"/>
    </row>
    <row r="1664" spans="1:1" ht="13">
      <c r="A1664" s="1"/>
    </row>
    <row r="1665" spans="1:1" ht="13">
      <c r="A1665" s="1"/>
    </row>
    <row r="1666" spans="1:1" ht="13">
      <c r="A1666" s="1"/>
    </row>
    <row r="1667" spans="1:1" ht="13">
      <c r="A1667" s="1"/>
    </row>
    <row r="1668" spans="1:1" ht="13">
      <c r="A1668" s="1"/>
    </row>
    <row r="1669" spans="1:1" ht="13">
      <c r="A1669" s="1"/>
    </row>
    <row r="1670" spans="1:1" ht="13">
      <c r="A1670" s="1"/>
    </row>
    <row r="1671" spans="1:1" ht="13">
      <c r="A1671" s="1"/>
    </row>
    <row r="1672" spans="1:1" ht="13">
      <c r="A1672" s="1"/>
    </row>
    <row r="1673" spans="1:1" ht="13">
      <c r="A1673" s="1"/>
    </row>
    <row r="1674" spans="1:1" ht="13">
      <c r="A1674" s="1"/>
    </row>
    <row r="1675" spans="1:1" ht="13">
      <c r="A1675" s="1"/>
    </row>
    <row r="1676" spans="1:1" ht="13">
      <c r="A1676" s="1"/>
    </row>
    <row r="1677" spans="1:1" ht="13">
      <c r="A1677" s="1"/>
    </row>
    <row r="1678" spans="1:1" ht="13">
      <c r="A1678" s="1"/>
    </row>
    <row r="1679" spans="1:1" ht="13">
      <c r="A1679" s="1"/>
    </row>
    <row r="1680" spans="1:1" ht="13">
      <c r="A1680" s="1"/>
    </row>
    <row r="1681" spans="1:1" ht="13">
      <c r="A1681" s="1"/>
    </row>
    <row r="1682" spans="1:1" ht="13">
      <c r="A1682" s="1"/>
    </row>
    <row r="1683" spans="1:1" ht="13">
      <c r="A1683" s="1"/>
    </row>
    <row r="1684" spans="1:1" ht="13">
      <c r="A1684" s="1"/>
    </row>
    <row r="1685" spans="1:1" ht="13">
      <c r="A1685" s="1"/>
    </row>
    <row r="1686" spans="1:1" ht="13">
      <c r="A1686" s="1"/>
    </row>
    <row r="1687" spans="1:1" ht="13">
      <c r="A1687" s="1"/>
    </row>
    <row r="1688" spans="1:1" ht="13">
      <c r="A1688" s="1"/>
    </row>
    <row r="1689" spans="1:1" ht="13">
      <c r="A1689" s="1"/>
    </row>
    <row r="1690" spans="1:1" ht="13">
      <c r="A1690" s="1"/>
    </row>
    <row r="1691" spans="1:1" ht="13">
      <c r="A1691" s="1"/>
    </row>
    <row r="1692" spans="1:1" ht="13">
      <c r="A1692" s="1"/>
    </row>
    <row r="1693" spans="1:1" ht="13">
      <c r="A1693" s="1"/>
    </row>
    <row r="1694" spans="1:1" ht="13">
      <c r="A1694" s="1"/>
    </row>
    <row r="1695" spans="1:1" ht="13">
      <c r="A1695" s="1"/>
    </row>
    <row r="1696" spans="1:1" ht="13">
      <c r="A1696" s="1"/>
    </row>
    <row r="1697" spans="1:1" ht="13">
      <c r="A1697" s="1"/>
    </row>
    <row r="1698" spans="1:1" ht="13">
      <c r="A1698" s="1"/>
    </row>
    <row r="1699" spans="1:1" ht="13">
      <c r="A1699" s="1"/>
    </row>
    <row r="1700" spans="1:1" ht="13">
      <c r="A1700" s="1"/>
    </row>
    <row r="1701" spans="1:1" ht="13">
      <c r="A1701" s="1"/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I3"/>
  <sheetViews>
    <sheetView workbookViewId="0"/>
  </sheetViews>
  <sheetFormatPr baseColWidth="10" defaultColWidth="12.6640625" defaultRowHeight="15" customHeight="1"/>
  <cols>
    <col min="2" max="2" width="16.6640625" customWidth="1"/>
    <col min="3" max="3" width="21.83203125" customWidth="1"/>
    <col min="4" max="4" width="34.6640625" customWidth="1"/>
    <col min="6" max="6" width="14.1640625" customWidth="1"/>
    <col min="7" max="7" width="25" customWidth="1"/>
    <col min="8" max="8" width="17.1640625" customWidth="1"/>
  </cols>
  <sheetData>
    <row r="1" spans="1:9" ht="15" customHeight="1">
      <c r="A1" s="3" t="s">
        <v>14190</v>
      </c>
      <c r="B1" s="3" t="s">
        <v>14192</v>
      </c>
      <c r="C1" s="3" t="s">
        <v>14203</v>
      </c>
      <c r="D1" s="3" t="s">
        <v>14204</v>
      </c>
      <c r="E1" s="3" t="s">
        <v>14197</v>
      </c>
      <c r="F1" s="3" t="s">
        <v>14198</v>
      </c>
      <c r="G1" s="3" t="s">
        <v>35</v>
      </c>
      <c r="H1" s="3" t="s">
        <v>14191</v>
      </c>
      <c r="I1" s="3" t="s">
        <v>14199</v>
      </c>
    </row>
    <row r="2" spans="1:9" ht="15" customHeight="1">
      <c r="A2" s="3" t="s">
        <v>51</v>
      </c>
      <c r="B2" s="3">
        <v>4.28</v>
      </c>
      <c r="C2" s="3">
        <v>9.33</v>
      </c>
      <c r="D2" s="3">
        <v>17.309999999999999</v>
      </c>
      <c r="E2" s="3">
        <v>4.03</v>
      </c>
      <c r="F2" s="3">
        <v>11.12</v>
      </c>
      <c r="G2" s="3">
        <v>340.12</v>
      </c>
      <c r="H2" s="3">
        <v>1128.6199999999999</v>
      </c>
      <c r="I2" s="3">
        <v>60118.75</v>
      </c>
    </row>
    <row r="3" spans="1:9" ht="15" customHeight="1">
      <c r="A3" s="3" t="s">
        <v>38</v>
      </c>
      <c r="B3" s="3">
        <v>4.32</v>
      </c>
      <c r="C3" s="3">
        <v>9.83</v>
      </c>
      <c r="D3" s="3">
        <v>15.21</v>
      </c>
      <c r="E3" s="3">
        <v>4.54</v>
      </c>
      <c r="F3" s="3">
        <v>10.57</v>
      </c>
      <c r="G3" s="3">
        <v>450.07</v>
      </c>
      <c r="H3" s="3">
        <v>1352.5</v>
      </c>
      <c r="I3" s="3">
        <v>51230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H8"/>
  <sheetViews>
    <sheetView workbookViewId="0"/>
  </sheetViews>
  <sheetFormatPr baseColWidth="10" defaultColWidth="12.6640625" defaultRowHeight="15" customHeight="1"/>
  <sheetData>
    <row r="1" spans="1:8" ht="15" customHeight="1">
      <c r="B1" s="3" t="s">
        <v>14192</v>
      </c>
      <c r="C1" s="3" t="s">
        <v>14191</v>
      </c>
      <c r="D1" s="3" t="s">
        <v>35</v>
      </c>
      <c r="E1" s="3" t="s">
        <v>14203</v>
      </c>
      <c r="F1" s="3" t="s">
        <v>14204</v>
      </c>
      <c r="G1" s="3" t="s">
        <v>14197</v>
      </c>
      <c r="H1" s="3" t="s">
        <v>14198</v>
      </c>
    </row>
    <row r="2" spans="1:8" ht="15" customHeight="1">
      <c r="A2" s="3" t="s">
        <v>14192</v>
      </c>
      <c r="B2" s="3">
        <v>1</v>
      </c>
      <c r="C2" s="3">
        <v>0.11</v>
      </c>
      <c r="D2" s="3">
        <v>0.11</v>
      </c>
      <c r="E2" s="3">
        <v>0.19</v>
      </c>
      <c r="F2" s="3">
        <v>-0.16</v>
      </c>
      <c r="G2" s="3">
        <v>0.18</v>
      </c>
      <c r="H2" s="3">
        <v>0.05</v>
      </c>
    </row>
    <row r="3" spans="1:8" ht="15" customHeight="1">
      <c r="A3" s="3" t="s">
        <v>14191</v>
      </c>
      <c r="B3" s="3">
        <v>0.11</v>
      </c>
      <c r="C3" s="3">
        <v>1</v>
      </c>
      <c r="D3" s="3">
        <v>0.99</v>
      </c>
      <c r="E3" s="3">
        <v>0.15</v>
      </c>
      <c r="F3" s="3">
        <v>-0.13</v>
      </c>
      <c r="G3" s="3">
        <v>0.12</v>
      </c>
      <c r="H3" s="3">
        <v>0.63</v>
      </c>
    </row>
    <row r="4" spans="1:8" ht="15" customHeight="1">
      <c r="A4" s="3" t="s">
        <v>35</v>
      </c>
      <c r="B4" s="3">
        <v>0.11</v>
      </c>
      <c r="C4" s="3">
        <v>0.99</v>
      </c>
      <c r="D4" s="3">
        <v>1</v>
      </c>
      <c r="E4" s="3">
        <v>0.13</v>
      </c>
      <c r="F4" s="3">
        <v>-0.14000000000000001</v>
      </c>
      <c r="G4" s="3">
        <v>0.12</v>
      </c>
      <c r="H4" s="3">
        <v>0.66</v>
      </c>
    </row>
    <row r="5" spans="1:8" ht="15" customHeight="1">
      <c r="A5" s="3" t="s">
        <v>14203</v>
      </c>
      <c r="B5" s="3">
        <v>0.19</v>
      </c>
      <c r="C5" s="3">
        <v>0.15</v>
      </c>
      <c r="D5" s="3">
        <v>0.13</v>
      </c>
      <c r="E5" s="3">
        <v>1</v>
      </c>
      <c r="F5" s="3">
        <v>-0.4</v>
      </c>
      <c r="G5" s="3">
        <v>-0.03</v>
      </c>
      <c r="H5" s="3">
        <v>0.11</v>
      </c>
    </row>
    <row r="6" spans="1:8" ht="15" customHeight="1">
      <c r="A6" s="3" t="s">
        <v>14204</v>
      </c>
      <c r="B6" s="3">
        <v>-0.16</v>
      </c>
      <c r="C6" s="3">
        <v>-0.13</v>
      </c>
      <c r="D6" s="3">
        <v>-0.14000000000000001</v>
      </c>
      <c r="E6" s="3">
        <v>-0.4</v>
      </c>
      <c r="F6" s="3">
        <v>1</v>
      </c>
      <c r="G6" s="3">
        <v>-0.4</v>
      </c>
      <c r="H6" s="3">
        <v>-0.21</v>
      </c>
    </row>
    <row r="7" spans="1:8" ht="15" customHeight="1">
      <c r="A7" s="3" t="s">
        <v>14197</v>
      </c>
      <c r="B7" s="3">
        <v>0.18</v>
      </c>
      <c r="C7" s="3">
        <v>0.12</v>
      </c>
      <c r="D7" s="3">
        <v>0.12</v>
      </c>
      <c r="E7" s="3">
        <v>-0.03</v>
      </c>
      <c r="F7" s="3">
        <v>-0.4</v>
      </c>
      <c r="G7" s="3">
        <v>1</v>
      </c>
      <c r="H7" s="3">
        <v>0.19</v>
      </c>
    </row>
    <row r="8" spans="1:8" ht="15" customHeight="1">
      <c r="A8" s="3" t="s">
        <v>14198</v>
      </c>
      <c r="B8" s="3">
        <v>0.05</v>
      </c>
      <c r="C8" s="3">
        <v>0.63</v>
      </c>
      <c r="D8" s="3">
        <v>0.66</v>
      </c>
      <c r="E8" s="3">
        <v>0.11</v>
      </c>
      <c r="F8" s="3">
        <v>-0.21</v>
      </c>
      <c r="G8" s="3">
        <v>0.19</v>
      </c>
      <c r="H8" s="3">
        <v>1</v>
      </c>
    </row>
  </sheetData>
  <conditionalFormatting sqref="B2:H8">
    <cfRule type="colorScale" priority="1">
      <colorScale>
        <cfvo type="min"/>
        <cfvo type="max"/>
        <color rgb="FFB6D7A8"/>
        <color rgb="FFFF0000"/>
      </colorScale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I9"/>
  <sheetViews>
    <sheetView workbookViewId="0"/>
  </sheetViews>
  <sheetFormatPr baseColWidth="10" defaultColWidth="12.6640625" defaultRowHeight="15" customHeight="1"/>
  <sheetData>
    <row r="1" spans="1:9" ht="15" customHeight="1">
      <c r="B1" s="3" t="s">
        <v>14192</v>
      </c>
      <c r="C1" s="3" t="s">
        <v>14191</v>
      </c>
      <c r="D1" s="3" t="s">
        <v>35</v>
      </c>
      <c r="E1" s="3" t="s">
        <v>14203</v>
      </c>
      <c r="F1" s="3" t="s">
        <v>14204</v>
      </c>
      <c r="G1" s="3" t="s">
        <v>14197</v>
      </c>
      <c r="H1" s="3" t="s">
        <v>14198</v>
      </c>
      <c r="I1" s="3" t="s">
        <v>14199</v>
      </c>
    </row>
    <row r="2" spans="1:9" ht="15" customHeight="1">
      <c r="A2" s="3" t="s">
        <v>14236</v>
      </c>
      <c r="B2" s="3">
        <v>54</v>
      </c>
      <c r="C2" s="3">
        <v>54</v>
      </c>
      <c r="D2" s="3">
        <v>54</v>
      </c>
      <c r="E2" s="3">
        <v>54</v>
      </c>
      <c r="F2" s="3">
        <v>54</v>
      </c>
      <c r="G2" s="3">
        <v>54</v>
      </c>
      <c r="H2" s="3">
        <v>54</v>
      </c>
      <c r="I2" s="3">
        <v>54</v>
      </c>
    </row>
    <row r="3" spans="1:9" ht="15" customHeight="1">
      <c r="A3" s="3" t="s">
        <v>14237</v>
      </c>
      <c r="B3" s="3">
        <v>4.3</v>
      </c>
      <c r="C3" s="3">
        <v>1253</v>
      </c>
      <c r="D3" s="3">
        <v>401.2</v>
      </c>
      <c r="E3" s="3">
        <v>9.61</v>
      </c>
      <c r="F3" s="3">
        <v>16.14</v>
      </c>
      <c r="G3" s="3">
        <v>4.3099999999999996</v>
      </c>
      <c r="H3" s="3">
        <v>10.81</v>
      </c>
      <c r="I3" s="3">
        <v>55180.56</v>
      </c>
    </row>
    <row r="4" spans="1:9" ht="15" customHeight="1">
      <c r="A4" s="3" t="s">
        <v>14238</v>
      </c>
      <c r="B4" s="3">
        <v>0.5</v>
      </c>
      <c r="C4" s="3">
        <v>1639.36</v>
      </c>
      <c r="D4" s="3">
        <v>541.95000000000005</v>
      </c>
      <c r="E4" s="3">
        <v>3.48</v>
      </c>
      <c r="F4" s="3">
        <v>6.75</v>
      </c>
      <c r="G4" s="3">
        <v>1.1499999999999999</v>
      </c>
      <c r="H4" s="3">
        <v>12.48</v>
      </c>
      <c r="I4" s="3">
        <v>67414.559999999998</v>
      </c>
    </row>
    <row r="5" spans="1:9" ht="15" customHeight="1">
      <c r="A5" s="3" t="s">
        <v>14239</v>
      </c>
      <c r="B5" s="3">
        <v>2.72</v>
      </c>
      <c r="C5" s="3">
        <v>20</v>
      </c>
      <c r="D5" s="3">
        <v>6</v>
      </c>
      <c r="E5" s="3">
        <v>0</v>
      </c>
      <c r="F5" s="3">
        <v>5.61</v>
      </c>
      <c r="G5" s="3">
        <v>0</v>
      </c>
      <c r="H5" s="3">
        <v>0</v>
      </c>
      <c r="I5" s="3">
        <v>800</v>
      </c>
    </row>
    <row r="6" spans="1:9" ht="15" customHeight="1">
      <c r="A6" s="12">
        <v>0.25</v>
      </c>
      <c r="B6" s="3">
        <v>4.22</v>
      </c>
      <c r="C6" s="3">
        <v>233</v>
      </c>
      <c r="D6" s="3">
        <v>77.25</v>
      </c>
      <c r="E6" s="3">
        <v>7.76</v>
      </c>
      <c r="F6" s="3">
        <v>12.91</v>
      </c>
      <c r="G6" s="3">
        <v>4.2300000000000004</v>
      </c>
      <c r="H6" s="3">
        <v>2</v>
      </c>
      <c r="I6" s="3">
        <v>8575</v>
      </c>
    </row>
    <row r="7" spans="1:9" ht="15" customHeight="1">
      <c r="A7" s="12">
        <v>0.5</v>
      </c>
      <c r="B7" s="3">
        <v>4.5</v>
      </c>
      <c r="C7" s="3">
        <v>625</v>
      </c>
      <c r="D7" s="3">
        <v>212.5</v>
      </c>
      <c r="E7" s="3">
        <v>9.64</v>
      </c>
      <c r="F7" s="3">
        <v>15.15</v>
      </c>
      <c r="G7" s="3">
        <v>4.62</v>
      </c>
      <c r="H7" s="3">
        <v>6.5</v>
      </c>
      <c r="I7" s="3">
        <v>25900</v>
      </c>
    </row>
    <row r="8" spans="1:9" ht="15" customHeight="1">
      <c r="A8" s="12">
        <v>0.75</v>
      </c>
      <c r="B8" s="3">
        <v>4.5999999999999996</v>
      </c>
      <c r="C8" s="3">
        <v>1358.75</v>
      </c>
      <c r="D8" s="3">
        <v>418</v>
      </c>
      <c r="E8" s="3">
        <v>11.48</v>
      </c>
      <c r="F8" s="3">
        <v>16.66</v>
      </c>
      <c r="G8" s="3">
        <v>5</v>
      </c>
      <c r="H8" s="3">
        <v>13.75</v>
      </c>
      <c r="I8" s="3">
        <v>77100</v>
      </c>
    </row>
    <row r="9" spans="1:9" ht="15" customHeight="1">
      <c r="A9" s="3" t="s">
        <v>14240</v>
      </c>
      <c r="B9" s="3">
        <v>5</v>
      </c>
      <c r="C9" s="3">
        <v>7039</v>
      </c>
      <c r="D9" s="3">
        <v>2315</v>
      </c>
      <c r="E9" s="3">
        <v>18.63</v>
      </c>
      <c r="F9" s="3">
        <v>49.78</v>
      </c>
      <c r="G9" s="3">
        <v>5</v>
      </c>
      <c r="H9" s="3">
        <v>56</v>
      </c>
      <c r="I9" s="3">
        <v>339150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B3"/>
  <sheetViews>
    <sheetView workbookViewId="0"/>
  </sheetViews>
  <sheetFormatPr baseColWidth="10" defaultColWidth="12.6640625" defaultRowHeight="15" customHeight="1"/>
  <cols>
    <col min="2" max="2" width="24.1640625" customWidth="1"/>
  </cols>
  <sheetData>
    <row r="1" spans="1:2" ht="15" customHeight="1">
      <c r="A1" s="3" t="s">
        <v>14241</v>
      </c>
      <c r="B1" s="3" t="s">
        <v>14242</v>
      </c>
    </row>
    <row r="2" spans="1:2" ht="15" customHeight="1">
      <c r="A2" s="3" t="s">
        <v>51</v>
      </c>
      <c r="B2" s="3">
        <v>9.6</v>
      </c>
    </row>
    <row r="3" spans="1:2" ht="15" customHeight="1">
      <c r="A3" s="3" t="s">
        <v>38</v>
      </c>
      <c r="B3" s="3">
        <v>28.5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5"/>
  <sheetViews>
    <sheetView workbookViewId="0"/>
  </sheetViews>
  <sheetFormatPr baseColWidth="10" defaultColWidth="12.6640625" defaultRowHeight="15" customHeight="1"/>
  <sheetData>
    <row r="1" spans="1:3" ht="15" customHeight="1">
      <c r="A1" s="3" t="s">
        <v>14243</v>
      </c>
      <c r="B1" s="3" t="s">
        <v>14228</v>
      </c>
      <c r="C1" s="3" t="s">
        <v>14244</v>
      </c>
    </row>
    <row r="2" spans="1:3" ht="15" customHeight="1">
      <c r="A2" s="3" t="s">
        <v>14245</v>
      </c>
      <c r="B2" s="3">
        <v>25</v>
      </c>
      <c r="C2" s="3">
        <v>46.3</v>
      </c>
    </row>
    <row r="3" spans="1:3" ht="15" customHeight="1">
      <c r="A3" s="3" t="s">
        <v>14246</v>
      </c>
      <c r="B3" s="3">
        <v>18</v>
      </c>
      <c r="C3" s="3">
        <v>33.299999999999997</v>
      </c>
    </row>
    <row r="4" spans="1:3" ht="15" customHeight="1">
      <c r="A4" s="3" t="s">
        <v>14247</v>
      </c>
      <c r="B4" s="3">
        <v>10</v>
      </c>
      <c r="C4" s="3">
        <v>18.5</v>
      </c>
    </row>
    <row r="5" spans="1:3" ht="15" customHeight="1">
      <c r="A5" s="3" t="s">
        <v>14248</v>
      </c>
      <c r="B5" s="3">
        <v>1</v>
      </c>
      <c r="C5" s="3">
        <v>1.9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G11"/>
  <sheetViews>
    <sheetView workbookViewId="0"/>
  </sheetViews>
  <sheetFormatPr baseColWidth="10" defaultColWidth="12.6640625" defaultRowHeight="15" customHeight="1"/>
  <sheetData>
    <row r="1" spans="1:7" ht="15" customHeight="1">
      <c r="A1" s="3" t="s">
        <v>5</v>
      </c>
      <c r="B1" s="3" t="s">
        <v>14190</v>
      </c>
      <c r="C1" s="3" t="s">
        <v>14192</v>
      </c>
      <c r="D1" s="3" t="s">
        <v>14191</v>
      </c>
      <c r="E1" s="3" t="s">
        <v>14203</v>
      </c>
      <c r="F1" s="3" t="s">
        <v>14204</v>
      </c>
      <c r="G1" s="3" t="s">
        <v>14249</v>
      </c>
    </row>
    <row r="2" spans="1:7" ht="15" customHeight="1">
      <c r="A2" s="3" t="s">
        <v>532</v>
      </c>
      <c r="B2" s="3" t="s">
        <v>38</v>
      </c>
      <c r="C2" s="3">
        <v>4.7</v>
      </c>
      <c r="D2" s="3">
        <v>995</v>
      </c>
      <c r="E2" s="3">
        <v>11.72</v>
      </c>
      <c r="F2" s="3">
        <v>15.96</v>
      </c>
      <c r="G2" s="3">
        <v>79.5</v>
      </c>
    </row>
    <row r="3" spans="1:7" ht="15" customHeight="1">
      <c r="A3" s="3" t="s">
        <v>341</v>
      </c>
      <c r="B3" s="3" t="s">
        <v>51</v>
      </c>
      <c r="C3" s="3">
        <v>4.4000000000000004</v>
      </c>
      <c r="D3" s="3">
        <v>6580</v>
      </c>
      <c r="E3" s="3">
        <v>9.6300000000000008</v>
      </c>
      <c r="F3" s="3">
        <v>12.18</v>
      </c>
      <c r="G3" s="3">
        <v>79.38</v>
      </c>
    </row>
    <row r="4" spans="1:7" ht="15" customHeight="1">
      <c r="A4" s="3" t="s">
        <v>1456</v>
      </c>
      <c r="B4" s="3" t="s">
        <v>51</v>
      </c>
      <c r="C4" s="3">
        <v>4.5</v>
      </c>
      <c r="D4" s="3">
        <v>1403</v>
      </c>
      <c r="E4" s="3">
        <v>12.57</v>
      </c>
      <c r="F4" s="3">
        <v>12.03</v>
      </c>
      <c r="G4" s="3">
        <v>78.12</v>
      </c>
    </row>
    <row r="5" spans="1:7" ht="15" customHeight="1">
      <c r="A5" s="3" t="s">
        <v>1348</v>
      </c>
      <c r="B5" s="3" t="s">
        <v>38</v>
      </c>
      <c r="C5" s="3">
        <v>4.5999999999999996</v>
      </c>
      <c r="D5" s="3">
        <v>2899</v>
      </c>
      <c r="E5" s="3">
        <v>9.08</v>
      </c>
      <c r="F5" s="3">
        <v>13.39</v>
      </c>
      <c r="G5" s="3">
        <v>77.569999999999993</v>
      </c>
    </row>
    <row r="6" spans="1:7" ht="15" customHeight="1">
      <c r="A6" s="3" t="s">
        <v>173</v>
      </c>
      <c r="B6" s="3" t="s">
        <v>38</v>
      </c>
      <c r="C6" s="3">
        <v>4.5</v>
      </c>
      <c r="D6" s="3">
        <v>4625</v>
      </c>
      <c r="E6" s="3">
        <v>9.3800000000000008</v>
      </c>
      <c r="F6" s="3">
        <v>16.600000000000001</v>
      </c>
      <c r="G6" s="3">
        <v>76.78</v>
      </c>
    </row>
    <row r="7" spans="1:7" ht="15" customHeight="1">
      <c r="A7" s="3" t="s">
        <v>232</v>
      </c>
      <c r="B7" s="3" t="s">
        <v>51</v>
      </c>
      <c r="C7" s="3">
        <v>4.4000000000000004</v>
      </c>
      <c r="D7" s="3">
        <v>2618</v>
      </c>
      <c r="E7" s="3">
        <v>14.63</v>
      </c>
      <c r="F7" s="3">
        <v>15.46</v>
      </c>
      <c r="G7" s="3">
        <v>76.05</v>
      </c>
    </row>
    <row r="8" spans="1:7" ht="15" customHeight="1">
      <c r="A8" s="3" t="s">
        <v>2021</v>
      </c>
      <c r="B8" s="3" t="s">
        <v>51</v>
      </c>
      <c r="C8" s="3">
        <v>4.4000000000000004</v>
      </c>
      <c r="D8" s="3">
        <v>2902</v>
      </c>
      <c r="E8" s="3">
        <v>4.91</v>
      </c>
      <c r="F8" s="3">
        <v>16.37</v>
      </c>
      <c r="G8" s="3">
        <v>75.86</v>
      </c>
    </row>
    <row r="9" spans="1:7" ht="15" customHeight="1">
      <c r="A9" s="3" t="s">
        <v>1153</v>
      </c>
      <c r="B9" s="3" t="s">
        <v>38</v>
      </c>
      <c r="C9" s="3">
        <v>4.2</v>
      </c>
      <c r="D9" s="3">
        <v>2371</v>
      </c>
      <c r="E9" s="3">
        <v>14.63</v>
      </c>
      <c r="F9" s="3">
        <v>22.59</v>
      </c>
      <c r="G9" s="3">
        <v>75.790000000000006</v>
      </c>
    </row>
    <row r="10" spans="1:7" ht="15" customHeight="1">
      <c r="A10" s="3" t="s">
        <v>1915</v>
      </c>
      <c r="B10" s="3" t="s">
        <v>51</v>
      </c>
      <c r="C10" s="3">
        <v>4.4000000000000004</v>
      </c>
      <c r="D10" s="3">
        <v>736</v>
      </c>
      <c r="E10" s="3">
        <v>6.74</v>
      </c>
      <c r="F10" s="3">
        <v>18.54</v>
      </c>
      <c r="G10" s="3">
        <v>74.7</v>
      </c>
    </row>
    <row r="11" spans="1:7" ht="15" customHeight="1">
      <c r="A11" s="3" t="s">
        <v>92</v>
      </c>
      <c r="B11" s="3" t="s">
        <v>51</v>
      </c>
      <c r="C11" s="3">
        <v>4.3</v>
      </c>
      <c r="D11" s="3">
        <v>1721</v>
      </c>
      <c r="E11" s="3">
        <v>9.9499999999999993</v>
      </c>
      <c r="F11" s="3">
        <v>12.94</v>
      </c>
      <c r="G11" s="3">
        <v>73.77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Raw_Data</vt:lpstr>
      <vt:lpstr>Data_Cleaning</vt:lpstr>
      <vt:lpstr>Summary_Stats</vt:lpstr>
      <vt:lpstr>Unique_Dashers</vt:lpstr>
      <vt:lpstr>Sheet12</vt:lpstr>
      <vt:lpstr>Rankings_Final</vt:lpstr>
      <vt:lpstr>Rankings</vt:lpstr>
      <vt:lpstr>Correlation_Analysis</vt:lpstr>
      <vt:lpstr>city_comparison</vt:lpstr>
      <vt:lpstr>correlation_matrix</vt:lpstr>
      <vt:lpstr>descriptive_statistics</vt:lpstr>
      <vt:lpstr>ontime_by_city</vt:lpstr>
      <vt:lpstr>performance_tier_distribution</vt:lpstr>
      <vt:lpstr>top10_widget_dashers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Megan Lee</cp:lastModifiedBy>
  <dcterms:created xsi:type="dcterms:W3CDTF">2026-05-01T05:27:38Z</dcterms:created>
  <dcterms:modified xsi:type="dcterms:W3CDTF">2026-05-01T05:27:50Z</dcterms:modified>
</cp:coreProperties>
</file>